
<file path=[Content_Types].xml><?xml version="1.0" encoding="utf-8"?>
<Types xmlns="http://schemas.openxmlformats.org/package/2006/content-types">
  <Default Extension="xml" ContentType="application/vnd.openxmlformats-officedocument.spreadsheetml.sheet.main+xml"/>
  <Default Extension="jpg" ContentType="image/jpeg"/>
  <Default Extension="rels" ContentType="application/vnd.openxmlformats-package.relationships+xml"/>
  <Override PartName="/xl/styles.xml" ContentType="application/vnd.openxmlformats-officedocument.spreadsheetml.styles+xml"/>
  <Override PartName="/xl/theme/theme1.xml" ContentType="application/vnd.openxmlformats-officedocument.theme+xml"/>
  <Override PartName="/xl/sharedStrings.xml" ContentType="application/vnd.openxmlformats-officedocument.spreadsheetml.sharedStrings+xml"/>
  <Override PartName="/xl/worksheets/sheet1.xml" ContentType="application/vnd.openxmlformats-officedocument.spreadsheetml.worksheet+xml"/>
  <Override PartName="/xl/drawings/drawing1.xml" ContentType="application/vnd.openxmlformats-officedocument.drawing+xml"/>
</Types>
</file>

<file path=_rels/.rels>&#65279;<?xml version="1.0" encoding="utf-8"?><Relationships xmlns="http://schemas.openxmlformats.org/package/2006/relationships"><Relationship Type="http://schemas.openxmlformats.org/officeDocument/2006/relationships/officeDocument" Target="/xl/workbook.xml" Id="Rd66ad5c5e18844b6" /></Relationships>
</file>

<file path=xl/workbook.xml><?xml version="1.0" encoding="utf-8"?>
<x:workbook xmlns:x="http://schemas.openxmlformats.org/spreadsheetml/2006/main">
  <x:sheets>
    <x:sheet xmlns:r="http://schemas.openxmlformats.org/officeDocument/2006/relationships" name="Catalog" sheetId="1" r:id="Rb0557319d75d4c6a"/>
  </x:sheets>
</x:workbook>
</file>

<file path=xl/sharedStrings.xml><?xml version="1.0" encoding="utf-8"?>
<x:sst xmlns:x="http://schemas.openxmlformats.org/spreadsheetml/2006/main"/>
</file>

<file path=xl/styles.xml><?xml version="1.0" encoding="utf-8"?>
<x:styleSheet xmlns:x="http://schemas.openxmlformats.org/spreadsheetml/2006/main">
  <x:fonts count="7">
    <x:font>
      <x:sz val="11"/>
      <x:name val="Carlito"/>
    </x:font>
    <x:font>
      <x:b/>
      <x:sz val="22"/>
      <x:color rgb="FFFFFFFF"/>
      <x:name val="Carlito"/>
    </x:font>
    <x:font>
      <x:sz val="10"/>
      <x:color rgb="FF44636B"/>
      <x:name val="Carlito"/>
    </x:font>
    <x:font>
      <x:b/>
      <x:sz val="11"/>
      <x:color rgb="FF12343B"/>
      <x:name val="Carlito"/>
    </x:font>
    <x:font>
      <x:sz val="10"/>
      <x:color rgb="FF12343B"/>
      <x:name val="Carlito"/>
    </x:font>
    <x:font>
      <x:sz val="9"/>
      <x:color rgb="FF0B63CE"/>
      <x:name val="Carlito"/>
    </x:font>
    <x:font>
      <x:sz val="10"/>
      <x:color rgb="FF0B63CE"/>
      <x:name val="Carlito"/>
    </x:font>
  </x:fonts>
  <x:fills count="6">
    <x:fill>
      <x:patternFill patternType="none"/>
    </x:fill>
    <x:fill>
      <x:patternFill patternType="gray125"/>
    </x:fill>
    <x:fill>
      <x:patternFill patternType="solid">
        <x:fgColor rgb="FF0F4C5C"/>
      </x:patternFill>
    </x:fill>
    <x:fill>
      <x:patternFill patternType="solid">
        <x:fgColor rgb="FFEAF1F3"/>
      </x:patternFill>
    </x:fill>
    <x:fill>
      <x:patternFill patternType="solid">
        <x:fgColor rgb="FFDDE9EC"/>
      </x:patternFill>
    </x:fill>
    <x:fill>
      <x:patternFill patternType="solid">
        <x:fgColor rgb="FFFFFFFF"/>
      </x:patternFill>
    </x:fill>
  </x:fills>
  <x:borders count="3">
    <x:border/>
    <x:border>
      <x:left style="thin">
        <x:color rgb="FFB8C9CE"/>
      </x:left>
      <x:right style="thin">
        <x:color rgb="FFB8C9CE"/>
      </x:right>
      <x:top style="thin">
        <x:color rgb="FFB8C9CE"/>
      </x:top>
      <x:bottom style="thin">
        <x:color rgb="FFB8C9CE"/>
      </x:bottom>
    </x:border>
    <x:border>
      <x:left style="thin">
        <x:color rgb="FFD8E1E4"/>
      </x:left>
      <x:right style="thin">
        <x:color rgb="FFD8E1E4"/>
      </x:right>
      <x:top style="thin">
        <x:color rgb="FFD8E1E4"/>
      </x:top>
      <x:bottom style="thin">
        <x:color rgb="FFD8E1E4"/>
      </x:bottom>
    </x:border>
  </x:borders>
  <x:cellStyleXfs count="1">
    <x:xf numFmtId="0" fontId="0" fillId="0" borderId="0"/>
  </x:cellStyleXfs>
  <x:cellXfs count="26">
    <x:xf numFmtId="0" fontId="0" fillId="0" borderId="0" xfId="0"/>
    <x:xf numFmtId="0" fontId="0" fillId="2" borderId="0" xfId="0" applyNumberFormat="1" applyFont="1" applyFill="1" applyBorder="1"/>
    <x:xf numFmtId="0" fontId="1" fillId="2" borderId="0" xfId="0" applyNumberFormat="1" applyFont="1" applyFill="1" applyBorder="1"/>
    <x:xf numFmtId="0" fontId="1" fillId="2" borderId="0" xfId="0" applyNumberFormat="1" applyFont="1" applyFill="1" applyBorder="1" applyAlignment="1">
      <x:alignment horizontal="left"/>
    </x:xf>
    <x:xf numFmtId="0" fontId="1" fillId="2" borderId="0" xfId="0" applyNumberFormat="1" applyFont="1" applyFill="1" applyBorder="1" applyAlignment="1">
      <x:alignment horizontal="left" vertical="center"/>
    </x:xf>
    <x:xf numFmtId="0" fontId="0" fillId="3" borderId="0" xfId="0" applyNumberFormat="1" applyFont="1" applyFill="1" applyBorder="1"/>
    <x:xf numFmtId="0" fontId="2" fillId="3" borderId="0" xfId="0" applyNumberFormat="1" applyFont="1" applyFill="1" applyBorder="1"/>
    <x:xf numFmtId="0" fontId="2" fillId="3" borderId="0" xfId="0" applyNumberFormat="1" applyFont="1" applyFill="1" applyBorder="1" applyAlignment="1">
      <x:alignment horizontal="left"/>
    </x:xf>
    <x:xf numFmtId="0" fontId="2" fillId="3" borderId="0" xfId="0" applyNumberFormat="1" applyFont="1" applyFill="1" applyBorder="1" applyAlignment="1">
      <x:alignment horizontal="left" vertical="center"/>
    </x:xf>
    <x:xf numFmtId="0" fontId="0" fillId="4" borderId="0" xfId="0" applyNumberFormat="1" applyFont="1" applyFill="1" applyBorder="1"/>
    <x:xf numFmtId="0" fontId="3" fillId="4" borderId="0" xfId="0" applyNumberFormat="1" applyFont="1" applyFill="1" applyBorder="1"/>
    <x:xf numFmtId="0" fontId="3" fillId="4" borderId="1" xfId="0" applyNumberFormat="1" applyFont="1" applyFill="1" applyBorder="1"/>
    <x:xf numFmtId="0" fontId="3" fillId="4" borderId="1" xfId="0" applyNumberFormat="1" applyFont="1" applyFill="1" applyBorder="1" applyAlignment="1">
      <x:alignment horizontal="center"/>
    </x:xf>
    <x:xf numFmtId="0" fontId="3" fillId="4" borderId="1" xfId="0" applyNumberFormat="1" applyFont="1" applyFill="1" applyBorder="1" applyAlignment="1">
      <x:alignment horizontal="center" vertical="center"/>
    </x:xf>
    <x:xf numFmtId="0" fontId="0" fillId="5" borderId="0" xfId="0" applyNumberFormat="1" applyFont="1" applyFill="1" applyBorder="1"/>
    <x:xf numFmtId="0" fontId="4" fillId="5" borderId="0" xfId="0" applyNumberFormat="1" applyFont="1" applyFill="1" applyBorder="1"/>
    <x:xf numFmtId="0" fontId="4" fillId="5" borderId="2" xfId="0" applyNumberFormat="1" applyFont="1" applyFill="1" applyBorder="1"/>
    <x:xf numFmtId="0" fontId="4" fillId="5" borderId="2" xfId="0" applyNumberFormat="1" applyFont="1" applyFill="1" applyBorder="1" applyAlignment="1">
      <x:alignment wrapText="1"/>
    </x:xf>
    <x:xf numFmtId="0" fontId="4" fillId="5" borderId="2" xfId="0" applyNumberFormat="1" applyFont="1" applyFill="1" applyBorder="1" applyAlignment="1">
      <x:alignment vertical="center" wrapText="1"/>
    </x:xf>
    <x:xf numFmtId="0" fontId="4" fillId="5" borderId="2" xfId="0" applyNumberFormat="1" applyFont="1" applyFill="1" applyBorder="1" applyAlignment="1">
      <x:alignment horizontal="center" vertical="center" wrapText="1"/>
    </x:xf>
    <x:xf numFmtId="0" fontId="5" fillId="5" borderId="2" xfId="0" applyNumberFormat="1" applyFont="1" applyFill="1" applyBorder="1" applyAlignment="1">
      <x:alignment vertical="center" wrapText="1"/>
    </x:xf>
    <x:xf numFmtId="0" fontId="5" fillId="5" borderId="2" xfId="0" applyNumberFormat="1" applyFont="1" applyFill="1" applyBorder="1" applyAlignment="1">
      <x:alignment horizontal="right" vertical="center" wrapText="1"/>
    </x:xf>
    <x:xf numFmtId="0" fontId="5" fillId="5" borderId="2" xfId="0" applyNumberFormat="1" applyFont="1" applyFill="1" applyBorder="1" applyAlignment="1">
      <x:alignment horizontal="right" vertical="bottom" wrapText="1"/>
    </x:xf>
    <x:xf numFmtId="0" fontId="6" fillId="5" borderId="2" xfId="0" applyNumberFormat="1" applyFont="1" applyFill="1" applyBorder="1" applyAlignment="1">
      <x:alignment vertical="center" wrapText="1"/>
    </x:xf>
    <x:xf numFmtId="0" fontId="6" fillId="5" borderId="2" xfId="0" applyNumberFormat="1" applyFont="1" applyFill="1" applyBorder="1" applyAlignment="1">
      <x:alignment horizontal="left" vertical="center" wrapText="1"/>
    </x:xf>
    <x:xf numFmtId="0" fontId="4" fillId="5" borderId="2" xfId="0" applyNumberFormat="1" applyFont="1" applyFill="1" applyBorder="1" applyAlignment="1">
      <x:alignment horizontal="right" vertical="center" wrapText="1"/>
    </x:xf>
  </x:cellXfs>
  <x:cellStyles count="1">
    <x:cellStyle name="Normal" xfId="0"/>
  </x:cellStyles>
</x:styleSheet>
</file>

<file path=xl/_rels/workbook.xml.rels>&#65279;<?xml version="1.0" encoding="utf-8"?><Relationships xmlns="http://schemas.openxmlformats.org/package/2006/relationships"><Relationship Type="http://schemas.openxmlformats.org/officeDocument/2006/relationships/styles" Target="/xl/styles.xml" Id="R5cee20b2d9d04b5e" /><Relationship Type="http://schemas.openxmlformats.org/officeDocument/2006/relationships/theme" Target="/xl/theme/theme1.xml" Id="R5faa4d19d68540bc" /><Relationship Type="http://schemas.openxmlformats.org/officeDocument/2006/relationships/sharedStrings" Target="/xl/sharedStrings.xml" Id="Rba1ea34a012d4c9c" /><Relationship Type="http://schemas.openxmlformats.org/officeDocument/2006/relationships/worksheet" Target="/xl/worksheets/sheet1.xml" Id="Rb0557319d75d4c6a" /></Relationships>
</file>

<file path=xl/drawings/_rels/drawing1.xml.rels>&#65279;<?xml version="1.0" encoding="utf-8"?><Relationships xmlns="http://schemas.openxmlformats.org/package/2006/relationships"><Relationship Type="http://schemas.openxmlformats.org/officeDocument/2006/relationships/image" Target="/xl/media/image.jpg" Id="Rb219928d7f5942f5" /><Relationship Type="http://schemas.openxmlformats.org/officeDocument/2006/relationships/image" Target="/xl/media/image2.jpg" Id="R1c0ff26bdde74259" /><Relationship Type="http://schemas.openxmlformats.org/officeDocument/2006/relationships/image" Target="/xl/media/image3.jpg" Id="R2aa80f35a3564392" /><Relationship Type="http://schemas.openxmlformats.org/officeDocument/2006/relationships/image" Target="/xl/media/image4.jpg" Id="R84bea7b9c9bc4d89" /><Relationship Type="http://schemas.openxmlformats.org/officeDocument/2006/relationships/image" Target="/xl/media/image5.jpg" Id="R92ca5745aee24d19" /><Relationship Type="http://schemas.openxmlformats.org/officeDocument/2006/relationships/image" Target="/xl/media/image6.jpg" Id="Rfaea7dd8fa384335" /><Relationship Type="http://schemas.openxmlformats.org/officeDocument/2006/relationships/image" Target="/xl/media/image7.jpg" Id="R1ed026c97fda475b" /><Relationship Type="http://schemas.openxmlformats.org/officeDocument/2006/relationships/image" Target="/xl/media/image8.jpg" Id="R0d3f52f643c244b7" /><Relationship Type="http://schemas.openxmlformats.org/officeDocument/2006/relationships/image" Target="/xl/media/image9.jpg" Id="R99a74e2840ba4e5c" /><Relationship Type="http://schemas.openxmlformats.org/officeDocument/2006/relationships/image" Target="/xl/media/image10.jpg" Id="R8f366ba9235f452d" /><Relationship Type="http://schemas.openxmlformats.org/officeDocument/2006/relationships/image" Target="/xl/media/image11.jpg" Id="Rc36c60dae8e94757" /><Relationship Type="http://schemas.openxmlformats.org/officeDocument/2006/relationships/image" Target="/xl/media/image12.jpg" Id="Ra1104e7c3b9341d3" /><Relationship Type="http://schemas.openxmlformats.org/officeDocument/2006/relationships/image" Target="/xl/media/image13.jpg" Id="R0cfc05a2a868468e" /><Relationship Type="http://schemas.openxmlformats.org/officeDocument/2006/relationships/image" Target="/xl/media/image14.jpg" Id="R3caadb089b2c4cc0" /><Relationship Type="http://schemas.openxmlformats.org/officeDocument/2006/relationships/image" Target="/xl/media/image15.jpg" Id="R7df7f6aee8c24bd1" /><Relationship Type="http://schemas.openxmlformats.org/officeDocument/2006/relationships/image" Target="/xl/media/image16.jpg" Id="Rf9e5f3635c8e46a8" /><Relationship Type="http://schemas.openxmlformats.org/officeDocument/2006/relationships/image" Target="/xl/media/image17.jpg" Id="Rabda95f77cba4ad0" /><Relationship Type="http://schemas.openxmlformats.org/officeDocument/2006/relationships/image" Target="/xl/media/image18.jpg" Id="R6f804787d2604812" /><Relationship Type="http://schemas.openxmlformats.org/officeDocument/2006/relationships/image" Target="/xl/media/image19.jpg" Id="R12d8598a43484d8d" /><Relationship Type="http://schemas.openxmlformats.org/officeDocument/2006/relationships/image" Target="/xl/media/image20.jpg" Id="R951195eee14e46c7" /><Relationship Type="http://schemas.openxmlformats.org/officeDocument/2006/relationships/image" Target="/xl/media/image21.jpg" Id="R60ed83dde9c64ce8" /><Relationship Type="http://schemas.openxmlformats.org/officeDocument/2006/relationships/image" Target="/xl/media/image22.jpg" Id="Ree2396e6fd024b79" /><Relationship Type="http://schemas.openxmlformats.org/officeDocument/2006/relationships/image" Target="/xl/media/image23.jpg" Id="R1440b5d65bb54a52" /><Relationship Type="http://schemas.openxmlformats.org/officeDocument/2006/relationships/image" Target="/xl/media/image24.jpg" Id="Rf96445182a2a4260" /><Relationship Type="http://schemas.openxmlformats.org/officeDocument/2006/relationships/image" Target="/xl/media/image25.jpg" Id="R7a3f7f8259cb4da8" /><Relationship Type="http://schemas.openxmlformats.org/officeDocument/2006/relationships/image" Target="/xl/media/image26.jpg" Id="Raa6d4058dc5c4d1a" /><Relationship Type="http://schemas.openxmlformats.org/officeDocument/2006/relationships/image" Target="/xl/media/image27.jpg" Id="Radb22638dc0e488c" /><Relationship Type="http://schemas.openxmlformats.org/officeDocument/2006/relationships/image" Target="/xl/media/image28.jpg" Id="Rea2feac243694e7b" /><Relationship Type="http://schemas.openxmlformats.org/officeDocument/2006/relationships/image" Target="/xl/media/image29.jpg" Id="Rfb86c6519cac46bc" /><Relationship Type="http://schemas.openxmlformats.org/officeDocument/2006/relationships/image" Target="/xl/media/image30.jpg" Id="R46a2d7ce98ca4f42" /><Relationship Type="http://schemas.openxmlformats.org/officeDocument/2006/relationships/image" Target="/xl/media/image31.jpg" Id="R5365fac7b95e48b3" /><Relationship Type="http://schemas.openxmlformats.org/officeDocument/2006/relationships/image" Target="/xl/media/image32.jpg" Id="Rf09c736ff0ba48d7" /><Relationship Type="http://schemas.openxmlformats.org/officeDocument/2006/relationships/image" Target="/xl/media/image33.jpg" Id="R5177e45c27954b6c" /><Relationship Type="http://schemas.openxmlformats.org/officeDocument/2006/relationships/image" Target="/xl/media/image34.jpg" Id="R8eb69a24c8ab48d4" /><Relationship Type="http://schemas.openxmlformats.org/officeDocument/2006/relationships/image" Target="/xl/media/image35.jpg" Id="R93c4abb3203d4722" /><Relationship Type="http://schemas.openxmlformats.org/officeDocument/2006/relationships/image" Target="/xl/media/image36.jpg" Id="R6b367388e5b74f1c" /><Relationship Type="http://schemas.openxmlformats.org/officeDocument/2006/relationships/image" Target="/xl/media/image37.jpg" Id="R0d34838eee6546c7" /><Relationship Type="http://schemas.openxmlformats.org/officeDocument/2006/relationships/image" Target="/xl/media/image38.jpg" Id="Rf029107cc1ec4e1c" /><Relationship Type="http://schemas.openxmlformats.org/officeDocument/2006/relationships/image" Target="/xl/media/image39.jpg" Id="R99dd783b9f024107" /><Relationship Type="http://schemas.openxmlformats.org/officeDocument/2006/relationships/image" Target="/xl/media/image40.jpg" Id="R5fe54c93a2764844" /><Relationship Type="http://schemas.openxmlformats.org/officeDocument/2006/relationships/image" Target="/xl/media/image41.jpg" Id="Ra2840e602dc64ee6" /><Relationship Type="http://schemas.openxmlformats.org/officeDocument/2006/relationships/image" Target="/xl/media/image42.jpg" Id="R3331eeb422b24b8d" /><Relationship Type="http://schemas.openxmlformats.org/officeDocument/2006/relationships/image" Target="/xl/media/image43.jpg" Id="Rb069408492af4077" /><Relationship Type="http://schemas.openxmlformats.org/officeDocument/2006/relationships/image" Target="/xl/media/image44.jpg" Id="R814da30894f54978" /><Relationship Type="http://schemas.openxmlformats.org/officeDocument/2006/relationships/image" Target="/xl/media/image45.jpg" Id="Re85bc13a9a6741b9" /><Relationship Type="http://schemas.openxmlformats.org/officeDocument/2006/relationships/image" Target="/xl/media/image46.jpg" Id="Rf6867fe03d76476b" /><Relationship Type="http://schemas.openxmlformats.org/officeDocument/2006/relationships/image" Target="/xl/media/image47.jpg" Id="R6490a93364694987" /><Relationship Type="http://schemas.openxmlformats.org/officeDocument/2006/relationships/image" Target="/xl/media/image48.jpg" Id="R623a3ea226ee4252" /><Relationship Type="http://schemas.openxmlformats.org/officeDocument/2006/relationships/image" Target="/xl/media/image49.jpg" Id="Ra82a68eb2088459c" /><Relationship Type="http://schemas.openxmlformats.org/officeDocument/2006/relationships/image" Target="/xl/media/image50.jpg" Id="R268605d3bd684317" /><Relationship Type="http://schemas.openxmlformats.org/officeDocument/2006/relationships/image" Target="/xl/media/image51.jpg" Id="R3a71ff7521044154" /><Relationship Type="http://schemas.openxmlformats.org/officeDocument/2006/relationships/image" Target="/xl/media/image52.jpg" Id="Ra26dd377780d475d" /><Relationship Type="http://schemas.openxmlformats.org/officeDocument/2006/relationships/image" Target="/xl/media/image53.jpg" Id="Rdd083c89bf934422" /><Relationship Type="http://schemas.openxmlformats.org/officeDocument/2006/relationships/image" Target="/xl/media/image54.jpg" Id="Raa018c2050444f5b" /><Relationship Type="http://schemas.openxmlformats.org/officeDocument/2006/relationships/image" Target="/xl/media/image55.jpg" Id="Rf6035cdb557249f9" /><Relationship Type="http://schemas.openxmlformats.org/officeDocument/2006/relationships/image" Target="/xl/media/image56.jpg" Id="R520664a3e98b4a68" /><Relationship Type="http://schemas.openxmlformats.org/officeDocument/2006/relationships/image" Target="/xl/media/image57.jpg" Id="R176ebc5b3a5449db" /><Relationship Type="http://schemas.openxmlformats.org/officeDocument/2006/relationships/image" Target="/xl/media/image58.jpg" Id="R95eb79663dd340b2" /><Relationship Type="http://schemas.openxmlformats.org/officeDocument/2006/relationships/image" Target="/xl/media/image59.jpg" Id="Rc92a202b2dd24dd1" /><Relationship Type="http://schemas.openxmlformats.org/officeDocument/2006/relationships/image" Target="/xl/media/image60.jpg" Id="R8d1fe153b6a34644" /><Relationship Type="http://schemas.openxmlformats.org/officeDocument/2006/relationships/image" Target="/xl/media/image61.jpg" Id="R89395c7714de44d2" /><Relationship Type="http://schemas.openxmlformats.org/officeDocument/2006/relationships/image" Target="/xl/media/image62.jpg" Id="R2d1310f7914d4102" /><Relationship Type="http://schemas.openxmlformats.org/officeDocument/2006/relationships/image" Target="/xl/media/image63.jpg" Id="R5465cd5bdbe6486e" /><Relationship Type="http://schemas.openxmlformats.org/officeDocument/2006/relationships/image" Target="/xl/media/image64.jpg" Id="R0719a40d968b4745" /><Relationship Type="http://schemas.openxmlformats.org/officeDocument/2006/relationships/image" Target="/xl/media/image65.jpg" Id="R0848f1c8149646d5" /><Relationship Type="http://schemas.openxmlformats.org/officeDocument/2006/relationships/image" Target="/xl/media/image66.jpg" Id="R631fbce05b044c17" /><Relationship Type="http://schemas.openxmlformats.org/officeDocument/2006/relationships/image" Target="/xl/media/image67.jpg" Id="R4dfd94448f0d4e2d" /><Relationship Type="http://schemas.openxmlformats.org/officeDocument/2006/relationships/image" Target="/xl/media/image68.jpg" Id="R567878d9677c4aef" /><Relationship Type="http://schemas.openxmlformats.org/officeDocument/2006/relationships/image" Target="/xl/media/image69.jpg" Id="Rc4ae51f9f1e14870" /><Relationship Type="http://schemas.openxmlformats.org/officeDocument/2006/relationships/image" Target="/xl/media/image70.jpg" Id="R22840a46cb5047ef" /><Relationship Type="http://schemas.openxmlformats.org/officeDocument/2006/relationships/image" Target="/xl/media/image71.jpg" Id="Rab2f825e65a448c8" /><Relationship Type="http://schemas.openxmlformats.org/officeDocument/2006/relationships/image" Target="/xl/media/image72.jpg" Id="R332b88b32d5d4b9b" /><Relationship Type="http://schemas.openxmlformats.org/officeDocument/2006/relationships/image" Target="/xl/media/image73.jpg" Id="Rf5ed3545e19744a1" /><Relationship Type="http://schemas.openxmlformats.org/officeDocument/2006/relationships/image" Target="/xl/media/image74.jpg" Id="R4a9806189c1a46dd" /><Relationship Type="http://schemas.openxmlformats.org/officeDocument/2006/relationships/image" Target="/xl/media/image75.jpg" Id="R4423947d6fae4a6c" /><Relationship Type="http://schemas.openxmlformats.org/officeDocument/2006/relationships/image" Target="/xl/media/image76.jpg" Id="R3db617332c3542dd" /><Relationship Type="http://schemas.openxmlformats.org/officeDocument/2006/relationships/image" Target="/xl/media/image77.jpg" Id="R4c80508cc43447c7" /><Relationship Type="http://schemas.openxmlformats.org/officeDocument/2006/relationships/image" Target="/xl/media/image78.jpg" Id="Rbe69d59fe6a14125" /><Relationship Type="http://schemas.openxmlformats.org/officeDocument/2006/relationships/image" Target="/xl/media/image79.jpg" Id="Rd7fd36faa40543cc" /><Relationship Type="http://schemas.openxmlformats.org/officeDocument/2006/relationships/image" Target="/xl/media/image80.jpg" Id="Ra0cd4624b2ba4157" /><Relationship Type="http://schemas.openxmlformats.org/officeDocument/2006/relationships/image" Target="/xl/media/image81.jpg" Id="Rb006bf643bd64fb3" /><Relationship Type="http://schemas.openxmlformats.org/officeDocument/2006/relationships/image" Target="/xl/media/image82.jpg" Id="Rc2a85539e3ff4292" /><Relationship Type="http://schemas.openxmlformats.org/officeDocument/2006/relationships/image" Target="/xl/media/image83.jpg" Id="R11260f91407847d5" /><Relationship Type="http://schemas.openxmlformats.org/officeDocument/2006/relationships/image" Target="/xl/media/image84.jpg" Id="R69de6b13b4c8418e" /><Relationship Type="http://schemas.openxmlformats.org/officeDocument/2006/relationships/image" Target="/xl/media/image85.jpg" Id="R9a0a56585a1c480f" /><Relationship Type="http://schemas.openxmlformats.org/officeDocument/2006/relationships/image" Target="/xl/media/image86.jpg" Id="R3f4726bbe9954a86" /><Relationship Type="http://schemas.openxmlformats.org/officeDocument/2006/relationships/image" Target="/xl/media/image87.jpg" Id="R0971c8f548d54a14" /><Relationship Type="http://schemas.openxmlformats.org/officeDocument/2006/relationships/image" Target="/xl/media/image88.jpg" Id="R2c913034b0a34ab1" /><Relationship Type="http://schemas.openxmlformats.org/officeDocument/2006/relationships/image" Target="/xl/media/image89.jpg" Id="Rdb6a47884a4a4846" /><Relationship Type="http://schemas.openxmlformats.org/officeDocument/2006/relationships/image" Target="/xl/media/image90.jpg" Id="R32cce49b962a49b9" /><Relationship Type="http://schemas.openxmlformats.org/officeDocument/2006/relationships/image" Target="/xl/media/image91.jpg" Id="R2c3002a4d5bd4ef1" /><Relationship Type="http://schemas.openxmlformats.org/officeDocument/2006/relationships/image" Target="/xl/media/image92.jpg" Id="Rb04264c3c528464b" /><Relationship Type="http://schemas.openxmlformats.org/officeDocument/2006/relationships/image" Target="/xl/media/image93.jpg" Id="R33bf5f5a14c24b9f" /><Relationship Type="http://schemas.openxmlformats.org/officeDocument/2006/relationships/image" Target="/xl/media/image94.jpg" Id="Rbc991f7ab7a842e3" /><Relationship Type="http://schemas.openxmlformats.org/officeDocument/2006/relationships/image" Target="/xl/media/image95.jpg" Id="R246bfccda04a4763" /><Relationship Type="http://schemas.openxmlformats.org/officeDocument/2006/relationships/image" Target="/xl/media/image96.jpg" Id="R7ca49382b0fa4920" /><Relationship Type="http://schemas.openxmlformats.org/officeDocument/2006/relationships/image" Target="/xl/media/image97.jpg" Id="R04beda68dee74956" /><Relationship Type="http://schemas.openxmlformats.org/officeDocument/2006/relationships/image" Target="/xl/media/image98.jpg" Id="R99b03b458a3942f1" /><Relationship Type="http://schemas.openxmlformats.org/officeDocument/2006/relationships/image" Target="/xl/media/image99.jpg" Id="R8d7b9ace7b934e89" /><Relationship Type="http://schemas.openxmlformats.org/officeDocument/2006/relationships/image" Target="/xl/media/image100.jpg" Id="Rbf86298659a34099" /><Relationship Type="http://schemas.openxmlformats.org/officeDocument/2006/relationships/image" Target="/xl/media/image101.jpg" Id="R4e32ac22c22048be" /><Relationship Type="http://schemas.openxmlformats.org/officeDocument/2006/relationships/image" Target="/xl/media/image102.jpg" Id="Rae74540c0fe446c7" /><Relationship Type="http://schemas.openxmlformats.org/officeDocument/2006/relationships/image" Target="/xl/media/image103.jpg" Id="R16545e89b5fa4999" /><Relationship Type="http://schemas.openxmlformats.org/officeDocument/2006/relationships/image" Target="/xl/media/image104.jpg" Id="Rc1eea7bd12c24d0b" /><Relationship Type="http://schemas.openxmlformats.org/officeDocument/2006/relationships/image" Target="/xl/media/image105.jpg" Id="R33e86346ac424684" /><Relationship Type="http://schemas.openxmlformats.org/officeDocument/2006/relationships/image" Target="/xl/media/image106.jpg" Id="R48e3aacf91ac4c32" /><Relationship Type="http://schemas.openxmlformats.org/officeDocument/2006/relationships/image" Target="/xl/media/image107.jpg" Id="R31e573f8ba3246d1" /><Relationship Type="http://schemas.openxmlformats.org/officeDocument/2006/relationships/image" Target="/xl/media/image108.jpg" Id="Rcd720c6666a84847" /><Relationship Type="http://schemas.openxmlformats.org/officeDocument/2006/relationships/image" Target="/xl/media/image109.jpg" Id="R562a7a9048134941" /><Relationship Type="http://schemas.openxmlformats.org/officeDocument/2006/relationships/image" Target="/xl/media/image110.jpg" Id="R2e1840b72f934af0" /><Relationship Type="http://schemas.openxmlformats.org/officeDocument/2006/relationships/image" Target="/xl/media/image111.jpg" Id="Rab7ffc6862534264" /><Relationship Type="http://schemas.openxmlformats.org/officeDocument/2006/relationships/image" Target="/xl/media/image112.jpg" Id="R4daeec6472cd42d1" /><Relationship Type="http://schemas.openxmlformats.org/officeDocument/2006/relationships/image" Target="/xl/media/image113.jpg" Id="R6bc4888f9c8e4b1c" /><Relationship Type="http://schemas.openxmlformats.org/officeDocument/2006/relationships/image" Target="/xl/media/image114.jpg" Id="Rd4b96484a69a43a1" /><Relationship Type="http://schemas.openxmlformats.org/officeDocument/2006/relationships/image" Target="/xl/media/image115.jpg" Id="R9ee743fad3844aec" /><Relationship Type="http://schemas.openxmlformats.org/officeDocument/2006/relationships/image" Target="/xl/media/image116.jpg" Id="R6dd7f47e95d74835" /><Relationship Type="http://schemas.openxmlformats.org/officeDocument/2006/relationships/image" Target="/xl/media/image117.jpg" Id="R8816e180933e4172" /><Relationship Type="http://schemas.openxmlformats.org/officeDocument/2006/relationships/image" Target="/xl/media/image118.jpg" Id="R90861c100f844e88" /><Relationship Type="http://schemas.openxmlformats.org/officeDocument/2006/relationships/image" Target="/xl/media/image119.jpg" Id="R54eaed3fd4634270" /><Relationship Type="http://schemas.openxmlformats.org/officeDocument/2006/relationships/image" Target="/xl/media/image120.jpg" Id="Rf0757cb3b8614b6a" /><Relationship Type="http://schemas.openxmlformats.org/officeDocument/2006/relationships/image" Target="/xl/media/image121.jpg" Id="R3d8ea5df05e64582" /><Relationship Type="http://schemas.openxmlformats.org/officeDocument/2006/relationships/image" Target="/xl/media/image122.jpg" Id="R714001ca9e8147a4" /><Relationship Type="http://schemas.openxmlformats.org/officeDocument/2006/relationships/image" Target="/xl/media/image123.jpg" Id="R9b8e782df96441d5" /><Relationship Type="http://schemas.openxmlformats.org/officeDocument/2006/relationships/image" Target="/xl/media/image124.jpg" Id="Rf5d9c7ef58344d5f" /><Relationship Type="http://schemas.openxmlformats.org/officeDocument/2006/relationships/image" Target="/xl/media/image125.jpg" Id="R60de37164e774d04" /><Relationship Type="http://schemas.openxmlformats.org/officeDocument/2006/relationships/image" Target="/xl/media/image126.jpg" Id="Raf1af6741c5d4b51" /><Relationship Type="http://schemas.openxmlformats.org/officeDocument/2006/relationships/image" Target="/xl/media/image127.jpg" Id="R4ec914cacecd4fe0" /><Relationship Type="http://schemas.openxmlformats.org/officeDocument/2006/relationships/image" Target="/xl/media/image128.jpg" Id="Rce7a3f3affd24b22" /><Relationship Type="http://schemas.openxmlformats.org/officeDocument/2006/relationships/image" Target="/xl/media/image129.jpg" Id="Ra69e2e72a2294358" /><Relationship Type="http://schemas.openxmlformats.org/officeDocument/2006/relationships/image" Target="/xl/media/image130.jpg" Id="Rb8e7f7449a5b4b14" /><Relationship Type="http://schemas.openxmlformats.org/officeDocument/2006/relationships/image" Target="/xl/media/image131.jpg" Id="R4c6d8da46c594c24" /><Relationship Type="http://schemas.openxmlformats.org/officeDocument/2006/relationships/image" Target="/xl/media/image132.jpg" Id="R702e11a96a8b4577" /><Relationship Type="http://schemas.openxmlformats.org/officeDocument/2006/relationships/image" Target="/xl/media/image133.jpg" Id="R2172ebc78f9a4998" /><Relationship Type="http://schemas.openxmlformats.org/officeDocument/2006/relationships/image" Target="/xl/media/image134.jpg" Id="R15620509335a47b9" /><Relationship Type="http://schemas.openxmlformats.org/officeDocument/2006/relationships/image" Target="/xl/media/image135.jpg" Id="Rcaebb8beea46407c" /><Relationship Type="http://schemas.openxmlformats.org/officeDocument/2006/relationships/image" Target="/xl/media/image136.jpg" Id="R495a79d2e4c743da" /><Relationship Type="http://schemas.openxmlformats.org/officeDocument/2006/relationships/image" Target="/xl/media/image137.jpg" Id="R3667834e62784460" /><Relationship Type="http://schemas.openxmlformats.org/officeDocument/2006/relationships/image" Target="/xl/media/image138.jpg" Id="R082bd499066c48cd" /><Relationship Type="http://schemas.openxmlformats.org/officeDocument/2006/relationships/image" Target="/xl/media/image139.jpg" Id="R54fcc121b0124664" /><Relationship Type="http://schemas.openxmlformats.org/officeDocument/2006/relationships/image" Target="/xl/media/image140.jpg" Id="R5c0c141ad7014d8e" /><Relationship Type="http://schemas.openxmlformats.org/officeDocument/2006/relationships/image" Target="/xl/media/image141.jpg" Id="Rf7978663de264957" /><Relationship Type="http://schemas.openxmlformats.org/officeDocument/2006/relationships/image" Target="/xl/media/image142.jpg" Id="Rc757c75a1a234b90" /><Relationship Type="http://schemas.openxmlformats.org/officeDocument/2006/relationships/image" Target="/xl/media/image143.jpg" Id="R89e5d4ce728f4941" /><Relationship Type="http://schemas.openxmlformats.org/officeDocument/2006/relationships/image" Target="/xl/media/image144.jpg" Id="R32b2835c8e5b4c2f" /><Relationship Type="http://schemas.openxmlformats.org/officeDocument/2006/relationships/image" Target="/xl/media/image145.jpg" Id="R3f99300860c348d7" /><Relationship Type="http://schemas.openxmlformats.org/officeDocument/2006/relationships/image" Target="/xl/media/image146.jpg" Id="Rfa6d255f31e44232" /><Relationship Type="http://schemas.openxmlformats.org/officeDocument/2006/relationships/image" Target="/xl/media/image147.jpg" Id="R433b19db63a44d76" /><Relationship Type="http://schemas.openxmlformats.org/officeDocument/2006/relationships/image" Target="/xl/media/image148.jpg" Id="Rcff0d6ae710a4f5b" /><Relationship Type="http://schemas.openxmlformats.org/officeDocument/2006/relationships/image" Target="/xl/media/image149.jpg" Id="R1521ce7848974667" /><Relationship Type="http://schemas.openxmlformats.org/officeDocument/2006/relationships/image" Target="/xl/media/image150.jpg" Id="R94aba3864f4b4dcf" /><Relationship Type="http://schemas.openxmlformats.org/officeDocument/2006/relationships/image" Target="/xl/media/image151.jpg" Id="R8783e607f7df46fe" /><Relationship Type="http://schemas.openxmlformats.org/officeDocument/2006/relationships/image" Target="/xl/media/image152.jpg" Id="Rb9eeea96b0784018" /><Relationship Type="http://schemas.openxmlformats.org/officeDocument/2006/relationships/image" Target="/xl/media/image153.jpg" Id="Rb065f831626e438e" /><Relationship Type="http://schemas.openxmlformats.org/officeDocument/2006/relationships/image" Target="/xl/media/image154.jpg" Id="R0887c6f4c5f74355" /><Relationship Type="http://schemas.openxmlformats.org/officeDocument/2006/relationships/image" Target="/xl/media/image155.jpg" Id="R3fb0cbc94ea74d8f" /><Relationship Type="http://schemas.openxmlformats.org/officeDocument/2006/relationships/image" Target="/xl/media/image156.jpg" Id="R931ff5df3a7b4e30" /><Relationship Type="http://schemas.openxmlformats.org/officeDocument/2006/relationships/image" Target="/xl/media/image157.jpg" Id="Re3bafd26c40f4d59" /><Relationship Type="http://schemas.openxmlformats.org/officeDocument/2006/relationships/image" Target="/xl/media/image158.jpg" Id="R8e98751cea8d4430" /><Relationship Type="http://schemas.openxmlformats.org/officeDocument/2006/relationships/image" Target="/xl/media/image159.jpg" Id="R61a33cf6f86b4670" /><Relationship Type="http://schemas.openxmlformats.org/officeDocument/2006/relationships/image" Target="/xl/media/image160.jpg" Id="R19839ab2521647c6" /><Relationship Type="http://schemas.openxmlformats.org/officeDocument/2006/relationships/image" Target="/xl/media/image161.jpg" Id="R1797067c12314ba4" /><Relationship Type="http://schemas.openxmlformats.org/officeDocument/2006/relationships/image" Target="/xl/media/image162.jpg" Id="Ra7a458e8edb043cf" /><Relationship Type="http://schemas.openxmlformats.org/officeDocument/2006/relationships/image" Target="/xl/media/image163.jpg" Id="R75f3983e781c41b9" /><Relationship Type="http://schemas.openxmlformats.org/officeDocument/2006/relationships/image" Target="/xl/media/image164.jpg" Id="R6ecbd81c4eb242bd" /><Relationship Type="http://schemas.openxmlformats.org/officeDocument/2006/relationships/image" Target="/xl/media/image165.jpg" Id="R0eec41a95c7b4a45" /><Relationship Type="http://schemas.openxmlformats.org/officeDocument/2006/relationships/image" Target="/xl/media/image166.jpg" Id="Rec3187e4063f4003" /><Relationship Type="http://schemas.openxmlformats.org/officeDocument/2006/relationships/image" Target="/xl/media/image167.jpg" Id="Rb53f2866043e4fe5" /><Relationship Type="http://schemas.openxmlformats.org/officeDocument/2006/relationships/image" Target="/xl/media/image168.jpg" Id="R4446ae63cb9e4435" /><Relationship Type="http://schemas.openxmlformats.org/officeDocument/2006/relationships/image" Target="/xl/media/image169.jpg" Id="R28775252965243fd" /><Relationship Type="http://schemas.openxmlformats.org/officeDocument/2006/relationships/image" Target="/xl/media/image170.jpg" Id="R77b53a9b699f41ee" /><Relationship Type="http://schemas.openxmlformats.org/officeDocument/2006/relationships/image" Target="/xl/media/image171.jpg" Id="Rb98de9429a644f18" /><Relationship Type="http://schemas.openxmlformats.org/officeDocument/2006/relationships/image" Target="/xl/media/image172.jpg" Id="R0b96a59d44c14002" /><Relationship Type="http://schemas.openxmlformats.org/officeDocument/2006/relationships/image" Target="/xl/media/image173.jpg" Id="R3794740f87754aea" /><Relationship Type="http://schemas.openxmlformats.org/officeDocument/2006/relationships/image" Target="/xl/media/image174.jpg" Id="R4ef39c9c711c4d5a" /><Relationship Type="http://schemas.openxmlformats.org/officeDocument/2006/relationships/image" Target="/xl/media/image175.jpg" Id="R13786a00bc64444a" /><Relationship Type="http://schemas.openxmlformats.org/officeDocument/2006/relationships/image" Target="/xl/media/image176.jpg" Id="R1568067889a24af1" /><Relationship Type="http://schemas.openxmlformats.org/officeDocument/2006/relationships/image" Target="/xl/media/image177.jpg" Id="R40503a8747b14afc" /><Relationship Type="http://schemas.openxmlformats.org/officeDocument/2006/relationships/image" Target="/xl/media/image178.jpg" Id="R2aea2a130b664040" /><Relationship Type="http://schemas.openxmlformats.org/officeDocument/2006/relationships/image" Target="/xl/media/image179.jpg" Id="R868f3b36d4944bd4" /><Relationship Type="http://schemas.openxmlformats.org/officeDocument/2006/relationships/image" Target="/xl/media/image180.jpg" Id="Rf701ae7cff804995" /><Relationship Type="http://schemas.openxmlformats.org/officeDocument/2006/relationships/image" Target="/xl/media/image181.jpg" Id="Rcc846b11c54242d9" /><Relationship Type="http://schemas.openxmlformats.org/officeDocument/2006/relationships/image" Target="/xl/media/image182.jpg" Id="Rb7f9f319244e4519" /><Relationship Type="http://schemas.openxmlformats.org/officeDocument/2006/relationships/image" Target="/xl/media/image183.jpg" Id="Rd64fc02cc8034906" /><Relationship Type="http://schemas.openxmlformats.org/officeDocument/2006/relationships/image" Target="/xl/media/image184.jpg" Id="Ra8138332b86d4379" /><Relationship Type="http://schemas.openxmlformats.org/officeDocument/2006/relationships/image" Target="/xl/media/image185.jpg" Id="Rb48159d34bdf4c9b" /><Relationship Type="http://schemas.openxmlformats.org/officeDocument/2006/relationships/image" Target="/xl/media/image186.jpg" Id="Re83ec8dd35ea4fed" /><Relationship Type="http://schemas.openxmlformats.org/officeDocument/2006/relationships/image" Target="/xl/media/image187.jpg" Id="R7776e6ba137c4fbc" /><Relationship Type="http://schemas.openxmlformats.org/officeDocument/2006/relationships/image" Target="/xl/media/image188.jpg" Id="R6bd9939d9d9f4da6" /><Relationship Type="http://schemas.openxmlformats.org/officeDocument/2006/relationships/image" Target="/xl/media/image189.jpg" Id="Rd5121916951441ee" /><Relationship Type="http://schemas.openxmlformats.org/officeDocument/2006/relationships/image" Target="/xl/media/image190.jpg" Id="R4de5819a0ab8455c" /><Relationship Type="http://schemas.openxmlformats.org/officeDocument/2006/relationships/image" Target="/xl/media/image191.jpg" Id="Rb13a40e737944306" /><Relationship Type="http://schemas.openxmlformats.org/officeDocument/2006/relationships/image" Target="/xl/media/image192.jpg" Id="R07690b2dea5b4add" /><Relationship Type="http://schemas.openxmlformats.org/officeDocument/2006/relationships/image" Target="/xl/media/image193.jpg" Id="R9b634307dcfe4022" /><Relationship Type="http://schemas.openxmlformats.org/officeDocument/2006/relationships/image" Target="/xl/media/image194.jpg" Id="Rddcff63ae3e948e4" /><Relationship Type="http://schemas.openxmlformats.org/officeDocument/2006/relationships/image" Target="/xl/media/image195.jpg" Id="R086a5804b824479b" /><Relationship Type="http://schemas.openxmlformats.org/officeDocument/2006/relationships/image" Target="/xl/media/image196.jpg" Id="R53b9b540b61b488a" /><Relationship Type="http://schemas.openxmlformats.org/officeDocument/2006/relationships/image" Target="/xl/media/image197.jpg" Id="R30be3237f9e34537" /><Relationship Type="http://schemas.openxmlformats.org/officeDocument/2006/relationships/image" Target="/xl/media/image198.jpg" Id="R59a9048c4d404d3e" /><Relationship Type="http://schemas.openxmlformats.org/officeDocument/2006/relationships/image" Target="/xl/media/image199.jpg" Id="Re9ba6fd1941b4b52" /><Relationship Type="http://schemas.openxmlformats.org/officeDocument/2006/relationships/image" Target="/xl/media/image200.jpg" Id="R57362f1109e34af0" /><Relationship Type="http://schemas.openxmlformats.org/officeDocument/2006/relationships/image" Target="/xl/media/image201.jpg" Id="R35ffeacd298d4435" /><Relationship Type="http://schemas.openxmlformats.org/officeDocument/2006/relationships/image" Target="/xl/media/image202.jpg" Id="Rd12c4f65b8ae45d6" /><Relationship Type="http://schemas.openxmlformats.org/officeDocument/2006/relationships/image" Target="/xl/media/image203.jpg" Id="R87a7c6cafeab419f" /><Relationship Type="http://schemas.openxmlformats.org/officeDocument/2006/relationships/image" Target="/xl/media/image204.jpg" Id="R0800c3c30e414c2b" /><Relationship Type="http://schemas.openxmlformats.org/officeDocument/2006/relationships/image" Target="/xl/media/image205.jpg" Id="Ra8eceb3b59c14d2f" /><Relationship Type="http://schemas.openxmlformats.org/officeDocument/2006/relationships/image" Target="/xl/media/image206.jpg" Id="Reb4e2b4e691f4781" /><Relationship Type="http://schemas.openxmlformats.org/officeDocument/2006/relationships/image" Target="/xl/media/image207.jpg" Id="R72e3a5ce23ed4d31" /><Relationship Type="http://schemas.openxmlformats.org/officeDocument/2006/relationships/image" Target="/xl/media/image208.jpg" Id="Rd5e56a9b2c5744ab" /><Relationship Type="http://schemas.openxmlformats.org/officeDocument/2006/relationships/image" Target="/xl/media/image209.jpg" Id="R41370fc323e94e5a" /><Relationship Type="http://schemas.openxmlformats.org/officeDocument/2006/relationships/image" Target="/xl/media/image210.jpg" Id="Rf838a2dfb209441e" /><Relationship Type="http://schemas.openxmlformats.org/officeDocument/2006/relationships/image" Target="/xl/media/image211.jpg" Id="Rdf4396276bd3460c" /><Relationship Type="http://schemas.openxmlformats.org/officeDocument/2006/relationships/image" Target="/xl/media/image212.jpg" Id="R323de68a3d8d423d" /><Relationship Type="http://schemas.openxmlformats.org/officeDocument/2006/relationships/image" Target="/xl/media/image213.jpg" Id="R2d6f70eadf5347cc" /><Relationship Type="http://schemas.openxmlformats.org/officeDocument/2006/relationships/image" Target="/xl/media/image214.jpg" Id="R4b4f51db2ca94388" /><Relationship Type="http://schemas.openxmlformats.org/officeDocument/2006/relationships/image" Target="/xl/media/image215.jpg" Id="R00041c05578b44cc" /><Relationship Type="http://schemas.openxmlformats.org/officeDocument/2006/relationships/image" Target="/xl/media/image216.jpg" Id="R6560369bfefe4389" /><Relationship Type="http://schemas.openxmlformats.org/officeDocument/2006/relationships/image" Target="/xl/media/image217.jpg" Id="R0ff71a451f0d4951" /><Relationship Type="http://schemas.openxmlformats.org/officeDocument/2006/relationships/image" Target="/xl/media/image218.jpg" Id="R2373e4510ca4489f" /><Relationship Type="http://schemas.openxmlformats.org/officeDocument/2006/relationships/image" Target="/xl/media/image219.jpg" Id="R2e5e4f3ba6284ba3" /><Relationship Type="http://schemas.openxmlformats.org/officeDocument/2006/relationships/image" Target="/xl/media/image220.jpg" Id="Ra21e7bfef8654faa" /><Relationship Type="http://schemas.openxmlformats.org/officeDocument/2006/relationships/image" Target="/xl/media/image221.jpg" Id="Rf45e0acba3ca4f12" /><Relationship Type="http://schemas.openxmlformats.org/officeDocument/2006/relationships/image" Target="/xl/media/image222.jpg" Id="R6b409893152045ad" /><Relationship Type="http://schemas.openxmlformats.org/officeDocument/2006/relationships/image" Target="/xl/media/image223.jpg" Id="Rb74477c8686c472c" /><Relationship Type="http://schemas.openxmlformats.org/officeDocument/2006/relationships/image" Target="/xl/media/image224.jpg" Id="R826f196817894674" /><Relationship Type="http://schemas.openxmlformats.org/officeDocument/2006/relationships/image" Target="/xl/media/image225.jpg" Id="R7e66598d4d6b43ff" /><Relationship Type="http://schemas.openxmlformats.org/officeDocument/2006/relationships/image" Target="/xl/media/image226.jpg" Id="R722ff97d71b44d45" /><Relationship Type="http://schemas.openxmlformats.org/officeDocument/2006/relationships/image" Target="/xl/media/image227.jpg" Id="Rb153b6606d9c41bf" /><Relationship Type="http://schemas.openxmlformats.org/officeDocument/2006/relationships/image" Target="/xl/media/image228.jpg" Id="Rfe744fd7749e4444" /><Relationship Type="http://schemas.openxmlformats.org/officeDocument/2006/relationships/image" Target="/xl/media/image229.jpg" Id="R64f4113c00fd4bb7" /><Relationship Type="http://schemas.openxmlformats.org/officeDocument/2006/relationships/image" Target="/xl/media/image230.jpg" Id="R61e9d8ebaf4e44ae" /><Relationship Type="http://schemas.openxmlformats.org/officeDocument/2006/relationships/image" Target="/xl/media/image231.jpg" Id="R942fa4648f8d4549" /><Relationship Type="http://schemas.openxmlformats.org/officeDocument/2006/relationships/image" Target="/xl/media/image232.jpg" Id="Rc97660623d064e1b" /><Relationship Type="http://schemas.openxmlformats.org/officeDocument/2006/relationships/image" Target="/xl/media/image233.jpg" Id="R27d013f1961c4325" /><Relationship Type="http://schemas.openxmlformats.org/officeDocument/2006/relationships/image" Target="/xl/media/image234.jpg" Id="Rb42a422d28bf46c4" /><Relationship Type="http://schemas.openxmlformats.org/officeDocument/2006/relationships/image" Target="/xl/media/image235.jpg" Id="R1db9a258b0b747d5" /><Relationship Type="http://schemas.openxmlformats.org/officeDocument/2006/relationships/image" Target="/xl/media/image236.jpg" Id="R57a19e9af4a6467b" /><Relationship Type="http://schemas.openxmlformats.org/officeDocument/2006/relationships/image" Target="/xl/media/image237.jpg" Id="R0ab64746f0a44c99" /><Relationship Type="http://schemas.openxmlformats.org/officeDocument/2006/relationships/image" Target="/xl/media/image238.jpg" Id="R2fc08487dd1e4e0d" /><Relationship Type="http://schemas.openxmlformats.org/officeDocument/2006/relationships/image" Target="/xl/media/image239.jpg" Id="R0d78d0aa46874324" /><Relationship Type="http://schemas.openxmlformats.org/officeDocument/2006/relationships/image" Target="/xl/media/image240.jpg" Id="R08a2216b0a2a4b93" /><Relationship Type="http://schemas.openxmlformats.org/officeDocument/2006/relationships/image" Target="/xl/media/image241.jpg" Id="R659075df26c3407c" /><Relationship Type="http://schemas.openxmlformats.org/officeDocument/2006/relationships/image" Target="/xl/media/image242.jpg" Id="R3fb689ec4d774659" /><Relationship Type="http://schemas.openxmlformats.org/officeDocument/2006/relationships/image" Target="/xl/media/image243.jpg" Id="R859a2fbe620f496b" /><Relationship Type="http://schemas.openxmlformats.org/officeDocument/2006/relationships/image" Target="/xl/media/image244.jpg" Id="Rcaa5c3a626704f0f" /><Relationship Type="http://schemas.openxmlformats.org/officeDocument/2006/relationships/image" Target="/xl/media/image245.jpg" Id="Rc3f24448970d40e4" /><Relationship Type="http://schemas.openxmlformats.org/officeDocument/2006/relationships/image" Target="/xl/media/image246.jpg" Id="R2b6108b5f80946bb" /><Relationship Type="http://schemas.openxmlformats.org/officeDocument/2006/relationships/image" Target="/xl/media/image247.jpg" Id="R0d52a979f9c94ef3" /><Relationship Type="http://schemas.openxmlformats.org/officeDocument/2006/relationships/image" Target="/xl/media/image248.jpg" Id="R5bc0dc958aa7486b" /><Relationship Type="http://schemas.openxmlformats.org/officeDocument/2006/relationships/image" Target="/xl/media/image249.jpg" Id="Rd1db177c9db047bb" /><Relationship Type="http://schemas.openxmlformats.org/officeDocument/2006/relationships/image" Target="/xl/media/image250.jpg" Id="R4ad19bf239df409e" /><Relationship Type="http://schemas.openxmlformats.org/officeDocument/2006/relationships/image" Target="/xl/media/image251.jpg" Id="R558ba4e9851e4aff" /><Relationship Type="http://schemas.openxmlformats.org/officeDocument/2006/relationships/image" Target="/xl/media/image252.jpg" Id="R59d54a32c81d4531" /><Relationship Type="http://schemas.openxmlformats.org/officeDocument/2006/relationships/image" Target="/xl/media/image253.jpg" Id="Rd22d214ea2a742d0" /><Relationship Type="http://schemas.openxmlformats.org/officeDocument/2006/relationships/image" Target="/xl/media/image254.jpg" Id="R09ed470564624856" /><Relationship Type="http://schemas.openxmlformats.org/officeDocument/2006/relationships/image" Target="/xl/media/image255.jpg" Id="R1c22146042b54232" /><Relationship Type="http://schemas.openxmlformats.org/officeDocument/2006/relationships/image" Target="/xl/media/image256.jpg" Id="Rc76e5c33fedb4211" /><Relationship Type="http://schemas.openxmlformats.org/officeDocument/2006/relationships/image" Target="/xl/media/image257.jpg" Id="R12329b64a0994911" /><Relationship Type="http://schemas.openxmlformats.org/officeDocument/2006/relationships/image" Target="/xl/media/image258.jpg" Id="R62507560affb48ba" /><Relationship Type="http://schemas.openxmlformats.org/officeDocument/2006/relationships/image" Target="/xl/media/image259.jpg" Id="R16436d7fc4d04b43" /><Relationship Type="http://schemas.openxmlformats.org/officeDocument/2006/relationships/image" Target="/xl/media/image260.jpg" Id="R7f88000c42aa407f" /><Relationship Type="http://schemas.openxmlformats.org/officeDocument/2006/relationships/image" Target="/xl/media/image261.jpg" Id="Rcd5d0fc80beb45c3" /><Relationship Type="http://schemas.openxmlformats.org/officeDocument/2006/relationships/image" Target="/xl/media/image262.jpg" Id="R1700637119a44a7d" /><Relationship Type="http://schemas.openxmlformats.org/officeDocument/2006/relationships/image" Target="/xl/media/image263.jpg" Id="Rab32eb00916f4968" /><Relationship Type="http://schemas.openxmlformats.org/officeDocument/2006/relationships/image" Target="/xl/media/image264.jpg" Id="Rc079e7e201894709" /><Relationship Type="http://schemas.openxmlformats.org/officeDocument/2006/relationships/image" Target="/xl/media/image265.jpg" Id="R774721a171024d92" /><Relationship Type="http://schemas.openxmlformats.org/officeDocument/2006/relationships/image" Target="/xl/media/image266.jpg" Id="R6fda8c87c7e94b16" /><Relationship Type="http://schemas.openxmlformats.org/officeDocument/2006/relationships/image" Target="/xl/media/image267.jpg" Id="R0295caa7d8d84eb0" /><Relationship Type="http://schemas.openxmlformats.org/officeDocument/2006/relationships/image" Target="/xl/media/image268.jpg" Id="R05b36ee98eba4c8c" /><Relationship Type="http://schemas.openxmlformats.org/officeDocument/2006/relationships/image" Target="/xl/media/image269.jpg" Id="Re20e06a3117e436f" /><Relationship Type="http://schemas.openxmlformats.org/officeDocument/2006/relationships/image" Target="/xl/media/image270.jpg" Id="Rdc9fd34c9e0943b8" /><Relationship Type="http://schemas.openxmlformats.org/officeDocument/2006/relationships/image" Target="/xl/media/image271.jpg" Id="R5c4cb49231624dc1" /><Relationship Type="http://schemas.openxmlformats.org/officeDocument/2006/relationships/image" Target="/xl/media/image272.jpg" Id="R4deb8573bbd1429e" /><Relationship Type="http://schemas.openxmlformats.org/officeDocument/2006/relationships/image" Target="/xl/media/image273.jpg" Id="Rf0513029728f4da3" /><Relationship Type="http://schemas.openxmlformats.org/officeDocument/2006/relationships/image" Target="/xl/media/image274.jpg" Id="R479b4e1aafa84ec2" /><Relationship Type="http://schemas.openxmlformats.org/officeDocument/2006/relationships/image" Target="/xl/media/image275.jpg" Id="R1f5170689fa249f6" /><Relationship Type="http://schemas.openxmlformats.org/officeDocument/2006/relationships/image" Target="/xl/media/image276.jpg" Id="R40abef212388477a" /><Relationship Type="http://schemas.openxmlformats.org/officeDocument/2006/relationships/image" Target="/xl/media/image277.jpg" Id="R0e2d499bec5b4937" /><Relationship Type="http://schemas.openxmlformats.org/officeDocument/2006/relationships/image" Target="/xl/media/image278.jpg" Id="R0d9008a148644eea" /><Relationship Type="http://schemas.openxmlformats.org/officeDocument/2006/relationships/image" Target="/xl/media/image279.jpg" Id="R6988dc11948542ba" /><Relationship Type="http://schemas.openxmlformats.org/officeDocument/2006/relationships/image" Target="/xl/media/image280.jpg" Id="Rd4aae66cc77c4630" /><Relationship Type="http://schemas.openxmlformats.org/officeDocument/2006/relationships/image" Target="/xl/media/image281.jpg" Id="R299d68a3c2b04291" /><Relationship Type="http://schemas.openxmlformats.org/officeDocument/2006/relationships/image" Target="/xl/media/image282.jpg" Id="R35eb2d8cd4f64afa" /><Relationship Type="http://schemas.openxmlformats.org/officeDocument/2006/relationships/image" Target="/xl/media/image283.jpg" Id="R830de0fbcc494ead" /><Relationship Type="http://schemas.openxmlformats.org/officeDocument/2006/relationships/image" Target="/xl/media/image284.jpg" Id="R8740bd76e5684606" /><Relationship Type="http://schemas.openxmlformats.org/officeDocument/2006/relationships/image" Target="/xl/media/image285.jpg" Id="Rbe4987766f0e4e7c" /><Relationship Type="http://schemas.openxmlformats.org/officeDocument/2006/relationships/image" Target="/xl/media/image286.jpg" Id="R8e845ab371b743c3" /><Relationship Type="http://schemas.openxmlformats.org/officeDocument/2006/relationships/image" Target="/xl/media/image287.jpg" Id="Raac407747ede4e15" /><Relationship Type="http://schemas.openxmlformats.org/officeDocument/2006/relationships/image" Target="/xl/media/image288.jpg" Id="R82a2e210458e4ff7" /><Relationship Type="http://schemas.openxmlformats.org/officeDocument/2006/relationships/image" Target="/xl/media/image289.jpg" Id="R89de099d5cf6457e" /><Relationship Type="http://schemas.openxmlformats.org/officeDocument/2006/relationships/image" Target="/xl/media/image290.jpg" Id="R39586180407c4463" /><Relationship Type="http://schemas.openxmlformats.org/officeDocument/2006/relationships/image" Target="/xl/media/image291.jpg" Id="Rb490790d4729452a" /><Relationship Type="http://schemas.openxmlformats.org/officeDocument/2006/relationships/image" Target="/xl/media/image292.jpg" Id="Rf58b02c7d15f4ac0" /><Relationship Type="http://schemas.openxmlformats.org/officeDocument/2006/relationships/image" Target="/xl/media/image293.jpg" Id="R6e82f82745a04eca" /><Relationship Type="http://schemas.openxmlformats.org/officeDocument/2006/relationships/image" Target="/xl/media/image294.jpg" Id="R4904a5a941944f9d" /><Relationship Type="http://schemas.openxmlformats.org/officeDocument/2006/relationships/image" Target="/xl/media/image295.jpg" Id="Rcf484f342b7c4fc6" /><Relationship Type="http://schemas.openxmlformats.org/officeDocument/2006/relationships/image" Target="/xl/media/image296.jpg" Id="R2229ec66233b43a8" /><Relationship Type="http://schemas.openxmlformats.org/officeDocument/2006/relationships/image" Target="/xl/media/image297.jpg" Id="R4f1dbbaa02614274" /><Relationship Type="http://schemas.openxmlformats.org/officeDocument/2006/relationships/image" Target="/xl/media/image298.jpg" Id="Rfa10c96827984882" /><Relationship Type="http://schemas.openxmlformats.org/officeDocument/2006/relationships/image" Target="/xl/media/image299.jpg" Id="R77f410bbcd844929" /><Relationship Type="http://schemas.openxmlformats.org/officeDocument/2006/relationships/image" Target="/xl/media/image300.jpg" Id="Re868bfb0ffa84646" /><Relationship Type="http://schemas.openxmlformats.org/officeDocument/2006/relationships/image" Target="/xl/media/image301.jpg" Id="R1c9936c617444654" /><Relationship Type="http://schemas.openxmlformats.org/officeDocument/2006/relationships/image" Target="/xl/media/image302.jpg" Id="R5b54961014724ba6" /><Relationship Type="http://schemas.openxmlformats.org/officeDocument/2006/relationships/image" Target="/xl/media/image303.jpg" Id="R71e112cc4a2847c3" /><Relationship Type="http://schemas.openxmlformats.org/officeDocument/2006/relationships/image" Target="/xl/media/image304.jpg" Id="R92dcba02a095486e" /><Relationship Type="http://schemas.openxmlformats.org/officeDocument/2006/relationships/image" Target="/xl/media/image305.jpg" Id="Rb20fbb28d3274315" /><Relationship Type="http://schemas.openxmlformats.org/officeDocument/2006/relationships/image" Target="/xl/media/image306.jpg" Id="R7798e2d4de444544" /><Relationship Type="http://schemas.openxmlformats.org/officeDocument/2006/relationships/image" Target="/xl/media/image307.jpg" Id="R0d3d3926310b4baf" /><Relationship Type="http://schemas.openxmlformats.org/officeDocument/2006/relationships/image" Target="/xl/media/image308.jpg" Id="R772f381033294d07" /><Relationship Type="http://schemas.openxmlformats.org/officeDocument/2006/relationships/image" Target="/xl/media/image309.jpg" Id="R5c0815f369cf4173" /><Relationship Type="http://schemas.openxmlformats.org/officeDocument/2006/relationships/image" Target="/xl/media/image310.jpg" Id="Rd99da93f10474a69" /><Relationship Type="http://schemas.openxmlformats.org/officeDocument/2006/relationships/image" Target="/xl/media/image311.jpg" Id="R3c51a20fa2cc4b2e" /><Relationship Type="http://schemas.openxmlformats.org/officeDocument/2006/relationships/image" Target="/xl/media/image312.jpg" Id="Rf6750ef02a414ae3" /><Relationship Type="http://schemas.openxmlformats.org/officeDocument/2006/relationships/image" Target="/xl/media/image313.jpg" Id="R8b34a410d4ed4ac9" /><Relationship Type="http://schemas.openxmlformats.org/officeDocument/2006/relationships/image" Target="/xl/media/image314.jpg" Id="R223212fe924e46a3" /><Relationship Type="http://schemas.openxmlformats.org/officeDocument/2006/relationships/image" Target="/xl/media/image315.jpg" Id="R4d4811c3837343a6" /><Relationship Type="http://schemas.openxmlformats.org/officeDocument/2006/relationships/image" Target="/xl/media/image316.jpg" Id="Rb2a80da5942e4a69" /><Relationship Type="http://schemas.openxmlformats.org/officeDocument/2006/relationships/image" Target="/xl/media/image317.jpg" Id="R2c3529f4efd94c9a" /><Relationship Type="http://schemas.openxmlformats.org/officeDocument/2006/relationships/image" Target="/xl/media/image318.jpg" Id="R9d0368e28ddb4844" /><Relationship Type="http://schemas.openxmlformats.org/officeDocument/2006/relationships/image" Target="/xl/media/image319.jpg" Id="Rc5c4762cbafb4ce9" /><Relationship Type="http://schemas.openxmlformats.org/officeDocument/2006/relationships/image" Target="/xl/media/image320.jpg" Id="R54729457e77b46a4" /><Relationship Type="http://schemas.openxmlformats.org/officeDocument/2006/relationships/image" Target="/xl/media/image321.jpg" Id="R2935529c83e34f1b" /><Relationship Type="http://schemas.openxmlformats.org/officeDocument/2006/relationships/image" Target="/xl/media/image322.jpg" Id="R57c745e2ffd644f1" /><Relationship Type="http://schemas.openxmlformats.org/officeDocument/2006/relationships/image" Target="/xl/media/image323.jpg" Id="R4deac9d79f464d69" /><Relationship Type="http://schemas.openxmlformats.org/officeDocument/2006/relationships/image" Target="/xl/media/image324.jpg" Id="Ra8f73831a3b94476" /><Relationship Type="http://schemas.openxmlformats.org/officeDocument/2006/relationships/image" Target="/xl/media/image325.jpg" Id="R99f9e7ba17224ff8" /><Relationship Type="http://schemas.openxmlformats.org/officeDocument/2006/relationships/image" Target="/xl/media/image326.jpg" Id="R0de7af1ffa724e02" /><Relationship Type="http://schemas.openxmlformats.org/officeDocument/2006/relationships/image" Target="/xl/media/image327.jpg" Id="Rac679257194c48b1" /><Relationship Type="http://schemas.openxmlformats.org/officeDocument/2006/relationships/image" Target="/xl/media/image328.jpg" Id="R0ba0a93d15d44c6e" /><Relationship Type="http://schemas.openxmlformats.org/officeDocument/2006/relationships/image" Target="/xl/media/image329.jpg" Id="R548292a485a04c3b" /><Relationship Type="http://schemas.openxmlformats.org/officeDocument/2006/relationships/image" Target="/xl/media/image330.jpg" Id="Rcf50893d8dbb4925" /><Relationship Type="http://schemas.openxmlformats.org/officeDocument/2006/relationships/image" Target="/xl/media/image331.jpg" Id="R699fbb58fe894f65" /><Relationship Type="http://schemas.openxmlformats.org/officeDocument/2006/relationships/image" Target="/xl/media/image332.jpg" Id="R3efb2b2c287948d9" /><Relationship Type="http://schemas.openxmlformats.org/officeDocument/2006/relationships/image" Target="/xl/media/image333.jpg" Id="R637842ab7f694206" /><Relationship Type="http://schemas.openxmlformats.org/officeDocument/2006/relationships/image" Target="/xl/media/image334.jpg" Id="R6d523e3436574f14" /><Relationship Type="http://schemas.openxmlformats.org/officeDocument/2006/relationships/image" Target="/xl/media/image335.jpg" Id="R1d5e63c79b3b4c2e" /><Relationship Type="http://schemas.openxmlformats.org/officeDocument/2006/relationships/image" Target="/xl/media/image336.jpg" Id="R2c2a25895c6f4def" /><Relationship Type="http://schemas.openxmlformats.org/officeDocument/2006/relationships/image" Target="/xl/media/image337.jpg" Id="Re7a49fffd4f143fa" /><Relationship Type="http://schemas.openxmlformats.org/officeDocument/2006/relationships/image" Target="/xl/media/image338.jpg" Id="Rab4e26671a4046b0" /><Relationship Type="http://schemas.openxmlformats.org/officeDocument/2006/relationships/image" Target="/xl/media/image339.jpg" Id="R6a44b27aab9341e5" /><Relationship Type="http://schemas.openxmlformats.org/officeDocument/2006/relationships/image" Target="/xl/media/image340.jpg" Id="Rdddf49b56c0d42fe" /><Relationship Type="http://schemas.openxmlformats.org/officeDocument/2006/relationships/image" Target="/xl/media/image341.jpg" Id="R88800e2139dd4875" /><Relationship Type="http://schemas.openxmlformats.org/officeDocument/2006/relationships/image" Target="/xl/media/image342.jpg" Id="R8b1df53f2f174d05" /><Relationship Type="http://schemas.openxmlformats.org/officeDocument/2006/relationships/image" Target="/xl/media/image343.jpg" Id="Rca112911e41b4b38" /><Relationship Type="http://schemas.openxmlformats.org/officeDocument/2006/relationships/image" Target="/xl/media/image344.jpg" Id="Ra7632793d7c948c8" /><Relationship Type="http://schemas.openxmlformats.org/officeDocument/2006/relationships/image" Target="/xl/media/image345.jpg" Id="R8725d20cfc994d8e" /><Relationship Type="http://schemas.openxmlformats.org/officeDocument/2006/relationships/image" Target="/xl/media/image346.jpg" Id="R715045bcf0804c96" /><Relationship Type="http://schemas.openxmlformats.org/officeDocument/2006/relationships/image" Target="/xl/media/image347.jpg" Id="Rc4737a8822044863" /><Relationship Type="http://schemas.openxmlformats.org/officeDocument/2006/relationships/image" Target="/xl/media/image348.jpg" Id="R93dfec44007f402d" /><Relationship Type="http://schemas.openxmlformats.org/officeDocument/2006/relationships/image" Target="/xl/media/image349.jpg" Id="R0e1ac736175649bc" /><Relationship Type="http://schemas.openxmlformats.org/officeDocument/2006/relationships/image" Target="/xl/media/image350.jpg" Id="R37a5720bd1c14ea1" /><Relationship Type="http://schemas.openxmlformats.org/officeDocument/2006/relationships/image" Target="/xl/media/image351.jpg" Id="R3209c42afff14cea" /><Relationship Type="http://schemas.openxmlformats.org/officeDocument/2006/relationships/image" Target="/xl/media/image352.jpg" Id="R5962521ba87644c1" /><Relationship Type="http://schemas.openxmlformats.org/officeDocument/2006/relationships/image" Target="/xl/media/image353.jpg" Id="Rcb9d8096d0bf4e6a" /><Relationship Type="http://schemas.openxmlformats.org/officeDocument/2006/relationships/image" Target="/xl/media/image354.jpg" Id="R0cc0abd6c16b4242" /><Relationship Type="http://schemas.openxmlformats.org/officeDocument/2006/relationships/image" Target="/xl/media/image355.jpg" Id="R5b4e77ff59b5473f" /><Relationship Type="http://schemas.openxmlformats.org/officeDocument/2006/relationships/image" Target="/xl/media/image356.jpg" Id="R9a2ea8d27d9b48d8" /><Relationship Type="http://schemas.openxmlformats.org/officeDocument/2006/relationships/image" Target="/xl/media/image357.jpg" Id="Rb48b7ac48e1e4719" /><Relationship Type="http://schemas.openxmlformats.org/officeDocument/2006/relationships/image" Target="/xl/media/image358.jpg" Id="Rbc269fd869704555" /><Relationship Type="http://schemas.openxmlformats.org/officeDocument/2006/relationships/image" Target="/xl/media/image359.jpg" Id="R056fa1590c094336" /><Relationship Type="http://schemas.openxmlformats.org/officeDocument/2006/relationships/image" Target="/xl/media/image360.jpg" Id="R43b2543846244d24" /><Relationship Type="http://schemas.openxmlformats.org/officeDocument/2006/relationships/image" Target="/xl/media/image361.jpg" Id="Rf3a55e3f16114438" /><Relationship Type="http://schemas.openxmlformats.org/officeDocument/2006/relationships/image" Target="/xl/media/image362.jpg" Id="Rec29541e21cb49ba" /><Relationship Type="http://schemas.openxmlformats.org/officeDocument/2006/relationships/image" Target="/xl/media/image363.jpg" Id="Re01d9db09cf74b52" /><Relationship Type="http://schemas.openxmlformats.org/officeDocument/2006/relationships/image" Target="/xl/media/image364.jpg" Id="R1a37fd0f96a24aa6" /><Relationship Type="http://schemas.openxmlformats.org/officeDocument/2006/relationships/image" Target="/xl/media/image365.jpg" Id="R84aeb377b295421c" /><Relationship Type="http://schemas.openxmlformats.org/officeDocument/2006/relationships/image" Target="/xl/media/image366.jpg" Id="R63ff86ef88534be8" /><Relationship Type="http://schemas.openxmlformats.org/officeDocument/2006/relationships/image" Target="/xl/media/image367.jpg" Id="Rf68809b874be466d" /><Relationship Type="http://schemas.openxmlformats.org/officeDocument/2006/relationships/image" Target="/xl/media/image368.jpg" Id="R159ee9325020472d" /><Relationship Type="http://schemas.openxmlformats.org/officeDocument/2006/relationships/image" Target="/xl/media/image369.jpg" Id="Rfc6834fa91e04b77" /><Relationship Type="http://schemas.openxmlformats.org/officeDocument/2006/relationships/image" Target="/xl/media/image370.jpg" Id="Rca621c57ce5a4784" /><Relationship Type="http://schemas.openxmlformats.org/officeDocument/2006/relationships/image" Target="/xl/media/image371.jpg" Id="Re9ed041de3b447a1" /><Relationship Type="http://schemas.openxmlformats.org/officeDocument/2006/relationships/image" Target="/xl/media/image372.jpg" Id="Re2eff41ed0de40e5" /><Relationship Type="http://schemas.openxmlformats.org/officeDocument/2006/relationships/image" Target="/xl/media/image373.jpg" Id="R813901a0a9744ed3" /><Relationship Type="http://schemas.openxmlformats.org/officeDocument/2006/relationships/image" Target="/xl/media/image374.jpg" Id="R4aebcb1b589d47fd" /><Relationship Type="http://schemas.openxmlformats.org/officeDocument/2006/relationships/image" Target="/xl/media/image375.jpg" Id="R250e835aaec94486" /><Relationship Type="http://schemas.openxmlformats.org/officeDocument/2006/relationships/image" Target="/xl/media/image376.jpg" Id="Rde0f8b20f0494335" /><Relationship Type="http://schemas.openxmlformats.org/officeDocument/2006/relationships/image" Target="/xl/media/image377.jpg" Id="R1a00fd6300fe4006" /><Relationship Type="http://schemas.openxmlformats.org/officeDocument/2006/relationships/image" Target="/xl/media/image378.jpg" Id="Raa407cdb5ff64543" /><Relationship Type="http://schemas.openxmlformats.org/officeDocument/2006/relationships/image" Target="/xl/media/image379.jpg" Id="R87f8849cc3cc4560" /><Relationship Type="http://schemas.openxmlformats.org/officeDocument/2006/relationships/image" Target="/xl/media/image380.jpg" Id="R795eb72b5fe145e3" /><Relationship Type="http://schemas.openxmlformats.org/officeDocument/2006/relationships/image" Target="/xl/media/image381.jpg" Id="Rf8db0a005af54eb6" /><Relationship Type="http://schemas.openxmlformats.org/officeDocument/2006/relationships/image" Target="/xl/media/image382.jpg" Id="R154032812d4841d3" /><Relationship Type="http://schemas.openxmlformats.org/officeDocument/2006/relationships/image" Target="/xl/media/image383.jpg" Id="Rc7e5be32f6404488" /><Relationship Type="http://schemas.openxmlformats.org/officeDocument/2006/relationships/image" Target="/xl/media/image384.jpg" Id="Rc1e67e837d7849df" /><Relationship Type="http://schemas.openxmlformats.org/officeDocument/2006/relationships/image" Target="/xl/media/image385.jpg" Id="Rbc02d6d57dfa4fd8" /><Relationship Type="http://schemas.openxmlformats.org/officeDocument/2006/relationships/image" Target="/xl/media/image386.jpg" Id="R441720ee5ac94b07" /><Relationship Type="http://schemas.openxmlformats.org/officeDocument/2006/relationships/image" Target="/xl/media/image387.jpg" Id="R9fc1ae8f12e744eb" /><Relationship Type="http://schemas.openxmlformats.org/officeDocument/2006/relationships/image" Target="/xl/media/image388.jpg" Id="R249de1c6401f41ec" /><Relationship Type="http://schemas.openxmlformats.org/officeDocument/2006/relationships/image" Target="/xl/media/image389.jpg" Id="Rcdee9108f5034af4" /><Relationship Type="http://schemas.openxmlformats.org/officeDocument/2006/relationships/image" Target="/xl/media/image390.jpg" Id="Rfb1de9e6b99f4ba1" /><Relationship Type="http://schemas.openxmlformats.org/officeDocument/2006/relationships/image" Target="/xl/media/image391.jpg" Id="Rad8aae46e264465e" /><Relationship Type="http://schemas.openxmlformats.org/officeDocument/2006/relationships/image" Target="/xl/media/image392.jpg" Id="Rf0a706646d884ddb" /><Relationship Type="http://schemas.openxmlformats.org/officeDocument/2006/relationships/image" Target="/xl/media/image393.jpg" Id="R8626d503c0694009" /><Relationship Type="http://schemas.openxmlformats.org/officeDocument/2006/relationships/image" Target="/xl/media/image394.jpg" Id="Raa78913705f44042" /><Relationship Type="http://schemas.openxmlformats.org/officeDocument/2006/relationships/image" Target="/xl/media/image395.jpg" Id="Rde4beb4e2dfb41ed" /><Relationship Type="http://schemas.openxmlformats.org/officeDocument/2006/relationships/image" Target="/xl/media/image396.jpg" Id="R297e75bc0bba4ff2" /><Relationship Type="http://schemas.openxmlformats.org/officeDocument/2006/relationships/image" Target="/xl/media/image397.jpg" Id="R94d170d78c324a61" /><Relationship Type="http://schemas.openxmlformats.org/officeDocument/2006/relationships/image" Target="/xl/media/image398.jpg" Id="R286f29138c6e45c8" /><Relationship Type="http://schemas.openxmlformats.org/officeDocument/2006/relationships/image" Target="/xl/media/image399.jpg" Id="R9b9f21dc57d74ceb" /><Relationship Type="http://schemas.openxmlformats.org/officeDocument/2006/relationships/image" Target="/xl/media/image400.jpg" Id="Rac021dd33b5449fe" /><Relationship Type="http://schemas.openxmlformats.org/officeDocument/2006/relationships/image" Target="/xl/media/image401.jpg" Id="Rbcd15f5039924b27" /><Relationship Type="http://schemas.openxmlformats.org/officeDocument/2006/relationships/image" Target="/xl/media/image402.jpg" Id="R6dad41d80c764b79" /><Relationship Type="http://schemas.openxmlformats.org/officeDocument/2006/relationships/image" Target="/xl/media/image403.jpg" Id="Rc9a12d6b965041f3" /><Relationship Type="http://schemas.openxmlformats.org/officeDocument/2006/relationships/image" Target="/xl/media/image404.jpg" Id="Rb1dadb0b42984c73" /><Relationship Type="http://schemas.openxmlformats.org/officeDocument/2006/relationships/image" Target="/xl/media/image405.jpg" Id="Rf944c4bf85a74e3a" /><Relationship Type="http://schemas.openxmlformats.org/officeDocument/2006/relationships/image" Target="/xl/media/image406.jpg" Id="R9bd52293f61a4ad9" /><Relationship Type="http://schemas.openxmlformats.org/officeDocument/2006/relationships/image" Target="/xl/media/image407.jpg" Id="R3ee380de19314eb0" /><Relationship Type="http://schemas.openxmlformats.org/officeDocument/2006/relationships/image" Target="/xl/media/image408.jpg" Id="Rd7db36f979a245f1" /><Relationship Type="http://schemas.openxmlformats.org/officeDocument/2006/relationships/image" Target="/xl/media/image409.jpg" Id="R37d408cf4635453e" /><Relationship Type="http://schemas.openxmlformats.org/officeDocument/2006/relationships/image" Target="/xl/media/image410.jpg" Id="R7dfe27066bdf4f0c" /><Relationship Type="http://schemas.openxmlformats.org/officeDocument/2006/relationships/image" Target="/xl/media/image411.jpg" Id="Rb04e9d6c98c64aa1" /><Relationship Type="http://schemas.openxmlformats.org/officeDocument/2006/relationships/image" Target="/xl/media/image412.jpg" Id="Raf3337af1dee40fe" /><Relationship Type="http://schemas.openxmlformats.org/officeDocument/2006/relationships/image" Target="/xl/media/image413.jpg" Id="R11f79a9068484dfc" /><Relationship Type="http://schemas.openxmlformats.org/officeDocument/2006/relationships/image" Target="/xl/media/image414.jpg" Id="R1eabfb24fea94181" /><Relationship Type="http://schemas.openxmlformats.org/officeDocument/2006/relationships/image" Target="/xl/media/image415.jpg" Id="Re3766e74e3034079" /><Relationship Type="http://schemas.openxmlformats.org/officeDocument/2006/relationships/image" Target="/xl/media/image416.jpg" Id="Rd6ef46542e2c426e" /><Relationship Type="http://schemas.openxmlformats.org/officeDocument/2006/relationships/image" Target="/xl/media/image417.jpg" Id="Rb13a7bc1b4aa427b" /><Relationship Type="http://schemas.openxmlformats.org/officeDocument/2006/relationships/image" Target="/xl/media/image418.jpg" Id="R510c67c10a894450" /><Relationship Type="http://schemas.openxmlformats.org/officeDocument/2006/relationships/image" Target="/xl/media/image419.jpg" Id="Rc8052af30dc943b8" /><Relationship Type="http://schemas.openxmlformats.org/officeDocument/2006/relationships/image" Target="/xl/media/image420.jpg" Id="Rf958ca4d70274388" /><Relationship Type="http://schemas.openxmlformats.org/officeDocument/2006/relationships/image" Target="/xl/media/image421.jpg" Id="R4f2b7ebfc6db4f5d" /><Relationship Type="http://schemas.openxmlformats.org/officeDocument/2006/relationships/image" Target="/xl/media/image422.jpg" Id="R44f28214f0eb41a8" /><Relationship Type="http://schemas.openxmlformats.org/officeDocument/2006/relationships/image" Target="/xl/media/image423.jpg" Id="R682aeed5413948fe" /><Relationship Type="http://schemas.openxmlformats.org/officeDocument/2006/relationships/image" Target="/xl/media/image424.jpg" Id="Rda5f7eb3e69746f7" /><Relationship Type="http://schemas.openxmlformats.org/officeDocument/2006/relationships/image" Target="/xl/media/image425.jpg" Id="R5d84a0661be24990" /><Relationship Type="http://schemas.openxmlformats.org/officeDocument/2006/relationships/image" Target="/xl/media/image426.jpg" Id="R80e6d28d0b984b89" /><Relationship Type="http://schemas.openxmlformats.org/officeDocument/2006/relationships/image" Target="/xl/media/image427.jpg" Id="Rfb203c05bf0b499f" /><Relationship Type="http://schemas.openxmlformats.org/officeDocument/2006/relationships/image" Target="/xl/media/image428.jpg" Id="R204024ebc6ae4fb8" /><Relationship Type="http://schemas.openxmlformats.org/officeDocument/2006/relationships/image" Target="/xl/media/image429.jpg" Id="R0e82d81ed07c4d16" /><Relationship Type="http://schemas.openxmlformats.org/officeDocument/2006/relationships/image" Target="/xl/media/image430.jpg" Id="R2b3c060c66504ea5" /><Relationship Type="http://schemas.openxmlformats.org/officeDocument/2006/relationships/image" Target="/xl/media/image431.jpg" Id="R059cee1735454e5e" /><Relationship Type="http://schemas.openxmlformats.org/officeDocument/2006/relationships/image" Target="/xl/media/image432.jpg" Id="R4e5bfa2a2f644967" /><Relationship Type="http://schemas.openxmlformats.org/officeDocument/2006/relationships/image" Target="/xl/media/image433.jpg" Id="Ra0e1f5719ee842d2" /><Relationship Type="http://schemas.openxmlformats.org/officeDocument/2006/relationships/image" Target="/xl/media/image434.jpg" Id="R723fd4a335544fce" /><Relationship Type="http://schemas.openxmlformats.org/officeDocument/2006/relationships/image" Target="/xl/media/image435.jpg" Id="R87acf30fbf904ffc" /><Relationship Type="http://schemas.openxmlformats.org/officeDocument/2006/relationships/image" Target="/xl/media/image436.jpg" Id="R60b772e85ab4436f" /><Relationship Type="http://schemas.openxmlformats.org/officeDocument/2006/relationships/image" Target="/xl/media/image437.jpg" Id="Rf30a2fa603024526" /><Relationship Type="http://schemas.openxmlformats.org/officeDocument/2006/relationships/image" Target="/xl/media/image438.jpg" Id="R2c02063e910e418d" /><Relationship Type="http://schemas.openxmlformats.org/officeDocument/2006/relationships/image" Target="/xl/media/image439.jpg" Id="R1679f918531f456f" /><Relationship Type="http://schemas.openxmlformats.org/officeDocument/2006/relationships/image" Target="/xl/media/image440.jpg" Id="Rc2c7247994c24447" /><Relationship Type="http://schemas.openxmlformats.org/officeDocument/2006/relationships/image" Target="/xl/media/image441.jpg" Id="R924c19f684954f5b" /><Relationship Type="http://schemas.openxmlformats.org/officeDocument/2006/relationships/image" Target="/xl/media/image442.jpg" Id="Rfcaf2346409e4bbb" /><Relationship Type="http://schemas.openxmlformats.org/officeDocument/2006/relationships/image" Target="/xl/media/image443.jpg" Id="R3e705f2608b6476c" /><Relationship Type="http://schemas.openxmlformats.org/officeDocument/2006/relationships/image" Target="/xl/media/image444.jpg" Id="R41060014f2d84f9f" /><Relationship Type="http://schemas.openxmlformats.org/officeDocument/2006/relationships/image" Target="/xl/media/image445.jpg" Id="R188d952e374b43e8" /><Relationship Type="http://schemas.openxmlformats.org/officeDocument/2006/relationships/image" Target="/xl/media/image446.jpg" Id="Rfcb7bc53c3a04678" /><Relationship Type="http://schemas.openxmlformats.org/officeDocument/2006/relationships/image" Target="/xl/media/image447.jpg" Id="Rc3024226fd534bef" /><Relationship Type="http://schemas.openxmlformats.org/officeDocument/2006/relationships/image" Target="/xl/media/image448.jpg" Id="R1346f860cfeb4309" /><Relationship Type="http://schemas.openxmlformats.org/officeDocument/2006/relationships/image" Target="/xl/media/image449.jpg" Id="R2c778b4cb0a141b2" /><Relationship Type="http://schemas.openxmlformats.org/officeDocument/2006/relationships/image" Target="/xl/media/image450.jpg" Id="R7f8b288d2bcd44dc" /><Relationship Type="http://schemas.openxmlformats.org/officeDocument/2006/relationships/image" Target="/xl/media/image451.jpg" Id="R7104525eb2724d7c" /><Relationship Type="http://schemas.openxmlformats.org/officeDocument/2006/relationships/image" Target="/xl/media/image452.jpg" Id="R142f2ce866564aa5" /><Relationship Type="http://schemas.openxmlformats.org/officeDocument/2006/relationships/image" Target="/xl/media/image453.jpg" Id="R789eb2e0d636495e" /><Relationship Type="http://schemas.openxmlformats.org/officeDocument/2006/relationships/image" Target="/xl/media/image454.jpg" Id="R167106ce86af4377" /><Relationship Type="http://schemas.openxmlformats.org/officeDocument/2006/relationships/image" Target="/xl/media/image455.jpg" Id="R1c7fd47d6dda4ee7" /><Relationship Type="http://schemas.openxmlformats.org/officeDocument/2006/relationships/image" Target="/xl/media/image456.jpg" Id="R5790cd4cea7c4a08" /><Relationship Type="http://schemas.openxmlformats.org/officeDocument/2006/relationships/image" Target="/xl/media/image457.jpg" Id="R43107b27e92849af" /><Relationship Type="http://schemas.openxmlformats.org/officeDocument/2006/relationships/image" Target="/xl/media/image458.jpg" Id="R1afb27df82734150" /><Relationship Type="http://schemas.openxmlformats.org/officeDocument/2006/relationships/image" Target="/xl/media/image459.jpg" Id="Rf90c044af1b3404e" /><Relationship Type="http://schemas.openxmlformats.org/officeDocument/2006/relationships/image" Target="/xl/media/image460.jpg" Id="Rc5c0ae4d77954850" /><Relationship Type="http://schemas.openxmlformats.org/officeDocument/2006/relationships/image" Target="/xl/media/image461.jpg" Id="R8a4aa8d9b9c6410f" /><Relationship Type="http://schemas.openxmlformats.org/officeDocument/2006/relationships/image" Target="/xl/media/image462.jpg" Id="Ra9c87a170f9e49f9" /><Relationship Type="http://schemas.openxmlformats.org/officeDocument/2006/relationships/image" Target="/xl/media/image463.jpg" Id="Re251e3f7762f4eed" /><Relationship Type="http://schemas.openxmlformats.org/officeDocument/2006/relationships/image" Target="/xl/media/image464.jpg" Id="R1e4c66d6dfd04fb5" /><Relationship Type="http://schemas.openxmlformats.org/officeDocument/2006/relationships/image" Target="/xl/media/image465.jpg" Id="R3c852ddc49474ec5" /><Relationship Type="http://schemas.openxmlformats.org/officeDocument/2006/relationships/image" Target="/xl/media/image466.jpg" Id="Rba30417953db43f1" /><Relationship Type="http://schemas.openxmlformats.org/officeDocument/2006/relationships/image" Target="/xl/media/image467.jpg" Id="R0ec5a6cf2b334cc1" /><Relationship Type="http://schemas.openxmlformats.org/officeDocument/2006/relationships/image" Target="/xl/media/image468.jpg" Id="Rf4f85a679e884c4b" /><Relationship Type="http://schemas.openxmlformats.org/officeDocument/2006/relationships/image" Target="/xl/media/image469.jpg" Id="R0a0234cf96714bbd" /><Relationship Type="http://schemas.openxmlformats.org/officeDocument/2006/relationships/image" Target="/xl/media/image470.jpg" Id="R6fbc56dd3cce4a3f" /><Relationship Type="http://schemas.openxmlformats.org/officeDocument/2006/relationships/image" Target="/xl/media/image471.jpg" Id="R8f13af92487c41ac" /><Relationship Type="http://schemas.openxmlformats.org/officeDocument/2006/relationships/image" Target="/xl/media/image472.jpg" Id="R418ca2f9fef64fb5" /><Relationship Type="http://schemas.openxmlformats.org/officeDocument/2006/relationships/image" Target="/xl/media/image473.jpg" Id="R48a9d02101884a5d" /><Relationship Type="http://schemas.openxmlformats.org/officeDocument/2006/relationships/image" Target="/xl/media/image474.jpg" Id="Rac30590e8cbf4f29" /><Relationship Type="http://schemas.openxmlformats.org/officeDocument/2006/relationships/image" Target="/xl/media/image475.jpg" Id="R1c63fc7e2260488b" /><Relationship Type="http://schemas.openxmlformats.org/officeDocument/2006/relationships/image" Target="/xl/media/image476.jpg" Id="Rd00eaedaf9594042" /><Relationship Type="http://schemas.openxmlformats.org/officeDocument/2006/relationships/image" Target="/xl/media/image477.jpg" Id="Rcec7f2ed339e4240" /><Relationship Type="http://schemas.openxmlformats.org/officeDocument/2006/relationships/image" Target="/xl/media/image478.jpg" Id="R77b3f7e2da8345d2" /><Relationship Type="http://schemas.openxmlformats.org/officeDocument/2006/relationships/image" Target="/xl/media/image479.jpg" Id="R653ab6c80e284541" /><Relationship Type="http://schemas.openxmlformats.org/officeDocument/2006/relationships/image" Target="/xl/media/image480.jpg" Id="R0001f4190f464ccc" /><Relationship Type="http://schemas.openxmlformats.org/officeDocument/2006/relationships/image" Target="/xl/media/image481.jpg" Id="R0ffa9bdd468c4a2a" /><Relationship Type="http://schemas.openxmlformats.org/officeDocument/2006/relationships/image" Target="/xl/media/image482.jpg" Id="R9bf1a2f0e0664a43" /><Relationship Type="http://schemas.openxmlformats.org/officeDocument/2006/relationships/image" Target="/xl/media/image483.jpg" Id="R42791f30279b433d" /><Relationship Type="http://schemas.openxmlformats.org/officeDocument/2006/relationships/image" Target="/xl/media/image484.jpg" Id="R6ba584b43f514cfe" /><Relationship Type="http://schemas.openxmlformats.org/officeDocument/2006/relationships/image" Target="/xl/media/image485.jpg" Id="R2c87d9ef0ee44de6" /><Relationship Type="http://schemas.openxmlformats.org/officeDocument/2006/relationships/image" Target="/xl/media/image486.jpg" Id="R4fd970cde81f40b6" /><Relationship Type="http://schemas.openxmlformats.org/officeDocument/2006/relationships/image" Target="/xl/media/image487.jpg" Id="R06842595423c404d" /><Relationship Type="http://schemas.openxmlformats.org/officeDocument/2006/relationships/image" Target="/xl/media/image488.jpg" Id="Re6389c11abb44130" /><Relationship Type="http://schemas.openxmlformats.org/officeDocument/2006/relationships/image" Target="/xl/media/image489.jpg" Id="R424a02fab9304c11" /><Relationship Type="http://schemas.openxmlformats.org/officeDocument/2006/relationships/image" Target="/xl/media/image490.jpg" Id="Rb021560ac198472f" /><Relationship Type="http://schemas.openxmlformats.org/officeDocument/2006/relationships/image" Target="/xl/media/image491.jpg" Id="Rdc8082b2c6334586" /><Relationship Type="http://schemas.openxmlformats.org/officeDocument/2006/relationships/image" Target="/xl/media/image492.jpg" Id="R224efd700a264c9e" /><Relationship Type="http://schemas.openxmlformats.org/officeDocument/2006/relationships/image" Target="/xl/media/image493.jpg" Id="Rb7f43f372e604c25" /><Relationship Type="http://schemas.openxmlformats.org/officeDocument/2006/relationships/image" Target="/xl/media/image494.jpg" Id="R204a9c77606d4a70" /><Relationship Type="http://schemas.openxmlformats.org/officeDocument/2006/relationships/image" Target="/xl/media/image495.jpg" Id="R25546a1d69fd4d5c" /><Relationship Type="http://schemas.openxmlformats.org/officeDocument/2006/relationships/image" Target="/xl/media/image496.jpg" Id="R93c0cc1471e247b5" /><Relationship Type="http://schemas.openxmlformats.org/officeDocument/2006/relationships/image" Target="/xl/media/image497.jpg" Id="R42a1292cd05d462f" /><Relationship Type="http://schemas.openxmlformats.org/officeDocument/2006/relationships/image" Target="/xl/media/image498.jpg" Id="Rf61451c2b4614b92" /><Relationship Type="http://schemas.openxmlformats.org/officeDocument/2006/relationships/image" Target="/xl/media/image499.jpg" Id="R510e46e97ce74c12" /><Relationship Type="http://schemas.openxmlformats.org/officeDocument/2006/relationships/image" Target="/xl/media/image500.jpg" Id="R7292f741714d4348" /><Relationship Type="http://schemas.openxmlformats.org/officeDocument/2006/relationships/image" Target="/xl/media/image501.jpg" Id="Rbdd4ac7756a942a5" /><Relationship Type="http://schemas.openxmlformats.org/officeDocument/2006/relationships/image" Target="/xl/media/image502.jpg" Id="R38cfb944fe5847c1" /><Relationship Type="http://schemas.openxmlformats.org/officeDocument/2006/relationships/image" Target="/xl/media/image503.jpg" Id="Rb5c2d763fcd8472e" /><Relationship Type="http://schemas.openxmlformats.org/officeDocument/2006/relationships/image" Target="/xl/media/image504.jpg" Id="Raed4ba6233a04907" /><Relationship Type="http://schemas.openxmlformats.org/officeDocument/2006/relationships/image" Target="/xl/media/image505.jpg" Id="R0fef9a8022ca44c1" /><Relationship Type="http://schemas.openxmlformats.org/officeDocument/2006/relationships/image" Target="/xl/media/image506.jpg" Id="R993bf1eac01a41a0" /><Relationship Type="http://schemas.openxmlformats.org/officeDocument/2006/relationships/image" Target="/xl/media/image507.jpg" Id="Rab901246a5ab4f8e" /><Relationship Type="http://schemas.openxmlformats.org/officeDocument/2006/relationships/image" Target="/xl/media/image508.jpg" Id="R0dae3de81c7e436f" /><Relationship Type="http://schemas.openxmlformats.org/officeDocument/2006/relationships/image" Target="/xl/media/image509.jpg" Id="R405d2c381b9845f3" /><Relationship Type="http://schemas.openxmlformats.org/officeDocument/2006/relationships/image" Target="/xl/media/image510.jpg" Id="Rd26e17a70b52402d" /><Relationship Type="http://schemas.openxmlformats.org/officeDocument/2006/relationships/image" Target="/xl/media/image511.jpg" Id="R75855dbdaf564b92" /><Relationship Type="http://schemas.openxmlformats.org/officeDocument/2006/relationships/image" Target="/xl/media/image512.jpg" Id="R33e17c63b26b4cfd" /><Relationship Type="http://schemas.openxmlformats.org/officeDocument/2006/relationships/image" Target="/xl/media/image513.jpg" Id="Rbfd1bc11a7a44d22" /><Relationship Type="http://schemas.openxmlformats.org/officeDocument/2006/relationships/image" Target="/xl/media/image514.jpg" Id="R834aa0b695ed4fd9" /><Relationship Type="http://schemas.openxmlformats.org/officeDocument/2006/relationships/image" Target="/xl/media/image515.jpg" Id="R7c3a189c62194006" /><Relationship Type="http://schemas.openxmlformats.org/officeDocument/2006/relationships/image" Target="/xl/media/image516.jpg" Id="R2dda2f15b1f74b9d" /><Relationship Type="http://schemas.openxmlformats.org/officeDocument/2006/relationships/image" Target="/xl/media/image517.jpg" Id="Rdf15010e728c482e" /><Relationship Type="http://schemas.openxmlformats.org/officeDocument/2006/relationships/image" Target="/xl/media/image518.jpg" Id="Rb4228cd5cd8e46ce" /><Relationship Type="http://schemas.openxmlformats.org/officeDocument/2006/relationships/image" Target="/xl/media/image519.jpg" Id="R38e94277c2ce416c" /><Relationship Type="http://schemas.openxmlformats.org/officeDocument/2006/relationships/image" Target="/xl/media/image520.jpg" Id="Re057976cc9434e41" /><Relationship Type="http://schemas.openxmlformats.org/officeDocument/2006/relationships/image" Target="/xl/media/image521.jpg" Id="Rf58a40ec2ec14dbe" /><Relationship Type="http://schemas.openxmlformats.org/officeDocument/2006/relationships/image" Target="/xl/media/image522.jpg" Id="Ra8d1970d5bdc4be8" /><Relationship Type="http://schemas.openxmlformats.org/officeDocument/2006/relationships/image" Target="/xl/media/image523.jpg" Id="R08d526725e364610" /><Relationship Type="http://schemas.openxmlformats.org/officeDocument/2006/relationships/image" Target="/xl/media/image524.jpg" Id="R8fca1b9ab3db4cf1" /><Relationship Type="http://schemas.openxmlformats.org/officeDocument/2006/relationships/image" Target="/xl/media/image525.jpg" Id="R74753de78302472d" /><Relationship Type="http://schemas.openxmlformats.org/officeDocument/2006/relationships/image" Target="/xl/media/image526.jpg" Id="Rbec5f45db290427b" /><Relationship Type="http://schemas.openxmlformats.org/officeDocument/2006/relationships/image" Target="/xl/media/image527.jpg" Id="R58beee42458f4325" /><Relationship Type="http://schemas.openxmlformats.org/officeDocument/2006/relationships/image" Target="/xl/media/image528.jpg" Id="Rbceab658c4a24de4" /><Relationship Type="http://schemas.openxmlformats.org/officeDocument/2006/relationships/image" Target="/xl/media/image529.jpg" Id="R2df0e8fcec21403b" /><Relationship Type="http://schemas.openxmlformats.org/officeDocument/2006/relationships/image" Target="/xl/media/image530.jpg" Id="R072ec659ff664ecf" /><Relationship Type="http://schemas.openxmlformats.org/officeDocument/2006/relationships/image" Target="/xl/media/image531.jpg" Id="Rc89d4901d492477e" /><Relationship Type="http://schemas.openxmlformats.org/officeDocument/2006/relationships/image" Target="/xl/media/image532.jpg" Id="R046d6dc5459146db" /><Relationship Type="http://schemas.openxmlformats.org/officeDocument/2006/relationships/image" Target="/xl/media/image533.jpg" Id="R54e044ba19894ee5" /><Relationship Type="http://schemas.openxmlformats.org/officeDocument/2006/relationships/image" Target="/xl/media/image534.jpg" Id="Ra5a075df688d4f39" /><Relationship Type="http://schemas.openxmlformats.org/officeDocument/2006/relationships/image" Target="/xl/media/image535.jpg" Id="R3bb8748908e047a2" /><Relationship Type="http://schemas.openxmlformats.org/officeDocument/2006/relationships/image" Target="/xl/media/image536.jpg" Id="Rbe94ef29de684a12" /><Relationship Type="http://schemas.openxmlformats.org/officeDocument/2006/relationships/image" Target="/xl/media/image537.jpg" Id="R09cc024a059f4446" /><Relationship Type="http://schemas.openxmlformats.org/officeDocument/2006/relationships/image" Target="/xl/media/image538.jpg" Id="R6bd8e3ac845044b9" /><Relationship Type="http://schemas.openxmlformats.org/officeDocument/2006/relationships/image" Target="/xl/media/image539.jpg" Id="R778908db69d2447e" /><Relationship Type="http://schemas.openxmlformats.org/officeDocument/2006/relationships/image" Target="/xl/media/image540.jpg" Id="R12a942df78524a47" /><Relationship Type="http://schemas.openxmlformats.org/officeDocument/2006/relationships/image" Target="/xl/media/image541.jpg" Id="R5ca49dd5509f4e6f" /><Relationship Type="http://schemas.openxmlformats.org/officeDocument/2006/relationships/image" Target="/xl/media/image542.jpg" Id="R47c8c1dcd3a445fc" /><Relationship Type="http://schemas.openxmlformats.org/officeDocument/2006/relationships/image" Target="/xl/media/image543.jpg" Id="Re47dc8251aeb4e5b" /><Relationship Type="http://schemas.openxmlformats.org/officeDocument/2006/relationships/image" Target="/xl/media/image544.jpg" Id="R84ba059a86be47ab" /><Relationship Type="http://schemas.openxmlformats.org/officeDocument/2006/relationships/image" Target="/xl/media/image545.jpg" Id="R540795e4dfed4260" /><Relationship Type="http://schemas.openxmlformats.org/officeDocument/2006/relationships/image" Target="/xl/media/image546.jpg" Id="R89ae92417134447a" /><Relationship Type="http://schemas.openxmlformats.org/officeDocument/2006/relationships/image" Target="/xl/media/image547.jpg" Id="R38cc432a4d8241e4" /><Relationship Type="http://schemas.openxmlformats.org/officeDocument/2006/relationships/image" Target="/xl/media/image548.jpg" Id="Re4c581e7a64a4aee" /><Relationship Type="http://schemas.openxmlformats.org/officeDocument/2006/relationships/image" Target="/xl/media/image549.jpg" Id="R1102f35c33ae42f9" /><Relationship Type="http://schemas.openxmlformats.org/officeDocument/2006/relationships/image" Target="/xl/media/image550.jpg" Id="Re83d6865543c4edb" /><Relationship Type="http://schemas.openxmlformats.org/officeDocument/2006/relationships/image" Target="/xl/media/image551.jpg" Id="Rdb0edfc6b1ed4aaf" /><Relationship Type="http://schemas.openxmlformats.org/officeDocument/2006/relationships/image" Target="/xl/media/image552.jpg" Id="R8585aef44c194ffb" /><Relationship Type="http://schemas.openxmlformats.org/officeDocument/2006/relationships/image" Target="/xl/media/image553.jpg" Id="R0df40103910343e5" /><Relationship Type="http://schemas.openxmlformats.org/officeDocument/2006/relationships/image" Target="/xl/media/image554.jpg" Id="R52d06781c4014bda" /><Relationship Type="http://schemas.openxmlformats.org/officeDocument/2006/relationships/image" Target="/xl/media/image555.jpg" Id="R88369621fa52490b" /><Relationship Type="http://schemas.openxmlformats.org/officeDocument/2006/relationships/image" Target="/xl/media/image556.jpg" Id="R5b2c3875ee3c4856" /><Relationship Type="http://schemas.openxmlformats.org/officeDocument/2006/relationships/image" Target="/xl/media/image557.jpg" Id="R06368429f5774af3" /><Relationship Type="http://schemas.openxmlformats.org/officeDocument/2006/relationships/image" Target="/xl/media/image558.jpg" Id="Rcb14b759401d4d92" /><Relationship Type="http://schemas.openxmlformats.org/officeDocument/2006/relationships/image" Target="/xl/media/image559.jpg" Id="Rc4ebfe0240084862" /><Relationship Type="http://schemas.openxmlformats.org/officeDocument/2006/relationships/image" Target="/xl/media/image560.jpg" Id="R2dcbb5896046453d" /><Relationship Type="http://schemas.openxmlformats.org/officeDocument/2006/relationships/image" Target="/xl/media/image561.jpg" Id="Rb83d8624569743d6" /><Relationship Type="http://schemas.openxmlformats.org/officeDocument/2006/relationships/image" Target="/xl/media/image562.jpg" Id="R7fd4818b294f4472" /><Relationship Type="http://schemas.openxmlformats.org/officeDocument/2006/relationships/image" Target="/xl/media/image563.jpg" Id="R9460b40d8a294e86" /><Relationship Type="http://schemas.openxmlformats.org/officeDocument/2006/relationships/image" Target="/xl/media/image564.jpg" Id="R7292ef294a564e83" /><Relationship Type="http://schemas.openxmlformats.org/officeDocument/2006/relationships/image" Target="/xl/media/image565.jpg" Id="R5a50d1d30f3740a0" /><Relationship Type="http://schemas.openxmlformats.org/officeDocument/2006/relationships/image" Target="/xl/media/image566.jpg" Id="Ra01a1efb06af48fb" /><Relationship Type="http://schemas.openxmlformats.org/officeDocument/2006/relationships/image" Target="/xl/media/image567.jpg" Id="Rb802264240d54297" /><Relationship Type="http://schemas.openxmlformats.org/officeDocument/2006/relationships/image" Target="/xl/media/image568.jpg" Id="R11cfe631ec124d7e" /><Relationship Type="http://schemas.openxmlformats.org/officeDocument/2006/relationships/image" Target="/xl/media/image569.jpg" Id="R919df97c18c94a38" /><Relationship Type="http://schemas.openxmlformats.org/officeDocument/2006/relationships/image" Target="/xl/media/image570.jpg" Id="R9fc37e8017804ced" /><Relationship Type="http://schemas.openxmlformats.org/officeDocument/2006/relationships/image" Target="/xl/media/image571.jpg" Id="R57c66dabeeb2491b" /><Relationship Type="http://schemas.openxmlformats.org/officeDocument/2006/relationships/image" Target="/xl/media/image572.jpg" Id="R476dca3ab7ef40c0" /><Relationship Type="http://schemas.openxmlformats.org/officeDocument/2006/relationships/image" Target="/xl/media/image573.jpg" Id="R50c36f74210c4968" /><Relationship Type="http://schemas.openxmlformats.org/officeDocument/2006/relationships/image" Target="/xl/media/image574.jpg" Id="Ref19fc581eab422b" /><Relationship Type="http://schemas.openxmlformats.org/officeDocument/2006/relationships/image" Target="/xl/media/image575.jpg" Id="R1d17b03c0ec249a7" /><Relationship Type="http://schemas.openxmlformats.org/officeDocument/2006/relationships/image" Target="/xl/media/image576.jpg" Id="Rc5ccbbd267cc4037" /><Relationship Type="http://schemas.openxmlformats.org/officeDocument/2006/relationships/image" Target="/xl/media/image577.jpg" Id="R4314cfe25a0a4a6c" /><Relationship Type="http://schemas.openxmlformats.org/officeDocument/2006/relationships/image" Target="/xl/media/image578.jpg" Id="R1bb8b52fd96344f2" /><Relationship Type="http://schemas.openxmlformats.org/officeDocument/2006/relationships/image" Target="/xl/media/image579.jpg" Id="Rdd2ffe02182b440a" /><Relationship Type="http://schemas.openxmlformats.org/officeDocument/2006/relationships/image" Target="/xl/media/image580.jpg" Id="R0c117490a9864c21" /><Relationship Type="http://schemas.openxmlformats.org/officeDocument/2006/relationships/image" Target="/xl/media/image581.jpg" Id="R34c4cfb889cb4b73" /><Relationship Type="http://schemas.openxmlformats.org/officeDocument/2006/relationships/image" Target="/xl/media/image582.jpg" Id="R24ee16a6387c4a04" /><Relationship Type="http://schemas.openxmlformats.org/officeDocument/2006/relationships/image" Target="/xl/media/image583.jpg" Id="R5b8611ba26264146" /><Relationship Type="http://schemas.openxmlformats.org/officeDocument/2006/relationships/image" Target="/xl/media/image584.jpg" Id="Re5d0192bb40e4db7" /><Relationship Type="http://schemas.openxmlformats.org/officeDocument/2006/relationships/image" Target="/xl/media/image585.jpg" Id="R5dd5345ffd0c4707" /><Relationship Type="http://schemas.openxmlformats.org/officeDocument/2006/relationships/image" Target="/xl/media/image586.jpg" Id="Rb03062f77e45409d" /><Relationship Type="http://schemas.openxmlformats.org/officeDocument/2006/relationships/image" Target="/xl/media/image587.jpg" Id="R040a2fde862d4e90" /><Relationship Type="http://schemas.openxmlformats.org/officeDocument/2006/relationships/image" Target="/xl/media/image588.jpg" Id="Rcf7f0ffc874c4014" /><Relationship Type="http://schemas.openxmlformats.org/officeDocument/2006/relationships/image" Target="/xl/media/image589.jpg" Id="R0e00d04570784f6c" /><Relationship Type="http://schemas.openxmlformats.org/officeDocument/2006/relationships/image" Target="/xl/media/image590.jpg" Id="R65ac384314e549e9" /><Relationship Type="http://schemas.openxmlformats.org/officeDocument/2006/relationships/image" Target="/xl/media/image591.jpg" Id="R55b4b2e2b8624804" /><Relationship Type="http://schemas.openxmlformats.org/officeDocument/2006/relationships/image" Target="/xl/media/image592.jpg" Id="R98a1cb78116a4297" /><Relationship Type="http://schemas.openxmlformats.org/officeDocument/2006/relationships/image" Target="/xl/media/image593.jpg" Id="R549081f4ae144e9d" /><Relationship Type="http://schemas.openxmlformats.org/officeDocument/2006/relationships/image" Target="/xl/media/image594.jpg" Id="R17eeca93edcf4712" /><Relationship Type="http://schemas.openxmlformats.org/officeDocument/2006/relationships/image" Target="/xl/media/image595.jpg" Id="R465ea737d38f4dce" /><Relationship Type="http://schemas.openxmlformats.org/officeDocument/2006/relationships/image" Target="/xl/media/image596.jpg" Id="R4161b9b504344ddf" /><Relationship Type="http://schemas.openxmlformats.org/officeDocument/2006/relationships/image" Target="/xl/media/image597.jpg" Id="Re478fcd7c3fe4177" /><Relationship Type="http://schemas.openxmlformats.org/officeDocument/2006/relationships/image" Target="/xl/media/image598.jpg" Id="R5eb01c6443fd4a1d" /><Relationship Type="http://schemas.openxmlformats.org/officeDocument/2006/relationships/image" Target="/xl/media/image599.jpg" Id="Ra63d14dea66a4395" /><Relationship Type="http://schemas.openxmlformats.org/officeDocument/2006/relationships/image" Target="/xl/media/image600.jpg" Id="Rbedca33faaf64599" /><Relationship Type="http://schemas.openxmlformats.org/officeDocument/2006/relationships/image" Target="/xl/media/image601.jpg" Id="R1774031c64ff4e57" /><Relationship Type="http://schemas.openxmlformats.org/officeDocument/2006/relationships/image" Target="/xl/media/image602.jpg" Id="R0a1dabe8bb494af1" /><Relationship Type="http://schemas.openxmlformats.org/officeDocument/2006/relationships/image" Target="/xl/media/image603.jpg" Id="Rbce6d6cc6ba94de5" /><Relationship Type="http://schemas.openxmlformats.org/officeDocument/2006/relationships/image" Target="/xl/media/image604.jpg" Id="Refa98c315d9642f5" /><Relationship Type="http://schemas.openxmlformats.org/officeDocument/2006/relationships/image" Target="/xl/media/image605.jpg" Id="R17c71a82745d4fd4" /><Relationship Type="http://schemas.openxmlformats.org/officeDocument/2006/relationships/image" Target="/xl/media/image606.jpg" Id="Rafaca7f9a6e14dcc" /><Relationship Type="http://schemas.openxmlformats.org/officeDocument/2006/relationships/image" Target="/xl/media/image607.jpg" Id="R8cd1704bc5164c35" /><Relationship Type="http://schemas.openxmlformats.org/officeDocument/2006/relationships/image" Target="/xl/media/image608.jpg" Id="Rba8114e2304242b7" /><Relationship Type="http://schemas.openxmlformats.org/officeDocument/2006/relationships/image" Target="/xl/media/image609.jpg" Id="R723039be64f94061" /><Relationship Type="http://schemas.openxmlformats.org/officeDocument/2006/relationships/image" Target="/xl/media/image610.jpg" Id="R40f65ca4f8344eb5" /><Relationship Type="http://schemas.openxmlformats.org/officeDocument/2006/relationships/image" Target="/xl/media/image611.jpg" Id="Ra4fc823702bb404d" /><Relationship Type="http://schemas.openxmlformats.org/officeDocument/2006/relationships/image" Target="/xl/media/image612.jpg" Id="Raf7367ff23c54cfa" /><Relationship Type="http://schemas.openxmlformats.org/officeDocument/2006/relationships/image" Target="/xl/media/image613.jpg" Id="R8933274556af491d" /><Relationship Type="http://schemas.openxmlformats.org/officeDocument/2006/relationships/image" Target="/xl/media/image614.jpg" Id="R6c2ad1d2b5864880" /><Relationship Type="http://schemas.openxmlformats.org/officeDocument/2006/relationships/image" Target="/xl/media/image615.jpg" Id="R8d8de51c15254125" /><Relationship Type="http://schemas.openxmlformats.org/officeDocument/2006/relationships/image" Target="/xl/media/image616.jpg" Id="R6681c69736f74f63" /><Relationship Type="http://schemas.openxmlformats.org/officeDocument/2006/relationships/image" Target="/xl/media/image617.jpg" Id="Rcb871d14985c459d" /><Relationship Type="http://schemas.openxmlformats.org/officeDocument/2006/relationships/image" Target="/xl/media/image618.jpg" Id="R4432345048d64076" /><Relationship Type="http://schemas.openxmlformats.org/officeDocument/2006/relationships/image" Target="/xl/media/image619.jpg" Id="R0cfc080674c746cb" /><Relationship Type="http://schemas.openxmlformats.org/officeDocument/2006/relationships/image" Target="/xl/media/image620.jpg" Id="R71d86b2316704acd" /><Relationship Type="http://schemas.openxmlformats.org/officeDocument/2006/relationships/image" Target="/xl/media/image621.jpg" Id="R27701f7b7230484f" /><Relationship Type="http://schemas.openxmlformats.org/officeDocument/2006/relationships/image" Target="/xl/media/image622.jpg" Id="R1fc74a67f8ae43da" /><Relationship Type="http://schemas.openxmlformats.org/officeDocument/2006/relationships/image" Target="/xl/media/image623.jpg" Id="R59793d95d48f4b10" /><Relationship Type="http://schemas.openxmlformats.org/officeDocument/2006/relationships/image" Target="/xl/media/image624.jpg" Id="R59c1e7b907054240" /><Relationship Type="http://schemas.openxmlformats.org/officeDocument/2006/relationships/image" Target="/xl/media/image625.jpg" Id="Rd1681d83f34546b2" /><Relationship Type="http://schemas.openxmlformats.org/officeDocument/2006/relationships/image" Target="/xl/media/image626.jpg" Id="R75e931571a46438b" /><Relationship Type="http://schemas.openxmlformats.org/officeDocument/2006/relationships/image" Target="/xl/media/image627.jpg" Id="R8a9e79bd6c8144b9" /><Relationship Type="http://schemas.openxmlformats.org/officeDocument/2006/relationships/image" Target="/xl/media/image628.jpg" Id="Rb0f1f266ee5643a6" /><Relationship Type="http://schemas.openxmlformats.org/officeDocument/2006/relationships/image" Target="/xl/media/image629.jpg" Id="R76a01b21cd0448a5" /><Relationship Type="http://schemas.openxmlformats.org/officeDocument/2006/relationships/image" Target="/xl/media/image630.jpg" Id="Rc11f37773c8b4a3e" /><Relationship Type="http://schemas.openxmlformats.org/officeDocument/2006/relationships/image" Target="/xl/media/image631.jpg" Id="Reacb1bb0ca3e4be8" /><Relationship Type="http://schemas.openxmlformats.org/officeDocument/2006/relationships/image" Target="/xl/media/image632.jpg" Id="R980ea52bc6b84555" /><Relationship Type="http://schemas.openxmlformats.org/officeDocument/2006/relationships/image" Target="/xl/media/image633.jpg" Id="Rd648901a96994fd8" /><Relationship Type="http://schemas.openxmlformats.org/officeDocument/2006/relationships/image" Target="/xl/media/image634.jpg" Id="Rbf6c508fcf3a42fb" /><Relationship Type="http://schemas.openxmlformats.org/officeDocument/2006/relationships/image" Target="/xl/media/image635.jpg" Id="R966961aacc7943a0" /><Relationship Type="http://schemas.openxmlformats.org/officeDocument/2006/relationships/image" Target="/xl/media/image636.jpg" Id="R1f8a6f25a9c246d5" /><Relationship Type="http://schemas.openxmlformats.org/officeDocument/2006/relationships/image" Target="/xl/media/image637.jpg" Id="R1e1231e3c2ae49f0" /><Relationship Type="http://schemas.openxmlformats.org/officeDocument/2006/relationships/image" Target="/xl/media/image638.jpg" Id="R3ffdb0dabd694b94" /><Relationship Type="http://schemas.openxmlformats.org/officeDocument/2006/relationships/image" Target="/xl/media/image639.jpg" Id="R6bc01c91e5b140c6" /><Relationship Type="http://schemas.openxmlformats.org/officeDocument/2006/relationships/image" Target="/xl/media/image640.jpg" Id="Rdc08defe24e8409c" /><Relationship Type="http://schemas.openxmlformats.org/officeDocument/2006/relationships/image" Target="/xl/media/image641.jpg" Id="R59888b9dba89467e" /><Relationship Type="http://schemas.openxmlformats.org/officeDocument/2006/relationships/image" Target="/xl/media/image642.jpg" Id="R027e99f1b59c4d41" /><Relationship Type="http://schemas.openxmlformats.org/officeDocument/2006/relationships/image" Target="/xl/media/image643.jpg" Id="R06cf783b86e140be" /><Relationship Type="http://schemas.openxmlformats.org/officeDocument/2006/relationships/image" Target="/xl/media/image644.jpg" Id="Rc0ab2e86dfb94493" /><Relationship Type="http://schemas.openxmlformats.org/officeDocument/2006/relationships/image" Target="/xl/media/image645.jpg" Id="Rb6bece696a654c74" /><Relationship Type="http://schemas.openxmlformats.org/officeDocument/2006/relationships/image" Target="/xl/media/image646.jpg" Id="R0d63244433de4a91" /><Relationship Type="http://schemas.openxmlformats.org/officeDocument/2006/relationships/image" Target="/xl/media/image647.jpg" Id="Re3b52c0773d54821" /><Relationship Type="http://schemas.openxmlformats.org/officeDocument/2006/relationships/image" Target="/xl/media/image648.jpg" Id="R2bc3d8af5dcd468a" /><Relationship Type="http://schemas.openxmlformats.org/officeDocument/2006/relationships/image" Target="/xl/media/image649.jpg" Id="R6f6365c8ae3c4faa" /><Relationship Type="http://schemas.openxmlformats.org/officeDocument/2006/relationships/image" Target="/xl/media/image650.jpg" Id="Rae16cd40c5a94f1e" /><Relationship Type="http://schemas.openxmlformats.org/officeDocument/2006/relationships/image" Target="/xl/media/image651.jpg" Id="R8d7ea087ddd540b5" /><Relationship Type="http://schemas.openxmlformats.org/officeDocument/2006/relationships/image" Target="/xl/media/image652.jpg" Id="R1b9edf7053ae49fe" /><Relationship Type="http://schemas.openxmlformats.org/officeDocument/2006/relationships/image" Target="/xl/media/image653.jpg" Id="R57f1f8a15286409a" /><Relationship Type="http://schemas.openxmlformats.org/officeDocument/2006/relationships/image" Target="/xl/media/image654.jpg" Id="Rc513e1c9fc954d57" /><Relationship Type="http://schemas.openxmlformats.org/officeDocument/2006/relationships/image" Target="/xl/media/image655.jpg" Id="R848796b6f6214bd2" /><Relationship Type="http://schemas.openxmlformats.org/officeDocument/2006/relationships/image" Target="/xl/media/image656.jpg" Id="R158bbc919d1e4c2b" /><Relationship Type="http://schemas.openxmlformats.org/officeDocument/2006/relationships/image" Target="/xl/media/image657.jpg" Id="Rd019946e7ef6457c" /><Relationship Type="http://schemas.openxmlformats.org/officeDocument/2006/relationships/image" Target="/xl/media/image658.jpg" Id="R4b603247894b44bd" /><Relationship Type="http://schemas.openxmlformats.org/officeDocument/2006/relationships/image" Target="/xl/media/image659.jpg" Id="Rd8a108b19fec4130" /><Relationship Type="http://schemas.openxmlformats.org/officeDocument/2006/relationships/image" Target="/xl/media/image660.jpg" Id="R6a3a9ad215484e79" /><Relationship Type="http://schemas.openxmlformats.org/officeDocument/2006/relationships/image" Target="/xl/media/image661.jpg" Id="R9b7634e951c54afe" /><Relationship Type="http://schemas.openxmlformats.org/officeDocument/2006/relationships/image" Target="/xl/media/image662.jpg" Id="Rf6eb5d3089c9422d" /><Relationship Type="http://schemas.openxmlformats.org/officeDocument/2006/relationships/image" Target="/xl/media/image663.jpg" Id="Rfe96a8b0c7a540bf" /><Relationship Type="http://schemas.openxmlformats.org/officeDocument/2006/relationships/image" Target="/xl/media/image664.jpg" Id="R85366d16d24544f0" /><Relationship Type="http://schemas.openxmlformats.org/officeDocument/2006/relationships/image" Target="/xl/media/image665.jpg" Id="R727fa1878ac64582" /><Relationship Type="http://schemas.openxmlformats.org/officeDocument/2006/relationships/image" Target="/xl/media/image666.jpg" Id="Re9408b3d9f964e97" /><Relationship Type="http://schemas.openxmlformats.org/officeDocument/2006/relationships/image" Target="/xl/media/image667.jpg" Id="R507c2682d42f42ee" /><Relationship Type="http://schemas.openxmlformats.org/officeDocument/2006/relationships/image" Target="/xl/media/image668.jpg" Id="Rd5794287415a4b4f" /><Relationship Type="http://schemas.openxmlformats.org/officeDocument/2006/relationships/image" Target="/xl/media/image669.jpg" Id="R7e6334c36c114832" /><Relationship Type="http://schemas.openxmlformats.org/officeDocument/2006/relationships/image" Target="/xl/media/image670.jpg" Id="R4fee1ecb6954485b" /><Relationship Type="http://schemas.openxmlformats.org/officeDocument/2006/relationships/image" Target="/xl/media/image671.jpg" Id="Rb04f9a273b0a43d8" /><Relationship Type="http://schemas.openxmlformats.org/officeDocument/2006/relationships/image" Target="/xl/media/image672.jpg" Id="R3fdffdb8eb864d06" /><Relationship Type="http://schemas.openxmlformats.org/officeDocument/2006/relationships/image" Target="/xl/media/image673.jpg" Id="Rbda9f8a3c6fc4631" /><Relationship Type="http://schemas.openxmlformats.org/officeDocument/2006/relationships/image" Target="/xl/media/image674.jpg" Id="R5408152e5c984474" /><Relationship Type="http://schemas.openxmlformats.org/officeDocument/2006/relationships/image" Target="/xl/media/image675.jpg" Id="Rbcba9e70bab74508" /><Relationship Type="http://schemas.openxmlformats.org/officeDocument/2006/relationships/image" Target="/xl/media/image676.jpg" Id="Ra7ccf7eba51d43ed" /><Relationship Type="http://schemas.openxmlformats.org/officeDocument/2006/relationships/image" Target="/xl/media/image677.jpg" Id="R7795317ec095435d" /><Relationship Type="http://schemas.openxmlformats.org/officeDocument/2006/relationships/image" Target="/xl/media/image678.jpg" Id="R758e2e04d8da4ac3" /><Relationship Type="http://schemas.openxmlformats.org/officeDocument/2006/relationships/image" Target="/xl/media/image679.jpg" Id="Reb59bd5169944d8e" /><Relationship Type="http://schemas.openxmlformats.org/officeDocument/2006/relationships/image" Target="/xl/media/image680.jpg" Id="Rcbe7268000d244f7" /><Relationship Type="http://schemas.openxmlformats.org/officeDocument/2006/relationships/image" Target="/xl/media/image681.jpg" Id="Rfc5f5ddcebb54c7d" /><Relationship Type="http://schemas.openxmlformats.org/officeDocument/2006/relationships/image" Target="/xl/media/image682.jpg" Id="R93a8b3c8e13f4de5" /><Relationship Type="http://schemas.openxmlformats.org/officeDocument/2006/relationships/image" Target="/xl/media/image683.jpg" Id="R5f7dbf186e63419e" /><Relationship Type="http://schemas.openxmlformats.org/officeDocument/2006/relationships/image" Target="/xl/media/image684.jpg" Id="R19528f11bd3e42e9" /><Relationship Type="http://schemas.openxmlformats.org/officeDocument/2006/relationships/image" Target="/xl/media/image685.jpg" Id="R16d12ab2e8ea4b23" /><Relationship Type="http://schemas.openxmlformats.org/officeDocument/2006/relationships/image" Target="/xl/media/image686.jpg" Id="R29e9ea1c10bd479a" /><Relationship Type="http://schemas.openxmlformats.org/officeDocument/2006/relationships/image" Target="/xl/media/image687.jpg" Id="R96f962fe34324b75" /><Relationship Type="http://schemas.openxmlformats.org/officeDocument/2006/relationships/image" Target="/xl/media/image688.jpg" Id="Re5b843482b7940a1" /><Relationship Type="http://schemas.openxmlformats.org/officeDocument/2006/relationships/image" Target="/xl/media/image689.jpg" Id="R6062edef596e4a42" /><Relationship Type="http://schemas.openxmlformats.org/officeDocument/2006/relationships/image" Target="/xl/media/image690.jpg" Id="R29d3104f69d249a3" /><Relationship Type="http://schemas.openxmlformats.org/officeDocument/2006/relationships/image" Target="/xl/media/image691.jpg" Id="Rb55776d646e74e78" /><Relationship Type="http://schemas.openxmlformats.org/officeDocument/2006/relationships/image" Target="/xl/media/image692.jpg" Id="R9ef05561cfaf464a" /><Relationship Type="http://schemas.openxmlformats.org/officeDocument/2006/relationships/image" Target="/xl/media/image693.jpg" Id="R87e736bc26624981" /><Relationship Type="http://schemas.openxmlformats.org/officeDocument/2006/relationships/image" Target="/xl/media/image694.jpg" Id="R74bb63445f164d0d" /><Relationship Type="http://schemas.openxmlformats.org/officeDocument/2006/relationships/image" Target="/xl/media/image695.jpg" Id="Rf0b44b2eaf7647bb" /><Relationship Type="http://schemas.openxmlformats.org/officeDocument/2006/relationships/image" Target="/xl/media/image696.jpg" Id="R8ab5ed5e3dea4f75" /><Relationship Type="http://schemas.openxmlformats.org/officeDocument/2006/relationships/image" Target="/xl/media/image697.jpg" Id="Rac8a7d467d3a4f75" /><Relationship Type="http://schemas.openxmlformats.org/officeDocument/2006/relationships/image" Target="/xl/media/image698.jpg" Id="R59fb03a57fd246d0" /><Relationship Type="http://schemas.openxmlformats.org/officeDocument/2006/relationships/image" Target="/xl/media/image699.jpg" Id="Rb7bdb9e07bb24bbd" /><Relationship Type="http://schemas.openxmlformats.org/officeDocument/2006/relationships/image" Target="/xl/media/image700.jpg" Id="R503820993a4e4312" /><Relationship Type="http://schemas.openxmlformats.org/officeDocument/2006/relationships/image" Target="/xl/media/image701.jpg" Id="R2c10b6ed78374d81" /><Relationship Type="http://schemas.openxmlformats.org/officeDocument/2006/relationships/image" Target="/xl/media/image702.jpg" Id="Re7c66e75ff734ebc" /><Relationship Type="http://schemas.openxmlformats.org/officeDocument/2006/relationships/image" Target="/xl/media/image703.jpg" Id="R5b9d276f61d14f48" /><Relationship Type="http://schemas.openxmlformats.org/officeDocument/2006/relationships/image" Target="/xl/media/image704.jpg" Id="Raf18fb4d90a84e4f" /><Relationship Type="http://schemas.openxmlformats.org/officeDocument/2006/relationships/image" Target="/xl/media/image705.jpg" Id="R9600ccc135454c79" /><Relationship Type="http://schemas.openxmlformats.org/officeDocument/2006/relationships/image" Target="/xl/media/image706.jpg" Id="Rb1a88c6ee2114792" /><Relationship Type="http://schemas.openxmlformats.org/officeDocument/2006/relationships/image" Target="/xl/media/image707.jpg" Id="R8f8ed6ad21de4291" /><Relationship Type="http://schemas.openxmlformats.org/officeDocument/2006/relationships/image" Target="/xl/media/image708.jpg" Id="Rea6e6e4d6fd045fe" /><Relationship Type="http://schemas.openxmlformats.org/officeDocument/2006/relationships/image" Target="/xl/media/image709.jpg" Id="Re294a1c8837b4462" /><Relationship Type="http://schemas.openxmlformats.org/officeDocument/2006/relationships/image" Target="/xl/media/image710.jpg" Id="Rab583f79d4e84fd6" /><Relationship Type="http://schemas.openxmlformats.org/officeDocument/2006/relationships/image" Target="/xl/media/image711.jpg" Id="Rb137b5550ad440df" /><Relationship Type="http://schemas.openxmlformats.org/officeDocument/2006/relationships/image" Target="/xl/media/image712.jpg" Id="Rb016ac9d53cf4865" /><Relationship Type="http://schemas.openxmlformats.org/officeDocument/2006/relationships/image" Target="/xl/media/image713.jpg" Id="Rf4a2e0a2d1134f51" /><Relationship Type="http://schemas.openxmlformats.org/officeDocument/2006/relationships/image" Target="/xl/media/image714.jpg" Id="Re21c5f92f2794f5c" /><Relationship Type="http://schemas.openxmlformats.org/officeDocument/2006/relationships/image" Target="/xl/media/image715.jpg" Id="Ra18bd3444ae644e0" /><Relationship Type="http://schemas.openxmlformats.org/officeDocument/2006/relationships/image" Target="/xl/media/image716.jpg" Id="Rc5047bd3f6c34f7a" /><Relationship Type="http://schemas.openxmlformats.org/officeDocument/2006/relationships/image" Target="/xl/media/image717.jpg" Id="R6a2c266db5a64686" /><Relationship Type="http://schemas.openxmlformats.org/officeDocument/2006/relationships/image" Target="/xl/media/image718.jpg" Id="R5ebd19eda4b8481d" /><Relationship Type="http://schemas.openxmlformats.org/officeDocument/2006/relationships/image" Target="/xl/media/image719.jpg" Id="R3ff86f1d905d4b47" /><Relationship Type="http://schemas.openxmlformats.org/officeDocument/2006/relationships/image" Target="/xl/media/image720.jpg" Id="R698d0832d0d44470" /><Relationship Type="http://schemas.openxmlformats.org/officeDocument/2006/relationships/image" Target="/xl/media/image721.jpg" Id="Rcebfebf9810e4949" /><Relationship Type="http://schemas.openxmlformats.org/officeDocument/2006/relationships/image" Target="/xl/media/image722.jpg" Id="R7b16140d05d54f46" /><Relationship Type="http://schemas.openxmlformats.org/officeDocument/2006/relationships/image" Target="/xl/media/image723.jpg" Id="R916e353d58e74e41" /><Relationship Type="http://schemas.openxmlformats.org/officeDocument/2006/relationships/image" Target="/xl/media/image724.jpg" Id="R2a7a2d81b45748f6" /><Relationship Type="http://schemas.openxmlformats.org/officeDocument/2006/relationships/image" Target="/xl/media/image725.jpg" Id="R4728e54d9581499c" /><Relationship Type="http://schemas.openxmlformats.org/officeDocument/2006/relationships/image" Target="/xl/media/image726.jpg" Id="R72cef94fa4d743f8" /><Relationship Type="http://schemas.openxmlformats.org/officeDocument/2006/relationships/image" Target="/xl/media/image727.jpg" Id="R2b1892decb824d60" /><Relationship Type="http://schemas.openxmlformats.org/officeDocument/2006/relationships/image" Target="/xl/media/image728.jpg" Id="R887fc5b39be74e78" /><Relationship Type="http://schemas.openxmlformats.org/officeDocument/2006/relationships/image" Target="/xl/media/image729.jpg" Id="R850ce64dce504cc6" /><Relationship Type="http://schemas.openxmlformats.org/officeDocument/2006/relationships/image" Target="/xl/media/image730.jpg" Id="Ra51efb2811634a78" /><Relationship Type="http://schemas.openxmlformats.org/officeDocument/2006/relationships/image" Target="/xl/media/image731.jpg" Id="Rf16fa5b63d63471a" /><Relationship Type="http://schemas.openxmlformats.org/officeDocument/2006/relationships/image" Target="/xl/media/image732.jpg" Id="R7790fb6dad394ec8" /><Relationship Type="http://schemas.openxmlformats.org/officeDocument/2006/relationships/image" Target="/xl/media/image733.jpg" Id="R57ee8d75e1ca4961" /><Relationship Type="http://schemas.openxmlformats.org/officeDocument/2006/relationships/image" Target="/xl/media/image734.jpg" Id="Rdb8ebe10775447a8" /><Relationship Type="http://schemas.openxmlformats.org/officeDocument/2006/relationships/image" Target="/xl/media/image735.jpg" Id="Ra4c20b887f77498d" /><Relationship Type="http://schemas.openxmlformats.org/officeDocument/2006/relationships/image" Target="/xl/media/image736.jpg" Id="R3d5492395ba04f8a" /><Relationship Type="http://schemas.openxmlformats.org/officeDocument/2006/relationships/image" Target="/xl/media/image737.jpg" Id="R4095c5064abc4572" /><Relationship Type="http://schemas.openxmlformats.org/officeDocument/2006/relationships/image" Target="/xl/media/image738.jpg" Id="R200f502d88334fef" /><Relationship Type="http://schemas.openxmlformats.org/officeDocument/2006/relationships/image" Target="/xl/media/image739.jpg" Id="R5fed01b78ea44770" /><Relationship Type="http://schemas.openxmlformats.org/officeDocument/2006/relationships/image" Target="/xl/media/image740.jpg" Id="R49ac6bed8f1f482e" /><Relationship Type="http://schemas.openxmlformats.org/officeDocument/2006/relationships/image" Target="/xl/media/image741.jpg" Id="Rd94d143eb49f4aee" /><Relationship Type="http://schemas.openxmlformats.org/officeDocument/2006/relationships/image" Target="/xl/media/image742.jpg" Id="Rac3439e999684c76" /><Relationship Type="http://schemas.openxmlformats.org/officeDocument/2006/relationships/image" Target="/xl/media/image743.jpg" Id="Rc3ebf4d2baca42f0" /><Relationship Type="http://schemas.openxmlformats.org/officeDocument/2006/relationships/image" Target="/xl/media/image744.jpg" Id="R48cbe836f12e4d32" /><Relationship Type="http://schemas.openxmlformats.org/officeDocument/2006/relationships/image" Target="/xl/media/image745.jpg" Id="Rddd06b324ddc48ca" /><Relationship Type="http://schemas.openxmlformats.org/officeDocument/2006/relationships/image" Target="/xl/media/image746.jpg" Id="R3ec369a15d944eed" /><Relationship Type="http://schemas.openxmlformats.org/officeDocument/2006/relationships/image" Target="/xl/media/image747.jpg" Id="R4049162f77474f67" /><Relationship Type="http://schemas.openxmlformats.org/officeDocument/2006/relationships/image" Target="/xl/media/image748.jpg" Id="R42fcbfcbccc64d2b" /><Relationship Type="http://schemas.openxmlformats.org/officeDocument/2006/relationships/image" Target="/xl/media/image749.jpg" Id="R61c03fc7ca9141cc" /><Relationship Type="http://schemas.openxmlformats.org/officeDocument/2006/relationships/image" Target="/xl/media/image750.jpg" Id="R4859b5ecf941420e" /><Relationship Type="http://schemas.openxmlformats.org/officeDocument/2006/relationships/image" Target="/xl/media/image751.jpg" Id="R8023fb752fc4425b" /><Relationship Type="http://schemas.openxmlformats.org/officeDocument/2006/relationships/image" Target="/xl/media/image752.jpg" Id="Redfee861ea4c4955" /><Relationship Type="http://schemas.openxmlformats.org/officeDocument/2006/relationships/image" Target="/xl/media/image753.jpg" Id="R1717c314982d4f44" /><Relationship Type="http://schemas.openxmlformats.org/officeDocument/2006/relationships/image" Target="/xl/media/image754.jpg" Id="Rb718f3cc1e7b45df" /><Relationship Type="http://schemas.openxmlformats.org/officeDocument/2006/relationships/image" Target="/xl/media/image755.jpg" Id="Rfd09a17c9cfa4368" /><Relationship Type="http://schemas.openxmlformats.org/officeDocument/2006/relationships/image" Target="/xl/media/image756.jpg" Id="R34836ed757584e29" /><Relationship Type="http://schemas.openxmlformats.org/officeDocument/2006/relationships/image" Target="/xl/media/image757.jpg" Id="Rfa2e6fc8034c464a" /><Relationship Type="http://schemas.openxmlformats.org/officeDocument/2006/relationships/image" Target="/xl/media/image758.jpg" Id="R0ae9d509516c49f9" /><Relationship Type="http://schemas.openxmlformats.org/officeDocument/2006/relationships/image" Target="/xl/media/image759.jpg" Id="Rc3883a750a7348ac" /><Relationship Type="http://schemas.openxmlformats.org/officeDocument/2006/relationships/image" Target="/xl/media/image760.jpg" Id="Rebd0e3404eec4d5e" /><Relationship Type="http://schemas.openxmlformats.org/officeDocument/2006/relationships/image" Target="/xl/media/image761.jpg" Id="R1081cebedcb84237" /><Relationship Type="http://schemas.openxmlformats.org/officeDocument/2006/relationships/image" Target="/xl/media/image762.jpg" Id="Recc11f5bad66402c" /><Relationship Type="http://schemas.openxmlformats.org/officeDocument/2006/relationships/image" Target="/xl/media/image763.jpg" Id="R534d2a4c304240a3" /><Relationship Type="http://schemas.openxmlformats.org/officeDocument/2006/relationships/image" Target="/xl/media/image764.jpg" Id="R9f58787ed44e4aaf" /><Relationship Type="http://schemas.openxmlformats.org/officeDocument/2006/relationships/image" Target="/xl/media/image765.jpg" Id="R21c8700e7dbe4ad4" /><Relationship Type="http://schemas.openxmlformats.org/officeDocument/2006/relationships/image" Target="/xl/media/image766.jpg" Id="R13de05a9459248ff" /><Relationship Type="http://schemas.openxmlformats.org/officeDocument/2006/relationships/image" Target="/xl/media/image767.jpg" Id="Rfd5471eb851a4eb5" /><Relationship Type="http://schemas.openxmlformats.org/officeDocument/2006/relationships/image" Target="/xl/media/image768.jpg" Id="R86c3cd69ba054253" /><Relationship Type="http://schemas.openxmlformats.org/officeDocument/2006/relationships/image" Target="/xl/media/image769.jpg" Id="R6f3662e50d044c03" /><Relationship Type="http://schemas.openxmlformats.org/officeDocument/2006/relationships/image" Target="/xl/media/image770.jpg" Id="R313ac2403cf7489b" /><Relationship Type="http://schemas.openxmlformats.org/officeDocument/2006/relationships/image" Target="/xl/media/image771.jpg" Id="R3db704e79c7e48e6" /><Relationship Type="http://schemas.openxmlformats.org/officeDocument/2006/relationships/image" Target="/xl/media/image772.jpg" Id="R46c7de4d6d724019" /><Relationship Type="http://schemas.openxmlformats.org/officeDocument/2006/relationships/image" Target="/xl/media/image773.jpg" Id="Rc56528d59d334e5d" /><Relationship Type="http://schemas.openxmlformats.org/officeDocument/2006/relationships/image" Target="/xl/media/image774.jpg" Id="R8efa1663042d4e0a" /><Relationship Type="http://schemas.openxmlformats.org/officeDocument/2006/relationships/image" Target="/xl/media/image775.jpg" Id="R20bc8bba7d974042" /><Relationship Type="http://schemas.openxmlformats.org/officeDocument/2006/relationships/image" Target="/xl/media/image776.jpg" Id="Rdf2d72329a034702" /><Relationship Type="http://schemas.openxmlformats.org/officeDocument/2006/relationships/image" Target="/xl/media/image777.jpg" Id="R84b2e0915d7d40e2" /><Relationship Type="http://schemas.openxmlformats.org/officeDocument/2006/relationships/image" Target="/xl/media/image778.jpg" Id="R3f32170174dc4a54" /><Relationship Type="http://schemas.openxmlformats.org/officeDocument/2006/relationships/image" Target="/xl/media/image779.jpg" Id="R5464ce97a1c84832" /><Relationship Type="http://schemas.openxmlformats.org/officeDocument/2006/relationships/image" Target="/xl/media/image780.jpg" Id="R09c89faf6bb44514" /><Relationship Type="http://schemas.openxmlformats.org/officeDocument/2006/relationships/image" Target="/xl/media/image781.jpg" Id="Rf4d488f6f6084c3a" /><Relationship Type="http://schemas.openxmlformats.org/officeDocument/2006/relationships/image" Target="/xl/media/image782.jpg" Id="R89de895a3dbb4eb3" /><Relationship Type="http://schemas.openxmlformats.org/officeDocument/2006/relationships/image" Target="/xl/media/image783.jpg" Id="R7c88b676a333467e" /><Relationship Type="http://schemas.openxmlformats.org/officeDocument/2006/relationships/image" Target="/xl/media/image784.jpg" Id="R36cf66f5459d427e" /><Relationship Type="http://schemas.openxmlformats.org/officeDocument/2006/relationships/image" Target="/xl/media/image785.jpg" Id="R1830c3db76b040a2" /><Relationship Type="http://schemas.openxmlformats.org/officeDocument/2006/relationships/image" Target="/xl/media/image786.jpg" Id="Rcfd107dd576e48cf" /><Relationship Type="http://schemas.openxmlformats.org/officeDocument/2006/relationships/image" Target="/xl/media/image787.jpg" Id="Raccc7b17010a4c7b" /><Relationship Type="http://schemas.openxmlformats.org/officeDocument/2006/relationships/image" Target="/xl/media/image788.jpg" Id="R9bf75e62f24e46c3" /><Relationship Type="http://schemas.openxmlformats.org/officeDocument/2006/relationships/image" Target="/xl/media/image789.jpg" Id="R2439952de20a4b11" /><Relationship Type="http://schemas.openxmlformats.org/officeDocument/2006/relationships/image" Target="/xl/media/image790.jpg" Id="R86814e4d731446dd" /><Relationship Type="http://schemas.openxmlformats.org/officeDocument/2006/relationships/image" Target="/xl/media/image791.jpg" Id="R379628c7140f47af" /><Relationship Type="http://schemas.openxmlformats.org/officeDocument/2006/relationships/image" Target="/xl/media/image792.jpg" Id="R70dbade264244255" /><Relationship Type="http://schemas.openxmlformats.org/officeDocument/2006/relationships/image" Target="/xl/media/image793.jpg" Id="R47b2fcec224743e5" /><Relationship Type="http://schemas.openxmlformats.org/officeDocument/2006/relationships/image" Target="/xl/media/image794.jpg" Id="Re65b4ba106f14ccf" /><Relationship Type="http://schemas.openxmlformats.org/officeDocument/2006/relationships/image" Target="/xl/media/image795.jpg" Id="R784df61684894614" /><Relationship Type="http://schemas.openxmlformats.org/officeDocument/2006/relationships/image" Target="/xl/media/image796.jpg" Id="R8bd6682675b14f8f" /><Relationship Type="http://schemas.openxmlformats.org/officeDocument/2006/relationships/image" Target="/xl/media/image797.jpg" Id="R70d2daa095da4163" /><Relationship Type="http://schemas.openxmlformats.org/officeDocument/2006/relationships/image" Target="/xl/media/image798.jpg" Id="Rc79be76187c14c6f" /><Relationship Type="http://schemas.openxmlformats.org/officeDocument/2006/relationships/image" Target="/xl/media/image799.jpg" Id="Rcddaccdd7edf477c" /><Relationship Type="http://schemas.openxmlformats.org/officeDocument/2006/relationships/image" Target="/xl/media/image800.jpg" Id="Rc0f91f8c8445480f" /><Relationship Type="http://schemas.openxmlformats.org/officeDocument/2006/relationships/image" Target="/xl/media/image801.jpg" Id="R39bab2146d6f450d" /><Relationship Type="http://schemas.openxmlformats.org/officeDocument/2006/relationships/image" Target="/xl/media/image802.jpg" Id="R610ee4a125664188" /><Relationship Type="http://schemas.openxmlformats.org/officeDocument/2006/relationships/image" Target="/xl/media/image803.jpg" Id="R6baf3cbeb1274336" /><Relationship Type="http://schemas.openxmlformats.org/officeDocument/2006/relationships/image" Target="/xl/media/image804.jpg" Id="R4c2fcdee9fd2456a" /><Relationship Type="http://schemas.openxmlformats.org/officeDocument/2006/relationships/image" Target="/xl/media/image805.jpg" Id="R97f3e5dd4add42e1" /><Relationship Type="http://schemas.openxmlformats.org/officeDocument/2006/relationships/image" Target="/xl/media/image806.jpg" Id="R4088c3f61ef747f5" /><Relationship Type="http://schemas.openxmlformats.org/officeDocument/2006/relationships/image" Target="/xl/media/image807.jpg" Id="R088cae11a7fe4618" /><Relationship Type="http://schemas.openxmlformats.org/officeDocument/2006/relationships/image" Target="/xl/media/image808.jpg" Id="Rac2cb6ccf0cb427a" /><Relationship Type="http://schemas.openxmlformats.org/officeDocument/2006/relationships/image" Target="/xl/media/image809.jpg" Id="Ref4907acd47a4cd7" /><Relationship Type="http://schemas.openxmlformats.org/officeDocument/2006/relationships/image" Target="/xl/media/image810.jpg" Id="R22843207b8264a95" /><Relationship Type="http://schemas.openxmlformats.org/officeDocument/2006/relationships/image" Target="/xl/media/image811.jpg" Id="Rd0303685c4134730" /><Relationship Type="http://schemas.openxmlformats.org/officeDocument/2006/relationships/image" Target="/xl/media/image812.jpg" Id="Re44883b2fba34146" /><Relationship Type="http://schemas.openxmlformats.org/officeDocument/2006/relationships/image" Target="/xl/media/image813.jpg" Id="R39a3964a361c4010" /><Relationship Type="http://schemas.openxmlformats.org/officeDocument/2006/relationships/image" Target="/xl/media/image814.jpg" Id="Rfcd3a4d28bf6460f" /><Relationship Type="http://schemas.openxmlformats.org/officeDocument/2006/relationships/image" Target="/xl/media/image815.jpg" Id="R4277d787a8e549ed" /><Relationship Type="http://schemas.openxmlformats.org/officeDocument/2006/relationships/image" Target="/xl/media/image816.jpg" Id="Rd0c672c03e6e49fc" /><Relationship Type="http://schemas.openxmlformats.org/officeDocument/2006/relationships/image" Target="/xl/media/image817.jpg" Id="Rf0019508e5474989" /><Relationship Type="http://schemas.openxmlformats.org/officeDocument/2006/relationships/image" Target="/xl/media/image818.jpg" Id="Rbeb5bff9dabe4cd4" /><Relationship Type="http://schemas.openxmlformats.org/officeDocument/2006/relationships/image" Target="/xl/media/image819.jpg" Id="Ra6e658b7be4e4382" /><Relationship Type="http://schemas.openxmlformats.org/officeDocument/2006/relationships/image" Target="/xl/media/image820.jpg" Id="Redb84ed7126f46be" /><Relationship Type="http://schemas.openxmlformats.org/officeDocument/2006/relationships/image" Target="/xl/media/image821.jpg" Id="R913d8aec93f7448a" /><Relationship Type="http://schemas.openxmlformats.org/officeDocument/2006/relationships/image" Target="/xl/media/image822.jpg" Id="R3dc7160fbef142f2" /><Relationship Type="http://schemas.openxmlformats.org/officeDocument/2006/relationships/image" Target="/xl/media/image823.jpg" Id="R80469150e9db4745" /><Relationship Type="http://schemas.openxmlformats.org/officeDocument/2006/relationships/image" Target="/xl/media/image824.jpg" Id="R625977880d724fcd" /><Relationship Type="http://schemas.openxmlformats.org/officeDocument/2006/relationships/image" Target="/xl/media/image825.jpg" Id="R7fb837e72f9346bf" /><Relationship Type="http://schemas.openxmlformats.org/officeDocument/2006/relationships/image" Target="/xl/media/image826.jpg" Id="R444d4f50eb0e4a51" /><Relationship Type="http://schemas.openxmlformats.org/officeDocument/2006/relationships/image" Target="/xl/media/image827.jpg" Id="Refa66bec1fff4f74" /><Relationship Type="http://schemas.openxmlformats.org/officeDocument/2006/relationships/image" Target="/xl/media/image828.jpg" Id="Rcc49139cd8f145ff" /><Relationship Type="http://schemas.openxmlformats.org/officeDocument/2006/relationships/image" Target="/xl/media/image829.jpg" Id="Re82a8c7ff8f047ad" /><Relationship Type="http://schemas.openxmlformats.org/officeDocument/2006/relationships/image" Target="/xl/media/image830.jpg" Id="Rfabe0f4ead3c451b" /><Relationship Type="http://schemas.openxmlformats.org/officeDocument/2006/relationships/image" Target="/xl/media/image831.jpg" Id="Rf28ba0a865c74536" /><Relationship Type="http://schemas.openxmlformats.org/officeDocument/2006/relationships/image" Target="/xl/media/image832.jpg" Id="R39a3519c7e6d45b0" /><Relationship Type="http://schemas.openxmlformats.org/officeDocument/2006/relationships/image" Target="/xl/media/image833.jpg" Id="R1855829cb25a47e5" /><Relationship Type="http://schemas.openxmlformats.org/officeDocument/2006/relationships/image" Target="/xl/media/image834.jpg" Id="Ra36c89d33b4c48ef" /><Relationship Type="http://schemas.openxmlformats.org/officeDocument/2006/relationships/image" Target="/xl/media/image835.jpg" Id="R88795a76f1504ec0" /><Relationship Type="http://schemas.openxmlformats.org/officeDocument/2006/relationships/image" Target="/xl/media/image836.jpg" Id="R48a40e5292ff4252" /><Relationship Type="http://schemas.openxmlformats.org/officeDocument/2006/relationships/image" Target="/xl/media/image837.jpg" Id="R25125c6a3d2c4cac" /><Relationship Type="http://schemas.openxmlformats.org/officeDocument/2006/relationships/image" Target="/xl/media/image838.jpg" Id="R755ba694f25d4e6d" /><Relationship Type="http://schemas.openxmlformats.org/officeDocument/2006/relationships/image" Target="/xl/media/image839.jpg" Id="R21159e34b67a470c" /><Relationship Type="http://schemas.openxmlformats.org/officeDocument/2006/relationships/image" Target="/xl/media/image840.jpg" Id="R99ca1d3da87048b9" /><Relationship Type="http://schemas.openxmlformats.org/officeDocument/2006/relationships/image" Target="/xl/media/image841.jpg" Id="R9cb41c98f9eb4907" /><Relationship Type="http://schemas.openxmlformats.org/officeDocument/2006/relationships/image" Target="/xl/media/image842.jpg" Id="R79101882ca8640f2" /><Relationship Type="http://schemas.openxmlformats.org/officeDocument/2006/relationships/image" Target="/xl/media/image843.jpg" Id="R4cac393d88e64853" /><Relationship Type="http://schemas.openxmlformats.org/officeDocument/2006/relationships/image" Target="/xl/media/image844.jpg" Id="Rcd837563c71543ca" /><Relationship Type="http://schemas.openxmlformats.org/officeDocument/2006/relationships/image" Target="/xl/media/image845.jpg" Id="Rf73c0e5003d24b0c" /><Relationship Type="http://schemas.openxmlformats.org/officeDocument/2006/relationships/image" Target="/xl/media/image846.jpg" Id="Rbf66f2ba281e49e1" /><Relationship Type="http://schemas.openxmlformats.org/officeDocument/2006/relationships/image" Target="/xl/media/image847.jpg" Id="Rf17b004313a14a09" /><Relationship Type="http://schemas.openxmlformats.org/officeDocument/2006/relationships/image" Target="/xl/media/image848.jpg" Id="Rcd1643fac4164ecf" /><Relationship Type="http://schemas.openxmlformats.org/officeDocument/2006/relationships/image" Target="/xl/media/image849.jpg" Id="Rc81d26de384b4885" /><Relationship Type="http://schemas.openxmlformats.org/officeDocument/2006/relationships/image" Target="/xl/media/image850.jpg" Id="R9dfc4f2b3d0c4589" /><Relationship Type="http://schemas.openxmlformats.org/officeDocument/2006/relationships/image" Target="/xl/media/image851.jpg" Id="Rd5f11e82be4749eb" /><Relationship Type="http://schemas.openxmlformats.org/officeDocument/2006/relationships/image" Target="/xl/media/image852.jpg" Id="R5cf43c410d1d4e45" /><Relationship Type="http://schemas.openxmlformats.org/officeDocument/2006/relationships/image" Target="/xl/media/image853.jpg" Id="R30be855c3aac480c" /><Relationship Type="http://schemas.openxmlformats.org/officeDocument/2006/relationships/image" Target="/xl/media/image854.jpg" Id="Rb5f526cc82e84413" /><Relationship Type="http://schemas.openxmlformats.org/officeDocument/2006/relationships/image" Target="/xl/media/image855.jpg" Id="R607f96a88c36405e" /><Relationship Type="http://schemas.openxmlformats.org/officeDocument/2006/relationships/image" Target="/xl/media/image856.jpg" Id="R0437dbcea0744f4e" /><Relationship Type="http://schemas.openxmlformats.org/officeDocument/2006/relationships/image" Target="/xl/media/image857.jpg" Id="R6dfe77f5a0cb482f" /><Relationship Type="http://schemas.openxmlformats.org/officeDocument/2006/relationships/image" Target="/xl/media/image858.jpg" Id="R099b9ae851974e4f" /><Relationship Type="http://schemas.openxmlformats.org/officeDocument/2006/relationships/image" Target="/xl/media/image859.jpg" Id="Rd0071b6fc0cf4a38" /><Relationship Type="http://schemas.openxmlformats.org/officeDocument/2006/relationships/image" Target="/xl/media/image860.jpg" Id="R7ab249721c8a4edf" /><Relationship Type="http://schemas.openxmlformats.org/officeDocument/2006/relationships/image" Target="/xl/media/image861.jpg" Id="R6eaf57cb979e414c" /><Relationship Type="http://schemas.openxmlformats.org/officeDocument/2006/relationships/image" Target="/xl/media/image862.jpg" Id="R4204a6bff4684fa8" /><Relationship Type="http://schemas.openxmlformats.org/officeDocument/2006/relationships/image" Target="/xl/media/image863.jpg" Id="R490891960c844171" /><Relationship Type="http://schemas.openxmlformats.org/officeDocument/2006/relationships/image" Target="/xl/media/image864.jpg" Id="Rbe84b2a8623d4b39" /><Relationship Type="http://schemas.openxmlformats.org/officeDocument/2006/relationships/image" Target="/xl/media/image865.jpg" Id="Ra80b31b638a74d69" /><Relationship Type="http://schemas.openxmlformats.org/officeDocument/2006/relationships/image" Target="/xl/media/image866.jpg" Id="Rd7762c558ac54612" /><Relationship Type="http://schemas.openxmlformats.org/officeDocument/2006/relationships/image" Target="/xl/media/image867.jpg" Id="Ra1d91fb620a34824" /><Relationship Type="http://schemas.openxmlformats.org/officeDocument/2006/relationships/image" Target="/xl/media/image868.jpg" Id="R1dd6a908e6bd4a34" /><Relationship Type="http://schemas.openxmlformats.org/officeDocument/2006/relationships/image" Target="/xl/media/image869.jpg" Id="Rcf71416e9afc4f39" /><Relationship Type="http://schemas.openxmlformats.org/officeDocument/2006/relationships/image" Target="/xl/media/image870.jpg" Id="R3b81f22ec271423f" /><Relationship Type="http://schemas.openxmlformats.org/officeDocument/2006/relationships/image" Target="/xl/media/image871.jpg" Id="Rdc9536c2d5804362" /><Relationship Type="http://schemas.openxmlformats.org/officeDocument/2006/relationships/image" Target="/xl/media/image872.jpg" Id="R555242e47c8e4787" /><Relationship Type="http://schemas.openxmlformats.org/officeDocument/2006/relationships/image" Target="/xl/media/image873.jpg" Id="Rd28cc30c1c09453e" /><Relationship Type="http://schemas.openxmlformats.org/officeDocument/2006/relationships/image" Target="/xl/media/image874.jpg" Id="R9989b633387c477d" /><Relationship Type="http://schemas.openxmlformats.org/officeDocument/2006/relationships/image" Target="/xl/media/image875.jpg" Id="R12fd16f027e7471b" /><Relationship Type="http://schemas.openxmlformats.org/officeDocument/2006/relationships/image" Target="/xl/media/image876.jpg" Id="R45599efe3ee647bf" /><Relationship Type="http://schemas.openxmlformats.org/officeDocument/2006/relationships/image" Target="/xl/media/image877.jpg" Id="R6b38bb4556834cf3" /><Relationship Type="http://schemas.openxmlformats.org/officeDocument/2006/relationships/image" Target="/xl/media/image878.jpg" Id="R6468af6e788c4fc8" /><Relationship Type="http://schemas.openxmlformats.org/officeDocument/2006/relationships/image" Target="/xl/media/image879.jpg" Id="R6f199f2edfe34d88" /><Relationship Type="http://schemas.openxmlformats.org/officeDocument/2006/relationships/image" Target="/xl/media/image880.jpg" Id="R0e39052e88224328" /><Relationship Type="http://schemas.openxmlformats.org/officeDocument/2006/relationships/image" Target="/xl/media/image881.jpg" Id="R3065226cd808457d" /><Relationship Type="http://schemas.openxmlformats.org/officeDocument/2006/relationships/image" Target="/xl/media/image882.jpg" Id="Rf0e183757e384a83" /><Relationship Type="http://schemas.openxmlformats.org/officeDocument/2006/relationships/image" Target="/xl/media/image883.jpg" Id="Ra9c55e415c7d42c8" /><Relationship Type="http://schemas.openxmlformats.org/officeDocument/2006/relationships/image" Target="/xl/media/image884.jpg" Id="R17e63aed58314fb4" /><Relationship Type="http://schemas.openxmlformats.org/officeDocument/2006/relationships/image" Target="/xl/media/image885.jpg" Id="R9d9cfdc2bdd0486b" /><Relationship Type="http://schemas.openxmlformats.org/officeDocument/2006/relationships/image" Target="/xl/media/image886.jpg" Id="R3ee76e84622841c2" /><Relationship Type="http://schemas.openxmlformats.org/officeDocument/2006/relationships/image" Target="/xl/media/image887.jpg" Id="R4ec2745d31644baf" /><Relationship Type="http://schemas.openxmlformats.org/officeDocument/2006/relationships/image" Target="/xl/media/image888.jpg" Id="R769b9228a9ad4fa4" /><Relationship Type="http://schemas.openxmlformats.org/officeDocument/2006/relationships/image" Target="/xl/media/image889.jpg" Id="R31ee9d3d28594766" /><Relationship Type="http://schemas.openxmlformats.org/officeDocument/2006/relationships/image" Target="/xl/media/image890.jpg" Id="R2fada7e261a6461a" /><Relationship Type="http://schemas.openxmlformats.org/officeDocument/2006/relationships/image" Target="/xl/media/image891.jpg" Id="R3564594e2b044070" /><Relationship Type="http://schemas.openxmlformats.org/officeDocument/2006/relationships/image" Target="/xl/media/image892.jpg" Id="Raaf4f7ee58664f28" /><Relationship Type="http://schemas.openxmlformats.org/officeDocument/2006/relationships/image" Target="/xl/media/image893.jpg" Id="R2be17063565745f2" /><Relationship Type="http://schemas.openxmlformats.org/officeDocument/2006/relationships/image" Target="/xl/media/image894.jpg" Id="R6dbced0c381a4c8b" /><Relationship Type="http://schemas.openxmlformats.org/officeDocument/2006/relationships/image" Target="/xl/media/image895.jpg" Id="Rdc10a566bb864a85" /><Relationship Type="http://schemas.openxmlformats.org/officeDocument/2006/relationships/image" Target="/xl/media/image896.jpg" Id="Rec670361ebdf444d" /><Relationship Type="http://schemas.openxmlformats.org/officeDocument/2006/relationships/image" Target="/xl/media/image897.jpg" Id="Rc28c22336aa54ccb" /><Relationship Type="http://schemas.openxmlformats.org/officeDocument/2006/relationships/image" Target="/xl/media/image898.jpg" Id="R24e41f40ddef4ca3" /><Relationship Type="http://schemas.openxmlformats.org/officeDocument/2006/relationships/image" Target="/xl/media/image899.jpg" Id="R380b183accae4d65" /><Relationship Type="http://schemas.openxmlformats.org/officeDocument/2006/relationships/image" Target="/xl/media/image900.jpg" Id="R5ad06bcc3c2045b0" /><Relationship Type="http://schemas.openxmlformats.org/officeDocument/2006/relationships/image" Target="/xl/media/image901.jpg" Id="R02b4b27ec0a64f87" /><Relationship Type="http://schemas.openxmlformats.org/officeDocument/2006/relationships/image" Target="/xl/media/image902.jpg" Id="R7e81abd3b3114bd0" /><Relationship Type="http://schemas.openxmlformats.org/officeDocument/2006/relationships/image" Target="/xl/media/image903.jpg" Id="R17f7f83e57d0417e" /><Relationship Type="http://schemas.openxmlformats.org/officeDocument/2006/relationships/image" Target="/xl/media/image904.jpg" Id="R90d4c11a011945d4" /><Relationship Type="http://schemas.openxmlformats.org/officeDocument/2006/relationships/image" Target="/xl/media/image905.jpg" Id="R8c646c2490cb40e5" /><Relationship Type="http://schemas.openxmlformats.org/officeDocument/2006/relationships/image" Target="/xl/media/image906.jpg" Id="R5a4b57f540c44c53" /><Relationship Type="http://schemas.openxmlformats.org/officeDocument/2006/relationships/image" Target="/xl/media/image907.jpg" Id="R1062929021e84efb" /><Relationship Type="http://schemas.openxmlformats.org/officeDocument/2006/relationships/image" Target="/xl/media/image908.jpg" Id="Rf7c24388d8c240d2" /><Relationship Type="http://schemas.openxmlformats.org/officeDocument/2006/relationships/image" Target="/xl/media/image909.jpg" Id="R7566b6a6e21947df" /><Relationship Type="http://schemas.openxmlformats.org/officeDocument/2006/relationships/image" Target="/xl/media/image910.jpg" Id="R0029d494f57747a2" /><Relationship Type="http://schemas.openxmlformats.org/officeDocument/2006/relationships/image" Target="/xl/media/image911.jpg" Id="R8684293b62a043bc" /><Relationship Type="http://schemas.openxmlformats.org/officeDocument/2006/relationships/image" Target="/xl/media/image912.jpg" Id="Re9293484cac1492b" /><Relationship Type="http://schemas.openxmlformats.org/officeDocument/2006/relationships/image" Target="/xl/media/image913.jpg" Id="R9aca4b87fb1a47c1" /><Relationship Type="http://schemas.openxmlformats.org/officeDocument/2006/relationships/image" Target="/xl/media/image914.jpg" Id="R2ae7ccdf733741ec" /><Relationship Type="http://schemas.openxmlformats.org/officeDocument/2006/relationships/image" Target="/xl/media/image915.jpg" Id="R518bcde585d544f8" /><Relationship Type="http://schemas.openxmlformats.org/officeDocument/2006/relationships/image" Target="/xl/media/image916.jpg" Id="R414cb62347ad4aee" /><Relationship Type="http://schemas.openxmlformats.org/officeDocument/2006/relationships/image" Target="/xl/media/image917.jpg" Id="R9d3e02e7a5e64b89" /><Relationship Type="http://schemas.openxmlformats.org/officeDocument/2006/relationships/image" Target="/xl/media/image918.jpg" Id="Ra0a6382cfaa14ef5" /><Relationship Type="http://schemas.openxmlformats.org/officeDocument/2006/relationships/image" Target="/xl/media/image919.jpg" Id="R152da712437e40bd" /><Relationship Type="http://schemas.openxmlformats.org/officeDocument/2006/relationships/image" Target="/xl/media/image920.jpg" Id="R17156c1250754ef5" /><Relationship Type="http://schemas.openxmlformats.org/officeDocument/2006/relationships/image" Target="/xl/media/image921.jpg" Id="R16362285ef124ddc" /><Relationship Type="http://schemas.openxmlformats.org/officeDocument/2006/relationships/image" Target="/xl/media/image922.jpg" Id="R11130a7f0d624a68" /><Relationship Type="http://schemas.openxmlformats.org/officeDocument/2006/relationships/image" Target="/xl/media/image923.jpg" Id="R173b13a835cd4108" /><Relationship Type="http://schemas.openxmlformats.org/officeDocument/2006/relationships/image" Target="/xl/media/image924.jpg" Id="R3b6605527cf94c99" /><Relationship Type="http://schemas.openxmlformats.org/officeDocument/2006/relationships/image" Target="/xl/media/image925.jpg" Id="R55b1d13b7db44017" /><Relationship Type="http://schemas.openxmlformats.org/officeDocument/2006/relationships/image" Target="/xl/media/image926.jpg" Id="Rf4885919d7a44c9b" /><Relationship Type="http://schemas.openxmlformats.org/officeDocument/2006/relationships/image" Target="/xl/media/image927.jpg" Id="R4bedc0a772504874" /><Relationship Type="http://schemas.openxmlformats.org/officeDocument/2006/relationships/image" Target="/xl/media/image928.jpg" Id="Re2cf8b919c7f43da" /><Relationship Type="http://schemas.openxmlformats.org/officeDocument/2006/relationships/image" Target="/xl/media/image929.jpg" Id="R1accf91fe0154cb6" /><Relationship Type="http://schemas.openxmlformats.org/officeDocument/2006/relationships/image" Target="/xl/media/image930.jpg" Id="Rcdd71f7569a6416f" /><Relationship Type="http://schemas.openxmlformats.org/officeDocument/2006/relationships/image" Target="/xl/media/image931.jpg" Id="Rd85ed6fdf50b48a9" /><Relationship Type="http://schemas.openxmlformats.org/officeDocument/2006/relationships/image" Target="/xl/media/image932.jpg" Id="Re1a9c5fd71b14e4b" /><Relationship Type="http://schemas.openxmlformats.org/officeDocument/2006/relationships/image" Target="/xl/media/image933.jpg" Id="Rd4f254014e7b490f" /><Relationship Type="http://schemas.openxmlformats.org/officeDocument/2006/relationships/image" Target="/xl/media/image934.jpg" Id="R2ebff60d0e094d68" /><Relationship Type="http://schemas.openxmlformats.org/officeDocument/2006/relationships/image" Target="/xl/media/image935.jpg" Id="R3f449b1150ef42e6" /><Relationship Type="http://schemas.openxmlformats.org/officeDocument/2006/relationships/image" Target="/xl/media/image936.jpg" Id="R0838d82c4a714721" /><Relationship Type="http://schemas.openxmlformats.org/officeDocument/2006/relationships/image" Target="/xl/media/image937.jpg" Id="R38a0f1dd47074da0" /><Relationship Type="http://schemas.openxmlformats.org/officeDocument/2006/relationships/image" Target="/xl/media/image938.jpg" Id="R23ce1ce0b9d84c75" /><Relationship Type="http://schemas.openxmlformats.org/officeDocument/2006/relationships/image" Target="/xl/media/image939.jpg" Id="R8f1cd4bac8944943" /><Relationship Type="http://schemas.openxmlformats.org/officeDocument/2006/relationships/image" Target="/xl/media/image940.jpg" Id="Rae3bc06da6564c77" /><Relationship Type="http://schemas.openxmlformats.org/officeDocument/2006/relationships/image" Target="/xl/media/image941.jpg" Id="R10709f96ba1f4633" /><Relationship Type="http://schemas.openxmlformats.org/officeDocument/2006/relationships/image" Target="/xl/media/image942.jpg" Id="R7ce1e68d2292462e" /><Relationship Type="http://schemas.openxmlformats.org/officeDocument/2006/relationships/image" Target="/xl/media/image943.jpg" Id="R796f94b982ea42c3" /><Relationship Type="http://schemas.openxmlformats.org/officeDocument/2006/relationships/image" Target="/xl/media/image944.jpg" Id="R8fc23b3a93814d38" /><Relationship Type="http://schemas.openxmlformats.org/officeDocument/2006/relationships/image" Target="/xl/media/image945.jpg" Id="R23bfd634e5c14609" /><Relationship Type="http://schemas.openxmlformats.org/officeDocument/2006/relationships/image" Target="/xl/media/image946.jpg" Id="Ra844603967484174" /><Relationship Type="http://schemas.openxmlformats.org/officeDocument/2006/relationships/image" Target="/xl/media/image947.jpg" Id="Rf1b8ebd6cd514e36" /><Relationship Type="http://schemas.openxmlformats.org/officeDocument/2006/relationships/image" Target="/xl/media/image948.jpg" Id="Rd798bf737ebd4ac5" /><Relationship Type="http://schemas.openxmlformats.org/officeDocument/2006/relationships/image" Target="/xl/media/image949.jpg" Id="Rd579fc823a5c4acb" /><Relationship Type="http://schemas.openxmlformats.org/officeDocument/2006/relationships/image" Target="/xl/media/image950.jpg" Id="R0e0b4c25292b4fc2" /><Relationship Type="http://schemas.openxmlformats.org/officeDocument/2006/relationships/image" Target="/xl/media/image951.jpg" Id="R7597409f002c47c5" /><Relationship Type="http://schemas.openxmlformats.org/officeDocument/2006/relationships/image" Target="/xl/media/image952.jpg" Id="Re24b66db13144ab0" /><Relationship Type="http://schemas.openxmlformats.org/officeDocument/2006/relationships/image" Target="/xl/media/image953.jpg" Id="R942d137be238429b" /><Relationship Type="http://schemas.openxmlformats.org/officeDocument/2006/relationships/image" Target="/xl/media/image954.jpg" Id="Rab4f177c4b374235" /><Relationship Type="http://schemas.openxmlformats.org/officeDocument/2006/relationships/image" Target="/xl/media/image955.jpg" Id="Rc323c4cadb6d445d" /><Relationship Type="http://schemas.openxmlformats.org/officeDocument/2006/relationships/image" Target="/xl/media/image956.jpg" Id="R21e79af5fad341c0" /><Relationship Type="http://schemas.openxmlformats.org/officeDocument/2006/relationships/image" Target="/xl/media/image957.jpg" Id="Rf5b44a1bbfab431c" /><Relationship Type="http://schemas.openxmlformats.org/officeDocument/2006/relationships/image" Target="/xl/media/image958.jpg" Id="R46e70beed3f9408f" /><Relationship Type="http://schemas.openxmlformats.org/officeDocument/2006/relationships/image" Target="/xl/media/image959.jpg" Id="R4f69cf6f6a154d9c" /><Relationship Type="http://schemas.openxmlformats.org/officeDocument/2006/relationships/image" Target="/xl/media/image960.jpg" Id="Rf4035cbcb67e400b" /><Relationship Type="http://schemas.openxmlformats.org/officeDocument/2006/relationships/image" Target="/xl/media/image961.jpg" Id="Raf545e31a11d437a" /><Relationship Type="http://schemas.openxmlformats.org/officeDocument/2006/relationships/image" Target="/xl/media/image962.jpg" Id="R732791c511a047a0" /><Relationship Type="http://schemas.openxmlformats.org/officeDocument/2006/relationships/image" Target="/xl/media/image963.jpg" Id="Reb37f62f4d124592" /><Relationship Type="http://schemas.openxmlformats.org/officeDocument/2006/relationships/image" Target="/xl/media/image964.jpg" Id="R1c6647c2b0874f04" /><Relationship Type="http://schemas.openxmlformats.org/officeDocument/2006/relationships/image" Target="/xl/media/image965.jpg" Id="R1ef9ff70f6e34db4" /><Relationship Type="http://schemas.openxmlformats.org/officeDocument/2006/relationships/image" Target="/xl/media/image966.jpg" Id="R7e707af65e444102" /><Relationship Type="http://schemas.openxmlformats.org/officeDocument/2006/relationships/image" Target="/xl/media/image967.jpg" Id="R59cf964674784f59" /><Relationship Type="http://schemas.openxmlformats.org/officeDocument/2006/relationships/image" Target="/xl/media/image968.jpg" Id="R3761fbff831943a1" /><Relationship Type="http://schemas.openxmlformats.org/officeDocument/2006/relationships/image" Target="/xl/media/image969.jpg" Id="Reea0620885fb47ef" /><Relationship Type="http://schemas.openxmlformats.org/officeDocument/2006/relationships/image" Target="/xl/media/image970.jpg" Id="R15fb62036ca94a68" /><Relationship Type="http://schemas.openxmlformats.org/officeDocument/2006/relationships/image" Target="/xl/media/image971.jpg" Id="R0a9e4bd5d9fc445d" /><Relationship Type="http://schemas.openxmlformats.org/officeDocument/2006/relationships/image" Target="/xl/media/image972.jpg" Id="R5c74f6293f254dbf" /><Relationship Type="http://schemas.openxmlformats.org/officeDocument/2006/relationships/image" Target="/xl/media/image973.jpg" Id="R406015fd36594e9b" /><Relationship Type="http://schemas.openxmlformats.org/officeDocument/2006/relationships/image" Target="/xl/media/image974.jpg" Id="R34a182bbdf034a7c" /><Relationship Type="http://schemas.openxmlformats.org/officeDocument/2006/relationships/image" Target="/xl/media/image975.jpg" Id="R972f535d4af1487f" /><Relationship Type="http://schemas.openxmlformats.org/officeDocument/2006/relationships/image" Target="/xl/media/image976.jpg" Id="Rc3f472ceea594491" /><Relationship Type="http://schemas.openxmlformats.org/officeDocument/2006/relationships/image" Target="/xl/media/image977.jpg" Id="R3414263be09a48ba" /><Relationship Type="http://schemas.openxmlformats.org/officeDocument/2006/relationships/image" Target="/xl/media/image978.jpg" Id="R8d9afd11f4eb41e1" /><Relationship Type="http://schemas.openxmlformats.org/officeDocument/2006/relationships/image" Target="/xl/media/image979.jpg" Id="R258e90c8d31846d1" /><Relationship Type="http://schemas.openxmlformats.org/officeDocument/2006/relationships/image" Target="/xl/media/image980.jpg" Id="R81ab2c903f084ad0" /><Relationship Type="http://schemas.openxmlformats.org/officeDocument/2006/relationships/image" Target="/xl/media/image981.jpg" Id="Rf9d032bd80684384" /><Relationship Type="http://schemas.openxmlformats.org/officeDocument/2006/relationships/image" Target="/xl/media/image982.jpg" Id="Rc4dc66b875744236" /><Relationship Type="http://schemas.openxmlformats.org/officeDocument/2006/relationships/image" Target="/xl/media/image983.jpg" Id="Rd32bc27a058d4fde" /><Relationship Type="http://schemas.openxmlformats.org/officeDocument/2006/relationships/image" Target="/xl/media/image984.jpg" Id="R49e022724461498d" /><Relationship Type="http://schemas.openxmlformats.org/officeDocument/2006/relationships/image" Target="/xl/media/image985.jpg" Id="Rccaa78d7c6a6423d" /><Relationship Type="http://schemas.openxmlformats.org/officeDocument/2006/relationships/image" Target="/xl/media/image986.jpg" Id="R6bc1b3c1173244de" /><Relationship Type="http://schemas.openxmlformats.org/officeDocument/2006/relationships/image" Target="/xl/media/image987.jpg" Id="Ra89e217305544b4b" /><Relationship Type="http://schemas.openxmlformats.org/officeDocument/2006/relationships/image" Target="/xl/media/image988.jpg" Id="R1d2fe9dccc5f4843" /><Relationship Type="http://schemas.openxmlformats.org/officeDocument/2006/relationships/image" Target="/xl/media/image989.jpg" Id="Rd3ca208bead84c01" /><Relationship Type="http://schemas.openxmlformats.org/officeDocument/2006/relationships/image" Target="/xl/media/image990.jpg" Id="Rb1b9a82fa2fc48a4" /><Relationship Type="http://schemas.openxmlformats.org/officeDocument/2006/relationships/image" Target="/xl/media/image991.jpg" Id="R5c7b382c30a04ed1" /><Relationship Type="http://schemas.openxmlformats.org/officeDocument/2006/relationships/image" Target="/xl/media/image992.jpg" Id="R666e8639ef5140e0" /><Relationship Type="http://schemas.openxmlformats.org/officeDocument/2006/relationships/image" Target="/xl/media/image993.jpg" Id="R537b43e03c7644fd" /><Relationship Type="http://schemas.openxmlformats.org/officeDocument/2006/relationships/image" Target="/xl/media/image994.jpg" Id="R2b38528450b541df" /><Relationship Type="http://schemas.openxmlformats.org/officeDocument/2006/relationships/image" Target="/xl/media/image995.jpg" Id="Rdab1dc33ef204b5d" /><Relationship Type="http://schemas.openxmlformats.org/officeDocument/2006/relationships/image" Target="/xl/media/image996.jpg" Id="R24b743f5a8394221" /><Relationship Type="http://schemas.openxmlformats.org/officeDocument/2006/relationships/image" Target="/xl/media/image997.jpg" Id="R6549f2eb67c8479e" /><Relationship Type="http://schemas.openxmlformats.org/officeDocument/2006/relationships/image" Target="/xl/media/image998.jpg" Id="Rb29751f2e2dd437b" /><Relationship Type="http://schemas.openxmlformats.org/officeDocument/2006/relationships/image" Target="/xl/media/image999.jpg" Id="Re80f5b627bd74872" /><Relationship Type="http://schemas.openxmlformats.org/officeDocument/2006/relationships/image" Target="/xl/media/image1000.jpg" Id="R4db586a4b0094aa6" /><Relationship Type="http://schemas.openxmlformats.org/officeDocument/2006/relationships/image" Target="/xl/media/image1001.jpg" Id="R7f432173c1634ae9" /><Relationship Type="http://schemas.openxmlformats.org/officeDocument/2006/relationships/image" Target="/xl/media/image1002.jpg" Id="Rebe2ebe2e7344b64" /><Relationship Type="http://schemas.openxmlformats.org/officeDocument/2006/relationships/image" Target="/xl/media/image1003.jpg" Id="Rfa002b84d96840c2" /><Relationship Type="http://schemas.openxmlformats.org/officeDocument/2006/relationships/image" Target="/xl/media/image1004.jpg" Id="R2aef677f273b47c3" /><Relationship Type="http://schemas.openxmlformats.org/officeDocument/2006/relationships/image" Target="/xl/media/image1005.jpg" Id="R900d9033912f4b9d" /><Relationship Type="http://schemas.openxmlformats.org/officeDocument/2006/relationships/image" Target="/xl/media/image1006.jpg" Id="Rc75e783cd542498c" /><Relationship Type="http://schemas.openxmlformats.org/officeDocument/2006/relationships/image" Target="/xl/media/image1007.jpg" Id="R91c26c01e4a840dc" /><Relationship Type="http://schemas.openxmlformats.org/officeDocument/2006/relationships/image" Target="/xl/media/image1008.jpg" Id="R1b918f702ece4aa3" /><Relationship Type="http://schemas.openxmlformats.org/officeDocument/2006/relationships/image" Target="/xl/media/image1009.jpg" Id="R1984ee8aadf943e6" /><Relationship Type="http://schemas.openxmlformats.org/officeDocument/2006/relationships/image" Target="/xl/media/image1010.jpg" Id="R04ddd7759bf94098" /><Relationship Type="http://schemas.openxmlformats.org/officeDocument/2006/relationships/image" Target="/xl/media/image1011.jpg" Id="R85020980bb36421c" /><Relationship Type="http://schemas.openxmlformats.org/officeDocument/2006/relationships/image" Target="/xl/media/image1012.jpg" Id="R927a649a0ae74cce" /><Relationship Type="http://schemas.openxmlformats.org/officeDocument/2006/relationships/image" Target="/xl/media/image1013.jpg" Id="R9d7a832ef1344b27" /><Relationship Type="http://schemas.openxmlformats.org/officeDocument/2006/relationships/image" Target="/xl/media/image1014.jpg" Id="R7e8aae80c90249c8" /><Relationship Type="http://schemas.openxmlformats.org/officeDocument/2006/relationships/image" Target="/xl/media/image1015.jpg" Id="R13151780345f4bc1" /><Relationship Type="http://schemas.openxmlformats.org/officeDocument/2006/relationships/image" Target="/xl/media/image1016.jpg" Id="R87d570deb8bd44b4" /><Relationship Type="http://schemas.openxmlformats.org/officeDocument/2006/relationships/image" Target="/xl/media/image1017.jpg" Id="Re4b5c6640f6841d3" /><Relationship Type="http://schemas.openxmlformats.org/officeDocument/2006/relationships/image" Target="/xl/media/image1018.jpg" Id="Re202d66570cb4c87" /><Relationship Type="http://schemas.openxmlformats.org/officeDocument/2006/relationships/image" Target="/xl/media/image1019.jpg" Id="Rf87e91360e6349bd" /><Relationship Type="http://schemas.openxmlformats.org/officeDocument/2006/relationships/image" Target="/xl/media/image1020.jpg" Id="R12d3016647654470" /><Relationship Type="http://schemas.openxmlformats.org/officeDocument/2006/relationships/image" Target="/xl/media/image1021.jpg" Id="Rd38f4a64f1d3483b" /><Relationship Type="http://schemas.openxmlformats.org/officeDocument/2006/relationships/image" Target="/xl/media/image1022.jpg" Id="R18329d8879af40b0" /><Relationship Type="http://schemas.openxmlformats.org/officeDocument/2006/relationships/image" Target="/xl/media/image1023.jpg" Id="Rf4890d1519af4a52" /><Relationship Type="http://schemas.openxmlformats.org/officeDocument/2006/relationships/image" Target="/xl/media/image1024.jpg" Id="R7f8451ad1f6f4714" /><Relationship Type="http://schemas.openxmlformats.org/officeDocument/2006/relationships/image" Target="/xl/media/image1025.jpg" Id="Rc713391edcf04f32" /><Relationship Type="http://schemas.openxmlformats.org/officeDocument/2006/relationships/image" Target="/xl/media/image1026.jpg" Id="R5d9f3540949748d3" /><Relationship Type="http://schemas.openxmlformats.org/officeDocument/2006/relationships/image" Target="/xl/media/image1027.jpg" Id="R0a5798ade1ff4781" /><Relationship Type="http://schemas.openxmlformats.org/officeDocument/2006/relationships/image" Target="/xl/media/image1028.jpg" Id="R520767d527cc4248" /><Relationship Type="http://schemas.openxmlformats.org/officeDocument/2006/relationships/image" Target="/xl/media/image1029.jpg" Id="R98cef2e4dd304efd" /><Relationship Type="http://schemas.openxmlformats.org/officeDocument/2006/relationships/image" Target="/xl/media/image1030.jpg" Id="R8c0d0a22e4e746c3" /><Relationship Type="http://schemas.openxmlformats.org/officeDocument/2006/relationships/image" Target="/xl/media/image1031.jpg" Id="R7b9b7b875dac4e13" /><Relationship Type="http://schemas.openxmlformats.org/officeDocument/2006/relationships/image" Target="/xl/media/image1032.jpg" Id="Rf1afbe178ba8400c" /><Relationship Type="http://schemas.openxmlformats.org/officeDocument/2006/relationships/image" Target="/xl/media/image1033.jpg" Id="Ra3b209ca7d214a00" /><Relationship Type="http://schemas.openxmlformats.org/officeDocument/2006/relationships/image" Target="/xl/media/image1034.jpg" Id="R1590f54c72b141e8" /><Relationship Type="http://schemas.openxmlformats.org/officeDocument/2006/relationships/image" Target="/xl/media/image1035.jpg" Id="Rd1daaecbdb6f460f" /><Relationship Type="http://schemas.openxmlformats.org/officeDocument/2006/relationships/image" Target="/xl/media/image1036.jpg" Id="R79ca739f238d4b7e" /><Relationship Type="http://schemas.openxmlformats.org/officeDocument/2006/relationships/image" Target="/xl/media/image1037.jpg" Id="R9e0c2b3d21ba46f4" /><Relationship Type="http://schemas.openxmlformats.org/officeDocument/2006/relationships/image" Target="/xl/media/image1038.jpg" Id="Rf625b7b63a0d42ae" /><Relationship Type="http://schemas.openxmlformats.org/officeDocument/2006/relationships/image" Target="/xl/media/image1039.jpg" Id="Rebccdf71d3614a31" /><Relationship Type="http://schemas.openxmlformats.org/officeDocument/2006/relationships/image" Target="/xl/media/image1040.jpg" Id="R073f7c62dcfd4e28" /><Relationship Type="http://schemas.openxmlformats.org/officeDocument/2006/relationships/image" Target="/xl/media/image1041.jpg" Id="Rf9811c8a2f214e5b" /><Relationship Type="http://schemas.openxmlformats.org/officeDocument/2006/relationships/image" Target="/xl/media/image1042.jpg" Id="R0150bb8e81fe4954" /><Relationship Type="http://schemas.openxmlformats.org/officeDocument/2006/relationships/image" Target="/xl/media/image1043.jpg" Id="R6caece5bf202442d" /><Relationship Type="http://schemas.openxmlformats.org/officeDocument/2006/relationships/image" Target="/xl/media/image1044.jpg" Id="R509968f1fd5549d7" /><Relationship Type="http://schemas.openxmlformats.org/officeDocument/2006/relationships/image" Target="/xl/media/image1045.jpg" Id="R5d78e89cf94a4aa4" /><Relationship Type="http://schemas.openxmlformats.org/officeDocument/2006/relationships/image" Target="/xl/media/image1046.jpg" Id="R66f8426e468d4171" /><Relationship Type="http://schemas.openxmlformats.org/officeDocument/2006/relationships/image" Target="/xl/media/image1047.jpg" Id="R342d4e2d28474635" /><Relationship Type="http://schemas.openxmlformats.org/officeDocument/2006/relationships/image" Target="/xl/media/image1048.jpg" Id="R98d3832242254cfd" /><Relationship Type="http://schemas.openxmlformats.org/officeDocument/2006/relationships/image" Target="/xl/media/image1049.jpg" Id="R6df436525682470b" /><Relationship Type="http://schemas.openxmlformats.org/officeDocument/2006/relationships/image" Target="/xl/media/image1050.jpg" Id="R038bd9c700994257" /><Relationship Type="http://schemas.openxmlformats.org/officeDocument/2006/relationships/image" Target="/xl/media/image1051.jpg" Id="R941ca0834b09422e" /><Relationship Type="http://schemas.openxmlformats.org/officeDocument/2006/relationships/image" Target="/xl/media/image1052.jpg" Id="Rc747d12c22a142f6" /><Relationship Type="http://schemas.openxmlformats.org/officeDocument/2006/relationships/image" Target="/xl/media/image1053.jpg" Id="R8a1eea932d1f4bee" /><Relationship Type="http://schemas.openxmlformats.org/officeDocument/2006/relationships/image" Target="/xl/media/image1054.jpg" Id="Rae5a759517f747df" /><Relationship Type="http://schemas.openxmlformats.org/officeDocument/2006/relationships/image" Target="/xl/media/image1055.jpg" Id="R1742a6d6567f48e1" /><Relationship Type="http://schemas.openxmlformats.org/officeDocument/2006/relationships/image" Target="/xl/media/image1056.jpg" Id="Rf85cfbc1577940fc" /><Relationship Type="http://schemas.openxmlformats.org/officeDocument/2006/relationships/image" Target="/xl/media/image1057.jpg" Id="Rc22d9ae61f59455e" /><Relationship Type="http://schemas.openxmlformats.org/officeDocument/2006/relationships/image" Target="/xl/media/image1058.jpg" Id="R4d49a1f1822c453a" /><Relationship Type="http://schemas.openxmlformats.org/officeDocument/2006/relationships/image" Target="/xl/media/image1059.jpg" Id="R87c4499d54314a93" /><Relationship Type="http://schemas.openxmlformats.org/officeDocument/2006/relationships/image" Target="/xl/media/image1060.jpg" Id="R01705951c6354d78" /><Relationship Type="http://schemas.openxmlformats.org/officeDocument/2006/relationships/image" Target="/xl/media/image1061.jpg" Id="Ra53e53346ca8400b" /><Relationship Type="http://schemas.openxmlformats.org/officeDocument/2006/relationships/image" Target="/xl/media/image1062.jpg" Id="R53b80e2c0ec34dc3" /><Relationship Type="http://schemas.openxmlformats.org/officeDocument/2006/relationships/image" Target="/xl/media/image1063.jpg" Id="Rc96f588f35174801" /><Relationship Type="http://schemas.openxmlformats.org/officeDocument/2006/relationships/image" Target="/xl/media/image1064.jpg" Id="R78372286dfab4725" /><Relationship Type="http://schemas.openxmlformats.org/officeDocument/2006/relationships/image" Target="/xl/media/image1065.jpg" Id="Raaee2955246a4ca1" /><Relationship Type="http://schemas.openxmlformats.org/officeDocument/2006/relationships/image" Target="/xl/media/image1066.jpg" Id="Ra091bd0a6da340c2" /><Relationship Type="http://schemas.openxmlformats.org/officeDocument/2006/relationships/image" Target="/xl/media/image1067.jpg" Id="Rd7645592b8fa46cc" /><Relationship Type="http://schemas.openxmlformats.org/officeDocument/2006/relationships/image" Target="/xl/media/image1068.jpg" Id="R339bc02e47434a51" /><Relationship Type="http://schemas.openxmlformats.org/officeDocument/2006/relationships/image" Target="/xl/media/image1069.jpg" Id="Ra94d8965300e4708" /><Relationship Type="http://schemas.openxmlformats.org/officeDocument/2006/relationships/image" Target="/xl/media/image1070.jpg" Id="R938b11c49bd44b94" /><Relationship Type="http://schemas.openxmlformats.org/officeDocument/2006/relationships/image" Target="/xl/media/image1071.jpg" Id="R2249c1026e0c4763" /><Relationship Type="http://schemas.openxmlformats.org/officeDocument/2006/relationships/image" Target="/xl/media/image1072.jpg" Id="Rc2b56a40e48f4a0b" /><Relationship Type="http://schemas.openxmlformats.org/officeDocument/2006/relationships/image" Target="/xl/media/image1073.jpg" Id="Rc3611cc44bf14937" /><Relationship Type="http://schemas.openxmlformats.org/officeDocument/2006/relationships/image" Target="/xl/media/image1074.jpg" Id="R8a9f8086585d453f" /><Relationship Type="http://schemas.openxmlformats.org/officeDocument/2006/relationships/image" Target="/xl/media/image1075.jpg" Id="R47a92e38a4de4aa9" /><Relationship Type="http://schemas.openxmlformats.org/officeDocument/2006/relationships/image" Target="/xl/media/image1076.jpg" Id="Rdd3d2dd42e68431f" /><Relationship Type="http://schemas.openxmlformats.org/officeDocument/2006/relationships/image" Target="/xl/media/image1077.jpg" Id="Rec4b32ddff81465d" /><Relationship Type="http://schemas.openxmlformats.org/officeDocument/2006/relationships/image" Target="/xl/media/image1078.jpg" Id="Rcf76b1345d974411" /><Relationship Type="http://schemas.openxmlformats.org/officeDocument/2006/relationships/image" Target="/xl/media/image1079.jpg" Id="R448a69ddd6f94a6a" /><Relationship Type="http://schemas.openxmlformats.org/officeDocument/2006/relationships/image" Target="/xl/media/image1080.jpg" Id="Rb49b85bc86d04324" /><Relationship Type="http://schemas.openxmlformats.org/officeDocument/2006/relationships/image" Target="/xl/media/image1081.jpg" Id="R3904dd59f5914a41" /><Relationship Type="http://schemas.openxmlformats.org/officeDocument/2006/relationships/image" Target="/xl/media/image1082.jpg" Id="R537cf968b54c4723" /><Relationship Type="http://schemas.openxmlformats.org/officeDocument/2006/relationships/image" Target="/xl/media/image1083.jpg" Id="Rc0ff78a8a0324ca4" /><Relationship Type="http://schemas.openxmlformats.org/officeDocument/2006/relationships/image" Target="/xl/media/image1084.jpg" Id="R8b97a02d0aca44d0" /><Relationship Type="http://schemas.openxmlformats.org/officeDocument/2006/relationships/image" Target="/xl/media/image1085.jpg" Id="Rad52e7f53e0e49c9" /><Relationship Type="http://schemas.openxmlformats.org/officeDocument/2006/relationships/image" Target="/xl/media/image1086.jpg" Id="R1ac4844024a14112" /><Relationship Type="http://schemas.openxmlformats.org/officeDocument/2006/relationships/image" Target="/xl/media/image1087.jpg" Id="R1eabfa69ca424c63" /><Relationship Type="http://schemas.openxmlformats.org/officeDocument/2006/relationships/image" Target="/xl/media/image1088.jpg" Id="Rbc35e9e97ab84dc4" /><Relationship Type="http://schemas.openxmlformats.org/officeDocument/2006/relationships/image" Target="/xl/media/image1089.jpg" Id="R4a4b35de0e6a48de" /><Relationship Type="http://schemas.openxmlformats.org/officeDocument/2006/relationships/image" Target="/xl/media/image1090.jpg" Id="R456b7b966771434c" /><Relationship Type="http://schemas.openxmlformats.org/officeDocument/2006/relationships/image" Target="/xl/media/image1091.jpg" Id="R75ad8f6d45154981" /><Relationship Type="http://schemas.openxmlformats.org/officeDocument/2006/relationships/image" Target="/xl/media/image1092.jpg" Id="R570c77267ccd46ab" /><Relationship Type="http://schemas.openxmlformats.org/officeDocument/2006/relationships/image" Target="/xl/media/image1093.jpg" Id="R6be54a36458943c3" /><Relationship Type="http://schemas.openxmlformats.org/officeDocument/2006/relationships/image" Target="/xl/media/image1094.jpg" Id="Rb2b0837224e64a71" /><Relationship Type="http://schemas.openxmlformats.org/officeDocument/2006/relationships/image" Target="/xl/media/image1095.jpg" Id="R701fb402796441b8" /><Relationship Type="http://schemas.openxmlformats.org/officeDocument/2006/relationships/image" Target="/xl/media/image1096.jpg" Id="R15b4ac6d74e24489" /><Relationship Type="http://schemas.openxmlformats.org/officeDocument/2006/relationships/image" Target="/xl/media/image1097.jpg" Id="Ra1e7c4461f5046ba" /><Relationship Type="http://schemas.openxmlformats.org/officeDocument/2006/relationships/image" Target="/xl/media/image1098.jpg" Id="R4ddc8a2b49bf4b29" /><Relationship Type="http://schemas.openxmlformats.org/officeDocument/2006/relationships/image" Target="/xl/media/image1099.jpg" Id="R2dd9f18d4a644adb" /><Relationship Type="http://schemas.openxmlformats.org/officeDocument/2006/relationships/image" Target="/xl/media/image1100.jpg" Id="R620fd92987244414" /><Relationship Type="http://schemas.openxmlformats.org/officeDocument/2006/relationships/image" Target="/xl/media/image1101.jpg" Id="R1387111075de4144" /><Relationship Type="http://schemas.openxmlformats.org/officeDocument/2006/relationships/image" Target="/xl/media/image1102.jpg" Id="Rf188b7fbb33540cb" /><Relationship Type="http://schemas.openxmlformats.org/officeDocument/2006/relationships/image" Target="/xl/media/image1103.jpg" Id="Refdbd908a8bc4da5" /><Relationship Type="http://schemas.openxmlformats.org/officeDocument/2006/relationships/image" Target="/xl/media/image1104.jpg" Id="R6caf12286ca74bd3" /><Relationship Type="http://schemas.openxmlformats.org/officeDocument/2006/relationships/image" Target="/xl/media/image1105.jpg" Id="R89284fbba39d4372" /><Relationship Type="http://schemas.openxmlformats.org/officeDocument/2006/relationships/image" Target="/xl/media/image1106.jpg" Id="R6fcf856b431843a6" /><Relationship Type="http://schemas.openxmlformats.org/officeDocument/2006/relationships/image" Target="/xl/media/image1107.jpg" Id="Rddee48659f4a472f" /><Relationship Type="http://schemas.openxmlformats.org/officeDocument/2006/relationships/image" Target="/xl/media/image1108.jpg" Id="R223e5f256dca4bc3" /><Relationship Type="http://schemas.openxmlformats.org/officeDocument/2006/relationships/image" Target="/xl/media/image1109.jpg" Id="R62b890736ccf464d" /><Relationship Type="http://schemas.openxmlformats.org/officeDocument/2006/relationships/image" Target="/xl/media/image1110.jpg" Id="R05fdce72b27f4114" /><Relationship Type="http://schemas.openxmlformats.org/officeDocument/2006/relationships/image" Target="/xl/media/image1111.jpg" Id="R77146ad385cf4ed8" /><Relationship Type="http://schemas.openxmlformats.org/officeDocument/2006/relationships/image" Target="/xl/media/image1112.jpg" Id="R8ce823db1dae4ded" /><Relationship Type="http://schemas.openxmlformats.org/officeDocument/2006/relationships/image" Target="/xl/media/image1113.jpg" Id="Rdab995b550f14cf3" /><Relationship Type="http://schemas.openxmlformats.org/officeDocument/2006/relationships/image" Target="/xl/media/image1114.jpg" Id="Raea6787215aa4f27" /><Relationship Type="http://schemas.openxmlformats.org/officeDocument/2006/relationships/image" Target="/xl/media/image1115.jpg" Id="Rf0fe0e95532f4075" /><Relationship Type="http://schemas.openxmlformats.org/officeDocument/2006/relationships/image" Target="/xl/media/image1116.jpg" Id="R59d5ce5199f54969" /><Relationship Type="http://schemas.openxmlformats.org/officeDocument/2006/relationships/image" Target="/xl/media/image1117.jpg" Id="Rdbf46a252b804b50" /><Relationship Type="http://schemas.openxmlformats.org/officeDocument/2006/relationships/image" Target="/xl/media/image1118.jpg" Id="Rc20e30d433fe4492" /><Relationship Type="http://schemas.openxmlformats.org/officeDocument/2006/relationships/image" Target="/xl/media/image1119.jpg" Id="R0ce406eca4f14ea1" /><Relationship Type="http://schemas.openxmlformats.org/officeDocument/2006/relationships/image" Target="/xl/media/image1120.jpg" Id="R6b3c333966594418" /><Relationship Type="http://schemas.openxmlformats.org/officeDocument/2006/relationships/image" Target="/xl/media/image1121.jpg" Id="R991ecd403cd54ca0" /><Relationship Type="http://schemas.openxmlformats.org/officeDocument/2006/relationships/image" Target="/xl/media/image1122.jpg" Id="R9395648e8eb74e7a" /><Relationship Type="http://schemas.openxmlformats.org/officeDocument/2006/relationships/image" Target="/xl/media/image1123.jpg" Id="Rd9fbad33db9047ad" /><Relationship Type="http://schemas.openxmlformats.org/officeDocument/2006/relationships/image" Target="/xl/media/image1124.jpg" Id="R9338c9ba546b4cdb" /><Relationship Type="http://schemas.openxmlformats.org/officeDocument/2006/relationships/image" Target="/xl/media/image1125.jpg" Id="R9c617828c58044b1" /><Relationship Type="http://schemas.openxmlformats.org/officeDocument/2006/relationships/image" Target="/xl/media/image1126.jpg" Id="R7edd4dc7a17b4b89" /><Relationship Type="http://schemas.openxmlformats.org/officeDocument/2006/relationships/image" Target="/xl/media/image1127.jpg" Id="R5a99418a797949ce" /><Relationship Type="http://schemas.openxmlformats.org/officeDocument/2006/relationships/image" Target="/xl/media/image1128.jpg" Id="R4831440d9ea14ba2" /><Relationship Type="http://schemas.openxmlformats.org/officeDocument/2006/relationships/image" Target="/xl/media/image1129.jpg" Id="Rac8dcf796ba3415a" /><Relationship Type="http://schemas.openxmlformats.org/officeDocument/2006/relationships/image" Target="/xl/media/image1130.jpg" Id="R8c651c9862594867" /><Relationship Type="http://schemas.openxmlformats.org/officeDocument/2006/relationships/image" Target="/xl/media/image1131.jpg" Id="R83ddd1a504594afb" /><Relationship Type="http://schemas.openxmlformats.org/officeDocument/2006/relationships/image" Target="/xl/media/image1132.jpg" Id="R28779390888c47b1" /><Relationship Type="http://schemas.openxmlformats.org/officeDocument/2006/relationships/image" Target="/xl/media/image1133.jpg" Id="R6fe324abc5fa4cd6" /><Relationship Type="http://schemas.openxmlformats.org/officeDocument/2006/relationships/image" Target="/xl/media/image1134.jpg" Id="Rfcb61b29a2de4250" /><Relationship Type="http://schemas.openxmlformats.org/officeDocument/2006/relationships/image" Target="/xl/media/image1135.jpg" Id="R570b6b80b8bd4702" /><Relationship Type="http://schemas.openxmlformats.org/officeDocument/2006/relationships/image" Target="/xl/media/image1136.jpg" Id="Rc907d7e99c5d43ee" /><Relationship Type="http://schemas.openxmlformats.org/officeDocument/2006/relationships/image" Target="/xl/media/image1137.jpg" Id="R31e1232bdc014830" /><Relationship Type="http://schemas.openxmlformats.org/officeDocument/2006/relationships/image" Target="/xl/media/image1138.jpg" Id="R41850cfd0d8b4938" /><Relationship Type="http://schemas.openxmlformats.org/officeDocument/2006/relationships/image" Target="/xl/media/image1139.jpg" Id="Rf99bfe70a6054192" /><Relationship Type="http://schemas.openxmlformats.org/officeDocument/2006/relationships/image" Target="/xl/media/image1140.jpg" Id="R6daf3a1c51204562" /><Relationship Type="http://schemas.openxmlformats.org/officeDocument/2006/relationships/image" Target="/xl/media/image1141.jpg" Id="R81f5ddac52414a37" /><Relationship Type="http://schemas.openxmlformats.org/officeDocument/2006/relationships/image" Target="/xl/media/image1142.jpg" Id="Rbf593675bf0e48b8" /><Relationship Type="http://schemas.openxmlformats.org/officeDocument/2006/relationships/image" Target="/xl/media/image1143.jpg" Id="R5f2080a5a2814948" /><Relationship Type="http://schemas.openxmlformats.org/officeDocument/2006/relationships/image" Target="/xl/media/image1144.jpg" Id="Rbb5edc37e4514096" /><Relationship Type="http://schemas.openxmlformats.org/officeDocument/2006/relationships/image" Target="/xl/media/image1145.jpg" Id="Ra7c83d76df5e45b2" /><Relationship Type="http://schemas.openxmlformats.org/officeDocument/2006/relationships/image" Target="/xl/media/image1146.jpg" Id="Re2b2f3670a8c462d" /><Relationship Type="http://schemas.openxmlformats.org/officeDocument/2006/relationships/image" Target="/xl/media/image1147.jpg" Id="R37295aeea434404b" /><Relationship Type="http://schemas.openxmlformats.org/officeDocument/2006/relationships/image" Target="/xl/media/image1148.jpg" Id="R2df23566fb0e4237" /><Relationship Type="http://schemas.openxmlformats.org/officeDocument/2006/relationships/image" Target="/xl/media/image1149.jpg" Id="Ra7f7fa424f3c4f92" /><Relationship Type="http://schemas.openxmlformats.org/officeDocument/2006/relationships/image" Target="/xl/media/image1150.jpg" Id="R5147b33082cf467f" /><Relationship Type="http://schemas.openxmlformats.org/officeDocument/2006/relationships/image" Target="/xl/media/image1151.jpg" Id="R2d8ecc4a3bae4588" /><Relationship Type="http://schemas.openxmlformats.org/officeDocument/2006/relationships/image" Target="/xl/media/image1152.jpg" Id="Re0e8f7571cbe4d5f" /><Relationship Type="http://schemas.openxmlformats.org/officeDocument/2006/relationships/image" Target="/xl/media/image1153.jpg" Id="Rfc555dc2ead341a4" /><Relationship Type="http://schemas.openxmlformats.org/officeDocument/2006/relationships/image" Target="/xl/media/image1154.jpg" Id="Rfd28c808de274327" /><Relationship Type="http://schemas.openxmlformats.org/officeDocument/2006/relationships/image" Target="/xl/media/image1155.jpg" Id="Rd567a6f3e22b4dc8" /><Relationship Type="http://schemas.openxmlformats.org/officeDocument/2006/relationships/image" Target="/xl/media/image1156.jpg" Id="Rd690b5a764cb4453" /><Relationship Type="http://schemas.openxmlformats.org/officeDocument/2006/relationships/image" Target="/xl/media/image1157.jpg" Id="Rd039a3a3ea6c429a" /><Relationship Type="http://schemas.openxmlformats.org/officeDocument/2006/relationships/image" Target="/xl/media/image1158.jpg" Id="Rda55959e9fb74a0b" /><Relationship Type="http://schemas.openxmlformats.org/officeDocument/2006/relationships/image" Target="/xl/media/image1159.jpg" Id="R61f0868ee18845b5" /><Relationship Type="http://schemas.openxmlformats.org/officeDocument/2006/relationships/image" Target="/xl/media/image1160.jpg" Id="Ra202b00aadf74f2f" /><Relationship Type="http://schemas.openxmlformats.org/officeDocument/2006/relationships/image" Target="/xl/media/image1161.jpg" Id="Ra5160635b58742ca" /><Relationship Type="http://schemas.openxmlformats.org/officeDocument/2006/relationships/image" Target="/xl/media/image1162.jpg" Id="R7645bcc5b0054e8f" /><Relationship Type="http://schemas.openxmlformats.org/officeDocument/2006/relationships/image" Target="/xl/media/image1163.jpg" Id="R2229ec3fd03e4c0c" /><Relationship Type="http://schemas.openxmlformats.org/officeDocument/2006/relationships/image" Target="/xl/media/image1164.jpg" Id="R6a94c91c271d44b4" /><Relationship Type="http://schemas.openxmlformats.org/officeDocument/2006/relationships/image" Target="/xl/media/image1165.jpg" Id="R6accd6c262864d32" /><Relationship Type="http://schemas.openxmlformats.org/officeDocument/2006/relationships/image" Target="/xl/media/image1166.jpg" Id="R367f8af6e28f477a" /><Relationship Type="http://schemas.openxmlformats.org/officeDocument/2006/relationships/image" Target="/xl/media/image1167.jpg" Id="Rd143cde591fa47c2" /><Relationship Type="http://schemas.openxmlformats.org/officeDocument/2006/relationships/image" Target="/xl/media/image1168.jpg" Id="R0eeae27efda941a9" /><Relationship Type="http://schemas.openxmlformats.org/officeDocument/2006/relationships/image" Target="/xl/media/image1169.jpg" Id="Rf94ad91d738940c2" /><Relationship Type="http://schemas.openxmlformats.org/officeDocument/2006/relationships/image" Target="/xl/media/image1170.jpg" Id="R8271f715a3c14f49" /><Relationship Type="http://schemas.openxmlformats.org/officeDocument/2006/relationships/image" Target="/xl/media/image1171.jpg" Id="R42ea190bafa94e25" /><Relationship Type="http://schemas.openxmlformats.org/officeDocument/2006/relationships/image" Target="/xl/media/image1172.jpg" Id="Rdeec9dbc81714f83" /><Relationship Type="http://schemas.openxmlformats.org/officeDocument/2006/relationships/image" Target="/xl/media/image1173.jpg" Id="R1b73f6bfc13643bf" /><Relationship Type="http://schemas.openxmlformats.org/officeDocument/2006/relationships/image" Target="/xl/media/image1174.jpg" Id="R76b98573da1a4486" /><Relationship Type="http://schemas.openxmlformats.org/officeDocument/2006/relationships/image" Target="/xl/media/image1175.jpg" Id="Re3c6883fc52c4540" /><Relationship Type="http://schemas.openxmlformats.org/officeDocument/2006/relationships/image" Target="/xl/media/image1176.jpg" Id="R6ac46f3a50af4a57" /><Relationship Type="http://schemas.openxmlformats.org/officeDocument/2006/relationships/image" Target="/xl/media/image1177.jpg" Id="R3b35086280af48fd" /><Relationship Type="http://schemas.openxmlformats.org/officeDocument/2006/relationships/image" Target="/xl/media/image1178.jpg" Id="Rb8b0ed8432f141a6" /><Relationship Type="http://schemas.openxmlformats.org/officeDocument/2006/relationships/image" Target="/xl/media/image1179.jpg" Id="R4eea818213504af8" /><Relationship Type="http://schemas.openxmlformats.org/officeDocument/2006/relationships/image" Target="/xl/media/image1180.jpg" Id="R67f9059e2e4f468d" /><Relationship Type="http://schemas.openxmlformats.org/officeDocument/2006/relationships/image" Target="/xl/media/image1181.jpg" Id="R8afbd8bc94464731" /><Relationship Type="http://schemas.openxmlformats.org/officeDocument/2006/relationships/image" Target="/xl/media/image1182.jpg" Id="Rd6c16cbc46ef40cd" /><Relationship Type="http://schemas.openxmlformats.org/officeDocument/2006/relationships/image" Target="/xl/media/image1183.jpg" Id="R737bbc26a3514e77" /><Relationship Type="http://schemas.openxmlformats.org/officeDocument/2006/relationships/image" Target="/xl/media/image1184.jpg" Id="R493c8ff0a3bb47dd" /><Relationship Type="http://schemas.openxmlformats.org/officeDocument/2006/relationships/image" Target="/xl/media/image1185.jpg" Id="R4b6dd7cbb5cd49e7" /><Relationship Type="http://schemas.openxmlformats.org/officeDocument/2006/relationships/image" Target="/xl/media/image1186.jpg" Id="R4279d0a4a8e34376" /><Relationship Type="http://schemas.openxmlformats.org/officeDocument/2006/relationships/image" Target="/xl/media/image1187.jpg" Id="Rf4c887eac5604922" /><Relationship Type="http://schemas.openxmlformats.org/officeDocument/2006/relationships/image" Target="/xl/media/image1188.jpg" Id="R03f126d1761e4af0" /><Relationship Type="http://schemas.openxmlformats.org/officeDocument/2006/relationships/image" Target="/xl/media/image1189.jpg" Id="Re2b2b68643ff447f" /><Relationship Type="http://schemas.openxmlformats.org/officeDocument/2006/relationships/image" Target="/xl/media/image1190.jpg" Id="R1bb045cb08be405e" /><Relationship Type="http://schemas.openxmlformats.org/officeDocument/2006/relationships/image" Target="/xl/media/image1191.jpg" Id="R3df62137652f416c" /><Relationship Type="http://schemas.openxmlformats.org/officeDocument/2006/relationships/image" Target="/xl/media/image1192.jpg" Id="R7f0721f9c1d045c4" /><Relationship Type="http://schemas.openxmlformats.org/officeDocument/2006/relationships/image" Target="/xl/media/image1193.jpg" Id="R06131ec441174912" /><Relationship Type="http://schemas.openxmlformats.org/officeDocument/2006/relationships/image" Target="/xl/media/image1194.jpg" Id="R353c5c7e7cd34c57" /><Relationship Type="http://schemas.openxmlformats.org/officeDocument/2006/relationships/image" Target="/xl/media/image1195.jpg" Id="Rf106027f9b074d80" /><Relationship Type="http://schemas.openxmlformats.org/officeDocument/2006/relationships/image" Target="/xl/media/image1196.jpg" Id="R2977301960eb4ba8" /><Relationship Type="http://schemas.openxmlformats.org/officeDocument/2006/relationships/image" Target="/xl/media/image1197.jpg" Id="R33bac0ae752344a3" /><Relationship Type="http://schemas.openxmlformats.org/officeDocument/2006/relationships/image" Target="/xl/media/image1198.jpg" Id="R4973df77565a4697" /><Relationship Type="http://schemas.openxmlformats.org/officeDocument/2006/relationships/image" Target="/xl/media/image1199.jpg" Id="Rdc0cd267fdd54244" /><Relationship Type="http://schemas.openxmlformats.org/officeDocument/2006/relationships/image" Target="/xl/media/image1200.jpg" Id="Ra0d1c57d97464bc0" /><Relationship Type="http://schemas.openxmlformats.org/officeDocument/2006/relationships/image" Target="/xl/media/image1201.jpg" Id="R24e7dd9c612943ad" /><Relationship Type="http://schemas.openxmlformats.org/officeDocument/2006/relationships/image" Target="/xl/media/image1202.jpg" Id="R089df4aad44f4bbb" /><Relationship Type="http://schemas.openxmlformats.org/officeDocument/2006/relationships/image" Target="/xl/media/image1203.jpg" Id="Rd416cc029f0d4049" /><Relationship Type="http://schemas.openxmlformats.org/officeDocument/2006/relationships/image" Target="/xl/media/image1204.jpg" Id="R64fb5e005fd34855" /><Relationship Type="http://schemas.openxmlformats.org/officeDocument/2006/relationships/image" Target="/xl/media/image1205.jpg" Id="R5a0c795d61f143d5" /><Relationship Type="http://schemas.openxmlformats.org/officeDocument/2006/relationships/image" Target="/xl/media/image1206.jpg" Id="R5011433acb284b18" /><Relationship Type="http://schemas.openxmlformats.org/officeDocument/2006/relationships/image" Target="/xl/media/image1207.jpg" Id="R218f068d11d1463a" /><Relationship Type="http://schemas.openxmlformats.org/officeDocument/2006/relationships/image" Target="/xl/media/image1208.jpg" Id="R61ad4a8569274372" /><Relationship Type="http://schemas.openxmlformats.org/officeDocument/2006/relationships/image" Target="/xl/media/image1209.jpg" Id="R9a734c366df54db4" /><Relationship Type="http://schemas.openxmlformats.org/officeDocument/2006/relationships/image" Target="/xl/media/image1210.jpg" Id="R0344df9b12564083" /><Relationship Type="http://schemas.openxmlformats.org/officeDocument/2006/relationships/image" Target="/xl/media/image1211.jpg" Id="Re74a5af24445410b" /><Relationship Type="http://schemas.openxmlformats.org/officeDocument/2006/relationships/image" Target="/xl/media/image1212.jpg" Id="Rb8d4bc26e98f464c" /><Relationship Type="http://schemas.openxmlformats.org/officeDocument/2006/relationships/image" Target="/xl/media/image1213.jpg" Id="R49dc0a69762249d0" /><Relationship Type="http://schemas.openxmlformats.org/officeDocument/2006/relationships/image" Target="/xl/media/image1214.jpg" Id="R6d89f151d8d84b69" /><Relationship Type="http://schemas.openxmlformats.org/officeDocument/2006/relationships/image" Target="/xl/media/image1215.jpg" Id="R67827cd164f0465f" /><Relationship Type="http://schemas.openxmlformats.org/officeDocument/2006/relationships/image" Target="/xl/media/image1216.jpg" Id="Rd5126d1b803e498f" /><Relationship Type="http://schemas.openxmlformats.org/officeDocument/2006/relationships/image" Target="/xl/media/image1217.jpg" Id="R56f9c26d4a0041a1" /><Relationship Type="http://schemas.openxmlformats.org/officeDocument/2006/relationships/image" Target="/xl/media/image1218.jpg" Id="Rd003baa374d84e8e" /><Relationship Type="http://schemas.openxmlformats.org/officeDocument/2006/relationships/image" Target="/xl/media/image1219.jpg" Id="R3789f17c1f9f4b12" /><Relationship Type="http://schemas.openxmlformats.org/officeDocument/2006/relationships/image" Target="/xl/media/image1220.jpg" Id="Rf0ef3b41055d4b13" /><Relationship Type="http://schemas.openxmlformats.org/officeDocument/2006/relationships/image" Target="/xl/media/image1221.jpg" Id="R735bbcedf45648d2" /><Relationship Type="http://schemas.openxmlformats.org/officeDocument/2006/relationships/image" Target="/xl/media/image1222.jpg" Id="R65fd3cbf637b4db2" /><Relationship Type="http://schemas.openxmlformats.org/officeDocument/2006/relationships/image" Target="/xl/media/image1223.jpg" Id="Re0d128021c0347ad" /><Relationship Type="http://schemas.openxmlformats.org/officeDocument/2006/relationships/image" Target="/xl/media/image1224.jpg" Id="R4e8a1a83c6754f72" /><Relationship Type="http://schemas.openxmlformats.org/officeDocument/2006/relationships/image" Target="/xl/media/image1225.jpg" Id="Rfcf8ca6252e64587" /><Relationship Type="http://schemas.openxmlformats.org/officeDocument/2006/relationships/image" Target="/xl/media/image1226.jpg" Id="R77dedc75f6424e44" /><Relationship Type="http://schemas.openxmlformats.org/officeDocument/2006/relationships/image" Target="/xl/media/image1227.jpg" Id="R3d7ccb9a0b104c8d" /><Relationship Type="http://schemas.openxmlformats.org/officeDocument/2006/relationships/image" Target="/xl/media/image1228.jpg" Id="R02177012a7b0456d" /><Relationship Type="http://schemas.openxmlformats.org/officeDocument/2006/relationships/image" Target="/xl/media/image1229.jpg" Id="R6d3f8f4de3d1470c" /><Relationship Type="http://schemas.openxmlformats.org/officeDocument/2006/relationships/image" Target="/xl/media/image1230.jpg" Id="Rc8545d9246354144" /><Relationship Type="http://schemas.openxmlformats.org/officeDocument/2006/relationships/image" Target="/xl/media/image1231.jpg" Id="R4a87334bd60d4004" /><Relationship Type="http://schemas.openxmlformats.org/officeDocument/2006/relationships/image" Target="/xl/media/image1232.jpg" Id="R1c08ed98b771437c" /><Relationship Type="http://schemas.openxmlformats.org/officeDocument/2006/relationships/image" Target="/xl/media/image1233.jpg" Id="Rcc6cb1811f0040f7" /><Relationship Type="http://schemas.openxmlformats.org/officeDocument/2006/relationships/image" Target="/xl/media/image1234.jpg" Id="R26f1c7792800445d" /><Relationship Type="http://schemas.openxmlformats.org/officeDocument/2006/relationships/image" Target="/xl/media/image1235.jpg" Id="R0cb6b2f1657746b1" /><Relationship Type="http://schemas.openxmlformats.org/officeDocument/2006/relationships/image" Target="/xl/media/image1236.jpg" Id="R6afbf66411444312" /><Relationship Type="http://schemas.openxmlformats.org/officeDocument/2006/relationships/image" Target="/xl/media/image1237.jpg" Id="Re9ff803b8c7f40a7" /><Relationship Type="http://schemas.openxmlformats.org/officeDocument/2006/relationships/image" Target="/xl/media/image1238.jpg" Id="Re8ee09641acb4c5d" /><Relationship Type="http://schemas.openxmlformats.org/officeDocument/2006/relationships/image" Target="/xl/media/image1239.jpg" Id="R4eb5c8eeb94b46ea" /><Relationship Type="http://schemas.openxmlformats.org/officeDocument/2006/relationships/image" Target="/xl/media/image1240.jpg" Id="R5055330068b44c5f" /><Relationship Type="http://schemas.openxmlformats.org/officeDocument/2006/relationships/image" Target="/xl/media/image1241.jpg" Id="R5b048cb1d73c4148" /><Relationship Type="http://schemas.openxmlformats.org/officeDocument/2006/relationships/image" Target="/xl/media/image1242.jpg" Id="Rccb80f6d1916455f" /><Relationship Type="http://schemas.openxmlformats.org/officeDocument/2006/relationships/image" Target="/xl/media/image1243.jpg" Id="R2acfb1b9fa034476" /><Relationship Type="http://schemas.openxmlformats.org/officeDocument/2006/relationships/image" Target="/xl/media/image1244.jpg" Id="R1e420161e0b74f79" /><Relationship Type="http://schemas.openxmlformats.org/officeDocument/2006/relationships/image" Target="/xl/media/image1245.jpg" Id="R457b2f72f2b7430c" /><Relationship Type="http://schemas.openxmlformats.org/officeDocument/2006/relationships/image" Target="/xl/media/image1246.jpg" Id="R970f369217844088" /><Relationship Type="http://schemas.openxmlformats.org/officeDocument/2006/relationships/image" Target="/xl/media/image1247.jpg" Id="R2c3c6bb0605e47a3" /><Relationship Type="http://schemas.openxmlformats.org/officeDocument/2006/relationships/image" Target="/xl/media/image1248.jpg" Id="Rd57bbee417b74300" /><Relationship Type="http://schemas.openxmlformats.org/officeDocument/2006/relationships/image" Target="/xl/media/image1249.jpg" Id="R325922d3152940d0" /><Relationship Type="http://schemas.openxmlformats.org/officeDocument/2006/relationships/image" Target="/xl/media/image1250.jpg" Id="Raeffd05691094528" /><Relationship Type="http://schemas.openxmlformats.org/officeDocument/2006/relationships/image" Target="/xl/media/image1251.jpg" Id="Re07f4c66b0064833" /><Relationship Type="http://schemas.openxmlformats.org/officeDocument/2006/relationships/image" Target="/xl/media/image1252.jpg" Id="Rf177e2fb5d7b46b3" /><Relationship Type="http://schemas.openxmlformats.org/officeDocument/2006/relationships/image" Target="/xl/media/image1253.jpg" Id="R296165deba3f49d1" /><Relationship Type="http://schemas.openxmlformats.org/officeDocument/2006/relationships/image" Target="/xl/media/image1254.jpg" Id="R135df621825946ed" /><Relationship Type="http://schemas.openxmlformats.org/officeDocument/2006/relationships/image" Target="/xl/media/image1255.jpg" Id="R9d9dcf403a6a4fd2" /><Relationship Type="http://schemas.openxmlformats.org/officeDocument/2006/relationships/image" Target="/xl/media/image1256.jpg" Id="Rf493e833418a4a9d" /><Relationship Type="http://schemas.openxmlformats.org/officeDocument/2006/relationships/image" Target="/xl/media/image1257.jpg" Id="Rd516f7920ffe42d1" /><Relationship Type="http://schemas.openxmlformats.org/officeDocument/2006/relationships/image" Target="/xl/media/image1258.jpg" Id="R8897d14a66d84dca" /><Relationship Type="http://schemas.openxmlformats.org/officeDocument/2006/relationships/image" Target="/xl/media/image1259.jpg" Id="R3d4851fad2e040df" /><Relationship Type="http://schemas.openxmlformats.org/officeDocument/2006/relationships/image" Target="/xl/media/image1260.jpg" Id="R99afdd857798494a" /><Relationship Type="http://schemas.openxmlformats.org/officeDocument/2006/relationships/image" Target="/xl/media/image1261.jpg" Id="R2640fb0001564008" /><Relationship Type="http://schemas.openxmlformats.org/officeDocument/2006/relationships/image" Target="/xl/media/image1262.jpg" Id="R8b41378b5b2c43c1" /><Relationship Type="http://schemas.openxmlformats.org/officeDocument/2006/relationships/image" Target="/xl/media/image1263.jpg" Id="R7f0af79b99f747e2" /><Relationship Type="http://schemas.openxmlformats.org/officeDocument/2006/relationships/image" Target="/xl/media/image1264.jpg" Id="Red160b13b9fd4aaa" /><Relationship Type="http://schemas.openxmlformats.org/officeDocument/2006/relationships/image" Target="/xl/media/image1265.jpg" Id="Re92282477b514216" /><Relationship Type="http://schemas.openxmlformats.org/officeDocument/2006/relationships/image" Target="/xl/media/image1266.jpg" Id="Rd45c4bcf66e1405e" /><Relationship Type="http://schemas.openxmlformats.org/officeDocument/2006/relationships/image" Target="/xl/media/image1267.jpg" Id="R8cb421b46a0a41ea" /><Relationship Type="http://schemas.openxmlformats.org/officeDocument/2006/relationships/image" Target="/xl/media/image1268.jpg" Id="R28a6732785e248af" /><Relationship Type="http://schemas.openxmlformats.org/officeDocument/2006/relationships/image" Target="/xl/media/image1269.jpg" Id="R49a91b47b29a4204" /><Relationship Type="http://schemas.openxmlformats.org/officeDocument/2006/relationships/image" Target="/xl/media/image1270.jpg" Id="R37ce7656cf4649b9" /><Relationship Type="http://schemas.openxmlformats.org/officeDocument/2006/relationships/image" Target="/xl/media/image1271.jpg" Id="Re4870db05d7f41f4" /><Relationship Type="http://schemas.openxmlformats.org/officeDocument/2006/relationships/image" Target="/xl/media/image1272.jpg" Id="Reac47f622cff4907" /><Relationship Type="http://schemas.openxmlformats.org/officeDocument/2006/relationships/image" Target="/xl/media/image1273.jpg" Id="Rce3701055dc642fd" /><Relationship Type="http://schemas.openxmlformats.org/officeDocument/2006/relationships/image" Target="/xl/media/image1274.jpg" Id="R2725216641524ea6" /><Relationship Type="http://schemas.openxmlformats.org/officeDocument/2006/relationships/image" Target="/xl/media/image1275.jpg" Id="R2d4de3ad938542a3" /><Relationship Type="http://schemas.openxmlformats.org/officeDocument/2006/relationships/image" Target="/xl/media/image1276.jpg" Id="Rb3288d9bf92f4002" /><Relationship Type="http://schemas.openxmlformats.org/officeDocument/2006/relationships/image" Target="/xl/media/image1277.jpg" Id="R955b8aedb79e44ba" /><Relationship Type="http://schemas.openxmlformats.org/officeDocument/2006/relationships/image" Target="/xl/media/image1278.jpg" Id="Rb1173174f3fc4530" /><Relationship Type="http://schemas.openxmlformats.org/officeDocument/2006/relationships/image" Target="/xl/media/image1279.jpg" Id="Re9b3c4b8b2a94dcd" /><Relationship Type="http://schemas.openxmlformats.org/officeDocument/2006/relationships/image" Target="/xl/media/image1280.jpg" Id="Rf8878a33c7c44eb8" /><Relationship Type="http://schemas.openxmlformats.org/officeDocument/2006/relationships/image" Target="/xl/media/image1281.jpg" Id="R839ab0b6547c4f12" /><Relationship Type="http://schemas.openxmlformats.org/officeDocument/2006/relationships/image" Target="/xl/media/image1282.jpg" Id="R55132c8da7b142a4" /><Relationship Type="http://schemas.openxmlformats.org/officeDocument/2006/relationships/image" Target="/xl/media/image1283.jpg" Id="R1a3fb28474704fcc" /><Relationship Type="http://schemas.openxmlformats.org/officeDocument/2006/relationships/image" Target="/xl/media/image1284.jpg" Id="Ra6115d7d9b9d4eeb" /><Relationship Type="http://schemas.openxmlformats.org/officeDocument/2006/relationships/image" Target="/xl/media/image1285.jpg" Id="R30d35cb9b00f4757" /><Relationship Type="http://schemas.openxmlformats.org/officeDocument/2006/relationships/image" Target="/xl/media/image1286.jpg" Id="R478eaaf18edd41cd" /><Relationship Type="http://schemas.openxmlformats.org/officeDocument/2006/relationships/image" Target="/xl/media/image1287.jpg" Id="R83e47a8d07f043b7" /><Relationship Type="http://schemas.openxmlformats.org/officeDocument/2006/relationships/image" Target="/xl/media/image1288.jpg" Id="Re2efb1b789694ba3" /><Relationship Type="http://schemas.openxmlformats.org/officeDocument/2006/relationships/image" Target="/xl/media/image1289.jpg" Id="Raeac5455c38348ef" /><Relationship Type="http://schemas.openxmlformats.org/officeDocument/2006/relationships/image" Target="/xl/media/image1290.jpg" Id="Rfdd4a94714a94662" /><Relationship Type="http://schemas.openxmlformats.org/officeDocument/2006/relationships/image" Target="/xl/media/image1291.jpg" Id="R590cfc6f44b74a89" /><Relationship Type="http://schemas.openxmlformats.org/officeDocument/2006/relationships/image" Target="/xl/media/image1292.jpg" Id="R6f0f1768a656488f" /><Relationship Type="http://schemas.openxmlformats.org/officeDocument/2006/relationships/image" Target="/xl/media/image1293.jpg" Id="R720262f9f66840d9" /><Relationship Type="http://schemas.openxmlformats.org/officeDocument/2006/relationships/image" Target="/xl/media/image1294.jpg" Id="R4f3c7b915ff543b0" /><Relationship Type="http://schemas.openxmlformats.org/officeDocument/2006/relationships/image" Target="/xl/media/image1295.jpg" Id="R7f2803de0eea4cdc" /><Relationship Type="http://schemas.openxmlformats.org/officeDocument/2006/relationships/image" Target="/xl/media/image1296.jpg" Id="Re42010d4bd254d5f" /><Relationship Type="http://schemas.openxmlformats.org/officeDocument/2006/relationships/image" Target="/xl/media/image1297.jpg" Id="R7560aa3a879c4ccb" /><Relationship Type="http://schemas.openxmlformats.org/officeDocument/2006/relationships/image" Target="/xl/media/image1298.jpg" Id="R25c5a9495cce4ed2" /><Relationship Type="http://schemas.openxmlformats.org/officeDocument/2006/relationships/image" Target="/xl/media/image1299.jpg" Id="Ra055efa437c34625" /><Relationship Type="http://schemas.openxmlformats.org/officeDocument/2006/relationships/image" Target="/xl/media/image1300.jpg" Id="R43ced7d1a1d949ce" /><Relationship Type="http://schemas.openxmlformats.org/officeDocument/2006/relationships/image" Target="/xl/media/image1301.jpg" Id="R3d07f9ec4d1441bc" /><Relationship Type="http://schemas.openxmlformats.org/officeDocument/2006/relationships/image" Target="/xl/media/image1302.jpg" Id="Rcb23e437e6d3478a" /><Relationship Type="http://schemas.openxmlformats.org/officeDocument/2006/relationships/image" Target="/xl/media/image1303.jpg" Id="Rb4f52fa2d8a745d3" /><Relationship Type="http://schemas.openxmlformats.org/officeDocument/2006/relationships/image" Target="/xl/media/image1304.jpg" Id="Rd1acab0cc5144785" /><Relationship Type="http://schemas.openxmlformats.org/officeDocument/2006/relationships/image" Target="/xl/media/image1305.jpg" Id="R3ea18d274c934aa8" /><Relationship Type="http://schemas.openxmlformats.org/officeDocument/2006/relationships/image" Target="/xl/media/image1306.jpg" Id="R726226e697914284" /><Relationship Type="http://schemas.openxmlformats.org/officeDocument/2006/relationships/image" Target="/xl/media/image1307.jpg" Id="Rffafe79a27d54e14" /><Relationship Type="http://schemas.openxmlformats.org/officeDocument/2006/relationships/image" Target="/xl/media/image1308.jpg" Id="Ra613ab1ef9f94f64" /><Relationship Type="http://schemas.openxmlformats.org/officeDocument/2006/relationships/image" Target="/xl/media/image1309.jpg" Id="R4851e417191a4149" /><Relationship Type="http://schemas.openxmlformats.org/officeDocument/2006/relationships/image" Target="/xl/media/image1310.jpg" Id="R7a3d184f5d5f4f9c" /><Relationship Type="http://schemas.openxmlformats.org/officeDocument/2006/relationships/image" Target="/xl/media/image1311.jpg" Id="R6df4c162c29a46f0" /><Relationship Type="http://schemas.openxmlformats.org/officeDocument/2006/relationships/image" Target="/xl/media/image1312.jpg" Id="Rc3cac6d0a6ee4a2d" /><Relationship Type="http://schemas.openxmlformats.org/officeDocument/2006/relationships/image" Target="/xl/media/image1313.jpg" Id="R667c5c1b9a794069" /><Relationship Type="http://schemas.openxmlformats.org/officeDocument/2006/relationships/image" Target="/xl/media/image1314.jpg" Id="R75c2c25ec1be4e4a" /><Relationship Type="http://schemas.openxmlformats.org/officeDocument/2006/relationships/image" Target="/xl/media/image1315.jpg" Id="Rcd1311dffb984de9" /><Relationship Type="http://schemas.openxmlformats.org/officeDocument/2006/relationships/image" Target="/xl/media/image1316.jpg" Id="R4b71b741ef4b4a0a" /><Relationship Type="http://schemas.openxmlformats.org/officeDocument/2006/relationships/image" Target="/xl/media/image1317.jpg" Id="R91b63211c8634db3" /><Relationship Type="http://schemas.openxmlformats.org/officeDocument/2006/relationships/image" Target="/xl/media/image1318.jpg" Id="R78b72280f8df4d8f" /><Relationship Type="http://schemas.openxmlformats.org/officeDocument/2006/relationships/image" Target="/xl/media/image1319.jpg" Id="Rf84179a240774dec" /><Relationship Type="http://schemas.openxmlformats.org/officeDocument/2006/relationships/image" Target="/xl/media/image1320.jpg" Id="R6bc9a2d912874d4a" /><Relationship Type="http://schemas.openxmlformats.org/officeDocument/2006/relationships/image" Target="/xl/media/image1321.jpg" Id="Rb6daa93ce3f349e8" /><Relationship Type="http://schemas.openxmlformats.org/officeDocument/2006/relationships/image" Target="/xl/media/image1322.jpg" Id="R3160eaf78909436e" /><Relationship Type="http://schemas.openxmlformats.org/officeDocument/2006/relationships/image" Target="/xl/media/image1323.jpg" Id="R69543bb770494eca" /><Relationship Type="http://schemas.openxmlformats.org/officeDocument/2006/relationships/image" Target="/xl/media/image1324.jpg" Id="Rba3cd1f772f5431b" /><Relationship Type="http://schemas.openxmlformats.org/officeDocument/2006/relationships/image" Target="/xl/media/image1325.jpg" Id="R1fc5294dc31f4b46" /><Relationship Type="http://schemas.openxmlformats.org/officeDocument/2006/relationships/image" Target="/xl/media/image1326.jpg" Id="Rf828a7a662774ea1" /><Relationship Type="http://schemas.openxmlformats.org/officeDocument/2006/relationships/image" Target="/xl/media/image1327.jpg" Id="Rbcfefe027c464ac6" /><Relationship Type="http://schemas.openxmlformats.org/officeDocument/2006/relationships/image" Target="/xl/media/image1328.jpg" Id="R7d5d9f6b984d4a8d" /><Relationship Type="http://schemas.openxmlformats.org/officeDocument/2006/relationships/image" Target="/xl/media/image1329.jpg" Id="R634efcc71fd643e8" /><Relationship Type="http://schemas.openxmlformats.org/officeDocument/2006/relationships/image" Target="/xl/media/image1330.jpg" Id="R2c4a59850f2b438a" /><Relationship Type="http://schemas.openxmlformats.org/officeDocument/2006/relationships/image" Target="/xl/media/image1331.jpg" Id="R72e74d17065a48a2" /><Relationship Type="http://schemas.openxmlformats.org/officeDocument/2006/relationships/image" Target="/xl/media/image1332.jpg" Id="R3ed3438f51f84160" /><Relationship Type="http://schemas.openxmlformats.org/officeDocument/2006/relationships/image" Target="/xl/media/image1333.jpg" Id="R46e88ce37a134b88" /><Relationship Type="http://schemas.openxmlformats.org/officeDocument/2006/relationships/image" Target="/xl/media/image1334.jpg" Id="R30cd261517224a64" /><Relationship Type="http://schemas.openxmlformats.org/officeDocument/2006/relationships/image" Target="/xl/media/image1335.jpg" Id="R86d3a77825fa4d88" /><Relationship Type="http://schemas.openxmlformats.org/officeDocument/2006/relationships/image" Target="/xl/media/image1336.jpg" Id="R76d4b30316784dab" /><Relationship Type="http://schemas.openxmlformats.org/officeDocument/2006/relationships/image" Target="/xl/media/image1337.jpg" Id="R788ddee6bb0a4106" /><Relationship Type="http://schemas.openxmlformats.org/officeDocument/2006/relationships/image" Target="/xl/media/image1338.jpg" Id="Re0a47bc4b36347d2" /><Relationship Type="http://schemas.openxmlformats.org/officeDocument/2006/relationships/image" Target="/xl/media/image1339.jpg" Id="R1e208a2738bc4fab" /><Relationship Type="http://schemas.openxmlformats.org/officeDocument/2006/relationships/image" Target="/xl/media/image1340.jpg" Id="R92157993336a422d" /><Relationship Type="http://schemas.openxmlformats.org/officeDocument/2006/relationships/image" Target="/xl/media/image1341.jpg" Id="R231d525ec7ce4193" /><Relationship Type="http://schemas.openxmlformats.org/officeDocument/2006/relationships/image" Target="/xl/media/image1342.jpg" Id="Rba24009e181a4abb" /><Relationship Type="http://schemas.openxmlformats.org/officeDocument/2006/relationships/image" Target="/xl/media/image1343.jpg" Id="R9d715b20339b4127" /><Relationship Type="http://schemas.openxmlformats.org/officeDocument/2006/relationships/image" Target="/xl/media/image1344.jpg" Id="Rec10ae3ee76d4e8d" /><Relationship Type="http://schemas.openxmlformats.org/officeDocument/2006/relationships/image" Target="/xl/media/image1345.jpg" Id="Rcfe1cb99b10e4fc4" /><Relationship Type="http://schemas.openxmlformats.org/officeDocument/2006/relationships/image" Target="/xl/media/image1346.jpg" Id="Re8b0f88ada0c4450" /><Relationship Type="http://schemas.openxmlformats.org/officeDocument/2006/relationships/image" Target="/xl/media/image1347.jpg" Id="Rcc87010a3bb04b61" /><Relationship Type="http://schemas.openxmlformats.org/officeDocument/2006/relationships/image" Target="/xl/media/image1348.jpg" Id="Rc087341fff80491c" /><Relationship Type="http://schemas.openxmlformats.org/officeDocument/2006/relationships/image" Target="/xl/media/image1349.jpg" Id="R41903570df974a13" /><Relationship Type="http://schemas.openxmlformats.org/officeDocument/2006/relationships/image" Target="/xl/media/image1350.jpg" Id="Rc36e88a252a24fb2" /><Relationship Type="http://schemas.openxmlformats.org/officeDocument/2006/relationships/image" Target="/xl/media/image1351.jpg" Id="R53de2df5d8e547ce" /><Relationship Type="http://schemas.openxmlformats.org/officeDocument/2006/relationships/image" Target="/xl/media/image1352.jpg" Id="R07d3c2697ac1435e" /><Relationship Type="http://schemas.openxmlformats.org/officeDocument/2006/relationships/image" Target="/xl/media/image1353.jpg" Id="R531519bc170247c1" /><Relationship Type="http://schemas.openxmlformats.org/officeDocument/2006/relationships/image" Target="/xl/media/image1354.jpg" Id="Rc4eeb30d4157478d" /><Relationship Type="http://schemas.openxmlformats.org/officeDocument/2006/relationships/image" Target="/xl/media/image1355.jpg" Id="R72ee5b05d1004c1e" /><Relationship Type="http://schemas.openxmlformats.org/officeDocument/2006/relationships/image" Target="/xl/media/image1356.jpg" Id="Rfab2e405bd6a40c5" /><Relationship Type="http://schemas.openxmlformats.org/officeDocument/2006/relationships/image" Target="/xl/media/image1357.jpg" Id="R3b035a6788224490" /><Relationship Type="http://schemas.openxmlformats.org/officeDocument/2006/relationships/image" Target="/xl/media/image1358.jpg" Id="Re745bd5980de4c69" /><Relationship Type="http://schemas.openxmlformats.org/officeDocument/2006/relationships/image" Target="/xl/media/image1359.jpg" Id="R1a34514aa9884381" /><Relationship Type="http://schemas.openxmlformats.org/officeDocument/2006/relationships/image" Target="/xl/media/image1360.jpg" Id="Rfbb2c28200da4989" /><Relationship Type="http://schemas.openxmlformats.org/officeDocument/2006/relationships/image" Target="/xl/media/image1361.jpg" Id="R6520f676598f44b6" /><Relationship Type="http://schemas.openxmlformats.org/officeDocument/2006/relationships/image" Target="/xl/media/image1362.jpg" Id="R6cdf429dd433401c" /><Relationship Type="http://schemas.openxmlformats.org/officeDocument/2006/relationships/image" Target="/xl/media/image1363.jpg" Id="Ra3a9b05b11f54e86" /><Relationship Type="http://schemas.openxmlformats.org/officeDocument/2006/relationships/image" Target="/xl/media/image1364.jpg" Id="Rad05fe23c0b147ba" /><Relationship Type="http://schemas.openxmlformats.org/officeDocument/2006/relationships/image" Target="/xl/media/image1365.jpg" Id="R5a65ca77edb846f3" /><Relationship Type="http://schemas.openxmlformats.org/officeDocument/2006/relationships/image" Target="/xl/media/image1366.jpg" Id="R37b65b6232fd4df0" /><Relationship Type="http://schemas.openxmlformats.org/officeDocument/2006/relationships/image" Target="/xl/media/image1367.jpg" Id="Rab5fc3c934064f68" /><Relationship Type="http://schemas.openxmlformats.org/officeDocument/2006/relationships/image" Target="/xl/media/image1368.jpg" Id="R5a7c1f5f38394ab5" /><Relationship Type="http://schemas.openxmlformats.org/officeDocument/2006/relationships/image" Target="/xl/media/image1369.jpg" Id="R22c2bfcd27a742c4" /><Relationship Type="http://schemas.openxmlformats.org/officeDocument/2006/relationships/image" Target="/xl/media/image1370.jpg" Id="Rfbb4ad836e1349f3" /><Relationship Type="http://schemas.openxmlformats.org/officeDocument/2006/relationships/image" Target="/xl/media/image1371.jpg" Id="Rc9cbfc96666a48d9" /><Relationship Type="http://schemas.openxmlformats.org/officeDocument/2006/relationships/image" Target="/xl/media/image1372.jpg" Id="R677804ac845f49f7" /><Relationship Type="http://schemas.openxmlformats.org/officeDocument/2006/relationships/image" Target="/xl/media/image1373.jpg" Id="Ra624e8fbb0c143dd" /><Relationship Type="http://schemas.openxmlformats.org/officeDocument/2006/relationships/image" Target="/xl/media/image1374.jpg" Id="Rf1e414451d9b4c92" /><Relationship Type="http://schemas.openxmlformats.org/officeDocument/2006/relationships/image" Target="/xl/media/image1375.jpg" Id="R2aded84e6dec4af7" /><Relationship Type="http://schemas.openxmlformats.org/officeDocument/2006/relationships/image" Target="/xl/media/image1376.jpg" Id="R9fbef6f5afbd4b91" /><Relationship Type="http://schemas.openxmlformats.org/officeDocument/2006/relationships/image" Target="/xl/media/image1377.jpg" Id="R0d9bea29610a4b07" /><Relationship Type="http://schemas.openxmlformats.org/officeDocument/2006/relationships/image" Target="/xl/media/image1378.jpg" Id="Rbe887e984a2b4e88" /><Relationship Type="http://schemas.openxmlformats.org/officeDocument/2006/relationships/image" Target="/xl/media/image1379.jpg" Id="R5108289980be4ec8" /><Relationship Type="http://schemas.openxmlformats.org/officeDocument/2006/relationships/image" Target="/xl/media/image1380.jpg" Id="R7dc1a3eae4f74bd9" /><Relationship Type="http://schemas.openxmlformats.org/officeDocument/2006/relationships/image" Target="/xl/media/image1381.jpg" Id="R92be6e6aa7c0408d" /><Relationship Type="http://schemas.openxmlformats.org/officeDocument/2006/relationships/image" Target="/xl/media/image1382.jpg" Id="Rde0173ec988544d1" /><Relationship Type="http://schemas.openxmlformats.org/officeDocument/2006/relationships/image" Target="/xl/media/image1383.jpg" Id="Rf9bc536dd0bb47a8" /><Relationship Type="http://schemas.openxmlformats.org/officeDocument/2006/relationships/image" Target="/xl/media/image1384.jpg" Id="Ra68ad83a709d4eed" /><Relationship Type="http://schemas.openxmlformats.org/officeDocument/2006/relationships/image" Target="/xl/media/image1385.jpg" Id="R1db527c78a0e4570" /><Relationship Type="http://schemas.openxmlformats.org/officeDocument/2006/relationships/image" Target="/xl/media/image1386.jpg" Id="Rf3ac6f252e0e447c" /><Relationship Type="http://schemas.openxmlformats.org/officeDocument/2006/relationships/image" Target="/xl/media/image1387.jpg" Id="Re2c1eb87e486441a" /><Relationship Type="http://schemas.openxmlformats.org/officeDocument/2006/relationships/image" Target="/xl/media/image1388.jpg" Id="R35e2b48fd5064859" /><Relationship Type="http://schemas.openxmlformats.org/officeDocument/2006/relationships/image" Target="/xl/media/image1389.jpg" Id="R8b29bf7e16834b59" /><Relationship Type="http://schemas.openxmlformats.org/officeDocument/2006/relationships/image" Target="/xl/media/image1390.jpg" Id="Rc463be0c8a2e4cd0" /><Relationship Type="http://schemas.openxmlformats.org/officeDocument/2006/relationships/image" Target="/xl/media/image1391.jpg" Id="Ra30ae736660e495c" /><Relationship Type="http://schemas.openxmlformats.org/officeDocument/2006/relationships/image" Target="/xl/media/image1392.jpg" Id="Rd8560708f8264d60" /><Relationship Type="http://schemas.openxmlformats.org/officeDocument/2006/relationships/image" Target="/xl/media/image1393.jpg" Id="R9e410c0625f545fb" /><Relationship Type="http://schemas.openxmlformats.org/officeDocument/2006/relationships/image" Target="/xl/media/image1394.jpg" Id="Rfa9db03c36b24397" /><Relationship Type="http://schemas.openxmlformats.org/officeDocument/2006/relationships/image" Target="/xl/media/image1395.jpg" Id="R55e8fdc4bd654b8a" /><Relationship Type="http://schemas.openxmlformats.org/officeDocument/2006/relationships/image" Target="/xl/media/image1396.jpg" Id="R264c1b1a35f14eb9" /><Relationship Type="http://schemas.openxmlformats.org/officeDocument/2006/relationships/image" Target="/xl/media/image1397.jpg" Id="R55f9d528abd14f8d" /><Relationship Type="http://schemas.openxmlformats.org/officeDocument/2006/relationships/image" Target="/xl/media/image1398.jpg" Id="R4e382e4924ac47d1" /><Relationship Type="http://schemas.openxmlformats.org/officeDocument/2006/relationships/image" Target="/xl/media/image1399.jpg" Id="Rd532027f912d4a87" /><Relationship Type="http://schemas.openxmlformats.org/officeDocument/2006/relationships/image" Target="/xl/media/image1400.jpg" Id="R1cd3859cd51d4fc6" /><Relationship Type="http://schemas.openxmlformats.org/officeDocument/2006/relationships/image" Target="/xl/media/image1401.jpg" Id="R072d46d278fa464a" /><Relationship Type="http://schemas.openxmlformats.org/officeDocument/2006/relationships/image" Target="/xl/media/image1402.jpg" Id="Rfdfee84611fd44b8" /><Relationship Type="http://schemas.openxmlformats.org/officeDocument/2006/relationships/image" Target="/xl/media/image1403.jpg" Id="R658f95c9679c4422" /><Relationship Type="http://schemas.openxmlformats.org/officeDocument/2006/relationships/image" Target="/xl/media/image1404.jpg" Id="R1369327dd25c4704" /><Relationship Type="http://schemas.openxmlformats.org/officeDocument/2006/relationships/image" Target="/xl/media/image1405.jpg" Id="R39ec782d95684db0" /><Relationship Type="http://schemas.openxmlformats.org/officeDocument/2006/relationships/image" Target="/xl/media/image1406.jpg" Id="R71e4969d47e849df" /><Relationship Type="http://schemas.openxmlformats.org/officeDocument/2006/relationships/image" Target="/xl/media/image1407.jpg" Id="R4a4e10a804cb4c20" /><Relationship Type="http://schemas.openxmlformats.org/officeDocument/2006/relationships/image" Target="/xl/media/image1408.jpg" Id="R28881ccdffa04797" /><Relationship Type="http://schemas.openxmlformats.org/officeDocument/2006/relationships/image" Target="/xl/media/image1409.jpg" Id="R0f015b379bec4823" /><Relationship Type="http://schemas.openxmlformats.org/officeDocument/2006/relationships/image" Target="/xl/media/image1410.jpg" Id="Rdf55a5e0d50440d7" /><Relationship Type="http://schemas.openxmlformats.org/officeDocument/2006/relationships/image" Target="/xl/media/image1411.jpg" Id="R9cce12ae4ca54542" /><Relationship Type="http://schemas.openxmlformats.org/officeDocument/2006/relationships/image" Target="/xl/media/image1412.jpg" Id="R9b6ade5efc154557" /><Relationship Type="http://schemas.openxmlformats.org/officeDocument/2006/relationships/image" Target="/xl/media/image1413.jpg" Id="R77475e2f146649d9" /><Relationship Type="http://schemas.openxmlformats.org/officeDocument/2006/relationships/image" Target="/xl/media/image1414.jpg" Id="R16b40b7c200b4262" /><Relationship Type="http://schemas.openxmlformats.org/officeDocument/2006/relationships/image" Target="/xl/media/image1415.jpg" Id="R6af8573e99d44f69" /><Relationship Type="http://schemas.openxmlformats.org/officeDocument/2006/relationships/image" Target="/xl/media/image1416.jpg" Id="R227d823730864d5e" /><Relationship Type="http://schemas.openxmlformats.org/officeDocument/2006/relationships/image" Target="/xl/media/image1417.jpg" Id="R9ba0e99169f3445b" /><Relationship Type="http://schemas.openxmlformats.org/officeDocument/2006/relationships/image" Target="/xl/media/image1418.jpg" Id="R3aaa8f4314914aa0" /><Relationship Type="http://schemas.openxmlformats.org/officeDocument/2006/relationships/image" Target="/xl/media/image1419.jpg" Id="R456c26108cf44c99" /><Relationship Type="http://schemas.openxmlformats.org/officeDocument/2006/relationships/image" Target="/xl/media/image1420.jpg" Id="R56d679af39814397" /><Relationship Type="http://schemas.openxmlformats.org/officeDocument/2006/relationships/image" Target="/xl/media/image1421.jpg" Id="R0c8cb996bff5497f" /><Relationship Type="http://schemas.openxmlformats.org/officeDocument/2006/relationships/image" Target="/xl/media/image1422.jpg" Id="R2ab61d61c2b14d96" /><Relationship Type="http://schemas.openxmlformats.org/officeDocument/2006/relationships/image" Target="/xl/media/image1423.jpg" Id="R0eb75f46345e40ef" /><Relationship Type="http://schemas.openxmlformats.org/officeDocument/2006/relationships/image" Target="/xl/media/image1424.jpg" Id="Rdbcd1dd9e9a64a08" /><Relationship Type="http://schemas.openxmlformats.org/officeDocument/2006/relationships/image" Target="/xl/media/image1425.jpg" Id="R3edf9e75b7f941db" /><Relationship Type="http://schemas.openxmlformats.org/officeDocument/2006/relationships/image" Target="/xl/media/image1426.jpg" Id="R20ab72003558473c" /><Relationship Type="http://schemas.openxmlformats.org/officeDocument/2006/relationships/image" Target="/xl/media/image1427.jpg" Id="Reeeaa5ebc5d94f29" /><Relationship Type="http://schemas.openxmlformats.org/officeDocument/2006/relationships/image" Target="/xl/media/image1428.jpg" Id="R9f29bbc9869a4862" /><Relationship Type="http://schemas.openxmlformats.org/officeDocument/2006/relationships/image" Target="/xl/media/image1429.jpg" Id="Rddd51f835306407f" /><Relationship Type="http://schemas.openxmlformats.org/officeDocument/2006/relationships/image" Target="/xl/media/image1430.jpg" Id="Ra55f6f41f7bf48ec" /><Relationship Type="http://schemas.openxmlformats.org/officeDocument/2006/relationships/image" Target="/xl/media/image1431.jpg" Id="R12b21951cb054e94" /><Relationship Type="http://schemas.openxmlformats.org/officeDocument/2006/relationships/image" Target="/xl/media/image1432.jpg" Id="R5cfaf041446646b5" /><Relationship Type="http://schemas.openxmlformats.org/officeDocument/2006/relationships/image" Target="/xl/media/image1433.jpg" Id="R619c566f2d6d430d" /><Relationship Type="http://schemas.openxmlformats.org/officeDocument/2006/relationships/image" Target="/xl/media/image1434.jpg" Id="R4885e6a510e940c6" /><Relationship Type="http://schemas.openxmlformats.org/officeDocument/2006/relationships/image" Target="/xl/media/image1435.jpg" Id="R1426c476a9f8463b" /><Relationship Type="http://schemas.openxmlformats.org/officeDocument/2006/relationships/image" Target="/xl/media/image1436.jpg" Id="R4c4e05e217d34612" /><Relationship Type="http://schemas.openxmlformats.org/officeDocument/2006/relationships/image" Target="/xl/media/image1437.jpg" Id="Rd4d0902b8d164437" /><Relationship Type="http://schemas.openxmlformats.org/officeDocument/2006/relationships/image" Target="/xl/media/image1438.jpg" Id="Rcedc1ef8ae7d4faa" /><Relationship Type="http://schemas.openxmlformats.org/officeDocument/2006/relationships/image" Target="/xl/media/image1439.jpg" Id="Ref4fb569e439440f" /><Relationship Type="http://schemas.openxmlformats.org/officeDocument/2006/relationships/image" Target="/xl/media/image1440.jpg" Id="Rb7d508e3b7084816" /><Relationship Type="http://schemas.openxmlformats.org/officeDocument/2006/relationships/image" Target="/xl/media/image1441.jpg" Id="Rd7a265d4940641cf" /><Relationship Type="http://schemas.openxmlformats.org/officeDocument/2006/relationships/image" Target="/xl/media/image1442.jpg" Id="R3aae069b9fe84736" /><Relationship Type="http://schemas.openxmlformats.org/officeDocument/2006/relationships/image" Target="/xl/media/image1443.jpg" Id="R7a30fe48769640e0" /><Relationship Type="http://schemas.openxmlformats.org/officeDocument/2006/relationships/image" Target="/xl/media/image1444.jpg" Id="R491c4d83641d4511" /><Relationship Type="http://schemas.openxmlformats.org/officeDocument/2006/relationships/image" Target="/xl/media/image1445.jpg" Id="R9a31d20ab7e84ae8" /><Relationship Type="http://schemas.openxmlformats.org/officeDocument/2006/relationships/image" Target="/xl/media/image1446.jpg" Id="R250e63775b25476c" /><Relationship Type="http://schemas.openxmlformats.org/officeDocument/2006/relationships/image" Target="/xl/media/image1447.jpg" Id="Red30578f442547a0" /><Relationship Type="http://schemas.openxmlformats.org/officeDocument/2006/relationships/image" Target="/xl/media/image1448.jpg" Id="R09c2544c938a421b" /><Relationship Type="http://schemas.openxmlformats.org/officeDocument/2006/relationships/image" Target="/xl/media/image1449.jpg" Id="Rc460b510cb724103" /><Relationship Type="http://schemas.openxmlformats.org/officeDocument/2006/relationships/image" Target="/xl/media/image1450.jpg" Id="R7c734de7c84f45c7" /><Relationship Type="http://schemas.openxmlformats.org/officeDocument/2006/relationships/image" Target="/xl/media/image1451.jpg" Id="R9463d7b0f73f47e9" /><Relationship Type="http://schemas.openxmlformats.org/officeDocument/2006/relationships/image" Target="/xl/media/image1452.jpg" Id="Ra7ee6247a7214d74" /><Relationship Type="http://schemas.openxmlformats.org/officeDocument/2006/relationships/image" Target="/xl/media/image1453.jpg" Id="R0e9c3a3c52534a96" /><Relationship Type="http://schemas.openxmlformats.org/officeDocument/2006/relationships/image" Target="/xl/media/image1454.jpg" Id="R6c677ddfd6884299" /><Relationship Type="http://schemas.openxmlformats.org/officeDocument/2006/relationships/image" Target="/xl/media/image1455.jpg" Id="Rd5ede74f42b64afe" /><Relationship Type="http://schemas.openxmlformats.org/officeDocument/2006/relationships/image" Target="/xl/media/image1456.jpg" Id="R2b7d0d24eef54bd6" /><Relationship Type="http://schemas.openxmlformats.org/officeDocument/2006/relationships/image" Target="/xl/media/image1457.jpg" Id="R78b73136c3a04aa1" /><Relationship Type="http://schemas.openxmlformats.org/officeDocument/2006/relationships/image" Target="/xl/media/image1458.jpg" Id="R663813b4fd314f8c" /><Relationship Type="http://schemas.openxmlformats.org/officeDocument/2006/relationships/image" Target="/xl/media/image1459.jpg" Id="R7f35593b135f4167" /><Relationship Type="http://schemas.openxmlformats.org/officeDocument/2006/relationships/image" Target="/xl/media/image1460.jpg" Id="R03ae05e66e7d44c1" /><Relationship Type="http://schemas.openxmlformats.org/officeDocument/2006/relationships/image" Target="/xl/media/image1461.jpg" Id="R27ddddafc53140db" /><Relationship Type="http://schemas.openxmlformats.org/officeDocument/2006/relationships/image" Target="/xl/media/image1462.jpg" Id="R435bce50fc1c4224" /><Relationship Type="http://schemas.openxmlformats.org/officeDocument/2006/relationships/image" Target="/xl/media/image1463.jpg" Id="R6ee46f8e8c8d4406" /><Relationship Type="http://schemas.openxmlformats.org/officeDocument/2006/relationships/image" Target="/xl/media/image1464.jpg" Id="Rf1e897aeacce40d0" /><Relationship Type="http://schemas.openxmlformats.org/officeDocument/2006/relationships/image" Target="/xl/media/image1465.jpg" Id="R4d9e94a8d8cd4162" /><Relationship Type="http://schemas.openxmlformats.org/officeDocument/2006/relationships/image" Target="/xl/media/image1466.jpg" Id="R2ce35aa91ded4ebd" /><Relationship Type="http://schemas.openxmlformats.org/officeDocument/2006/relationships/image" Target="/xl/media/image1467.jpg" Id="Raec499a018f34181" /><Relationship Type="http://schemas.openxmlformats.org/officeDocument/2006/relationships/image" Target="/xl/media/image1468.jpg" Id="Rf86c6cfff8bc4313" /><Relationship Type="http://schemas.openxmlformats.org/officeDocument/2006/relationships/image" Target="/xl/media/image1469.jpg" Id="R8ca2ce4de4594928" /><Relationship Type="http://schemas.openxmlformats.org/officeDocument/2006/relationships/image" Target="/xl/media/image1470.jpg" Id="Rc15181a95057413c" /><Relationship Type="http://schemas.openxmlformats.org/officeDocument/2006/relationships/image" Target="/xl/media/image1471.jpg" Id="R863cc7cd96cf45d9" /><Relationship Type="http://schemas.openxmlformats.org/officeDocument/2006/relationships/image" Target="/xl/media/image1472.jpg" Id="Rfc373732098a4e47" /><Relationship Type="http://schemas.openxmlformats.org/officeDocument/2006/relationships/image" Target="/xl/media/image1473.jpg" Id="Rd74863a94c9f4a2e" /><Relationship Type="http://schemas.openxmlformats.org/officeDocument/2006/relationships/image" Target="/xl/media/image1474.jpg" Id="Re27e6f57724d40b3" /><Relationship Type="http://schemas.openxmlformats.org/officeDocument/2006/relationships/image" Target="/xl/media/image1475.jpg" Id="R12df762902404f37" /><Relationship Type="http://schemas.openxmlformats.org/officeDocument/2006/relationships/image" Target="/xl/media/image1476.jpg" Id="R8ec44c9d1fa44d64" /><Relationship Type="http://schemas.openxmlformats.org/officeDocument/2006/relationships/image" Target="/xl/media/image1477.jpg" Id="R461f7d67714a4b13" /><Relationship Type="http://schemas.openxmlformats.org/officeDocument/2006/relationships/image" Target="/xl/media/image1478.jpg" Id="R979a272ca39346f5" /><Relationship Type="http://schemas.openxmlformats.org/officeDocument/2006/relationships/image" Target="/xl/media/image1479.jpg" Id="R4e9ad52d85ee4c18" /><Relationship Type="http://schemas.openxmlformats.org/officeDocument/2006/relationships/image" Target="/xl/media/image1480.jpg" Id="Re4cb21f873db49bf" /><Relationship Type="http://schemas.openxmlformats.org/officeDocument/2006/relationships/image" Target="/xl/media/image1481.jpg" Id="Rb0554159cbea4bb0" /><Relationship Type="http://schemas.openxmlformats.org/officeDocument/2006/relationships/image" Target="/xl/media/image1482.jpg" Id="Rb511511f0b4d4246" /><Relationship Type="http://schemas.openxmlformats.org/officeDocument/2006/relationships/image" Target="/xl/media/image1483.jpg" Id="Rb359a4a7c18b4586" /><Relationship Type="http://schemas.openxmlformats.org/officeDocument/2006/relationships/image" Target="/xl/media/image1484.jpg" Id="R07d700e96b404a68" /><Relationship Type="http://schemas.openxmlformats.org/officeDocument/2006/relationships/image" Target="/xl/media/image1485.jpg" Id="Re7a82e44748b4ea6" /><Relationship Type="http://schemas.openxmlformats.org/officeDocument/2006/relationships/image" Target="/xl/media/image1486.jpg" Id="R51f71ad02e374972" /><Relationship Type="http://schemas.openxmlformats.org/officeDocument/2006/relationships/image" Target="/xl/media/image1487.jpg" Id="R4cd2ad748d344e2f" /><Relationship Type="http://schemas.openxmlformats.org/officeDocument/2006/relationships/image" Target="/xl/media/image1488.jpg" Id="Rdd96ae77acd047a5" /><Relationship Type="http://schemas.openxmlformats.org/officeDocument/2006/relationships/image" Target="/xl/media/image1489.jpg" Id="R06fe00d56ad54f08" /><Relationship Type="http://schemas.openxmlformats.org/officeDocument/2006/relationships/image" Target="/xl/media/image1490.jpg" Id="R4c2a1f8e3a524776" /><Relationship Type="http://schemas.openxmlformats.org/officeDocument/2006/relationships/image" Target="/xl/media/image1491.jpg" Id="Rf8de853b681f4220" /><Relationship Type="http://schemas.openxmlformats.org/officeDocument/2006/relationships/image" Target="/xl/media/image1492.jpg" Id="Rfba5034ffb234b0f" /><Relationship Type="http://schemas.openxmlformats.org/officeDocument/2006/relationships/image" Target="/xl/media/image1493.jpg" Id="R34271a21ab5443e0" /><Relationship Type="http://schemas.openxmlformats.org/officeDocument/2006/relationships/image" Target="/xl/media/image1494.jpg" Id="Rb1a2349473874efb" /><Relationship Type="http://schemas.openxmlformats.org/officeDocument/2006/relationships/image" Target="/xl/media/image1495.jpg" Id="R0f4b73fe78eb461d" /><Relationship Type="http://schemas.openxmlformats.org/officeDocument/2006/relationships/image" Target="/xl/media/image1496.jpg" Id="R9187357cb5bc481b" /><Relationship Type="http://schemas.openxmlformats.org/officeDocument/2006/relationships/image" Target="/xl/media/image1497.jpg" Id="Rc0eb40d643914277" /><Relationship Type="http://schemas.openxmlformats.org/officeDocument/2006/relationships/image" Target="/xl/media/image1498.jpg" Id="Rf5e7b42ca3714d46" /><Relationship Type="http://schemas.openxmlformats.org/officeDocument/2006/relationships/image" Target="/xl/media/image1499.jpg" Id="R000c15fe70d94278" /><Relationship Type="http://schemas.openxmlformats.org/officeDocument/2006/relationships/image" Target="/xl/media/image1500.jpg" Id="R9c971f81f15d4ae2" /><Relationship Type="http://schemas.openxmlformats.org/officeDocument/2006/relationships/image" Target="/xl/media/image1501.jpg" Id="Rd2cf94ef950b43cb" /><Relationship Type="http://schemas.openxmlformats.org/officeDocument/2006/relationships/image" Target="/xl/media/image1502.jpg" Id="R1afbf37d6d874a18" /><Relationship Type="http://schemas.openxmlformats.org/officeDocument/2006/relationships/image" Target="/xl/media/image1503.jpg" Id="Rde372d6213fa469d" /><Relationship Type="http://schemas.openxmlformats.org/officeDocument/2006/relationships/image" Target="/xl/media/image1504.jpg" Id="R1ba1994ed4a64401" /><Relationship Type="http://schemas.openxmlformats.org/officeDocument/2006/relationships/image" Target="/xl/media/image1505.jpg" Id="R069ad04cfdc14659" /><Relationship Type="http://schemas.openxmlformats.org/officeDocument/2006/relationships/image" Target="/xl/media/image1506.jpg" Id="Rd38a37419bbd4b8e" /><Relationship Type="http://schemas.openxmlformats.org/officeDocument/2006/relationships/image" Target="/xl/media/image1507.jpg" Id="Re944a1bc933445f8" /><Relationship Type="http://schemas.openxmlformats.org/officeDocument/2006/relationships/image" Target="/xl/media/image1508.jpg" Id="Rf999508fb3df4535" /><Relationship Type="http://schemas.openxmlformats.org/officeDocument/2006/relationships/image" Target="/xl/media/image1509.jpg" Id="Rced4209c25414420" /><Relationship Type="http://schemas.openxmlformats.org/officeDocument/2006/relationships/image" Target="/xl/media/image1510.jpg" Id="R678f7f365f374bab" /><Relationship Type="http://schemas.openxmlformats.org/officeDocument/2006/relationships/image" Target="/xl/media/image1511.jpg" Id="R5aa12ce048e04fae" /><Relationship Type="http://schemas.openxmlformats.org/officeDocument/2006/relationships/image" Target="/xl/media/image1512.jpg" Id="R8cf5562357b5439e" /><Relationship Type="http://schemas.openxmlformats.org/officeDocument/2006/relationships/image" Target="/xl/media/image1513.jpg" Id="Rb7602d7bc82c44a0" /><Relationship Type="http://schemas.openxmlformats.org/officeDocument/2006/relationships/image" Target="/xl/media/image1514.jpg" Id="Rc8db97477f554752" /><Relationship Type="http://schemas.openxmlformats.org/officeDocument/2006/relationships/image" Target="/xl/media/image1515.jpg" Id="Re7b8a289c59044b4" /><Relationship Type="http://schemas.openxmlformats.org/officeDocument/2006/relationships/image" Target="/xl/media/image1516.jpg" Id="R0b52838f93164d69" /><Relationship Type="http://schemas.openxmlformats.org/officeDocument/2006/relationships/image" Target="/xl/media/image1517.jpg" Id="R613039e6fa76489f" /><Relationship Type="http://schemas.openxmlformats.org/officeDocument/2006/relationships/image" Target="/xl/media/image1518.jpg" Id="R688cb45691664e9a" /><Relationship Type="http://schemas.openxmlformats.org/officeDocument/2006/relationships/image" Target="/xl/media/image1519.jpg" Id="Rb8e12ea5075a4881" /><Relationship Type="http://schemas.openxmlformats.org/officeDocument/2006/relationships/image" Target="/xl/media/image1520.jpg" Id="R023f746796bc4bb7" /><Relationship Type="http://schemas.openxmlformats.org/officeDocument/2006/relationships/image" Target="/xl/media/image1521.jpg" Id="R759e8a57d5f84cd3" /><Relationship Type="http://schemas.openxmlformats.org/officeDocument/2006/relationships/image" Target="/xl/media/image1522.jpg" Id="R0431f25101d84dbe" /><Relationship Type="http://schemas.openxmlformats.org/officeDocument/2006/relationships/image" Target="/xl/media/image1523.jpg" Id="Rd37949849b744cf1" /><Relationship Type="http://schemas.openxmlformats.org/officeDocument/2006/relationships/image" Target="/xl/media/image1524.jpg" Id="Rfeb59e1cda1b4a68" /><Relationship Type="http://schemas.openxmlformats.org/officeDocument/2006/relationships/image" Target="/xl/media/image1525.jpg" Id="R96355a9d86ea4276" /><Relationship Type="http://schemas.openxmlformats.org/officeDocument/2006/relationships/image" Target="/xl/media/image1526.jpg" Id="R8d5f104cb174495a" /><Relationship Type="http://schemas.openxmlformats.org/officeDocument/2006/relationships/image" Target="/xl/media/image1527.jpg" Id="Rd5c0ca2aaa5e4a4f" /><Relationship Type="http://schemas.openxmlformats.org/officeDocument/2006/relationships/image" Target="/xl/media/image1528.jpg" Id="R6940278e6a414791" /><Relationship Type="http://schemas.openxmlformats.org/officeDocument/2006/relationships/image" Target="/xl/media/image1529.jpg" Id="Rdcf63a26d8e04da8" /><Relationship Type="http://schemas.openxmlformats.org/officeDocument/2006/relationships/image" Target="/xl/media/image1530.jpg" Id="Rc39c06cdf1184154" /><Relationship Type="http://schemas.openxmlformats.org/officeDocument/2006/relationships/image" Target="/xl/media/image1531.jpg" Id="Rda2122caf8df4414" /><Relationship Type="http://schemas.openxmlformats.org/officeDocument/2006/relationships/image" Target="/xl/media/image1532.jpg" Id="R3002808b0b6343fd" /><Relationship Type="http://schemas.openxmlformats.org/officeDocument/2006/relationships/image" Target="/xl/media/image1533.jpg" Id="R570a4f01d70a4bf2" /><Relationship Type="http://schemas.openxmlformats.org/officeDocument/2006/relationships/image" Target="/xl/media/image1534.jpg" Id="R4f5ac9e94e9a40ae" /><Relationship Type="http://schemas.openxmlformats.org/officeDocument/2006/relationships/image" Target="/xl/media/image1535.jpg" Id="Rb884b23cbcc3418b" /><Relationship Type="http://schemas.openxmlformats.org/officeDocument/2006/relationships/image" Target="/xl/media/image1536.jpg" Id="R8b6f8db3b5a84094" /><Relationship Type="http://schemas.openxmlformats.org/officeDocument/2006/relationships/image" Target="/xl/media/image1537.jpg" Id="Rb590fee358f4477f" /><Relationship Type="http://schemas.openxmlformats.org/officeDocument/2006/relationships/image" Target="/xl/media/image1538.jpg" Id="R9a64324e07cb420e" /><Relationship Type="http://schemas.openxmlformats.org/officeDocument/2006/relationships/image" Target="/xl/media/image1539.jpg" Id="R1b8aff35cc1043f9" /><Relationship Type="http://schemas.openxmlformats.org/officeDocument/2006/relationships/image" Target="/xl/media/image1540.jpg" Id="R2d945514d2774578" /><Relationship Type="http://schemas.openxmlformats.org/officeDocument/2006/relationships/image" Target="/xl/media/image1541.jpg" Id="Rd53760c9f38a44cb" /><Relationship Type="http://schemas.openxmlformats.org/officeDocument/2006/relationships/image" Target="/xl/media/image1542.jpg" Id="Ra84c8500ac31435e" /><Relationship Type="http://schemas.openxmlformats.org/officeDocument/2006/relationships/image" Target="/xl/media/image1543.jpg" Id="Rf65cd48b04124dfc" /><Relationship Type="http://schemas.openxmlformats.org/officeDocument/2006/relationships/image" Target="/xl/media/image1544.jpg" Id="Re8c16ee9b926411c" /><Relationship Type="http://schemas.openxmlformats.org/officeDocument/2006/relationships/image" Target="/xl/media/image1545.jpg" Id="Rf936336f4b024a72" /><Relationship Type="http://schemas.openxmlformats.org/officeDocument/2006/relationships/image" Target="/xl/media/image1546.jpg" Id="R157d5cbcc81a417d" /><Relationship Type="http://schemas.openxmlformats.org/officeDocument/2006/relationships/image" Target="/xl/media/image1547.jpg" Id="Rabbb1fae0a094a54" /><Relationship Type="http://schemas.openxmlformats.org/officeDocument/2006/relationships/image" Target="/xl/media/image1548.jpg" Id="R15a46d15561d4bda" /><Relationship Type="http://schemas.openxmlformats.org/officeDocument/2006/relationships/image" Target="/xl/media/image1549.jpg" Id="R854dc33e2b464137" /><Relationship Type="http://schemas.openxmlformats.org/officeDocument/2006/relationships/image" Target="/xl/media/image1550.jpg" Id="R85ecb426c2ff4738" /><Relationship Type="http://schemas.openxmlformats.org/officeDocument/2006/relationships/image" Target="/xl/media/image1551.jpg" Id="Ra5a14ee2e2454792" /><Relationship Type="http://schemas.openxmlformats.org/officeDocument/2006/relationships/image" Target="/xl/media/image1552.jpg" Id="R4617950e43ab401e" /><Relationship Type="http://schemas.openxmlformats.org/officeDocument/2006/relationships/image" Target="/xl/media/image1553.jpg" Id="Ra21418f777fd4b99" /><Relationship Type="http://schemas.openxmlformats.org/officeDocument/2006/relationships/image" Target="/xl/media/image1554.jpg" Id="Ra7cce7f33f554005" /><Relationship Type="http://schemas.openxmlformats.org/officeDocument/2006/relationships/image" Target="/xl/media/image1555.jpg" Id="R443a587f9bd543ce" /><Relationship Type="http://schemas.openxmlformats.org/officeDocument/2006/relationships/image" Target="/xl/media/image1556.jpg" Id="R5508bc673ad9426f" /><Relationship Type="http://schemas.openxmlformats.org/officeDocument/2006/relationships/image" Target="/xl/media/image1557.jpg" Id="R649afeda3ba6489c" /><Relationship Type="http://schemas.openxmlformats.org/officeDocument/2006/relationships/image" Target="/xl/media/image1558.jpg" Id="Rfd82078b60d042b5" /><Relationship Type="http://schemas.openxmlformats.org/officeDocument/2006/relationships/image" Target="/xl/media/image1559.jpg" Id="R4c5ad1d3ee4e4b50" /><Relationship Type="http://schemas.openxmlformats.org/officeDocument/2006/relationships/image" Target="/xl/media/image1560.jpg" Id="Rdf33538de9414d84" /><Relationship Type="http://schemas.openxmlformats.org/officeDocument/2006/relationships/image" Target="/xl/media/image1561.jpg" Id="Rb6b768ba468444d4" /><Relationship Type="http://schemas.openxmlformats.org/officeDocument/2006/relationships/image" Target="/xl/media/image1562.jpg" Id="R9e3085c2e928461b" /><Relationship Type="http://schemas.openxmlformats.org/officeDocument/2006/relationships/image" Target="/xl/media/image1563.jpg" Id="R3e4a73628b7c4a0a" /><Relationship Type="http://schemas.openxmlformats.org/officeDocument/2006/relationships/image" Target="/xl/media/image1564.jpg" Id="Rd4850c40f21043b0" /><Relationship Type="http://schemas.openxmlformats.org/officeDocument/2006/relationships/image" Target="/xl/media/image1565.jpg" Id="Rfae52b42b9c8487b" /><Relationship Type="http://schemas.openxmlformats.org/officeDocument/2006/relationships/image" Target="/xl/media/image1566.jpg" Id="Rea776a76c96c45c6" /><Relationship Type="http://schemas.openxmlformats.org/officeDocument/2006/relationships/image" Target="/xl/media/image1567.jpg" Id="R954a496f93b945ea" /><Relationship Type="http://schemas.openxmlformats.org/officeDocument/2006/relationships/image" Target="/xl/media/image1568.jpg" Id="R7f823cebed754290" /><Relationship Type="http://schemas.openxmlformats.org/officeDocument/2006/relationships/image" Target="/xl/media/image1569.jpg" Id="R0ba9c2edda9d46ba" /><Relationship Type="http://schemas.openxmlformats.org/officeDocument/2006/relationships/image" Target="/xl/media/image1570.jpg" Id="R72c8b53bdd0747d6" /><Relationship Type="http://schemas.openxmlformats.org/officeDocument/2006/relationships/image" Target="/xl/media/image1571.jpg" Id="R5fad89fe3edd4b79" /><Relationship Type="http://schemas.openxmlformats.org/officeDocument/2006/relationships/image" Target="/xl/media/image1572.jpg" Id="Ref3178408b774323" /><Relationship Type="http://schemas.openxmlformats.org/officeDocument/2006/relationships/image" Target="/xl/media/image1573.jpg" Id="R2f0d5514bbdf42a1" /><Relationship Type="http://schemas.openxmlformats.org/officeDocument/2006/relationships/image" Target="/xl/media/image1574.jpg" Id="Ra79da1ae71df4916" /><Relationship Type="http://schemas.openxmlformats.org/officeDocument/2006/relationships/image" Target="/xl/media/image1575.jpg" Id="R4c24b5aa1d874cc5" /><Relationship Type="http://schemas.openxmlformats.org/officeDocument/2006/relationships/image" Target="/xl/media/image1576.jpg" Id="R0fc9de96acbf44ae" /><Relationship Type="http://schemas.openxmlformats.org/officeDocument/2006/relationships/image" Target="/xl/media/image1577.jpg" Id="Rbd01f742ecbd425e" /><Relationship Type="http://schemas.openxmlformats.org/officeDocument/2006/relationships/image" Target="/xl/media/image1578.jpg" Id="Raf04cb40fc5a470c" /><Relationship Type="http://schemas.openxmlformats.org/officeDocument/2006/relationships/image" Target="/xl/media/image1579.jpg" Id="Ra8809e1142d84d49" /><Relationship Type="http://schemas.openxmlformats.org/officeDocument/2006/relationships/image" Target="/xl/media/image1580.jpg" Id="R29dcffd18b2946eb" /><Relationship Type="http://schemas.openxmlformats.org/officeDocument/2006/relationships/image" Target="/xl/media/image1581.jpg" Id="R2aef60f4084b496e" /><Relationship Type="http://schemas.openxmlformats.org/officeDocument/2006/relationships/image" Target="/xl/media/image1582.jpg" Id="R2bd6ed8f87854e2b" /><Relationship Type="http://schemas.openxmlformats.org/officeDocument/2006/relationships/image" Target="/xl/media/image1583.jpg" Id="R50e389b95585491b" /><Relationship Type="http://schemas.openxmlformats.org/officeDocument/2006/relationships/image" Target="/xl/media/image1584.jpg" Id="R1a571cb528014e2d" /><Relationship Type="http://schemas.openxmlformats.org/officeDocument/2006/relationships/image" Target="/xl/media/image1585.jpg" Id="Ra8216b308a064546" /><Relationship Type="http://schemas.openxmlformats.org/officeDocument/2006/relationships/image" Target="/xl/media/image1586.jpg" Id="R1f70f7cd9a444a45" /><Relationship Type="http://schemas.openxmlformats.org/officeDocument/2006/relationships/image" Target="/xl/media/image1587.jpg" Id="R44d51b98ccca4d7e" /><Relationship Type="http://schemas.openxmlformats.org/officeDocument/2006/relationships/image" Target="/xl/media/image1588.jpg" Id="Rc0b65f78e9814884" /><Relationship Type="http://schemas.openxmlformats.org/officeDocument/2006/relationships/image" Target="/xl/media/image1589.jpg" Id="R752aee9babe041be" /><Relationship Type="http://schemas.openxmlformats.org/officeDocument/2006/relationships/image" Target="/xl/media/image1590.jpg" Id="R3af57727063c4940" /><Relationship Type="http://schemas.openxmlformats.org/officeDocument/2006/relationships/image" Target="/xl/media/image1591.jpg" Id="R0de5c647f6fd46e1" /><Relationship Type="http://schemas.openxmlformats.org/officeDocument/2006/relationships/image" Target="/xl/media/image1592.jpg" Id="Re2e54de0c55c4370" /><Relationship Type="http://schemas.openxmlformats.org/officeDocument/2006/relationships/image" Target="/xl/media/image1593.jpg" Id="R18d3cb5d2b7e4d8e" /><Relationship Type="http://schemas.openxmlformats.org/officeDocument/2006/relationships/image" Target="/xl/media/image1594.jpg" Id="R8fd0ec48df644dd7" /><Relationship Type="http://schemas.openxmlformats.org/officeDocument/2006/relationships/image" Target="/xl/media/image1595.jpg" Id="R2b39487789e2404f" /><Relationship Type="http://schemas.openxmlformats.org/officeDocument/2006/relationships/image" Target="/xl/media/image1596.jpg" Id="R0396d268a9004cc8" /><Relationship Type="http://schemas.openxmlformats.org/officeDocument/2006/relationships/image" Target="/xl/media/image1597.jpg" Id="R6515e050f5f04222" /><Relationship Type="http://schemas.openxmlformats.org/officeDocument/2006/relationships/image" Target="/xl/media/image1598.jpg" Id="R04fef4abf7824550" /><Relationship Type="http://schemas.openxmlformats.org/officeDocument/2006/relationships/image" Target="/xl/media/image1599.jpg" Id="Rcd0dcdf9b5044ecc" /><Relationship Type="http://schemas.openxmlformats.org/officeDocument/2006/relationships/image" Target="/xl/media/image1600.jpg" Id="R8804258d6d6145f4" /><Relationship Type="http://schemas.openxmlformats.org/officeDocument/2006/relationships/image" Target="/xl/media/image1601.jpg" Id="R15ce626aa65e4c74" /><Relationship Type="http://schemas.openxmlformats.org/officeDocument/2006/relationships/image" Target="/xl/media/image1602.jpg" Id="Rf979bd0d7d974045" /><Relationship Type="http://schemas.openxmlformats.org/officeDocument/2006/relationships/image" Target="/xl/media/image1603.jpg" Id="Rbe66533f99764983" /><Relationship Type="http://schemas.openxmlformats.org/officeDocument/2006/relationships/image" Target="/xl/media/image1604.jpg" Id="Rf8e7c3b04f1a4811" /><Relationship Type="http://schemas.openxmlformats.org/officeDocument/2006/relationships/image" Target="/xl/media/image1605.jpg" Id="R54db37749bb743f3" /><Relationship Type="http://schemas.openxmlformats.org/officeDocument/2006/relationships/image" Target="/xl/media/image1606.jpg" Id="R81d870fcf0724ed3" /><Relationship Type="http://schemas.openxmlformats.org/officeDocument/2006/relationships/image" Target="/xl/media/image1607.jpg" Id="Re0e0bf2649d1424c" /><Relationship Type="http://schemas.openxmlformats.org/officeDocument/2006/relationships/image" Target="/xl/media/image1608.jpg" Id="R24b355ba4cf84bc4" /><Relationship Type="http://schemas.openxmlformats.org/officeDocument/2006/relationships/image" Target="/xl/media/image1609.jpg" Id="R671795adcb8e4e07" /><Relationship Type="http://schemas.openxmlformats.org/officeDocument/2006/relationships/image" Target="/xl/media/image1610.jpg" Id="R7f4b7212012e48f9" /><Relationship Type="http://schemas.openxmlformats.org/officeDocument/2006/relationships/image" Target="/xl/media/image1611.jpg" Id="Rba3d0a4c695b4f76" /><Relationship Type="http://schemas.openxmlformats.org/officeDocument/2006/relationships/image" Target="/xl/media/image1612.jpg" Id="R0261b0b61a654910" /><Relationship Type="http://schemas.openxmlformats.org/officeDocument/2006/relationships/image" Target="/xl/media/image1613.jpg" Id="R2839bba51f084a9b" /><Relationship Type="http://schemas.openxmlformats.org/officeDocument/2006/relationships/image" Target="/xl/media/image1614.jpg" Id="R27a798f6bab84fbd" /><Relationship Type="http://schemas.openxmlformats.org/officeDocument/2006/relationships/image" Target="/xl/media/image1615.jpg" Id="R9e45a61715484517" /><Relationship Type="http://schemas.openxmlformats.org/officeDocument/2006/relationships/image" Target="/xl/media/image1616.jpg" Id="R46ac5b6b7d9d444d" /><Relationship Type="http://schemas.openxmlformats.org/officeDocument/2006/relationships/image" Target="/xl/media/image1617.jpg" Id="R8d963147540d4644" /><Relationship Type="http://schemas.openxmlformats.org/officeDocument/2006/relationships/image" Target="/xl/media/image1618.jpg" Id="R254544aba7764aef" /><Relationship Type="http://schemas.openxmlformats.org/officeDocument/2006/relationships/image" Target="/xl/media/image1619.jpg" Id="R32b4665f4851478a" /><Relationship Type="http://schemas.openxmlformats.org/officeDocument/2006/relationships/image" Target="/xl/media/image1620.jpg" Id="Rdd332265a27b4d33" /><Relationship Type="http://schemas.openxmlformats.org/officeDocument/2006/relationships/image" Target="/xl/media/image1621.jpg" Id="R89a406298b0a4d62" /><Relationship Type="http://schemas.openxmlformats.org/officeDocument/2006/relationships/image" Target="/xl/media/image1622.jpg" Id="Rc6d78ff6b134400b" /><Relationship Type="http://schemas.openxmlformats.org/officeDocument/2006/relationships/image" Target="/xl/media/image1623.jpg" Id="Re0cd2e7cca514c31" /><Relationship Type="http://schemas.openxmlformats.org/officeDocument/2006/relationships/image" Target="/xl/media/image1624.jpg" Id="Ree3a17986ced4f2e" /><Relationship Type="http://schemas.openxmlformats.org/officeDocument/2006/relationships/image" Target="/xl/media/image1625.jpg" Id="R15b0e4b41b524f8c" /><Relationship Type="http://schemas.openxmlformats.org/officeDocument/2006/relationships/image" Target="/xl/media/image1626.jpg" Id="R37ad0f4dd03547f5" /><Relationship Type="http://schemas.openxmlformats.org/officeDocument/2006/relationships/image" Target="/xl/media/image1627.jpg" Id="R24413903bd934029" /><Relationship Type="http://schemas.openxmlformats.org/officeDocument/2006/relationships/image" Target="/xl/media/image1628.jpg" Id="Rfb8e66a459ca40da" /><Relationship Type="http://schemas.openxmlformats.org/officeDocument/2006/relationships/image" Target="/xl/media/image1629.jpg" Id="Rc02856fb01c14b47" /><Relationship Type="http://schemas.openxmlformats.org/officeDocument/2006/relationships/image" Target="/xl/media/image1630.jpg" Id="R0566e332ae1a4532" /><Relationship Type="http://schemas.openxmlformats.org/officeDocument/2006/relationships/image" Target="/xl/media/image1631.jpg" Id="R0c1bbab04f234a7e" /><Relationship Type="http://schemas.openxmlformats.org/officeDocument/2006/relationships/image" Target="/xl/media/image1632.jpg" Id="Rb53df62886c842e7" /><Relationship Type="http://schemas.openxmlformats.org/officeDocument/2006/relationships/image" Target="/xl/media/image1633.jpg" Id="Rc2b08fa0d6664ad3" /><Relationship Type="http://schemas.openxmlformats.org/officeDocument/2006/relationships/image" Target="/xl/media/image1634.jpg" Id="Rdba3faaacfd54fe1" /><Relationship Type="http://schemas.openxmlformats.org/officeDocument/2006/relationships/image" Target="/xl/media/image1635.jpg" Id="Rcd07a797adaf4e2f" /><Relationship Type="http://schemas.openxmlformats.org/officeDocument/2006/relationships/image" Target="/xl/media/image1636.jpg" Id="Rc3508cc986544323" /><Relationship Type="http://schemas.openxmlformats.org/officeDocument/2006/relationships/image" Target="/xl/media/image1637.jpg" Id="R25094f72697c4078" /><Relationship Type="http://schemas.openxmlformats.org/officeDocument/2006/relationships/image" Target="/xl/media/image1638.jpg" Id="Rcffa8e8fe17144c3" /><Relationship Type="http://schemas.openxmlformats.org/officeDocument/2006/relationships/image" Target="/xl/media/image1639.jpg" Id="R7ece62273deb457e" /><Relationship Type="http://schemas.openxmlformats.org/officeDocument/2006/relationships/image" Target="/xl/media/image1640.jpg" Id="R7bbc6351409b4643" /><Relationship Type="http://schemas.openxmlformats.org/officeDocument/2006/relationships/image" Target="/xl/media/image1641.jpg" Id="R611031ad68ae4741" /><Relationship Type="http://schemas.openxmlformats.org/officeDocument/2006/relationships/image" Target="/xl/media/image1642.jpg" Id="R2ab0450d1a424d5a" /><Relationship Type="http://schemas.openxmlformats.org/officeDocument/2006/relationships/image" Target="/xl/media/image1643.jpg" Id="Rb214ea82a311424e" /><Relationship Type="http://schemas.openxmlformats.org/officeDocument/2006/relationships/image" Target="/xl/media/image1644.jpg" Id="Rf81bc9d42c524a67" /><Relationship Type="http://schemas.openxmlformats.org/officeDocument/2006/relationships/image" Target="/xl/media/image1645.jpg" Id="R94356c3fac374334" /><Relationship Type="http://schemas.openxmlformats.org/officeDocument/2006/relationships/image" Target="/xl/media/image1646.jpg" Id="Rb0371f2cc7c9478f" /><Relationship Type="http://schemas.openxmlformats.org/officeDocument/2006/relationships/image" Target="/xl/media/image1647.jpg" Id="R1574551975b248d3" /><Relationship Type="http://schemas.openxmlformats.org/officeDocument/2006/relationships/image" Target="/xl/media/image1648.jpg" Id="R60efb15463fb433f" /><Relationship Type="http://schemas.openxmlformats.org/officeDocument/2006/relationships/image" Target="/xl/media/image1649.jpg" Id="R39b09500b1ec4ebd" /><Relationship Type="http://schemas.openxmlformats.org/officeDocument/2006/relationships/image" Target="/xl/media/image1650.jpg" Id="R4194ed4eacde4a79" /><Relationship Type="http://schemas.openxmlformats.org/officeDocument/2006/relationships/image" Target="/xl/media/image1651.jpg" Id="Read4939f50fb46b3" /><Relationship Type="http://schemas.openxmlformats.org/officeDocument/2006/relationships/image" Target="/xl/media/image1652.jpg" Id="R1062cc9115954bb5" /><Relationship Type="http://schemas.openxmlformats.org/officeDocument/2006/relationships/image" Target="/xl/media/image1653.jpg" Id="R3c008a8b771c4d4b" /><Relationship Type="http://schemas.openxmlformats.org/officeDocument/2006/relationships/image" Target="/xl/media/image1654.jpg" Id="Rb5534b0d3d6b4ada" /><Relationship Type="http://schemas.openxmlformats.org/officeDocument/2006/relationships/image" Target="/xl/media/image1655.jpg" Id="R20db299a2f0949c8" /><Relationship Type="http://schemas.openxmlformats.org/officeDocument/2006/relationships/image" Target="/xl/media/image1656.jpg" Id="R055dfcd28684470a" /><Relationship Type="http://schemas.openxmlformats.org/officeDocument/2006/relationships/image" Target="/xl/media/image1657.jpg" Id="Ra7ca06e543d04aac" /><Relationship Type="http://schemas.openxmlformats.org/officeDocument/2006/relationships/image" Target="/xl/media/image1658.jpg" Id="Rbec4369d0da8441e" /><Relationship Type="http://schemas.openxmlformats.org/officeDocument/2006/relationships/image" Target="/xl/media/image1659.jpg" Id="Rca3270ab2312486d" /><Relationship Type="http://schemas.openxmlformats.org/officeDocument/2006/relationships/image" Target="/xl/media/image1660.jpg" Id="R03467b1168214392" /><Relationship Type="http://schemas.openxmlformats.org/officeDocument/2006/relationships/image" Target="/xl/media/image1661.jpg" Id="R02e24b439c7740a3" /><Relationship Type="http://schemas.openxmlformats.org/officeDocument/2006/relationships/image" Target="/xl/media/image1662.jpg" Id="R482bd6dd0cee4af2" /><Relationship Type="http://schemas.openxmlformats.org/officeDocument/2006/relationships/image" Target="/xl/media/image1663.jpg" Id="Rf0b8e2c526974fe1" /><Relationship Type="http://schemas.openxmlformats.org/officeDocument/2006/relationships/image" Target="/xl/media/image1664.jpg" Id="R7c4a925ea30647b4" /><Relationship Type="http://schemas.openxmlformats.org/officeDocument/2006/relationships/image" Target="/xl/media/image1665.jpg" Id="R4a8717c9a9844b97" /><Relationship Type="http://schemas.openxmlformats.org/officeDocument/2006/relationships/image" Target="/xl/media/image1666.jpg" Id="R93112253de434ae4" /><Relationship Type="http://schemas.openxmlformats.org/officeDocument/2006/relationships/image" Target="/xl/media/image1667.jpg" Id="R11eb03cc17fc4b84" /><Relationship Type="http://schemas.openxmlformats.org/officeDocument/2006/relationships/image" Target="/xl/media/image1668.jpg" Id="R45cfadc2834c4692" /><Relationship Type="http://schemas.openxmlformats.org/officeDocument/2006/relationships/image" Target="/xl/media/image1669.jpg" Id="Rf89077d190c84dc2" /><Relationship Type="http://schemas.openxmlformats.org/officeDocument/2006/relationships/image" Target="/xl/media/image1670.jpg" Id="Rb771ff7f3f1c4c22" /><Relationship Type="http://schemas.openxmlformats.org/officeDocument/2006/relationships/image" Target="/xl/media/image1671.jpg" Id="R7fa0dc0b03f3460e" /><Relationship Type="http://schemas.openxmlformats.org/officeDocument/2006/relationships/image" Target="/xl/media/image1672.jpg" Id="R5dbab332f3554824" /><Relationship Type="http://schemas.openxmlformats.org/officeDocument/2006/relationships/image" Target="/xl/media/image1673.jpg" Id="R8155801b106243c5" /><Relationship Type="http://schemas.openxmlformats.org/officeDocument/2006/relationships/image" Target="/xl/media/image1674.jpg" Id="R721b0a04f923453d" /><Relationship Type="http://schemas.openxmlformats.org/officeDocument/2006/relationships/image" Target="/xl/media/image1675.jpg" Id="R185e68ecebba4129" /><Relationship Type="http://schemas.openxmlformats.org/officeDocument/2006/relationships/image" Target="/xl/media/image1676.jpg" Id="R934cd262314c4a4e" /><Relationship Type="http://schemas.openxmlformats.org/officeDocument/2006/relationships/image" Target="/xl/media/image1677.jpg" Id="R5b51b99977a44cb5" /><Relationship Type="http://schemas.openxmlformats.org/officeDocument/2006/relationships/image" Target="/xl/media/image1678.jpg" Id="Ra2eb8d25d8d14053" /><Relationship Type="http://schemas.openxmlformats.org/officeDocument/2006/relationships/image" Target="/xl/media/image1679.jpg" Id="R67d365510b1e4a7b" /><Relationship Type="http://schemas.openxmlformats.org/officeDocument/2006/relationships/image" Target="/xl/media/image1680.jpg" Id="Rcde2336ce0b849e4" /><Relationship Type="http://schemas.openxmlformats.org/officeDocument/2006/relationships/image" Target="/xl/media/image1681.jpg" Id="Rbaad51c2e0f0423d" /><Relationship Type="http://schemas.openxmlformats.org/officeDocument/2006/relationships/image" Target="/xl/media/image1682.jpg" Id="R183c4bd9e1eb456d" /><Relationship Type="http://schemas.openxmlformats.org/officeDocument/2006/relationships/image" Target="/xl/media/image1683.jpg" Id="Re22e48cb25114bd7" /><Relationship Type="http://schemas.openxmlformats.org/officeDocument/2006/relationships/image" Target="/xl/media/image1684.jpg" Id="R4cff654a00ac4f32" /><Relationship Type="http://schemas.openxmlformats.org/officeDocument/2006/relationships/image" Target="/xl/media/image1685.jpg" Id="R7e8ad5db19f24746" /><Relationship Type="http://schemas.openxmlformats.org/officeDocument/2006/relationships/image" Target="/xl/media/image1686.jpg" Id="R6a14833e264f43b9" /><Relationship Type="http://schemas.openxmlformats.org/officeDocument/2006/relationships/image" Target="/xl/media/image1687.jpg" Id="R778506d7cd2f4d01" /><Relationship Type="http://schemas.openxmlformats.org/officeDocument/2006/relationships/image" Target="/xl/media/image1688.jpg" Id="R3ce13381e89043f1" /><Relationship Type="http://schemas.openxmlformats.org/officeDocument/2006/relationships/image" Target="/xl/media/image1689.jpg" Id="R3085a7df12894843" /><Relationship Type="http://schemas.openxmlformats.org/officeDocument/2006/relationships/image" Target="/xl/media/image1690.jpg" Id="Rd9b36f9a56804e4c" /><Relationship Type="http://schemas.openxmlformats.org/officeDocument/2006/relationships/image" Target="/xl/media/image1691.jpg" Id="R4251f20ee6a84fda" /><Relationship Type="http://schemas.openxmlformats.org/officeDocument/2006/relationships/image" Target="/xl/media/image1692.jpg" Id="Rd0b3e8108f1e4bc7" /><Relationship Type="http://schemas.openxmlformats.org/officeDocument/2006/relationships/image" Target="/xl/media/image1693.jpg" Id="R5d66d34467b94b66" /><Relationship Type="http://schemas.openxmlformats.org/officeDocument/2006/relationships/image" Target="/xl/media/image1694.jpg" Id="R9f7ba8ce63c14317" /><Relationship Type="http://schemas.openxmlformats.org/officeDocument/2006/relationships/image" Target="/xl/media/image1695.jpg" Id="Rab34e19c331b4de9" /><Relationship Type="http://schemas.openxmlformats.org/officeDocument/2006/relationships/image" Target="/xl/media/image1696.jpg" Id="R564408616d5b42da" /><Relationship Type="http://schemas.openxmlformats.org/officeDocument/2006/relationships/image" Target="/xl/media/image1697.jpg" Id="R2119a240ed1345e6" /><Relationship Type="http://schemas.openxmlformats.org/officeDocument/2006/relationships/image" Target="/xl/media/image1698.jpg" Id="R72bcdd0b5ef24dee" /><Relationship Type="http://schemas.openxmlformats.org/officeDocument/2006/relationships/image" Target="/xl/media/image1699.jpg" Id="Rf8d980bccc0847b9" /><Relationship Type="http://schemas.openxmlformats.org/officeDocument/2006/relationships/image" Target="/xl/media/image1700.jpg" Id="R04226babc58e4a06" /><Relationship Type="http://schemas.openxmlformats.org/officeDocument/2006/relationships/image" Target="/xl/media/image1701.jpg" Id="R08c9bf6672154cc5" /><Relationship Type="http://schemas.openxmlformats.org/officeDocument/2006/relationships/image" Target="/xl/media/image1702.jpg" Id="Ra1ad7f59c493483b" /><Relationship Type="http://schemas.openxmlformats.org/officeDocument/2006/relationships/image" Target="/xl/media/image1703.jpg" Id="R56634126d12e4c19" /><Relationship Type="http://schemas.openxmlformats.org/officeDocument/2006/relationships/image" Target="/xl/media/image1704.jpg" Id="R3ff99941d6854386" /><Relationship Type="http://schemas.openxmlformats.org/officeDocument/2006/relationships/image" Target="/xl/media/image1705.jpg" Id="R7a5c16b03c2341bf" /><Relationship Type="http://schemas.openxmlformats.org/officeDocument/2006/relationships/image" Target="/xl/media/image1706.jpg" Id="R200b373ddb164f10" /><Relationship Type="http://schemas.openxmlformats.org/officeDocument/2006/relationships/image" Target="/xl/media/image1707.jpg" Id="Rab9ae6de57974941" /><Relationship Type="http://schemas.openxmlformats.org/officeDocument/2006/relationships/image" Target="/xl/media/image1708.jpg" Id="R2bf9266f2f7d4ee1" /><Relationship Type="http://schemas.openxmlformats.org/officeDocument/2006/relationships/image" Target="/xl/media/image1709.jpg" Id="R03664543a02d42e4" /><Relationship Type="http://schemas.openxmlformats.org/officeDocument/2006/relationships/image" Target="/xl/media/image1710.jpg" Id="R509586fe88fa4e3f" /><Relationship Type="http://schemas.openxmlformats.org/officeDocument/2006/relationships/image" Target="/xl/media/image1711.jpg" Id="R763514bad2fe49d7" /><Relationship Type="http://schemas.openxmlformats.org/officeDocument/2006/relationships/image" Target="/xl/media/image1712.jpg" Id="R4dd2dfe5f3c24dfe" /><Relationship Type="http://schemas.openxmlformats.org/officeDocument/2006/relationships/image" Target="/xl/media/image1713.jpg" Id="Rf531b5a3133a4846" /><Relationship Type="http://schemas.openxmlformats.org/officeDocument/2006/relationships/image" Target="/xl/media/image1714.jpg" Id="Rcd18d476fb1d43b3" /><Relationship Type="http://schemas.openxmlformats.org/officeDocument/2006/relationships/image" Target="/xl/media/image1715.jpg" Id="R1a307433aa864b6d" /><Relationship Type="http://schemas.openxmlformats.org/officeDocument/2006/relationships/image" Target="/xl/media/image1716.jpg" Id="Rc4fc023b75a24efa" /><Relationship Type="http://schemas.openxmlformats.org/officeDocument/2006/relationships/image" Target="/xl/media/image1717.jpg" Id="R5697d6de70704a19" /><Relationship Type="http://schemas.openxmlformats.org/officeDocument/2006/relationships/image" Target="/xl/media/image1718.jpg" Id="R12096ce534a14257" /><Relationship Type="http://schemas.openxmlformats.org/officeDocument/2006/relationships/image" Target="/xl/media/image1719.jpg" Id="Raf37e830b94e4097" /><Relationship Type="http://schemas.openxmlformats.org/officeDocument/2006/relationships/image" Target="/xl/media/image1720.jpg" Id="R4841d329999640f4" /><Relationship Type="http://schemas.openxmlformats.org/officeDocument/2006/relationships/image" Target="/xl/media/image1721.jpg" Id="Rb19f56d95a464efc" /><Relationship Type="http://schemas.openxmlformats.org/officeDocument/2006/relationships/image" Target="/xl/media/image1722.jpg" Id="R6e3bb40ccbc94857" /><Relationship Type="http://schemas.openxmlformats.org/officeDocument/2006/relationships/image" Target="/xl/media/image1723.jpg" Id="Rf4855d9cef0e4b06" /><Relationship Type="http://schemas.openxmlformats.org/officeDocument/2006/relationships/image" Target="/xl/media/image1724.jpg" Id="R560bcf7c9b7744d3" /><Relationship Type="http://schemas.openxmlformats.org/officeDocument/2006/relationships/image" Target="/xl/media/image1725.jpg" Id="Rdaf547657db34890" /><Relationship Type="http://schemas.openxmlformats.org/officeDocument/2006/relationships/image" Target="/xl/media/image1726.jpg" Id="R0adb333547da4eba" /><Relationship Type="http://schemas.openxmlformats.org/officeDocument/2006/relationships/image" Target="/xl/media/image1727.jpg" Id="Rc7ade1d5b803442a" /><Relationship Type="http://schemas.openxmlformats.org/officeDocument/2006/relationships/image" Target="/xl/media/image1728.jpg" Id="R84e4c2a536e8451e" /><Relationship Type="http://schemas.openxmlformats.org/officeDocument/2006/relationships/image" Target="/xl/media/image1729.jpg" Id="R8e7c03b55ce54d4b" /><Relationship Type="http://schemas.openxmlformats.org/officeDocument/2006/relationships/image" Target="/xl/media/image1730.jpg" Id="R8b95db2a866c44c8" /><Relationship Type="http://schemas.openxmlformats.org/officeDocument/2006/relationships/image" Target="/xl/media/image1731.jpg" Id="R39a49184524646c6" /><Relationship Type="http://schemas.openxmlformats.org/officeDocument/2006/relationships/image" Target="/xl/media/image1732.jpg" Id="Rc1f33e8558bb43c1" /><Relationship Type="http://schemas.openxmlformats.org/officeDocument/2006/relationships/image" Target="/xl/media/image1733.jpg" Id="R2e1c1770d6044554" /><Relationship Type="http://schemas.openxmlformats.org/officeDocument/2006/relationships/image" Target="/xl/media/image1734.jpg" Id="R3c34e48d5ec24ddf" /><Relationship Type="http://schemas.openxmlformats.org/officeDocument/2006/relationships/image" Target="/xl/media/image1735.jpg" Id="R4b0c6f7a06ed422d" /><Relationship Type="http://schemas.openxmlformats.org/officeDocument/2006/relationships/image" Target="/xl/media/image1736.jpg" Id="R4aa020b64fdf4d39" /><Relationship Type="http://schemas.openxmlformats.org/officeDocument/2006/relationships/image" Target="/xl/media/image1737.jpg" Id="R32fb7859d222412b" /><Relationship Type="http://schemas.openxmlformats.org/officeDocument/2006/relationships/image" Target="/xl/media/image1738.jpg" Id="R1813dd58fbbc4cb2" /><Relationship Type="http://schemas.openxmlformats.org/officeDocument/2006/relationships/image" Target="/xl/media/image1739.jpg" Id="Rde3a3b3a85c549e1" /><Relationship Type="http://schemas.openxmlformats.org/officeDocument/2006/relationships/image" Target="/xl/media/image1740.jpg" Id="R210e153d59fc4518" /><Relationship Type="http://schemas.openxmlformats.org/officeDocument/2006/relationships/image" Target="/xl/media/image1741.jpg" Id="R5196da8dbf394c95" /><Relationship Type="http://schemas.openxmlformats.org/officeDocument/2006/relationships/image" Target="/xl/media/image1742.jpg" Id="R0792c7b05e284646" /><Relationship Type="http://schemas.openxmlformats.org/officeDocument/2006/relationships/image" Target="/xl/media/image1743.jpg" Id="Rb9e8d4edb4434cd1" /><Relationship Type="http://schemas.openxmlformats.org/officeDocument/2006/relationships/image" Target="/xl/media/image1744.jpg" Id="R93c50a4e1f38458e" /><Relationship Type="http://schemas.openxmlformats.org/officeDocument/2006/relationships/image" Target="/xl/media/image1745.jpg" Id="R72280df289094f99" /><Relationship Type="http://schemas.openxmlformats.org/officeDocument/2006/relationships/image" Target="/xl/media/image1746.jpg" Id="R41ebde1b8d464efd" /><Relationship Type="http://schemas.openxmlformats.org/officeDocument/2006/relationships/image" Target="/xl/media/image1747.jpg" Id="Ree4c9358150b4ab6" /><Relationship Type="http://schemas.openxmlformats.org/officeDocument/2006/relationships/image" Target="/xl/media/image1748.jpg" Id="R25197be1590b41bf" /><Relationship Type="http://schemas.openxmlformats.org/officeDocument/2006/relationships/image" Target="/xl/media/image1749.jpg" Id="R4e88302c71f84cb5" /><Relationship Type="http://schemas.openxmlformats.org/officeDocument/2006/relationships/image" Target="/xl/media/image1750.jpg" Id="R9e9dd2cbc8344747" /><Relationship Type="http://schemas.openxmlformats.org/officeDocument/2006/relationships/image" Target="/xl/media/image1751.jpg" Id="Rdaaf528114424b98" /><Relationship Type="http://schemas.openxmlformats.org/officeDocument/2006/relationships/image" Target="/xl/media/image1752.jpg" Id="R67c2c0b1598d4693" /><Relationship Type="http://schemas.openxmlformats.org/officeDocument/2006/relationships/image" Target="/xl/media/image1753.jpg" Id="Rb57e39b436154e1b" /><Relationship Type="http://schemas.openxmlformats.org/officeDocument/2006/relationships/image" Target="/xl/media/image1754.jpg" Id="R4500cc319ad04ff5" /><Relationship Type="http://schemas.openxmlformats.org/officeDocument/2006/relationships/image" Target="/xl/media/image1755.jpg" Id="R6ec4dac262c04608" /><Relationship Type="http://schemas.openxmlformats.org/officeDocument/2006/relationships/image" Target="/xl/media/image1756.jpg" Id="Rbc475d98ae1c4aeb" /><Relationship Type="http://schemas.openxmlformats.org/officeDocument/2006/relationships/image" Target="/xl/media/image1757.jpg" Id="R3db378ae61044806" /><Relationship Type="http://schemas.openxmlformats.org/officeDocument/2006/relationships/image" Target="/xl/media/image1758.jpg" Id="R38b893b698f24074" /><Relationship Type="http://schemas.openxmlformats.org/officeDocument/2006/relationships/image" Target="/xl/media/image1759.jpg" Id="Rbee1aa69b1f34885" /><Relationship Type="http://schemas.openxmlformats.org/officeDocument/2006/relationships/image" Target="/xl/media/image1760.jpg" Id="R6d8abbc910c24c44" /><Relationship Type="http://schemas.openxmlformats.org/officeDocument/2006/relationships/image" Target="/xl/media/image1761.jpg" Id="Rb302dfbfe3af4d40" /><Relationship Type="http://schemas.openxmlformats.org/officeDocument/2006/relationships/image" Target="/xl/media/image1762.jpg" Id="R26016267a1a5457d" /><Relationship Type="http://schemas.openxmlformats.org/officeDocument/2006/relationships/image" Target="/xl/media/image1763.jpg" Id="R38e165db0c624980" /><Relationship Type="http://schemas.openxmlformats.org/officeDocument/2006/relationships/image" Target="/xl/media/image1764.jpg" Id="Rd7c8c5ca59ce42bf" /><Relationship Type="http://schemas.openxmlformats.org/officeDocument/2006/relationships/image" Target="/xl/media/image1765.jpg" Id="Ra19cddc3d60047e6" /><Relationship Type="http://schemas.openxmlformats.org/officeDocument/2006/relationships/image" Target="/xl/media/image1766.jpg" Id="R8ef57748f8d840b8" /><Relationship Type="http://schemas.openxmlformats.org/officeDocument/2006/relationships/image" Target="/xl/media/image1767.jpg" Id="R6109fb6a7748403f" /><Relationship Type="http://schemas.openxmlformats.org/officeDocument/2006/relationships/image" Target="/xl/media/image1768.jpg" Id="Rbafea5d2db3040f7" /><Relationship Type="http://schemas.openxmlformats.org/officeDocument/2006/relationships/image" Target="/xl/media/image1769.jpg" Id="R7d89c0c14aac4aa7" /><Relationship Type="http://schemas.openxmlformats.org/officeDocument/2006/relationships/image" Target="/xl/media/image1770.jpg" Id="Rb79950d9d15540e6" /><Relationship Type="http://schemas.openxmlformats.org/officeDocument/2006/relationships/image" Target="/xl/media/image1771.jpg" Id="R2135300de66144c4" /><Relationship Type="http://schemas.openxmlformats.org/officeDocument/2006/relationships/image" Target="/xl/media/image1772.jpg" Id="Ra0ed01abe21e4e2d" /><Relationship Type="http://schemas.openxmlformats.org/officeDocument/2006/relationships/image" Target="/xl/media/image1773.jpg" Id="Re070008c51584342" /><Relationship Type="http://schemas.openxmlformats.org/officeDocument/2006/relationships/image" Target="/xl/media/image1774.jpg" Id="R21a78a7f3f644f23" /><Relationship Type="http://schemas.openxmlformats.org/officeDocument/2006/relationships/image" Target="/xl/media/image1775.jpg" Id="Rb8b94be5ef494d85" /><Relationship Type="http://schemas.openxmlformats.org/officeDocument/2006/relationships/image" Target="/xl/media/image1776.jpg" Id="R9290c77cb73644d0" /><Relationship Type="http://schemas.openxmlformats.org/officeDocument/2006/relationships/image" Target="/xl/media/image1777.jpg" Id="R65d46da97f33468f" /><Relationship Type="http://schemas.openxmlformats.org/officeDocument/2006/relationships/image" Target="/xl/media/image1778.jpg" Id="Rc10a964eb9ca46f5" /><Relationship Type="http://schemas.openxmlformats.org/officeDocument/2006/relationships/image" Target="/xl/media/image1779.jpg" Id="Rfaae927bf8e04d8f" /><Relationship Type="http://schemas.openxmlformats.org/officeDocument/2006/relationships/image" Target="/xl/media/image1780.jpg" Id="Rd2269cb330dc4479" /><Relationship Type="http://schemas.openxmlformats.org/officeDocument/2006/relationships/image" Target="/xl/media/image1781.jpg" Id="Rb85b85d890d549f3" /><Relationship Type="http://schemas.openxmlformats.org/officeDocument/2006/relationships/image" Target="/xl/media/image1782.jpg" Id="R57abb1c341bb4392" /><Relationship Type="http://schemas.openxmlformats.org/officeDocument/2006/relationships/image" Target="/xl/media/image1783.jpg" Id="Rdfd82f8aea234254" /><Relationship Type="http://schemas.openxmlformats.org/officeDocument/2006/relationships/image" Target="/xl/media/image1784.jpg" Id="Rae43909741c548da" /><Relationship Type="http://schemas.openxmlformats.org/officeDocument/2006/relationships/image" Target="/xl/media/image1785.jpg" Id="R36e9db7241d94cbd" /><Relationship Type="http://schemas.openxmlformats.org/officeDocument/2006/relationships/image" Target="/xl/media/image1786.jpg" Id="R8c5ef259906344c7" /><Relationship Type="http://schemas.openxmlformats.org/officeDocument/2006/relationships/image" Target="/xl/media/image1787.jpg" Id="R3766482c02b64089" /><Relationship Type="http://schemas.openxmlformats.org/officeDocument/2006/relationships/image" Target="/xl/media/image1788.jpg" Id="R12161b7aed7f4df0" /><Relationship Type="http://schemas.openxmlformats.org/officeDocument/2006/relationships/image" Target="/xl/media/image1789.jpg" Id="Rafa03da3c7e34211" /><Relationship Type="http://schemas.openxmlformats.org/officeDocument/2006/relationships/image" Target="/xl/media/image1790.jpg" Id="R8dfd9fc97c0c4fd1" /><Relationship Type="http://schemas.openxmlformats.org/officeDocument/2006/relationships/image" Target="/xl/media/image1791.jpg" Id="R50b5c11da08c477d" /><Relationship Type="http://schemas.openxmlformats.org/officeDocument/2006/relationships/image" Target="/xl/media/image1792.jpg" Id="R43b511b7777b4c77" /><Relationship Type="http://schemas.openxmlformats.org/officeDocument/2006/relationships/image" Target="/xl/media/image1793.jpg" Id="R73f27597c9ac43fd" /><Relationship Type="http://schemas.openxmlformats.org/officeDocument/2006/relationships/image" Target="/xl/media/image1794.jpg" Id="Rb1c38129275d4b54" /><Relationship Type="http://schemas.openxmlformats.org/officeDocument/2006/relationships/image" Target="/xl/media/image1795.jpg" Id="R3dd259d49b5a411c" /><Relationship Type="http://schemas.openxmlformats.org/officeDocument/2006/relationships/image" Target="/xl/media/image1796.jpg" Id="R77a63d48e6ca411d" /><Relationship Type="http://schemas.openxmlformats.org/officeDocument/2006/relationships/image" Target="/xl/media/image1797.jpg" Id="Rd9e064638bae4e6d" /><Relationship Type="http://schemas.openxmlformats.org/officeDocument/2006/relationships/image" Target="/xl/media/image1798.jpg" Id="Rcd6eb7722cdc4a8d" /><Relationship Type="http://schemas.openxmlformats.org/officeDocument/2006/relationships/image" Target="/xl/media/image1799.jpg" Id="R7c5461466a2c4fab" /><Relationship Type="http://schemas.openxmlformats.org/officeDocument/2006/relationships/image" Target="/xl/media/image1800.jpg" Id="Rad15a17056044de4" /><Relationship Type="http://schemas.openxmlformats.org/officeDocument/2006/relationships/image" Target="/xl/media/image1801.jpg" Id="R4d254ad95512435c" /><Relationship Type="http://schemas.openxmlformats.org/officeDocument/2006/relationships/image" Target="/xl/media/image1802.jpg" Id="R99adc0f82a6f4fce" /><Relationship Type="http://schemas.openxmlformats.org/officeDocument/2006/relationships/image" Target="/xl/media/image1803.jpg" Id="R12253715fc3843f9" /><Relationship Type="http://schemas.openxmlformats.org/officeDocument/2006/relationships/image" Target="/xl/media/image1804.jpg" Id="R2f82c3318fc14621" /><Relationship Type="http://schemas.openxmlformats.org/officeDocument/2006/relationships/image" Target="/xl/media/image1805.jpg" Id="R3a846b3052014af4" /><Relationship Type="http://schemas.openxmlformats.org/officeDocument/2006/relationships/image" Target="/xl/media/image1806.jpg" Id="R5ceebf78f6ce4a79" /><Relationship Type="http://schemas.openxmlformats.org/officeDocument/2006/relationships/image" Target="/xl/media/image1807.jpg" Id="R7fa1d4b534cb4a29" /><Relationship Type="http://schemas.openxmlformats.org/officeDocument/2006/relationships/image" Target="/xl/media/image1808.jpg" Id="R76ea73318786453c" /><Relationship Type="http://schemas.openxmlformats.org/officeDocument/2006/relationships/image" Target="/xl/media/image1809.jpg" Id="R5fa365e332fb4535" /><Relationship Type="http://schemas.openxmlformats.org/officeDocument/2006/relationships/image" Target="/xl/media/image1810.jpg" Id="R656decf5c55045ee" /><Relationship Type="http://schemas.openxmlformats.org/officeDocument/2006/relationships/image" Target="/xl/media/image1811.jpg" Id="Rababb34b9b6e4e73" /><Relationship Type="http://schemas.openxmlformats.org/officeDocument/2006/relationships/image" Target="/xl/media/image1812.jpg" Id="Ra0ef78754e244f8b" /><Relationship Type="http://schemas.openxmlformats.org/officeDocument/2006/relationships/image" Target="/xl/media/image1813.jpg" Id="Rb1e49254264b4337" /><Relationship Type="http://schemas.openxmlformats.org/officeDocument/2006/relationships/image" Target="/xl/media/image1814.jpg" Id="Raf0085ca67e546e7" /><Relationship Type="http://schemas.openxmlformats.org/officeDocument/2006/relationships/image" Target="/xl/media/image1815.jpg" Id="R1794a620cecd41a5" /><Relationship Type="http://schemas.openxmlformats.org/officeDocument/2006/relationships/image" Target="/xl/media/image1816.jpg" Id="R6b988ced250f4892" /><Relationship Type="http://schemas.openxmlformats.org/officeDocument/2006/relationships/image" Target="/xl/media/image1817.jpg" Id="Raef9a9f7ed1040eb" /><Relationship Type="http://schemas.openxmlformats.org/officeDocument/2006/relationships/image" Target="/xl/media/image1818.jpg" Id="R9ac5d565366848b2" /><Relationship Type="http://schemas.openxmlformats.org/officeDocument/2006/relationships/image" Target="/xl/media/image1819.jpg" Id="R165a914ac80e4e0d" /><Relationship Type="http://schemas.openxmlformats.org/officeDocument/2006/relationships/image" Target="/xl/media/image1820.jpg" Id="Rb4c72d8c66b84057" /><Relationship Type="http://schemas.openxmlformats.org/officeDocument/2006/relationships/image" Target="/xl/media/image1821.jpg" Id="R2a8c23b48e1d46b7" /><Relationship Type="http://schemas.openxmlformats.org/officeDocument/2006/relationships/image" Target="/xl/media/image1822.jpg" Id="R2c2d0b6ee90b4fa7" /><Relationship Type="http://schemas.openxmlformats.org/officeDocument/2006/relationships/image" Target="/xl/media/image1823.jpg" Id="Ra029ddf0418e4600" /><Relationship Type="http://schemas.openxmlformats.org/officeDocument/2006/relationships/image" Target="/xl/media/image1824.jpg" Id="Rb26a64a102864e55" /><Relationship Type="http://schemas.openxmlformats.org/officeDocument/2006/relationships/image" Target="/xl/media/image1825.jpg" Id="Rdcd122dd72ea466e" /><Relationship Type="http://schemas.openxmlformats.org/officeDocument/2006/relationships/image" Target="/xl/media/image1826.jpg" Id="R538692736e5e4a00" /><Relationship Type="http://schemas.openxmlformats.org/officeDocument/2006/relationships/image" Target="/xl/media/image1827.jpg" Id="Reac5850878a14c6a" /><Relationship Type="http://schemas.openxmlformats.org/officeDocument/2006/relationships/image" Target="/xl/media/image1828.jpg" Id="R50bed6511cd4462a" /><Relationship Type="http://schemas.openxmlformats.org/officeDocument/2006/relationships/image" Target="/xl/media/image1829.jpg" Id="Rfe01a80c8458441a" /><Relationship Type="http://schemas.openxmlformats.org/officeDocument/2006/relationships/image" Target="/xl/media/image1830.jpg" Id="R72928b0a577c4439" /><Relationship Type="http://schemas.openxmlformats.org/officeDocument/2006/relationships/image" Target="/xl/media/image1831.jpg" Id="Rd621b2cf2133462f" /><Relationship Type="http://schemas.openxmlformats.org/officeDocument/2006/relationships/image" Target="/xl/media/image1832.jpg" Id="R24aec587b5d944b0" /><Relationship Type="http://schemas.openxmlformats.org/officeDocument/2006/relationships/image" Target="/xl/media/image1833.jpg" Id="R3c56e068aa7a4001" /><Relationship Type="http://schemas.openxmlformats.org/officeDocument/2006/relationships/image" Target="/xl/media/image1834.jpg" Id="Rdc069ecb1b114c0c" /><Relationship Type="http://schemas.openxmlformats.org/officeDocument/2006/relationships/image" Target="/xl/media/image1835.jpg" Id="R32a80e66431b4daf" /><Relationship Type="http://schemas.openxmlformats.org/officeDocument/2006/relationships/image" Target="/xl/media/image1836.jpg" Id="R6477c959262e4550" /><Relationship Type="http://schemas.openxmlformats.org/officeDocument/2006/relationships/image" Target="/xl/media/image1837.jpg" Id="R7408e995d88e4381" /><Relationship Type="http://schemas.openxmlformats.org/officeDocument/2006/relationships/image" Target="/xl/media/image1838.jpg" Id="R37b498d5b71d45cd" /><Relationship Type="http://schemas.openxmlformats.org/officeDocument/2006/relationships/image" Target="/xl/media/image1839.jpg" Id="R2a738eb19fa14d71" /><Relationship Type="http://schemas.openxmlformats.org/officeDocument/2006/relationships/image" Target="/xl/media/image1840.jpg" Id="R60ce62ef60984a3c" /><Relationship Type="http://schemas.openxmlformats.org/officeDocument/2006/relationships/image" Target="/xl/media/image1841.jpg" Id="Rab6e2a9166a1491d" /><Relationship Type="http://schemas.openxmlformats.org/officeDocument/2006/relationships/image" Target="/xl/media/image1842.jpg" Id="R28ff119c920a4d47" /><Relationship Type="http://schemas.openxmlformats.org/officeDocument/2006/relationships/image" Target="/xl/media/image1843.jpg" Id="Ra1041299ddb8414b" /><Relationship Type="http://schemas.openxmlformats.org/officeDocument/2006/relationships/image" Target="/xl/media/image1844.jpg" Id="Rb67da63d888c48e7" /><Relationship Type="http://schemas.openxmlformats.org/officeDocument/2006/relationships/image" Target="/xl/media/image1845.jpg" Id="R6cda0acb08e54bad" /><Relationship Type="http://schemas.openxmlformats.org/officeDocument/2006/relationships/image" Target="/xl/media/image1846.jpg" Id="R010916acec3d447e" /><Relationship Type="http://schemas.openxmlformats.org/officeDocument/2006/relationships/image" Target="/xl/media/image1847.jpg" Id="R6aff1d1ba44b475a" /><Relationship Type="http://schemas.openxmlformats.org/officeDocument/2006/relationships/image" Target="/xl/media/image1848.jpg" Id="R30f0f6406c484344" /><Relationship Type="http://schemas.openxmlformats.org/officeDocument/2006/relationships/image" Target="/xl/media/image1849.jpg" Id="Rd404de07fc044eed" /><Relationship Type="http://schemas.openxmlformats.org/officeDocument/2006/relationships/image" Target="/xl/media/image1850.jpg" Id="R0a03f554f12445c8" /><Relationship Type="http://schemas.openxmlformats.org/officeDocument/2006/relationships/image" Target="/xl/media/image1851.jpg" Id="R05c0013419c0494b" /><Relationship Type="http://schemas.openxmlformats.org/officeDocument/2006/relationships/image" Target="/xl/media/image1852.jpg" Id="Re81f0a8538c04426" /><Relationship Type="http://schemas.openxmlformats.org/officeDocument/2006/relationships/image" Target="/xl/media/image1853.jpg" Id="R5298f9d0c6644bab" /><Relationship Type="http://schemas.openxmlformats.org/officeDocument/2006/relationships/image" Target="/xl/media/image1854.jpg" Id="R583aba512b104a5e" /><Relationship Type="http://schemas.openxmlformats.org/officeDocument/2006/relationships/image" Target="/xl/media/image1855.jpg" Id="R3236c1e0b8e3485e" /><Relationship Type="http://schemas.openxmlformats.org/officeDocument/2006/relationships/image" Target="/xl/media/image1856.jpg" Id="Rf23f0b1923484b50" /><Relationship Type="http://schemas.openxmlformats.org/officeDocument/2006/relationships/image" Target="/xl/media/image1857.jpg" Id="R38b961a9b4ef473b" /><Relationship Type="http://schemas.openxmlformats.org/officeDocument/2006/relationships/image" Target="/xl/media/image1858.jpg" Id="R2084e88de6d84b5d" /><Relationship Type="http://schemas.openxmlformats.org/officeDocument/2006/relationships/image" Target="/xl/media/image1859.jpg" Id="R5897089430984e18" /><Relationship Type="http://schemas.openxmlformats.org/officeDocument/2006/relationships/image" Target="/xl/media/image1860.jpg" Id="R3a11605377394b0b" /><Relationship Type="http://schemas.openxmlformats.org/officeDocument/2006/relationships/image" Target="/xl/media/image1861.jpg" Id="Ra847e7ffce4f4f23" /><Relationship Type="http://schemas.openxmlformats.org/officeDocument/2006/relationships/image" Target="/xl/media/image1862.jpg" Id="R8b488d7853f24eaa" /><Relationship Type="http://schemas.openxmlformats.org/officeDocument/2006/relationships/image" Target="/xl/media/image1863.jpg" Id="R3f963379aadc48ea" /><Relationship Type="http://schemas.openxmlformats.org/officeDocument/2006/relationships/image" Target="/xl/media/image1864.jpg" Id="R2f89688ca67c456d" /><Relationship Type="http://schemas.openxmlformats.org/officeDocument/2006/relationships/image" Target="/xl/media/image1865.jpg" Id="R591e48330b594c90" /><Relationship Type="http://schemas.openxmlformats.org/officeDocument/2006/relationships/image" Target="/xl/media/image1866.jpg" Id="Rf4f878033d5e4ffb" /><Relationship Type="http://schemas.openxmlformats.org/officeDocument/2006/relationships/image" Target="/xl/media/image1867.jpg" Id="R90be551e44194fcc" /><Relationship Type="http://schemas.openxmlformats.org/officeDocument/2006/relationships/image" Target="/xl/media/image1868.jpg" Id="R04e8fa4413ea4cc7" /><Relationship Type="http://schemas.openxmlformats.org/officeDocument/2006/relationships/image" Target="/xl/media/image1869.jpg" Id="Rf621f93b96344753" /><Relationship Type="http://schemas.openxmlformats.org/officeDocument/2006/relationships/image" Target="/xl/media/image1870.jpg" Id="R4233dc970f004176" /><Relationship Type="http://schemas.openxmlformats.org/officeDocument/2006/relationships/image" Target="/xl/media/image1871.jpg" Id="R2b27e9b386e94889" /><Relationship Type="http://schemas.openxmlformats.org/officeDocument/2006/relationships/image" Target="/xl/media/image1872.jpg" Id="R690e71ae8e2a4469" /><Relationship Type="http://schemas.openxmlformats.org/officeDocument/2006/relationships/image" Target="/xl/media/image1873.jpg" Id="R85cd8caeafce4a2a" /><Relationship Type="http://schemas.openxmlformats.org/officeDocument/2006/relationships/image" Target="/xl/media/image1874.jpg" Id="R3d265543f4fa4883" /><Relationship Type="http://schemas.openxmlformats.org/officeDocument/2006/relationships/image" Target="/xl/media/image1875.jpg" Id="R61a1fe6235bb44a7" /><Relationship Type="http://schemas.openxmlformats.org/officeDocument/2006/relationships/image" Target="/xl/media/image1876.jpg" Id="R311739ccb2ca409e" /><Relationship Type="http://schemas.openxmlformats.org/officeDocument/2006/relationships/image" Target="/xl/media/image1877.jpg" Id="R70f3c85a5a6d420c" /><Relationship Type="http://schemas.openxmlformats.org/officeDocument/2006/relationships/image" Target="/xl/media/image1878.jpg" Id="Rc22eff6963654b18" /><Relationship Type="http://schemas.openxmlformats.org/officeDocument/2006/relationships/image" Target="/xl/media/image1879.jpg" Id="R27dd01ce80c24a29" /><Relationship Type="http://schemas.openxmlformats.org/officeDocument/2006/relationships/image" Target="/xl/media/image1880.jpg" Id="R44ba7baae4a64ca4" /><Relationship Type="http://schemas.openxmlformats.org/officeDocument/2006/relationships/image" Target="/xl/media/image1881.jpg" Id="R8e19a71569c641b4" /><Relationship Type="http://schemas.openxmlformats.org/officeDocument/2006/relationships/image" Target="/xl/media/image1882.jpg" Id="Rc268206703da4e99" /><Relationship Type="http://schemas.openxmlformats.org/officeDocument/2006/relationships/image" Target="/xl/media/image1883.jpg" Id="Ra9e78c5d64c148e4" /><Relationship Type="http://schemas.openxmlformats.org/officeDocument/2006/relationships/image" Target="/xl/media/image1884.jpg" Id="R004282eeeafd4935" /><Relationship Type="http://schemas.openxmlformats.org/officeDocument/2006/relationships/image" Target="/xl/media/image1885.jpg" Id="R98d64d0e45544577" /><Relationship Type="http://schemas.openxmlformats.org/officeDocument/2006/relationships/image" Target="/xl/media/image1886.jpg" Id="R90c1da73779e47d2" /><Relationship Type="http://schemas.openxmlformats.org/officeDocument/2006/relationships/image" Target="/xl/media/image1887.jpg" Id="Re31523351b304b0b" /><Relationship Type="http://schemas.openxmlformats.org/officeDocument/2006/relationships/image" Target="/xl/media/image1888.jpg" Id="Rf07a5cd5609b4f08" /><Relationship Type="http://schemas.openxmlformats.org/officeDocument/2006/relationships/image" Target="/xl/media/image1889.jpg" Id="R6c6a1bd599454d91" /><Relationship Type="http://schemas.openxmlformats.org/officeDocument/2006/relationships/image" Target="/xl/media/image1890.jpg" Id="R1bc9efa5efe14e80" /><Relationship Type="http://schemas.openxmlformats.org/officeDocument/2006/relationships/image" Target="/xl/media/image1891.jpg" Id="R397265b1dd674422" /><Relationship Type="http://schemas.openxmlformats.org/officeDocument/2006/relationships/image" Target="/xl/media/image1892.jpg" Id="Rd908db0e823b4dea" /><Relationship Type="http://schemas.openxmlformats.org/officeDocument/2006/relationships/image" Target="/xl/media/image1893.jpg" Id="Rf76ce8009ab54600" /><Relationship Type="http://schemas.openxmlformats.org/officeDocument/2006/relationships/image" Target="/xl/media/image1894.jpg" Id="Rbf9ecb2d79c7487b" /><Relationship Type="http://schemas.openxmlformats.org/officeDocument/2006/relationships/image" Target="/xl/media/image1895.jpg" Id="Rf4b45461e166436e" /><Relationship Type="http://schemas.openxmlformats.org/officeDocument/2006/relationships/image" Target="/xl/media/image1896.jpg" Id="Raa1a900531f54ee4" /><Relationship Type="http://schemas.openxmlformats.org/officeDocument/2006/relationships/image" Target="/xl/media/image1897.jpg" Id="Re743f012bca6496f" /><Relationship Type="http://schemas.openxmlformats.org/officeDocument/2006/relationships/image" Target="/xl/media/image1898.jpg" Id="R6ac51d1cb5404933" /><Relationship Type="http://schemas.openxmlformats.org/officeDocument/2006/relationships/image" Target="/xl/media/image1899.jpg" Id="R429870b7a4874796" /><Relationship Type="http://schemas.openxmlformats.org/officeDocument/2006/relationships/image" Target="/xl/media/image1900.jpg" Id="R972305decd3441aa" /><Relationship Type="http://schemas.openxmlformats.org/officeDocument/2006/relationships/image" Target="/xl/media/image1901.jpg" Id="R4550bd071a3c4245" /><Relationship Type="http://schemas.openxmlformats.org/officeDocument/2006/relationships/image" Target="/xl/media/image1902.jpg" Id="Ra7e1a7e80e0141e1" /><Relationship Type="http://schemas.openxmlformats.org/officeDocument/2006/relationships/image" Target="/xl/media/image1903.jpg" Id="R46858bc1e4364ef7" /><Relationship Type="http://schemas.openxmlformats.org/officeDocument/2006/relationships/image" Target="/xl/media/image1904.jpg" Id="R1eb995f971a64cd1" /><Relationship Type="http://schemas.openxmlformats.org/officeDocument/2006/relationships/image" Target="/xl/media/image1905.jpg" Id="Rbe90293819bc401b" /><Relationship Type="http://schemas.openxmlformats.org/officeDocument/2006/relationships/image" Target="/xl/media/image1906.jpg" Id="R32269e545092404c" /><Relationship Type="http://schemas.openxmlformats.org/officeDocument/2006/relationships/image" Target="/xl/media/image1907.jpg" Id="R69152904929c4b68" /><Relationship Type="http://schemas.openxmlformats.org/officeDocument/2006/relationships/image" Target="/xl/media/image1908.jpg" Id="R9a7640b9b96241b2" /><Relationship Type="http://schemas.openxmlformats.org/officeDocument/2006/relationships/image" Target="/xl/media/image1909.jpg" Id="Rec3024af5a49450d" /><Relationship Type="http://schemas.openxmlformats.org/officeDocument/2006/relationships/image" Target="/xl/media/image1910.jpg" Id="Rd31c98aa38324b13" /><Relationship Type="http://schemas.openxmlformats.org/officeDocument/2006/relationships/image" Target="/xl/media/image1911.jpg" Id="Re6ad4f121054432d" /><Relationship Type="http://schemas.openxmlformats.org/officeDocument/2006/relationships/image" Target="/xl/media/image1912.jpg" Id="R050b214c049646eb" /><Relationship Type="http://schemas.openxmlformats.org/officeDocument/2006/relationships/image" Target="/xl/media/image1913.jpg" Id="Rba8f7e3fa5004067" /><Relationship Type="http://schemas.openxmlformats.org/officeDocument/2006/relationships/image" Target="/xl/media/image1914.jpg" Id="Radd55cee4e0647b1" /><Relationship Type="http://schemas.openxmlformats.org/officeDocument/2006/relationships/image" Target="/xl/media/image1915.jpg" Id="Rdc9048042b2640de" /><Relationship Type="http://schemas.openxmlformats.org/officeDocument/2006/relationships/image" Target="/xl/media/image1916.jpg" Id="Re4a3ac26a8214c66" /><Relationship Type="http://schemas.openxmlformats.org/officeDocument/2006/relationships/image" Target="/xl/media/image1917.jpg" Id="R23888f741f9c4def" /><Relationship Type="http://schemas.openxmlformats.org/officeDocument/2006/relationships/image" Target="/xl/media/image1918.jpg" Id="R6c7971e192a347c4" /><Relationship Type="http://schemas.openxmlformats.org/officeDocument/2006/relationships/image" Target="/xl/media/image1919.jpg" Id="R3f7e57bacaf240d2" /><Relationship Type="http://schemas.openxmlformats.org/officeDocument/2006/relationships/image" Target="/xl/media/image1920.jpg" Id="R861a2a6aa37b49d9" /><Relationship Type="http://schemas.openxmlformats.org/officeDocument/2006/relationships/image" Target="/xl/media/image1921.jpg" Id="R47f5c56bad1b46d0" /><Relationship Type="http://schemas.openxmlformats.org/officeDocument/2006/relationships/image" Target="/xl/media/image1922.jpg" Id="Rb24848c940044551" /><Relationship Type="http://schemas.openxmlformats.org/officeDocument/2006/relationships/image" Target="/xl/media/image1923.jpg" Id="Reb7083f319884128" /><Relationship Type="http://schemas.openxmlformats.org/officeDocument/2006/relationships/image" Target="/xl/media/image1924.jpg" Id="R5e46f8161c284773" /><Relationship Type="http://schemas.openxmlformats.org/officeDocument/2006/relationships/image" Target="/xl/media/image1925.jpg" Id="R1bed8c511f8147ca" /><Relationship Type="http://schemas.openxmlformats.org/officeDocument/2006/relationships/image" Target="/xl/media/image1926.jpg" Id="R1eff53dcb2ce440a" /><Relationship Type="http://schemas.openxmlformats.org/officeDocument/2006/relationships/image" Target="/xl/media/image1927.jpg" Id="R58d9ae4b99804280" /><Relationship Type="http://schemas.openxmlformats.org/officeDocument/2006/relationships/image" Target="/xl/media/image1928.jpg" Id="Rc7c51bd108a64a7b" /><Relationship Type="http://schemas.openxmlformats.org/officeDocument/2006/relationships/image" Target="/xl/media/image1929.jpg" Id="R08ebaad9fce24ad6" /><Relationship Type="http://schemas.openxmlformats.org/officeDocument/2006/relationships/image" Target="/xl/media/image1930.jpg" Id="R30a98753f34f4dde" /><Relationship Type="http://schemas.openxmlformats.org/officeDocument/2006/relationships/image" Target="/xl/media/image1931.jpg" Id="R1e82d69e83e8409e" /><Relationship Type="http://schemas.openxmlformats.org/officeDocument/2006/relationships/image" Target="/xl/media/image1932.jpg" Id="Re8084c7961ed49ce" /><Relationship Type="http://schemas.openxmlformats.org/officeDocument/2006/relationships/image" Target="/xl/media/image1933.jpg" Id="R95f86e1c5fe0488f" /><Relationship Type="http://schemas.openxmlformats.org/officeDocument/2006/relationships/image" Target="/xl/media/image1934.jpg" Id="R525d30dc484a4ad4" /><Relationship Type="http://schemas.openxmlformats.org/officeDocument/2006/relationships/image" Target="/xl/media/image1935.jpg" Id="Rf5917b0314584eef" /><Relationship Type="http://schemas.openxmlformats.org/officeDocument/2006/relationships/image" Target="/xl/media/image1936.jpg" Id="R5e7449bf55744cc3" /><Relationship Type="http://schemas.openxmlformats.org/officeDocument/2006/relationships/image" Target="/xl/media/image1937.jpg" Id="R8cf53ad425ad46a6" /><Relationship Type="http://schemas.openxmlformats.org/officeDocument/2006/relationships/image" Target="/xl/media/image1938.jpg" Id="R8f1a285549534522" /><Relationship Type="http://schemas.openxmlformats.org/officeDocument/2006/relationships/image" Target="/xl/media/image1939.jpg" Id="Rf37a2eec34ab4b21" /><Relationship Type="http://schemas.openxmlformats.org/officeDocument/2006/relationships/image" Target="/xl/media/image1940.jpg" Id="R0e78dcc31fbd4530" /><Relationship Type="http://schemas.openxmlformats.org/officeDocument/2006/relationships/image" Target="/xl/media/image1941.jpg" Id="Rd96ee9cf20ff402c" /><Relationship Type="http://schemas.openxmlformats.org/officeDocument/2006/relationships/image" Target="/xl/media/image1942.jpg" Id="Rc72d886efc9241db" /><Relationship Type="http://schemas.openxmlformats.org/officeDocument/2006/relationships/image" Target="/xl/media/image1943.jpg" Id="R4ef614f00e024a29" /><Relationship Type="http://schemas.openxmlformats.org/officeDocument/2006/relationships/image" Target="/xl/media/image1944.jpg" Id="R6142cbe7c5ca4f37" /><Relationship Type="http://schemas.openxmlformats.org/officeDocument/2006/relationships/image" Target="/xl/media/image1945.jpg" Id="R0c9c9835cd9d4990" /><Relationship Type="http://schemas.openxmlformats.org/officeDocument/2006/relationships/image" Target="/xl/media/image1946.jpg" Id="R245836e7e330460e" /><Relationship Type="http://schemas.openxmlformats.org/officeDocument/2006/relationships/image" Target="/xl/media/image1947.jpg" Id="R6852c4c2545e49e1" /><Relationship Type="http://schemas.openxmlformats.org/officeDocument/2006/relationships/image" Target="/xl/media/image1948.jpg" Id="Rd3478286a02a4a56" /><Relationship Type="http://schemas.openxmlformats.org/officeDocument/2006/relationships/image" Target="/xl/media/image1949.jpg" Id="R3302385beaeb4f69" /><Relationship Type="http://schemas.openxmlformats.org/officeDocument/2006/relationships/image" Target="/xl/media/image1950.jpg" Id="Re8145ceb3cef4e7a" /><Relationship Type="http://schemas.openxmlformats.org/officeDocument/2006/relationships/image" Target="/xl/media/image1951.jpg" Id="Rb2e7bd47fd9e4569" /><Relationship Type="http://schemas.openxmlformats.org/officeDocument/2006/relationships/image" Target="/xl/media/image1952.jpg" Id="R2494200349e94f5a" /><Relationship Type="http://schemas.openxmlformats.org/officeDocument/2006/relationships/image" Target="/xl/media/image1953.jpg" Id="Rcc07ac6830ed4699" /><Relationship Type="http://schemas.openxmlformats.org/officeDocument/2006/relationships/image" Target="/xl/media/image1954.jpg" Id="R67804b520a524407" /><Relationship Type="http://schemas.openxmlformats.org/officeDocument/2006/relationships/image" Target="/xl/media/image1955.jpg" Id="R3aeb701ddd0544e5" /><Relationship Type="http://schemas.openxmlformats.org/officeDocument/2006/relationships/image" Target="/xl/media/image1956.jpg" Id="Rd3d4b99d3bad49c7" /><Relationship Type="http://schemas.openxmlformats.org/officeDocument/2006/relationships/image" Target="/xl/media/image1957.jpg" Id="Ra3de345540814edf" /><Relationship Type="http://schemas.openxmlformats.org/officeDocument/2006/relationships/image" Target="/xl/media/image1958.jpg" Id="Rbd94b57edf6b419f" /><Relationship Type="http://schemas.openxmlformats.org/officeDocument/2006/relationships/image" Target="/xl/media/image1959.jpg" Id="Rdb284513e3644400" /><Relationship Type="http://schemas.openxmlformats.org/officeDocument/2006/relationships/image" Target="/xl/media/image1960.jpg" Id="Rd093fcc3f6a24e93" /><Relationship Type="http://schemas.openxmlformats.org/officeDocument/2006/relationships/image" Target="/xl/media/image1961.jpg" Id="Rcc83b1d708c747d3" /><Relationship Type="http://schemas.openxmlformats.org/officeDocument/2006/relationships/image" Target="/xl/media/image1962.jpg" Id="Ra809de735a004ef2" /><Relationship Type="http://schemas.openxmlformats.org/officeDocument/2006/relationships/image" Target="/xl/media/image1963.jpg" Id="Rca892d14640b477a" /><Relationship Type="http://schemas.openxmlformats.org/officeDocument/2006/relationships/image" Target="/xl/media/image1964.jpg" Id="R651f5220b17e45bc" /><Relationship Type="http://schemas.openxmlformats.org/officeDocument/2006/relationships/image" Target="/xl/media/image1965.jpg" Id="R2a9197a8e6cc4694" /><Relationship Type="http://schemas.openxmlformats.org/officeDocument/2006/relationships/image" Target="/xl/media/image1966.jpg" Id="R090d0fbbb5f745d8" /><Relationship Type="http://schemas.openxmlformats.org/officeDocument/2006/relationships/image" Target="/xl/media/image1967.jpg" Id="Re718fca1e6fe42b0" /><Relationship Type="http://schemas.openxmlformats.org/officeDocument/2006/relationships/image" Target="/xl/media/image1968.jpg" Id="R3c6d5214fdd54b20" /><Relationship Type="http://schemas.openxmlformats.org/officeDocument/2006/relationships/image" Target="/xl/media/image1969.jpg" Id="Ra6cdeb59190348b5" /><Relationship Type="http://schemas.openxmlformats.org/officeDocument/2006/relationships/image" Target="/xl/media/image1970.jpg" Id="R9be8be8e74804956" /><Relationship Type="http://schemas.openxmlformats.org/officeDocument/2006/relationships/image" Target="/xl/media/image1971.jpg" Id="Rb2a0c442d0434cd1" /><Relationship Type="http://schemas.openxmlformats.org/officeDocument/2006/relationships/image" Target="/xl/media/image1972.jpg" Id="Re1506ae9bc9a4295" /><Relationship Type="http://schemas.openxmlformats.org/officeDocument/2006/relationships/image" Target="/xl/media/image1973.jpg" Id="R9ad8e0a5f8a349f5" /><Relationship Type="http://schemas.openxmlformats.org/officeDocument/2006/relationships/image" Target="/xl/media/image1974.jpg" Id="R3b35e5c617904418" /><Relationship Type="http://schemas.openxmlformats.org/officeDocument/2006/relationships/image" Target="/xl/media/image1975.jpg" Id="R5fba59c9a1434759" /><Relationship Type="http://schemas.openxmlformats.org/officeDocument/2006/relationships/image" Target="/xl/media/image1976.jpg" Id="R9a40c2c7c5c94ae6" /><Relationship Type="http://schemas.openxmlformats.org/officeDocument/2006/relationships/image" Target="/xl/media/image1977.jpg" Id="Rcbd98540aa654872" /><Relationship Type="http://schemas.openxmlformats.org/officeDocument/2006/relationships/image" Target="/xl/media/image1978.jpg" Id="Rbfe05515eaf745e4" /><Relationship Type="http://schemas.openxmlformats.org/officeDocument/2006/relationships/image" Target="/xl/media/image1979.jpg" Id="Rf746459f3f25431f" /><Relationship Type="http://schemas.openxmlformats.org/officeDocument/2006/relationships/image" Target="/xl/media/image1980.jpg" Id="R7199c9fe989c4f48" /><Relationship Type="http://schemas.openxmlformats.org/officeDocument/2006/relationships/image" Target="/xl/media/image1981.jpg" Id="Rf046a40ff241423d" /><Relationship Type="http://schemas.openxmlformats.org/officeDocument/2006/relationships/image" Target="/xl/media/image1982.jpg" Id="R7058e17768854cc7" /><Relationship Type="http://schemas.openxmlformats.org/officeDocument/2006/relationships/image" Target="/xl/media/image1983.jpg" Id="Rb79806a1fbcf4d69" /><Relationship Type="http://schemas.openxmlformats.org/officeDocument/2006/relationships/image" Target="/xl/media/image1984.jpg" Id="R3a5af485ed40478a" /><Relationship Type="http://schemas.openxmlformats.org/officeDocument/2006/relationships/image" Target="/xl/media/image1985.jpg" Id="Rce89ad3add304254" /><Relationship Type="http://schemas.openxmlformats.org/officeDocument/2006/relationships/image" Target="/xl/media/image1986.jpg" Id="R78a89fc902264eb9" /><Relationship Type="http://schemas.openxmlformats.org/officeDocument/2006/relationships/image" Target="/xl/media/image1987.jpg" Id="R3f90285759044eb9" /><Relationship Type="http://schemas.openxmlformats.org/officeDocument/2006/relationships/image" Target="/xl/media/image1988.jpg" Id="R742a32b0ae654acf" /><Relationship Type="http://schemas.openxmlformats.org/officeDocument/2006/relationships/image" Target="/xl/media/image1989.jpg" Id="R781638be0b0440fd" /><Relationship Type="http://schemas.openxmlformats.org/officeDocument/2006/relationships/image" Target="/xl/media/image1990.jpg" Id="Ra830e55d872648f2" /><Relationship Type="http://schemas.openxmlformats.org/officeDocument/2006/relationships/image" Target="/xl/media/image1991.jpg" Id="Rb2c510df4bac42c1" /><Relationship Type="http://schemas.openxmlformats.org/officeDocument/2006/relationships/image" Target="/xl/media/image1992.jpg" Id="R9cfce19799954c09" /><Relationship Type="http://schemas.openxmlformats.org/officeDocument/2006/relationships/image" Target="/xl/media/image1993.jpg" Id="Rac8f5ea221464b42" /><Relationship Type="http://schemas.openxmlformats.org/officeDocument/2006/relationships/image" Target="/xl/media/image1994.jpg" Id="R46797ac077204999" /><Relationship Type="http://schemas.openxmlformats.org/officeDocument/2006/relationships/image" Target="/xl/media/image1995.jpg" Id="R6f5b0789dc3a4505" /><Relationship Type="http://schemas.openxmlformats.org/officeDocument/2006/relationships/image" Target="/xl/media/image1996.jpg" Id="R9ec8822ce3f145c1" /><Relationship Type="http://schemas.openxmlformats.org/officeDocument/2006/relationships/image" Target="/xl/media/image1997.jpg" Id="R1da9798afbb44a80" /><Relationship Type="http://schemas.openxmlformats.org/officeDocument/2006/relationships/image" Target="/xl/media/image1998.jpg" Id="Re92c1a55e6dd44ec" /><Relationship Type="http://schemas.openxmlformats.org/officeDocument/2006/relationships/image" Target="/xl/media/image1999.jpg" Id="R0f563bdb1d2b424b" /><Relationship Type="http://schemas.openxmlformats.org/officeDocument/2006/relationships/image" Target="/xl/media/image2000.jpg" Id="R6e6a37a0d9bd43dd" /><Relationship Type="http://schemas.openxmlformats.org/officeDocument/2006/relationships/image" Target="/xl/media/image2001.jpg" Id="Rb2769303fa354b2e" /><Relationship Type="http://schemas.openxmlformats.org/officeDocument/2006/relationships/image" Target="/xl/media/image2002.jpg" Id="Rd451b86908124c1e" /><Relationship Type="http://schemas.openxmlformats.org/officeDocument/2006/relationships/image" Target="/xl/media/image2003.jpg" Id="R2e5184316ccb4a54" /><Relationship Type="http://schemas.openxmlformats.org/officeDocument/2006/relationships/image" Target="/xl/media/image2004.jpg" Id="R83152ecd9b1c4ead" /><Relationship Type="http://schemas.openxmlformats.org/officeDocument/2006/relationships/image" Target="/xl/media/image2005.jpg" Id="R313e699cd0314d12" /><Relationship Type="http://schemas.openxmlformats.org/officeDocument/2006/relationships/image" Target="/xl/media/image2006.jpg" Id="R97f82d445109420c" /><Relationship Type="http://schemas.openxmlformats.org/officeDocument/2006/relationships/image" Target="/xl/media/image2007.jpg" Id="R84f58dd5b32d4b21" /><Relationship Type="http://schemas.openxmlformats.org/officeDocument/2006/relationships/image" Target="/xl/media/image2008.jpg" Id="Rf3b96266d74a4bfe" /><Relationship Type="http://schemas.openxmlformats.org/officeDocument/2006/relationships/image" Target="/xl/media/image2009.jpg" Id="Re8cd187aa6294d6f" /><Relationship Type="http://schemas.openxmlformats.org/officeDocument/2006/relationships/image" Target="/xl/media/image2010.jpg" Id="R18d31d1853284b67" /><Relationship Type="http://schemas.openxmlformats.org/officeDocument/2006/relationships/image" Target="/xl/media/image2011.jpg" Id="R9d65a2b17e584d7b" /><Relationship Type="http://schemas.openxmlformats.org/officeDocument/2006/relationships/image" Target="/xl/media/image2012.jpg" Id="R48a997910a024a16" /><Relationship Type="http://schemas.openxmlformats.org/officeDocument/2006/relationships/image" Target="/xl/media/image2013.jpg" Id="R7164cc56aa40410f" /><Relationship Type="http://schemas.openxmlformats.org/officeDocument/2006/relationships/image" Target="/xl/media/image2014.jpg" Id="R6526f696581c485a" /><Relationship Type="http://schemas.openxmlformats.org/officeDocument/2006/relationships/image" Target="/xl/media/image2015.jpg" Id="R2783d486c99e4607" /><Relationship Type="http://schemas.openxmlformats.org/officeDocument/2006/relationships/image" Target="/xl/media/image2016.jpg" Id="R1959c14edb274b3d" /><Relationship Type="http://schemas.openxmlformats.org/officeDocument/2006/relationships/image" Target="/xl/media/image2017.jpg" Id="R8af97cd06ce643b2" /><Relationship Type="http://schemas.openxmlformats.org/officeDocument/2006/relationships/image" Target="/xl/media/image2018.jpg" Id="R54377712af60464b" /><Relationship Type="http://schemas.openxmlformats.org/officeDocument/2006/relationships/image" Target="/xl/media/image2019.jpg" Id="Rb26e284dd93e4b03" /><Relationship Type="http://schemas.openxmlformats.org/officeDocument/2006/relationships/image" Target="/xl/media/image2020.jpg" Id="R6bc4bcd5e4d343cd" /><Relationship Type="http://schemas.openxmlformats.org/officeDocument/2006/relationships/image" Target="/xl/media/image2021.jpg" Id="R22a7195f1e1e4a81" /><Relationship Type="http://schemas.openxmlformats.org/officeDocument/2006/relationships/image" Target="/xl/media/image2022.jpg" Id="R2ae3b18f2e99455b" /><Relationship Type="http://schemas.openxmlformats.org/officeDocument/2006/relationships/image" Target="/xl/media/image2023.jpg" Id="Rad0133862b22435c" /><Relationship Type="http://schemas.openxmlformats.org/officeDocument/2006/relationships/image" Target="/xl/media/image2024.jpg" Id="Rd9be9113e8ac4b9c" /><Relationship Type="http://schemas.openxmlformats.org/officeDocument/2006/relationships/image" Target="/xl/media/image2025.jpg" Id="Ra3554cf4bcc24490" /><Relationship Type="http://schemas.openxmlformats.org/officeDocument/2006/relationships/image" Target="/xl/media/image2026.jpg" Id="Rb5ea15bb531d41e2" /><Relationship Type="http://schemas.openxmlformats.org/officeDocument/2006/relationships/image" Target="/xl/media/image2027.jpg" Id="R4ec49409022d4daf" /><Relationship Type="http://schemas.openxmlformats.org/officeDocument/2006/relationships/image" Target="/xl/media/image2028.jpg" Id="R851615ff98684d4e" /><Relationship Type="http://schemas.openxmlformats.org/officeDocument/2006/relationships/image" Target="/xl/media/image2029.jpg" Id="R06219dbc60f94de8" /><Relationship Type="http://schemas.openxmlformats.org/officeDocument/2006/relationships/image" Target="/xl/media/image2030.jpg" Id="Rc47df27d6c894a84" /><Relationship Type="http://schemas.openxmlformats.org/officeDocument/2006/relationships/image" Target="/xl/media/image2031.jpg" Id="Ra816496313b848c6" /><Relationship Type="http://schemas.openxmlformats.org/officeDocument/2006/relationships/image" Target="/xl/media/image2032.jpg" Id="R7117299016214060" /><Relationship Type="http://schemas.openxmlformats.org/officeDocument/2006/relationships/image" Target="/xl/media/image2033.jpg" Id="R174f5ba4e9604b16" /><Relationship Type="http://schemas.openxmlformats.org/officeDocument/2006/relationships/image" Target="/xl/media/image2034.jpg" Id="R3e167d41f6774d3a" /><Relationship Type="http://schemas.openxmlformats.org/officeDocument/2006/relationships/image" Target="/xl/media/image2035.jpg" Id="R692ec3f6e3f84ac9" /><Relationship Type="http://schemas.openxmlformats.org/officeDocument/2006/relationships/image" Target="/xl/media/image2036.jpg" Id="R7b9dc72a8645417b" /><Relationship Type="http://schemas.openxmlformats.org/officeDocument/2006/relationships/image" Target="/xl/media/image2037.jpg" Id="Rd14400c457b841f6" /><Relationship Type="http://schemas.openxmlformats.org/officeDocument/2006/relationships/image" Target="/xl/media/image2038.jpg" Id="R6482dfdb9b414ade" /><Relationship Type="http://schemas.openxmlformats.org/officeDocument/2006/relationships/image" Target="/xl/media/image2039.jpg" Id="R028b3d1f4fe048c1" /><Relationship Type="http://schemas.openxmlformats.org/officeDocument/2006/relationships/image" Target="/xl/media/image2040.jpg" Id="R6dc04eaff7314521" /><Relationship Type="http://schemas.openxmlformats.org/officeDocument/2006/relationships/image" Target="/xl/media/image2041.jpg" Id="R834fba2603754c09" /><Relationship Type="http://schemas.openxmlformats.org/officeDocument/2006/relationships/image" Target="/xl/media/image2042.jpg" Id="Re812617a6f194251" /><Relationship Type="http://schemas.openxmlformats.org/officeDocument/2006/relationships/image" Target="/xl/media/image2043.jpg" Id="R76cd2a7057154b74" /><Relationship Type="http://schemas.openxmlformats.org/officeDocument/2006/relationships/image" Target="/xl/media/image2044.jpg" Id="R452b4b548ee842fe" /><Relationship Type="http://schemas.openxmlformats.org/officeDocument/2006/relationships/image" Target="/xl/media/image2045.jpg" Id="R5eecc77494d948e0" /><Relationship Type="http://schemas.openxmlformats.org/officeDocument/2006/relationships/image" Target="/xl/media/image2046.jpg" Id="Rda2c11ba97404eab" /><Relationship Type="http://schemas.openxmlformats.org/officeDocument/2006/relationships/image" Target="/xl/media/image2047.jpg" Id="Ra94f1a27214542da" /><Relationship Type="http://schemas.openxmlformats.org/officeDocument/2006/relationships/image" Target="/xl/media/image2048.jpg" Id="R01def8fd0f844ffc" /><Relationship Type="http://schemas.openxmlformats.org/officeDocument/2006/relationships/image" Target="/xl/media/image2049.jpg" Id="Raebdc073827a4ac7" /><Relationship Type="http://schemas.openxmlformats.org/officeDocument/2006/relationships/image" Target="/xl/media/image2050.jpg" Id="Rb2d307dbac3c4c78" /><Relationship Type="http://schemas.openxmlformats.org/officeDocument/2006/relationships/image" Target="/xl/media/image2051.jpg" Id="R1fe124128d5d49a0" /><Relationship Type="http://schemas.openxmlformats.org/officeDocument/2006/relationships/image" Target="/xl/media/image2052.jpg" Id="R11de0931d08e46de" /><Relationship Type="http://schemas.openxmlformats.org/officeDocument/2006/relationships/image" Target="/xl/media/image2053.jpg" Id="Ra02985e308c44eff" /><Relationship Type="http://schemas.openxmlformats.org/officeDocument/2006/relationships/image" Target="/xl/media/image2054.jpg" Id="R8a74f96a2d17412c" /><Relationship Type="http://schemas.openxmlformats.org/officeDocument/2006/relationships/image" Target="/xl/media/image2055.jpg" Id="R7de67f09dad245be" /><Relationship Type="http://schemas.openxmlformats.org/officeDocument/2006/relationships/image" Target="/xl/media/image2056.jpg" Id="R26d4acdb408c475a" /><Relationship Type="http://schemas.openxmlformats.org/officeDocument/2006/relationships/image" Target="/xl/media/image2057.jpg" Id="Rd059a8cb4b1a4af8" /><Relationship Type="http://schemas.openxmlformats.org/officeDocument/2006/relationships/image" Target="/xl/media/image2058.jpg" Id="Rd3d1cf33da4e4f48" /><Relationship Type="http://schemas.openxmlformats.org/officeDocument/2006/relationships/image" Target="/xl/media/image2059.jpg" Id="Recbc7d1fb501441e" /><Relationship Type="http://schemas.openxmlformats.org/officeDocument/2006/relationships/image" Target="/xl/media/image2060.jpg" Id="R3a04bcd891d54967" /><Relationship Type="http://schemas.openxmlformats.org/officeDocument/2006/relationships/image" Target="/xl/media/image2061.jpg" Id="R4c3b2d88326d44da" /><Relationship Type="http://schemas.openxmlformats.org/officeDocument/2006/relationships/image" Target="/xl/media/image2062.jpg" Id="Rf3cd2e7caea541f3" /><Relationship Type="http://schemas.openxmlformats.org/officeDocument/2006/relationships/image" Target="/xl/media/image2063.jpg" Id="R67a7d82c808d4ef9" /><Relationship Type="http://schemas.openxmlformats.org/officeDocument/2006/relationships/image" Target="/xl/media/image2064.jpg" Id="Re41263ecb07b4633" /><Relationship Type="http://schemas.openxmlformats.org/officeDocument/2006/relationships/image" Target="/xl/media/image2065.jpg" Id="R33695b6384e5451d" /><Relationship Type="http://schemas.openxmlformats.org/officeDocument/2006/relationships/image" Target="/xl/media/image2066.jpg" Id="R9d0bd46a2ec94081" /><Relationship Type="http://schemas.openxmlformats.org/officeDocument/2006/relationships/image" Target="/xl/media/image2067.jpg" Id="Rc89e864c7f454d41" /><Relationship Type="http://schemas.openxmlformats.org/officeDocument/2006/relationships/image" Target="/xl/media/image2068.jpg" Id="Re081c52afa1a4481" /><Relationship Type="http://schemas.openxmlformats.org/officeDocument/2006/relationships/image" Target="/xl/media/image2069.jpg" Id="Reb5f39d2cfac43c6" /><Relationship Type="http://schemas.openxmlformats.org/officeDocument/2006/relationships/image" Target="/xl/media/image2070.jpg" Id="R19941da640d14140" /><Relationship Type="http://schemas.openxmlformats.org/officeDocument/2006/relationships/image" Target="/xl/media/image2071.jpg" Id="R63908faadde04410" /><Relationship Type="http://schemas.openxmlformats.org/officeDocument/2006/relationships/image" Target="/xl/media/image2072.jpg" Id="R5198bb65d84e49c7" /><Relationship Type="http://schemas.openxmlformats.org/officeDocument/2006/relationships/image" Target="/xl/media/image2073.jpg" Id="R006b3f27bb1446e2" /><Relationship Type="http://schemas.openxmlformats.org/officeDocument/2006/relationships/image" Target="/xl/media/image2074.jpg" Id="R88d5d19709e44c70" /><Relationship Type="http://schemas.openxmlformats.org/officeDocument/2006/relationships/image" Target="/xl/media/image2075.jpg" Id="R806792ea3b6e4e35" /><Relationship Type="http://schemas.openxmlformats.org/officeDocument/2006/relationships/image" Target="/xl/media/image2076.jpg" Id="Ra95c617120554bce" /><Relationship Type="http://schemas.openxmlformats.org/officeDocument/2006/relationships/image" Target="/xl/media/image2077.jpg" Id="R91fece83669d438b" /><Relationship Type="http://schemas.openxmlformats.org/officeDocument/2006/relationships/image" Target="/xl/media/image2078.jpg" Id="Rd111d017e5bf46cc" /><Relationship Type="http://schemas.openxmlformats.org/officeDocument/2006/relationships/image" Target="/xl/media/image2079.jpg" Id="R066b6e043ee8406e" /><Relationship Type="http://schemas.openxmlformats.org/officeDocument/2006/relationships/image" Target="/xl/media/image2080.jpg" Id="Reed5dc459cd54f9b" /><Relationship Type="http://schemas.openxmlformats.org/officeDocument/2006/relationships/image" Target="/xl/media/image2081.jpg" Id="R50ac115e0d944680" /><Relationship Type="http://schemas.openxmlformats.org/officeDocument/2006/relationships/image" Target="/xl/media/image2082.jpg" Id="R7863e83b030848c8" /><Relationship Type="http://schemas.openxmlformats.org/officeDocument/2006/relationships/image" Target="/xl/media/image2083.jpg" Id="Raf212312f4c54aac" /><Relationship Type="http://schemas.openxmlformats.org/officeDocument/2006/relationships/image" Target="/xl/media/image2084.jpg" Id="Rebda31f432dd4945" /><Relationship Type="http://schemas.openxmlformats.org/officeDocument/2006/relationships/image" Target="/xl/media/image2085.jpg" Id="R2534ea6b8d394f9e" /><Relationship Type="http://schemas.openxmlformats.org/officeDocument/2006/relationships/image" Target="/xl/media/image2086.jpg" Id="R97a8701a2ecb436b" /><Relationship Type="http://schemas.openxmlformats.org/officeDocument/2006/relationships/image" Target="/xl/media/image2087.jpg" Id="Ref6dd795ee1b4945" /><Relationship Type="http://schemas.openxmlformats.org/officeDocument/2006/relationships/image" Target="/xl/media/image2088.jpg" Id="Rb272541bdb9045be" /><Relationship Type="http://schemas.openxmlformats.org/officeDocument/2006/relationships/image" Target="/xl/media/image2089.jpg" Id="R6ed52c3699be4c64" /><Relationship Type="http://schemas.openxmlformats.org/officeDocument/2006/relationships/image" Target="/xl/media/image2090.jpg" Id="R4dcfdbb6a7ef45e6" /><Relationship Type="http://schemas.openxmlformats.org/officeDocument/2006/relationships/image" Target="/xl/media/image2091.jpg" Id="Rfb6bba301a444b74" /><Relationship Type="http://schemas.openxmlformats.org/officeDocument/2006/relationships/image" Target="/xl/media/image2092.jpg" Id="R362b5f6803504100" /><Relationship Type="http://schemas.openxmlformats.org/officeDocument/2006/relationships/image" Target="/xl/media/image2093.jpg" Id="R98cb0d85ea9542f4" /><Relationship Type="http://schemas.openxmlformats.org/officeDocument/2006/relationships/image" Target="/xl/media/image2094.jpg" Id="R85a27a363e0f4d19" /><Relationship Type="http://schemas.openxmlformats.org/officeDocument/2006/relationships/image" Target="/xl/media/image2095.jpg" Id="Rd8826b831ce04b37" /><Relationship Type="http://schemas.openxmlformats.org/officeDocument/2006/relationships/image" Target="/xl/media/image2096.jpg" Id="R2de19c5fab054073" /><Relationship Type="http://schemas.openxmlformats.org/officeDocument/2006/relationships/image" Target="/xl/media/image2097.jpg" Id="R66c3ef98b8864f60" /><Relationship Type="http://schemas.openxmlformats.org/officeDocument/2006/relationships/image" Target="/xl/media/image2098.jpg" Id="R0ee6740027214b05" /><Relationship Type="http://schemas.openxmlformats.org/officeDocument/2006/relationships/image" Target="/xl/media/image2099.jpg" Id="Rd285c78fba614306" /><Relationship Type="http://schemas.openxmlformats.org/officeDocument/2006/relationships/image" Target="/xl/media/image2100.jpg" Id="Re8a95ea9c9f44d40" /><Relationship Type="http://schemas.openxmlformats.org/officeDocument/2006/relationships/image" Target="/xl/media/image2101.jpg" Id="R877ee084fbe94b6e" /><Relationship Type="http://schemas.openxmlformats.org/officeDocument/2006/relationships/image" Target="/xl/media/image2102.jpg" Id="Ra86d76cccfb7428d" /><Relationship Type="http://schemas.openxmlformats.org/officeDocument/2006/relationships/image" Target="/xl/media/image2103.jpg" Id="R8c813af0aa56480f" /><Relationship Type="http://schemas.openxmlformats.org/officeDocument/2006/relationships/image" Target="/xl/media/image2104.jpg" Id="R43b0e8550c2c44ea" /><Relationship Type="http://schemas.openxmlformats.org/officeDocument/2006/relationships/image" Target="/xl/media/image2105.jpg" Id="R898ccd9b1de34303" /><Relationship Type="http://schemas.openxmlformats.org/officeDocument/2006/relationships/image" Target="/xl/media/image2106.jpg" Id="R8c3887ac468d4ac2" /><Relationship Type="http://schemas.openxmlformats.org/officeDocument/2006/relationships/image" Target="/xl/media/image2107.jpg" Id="Rcbfc7930cc184279" /><Relationship Type="http://schemas.openxmlformats.org/officeDocument/2006/relationships/image" Target="/xl/media/image2108.jpg" Id="R6dd588f066284b71" /><Relationship Type="http://schemas.openxmlformats.org/officeDocument/2006/relationships/image" Target="/xl/media/image2109.jpg" Id="Rb27558b69d5247b5" /><Relationship Type="http://schemas.openxmlformats.org/officeDocument/2006/relationships/image" Target="/xl/media/image2110.jpg" Id="Rf3a3c7a2deb34eb7" /><Relationship Type="http://schemas.openxmlformats.org/officeDocument/2006/relationships/image" Target="/xl/media/image2111.jpg" Id="R4eea16a359194031" /><Relationship Type="http://schemas.openxmlformats.org/officeDocument/2006/relationships/image" Target="/xl/media/image2112.jpg" Id="R54db744e42b643ed" /><Relationship Type="http://schemas.openxmlformats.org/officeDocument/2006/relationships/image" Target="/xl/media/image2113.jpg" Id="Rb66c6283b65644b6" /><Relationship Type="http://schemas.openxmlformats.org/officeDocument/2006/relationships/image" Target="/xl/media/image2114.jpg" Id="R843c506c66bc4b2d" /><Relationship Type="http://schemas.openxmlformats.org/officeDocument/2006/relationships/image" Target="/xl/media/image2115.jpg" Id="Rde6e29fe2d8b4d30" /><Relationship Type="http://schemas.openxmlformats.org/officeDocument/2006/relationships/image" Target="/xl/media/image2116.jpg" Id="R3cfbf9bb4de54164" /><Relationship Type="http://schemas.openxmlformats.org/officeDocument/2006/relationships/image" Target="/xl/media/image2117.jpg" Id="Rff6394fca7514174" /><Relationship Type="http://schemas.openxmlformats.org/officeDocument/2006/relationships/image" Target="/xl/media/image2118.jpg" Id="R75604b04158e4a86" /><Relationship Type="http://schemas.openxmlformats.org/officeDocument/2006/relationships/image" Target="/xl/media/image2119.jpg" Id="R0d3b2913e7724f6d" /><Relationship Type="http://schemas.openxmlformats.org/officeDocument/2006/relationships/image" Target="/xl/media/image2120.jpg" Id="R335866cb28f34f5c" /><Relationship Type="http://schemas.openxmlformats.org/officeDocument/2006/relationships/image" Target="/xl/media/image2121.jpg" Id="R4f24bd34034a43aa" /><Relationship Type="http://schemas.openxmlformats.org/officeDocument/2006/relationships/image" Target="/xl/media/image2122.jpg" Id="R394bcdf05c654e6a" /><Relationship Type="http://schemas.openxmlformats.org/officeDocument/2006/relationships/image" Target="/xl/media/image2123.jpg" Id="Ra899e57ed78c4fc5" /><Relationship Type="http://schemas.openxmlformats.org/officeDocument/2006/relationships/image" Target="/xl/media/image2124.jpg" Id="R15853f4cfef849e0" /><Relationship Type="http://schemas.openxmlformats.org/officeDocument/2006/relationships/image" Target="/xl/media/image2125.jpg" Id="R34990859456b4693" /><Relationship Type="http://schemas.openxmlformats.org/officeDocument/2006/relationships/image" Target="/xl/media/image2126.jpg" Id="R61359f7ae21f43a2" /><Relationship Type="http://schemas.openxmlformats.org/officeDocument/2006/relationships/image" Target="/xl/media/image2127.jpg" Id="Re1e87d47cb024807" /><Relationship Type="http://schemas.openxmlformats.org/officeDocument/2006/relationships/image" Target="/xl/media/image2128.jpg" Id="Reafd10e837034069" /><Relationship Type="http://schemas.openxmlformats.org/officeDocument/2006/relationships/image" Target="/xl/media/image2129.jpg" Id="R790cd4bba99743f5" /><Relationship Type="http://schemas.openxmlformats.org/officeDocument/2006/relationships/image" Target="/xl/media/image2130.jpg" Id="R196399d7f2f146db" /><Relationship Type="http://schemas.openxmlformats.org/officeDocument/2006/relationships/image" Target="/xl/media/image2131.jpg" Id="Rc181579baa214af1" /><Relationship Type="http://schemas.openxmlformats.org/officeDocument/2006/relationships/image" Target="/xl/media/image2132.jpg" Id="R8a91945e94eb43e0" /><Relationship Type="http://schemas.openxmlformats.org/officeDocument/2006/relationships/image" Target="/xl/media/image2133.jpg" Id="R526fd55b30fe47f6" /><Relationship Type="http://schemas.openxmlformats.org/officeDocument/2006/relationships/image" Target="/xl/media/image2134.jpg" Id="R9946009364df4674" /><Relationship Type="http://schemas.openxmlformats.org/officeDocument/2006/relationships/image" Target="/xl/media/image2135.jpg" Id="R8600eb2301a749f0" /><Relationship Type="http://schemas.openxmlformats.org/officeDocument/2006/relationships/image" Target="/xl/media/image2136.jpg" Id="R0bf1fbd688ae4191" /><Relationship Type="http://schemas.openxmlformats.org/officeDocument/2006/relationships/image" Target="/xl/media/image2137.jpg" Id="R11116948217e41fc" /><Relationship Type="http://schemas.openxmlformats.org/officeDocument/2006/relationships/image" Target="/xl/media/image2138.jpg" Id="R61ba2d7d43a04c50" /><Relationship Type="http://schemas.openxmlformats.org/officeDocument/2006/relationships/image" Target="/xl/media/image2139.jpg" Id="R61db0e2c27f04cef" /><Relationship Type="http://schemas.openxmlformats.org/officeDocument/2006/relationships/image" Target="/xl/media/image2140.jpg" Id="R709cb7ae4b8843da" /><Relationship Type="http://schemas.openxmlformats.org/officeDocument/2006/relationships/image" Target="/xl/media/image2141.jpg" Id="R6a61dccf50ff4bbc" /><Relationship Type="http://schemas.openxmlformats.org/officeDocument/2006/relationships/image" Target="/xl/media/image2142.jpg" Id="R3b23b708c8244559" /><Relationship Type="http://schemas.openxmlformats.org/officeDocument/2006/relationships/image" Target="/xl/media/image2143.jpg" Id="R0fe0016d8dae484f" /><Relationship Type="http://schemas.openxmlformats.org/officeDocument/2006/relationships/image" Target="/xl/media/image2144.jpg" Id="R3076c0e55fcc4333" /><Relationship Type="http://schemas.openxmlformats.org/officeDocument/2006/relationships/image" Target="/xl/media/image2145.jpg" Id="R44680490a5d242d1" /><Relationship Type="http://schemas.openxmlformats.org/officeDocument/2006/relationships/image" Target="/xl/media/image2146.jpg" Id="Rd6ae2912a3cc4838" /><Relationship Type="http://schemas.openxmlformats.org/officeDocument/2006/relationships/image" Target="/xl/media/image2147.jpg" Id="Rdf4bef3319764cf5" /><Relationship Type="http://schemas.openxmlformats.org/officeDocument/2006/relationships/image" Target="/xl/media/image2148.jpg" Id="R05960fb4b1c44ba5" /><Relationship Type="http://schemas.openxmlformats.org/officeDocument/2006/relationships/image" Target="/xl/media/image2149.jpg" Id="Rbbe3cddbf1bc405e" /><Relationship Type="http://schemas.openxmlformats.org/officeDocument/2006/relationships/image" Target="/xl/media/image2150.jpg" Id="Ra859f3702ca9435a" /><Relationship Type="http://schemas.openxmlformats.org/officeDocument/2006/relationships/image" Target="/xl/media/image2151.jpg" Id="R1ad90214ac344624" /><Relationship Type="http://schemas.openxmlformats.org/officeDocument/2006/relationships/image" Target="/xl/media/image2152.jpg" Id="R9a8d07129dc64dd4" /><Relationship Type="http://schemas.openxmlformats.org/officeDocument/2006/relationships/image" Target="/xl/media/image2153.jpg" Id="R6ededea7084f47b6" /><Relationship Type="http://schemas.openxmlformats.org/officeDocument/2006/relationships/image" Target="/xl/media/image2154.jpg" Id="R0fa25a62bf294f8d" /><Relationship Type="http://schemas.openxmlformats.org/officeDocument/2006/relationships/image" Target="/xl/media/image2155.jpg" Id="R4196c287157c47e8" /><Relationship Type="http://schemas.openxmlformats.org/officeDocument/2006/relationships/image" Target="/xl/media/image2156.jpg" Id="R8a240e8b360f49f4" /><Relationship Type="http://schemas.openxmlformats.org/officeDocument/2006/relationships/image" Target="/xl/media/image2157.jpg" Id="Rd631ed854aa842d3" /><Relationship Type="http://schemas.openxmlformats.org/officeDocument/2006/relationships/image" Target="/xl/media/image2158.jpg" Id="R58032d96f29f4cae" /><Relationship Type="http://schemas.openxmlformats.org/officeDocument/2006/relationships/image" Target="/xl/media/image2159.jpg" Id="R6acec89c773a4e65" /><Relationship Type="http://schemas.openxmlformats.org/officeDocument/2006/relationships/image" Target="/xl/media/image2160.jpg" Id="Rfc800c9c19264328" /><Relationship Type="http://schemas.openxmlformats.org/officeDocument/2006/relationships/image" Target="/xl/media/image2161.jpg" Id="R33efd7227e6741cb" /><Relationship Type="http://schemas.openxmlformats.org/officeDocument/2006/relationships/image" Target="/xl/media/image2162.jpg" Id="R3dc93105f02546e2" /><Relationship Type="http://schemas.openxmlformats.org/officeDocument/2006/relationships/image" Target="/xl/media/image2163.jpg" Id="Rf4f189b8958d49e5" /><Relationship Type="http://schemas.openxmlformats.org/officeDocument/2006/relationships/image" Target="/xl/media/image2164.jpg" Id="R32378875625d4689" /><Relationship Type="http://schemas.openxmlformats.org/officeDocument/2006/relationships/image" Target="/xl/media/image2165.jpg" Id="Re92afbfacda347b7" /><Relationship Type="http://schemas.openxmlformats.org/officeDocument/2006/relationships/image" Target="/xl/media/image2166.jpg" Id="R0908a90cd1564e28" /><Relationship Type="http://schemas.openxmlformats.org/officeDocument/2006/relationships/image" Target="/xl/media/image2167.jpg" Id="R563336967c4d46ad" /><Relationship Type="http://schemas.openxmlformats.org/officeDocument/2006/relationships/image" Target="/xl/media/image2168.jpg" Id="R2f9cccbfc5184d9c" /><Relationship Type="http://schemas.openxmlformats.org/officeDocument/2006/relationships/image" Target="/xl/media/image2169.jpg" Id="R54093e65e79d47fe" /><Relationship Type="http://schemas.openxmlformats.org/officeDocument/2006/relationships/image" Target="/xl/media/image2170.jpg" Id="R0b0c8b7f9aaa48ec" /><Relationship Type="http://schemas.openxmlformats.org/officeDocument/2006/relationships/image" Target="/xl/media/image2171.jpg" Id="Rcb28e3fd322e4d18" /><Relationship Type="http://schemas.openxmlformats.org/officeDocument/2006/relationships/image" Target="/xl/media/image2172.jpg" Id="R810013af4e5c4166" /><Relationship Type="http://schemas.openxmlformats.org/officeDocument/2006/relationships/image" Target="/xl/media/image2173.jpg" Id="Rd312f9b62f244cc8" /><Relationship Type="http://schemas.openxmlformats.org/officeDocument/2006/relationships/image" Target="/xl/media/image2174.jpg" Id="Rea7afc2a1af9439b" /><Relationship Type="http://schemas.openxmlformats.org/officeDocument/2006/relationships/image" Target="/xl/media/image2175.jpg" Id="Rad8ad51909254636" /><Relationship Type="http://schemas.openxmlformats.org/officeDocument/2006/relationships/image" Target="/xl/media/image2176.jpg" Id="R730b017c54904172" /><Relationship Type="http://schemas.openxmlformats.org/officeDocument/2006/relationships/image" Target="/xl/media/image2177.jpg" Id="R88968330ecc349b4" /><Relationship Type="http://schemas.openxmlformats.org/officeDocument/2006/relationships/image" Target="/xl/media/image2178.jpg" Id="Rd9ef5f8f3fa9409a" /><Relationship Type="http://schemas.openxmlformats.org/officeDocument/2006/relationships/image" Target="/xl/media/image2179.jpg" Id="R3d40906b72d44cc7" /><Relationship Type="http://schemas.openxmlformats.org/officeDocument/2006/relationships/image" Target="/xl/media/image2180.jpg" Id="R27a298d7e8144858" /><Relationship Type="http://schemas.openxmlformats.org/officeDocument/2006/relationships/image" Target="/xl/media/image2181.jpg" Id="R2028ca4ebd284fd0" /><Relationship Type="http://schemas.openxmlformats.org/officeDocument/2006/relationships/image" Target="/xl/media/image2182.jpg" Id="R19fcafa5de9a4dec" /><Relationship Type="http://schemas.openxmlformats.org/officeDocument/2006/relationships/image" Target="/xl/media/image2183.jpg" Id="R1e0d45892b0d48e8" /><Relationship Type="http://schemas.openxmlformats.org/officeDocument/2006/relationships/image" Target="/xl/media/image2184.jpg" Id="R1a4b7cd348a443d9" /><Relationship Type="http://schemas.openxmlformats.org/officeDocument/2006/relationships/image" Target="/xl/media/image2185.jpg" Id="Ra3c5ae02713d4ad0" /><Relationship Type="http://schemas.openxmlformats.org/officeDocument/2006/relationships/image" Target="/xl/media/image2186.jpg" Id="Rdfd5e38cce30448d" /><Relationship Type="http://schemas.openxmlformats.org/officeDocument/2006/relationships/image" Target="/xl/media/image2187.jpg" Id="R95ed74cf7ee344c8" /><Relationship Type="http://schemas.openxmlformats.org/officeDocument/2006/relationships/image" Target="/xl/media/image2188.jpg" Id="R36b545d2d9164cbe" /><Relationship Type="http://schemas.openxmlformats.org/officeDocument/2006/relationships/image" Target="/xl/media/image2189.jpg" Id="R2bf4b65629304297" /><Relationship Type="http://schemas.openxmlformats.org/officeDocument/2006/relationships/image" Target="/xl/media/image2190.jpg" Id="Rbd7bf2e7b42746dc" /><Relationship Type="http://schemas.openxmlformats.org/officeDocument/2006/relationships/image" Target="/xl/media/image2191.jpg" Id="R824688f855e1464a" /><Relationship Type="http://schemas.openxmlformats.org/officeDocument/2006/relationships/image" Target="/xl/media/image2192.jpg" Id="Ra140a2cdb4f54543" /><Relationship Type="http://schemas.openxmlformats.org/officeDocument/2006/relationships/image" Target="/xl/media/image2193.jpg" Id="Rb6ed8aba7e634c33" /><Relationship Type="http://schemas.openxmlformats.org/officeDocument/2006/relationships/image" Target="/xl/media/image2194.jpg" Id="R35d072e968274cb4" /><Relationship Type="http://schemas.openxmlformats.org/officeDocument/2006/relationships/image" Target="/xl/media/image2195.jpg" Id="Rd4704f5848454d87" /><Relationship Type="http://schemas.openxmlformats.org/officeDocument/2006/relationships/image" Target="/xl/media/image2196.jpg" Id="R5738a3795f884f4f" /><Relationship Type="http://schemas.openxmlformats.org/officeDocument/2006/relationships/image" Target="/xl/media/image2197.jpg" Id="R1cb04fa915b54f4e" /><Relationship Type="http://schemas.openxmlformats.org/officeDocument/2006/relationships/image" Target="/xl/media/image2198.jpg" Id="Rdabad06a9e0748df" /><Relationship Type="http://schemas.openxmlformats.org/officeDocument/2006/relationships/image" Target="/xl/media/image2199.jpg" Id="Rd30f8ae78ac84126" /><Relationship Type="http://schemas.openxmlformats.org/officeDocument/2006/relationships/image" Target="/xl/media/image2200.jpg" Id="R5f8238fd28d64656" /><Relationship Type="http://schemas.openxmlformats.org/officeDocument/2006/relationships/image" Target="/xl/media/image2201.jpg" Id="R7e071ff77d754c7a" /><Relationship Type="http://schemas.openxmlformats.org/officeDocument/2006/relationships/image" Target="/xl/media/image2202.jpg" Id="Ra1750d4e1fa54a56" /><Relationship Type="http://schemas.openxmlformats.org/officeDocument/2006/relationships/image" Target="/xl/media/image2203.jpg" Id="Rf350972292504f16" /><Relationship Type="http://schemas.openxmlformats.org/officeDocument/2006/relationships/image" Target="/xl/media/image2204.jpg" Id="R09c8b719f2264e76" /><Relationship Type="http://schemas.openxmlformats.org/officeDocument/2006/relationships/image" Target="/xl/media/image2205.jpg" Id="R6e5d0bf740644f18" /><Relationship Type="http://schemas.openxmlformats.org/officeDocument/2006/relationships/image" Target="/xl/media/image2206.jpg" Id="R9618eb92d06644c7" /><Relationship Type="http://schemas.openxmlformats.org/officeDocument/2006/relationships/image" Target="/xl/media/image2207.jpg" Id="R8dcb90352c834416" /><Relationship Type="http://schemas.openxmlformats.org/officeDocument/2006/relationships/image" Target="/xl/media/image2208.jpg" Id="Rf93fde913bf144bf" /><Relationship Type="http://schemas.openxmlformats.org/officeDocument/2006/relationships/image" Target="/xl/media/image2209.jpg" Id="Rc09ad3ee53b540e3" /><Relationship Type="http://schemas.openxmlformats.org/officeDocument/2006/relationships/image" Target="/xl/media/image2210.jpg" Id="Rc0f645943b984ffe" /><Relationship Type="http://schemas.openxmlformats.org/officeDocument/2006/relationships/image" Target="/xl/media/image2211.jpg" Id="Rabfcf53c6b884ccb" /><Relationship Type="http://schemas.openxmlformats.org/officeDocument/2006/relationships/image" Target="/xl/media/image2212.jpg" Id="R60d72377b49c4554" /><Relationship Type="http://schemas.openxmlformats.org/officeDocument/2006/relationships/image" Target="/xl/media/image2213.jpg" Id="R50e2b2a7b5204af8" /><Relationship Type="http://schemas.openxmlformats.org/officeDocument/2006/relationships/image" Target="/xl/media/image2214.jpg" Id="Rdebef6719b104a7e" /><Relationship Type="http://schemas.openxmlformats.org/officeDocument/2006/relationships/image" Target="/xl/media/image2215.jpg" Id="R5b84000d267840b2" /><Relationship Type="http://schemas.openxmlformats.org/officeDocument/2006/relationships/image" Target="/xl/media/image2216.jpg" Id="R75984e4b3d954ff0" /><Relationship Type="http://schemas.openxmlformats.org/officeDocument/2006/relationships/image" Target="/xl/media/image2217.jpg" Id="R1c1f784dd8a6491c" /><Relationship Type="http://schemas.openxmlformats.org/officeDocument/2006/relationships/image" Target="/xl/media/image2218.jpg" Id="R6a61f6fef1244cf7" /><Relationship Type="http://schemas.openxmlformats.org/officeDocument/2006/relationships/image" Target="/xl/media/image2219.jpg" Id="R6826cf6d03214428" /><Relationship Type="http://schemas.openxmlformats.org/officeDocument/2006/relationships/image" Target="/xl/media/image2220.jpg" Id="R02f4b4f2dcf54874" /><Relationship Type="http://schemas.openxmlformats.org/officeDocument/2006/relationships/image" Target="/xl/media/image2221.jpg" Id="Rd218c00f532b4737" /><Relationship Type="http://schemas.openxmlformats.org/officeDocument/2006/relationships/image" Target="/xl/media/image2222.jpg" Id="R4b98fe20f1b44f91" /><Relationship Type="http://schemas.openxmlformats.org/officeDocument/2006/relationships/image" Target="/xl/media/image2223.jpg" Id="R11fd03007c984fd8" /><Relationship Type="http://schemas.openxmlformats.org/officeDocument/2006/relationships/image" Target="/xl/media/image2224.jpg" Id="R513569e9d3d048ec" /><Relationship Type="http://schemas.openxmlformats.org/officeDocument/2006/relationships/image" Target="/xl/media/image2225.jpg" Id="R0bc8f6586a1540d3" /><Relationship Type="http://schemas.openxmlformats.org/officeDocument/2006/relationships/image" Target="/xl/media/image2226.jpg" Id="R897c5588807d4027" /><Relationship Type="http://schemas.openxmlformats.org/officeDocument/2006/relationships/image" Target="/xl/media/image2227.jpg" Id="Rb6ad5ed3050b4452" /><Relationship Type="http://schemas.openxmlformats.org/officeDocument/2006/relationships/image" Target="/xl/media/image2228.jpg" Id="R5cf92c7e953c4328" /><Relationship Type="http://schemas.openxmlformats.org/officeDocument/2006/relationships/image" Target="/xl/media/image2229.jpg" Id="Rb31dbf539cee495f" /><Relationship Type="http://schemas.openxmlformats.org/officeDocument/2006/relationships/image" Target="/xl/media/image2230.jpg" Id="R3f1711bc84c44979" /><Relationship Type="http://schemas.openxmlformats.org/officeDocument/2006/relationships/image" Target="/xl/media/image2231.jpg" Id="Ree3a3017dda846d5" /><Relationship Type="http://schemas.openxmlformats.org/officeDocument/2006/relationships/image" Target="/xl/media/image2232.jpg" Id="R4fd313ff79204ab4" /><Relationship Type="http://schemas.openxmlformats.org/officeDocument/2006/relationships/image" Target="/xl/media/image2233.jpg" Id="R6b9f7fd70f9e4304" /><Relationship Type="http://schemas.openxmlformats.org/officeDocument/2006/relationships/image" Target="/xl/media/image2234.jpg" Id="R6f41e27dec254edc" /><Relationship Type="http://schemas.openxmlformats.org/officeDocument/2006/relationships/image" Target="/xl/media/image2235.jpg" Id="Rd5bead687fb14ae7" /><Relationship Type="http://schemas.openxmlformats.org/officeDocument/2006/relationships/image" Target="/xl/media/image2236.jpg" Id="Rf10c810e96354dea" /><Relationship Type="http://schemas.openxmlformats.org/officeDocument/2006/relationships/image" Target="/xl/media/image2237.jpg" Id="Rb51d97f33a8c44ba" /><Relationship Type="http://schemas.openxmlformats.org/officeDocument/2006/relationships/image" Target="/xl/media/image2238.jpg" Id="R2e02dde495004075" /><Relationship Type="http://schemas.openxmlformats.org/officeDocument/2006/relationships/image" Target="/xl/media/image2239.jpg" Id="Rbf3c37c8462e44df" /><Relationship Type="http://schemas.openxmlformats.org/officeDocument/2006/relationships/image" Target="/xl/media/image2240.jpg" Id="R56aeb620b7b047a6" /><Relationship Type="http://schemas.openxmlformats.org/officeDocument/2006/relationships/image" Target="/xl/media/image2241.jpg" Id="R440e434588fa41e3" /><Relationship Type="http://schemas.openxmlformats.org/officeDocument/2006/relationships/image" Target="/xl/media/image2242.jpg" Id="Ra776196007ff4d13" /><Relationship Type="http://schemas.openxmlformats.org/officeDocument/2006/relationships/image" Target="/xl/media/image2243.jpg" Id="R5ced5674d8f04db0" /><Relationship Type="http://schemas.openxmlformats.org/officeDocument/2006/relationships/image" Target="/xl/media/image2244.jpg" Id="Rce285484ad18484d" /><Relationship Type="http://schemas.openxmlformats.org/officeDocument/2006/relationships/image" Target="/xl/media/image2245.jpg" Id="Ra394056d81d04546" /><Relationship Type="http://schemas.openxmlformats.org/officeDocument/2006/relationships/image" Target="/xl/media/image2246.jpg" Id="Ra63caaada87d4705" /><Relationship Type="http://schemas.openxmlformats.org/officeDocument/2006/relationships/image" Target="/xl/media/image2247.jpg" Id="Rc3d8b60493864682" /><Relationship Type="http://schemas.openxmlformats.org/officeDocument/2006/relationships/image" Target="/xl/media/image2248.jpg" Id="Rc7338ebadc2b4e98" /><Relationship Type="http://schemas.openxmlformats.org/officeDocument/2006/relationships/image" Target="/xl/media/image2249.jpg" Id="R05cab7d9d6c0471b" /><Relationship Type="http://schemas.openxmlformats.org/officeDocument/2006/relationships/image" Target="/xl/media/image2250.jpg" Id="R00b5b24331d4475b" /><Relationship Type="http://schemas.openxmlformats.org/officeDocument/2006/relationships/image" Target="/xl/media/image2251.jpg" Id="R43a1ce3807594601" /><Relationship Type="http://schemas.openxmlformats.org/officeDocument/2006/relationships/image" Target="/xl/media/image2252.jpg" Id="Rd370deb367a441e5" /><Relationship Type="http://schemas.openxmlformats.org/officeDocument/2006/relationships/image" Target="/xl/media/image2253.jpg" Id="Rb01fd0244f7f44dd" /><Relationship Type="http://schemas.openxmlformats.org/officeDocument/2006/relationships/image" Target="/xl/media/image2254.jpg" Id="R7dfc66840ca04759" /><Relationship Type="http://schemas.openxmlformats.org/officeDocument/2006/relationships/image" Target="/xl/media/image2255.jpg" Id="R276386ee7ed742e9" /><Relationship Type="http://schemas.openxmlformats.org/officeDocument/2006/relationships/image" Target="/xl/media/image2256.jpg" Id="Rb04bf9f551c04894" /><Relationship Type="http://schemas.openxmlformats.org/officeDocument/2006/relationships/image" Target="/xl/media/image2257.jpg" Id="Rc52b4b3bbe714998" /><Relationship Type="http://schemas.openxmlformats.org/officeDocument/2006/relationships/image" Target="/xl/media/image2258.jpg" Id="R0c52fc592fd44c52" /><Relationship Type="http://schemas.openxmlformats.org/officeDocument/2006/relationships/image" Target="/xl/media/image2259.jpg" Id="Rd3c51f85e4b64439" /><Relationship Type="http://schemas.openxmlformats.org/officeDocument/2006/relationships/image" Target="/xl/media/image2260.jpg" Id="Rad37d907943645cb" /><Relationship Type="http://schemas.openxmlformats.org/officeDocument/2006/relationships/image" Target="/xl/media/image2261.jpg" Id="R5d9c85bc42694600" /><Relationship Type="http://schemas.openxmlformats.org/officeDocument/2006/relationships/image" Target="/xl/media/image2262.jpg" Id="R6d5028eb73f04ed9" /><Relationship Type="http://schemas.openxmlformats.org/officeDocument/2006/relationships/image" Target="/xl/media/image2263.jpg" Id="R3e55f25a499e4f6d" /><Relationship Type="http://schemas.openxmlformats.org/officeDocument/2006/relationships/image" Target="/xl/media/image2264.jpg" Id="Rb932d852774f49be" /><Relationship Type="http://schemas.openxmlformats.org/officeDocument/2006/relationships/image" Target="/xl/media/image2265.jpg" Id="R4c7b7aa8f75041fd" /><Relationship Type="http://schemas.openxmlformats.org/officeDocument/2006/relationships/image" Target="/xl/media/image2266.jpg" Id="Re9127147739f4c86" /><Relationship Type="http://schemas.openxmlformats.org/officeDocument/2006/relationships/image" Target="/xl/media/image2267.jpg" Id="Rd9ee2c2e488149ec" /><Relationship Type="http://schemas.openxmlformats.org/officeDocument/2006/relationships/image" Target="/xl/media/image2268.jpg" Id="R0d68d442e90c4c81" /><Relationship Type="http://schemas.openxmlformats.org/officeDocument/2006/relationships/image" Target="/xl/media/image2269.jpg" Id="R0247de7a199a4091" /><Relationship Type="http://schemas.openxmlformats.org/officeDocument/2006/relationships/image" Target="/xl/media/image2270.jpg" Id="Rc33746b4d81f49f8" /><Relationship Type="http://schemas.openxmlformats.org/officeDocument/2006/relationships/image" Target="/xl/media/image2271.jpg" Id="R0d28869c4fe84423" /><Relationship Type="http://schemas.openxmlformats.org/officeDocument/2006/relationships/image" Target="/xl/media/image2272.jpg" Id="Re55fedb1ce9745c9" /><Relationship Type="http://schemas.openxmlformats.org/officeDocument/2006/relationships/image" Target="/xl/media/image2273.jpg" Id="R0eeb01a8ee794d5d" /><Relationship Type="http://schemas.openxmlformats.org/officeDocument/2006/relationships/image" Target="/xl/media/image2274.jpg" Id="R48e2b11da7f440bd" /><Relationship Type="http://schemas.openxmlformats.org/officeDocument/2006/relationships/image" Target="/xl/media/image2275.jpg" Id="R81d02858a96e48c1" /><Relationship Type="http://schemas.openxmlformats.org/officeDocument/2006/relationships/image" Target="/xl/media/image2276.jpg" Id="Rcc6741123b704abb" /><Relationship Type="http://schemas.openxmlformats.org/officeDocument/2006/relationships/image" Target="/xl/media/image2277.jpg" Id="R8aa1217fa7d44677" /><Relationship Type="http://schemas.openxmlformats.org/officeDocument/2006/relationships/image" Target="/xl/media/image2278.jpg" Id="R6cd8398d55a64ae5" /><Relationship Type="http://schemas.openxmlformats.org/officeDocument/2006/relationships/image" Target="/xl/media/image2279.jpg" Id="R38e3917ce551460f" /><Relationship Type="http://schemas.openxmlformats.org/officeDocument/2006/relationships/image" Target="/xl/media/image2280.jpg" Id="R48c5c5c33be148fb" /><Relationship Type="http://schemas.openxmlformats.org/officeDocument/2006/relationships/image" Target="/xl/media/image2281.jpg" Id="Ra08827b60bf24214" /><Relationship Type="http://schemas.openxmlformats.org/officeDocument/2006/relationships/image" Target="/xl/media/image2282.jpg" Id="Ra7ebff8c62c944e6" /><Relationship Type="http://schemas.openxmlformats.org/officeDocument/2006/relationships/image" Target="/xl/media/image2283.jpg" Id="R9af7eefbe0424f79" /><Relationship Type="http://schemas.openxmlformats.org/officeDocument/2006/relationships/image" Target="/xl/media/image2284.jpg" Id="Rc07853cc56c14d7f" /><Relationship Type="http://schemas.openxmlformats.org/officeDocument/2006/relationships/image" Target="/xl/media/image2285.jpg" Id="R78575d232f7f457a" /><Relationship Type="http://schemas.openxmlformats.org/officeDocument/2006/relationships/image" Target="/xl/media/image2286.jpg" Id="R3982cae4eae648e9" /><Relationship Type="http://schemas.openxmlformats.org/officeDocument/2006/relationships/image" Target="/xl/media/image2287.jpg" Id="Rd3b211418a984412" /><Relationship Type="http://schemas.openxmlformats.org/officeDocument/2006/relationships/image" Target="/xl/media/image2288.jpg" Id="Rbcdbd1f6bd494eb9" /><Relationship Type="http://schemas.openxmlformats.org/officeDocument/2006/relationships/image" Target="/xl/media/image2289.jpg" Id="R5f2aac9f91674324" /><Relationship Type="http://schemas.openxmlformats.org/officeDocument/2006/relationships/image" Target="/xl/media/image2290.jpg" Id="R165db7a55a5c4b66" /><Relationship Type="http://schemas.openxmlformats.org/officeDocument/2006/relationships/image" Target="/xl/media/image2291.jpg" Id="R892738079699439c" /><Relationship Type="http://schemas.openxmlformats.org/officeDocument/2006/relationships/image" Target="/xl/media/image2292.jpg" Id="Rebc7557ba1904f05" /><Relationship Type="http://schemas.openxmlformats.org/officeDocument/2006/relationships/image" Target="/xl/media/image2293.jpg" Id="Rc9fa86b4b11a47f9" /><Relationship Type="http://schemas.openxmlformats.org/officeDocument/2006/relationships/image" Target="/xl/media/image2294.jpg" Id="R3c71676760444964" /><Relationship Type="http://schemas.openxmlformats.org/officeDocument/2006/relationships/image" Target="/xl/media/image2295.jpg" Id="R7436287d9bf74652" /><Relationship Type="http://schemas.openxmlformats.org/officeDocument/2006/relationships/image" Target="/xl/media/image2296.jpg" Id="R2d3d444aae5545b5" /><Relationship Type="http://schemas.openxmlformats.org/officeDocument/2006/relationships/image" Target="/xl/media/image2297.jpg" Id="R6a4804fd361f4956" /><Relationship Type="http://schemas.openxmlformats.org/officeDocument/2006/relationships/image" Target="/xl/media/image2298.jpg" Id="R82f7e53ce42f452d" /><Relationship Type="http://schemas.openxmlformats.org/officeDocument/2006/relationships/image" Target="/xl/media/image2299.jpg" Id="Rebbd090632cc45f4" /><Relationship Type="http://schemas.openxmlformats.org/officeDocument/2006/relationships/image" Target="/xl/media/image2300.jpg" Id="R1db2b28ca04e48b4" /><Relationship Type="http://schemas.openxmlformats.org/officeDocument/2006/relationships/image" Target="/xl/media/image2301.jpg" Id="Re0d3ff660fb64c4e" /><Relationship Type="http://schemas.openxmlformats.org/officeDocument/2006/relationships/image" Target="/xl/media/image2302.jpg" Id="R15bcf7e228bd40b7" /><Relationship Type="http://schemas.openxmlformats.org/officeDocument/2006/relationships/image" Target="/xl/media/image2303.jpg" Id="R94c3780589f44a5b" /><Relationship Type="http://schemas.openxmlformats.org/officeDocument/2006/relationships/image" Target="/xl/media/image2304.jpg" Id="Rdada43b08f7b4bd4" /><Relationship Type="http://schemas.openxmlformats.org/officeDocument/2006/relationships/image" Target="/xl/media/image2305.jpg" Id="R45c9cbde51454888" /><Relationship Type="http://schemas.openxmlformats.org/officeDocument/2006/relationships/image" Target="/xl/media/image2306.jpg" Id="Rb12fc12d9fab4f30" /><Relationship Type="http://schemas.openxmlformats.org/officeDocument/2006/relationships/image" Target="/xl/media/image2307.jpg" Id="R3545de0c2c004201" /><Relationship Type="http://schemas.openxmlformats.org/officeDocument/2006/relationships/image" Target="/xl/media/image2308.jpg" Id="R29d59f8c65b44839" /><Relationship Type="http://schemas.openxmlformats.org/officeDocument/2006/relationships/image" Target="/xl/media/image2309.jpg" Id="Rd86eed6aa5544093" /><Relationship Type="http://schemas.openxmlformats.org/officeDocument/2006/relationships/image" Target="/xl/media/image2310.jpg" Id="R9fbc12f7ec304310" /><Relationship Type="http://schemas.openxmlformats.org/officeDocument/2006/relationships/image" Target="/xl/media/image2311.jpg" Id="R4bd884224adc4be4" /><Relationship Type="http://schemas.openxmlformats.org/officeDocument/2006/relationships/image" Target="/xl/media/image2312.jpg" Id="R0dff588f4ca443c4" /><Relationship Type="http://schemas.openxmlformats.org/officeDocument/2006/relationships/image" Target="/xl/media/image2313.jpg" Id="R73f9688db02b4f55" /><Relationship Type="http://schemas.openxmlformats.org/officeDocument/2006/relationships/image" Target="/xl/media/image2314.jpg" Id="R02b89fdf878d4081" /><Relationship Type="http://schemas.openxmlformats.org/officeDocument/2006/relationships/image" Target="/xl/media/image2315.jpg" Id="R963659f6dc0d4988" /><Relationship Type="http://schemas.openxmlformats.org/officeDocument/2006/relationships/image" Target="/xl/media/image2316.jpg" Id="Rae69076d55a74dd0" /><Relationship Type="http://schemas.openxmlformats.org/officeDocument/2006/relationships/image" Target="/xl/media/image2317.jpg" Id="R030b3821a01949bc" /><Relationship Type="http://schemas.openxmlformats.org/officeDocument/2006/relationships/image" Target="/xl/media/image2318.jpg" Id="Rcc2aadadc3da4688" /><Relationship Type="http://schemas.openxmlformats.org/officeDocument/2006/relationships/image" Target="/xl/media/image2319.jpg" Id="R441e3f4daca947ac" /><Relationship Type="http://schemas.openxmlformats.org/officeDocument/2006/relationships/image" Target="/xl/media/image2320.jpg" Id="R450fffaac1c84ca2" /><Relationship Type="http://schemas.openxmlformats.org/officeDocument/2006/relationships/image" Target="/xl/media/image2321.jpg" Id="R459e753e583c4844" /><Relationship Type="http://schemas.openxmlformats.org/officeDocument/2006/relationships/image" Target="/xl/media/image2322.jpg" Id="Rb8f53c5d7fca4113" /><Relationship Type="http://schemas.openxmlformats.org/officeDocument/2006/relationships/image" Target="/xl/media/image2323.jpg" Id="R3fa28c25793949d7" /><Relationship Type="http://schemas.openxmlformats.org/officeDocument/2006/relationships/image" Target="/xl/media/image2324.jpg" Id="R36e17a3e81904cb8" /><Relationship Type="http://schemas.openxmlformats.org/officeDocument/2006/relationships/image" Target="/xl/media/image2325.jpg" Id="Rffbe44ad27dd4ef3" /><Relationship Type="http://schemas.openxmlformats.org/officeDocument/2006/relationships/image" Target="/xl/media/image2326.jpg" Id="Re0c5146302b14107" /><Relationship Type="http://schemas.openxmlformats.org/officeDocument/2006/relationships/image" Target="/xl/media/image2327.jpg" Id="Rc9032d8999b64c6e" /><Relationship Type="http://schemas.openxmlformats.org/officeDocument/2006/relationships/image" Target="/xl/media/image2328.jpg" Id="R9aee24f041fc42bb" /><Relationship Type="http://schemas.openxmlformats.org/officeDocument/2006/relationships/image" Target="/xl/media/image2329.jpg" Id="Re5265428737b4fb1" /><Relationship Type="http://schemas.openxmlformats.org/officeDocument/2006/relationships/image" Target="/xl/media/image2330.jpg" Id="Ra970e2d934304267" /><Relationship Type="http://schemas.openxmlformats.org/officeDocument/2006/relationships/image" Target="/xl/media/image2331.jpg" Id="R697e00c993384aa4" /><Relationship Type="http://schemas.openxmlformats.org/officeDocument/2006/relationships/image" Target="/xl/media/image2332.jpg" Id="R49adba7f8a134092" /><Relationship Type="http://schemas.openxmlformats.org/officeDocument/2006/relationships/image" Target="/xl/media/image2333.jpg" Id="Re065f951c51d495b" /><Relationship Type="http://schemas.openxmlformats.org/officeDocument/2006/relationships/image" Target="/xl/media/image2334.jpg" Id="R0541480b4c3846da" /><Relationship Type="http://schemas.openxmlformats.org/officeDocument/2006/relationships/image" Target="/xl/media/image2335.jpg" Id="R822a422d3047449f" /><Relationship Type="http://schemas.openxmlformats.org/officeDocument/2006/relationships/image" Target="/xl/media/image2336.jpg" Id="R027b01afa6914cd9" /><Relationship Type="http://schemas.openxmlformats.org/officeDocument/2006/relationships/image" Target="/xl/media/image2337.jpg" Id="Rd973b2e614d0450a" /><Relationship Type="http://schemas.openxmlformats.org/officeDocument/2006/relationships/image" Target="/xl/media/image2338.jpg" Id="R8f99e6026c9048c7" /><Relationship Type="http://schemas.openxmlformats.org/officeDocument/2006/relationships/image" Target="/xl/media/image2339.jpg" Id="Rcd4e6fc1e8774bb5" /><Relationship Type="http://schemas.openxmlformats.org/officeDocument/2006/relationships/image" Target="/xl/media/image2340.jpg" Id="R9349019ce3244188" /><Relationship Type="http://schemas.openxmlformats.org/officeDocument/2006/relationships/image" Target="/xl/media/image2341.jpg" Id="Re5ba750d1a5f4f10" /><Relationship Type="http://schemas.openxmlformats.org/officeDocument/2006/relationships/image" Target="/xl/media/image2342.jpg" Id="R09d79ba770e04351" /><Relationship Type="http://schemas.openxmlformats.org/officeDocument/2006/relationships/image" Target="/xl/media/image2343.jpg" Id="Rc3ea20c54329483c" /><Relationship Type="http://schemas.openxmlformats.org/officeDocument/2006/relationships/image" Target="/xl/media/image2344.jpg" Id="R631a339cb4aa4c14" /><Relationship Type="http://schemas.openxmlformats.org/officeDocument/2006/relationships/image" Target="/xl/media/image2345.jpg" Id="Rf205123d77a74137" /><Relationship Type="http://schemas.openxmlformats.org/officeDocument/2006/relationships/image" Target="/xl/media/image2346.jpg" Id="R2942eaa6fee9411f" /><Relationship Type="http://schemas.openxmlformats.org/officeDocument/2006/relationships/image" Target="/xl/media/image2347.jpg" Id="R0c7e7e0651bb40fc" /><Relationship Type="http://schemas.openxmlformats.org/officeDocument/2006/relationships/image" Target="/xl/media/image2348.jpg" Id="Rb12386d2bfe44c14" /><Relationship Type="http://schemas.openxmlformats.org/officeDocument/2006/relationships/image" Target="/xl/media/image2349.jpg" Id="R370a54283cae43fd" /><Relationship Type="http://schemas.openxmlformats.org/officeDocument/2006/relationships/image" Target="/xl/media/image2350.jpg" Id="Re173f8abb3274375" /><Relationship Type="http://schemas.openxmlformats.org/officeDocument/2006/relationships/image" Target="/xl/media/image2351.jpg" Id="R08ca3ce39a8c4599" /><Relationship Type="http://schemas.openxmlformats.org/officeDocument/2006/relationships/image" Target="/xl/media/image2352.jpg" Id="R0c82079145194cfa" /><Relationship Type="http://schemas.openxmlformats.org/officeDocument/2006/relationships/image" Target="/xl/media/image2353.jpg" Id="R519ddbbf654e4e3c" /><Relationship Type="http://schemas.openxmlformats.org/officeDocument/2006/relationships/image" Target="/xl/media/image2354.jpg" Id="R1cd06c0e134a42a2" /><Relationship Type="http://schemas.openxmlformats.org/officeDocument/2006/relationships/image" Target="/xl/media/image2355.jpg" Id="R1568b968f51f43aa" /><Relationship Type="http://schemas.openxmlformats.org/officeDocument/2006/relationships/image" Target="/xl/media/image2356.jpg" Id="R07cdce2f40aa49b7" /><Relationship Type="http://schemas.openxmlformats.org/officeDocument/2006/relationships/image" Target="/xl/media/image2357.jpg" Id="Rb9c103e6b03e46dc" /><Relationship Type="http://schemas.openxmlformats.org/officeDocument/2006/relationships/image" Target="/xl/media/image2358.jpg" Id="R8563687ca521426c" /><Relationship Type="http://schemas.openxmlformats.org/officeDocument/2006/relationships/image" Target="/xl/media/image2359.jpg" Id="Re9823c84c1e14ef1" /><Relationship Type="http://schemas.openxmlformats.org/officeDocument/2006/relationships/image" Target="/xl/media/image2360.jpg" Id="R02017fdd7cdb49aa" /><Relationship Type="http://schemas.openxmlformats.org/officeDocument/2006/relationships/image" Target="/xl/media/image2361.jpg" Id="R5734c6e69ab84fe6" /><Relationship Type="http://schemas.openxmlformats.org/officeDocument/2006/relationships/image" Target="/xl/media/image2362.jpg" Id="R32dc7f2b54c8442e" /><Relationship Type="http://schemas.openxmlformats.org/officeDocument/2006/relationships/image" Target="/xl/media/image2363.jpg" Id="Redefa3ea9e2b47bd" /><Relationship Type="http://schemas.openxmlformats.org/officeDocument/2006/relationships/image" Target="/xl/media/image2364.jpg" Id="R284f3b7365e14156" /><Relationship Type="http://schemas.openxmlformats.org/officeDocument/2006/relationships/image" Target="/xl/media/image2365.jpg" Id="R236b39bf30d845cf" /><Relationship Type="http://schemas.openxmlformats.org/officeDocument/2006/relationships/image" Target="/xl/media/image2366.jpg" Id="R8d8d2b76cc7f4bbb" /><Relationship Type="http://schemas.openxmlformats.org/officeDocument/2006/relationships/image" Target="/xl/media/image2367.jpg" Id="Ra1471d36e7014f98" /><Relationship Type="http://schemas.openxmlformats.org/officeDocument/2006/relationships/image" Target="/xl/media/image2368.jpg" Id="R469175de128c4847" /><Relationship Type="http://schemas.openxmlformats.org/officeDocument/2006/relationships/image" Target="/xl/media/image2369.jpg" Id="R38042d74822748a6" /><Relationship Type="http://schemas.openxmlformats.org/officeDocument/2006/relationships/image" Target="/xl/media/image2370.jpg" Id="Rdbe5d995243645dc" /><Relationship Type="http://schemas.openxmlformats.org/officeDocument/2006/relationships/image" Target="/xl/media/image2371.jpg" Id="R84e80ddb254946d6" /><Relationship Type="http://schemas.openxmlformats.org/officeDocument/2006/relationships/image" Target="/xl/media/image2372.jpg" Id="R60e9851f73394102" /><Relationship Type="http://schemas.openxmlformats.org/officeDocument/2006/relationships/image" Target="/xl/media/image2373.jpg" Id="Rf210853ba9fa4153" /><Relationship Type="http://schemas.openxmlformats.org/officeDocument/2006/relationships/image" Target="/xl/media/image2374.jpg" Id="Ra7e7b47c62ab40f3" /><Relationship Type="http://schemas.openxmlformats.org/officeDocument/2006/relationships/image" Target="/xl/media/image2375.jpg" Id="R6259c7b8c3e2428a" /><Relationship Type="http://schemas.openxmlformats.org/officeDocument/2006/relationships/image" Target="/xl/media/image2376.jpg" Id="R05da38efbd0f4e1a" /><Relationship Type="http://schemas.openxmlformats.org/officeDocument/2006/relationships/image" Target="/xl/media/image2377.jpg" Id="R1c246ac17aec4f4c" /><Relationship Type="http://schemas.openxmlformats.org/officeDocument/2006/relationships/image" Target="/xl/media/image2378.jpg" Id="R17af4a90b24a44a1" /><Relationship Type="http://schemas.openxmlformats.org/officeDocument/2006/relationships/image" Target="/xl/media/image2379.jpg" Id="Raea0e41a63294fb5" /><Relationship Type="http://schemas.openxmlformats.org/officeDocument/2006/relationships/image" Target="/xl/media/image2380.jpg" Id="Rd589205423724607" /><Relationship Type="http://schemas.openxmlformats.org/officeDocument/2006/relationships/image" Target="/xl/media/image2381.jpg" Id="Rba6fb2c84649490b" /><Relationship Type="http://schemas.openxmlformats.org/officeDocument/2006/relationships/image" Target="/xl/media/image2382.jpg" Id="R750ea1d2ed264f6a" /><Relationship Type="http://schemas.openxmlformats.org/officeDocument/2006/relationships/image" Target="/xl/media/image2383.jpg" Id="Rfe6b0946dad5460a" /><Relationship Type="http://schemas.openxmlformats.org/officeDocument/2006/relationships/image" Target="/xl/media/image2384.jpg" Id="Rf5989d0b59154e34" /><Relationship Type="http://schemas.openxmlformats.org/officeDocument/2006/relationships/image" Target="/xl/media/image2385.jpg" Id="R46db0bf9ec26440e" /><Relationship Type="http://schemas.openxmlformats.org/officeDocument/2006/relationships/image" Target="/xl/media/image2386.jpg" Id="R4fae1f8ded3946c1" /><Relationship Type="http://schemas.openxmlformats.org/officeDocument/2006/relationships/image" Target="/xl/media/image2387.jpg" Id="Rc22c8b9907584aa1" /><Relationship Type="http://schemas.openxmlformats.org/officeDocument/2006/relationships/image" Target="/xl/media/image2388.jpg" Id="R115b9209e27e4a25" /><Relationship Type="http://schemas.openxmlformats.org/officeDocument/2006/relationships/image" Target="/xl/media/image2389.jpg" Id="Reac3057f0b2a41a7" /><Relationship Type="http://schemas.openxmlformats.org/officeDocument/2006/relationships/image" Target="/xl/media/image2390.jpg" Id="R9623a3af97444c7b" /><Relationship Type="http://schemas.openxmlformats.org/officeDocument/2006/relationships/image" Target="/xl/media/image2391.jpg" Id="R5aec0a1dbeb8498e" /><Relationship Type="http://schemas.openxmlformats.org/officeDocument/2006/relationships/image" Target="/xl/media/image2392.jpg" Id="R7b0e0b2dd15f4149" /><Relationship Type="http://schemas.openxmlformats.org/officeDocument/2006/relationships/image" Target="/xl/media/image2393.jpg" Id="Rde1a5a0ea8884ca7" /><Relationship Type="http://schemas.openxmlformats.org/officeDocument/2006/relationships/image" Target="/xl/media/image2394.jpg" Id="R3ed496c2d4954fd2" /><Relationship Type="http://schemas.openxmlformats.org/officeDocument/2006/relationships/image" Target="/xl/media/image2395.jpg" Id="R79de07ff65994d15" /><Relationship Type="http://schemas.openxmlformats.org/officeDocument/2006/relationships/image" Target="/xl/media/image2396.jpg" Id="Ra395601db58d410c" /><Relationship Type="http://schemas.openxmlformats.org/officeDocument/2006/relationships/image" Target="/xl/media/image2397.jpg" Id="Re4311b4509de4857" /><Relationship Type="http://schemas.openxmlformats.org/officeDocument/2006/relationships/image" Target="/xl/media/image2398.jpg" Id="R2f044412af254497" /><Relationship Type="http://schemas.openxmlformats.org/officeDocument/2006/relationships/image" Target="/xl/media/image2399.jpg" Id="Raecc1606080e44ed" /><Relationship Type="http://schemas.openxmlformats.org/officeDocument/2006/relationships/image" Target="/xl/media/image2400.jpg" Id="Rcd19bf3815884a26" /><Relationship Type="http://schemas.openxmlformats.org/officeDocument/2006/relationships/image" Target="/xl/media/image2401.jpg" Id="Re3f9e4adb1fa4b2f" /><Relationship Type="http://schemas.openxmlformats.org/officeDocument/2006/relationships/image" Target="/xl/media/image2402.jpg" Id="R943c0edd5cf14269" /><Relationship Type="http://schemas.openxmlformats.org/officeDocument/2006/relationships/image" Target="/xl/media/image2403.jpg" Id="R08376246bfb54880" /><Relationship Type="http://schemas.openxmlformats.org/officeDocument/2006/relationships/image" Target="/xl/media/image2404.jpg" Id="Re1a8fdd2df064ce1" /><Relationship Type="http://schemas.openxmlformats.org/officeDocument/2006/relationships/image" Target="/xl/media/image2405.jpg" Id="R642245e86da44c71" /><Relationship Type="http://schemas.openxmlformats.org/officeDocument/2006/relationships/image" Target="/xl/media/image2406.jpg" Id="Rdfa3e620a02c4d3a" /><Relationship Type="http://schemas.openxmlformats.org/officeDocument/2006/relationships/image" Target="/xl/media/image2407.jpg" Id="R8b698da7b2c74d5a" /><Relationship Type="http://schemas.openxmlformats.org/officeDocument/2006/relationships/image" Target="/xl/media/image2408.jpg" Id="R922d91527425456d" /><Relationship Type="http://schemas.openxmlformats.org/officeDocument/2006/relationships/image" Target="/xl/media/image2409.jpg" Id="R68c8da216fff47cd" /><Relationship Type="http://schemas.openxmlformats.org/officeDocument/2006/relationships/image" Target="/xl/media/image2410.jpg" Id="Rc1eeb110d9764ef7" /><Relationship Type="http://schemas.openxmlformats.org/officeDocument/2006/relationships/image" Target="/xl/media/image2411.jpg" Id="Rd58c708a992f48cb" /><Relationship Type="http://schemas.openxmlformats.org/officeDocument/2006/relationships/image" Target="/xl/media/image2412.jpg" Id="Rff35c71aa0654c7d" /><Relationship Type="http://schemas.openxmlformats.org/officeDocument/2006/relationships/image" Target="/xl/media/image2413.jpg" Id="R7b013e910ffd4300" /><Relationship Type="http://schemas.openxmlformats.org/officeDocument/2006/relationships/image" Target="/xl/media/image2414.jpg" Id="R74efce4925f94a27" /><Relationship Type="http://schemas.openxmlformats.org/officeDocument/2006/relationships/image" Target="/xl/media/image2415.jpg" Id="Rb6f6e75368824ba0" /><Relationship Type="http://schemas.openxmlformats.org/officeDocument/2006/relationships/image" Target="/xl/media/image2416.jpg" Id="R9b2539b560f146f7" /><Relationship Type="http://schemas.openxmlformats.org/officeDocument/2006/relationships/image" Target="/xl/media/image2417.jpg" Id="Rb50dc5a8fec14d21" /><Relationship Type="http://schemas.openxmlformats.org/officeDocument/2006/relationships/image" Target="/xl/media/image2418.jpg" Id="Rd4446ad8b0a24774" /><Relationship Type="http://schemas.openxmlformats.org/officeDocument/2006/relationships/image" Target="/xl/media/image2419.jpg" Id="R183c8a44a7324400" /><Relationship Type="http://schemas.openxmlformats.org/officeDocument/2006/relationships/image" Target="/xl/media/image2420.jpg" Id="Rbfe83688d7d44eb9" /><Relationship Type="http://schemas.openxmlformats.org/officeDocument/2006/relationships/image" Target="/xl/media/image2421.jpg" Id="R07000236d00c4358" /><Relationship Type="http://schemas.openxmlformats.org/officeDocument/2006/relationships/image" Target="/xl/media/image2422.jpg" Id="R8eeb8857c68c4bf6" /><Relationship Type="http://schemas.openxmlformats.org/officeDocument/2006/relationships/image" Target="/xl/media/image2423.jpg" Id="Ra4285e70357848b5" /><Relationship Type="http://schemas.openxmlformats.org/officeDocument/2006/relationships/image" Target="/xl/media/image2424.jpg" Id="R2d5fe44a37034ee5" /><Relationship Type="http://schemas.openxmlformats.org/officeDocument/2006/relationships/image" Target="/xl/media/image2425.jpg" Id="R180a9c0878134a8e" /><Relationship Type="http://schemas.openxmlformats.org/officeDocument/2006/relationships/image" Target="/xl/media/image2426.jpg" Id="Rd434e2dc640e4e58" /><Relationship Type="http://schemas.openxmlformats.org/officeDocument/2006/relationships/image" Target="/xl/media/image2427.jpg" Id="R944e79e403694497" /><Relationship Type="http://schemas.openxmlformats.org/officeDocument/2006/relationships/image" Target="/xl/media/image2428.jpg" Id="R529fbd53073d4dc2" /><Relationship Type="http://schemas.openxmlformats.org/officeDocument/2006/relationships/image" Target="/xl/media/image2429.jpg" Id="R64ba4a56bac44c7e" /><Relationship Type="http://schemas.openxmlformats.org/officeDocument/2006/relationships/image" Target="/xl/media/image2430.jpg" Id="R3be54a94759e4408" /><Relationship Type="http://schemas.openxmlformats.org/officeDocument/2006/relationships/image" Target="/xl/media/image2431.jpg" Id="Rdf047238ea4a4532" /><Relationship Type="http://schemas.openxmlformats.org/officeDocument/2006/relationships/image" Target="/xl/media/image2432.jpg" Id="R5e0898f1a5984352" /><Relationship Type="http://schemas.openxmlformats.org/officeDocument/2006/relationships/image" Target="/xl/media/image2433.jpg" Id="R125f142357ed4677" /><Relationship Type="http://schemas.openxmlformats.org/officeDocument/2006/relationships/image" Target="/xl/media/image2434.jpg" Id="R4f3f0b7229b54a18" /><Relationship Type="http://schemas.openxmlformats.org/officeDocument/2006/relationships/image" Target="/xl/media/image2435.jpg" Id="Rb7e6ef2688c045f7" /><Relationship Type="http://schemas.openxmlformats.org/officeDocument/2006/relationships/image" Target="/xl/media/image2436.jpg" Id="Rfe36bdc8a9624c3c" /><Relationship Type="http://schemas.openxmlformats.org/officeDocument/2006/relationships/image" Target="/xl/media/image2437.jpg" Id="R3bda438b30f54afd" /><Relationship Type="http://schemas.openxmlformats.org/officeDocument/2006/relationships/image" Target="/xl/media/image2438.jpg" Id="R717b97f211b5496e" /><Relationship Type="http://schemas.openxmlformats.org/officeDocument/2006/relationships/image" Target="/xl/media/image2439.jpg" Id="Re7258d40a04f46d8" /><Relationship Type="http://schemas.openxmlformats.org/officeDocument/2006/relationships/image" Target="/xl/media/image2440.jpg" Id="Re57fb0e838e44f8a" /><Relationship Type="http://schemas.openxmlformats.org/officeDocument/2006/relationships/image" Target="/xl/media/image2441.jpg" Id="Rf2aa94ef94a3486a" /><Relationship Type="http://schemas.openxmlformats.org/officeDocument/2006/relationships/image" Target="/xl/media/image2442.jpg" Id="Rac70ea0670d34b8a" /><Relationship Type="http://schemas.openxmlformats.org/officeDocument/2006/relationships/image" Target="/xl/media/image2443.jpg" Id="Rea6880310d974a28" /><Relationship Type="http://schemas.openxmlformats.org/officeDocument/2006/relationships/image" Target="/xl/media/image2444.jpg" Id="R9f68222477a249bc" /><Relationship Type="http://schemas.openxmlformats.org/officeDocument/2006/relationships/image" Target="/xl/media/image2445.jpg" Id="R8ce2360dc17e42c6" /><Relationship Type="http://schemas.openxmlformats.org/officeDocument/2006/relationships/image" Target="/xl/media/image2446.jpg" Id="R6a5d237001b5495d" /><Relationship Type="http://schemas.openxmlformats.org/officeDocument/2006/relationships/image" Target="/xl/media/image2447.jpg" Id="R2c0817c715f243dd" /><Relationship Type="http://schemas.openxmlformats.org/officeDocument/2006/relationships/image" Target="/xl/media/image2448.jpg" Id="Rcdef900ae8d44536" /><Relationship Type="http://schemas.openxmlformats.org/officeDocument/2006/relationships/image" Target="/xl/media/image2449.jpg" Id="Rd9046f658bd24a51" /><Relationship Type="http://schemas.openxmlformats.org/officeDocument/2006/relationships/image" Target="/xl/media/image2450.jpg" Id="R1ee2c4644c6640a7" /><Relationship Type="http://schemas.openxmlformats.org/officeDocument/2006/relationships/image" Target="/xl/media/image2451.jpg" Id="R293ba0440e794ef3" /><Relationship Type="http://schemas.openxmlformats.org/officeDocument/2006/relationships/image" Target="/xl/media/image2452.jpg" Id="Rf89c085df5aa4034" /><Relationship Type="http://schemas.openxmlformats.org/officeDocument/2006/relationships/image" Target="/xl/media/image2453.jpg" Id="R39a448d261a64478" /><Relationship Type="http://schemas.openxmlformats.org/officeDocument/2006/relationships/image" Target="/xl/media/image2454.jpg" Id="R0efe1b3f58224853" /><Relationship Type="http://schemas.openxmlformats.org/officeDocument/2006/relationships/image" Target="/xl/media/image2455.jpg" Id="Re59cb15da68b4605" /><Relationship Type="http://schemas.openxmlformats.org/officeDocument/2006/relationships/image" Target="/xl/media/image2456.jpg" Id="R0711ecf002aa49d8" /><Relationship Type="http://schemas.openxmlformats.org/officeDocument/2006/relationships/image" Target="/xl/media/image2457.jpg" Id="Rb0509d9c5f014d4c" /><Relationship Type="http://schemas.openxmlformats.org/officeDocument/2006/relationships/image" Target="/xl/media/image2458.jpg" Id="Rbae82804700a453c" /><Relationship Type="http://schemas.openxmlformats.org/officeDocument/2006/relationships/image" Target="/xl/media/image2459.jpg" Id="Rd0e8ecdccdd84c34" /><Relationship Type="http://schemas.openxmlformats.org/officeDocument/2006/relationships/image" Target="/xl/media/image2460.jpg" Id="R44e158305ce2477d" /><Relationship Type="http://schemas.openxmlformats.org/officeDocument/2006/relationships/image" Target="/xl/media/image2461.jpg" Id="Ra881ddf3857745f6" /><Relationship Type="http://schemas.openxmlformats.org/officeDocument/2006/relationships/image" Target="/xl/media/image2462.jpg" Id="R41de3a378f8a41e2" /><Relationship Type="http://schemas.openxmlformats.org/officeDocument/2006/relationships/image" Target="/xl/media/image2463.jpg" Id="R827895010b734e8a" /><Relationship Type="http://schemas.openxmlformats.org/officeDocument/2006/relationships/image" Target="/xl/media/image2464.jpg" Id="R5fd88ac350654f66" /><Relationship Type="http://schemas.openxmlformats.org/officeDocument/2006/relationships/image" Target="/xl/media/image2465.jpg" Id="R5ec249dc9c2d468a" /><Relationship Type="http://schemas.openxmlformats.org/officeDocument/2006/relationships/image" Target="/xl/media/image2466.jpg" Id="Rcff3321a3eb0440a" /><Relationship Type="http://schemas.openxmlformats.org/officeDocument/2006/relationships/image" Target="/xl/media/image2467.jpg" Id="R8a2b34ceea354d1d" /><Relationship Type="http://schemas.openxmlformats.org/officeDocument/2006/relationships/image" Target="/xl/media/image2468.jpg" Id="R18c99523afda4467" /><Relationship Type="http://schemas.openxmlformats.org/officeDocument/2006/relationships/image" Target="/xl/media/image2469.jpg" Id="R907de4122cd24f61" /><Relationship Type="http://schemas.openxmlformats.org/officeDocument/2006/relationships/image" Target="/xl/media/image2470.jpg" Id="Rc995e282718041d1" /><Relationship Type="http://schemas.openxmlformats.org/officeDocument/2006/relationships/image" Target="/xl/media/image2471.jpg" Id="Rcb78131836b34f00" /><Relationship Type="http://schemas.openxmlformats.org/officeDocument/2006/relationships/image" Target="/xl/media/image2472.jpg" Id="R8f24adcca5014599" /><Relationship Type="http://schemas.openxmlformats.org/officeDocument/2006/relationships/image" Target="/xl/media/image2473.jpg" Id="R4ea9500e98ad4afb" /><Relationship Type="http://schemas.openxmlformats.org/officeDocument/2006/relationships/image" Target="/xl/media/image2474.jpg" Id="Rd4670f84a60a4556" /><Relationship Type="http://schemas.openxmlformats.org/officeDocument/2006/relationships/image" Target="/xl/media/image2475.jpg" Id="Rae79bf19545b4c16" /><Relationship Type="http://schemas.openxmlformats.org/officeDocument/2006/relationships/image" Target="/xl/media/image2476.jpg" Id="R94e766ed899747b8" /><Relationship Type="http://schemas.openxmlformats.org/officeDocument/2006/relationships/image" Target="/xl/media/image2477.jpg" Id="R44c86bc9951d44ad" /><Relationship Type="http://schemas.openxmlformats.org/officeDocument/2006/relationships/image" Target="/xl/media/image2478.jpg" Id="R3c7cb1a612844229" /><Relationship Type="http://schemas.openxmlformats.org/officeDocument/2006/relationships/image" Target="/xl/media/image2479.jpg" Id="R9ff8a94212ff40b9" /><Relationship Type="http://schemas.openxmlformats.org/officeDocument/2006/relationships/image" Target="/xl/media/image2480.jpg" Id="Re4b9b9463f0b40db" /><Relationship Type="http://schemas.openxmlformats.org/officeDocument/2006/relationships/image" Target="/xl/media/image2481.jpg" Id="R74d4fa22dfad4c27" /><Relationship Type="http://schemas.openxmlformats.org/officeDocument/2006/relationships/image" Target="/xl/media/image2482.jpg" Id="Rdffd6564db944301" /><Relationship Type="http://schemas.openxmlformats.org/officeDocument/2006/relationships/image" Target="/xl/media/image2483.jpg" Id="R6b93571de10a4387" /><Relationship Type="http://schemas.openxmlformats.org/officeDocument/2006/relationships/image" Target="/xl/media/image2484.jpg" Id="R773ac96ae3994723" /><Relationship Type="http://schemas.openxmlformats.org/officeDocument/2006/relationships/image" Target="/xl/media/image2485.jpg" Id="R585fbc5b9c0f438b" /><Relationship Type="http://schemas.openxmlformats.org/officeDocument/2006/relationships/image" Target="/xl/media/image2486.jpg" Id="Rb0730998dff243e9" /><Relationship Type="http://schemas.openxmlformats.org/officeDocument/2006/relationships/image" Target="/xl/media/image2487.jpg" Id="Rd95d4134e3f44e16" /><Relationship Type="http://schemas.openxmlformats.org/officeDocument/2006/relationships/image" Target="/xl/media/image2488.jpg" Id="Rf59d585570134f63" /><Relationship Type="http://schemas.openxmlformats.org/officeDocument/2006/relationships/image" Target="/xl/media/image2489.jpg" Id="R533dfdbdb31f4953" /><Relationship Type="http://schemas.openxmlformats.org/officeDocument/2006/relationships/image" Target="/xl/media/image2490.jpg" Id="R7aa78df2721a4c81" /><Relationship Type="http://schemas.openxmlformats.org/officeDocument/2006/relationships/image" Target="/xl/media/image2491.jpg" Id="R3aaa0282a5cc4a3e" /><Relationship Type="http://schemas.openxmlformats.org/officeDocument/2006/relationships/image" Target="/xl/media/image2492.jpg" Id="Rd73385202dfa44d6" /><Relationship Type="http://schemas.openxmlformats.org/officeDocument/2006/relationships/image" Target="/xl/media/image2493.jpg" Id="R55114c4dc3e443f6" /><Relationship Type="http://schemas.openxmlformats.org/officeDocument/2006/relationships/image" Target="/xl/media/image2494.jpg" Id="Rcf7703993c9c4e61" /><Relationship Type="http://schemas.openxmlformats.org/officeDocument/2006/relationships/image" Target="/xl/media/image2495.jpg" Id="Rf0c8414212f44acb" /><Relationship Type="http://schemas.openxmlformats.org/officeDocument/2006/relationships/image" Target="/xl/media/image2496.jpg" Id="R20f7645484784223" /><Relationship Type="http://schemas.openxmlformats.org/officeDocument/2006/relationships/image" Target="/xl/media/image2497.jpg" Id="R7107e4f352b74ecc" /><Relationship Type="http://schemas.openxmlformats.org/officeDocument/2006/relationships/image" Target="/xl/media/image2498.jpg" Id="R18214b4dfda84887" /><Relationship Type="http://schemas.openxmlformats.org/officeDocument/2006/relationships/image" Target="/xl/media/image2499.jpg" Id="Rb8c972654f4d466c" /><Relationship Type="http://schemas.openxmlformats.org/officeDocument/2006/relationships/image" Target="/xl/media/image2500.jpg" Id="R54ae9e47cfc843ad" /><Relationship Type="http://schemas.openxmlformats.org/officeDocument/2006/relationships/image" Target="/xl/media/image2501.jpg" Id="Rdcc89ffe06d44237" /><Relationship Type="http://schemas.openxmlformats.org/officeDocument/2006/relationships/image" Target="/xl/media/image2502.jpg" Id="R3e24d9555eb44e31" /><Relationship Type="http://schemas.openxmlformats.org/officeDocument/2006/relationships/image" Target="/xl/media/image2503.jpg" Id="R76ec801a17444e1b" /><Relationship Type="http://schemas.openxmlformats.org/officeDocument/2006/relationships/image" Target="/xl/media/image2504.jpg" Id="Rf0860cb3742e4fe8" /><Relationship Type="http://schemas.openxmlformats.org/officeDocument/2006/relationships/image" Target="/xl/media/image2505.jpg" Id="R0655ca1cfdf4407c" /><Relationship Type="http://schemas.openxmlformats.org/officeDocument/2006/relationships/image" Target="/xl/media/image2506.jpg" Id="Rb0e6d3eb27194f92" /><Relationship Type="http://schemas.openxmlformats.org/officeDocument/2006/relationships/image" Target="/xl/media/image2507.jpg" Id="R7cc8cd728225414b" /><Relationship Type="http://schemas.openxmlformats.org/officeDocument/2006/relationships/image" Target="/xl/media/image2508.jpg" Id="R0db8190de5c94f23" /><Relationship Type="http://schemas.openxmlformats.org/officeDocument/2006/relationships/image" Target="/xl/media/image2509.jpg" Id="Rf9f080825aec4b47" /><Relationship Type="http://schemas.openxmlformats.org/officeDocument/2006/relationships/image" Target="/xl/media/image2510.jpg" Id="Rb4212892a9914aeb" /><Relationship Type="http://schemas.openxmlformats.org/officeDocument/2006/relationships/image" Target="/xl/media/image2511.jpg" Id="Rd341421203b646fa" /><Relationship Type="http://schemas.openxmlformats.org/officeDocument/2006/relationships/image" Target="/xl/media/image2512.jpg" Id="R184270b4b2db421a" /><Relationship Type="http://schemas.openxmlformats.org/officeDocument/2006/relationships/image" Target="/xl/media/image2513.jpg" Id="R65a01b595a984644" /><Relationship Type="http://schemas.openxmlformats.org/officeDocument/2006/relationships/image" Target="/xl/media/image2514.jpg" Id="R947354ffd739481c" /><Relationship Type="http://schemas.openxmlformats.org/officeDocument/2006/relationships/image" Target="/xl/media/image2515.jpg" Id="Rbd710b7c41104472" /><Relationship Type="http://schemas.openxmlformats.org/officeDocument/2006/relationships/image" Target="/xl/media/image2516.jpg" Id="Rda87cb4c4b944ae6" /><Relationship Type="http://schemas.openxmlformats.org/officeDocument/2006/relationships/image" Target="/xl/media/image2517.jpg" Id="R2328725828464384" /><Relationship Type="http://schemas.openxmlformats.org/officeDocument/2006/relationships/image" Target="/xl/media/image2518.jpg" Id="R618ca8bf10114b58" /><Relationship Type="http://schemas.openxmlformats.org/officeDocument/2006/relationships/image" Target="/xl/media/image2519.jpg" Id="R7e0b5bde920b4510" /><Relationship Type="http://schemas.openxmlformats.org/officeDocument/2006/relationships/image" Target="/xl/media/image2520.jpg" Id="Rece78d04e85e4916" /><Relationship Type="http://schemas.openxmlformats.org/officeDocument/2006/relationships/image" Target="/xl/media/image2521.jpg" Id="R4f278adbff2f407d" /><Relationship Type="http://schemas.openxmlformats.org/officeDocument/2006/relationships/image" Target="/xl/media/image2522.jpg" Id="R2523afa010c240c5" /><Relationship Type="http://schemas.openxmlformats.org/officeDocument/2006/relationships/image" Target="/xl/media/image2523.jpg" Id="R5524e0ee940445bb" /><Relationship Type="http://schemas.openxmlformats.org/officeDocument/2006/relationships/image" Target="/xl/media/image2524.jpg" Id="R736e4833c9074e59" /><Relationship Type="http://schemas.openxmlformats.org/officeDocument/2006/relationships/image" Target="/xl/media/image2525.jpg" Id="R3e23a506fd5b4998" /><Relationship Type="http://schemas.openxmlformats.org/officeDocument/2006/relationships/image" Target="/xl/media/image2526.jpg" Id="R10a38894d90d4be0" /><Relationship Type="http://schemas.openxmlformats.org/officeDocument/2006/relationships/image" Target="/xl/media/image2527.jpg" Id="R3c83a05cd28e4c57" /><Relationship Type="http://schemas.openxmlformats.org/officeDocument/2006/relationships/image" Target="/xl/media/image2528.jpg" Id="R638e9ccf57924a41" /><Relationship Type="http://schemas.openxmlformats.org/officeDocument/2006/relationships/image" Target="/xl/media/image2529.jpg" Id="Raa032ff34990471a" /><Relationship Type="http://schemas.openxmlformats.org/officeDocument/2006/relationships/image" Target="/xl/media/image2530.jpg" Id="R46f4624bf4e44f73" /><Relationship Type="http://schemas.openxmlformats.org/officeDocument/2006/relationships/image" Target="/xl/media/image2531.jpg" Id="R2f17684b1a27455c" /><Relationship Type="http://schemas.openxmlformats.org/officeDocument/2006/relationships/image" Target="/xl/media/image2532.jpg" Id="R6e492184b3394c84" /><Relationship Type="http://schemas.openxmlformats.org/officeDocument/2006/relationships/image" Target="/xl/media/image2533.jpg" Id="R2e4c666352c746d9" /><Relationship Type="http://schemas.openxmlformats.org/officeDocument/2006/relationships/image" Target="/xl/media/image2534.jpg" Id="R1b5f4e1337b1464a" /><Relationship Type="http://schemas.openxmlformats.org/officeDocument/2006/relationships/image" Target="/xl/media/image2535.jpg" Id="R32df6724e17b4920" /><Relationship Type="http://schemas.openxmlformats.org/officeDocument/2006/relationships/image" Target="/xl/media/image2536.jpg" Id="Re8fd9a5719c7486b" /><Relationship Type="http://schemas.openxmlformats.org/officeDocument/2006/relationships/image" Target="/xl/media/image2537.jpg" Id="Rb7a84e0e5f2f42a0" /><Relationship Type="http://schemas.openxmlformats.org/officeDocument/2006/relationships/image" Target="/xl/media/image2538.jpg" Id="R07a5b75bd3904eeb" /><Relationship Type="http://schemas.openxmlformats.org/officeDocument/2006/relationships/image" Target="/xl/media/image2539.jpg" Id="R032d5d0c2a2a44c9" /><Relationship Type="http://schemas.openxmlformats.org/officeDocument/2006/relationships/image" Target="/xl/media/image2540.jpg" Id="Rfc93026f63ae4001" /><Relationship Type="http://schemas.openxmlformats.org/officeDocument/2006/relationships/image" Target="/xl/media/image2541.jpg" Id="R3e7db114e2744567" /><Relationship Type="http://schemas.openxmlformats.org/officeDocument/2006/relationships/image" Target="/xl/media/image2542.jpg" Id="Ra1e8b94297fd4590" /><Relationship Type="http://schemas.openxmlformats.org/officeDocument/2006/relationships/image" Target="/xl/media/image2543.jpg" Id="R698967f9042a4fa8" /><Relationship Type="http://schemas.openxmlformats.org/officeDocument/2006/relationships/image" Target="/xl/media/image2544.jpg" Id="R2fbc3da516d74fb0" /><Relationship Type="http://schemas.openxmlformats.org/officeDocument/2006/relationships/image" Target="/xl/media/image2545.jpg" Id="R5734826347664522" /><Relationship Type="http://schemas.openxmlformats.org/officeDocument/2006/relationships/image" Target="/xl/media/image2546.jpg" Id="Re8a2b4f9a8934c60" /><Relationship Type="http://schemas.openxmlformats.org/officeDocument/2006/relationships/image" Target="/xl/media/image2547.jpg" Id="R5e82e6883db84b31" /><Relationship Type="http://schemas.openxmlformats.org/officeDocument/2006/relationships/image" Target="/xl/media/image2548.jpg" Id="R57a169b50af24bc7" /><Relationship Type="http://schemas.openxmlformats.org/officeDocument/2006/relationships/image" Target="/xl/media/image2549.jpg" Id="R1c33f7a2013a498f" /><Relationship Type="http://schemas.openxmlformats.org/officeDocument/2006/relationships/image" Target="/xl/media/image2550.jpg" Id="R2c25a23b916e4e5c" /><Relationship Type="http://schemas.openxmlformats.org/officeDocument/2006/relationships/image" Target="/xl/media/image2551.jpg" Id="R63e48765eb3b4961" /><Relationship Type="http://schemas.openxmlformats.org/officeDocument/2006/relationships/image" Target="/xl/media/image2552.jpg" Id="R1ca68b758cb3460e" /><Relationship Type="http://schemas.openxmlformats.org/officeDocument/2006/relationships/image" Target="/xl/media/image2553.jpg" Id="R3ee3e7a28d724f7d" /><Relationship Type="http://schemas.openxmlformats.org/officeDocument/2006/relationships/image" Target="/xl/media/image2554.jpg" Id="Rb2038d41a4ce4d00" /><Relationship Type="http://schemas.openxmlformats.org/officeDocument/2006/relationships/image" Target="/xl/media/image2555.jpg" Id="R5c617c88b406433f" /><Relationship Type="http://schemas.openxmlformats.org/officeDocument/2006/relationships/image" Target="/xl/media/image2556.jpg" Id="R35073ac7266d484b" /><Relationship Type="http://schemas.openxmlformats.org/officeDocument/2006/relationships/image" Target="/xl/media/image2557.jpg" Id="R59bd0d0a8c984366" /><Relationship Type="http://schemas.openxmlformats.org/officeDocument/2006/relationships/image" Target="/xl/media/image2558.jpg" Id="R926f6f6ceea44736" /><Relationship Type="http://schemas.openxmlformats.org/officeDocument/2006/relationships/image" Target="/xl/media/image2559.jpg" Id="R9b5ed3eeb93340ec" /><Relationship Type="http://schemas.openxmlformats.org/officeDocument/2006/relationships/image" Target="/xl/media/image2560.jpg" Id="R1af0b57784d8413b" /><Relationship Type="http://schemas.openxmlformats.org/officeDocument/2006/relationships/image" Target="/xl/media/image2561.jpg" Id="R39b5e87fef4c4924" /><Relationship Type="http://schemas.openxmlformats.org/officeDocument/2006/relationships/image" Target="/xl/media/image2562.jpg" Id="R9533a9c8c10843ba" /><Relationship Type="http://schemas.openxmlformats.org/officeDocument/2006/relationships/image" Target="/xl/media/image2563.jpg" Id="R582b7ad74805444c" /><Relationship Type="http://schemas.openxmlformats.org/officeDocument/2006/relationships/image" Target="/xl/media/image2564.jpg" Id="Re44e30a4b7594f36" /><Relationship Type="http://schemas.openxmlformats.org/officeDocument/2006/relationships/image" Target="/xl/media/image2565.jpg" Id="R2e4cae5f6ee94c3d" /><Relationship Type="http://schemas.openxmlformats.org/officeDocument/2006/relationships/image" Target="/xl/media/image2566.jpg" Id="Rf2e3ed963c7f40d9" /><Relationship Type="http://schemas.openxmlformats.org/officeDocument/2006/relationships/image" Target="/xl/media/image2567.jpg" Id="R370c4464381b449e" /><Relationship Type="http://schemas.openxmlformats.org/officeDocument/2006/relationships/image" Target="/xl/media/image2568.jpg" Id="R9cf05431d3cb4d54" /><Relationship Type="http://schemas.openxmlformats.org/officeDocument/2006/relationships/image" Target="/xl/media/image2569.jpg" Id="R20718a60ed784055" /><Relationship Type="http://schemas.openxmlformats.org/officeDocument/2006/relationships/image" Target="/xl/media/image2570.jpg" Id="Rf52ed7edf3f6460e" /><Relationship Type="http://schemas.openxmlformats.org/officeDocument/2006/relationships/image" Target="/xl/media/image2571.jpg" Id="R6492ae7e15394ceb" /><Relationship Type="http://schemas.openxmlformats.org/officeDocument/2006/relationships/image" Target="/xl/media/image2572.jpg" Id="R92bcc90e4eca45a5" /><Relationship Type="http://schemas.openxmlformats.org/officeDocument/2006/relationships/image" Target="/xl/media/image2573.jpg" Id="Raf39ce7562484751" /><Relationship Type="http://schemas.openxmlformats.org/officeDocument/2006/relationships/image" Target="/xl/media/image2574.jpg" Id="Ra34c36e4d7254715" /><Relationship Type="http://schemas.openxmlformats.org/officeDocument/2006/relationships/image" Target="/xl/media/image2575.jpg" Id="R42b46f13e3fc4dcc" /><Relationship Type="http://schemas.openxmlformats.org/officeDocument/2006/relationships/image" Target="/xl/media/image2576.jpg" Id="R386903e7303d44c3" /><Relationship Type="http://schemas.openxmlformats.org/officeDocument/2006/relationships/image" Target="/xl/media/image2577.jpg" Id="R653560b34f124639" /><Relationship Type="http://schemas.openxmlformats.org/officeDocument/2006/relationships/image" Target="/xl/media/image2578.jpg" Id="R88598c89a93849eb" /><Relationship Type="http://schemas.openxmlformats.org/officeDocument/2006/relationships/image" Target="/xl/media/image2579.jpg" Id="Rae369ba0fab44e49" /><Relationship Type="http://schemas.openxmlformats.org/officeDocument/2006/relationships/image" Target="/xl/media/image2580.jpg" Id="R90625260f7234c19" /><Relationship Type="http://schemas.openxmlformats.org/officeDocument/2006/relationships/image" Target="/xl/media/image2581.jpg" Id="Rabc5f884f3c94ba4" /><Relationship Type="http://schemas.openxmlformats.org/officeDocument/2006/relationships/image" Target="/xl/media/image2582.jpg" Id="R99a82f06a03a4494" /><Relationship Type="http://schemas.openxmlformats.org/officeDocument/2006/relationships/image" Target="/xl/media/image2583.jpg" Id="R49fcda59abea40df" /><Relationship Type="http://schemas.openxmlformats.org/officeDocument/2006/relationships/image" Target="/xl/media/image2584.jpg" Id="Re6a66a11641c464b" /><Relationship Type="http://schemas.openxmlformats.org/officeDocument/2006/relationships/image" Target="/xl/media/image2585.jpg" Id="R1c815160f23d4600" /><Relationship Type="http://schemas.openxmlformats.org/officeDocument/2006/relationships/image" Target="/xl/media/image2586.jpg" Id="Rb085dca8f1d54704" /><Relationship Type="http://schemas.openxmlformats.org/officeDocument/2006/relationships/image" Target="/xl/media/image2587.jpg" Id="Rfd7b8f6d18084771" /><Relationship Type="http://schemas.openxmlformats.org/officeDocument/2006/relationships/image" Target="/xl/media/image2588.jpg" Id="Rf870497c3c5a4afb" /><Relationship Type="http://schemas.openxmlformats.org/officeDocument/2006/relationships/image" Target="/xl/media/image2589.jpg" Id="R2e3ed82848084e34" /><Relationship Type="http://schemas.openxmlformats.org/officeDocument/2006/relationships/image" Target="/xl/media/image2590.jpg" Id="R9fb10e637155438c" /><Relationship Type="http://schemas.openxmlformats.org/officeDocument/2006/relationships/image" Target="/xl/media/image2591.jpg" Id="R96afab06006d448c" /><Relationship Type="http://schemas.openxmlformats.org/officeDocument/2006/relationships/image" Target="/xl/media/image2592.jpg" Id="Rf917a083f7dc479b" /><Relationship Type="http://schemas.openxmlformats.org/officeDocument/2006/relationships/image" Target="/xl/media/image2593.jpg" Id="R5c4fae0c1c9d4f68" /><Relationship Type="http://schemas.openxmlformats.org/officeDocument/2006/relationships/image" Target="/xl/media/image2594.jpg" Id="R5acf3680b64a4ab5" /><Relationship Type="http://schemas.openxmlformats.org/officeDocument/2006/relationships/image" Target="/xl/media/image2595.jpg" Id="Rd851f1317fbc47e3" /><Relationship Type="http://schemas.openxmlformats.org/officeDocument/2006/relationships/image" Target="/xl/media/image2596.jpg" Id="Rf100c20dda2c47a4" /><Relationship Type="http://schemas.openxmlformats.org/officeDocument/2006/relationships/image" Target="/xl/media/image2597.jpg" Id="R2dffbe30d36a4cd2" /><Relationship Type="http://schemas.openxmlformats.org/officeDocument/2006/relationships/image" Target="/xl/media/image2598.jpg" Id="R7cfe1dd165e34d15" /><Relationship Type="http://schemas.openxmlformats.org/officeDocument/2006/relationships/image" Target="/xl/media/image2599.jpg" Id="R5f903b86bfda45ed" /><Relationship Type="http://schemas.openxmlformats.org/officeDocument/2006/relationships/image" Target="/xl/media/image2600.jpg" Id="Rc7c1b765b6094304" /><Relationship Type="http://schemas.openxmlformats.org/officeDocument/2006/relationships/image" Target="/xl/media/image2601.jpg" Id="Ra48cd0d0880b4206" /><Relationship Type="http://schemas.openxmlformats.org/officeDocument/2006/relationships/image" Target="/xl/media/image2602.jpg" Id="R9f435bfaa3284340" /><Relationship Type="http://schemas.openxmlformats.org/officeDocument/2006/relationships/image" Target="/xl/media/image2603.jpg" Id="Rf5f0b1e629684e90" /><Relationship Type="http://schemas.openxmlformats.org/officeDocument/2006/relationships/image" Target="/xl/media/image2604.jpg" Id="R62d743cbc0d34e50" /><Relationship Type="http://schemas.openxmlformats.org/officeDocument/2006/relationships/image" Target="/xl/media/image2605.jpg" Id="R48411de50125482a" /><Relationship Type="http://schemas.openxmlformats.org/officeDocument/2006/relationships/image" Target="/xl/media/image2606.jpg" Id="Rb90d7a2c495e4e4d" /><Relationship Type="http://schemas.openxmlformats.org/officeDocument/2006/relationships/image" Target="/xl/media/image2607.jpg" Id="R2056fae2d58c435c" /><Relationship Type="http://schemas.openxmlformats.org/officeDocument/2006/relationships/image" Target="/xl/media/image2608.jpg" Id="R91ea3d2210734a3e" /><Relationship Type="http://schemas.openxmlformats.org/officeDocument/2006/relationships/image" Target="/xl/media/image2609.jpg" Id="Rcd6dcb9578864629" /><Relationship Type="http://schemas.openxmlformats.org/officeDocument/2006/relationships/image" Target="/xl/media/image2610.jpg" Id="Rafd4ac15ae6645b4" /><Relationship Type="http://schemas.openxmlformats.org/officeDocument/2006/relationships/image" Target="/xl/media/image2611.jpg" Id="R741db9d6709b40b4" /><Relationship Type="http://schemas.openxmlformats.org/officeDocument/2006/relationships/image" Target="/xl/media/image2612.jpg" Id="R66315640862b4fe3" /><Relationship Type="http://schemas.openxmlformats.org/officeDocument/2006/relationships/image" Target="/xl/media/image2613.jpg" Id="R1264be0602f64537" /><Relationship Type="http://schemas.openxmlformats.org/officeDocument/2006/relationships/image" Target="/xl/media/image2614.jpg" Id="R236d2909bae64ada" /><Relationship Type="http://schemas.openxmlformats.org/officeDocument/2006/relationships/image" Target="/xl/media/image2615.jpg" Id="Rc57e082845764556" /><Relationship Type="http://schemas.openxmlformats.org/officeDocument/2006/relationships/image" Target="/xl/media/image2616.jpg" Id="Rc74dd572983c421b" /><Relationship Type="http://schemas.openxmlformats.org/officeDocument/2006/relationships/image" Target="/xl/media/image2617.jpg" Id="R29d6bde9724b476d" /><Relationship Type="http://schemas.openxmlformats.org/officeDocument/2006/relationships/image" Target="/xl/media/image2618.jpg" Id="R73f4c580d3894235" /><Relationship Type="http://schemas.openxmlformats.org/officeDocument/2006/relationships/image" Target="/xl/media/image2619.jpg" Id="R03eed52869c54839" /><Relationship Type="http://schemas.openxmlformats.org/officeDocument/2006/relationships/image" Target="/xl/media/image2620.jpg" Id="R69f2ffb27c5a45ed" /><Relationship Type="http://schemas.openxmlformats.org/officeDocument/2006/relationships/image" Target="/xl/media/image2621.jpg" Id="Rbd81d5a175104439" /><Relationship Type="http://schemas.openxmlformats.org/officeDocument/2006/relationships/image" Target="/xl/media/image2622.jpg" Id="R298a902bd3ef473e" /><Relationship Type="http://schemas.openxmlformats.org/officeDocument/2006/relationships/image" Target="/xl/media/image2623.jpg" Id="R4a8e65b01db74ab4" /><Relationship Type="http://schemas.openxmlformats.org/officeDocument/2006/relationships/image" Target="/xl/media/image2624.jpg" Id="R9c1ffb0aaf8b4708" /><Relationship Type="http://schemas.openxmlformats.org/officeDocument/2006/relationships/image" Target="/xl/media/image2625.jpg" Id="R561ccf7060c44315" /><Relationship Type="http://schemas.openxmlformats.org/officeDocument/2006/relationships/image" Target="/xl/media/image2626.jpg" Id="Re2266855a4274037" /><Relationship Type="http://schemas.openxmlformats.org/officeDocument/2006/relationships/image" Target="/xl/media/image2627.jpg" Id="R39410439aa9f4d6d" /><Relationship Type="http://schemas.openxmlformats.org/officeDocument/2006/relationships/image" Target="/xl/media/image2628.jpg" Id="R10e38015196a4f28" /><Relationship Type="http://schemas.openxmlformats.org/officeDocument/2006/relationships/image" Target="/xl/media/image2629.jpg" Id="Ra7a5499830b04970" /><Relationship Type="http://schemas.openxmlformats.org/officeDocument/2006/relationships/image" Target="/xl/media/image2630.jpg" Id="Rdb2dadaa17624361" /><Relationship Type="http://schemas.openxmlformats.org/officeDocument/2006/relationships/image" Target="/xl/media/image2631.jpg" Id="R93624ee66e914064" /><Relationship Type="http://schemas.openxmlformats.org/officeDocument/2006/relationships/image" Target="/xl/media/image2632.jpg" Id="Rf4d95bd89f034312" /><Relationship Type="http://schemas.openxmlformats.org/officeDocument/2006/relationships/image" Target="/xl/media/image2633.jpg" Id="Rb25fb2fb5c16428a" /><Relationship Type="http://schemas.openxmlformats.org/officeDocument/2006/relationships/image" Target="/xl/media/image2634.jpg" Id="R47194e811daa4913" /><Relationship Type="http://schemas.openxmlformats.org/officeDocument/2006/relationships/image" Target="/xl/media/image2635.jpg" Id="Rc718172b9142499a" /><Relationship Type="http://schemas.openxmlformats.org/officeDocument/2006/relationships/image" Target="/xl/media/image2636.jpg" Id="R3cfc54ad216541d7" /><Relationship Type="http://schemas.openxmlformats.org/officeDocument/2006/relationships/image" Target="/xl/media/image2637.jpg" Id="R727f70f83cd1497f" /><Relationship Type="http://schemas.openxmlformats.org/officeDocument/2006/relationships/image" Target="/xl/media/image2638.jpg" Id="Rf80e7305341b4bbc" /><Relationship Type="http://schemas.openxmlformats.org/officeDocument/2006/relationships/image" Target="/xl/media/image2639.jpg" Id="R134a388b6be74c04" /><Relationship Type="http://schemas.openxmlformats.org/officeDocument/2006/relationships/image" Target="/xl/media/image2640.jpg" Id="R4a1c6d13ae944e8c" /><Relationship Type="http://schemas.openxmlformats.org/officeDocument/2006/relationships/image" Target="/xl/media/image2641.jpg" Id="Rb0307ecba2a54502" /><Relationship Type="http://schemas.openxmlformats.org/officeDocument/2006/relationships/image" Target="/xl/media/image2642.jpg" Id="Rfbbf06552fdc43a4" /><Relationship Type="http://schemas.openxmlformats.org/officeDocument/2006/relationships/image" Target="/xl/media/image2643.jpg" Id="Rb28d64e8d1a34edc" /><Relationship Type="http://schemas.openxmlformats.org/officeDocument/2006/relationships/image" Target="/xl/media/image2644.jpg" Id="R43d24078cb494071" /><Relationship Type="http://schemas.openxmlformats.org/officeDocument/2006/relationships/image" Target="/xl/media/image2645.jpg" Id="Rad6ae7a389b84da3" /><Relationship Type="http://schemas.openxmlformats.org/officeDocument/2006/relationships/image" Target="/xl/media/image2646.jpg" Id="Ra5e5c796b21841d9" /><Relationship Type="http://schemas.openxmlformats.org/officeDocument/2006/relationships/image" Target="/xl/media/image2647.jpg" Id="R4baac6609aa24ec6" /><Relationship Type="http://schemas.openxmlformats.org/officeDocument/2006/relationships/image" Target="/xl/media/image2648.jpg" Id="R4f61760ba4b944eb" /><Relationship Type="http://schemas.openxmlformats.org/officeDocument/2006/relationships/image" Target="/xl/media/image2649.jpg" Id="Rf13697bf824b455f" /><Relationship Type="http://schemas.openxmlformats.org/officeDocument/2006/relationships/image" Target="/xl/media/image2650.jpg" Id="R7733e9d16c7c4ae6" /><Relationship Type="http://schemas.openxmlformats.org/officeDocument/2006/relationships/image" Target="/xl/media/image2651.jpg" Id="Rfb1d1079fd1346ba" /><Relationship Type="http://schemas.openxmlformats.org/officeDocument/2006/relationships/image" Target="/xl/media/image2652.jpg" Id="R07f9b0cdfb3d467e" /><Relationship Type="http://schemas.openxmlformats.org/officeDocument/2006/relationships/image" Target="/xl/media/image2653.jpg" Id="Rf85a9fc880524621" /><Relationship Type="http://schemas.openxmlformats.org/officeDocument/2006/relationships/image" Target="/xl/media/image2654.jpg" Id="Rf3102daba5b14900" /><Relationship Type="http://schemas.openxmlformats.org/officeDocument/2006/relationships/image" Target="/xl/media/image2655.jpg" Id="R7671c8ab8e8c46a7" /><Relationship Type="http://schemas.openxmlformats.org/officeDocument/2006/relationships/image" Target="/xl/media/image2656.jpg" Id="Rab416f99ab8047bb" /><Relationship Type="http://schemas.openxmlformats.org/officeDocument/2006/relationships/image" Target="/xl/media/image2657.jpg" Id="R2121ff1c37f6416c" /><Relationship Type="http://schemas.openxmlformats.org/officeDocument/2006/relationships/image" Target="/xl/media/image2658.jpg" Id="R46b556c3d6e24270" /><Relationship Type="http://schemas.openxmlformats.org/officeDocument/2006/relationships/image" Target="/xl/media/image2659.jpg" Id="Rcbfcee1d8341482f" /><Relationship Type="http://schemas.openxmlformats.org/officeDocument/2006/relationships/image" Target="/xl/media/image2660.jpg" Id="Rfefb5f2db31c460c" /><Relationship Type="http://schemas.openxmlformats.org/officeDocument/2006/relationships/image" Target="/xl/media/image2661.jpg" Id="Ra4ea39ecea264fdf" /><Relationship Type="http://schemas.openxmlformats.org/officeDocument/2006/relationships/image" Target="/xl/media/image2662.jpg" Id="R764b57611d434212" /><Relationship Type="http://schemas.openxmlformats.org/officeDocument/2006/relationships/image" Target="/xl/media/image2663.jpg" Id="Rdb93dc4d56044c5e" /><Relationship Type="http://schemas.openxmlformats.org/officeDocument/2006/relationships/image" Target="/xl/media/image2664.jpg" Id="R5efce662929b42a3" /><Relationship Type="http://schemas.openxmlformats.org/officeDocument/2006/relationships/image" Target="/xl/media/image2665.jpg" Id="R70dd3fa5bc034470" /><Relationship Type="http://schemas.openxmlformats.org/officeDocument/2006/relationships/image" Target="/xl/media/image2666.jpg" Id="Rfd0e2ddf52c94759" /><Relationship Type="http://schemas.openxmlformats.org/officeDocument/2006/relationships/image" Target="/xl/media/image2667.jpg" Id="Rbf48e4ebe8d3411f" /><Relationship Type="http://schemas.openxmlformats.org/officeDocument/2006/relationships/image" Target="/xl/media/image2668.jpg" Id="R1a848a9272744f0b" /><Relationship Type="http://schemas.openxmlformats.org/officeDocument/2006/relationships/image" Target="/xl/media/image2669.jpg" Id="R8088b5f316144113" /><Relationship Type="http://schemas.openxmlformats.org/officeDocument/2006/relationships/image" Target="/xl/media/image2670.jpg" Id="R2ff7853cce614525" /><Relationship Type="http://schemas.openxmlformats.org/officeDocument/2006/relationships/image" Target="/xl/media/image2671.jpg" Id="R667b1ab0ccdf4a45" /><Relationship Type="http://schemas.openxmlformats.org/officeDocument/2006/relationships/image" Target="/xl/media/image2672.jpg" Id="Rea6009e7db8844e4" /><Relationship Type="http://schemas.openxmlformats.org/officeDocument/2006/relationships/image" Target="/xl/media/image2673.jpg" Id="R6c61ba96a8d149b4" /><Relationship Type="http://schemas.openxmlformats.org/officeDocument/2006/relationships/image" Target="/xl/media/image2674.jpg" Id="R0e3936aa4cb04ad9" /><Relationship Type="http://schemas.openxmlformats.org/officeDocument/2006/relationships/image" Target="/xl/media/image2675.jpg" Id="Recdc4f6a79b44845" /><Relationship Type="http://schemas.openxmlformats.org/officeDocument/2006/relationships/image" Target="/xl/media/image2676.jpg" Id="R3df382d7a6894a1f" /><Relationship Type="http://schemas.openxmlformats.org/officeDocument/2006/relationships/image" Target="/xl/media/image2677.jpg" Id="R975a75b1f8224d1f" /><Relationship Type="http://schemas.openxmlformats.org/officeDocument/2006/relationships/image" Target="/xl/media/image2678.jpg" Id="Rea8c056f0989486b" /><Relationship Type="http://schemas.openxmlformats.org/officeDocument/2006/relationships/image" Target="/xl/media/image2679.jpg" Id="R6828dd4baec54822" /><Relationship Type="http://schemas.openxmlformats.org/officeDocument/2006/relationships/image" Target="/xl/media/image2680.jpg" Id="R9022180652a04f4b" /><Relationship Type="http://schemas.openxmlformats.org/officeDocument/2006/relationships/image" Target="/xl/media/image2681.jpg" Id="Rb5fa0ddbdedf4623" /><Relationship Type="http://schemas.openxmlformats.org/officeDocument/2006/relationships/image" Target="/xl/media/image2682.jpg" Id="Rc54cdd44ad6a4e01" /><Relationship Type="http://schemas.openxmlformats.org/officeDocument/2006/relationships/image" Target="/xl/media/image2683.jpg" Id="Rec99a899c9834517" /><Relationship Type="http://schemas.openxmlformats.org/officeDocument/2006/relationships/image" Target="/xl/media/image2684.jpg" Id="R4b395f077be640b4" /><Relationship Type="http://schemas.openxmlformats.org/officeDocument/2006/relationships/image" Target="/xl/media/image2685.jpg" Id="R171c3ba2cb7149d4" /><Relationship Type="http://schemas.openxmlformats.org/officeDocument/2006/relationships/image" Target="/xl/media/image2686.jpg" Id="Rc8f8b90922bd4c50" /><Relationship Type="http://schemas.openxmlformats.org/officeDocument/2006/relationships/image" Target="/xl/media/image2687.jpg" Id="Rfff0fda76f214649" /><Relationship Type="http://schemas.openxmlformats.org/officeDocument/2006/relationships/image" Target="/xl/media/image2688.jpg" Id="R55a7518ecc9f44e0" /><Relationship Type="http://schemas.openxmlformats.org/officeDocument/2006/relationships/image" Target="/xl/media/image2689.jpg" Id="Raa6dd3500a6e43ca" /><Relationship Type="http://schemas.openxmlformats.org/officeDocument/2006/relationships/image" Target="/xl/media/image2690.jpg" Id="R08b15f56afa2427d" /><Relationship Type="http://schemas.openxmlformats.org/officeDocument/2006/relationships/image" Target="/xl/media/image2691.jpg" Id="R844c42f70ed74be5" /><Relationship Type="http://schemas.openxmlformats.org/officeDocument/2006/relationships/image" Target="/xl/media/image2692.jpg" Id="R082ce786412742d4" /><Relationship Type="http://schemas.openxmlformats.org/officeDocument/2006/relationships/image" Target="/xl/media/image2693.jpg" Id="Rca5fa4ba3ba442c3" /><Relationship Type="http://schemas.openxmlformats.org/officeDocument/2006/relationships/image" Target="/xl/media/image2694.jpg" Id="R41846cc52cae428e" /><Relationship Type="http://schemas.openxmlformats.org/officeDocument/2006/relationships/image" Target="/xl/media/image2695.jpg" Id="R3bd400ed9ff84b3d" /><Relationship Type="http://schemas.openxmlformats.org/officeDocument/2006/relationships/image" Target="/xl/media/image2696.jpg" Id="R97f8d0e5e6be413b" /><Relationship Type="http://schemas.openxmlformats.org/officeDocument/2006/relationships/image" Target="/xl/media/image2697.jpg" Id="R198329e46d6d4f33" /><Relationship Type="http://schemas.openxmlformats.org/officeDocument/2006/relationships/image" Target="/xl/media/image2698.jpg" Id="R863a33de455a4604" /><Relationship Type="http://schemas.openxmlformats.org/officeDocument/2006/relationships/image" Target="/xl/media/image2699.jpg" Id="Rd5f1d3e0cb7742df" /><Relationship Type="http://schemas.openxmlformats.org/officeDocument/2006/relationships/image" Target="/xl/media/image2700.jpg" Id="R44e1948e25ff440b" /><Relationship Type="http://schemas.openxmlformats.org/officeDocument/2006/relationships/image" Target="/xl/media/image2701.jpg" Id="R21377d44c993470e" /><Relationship Type="http://schemas.openxmlformats.org/officeDocument/2006/relationships/image" Target="/xl/media/image2702.jpg" Id="R780c59d25b0f40b0" /><Relationship Type="http://schemas.openxmlformats.org/officeDocument/2006/relationships/image" Target="/xl/media/image2703.jpg" Id="R19986d6c729f4366" /><Relationship Type="http://schemas.openxmlformats.org/officeDocument/2006/relationships/image" Target="/xl/media/image2704.jpg" Id="Rde6c3dc6c3434b67" /><Relationship Type="http://schemas.openxmlformats.org/officeDocument/2006/relationships/image" Target="/xl/media/image2705.jpg" Id="R35723076b8964b2c" /><Relationship Type="http://schemas.openxmlformats.org/officeDocument/2006/relationships/image" Target="/xl/media/image2706.jpg" Id="Ree25001beabe4bad" /><Relationship Type="http://schemas.openxmlformats.org/officeDocument/2006/relationships/image" Target="/xl/media/image2707.jpg" Id="Ra56679d6d6a94ddc" /><Relationship Type="http://schemas.openxmlformats.org/officeDocument/2006/relationships/image" Target="/xl/media/image2708.jpg" Id="R24c7b06a73ce4ac8" /><Relationship Type="http://schemas.openxmlformats.org/officeDocument/2006/relationships/image" Target="/xl/media/image2709.jpg" Id="Rb6c876d47e4b4187" /><Relationship Type="http://schemas.openxmlformats.org/officeDocument/2006/relationships/image" Target="/xl/media/image2710.jpg" Id="Red6ccbfa5be4441d" /><Relationship Type="http://schemas.openxmlformats.org/officeDocument/2006/relationships/image" Target="/xl/media/image2711.jpg" Id="R1b9ed4b7b68d4980" /><Relationship Type="http://schemas.openxmlformats.org/officeDocument/2006/relationships/image" Target="/xl/media/image2712.jpg" Id="Raca93ebda8dc404a" /><Relationship Type="http://schemas.openxmlformats.org/officeDocument/2006/relationships/image" Target="/xl/media/image2713.jpg" Id="R00429a49c6e0446c" /><Relationship Type="http://schemas.openxmlformats.org/officeDocument/2006/relationships/image" Target="/xl/media/image2714.jpg" Id="R394c567f983344ee" /><Relationship Type="http://schemas.openxmlformats.org/officeDocument/2006/relationships/image" Target="/xl/media/image2715.jpg" Id="Raa7a6c7d03ae401b" /><Relationship Type="http://schemas.openxmlformats.org/officeDocument/2006/relationships/image" Target="/xl/media/image2716.jpg" Id="R355ce17d7ceb4019" /><Relationship Type="http://schemas.openxmlformats.org/officeDocument/2006/relationships/image" Target="/xl/media/image2717.jpg" Id="R0af8051ee1084183" /><Relationship Type="http://schemas.openxmlformats.org/officeDocument/2006/relationships/image" Target="/xl/media/image2718.jpg" Id="Re0a5dfcc4b8f4cbd" /><Relationship Type="http://schemas.openxmlformats.org/officeDocument/2006/relationships/image" Target="/xl/media/image2719.jpg" Id="Rf451b8e52c9e47d0" /><Relationship Type="http://schemas.openxmlformats.org/officeDocument/2006/relationships/image" Target="/xl/media/image2720.jpg" Id="Rbeeb85b747494ea1" /><Relationship Type="http://schemas.openxmlformats.org/officeDocument/2006/relationships/image" Target="/xl/media/image2721.jpg" Id="R2642291df6d54c0c" /><Relationship Type="http://schemas.openxmlformats.org/officeDocument/2006/relationships/image" Target="/xl/media/image2722.jpg" Id="Ra0489e5132984f64" /><Relationship Type="http://schemas.openxmlformats.org/officeDocument/2006/relationships/image" Target="/xl/media/image2723.jpg" Id="Rda5283387e33461d" /><Relationship Type="http://schemas.openxmlformats.org/officeDocument/2006/relationships/image" Target="/xl/media/image2724.jpg" Id="R93be08c699154054" /><Relationship Type="http://schemas.openxmlformats.org/officeDocument/2006/relationships/image" Target="/xl/media/image2725.jpg" Id="R9f04fa1508c64b75" /><Relationship Type="http://schemas.openxmlformats.org/officeDocument/2006/relationships/image" Target="/xl/media/image2726.jpg" Id="R55228895a3604654" /><Relationship Type="http://schemas.openxmlformats.org/officeDocument/2006/relationships/image" Target="/xl/media/image2727.jpg" Id="R09be0684f7834967" /><Relationship Type="http://schemas.openxmlformats.org/officeDocument/2006/relationships/image" Target="/xl/media/image2728.jpg" Id="R83439c263a244b0f" /><Relationship Type="http://schemas.openxmlformats.org/officeDocument/2006/relationships/image" Target="/xl/media/image2729.jpg" Id="R9ef1bedc36194554" /><Relationship Type="http://schemas.openxmlformats.org/officeDocument/2006/relationships/image" Target="/xl/media/image2730.jpg" Id="R4d3bb270243f4ef1" /><Relationship Type="http://schemas.openxmlformats.org/officeDocument/2006/relationships/image" Target="/xl/media/image2731.jpg" Id="R4806b1f3957e4d17" /><Relationship Type="http://schemas.openxmlformats.org/officeDocument/2006/relationships/image" Target="/xl/media/image2732.jpg" Id="R81c6f044b13c44c7" /><Relationship Type="http://schemas.openxmlformats.org/officeDocument/2006/relationships/image" Target="/xl/media/image2733.jpg" Id="R241b08dd1c6a4dca" /><Relationship Type="http://schemas.openxmlformats.org/officeDocument/2006/relationships/image" Target="/xl/media/image2734.jpg" Id="R6ef30484c32b4d5e" /><Relationship Type="http://schemas.openxmlformats.org/officeDocument/2006/relationships/image" Target="/xl/media/image2735.jpg" Id="Rd204e0a2560444c1" /><Relationship Type="http://schemas.openxmlformats.org/officeDocument/2006/relationships/image" Target="/xl/media/image2736.jpg" Id="R7aeb6eeccc1043d0" /><Relationship Type="http://schemas.openxmlformats.org/officeDocument/2006/relationships/image" Target="/xl/media/image2737.jpg" Id="R100e1c9f608a4ee7" /><Relationship Type="http://schemas.openxmlformats.org/officeDocument/2006/relationships/image" Target="/xl/media/image2738.jpg" Id="Rf38dadfea10c49c6" /><Relationship Type="http://schemas.openxmlformats.org/officeDocument/2006/relationships/image" Target="/xl/media/image2739.jpg" Id="R0c49f242a6914c92" /><Relationship Type="http://schemas.openxmlformats.org/officeDocument/2006/relationships/image" Target="/xl/media/image2740.jpg" Id="R0edd2440eb7f471e" /><Relationship Type="http://schemas.openxmlformats.org/officeDocument/2006/relationships/image" Target="/xl/media/image2741.jpg" Id="R1db2495e341f4b48" /><Relationship Type="http://schemas.openxmlformats.org/officeDocument/2006/relationships/image" Target="/xl/media/image2742.jpg" Id="R4838437dbf7a45cc" /><Relationship Type="http://schemas.openxmlformats.org/officeDocument/2006/relationships/image" Target="/xl/media/image2743.jpg" Id="Rb3d9c287b744435e" /><Relationship Type="http://schemas.openxmlformats.org/officeDocument/2006/relationships/image" Target="/xl/media/image2744.jpg" Id="Rb8d1eaf5d67d4100" /><Relationship Type="http://schemas.openxmlformats.org/officeDocument/2006/relationships/image" Target="/xl/media/image2745.jpg" Id="R683d6f6d15f6481e" /><Relationship Type="http://schemas.openxmlformats.org/officeDocument/2006/relationships/image" Target="/xl/media/image2746.jpg" Id="R6582634ab4964658" /><Relationship Type="http://schemas.openxmlformats.org/officeDocument/2006/relationships/image" Target="/xl/media/image2747.jpg" Id="R4e9febda59b14104" /><Relationship Type="http://schemas.openxmlformats.org/officeDocument/2006/relationships/image" Target="/xl/media/image2748.jpg" Id="R9fb6b286b4634cdb" /><Relationship Type="http://schemas.openxmlformats.org/officeDocument/2006/relationships/image" Target="/xl/media/image2749.jpg" Id="R393af59e43be4af6" /><Relationship Type="http://schemas.openxmlformats.org/officeDocument/2006/relationships/image" Target="/xl/media/image2750.jpg" Id="Rd5f670a0ccf54e2e" /><Relationship Type="http://schemas.openxmlformats.org/officeDocument/2006/relationships/image" Target="/xl/media/image2751.jpg" Id="Re7e0b542c1534abd" /><Relationship Type="http://schemas.openxmlformats.org/officeDocument/2006/relationships/image" Target="/xl/media/image2752.jpg" Id="R2f20136288b8484d" /><Relationship Type="http://schemas.openxmlformats.org/officeDocument/2006/relationships/image" Target="/xl/media/image2753.jpg" Id="Rf0ddd06d82244776" /><Relationship Type="http://schemas.openxmlformats.org/officeDocument/2006/relationships/image" Target="/xl/media/image2754.jpg" Id="Rdc7e0f2b64c34534" /><Relationship Type="http://schemas.openxmlformats.org/officeDocument/2006/relationships/image" Target="/xl/media/image2755.jpg" Id="Rff743f570d344a13" /><Relationship Type="http://schemas.openxmlformats.org/officeDocument/2006/relationships/image" Target="/xl/media/image2756.jpg" Id="R7a7354c8224d455b" /><Relationship Type="http://schemas.openxmlformats.org/officeDocument/2006/relationships/image" Target="/xl/media/image2757.jpg" Id="R534ff7e2197c43b0" /><Relationship Type="http://schemas.openxmlformats.org/officeDocument/2006/relationships/image" Target="/xl/media/image2758.jpg" Id="R479ea1ef7e3d49a0" /><Relationship Type="http://schemas.openxmlformats.org/officeDocument/2006/relationships/image" Target="/xl/media/image2759.jpg" Id="R1c63d4b3903a48a8" /><Relationship Type="http://schemas.openxmlformats.org/officeDocument/2006/relationships/image" Target="/xl/media/image2760.jpg" Id="Rd1b1d8cdff62417f" /><Relationship Type="http://schemas.openxmlformats.org/officeDocument/2006/relationships/image" Target="/xl/media/image2761.jpg" Id="Ree14491f47f34974" /><Relationship Type="http://schemas.openxmlformats.org/officeDocument/2006/relationships/image" Target="/xl/media/image2762.jpg" Id="Rab02ca1922a447fa" /><Relationship Type="http://schemas.openxmlformats.org/officeDocument/2006/relationships/image" Target="/xl/media/image2763.jpg" Id="Rdde07870dee14ba2" /><Relationship Type="http://schemas.openxmlformats.org/officeDocument/2006/relationships/image" Target="/xl/media/image2764.jpg" Id="Rd7efe3b2ac0f49fb" /><Relationship Type="http://schemas.openxmlformats.org/officeDocument/2006/relationships/image" Target="/xl/media/image2765.jpg" Id="Rb2b0b955b6a241e7" /><Relationship Type="http://schemas.openxmlformats.org/officeDocument/2006/relationships/image" Target="/xl/media/image2766.jpg" Id="R33aa12f421f34a07" /><Relationship Type="http://schemas.openxmlformats.org/officeDocument/2006/relationships/image" Target="/xl/media/image2767.jpg" Id="Re3f6bc3078dc4d1f" /><Relationship Type="http://schemas.openxmlformats.org/officeDocument/2006/relationships/image" Target="/xl/media/image2768.jpg" Id="Rec682083d8814bb4" /><Relationship Type="http://schemas.openxmlformats.org/officeDocument/2006/relationships/image" Target="/xl/media/image2769.jpg" Id="Rcc106351b4064a50" /><Relationship Type="http://schemas.openxmlformats.org/officeDocument/2006/relationships/image" Target="/xl/media/image2770.jpg" Id="R38637a285bfa44d4" /><Relationship Type="http://schemas.openxmlformats.org/officeDocument/2006/relationships/image" Target="/xl/media/image2771.jpg" Id="R95234d447bda495c" /><Relationship Type="http://schemas.openxmlformats.org/officeDocument/2006/relationships/image" Target="/xl/media/image2772.jpg" Id="Rf0dd8c34319d476f" /><Relationship Type="http://schemas.openxmlformats.org/officeDocument/2006/relationships/image" Target="/xl/media/image2773.jpg" Id="R9dd03b6099f74362" /><Relationship Type="http://schemas.openxmlformats.org/officeDocument/2006/relationships/image" Target="/xl/media/image2774.jpg" Id="R6d91cbfe462342c4" /><Relationship Type="http://schemas.openxmlformats.org/officeDocument/2006/relationships/image" Target="/xl/media/image2775.jpg" Id="R1a00921361e54f34" /><Relationship Type="http://schemas.openxmlformats.org/officeDocument/2006/relationships/image" Target="/xl/media/image2776.jpg" Id="Rf85d0c01f0bd4d17" /><Relationship Type="http://schemas.openxmlformats.org/officeDocument/2006/relationships/image" Target="/xl/media/image2777.jpg" Id="R7e1d39b0bd314767" /><Relationship Type="http://schemas.openxmlformats.org/officeDocument/2006/relationships/image" Target="/xl/media/image2778.jpg" Id="R456d26a79def4993" /><Relationship Type="http://schemas.openxmlformats.org/officeDocument/2006/relationships/image" Target="/xl/media/image2779.jpg" Id="Rcf4dc8d9f97b421c" /><Relationship Type="http://schemas.openxmlformats.org/officeDocument/2006/relationships/image" Target="/xl/media/image2780.jpg" Id="Rdfc21be4f8694d9d" /><Relationship Type="http://schemas.openxmlformats.org/officeDocument/2006/relationships/image" Target="/xl/media/image2781.jpg" Id="R45f0dd72915d4c6d" /><Relationship Type="http://schemas.openxmlformats.org/officeDocument/2006/relationships/image" Target="/xl/media/image2782.jpg" Id="R51146cd8fc814b8e" /><Relationship Type="http://schemas.openxmlformats.org/officeDocument/2006/relationships/image" Target="/xl/media/image2783.jpg" Id="R8c7212b87f6c4388" /><Relationship Type="http://schemas.openxmlformats.org/officeDocument/2006/relationships/image" Target="/xl/media/image2784.jpg" Id="Ra479e73f930d486b" /><Relationship Type="http://schemas.openxmlformats.org/officeDocument/2006/relationships/image" Target="/xl/media/image2785.jpg" Id="Rcaf3496d991e4dd6" /><Relationship Type="http://schemas.openxmlformats.org/officeDocument/2006/relationships/image" Target="/xl/media/image2786.jpg" Id="R0c5b04c116c0435f" /><Relationship Type="http://schemas.openxmlformats.org/officeDocument/2006/relationships/image" Target="/xl/media/image2787.jpg" Id="R9ae470c0614d45a5" /><Relationship Type="http://schemas.openxmlformats.org/officeDocument/2006/relationships/image" Target="/xl/media/image2788.jpg" Id="R3439a6297d2e4e8e" /><Relationship Type="http://schemas.openxmlformats.org/officeDocument/2006/relationships/image" Target="/xl/media/image2789.jpg" Id="R856d3c763e424878" /><Relationship Type="http://schemas.openxmlformats.org/officeDocument/2006/relationships/image" Target="/xl/media/image2790.jpg" Id="R25cffef717814f69" /><Relationship Type="http://schemas.openxmlformats.org/officeDocument/2006/relationships/image" Target="/xl/media/image2791.jpg" Id="Rb8558188e6de457d" /><Relationship Type="http://schemas.openxmlformats.org/officeDocument/2006/relationships/image" Target="/xl/media/image2792.jpg" Id="R16f7330cfe4b4bf5" /><Relationship Type="http://schemas.openxmlformats.org/officeDocument/2006/relationships/image" Target="/xl/media/image2793.jpg" Id="R6ef8a003991d48b7" /><Relationship Type="http://schemas.openxmlformats.org/officeDocument/2006/relationships/image" Target="/xl/media/image2794.jpg" Id="R394f6e516513413b" /><Relationship Type="http://schemas.openxmlformats.org/officeDocument/2006/relationships/image" Target="/xl/media/image2795.jpg" Id="R65df4cbb8739456b" /><Relationship Type="http://schemas.openxmlformats.org/officeDocument/2006/relationships/image" Target="/xl/media/image2796.jpg" Id="R88239f5c84f0415f" /><Relationship Type="http://schemas.openxmlformats.org/officeDocument/2006/relationships/image" Target="/xl/media/image2797.jpg" Id="R463b811a22de4ff3" /><Relationship Type="http://schemas.openxmlformats.org/officeDocument/2006/relationships/image" Target="/xl/media/image2798.jpg" Id="R63a175efc6f545bd" /><Relationship Type="http://schemas.openxmlformats.org/officeDocument/2006/relationships/image" Target="/xl/media/image2799.jpg" Id="R764273aa5f304156" /><Relationship Type="http://schemas.openxmlformats.org/officeDocument/2006/relationships/image" Target="/xl/media/image2800.jpg" Id="R38ab06bc27c748c8" /><Relationship Type="http://schemas.openxmlformats.org/officeDocument/2006/relationships/image" Target="/xl/media/image2801.jpg" Id="R86b1b18fc35a44f8" /><Relationship Type="http://schemas.openxmlformats.org/officeDocument/2006/relationships/image" Target="/xl/media/image2802.jpg" Id="Rdee0e96089824d64" /><Relationship Type="http://schemas.openxmlformats.org/officeDocument/2006/relationships/image" Target="/xl/media/image2803.jpg" Id="Rf0f9560add7349f3" /><Relationship Type="http://schemas.openxmlformats.org/officeDocument/2006/relationships/image" Target="/xl/media/image2804.jpg" Id="R89207def186c4343" /><Relationship Type="http://schemas.openxmlformats.org/officeDocument/2006/relationships/image" Target="/xl/media/image2805.jpg" Id="R2b6a24c0b7e84503" /><Relationship Type="http://schemas.openxmlformats.org/officeDocument/2006/relationships/image" Target="/xl/media/image2806.jpg" Id="Rb341f0bd91b64f34" /><Relationship Type="http://schemas.openxmlformats.org/officeDocument/2006/relationships/image" Target="/xl/media/image2807.jpg" Id="R087bebcd38544f88" /><Relationship Type="http://schemas.openxmlformats.org/officeDocument/2006/relationships/image" Target="/xl/media/image2808.jpg" Id="Rbf460a25fb554527" /><Relationship Type="http://schemas.openxmlformats.org/officeDocument/2006/relationships/image" Target="/xl/media/image2809.jpg" Id="R3622ac7cb48c464b" /><Relationship Type="http://schemas.openxmlformats.org/officeDocument/2006/relationships/image" Target="/xl/media/image2810.jpg" Id="Ra79b08f26d594bb7" /><Relationship Type="http://schemas.openxmlformats.org/officeDocument/2006/relationships/image" Target="/xl/media/image2811.jpg" Id="R86c0b3735a5a473a" /><Relationship Type="http://schemas.openxmlformats.org/officeDocument/2006/relationships/image" Target="/xl/media/image2812.jpg" Id="R1195f59821a842ed" /><Relationship Type="http://schemas.openxmlformats.org/officeDocument/2006/relationships/image" Target="/xl/media/image2813.jpg" Id="R5c6dc4b4c8364c70" /><Relationship Type="http://schemas.openxmlformats.org/officeDocument/2006/relationships/image" Target="/xl/media/image2814.jpg" Id="Ra6eed2ca3cf24e89" /><Relationship Type="http://schemas.openxmlformats.org/officeDocument/2006/relationships/image" Target="/xl/media/image2815.jpg" Id="Rfea58daea225489a" /><Relationship Type="http://schemas.openxmlformats.org/officeDocument/2006/relationships/image" Target="/xl/media/image2816.jpg" Id="R7191a285952641f7" /><Relationship Type="http://schemas.openxmlformats.org/officeDocument/2006/relationships/image" Target="/xl/media/image2817.jpg" Id="R27ab7ef255b94dbf" /><Relationship Type="http://schemas.openxmlformats.org/officeDocument/2006/relationships/image" Target="/xl/media/image2818.jpg" Id="R572f1bea375e4b69" /><Relationship Type="http://schemas.openxmlformats.org/officeDocument/2006/relationships/image" Target="/xl/media/image2819.jpg" Id="R1a7831663e7e4fc8" /><Relationship Type="http://schemas.openxmlformats.org/officeDocument/2006/relationships/image" Target="/xl/media/image2820.jpg" Id="Ra7d8d0b6880f4796" /><Relationship Type="http://schemas.openxmlformats.org/officeDocument/2006/relationships/image" Target="/xl/media/image2821.jpg" Id="R1688bc3fa9a045d8" /><Relationship Type="http://schemas.openxmlformats.org/officeDocument/2006/relationships/image" Target="/xl/media/image2822.jpg" Id="Ra1f04181b708421c" /><Relationship Type="http://schemas.openxmlformats.org/officeDocument/2006/relationships/image" Target="/xl/media/image2823.jpg" Id="R4e477ac4a61c4137" /><Relationship Type="http://schemas.openxmlformats.org/officeDocument/2006/relationships/image" Target="/xl/media/image2824.jpg" Id="Rf1dcdb4b7d4244f3" /><Relationship Type="http://schemas.openxmlformats.org/officeDocument/2006/relationships/image" Target="/xl/media/image2825.jpg" Id="Rff053985934c4d78" /><Relationship Type="http://schemas.openxmlformats.org/officeDocument/2006/relationships/image" Target="/xl/media/image2826.jpg" Id="R46808a482ca24ca4" /><Relationship Type="http://schemas.openxmlformats.org/officeDocument/2006/relationships/image" Target="/xl/media/image2827.jpg" Id="R378469fcba864800" /><Relationship Type="http://schemas.openxmlformats.org/officeDocument/2006/relationships/image" Target="/xl/media/image2828.jpg" Id="R1497143baa0f4ad5" /><Relationship Type="http://schemas.openxmlformats.org/officeDocument/2006/relationships/image" Target="/xl/media/image2829.jpg" Id="R09c248256f45497c" /><Relationship Type="http://schemas.openxmlformats.org/officeDocument/2006/relationships/image" Target="/xl/media/image2830.jpg" Id="R2206d6178ed940bf" /><Relationship Type="http://schemas.openxmlformats.org/officeDocument/2006/relationships/image" Target="/xl/media/image2831.jpg" Id="Ra7ef59098ed04af9" /><Relationship Type="http://schemas.openxmlformats.org/officeDocument/2006/relationships/image" Target="/xl/media/image2832.jpg" Id="R936543591c604382" /><Relationship Type="http://schemas.openxmlformats.org/officeDocument/2006/relationships/image" Target="/xl/media/image2833.jpg" Id="Rc9d1787a96db4b8d" /><Relationship Type="http://schemas.openxmlformats.org/officeDocument/2006/relationships/image" Target="/xl/media/image2834.jpg" Id="R714cc6ad3fe34398" /><Relationship Type="http://schemas.openxmlformats.org/officeDocument/2006/relationships/image" Target="/xl/media/image2835.jpg" Id="R40a4e654baf349fc" /><Relationship Type="http://schemas.openxmlformats.org/officeDocument/2006/relationships/image" Target="/xl/media/image2836.jpg" Id="Rf0aaa404c0e8449c" /><Relationship Type="http://schemas.openxmlformats.org/officeDocument/2006/relationships/image" Target="/xl/media/image2837.jpg" Id="R18b0ebbccc0b4fbf" /><Relationship Type="http://schemas.openxmlformats.org/officeDocument/2006/relationships/image" Target="/xl/media/image2838.jpg" Id="Rb7dc21b93dcc4fe6" /><Relationship Type="http://schemas.openxmlformats.org/officeDocument/2006/relationships/image" Target="/xl/media/image2839.jpg" Id="R1026a209afc742ef" /><Relationship Type="http://schemas.openxmlformats.org/officeDocument/2006/relationships/image" Target="/xl/media/image2840.jpg" Id="R06d9a125a93c4f20" /><Relationship Type="http://schemas.openxmlformats.org/officeDocument/2006/relationships/image" Target="/xl/media/image2841.jpg" Id="R3066d44edc8d4844" /><Relationship Type="http://schemas.openxmlformats.org/officeDocument/2006/relationships/image" Target="/xl/media/image2842.jpg" Id="R70d4387a384c4dc7" /><Relationship Type="http://schemas.openxmlformats.org/officeDocument/2006/relationships/image" Target="/xl/media/image2843.jpg" Id="R6085df904dfc4733" /><Relationship Type="http://schemas.openxmlformats.org/officeDocument/2006/relationships/image" Target="/xl/media/image2844.jpg" Id="R7cfaa497b8f84fa7" /><Relationship Type="http://schemas.openxmlformats.org/officeDocument/2006/relationships/image" Target="/xl/media/image2845.jpg" Id="Rbca1fe1031d54098" /><Relationship Type="http://schemas.openxmlformats.org/officeDocument/2006/relationships/image" Target="/xl/media/image2846.jpg" Id="R98bc8e12b2a24293" /><Relationship Type="http://schemas.openxmlformats.org/officeDocument/2006/relationships/image" Target="/xl/media/image2847.jpg" Id="Rc064653c4fe74041" /><Relationship Type="http://schemas.openxmlformats.org/officeDocument/2006/relationships/image" Target="/xl/media/image2848.jpg" Id="R3201f72097bc4aef" /><Relationship Type="http://schemas.openxmlformats.org/officeDocument/2006/relationships/image" Target="/xl/media/image2849.jpg" Id="R347631a4d034464b" /><Relationship Type="http://schemas.openxmlformats.org/officeDocument/2006/relationships/image" Target="/xl/media/image2850.jpg" Id="R1bbaf7d679ce4159" /><Relationship Type="http://schemas.openxmlformats.org/officeDocument/2006/relationships/image" Target="/xl/media/image2851.jpg" Id="R7ddbf5ec29e9421d" /><Relationship Type="http://schemas.openxmlformats.org/officeDocument/2006/relationships/image" Target="/xl/media/image2852.jpg" Id="Rc69aa1c94bf84c4b" /><Relationship Type="http://schemas.openxmlformats.org/officeDocument/2006/relationships/image" Target="/xl/media/image2853.jpg" Id="R17b152f6c67f458c" /><Relationship Type="http://schemas.openxmlformats.org/officeDocument/2006/relationships/image" Target="/xl/media/image2854.jpg" Id="Ref2665f1bd2d45a9" /><Relationship Type="http://schemas.openxmlformats.org/officeDocument/2006/relationships/image" Target="/xl/media/image2855.jpg" Id="R1be5eddc20864a46" /><Relationship Type="http://schemas.openxmlformats.org/officeDocument/2006/relationships/image" Target="/xl/media/image2856.jpg" Id="R0d7c1db32bd4449d" /><Relationship Type="http://schemas.openxmlformats.org/officeDocument/2006/relationships/image" Target="/xl/media/image2857.jpg" Id="R16df23b3017e4e84" /><Relationship Type="http://schemas.openxmlformats.org/officeDocument/2006/relationships/image" Target="/xl/media/image2858.jpg" Id="Re56b824420534734" /><Relationship Type="http://schemas.openxmlformats.org/officeDocument/2006/relationships/image" Target="/xl/media/image2859.jpg" Id="Rb33563796fe84eb2" /><Relationship Type="http://schemas.openxmlformats.org/officeDocument/2006/relationships/image" Target="/xl/media/image2860.jpg" Id="Rd7cc91fd682942da" /><Relationship Type="http://schemas.openxmlformats.org/officeDocument/2006/relationships/image" Target="/xl/media/image2861.jpg" Id="Ra465633fff904dbf" /><Relationship Type="http://schemas.openxmlformats.org/officeDocument/2006/relationships/image" Target="/xl/media/image2862.jpg" Id="Rb8d7c0046be44925" /><Relationship Type="http://schemas.openxmlformats.org/officeDocument/2006/relationships/image" Target="/xl/media/image2863.jpg" Id="R0dfbd6a9c1484568" /><Relationship Type="http://schemas.openxmlformats.org/officeDocument/2006/relationships/image" Target="/xl/media/image2864.jpg" Id="R68e500d1a351491e" /><Relationship Type="http://schemas.openxmlformats.org/officeDocument/2006/relationships/image" Target="/xl/media/image2865.jpg" Id="R2c985eb680ec4183" /><Relationship Type="http://schemas.openxmlformats.org/officeDocument/2006/relationships/image" Target="/xl/media/image2866.jpg" Id="R04115e62ea4a4328" /><Relationship Type="http://schemas.openxmlformats.org/officeDocument/2006/relationships/image" Target="/xl/media/image2867.jpg" Id="R043bc78cc411410f" /><Relationship Type="http://schemas.openxmlformats.org/officeDocument/2006/relationships/image" Target="/xl/media/image2868.jpg" Id="R4d241eb20be5452f" /><Relationship Type="http://schemas.openxmlformats.org/officeDocument/2006/relationships/image" Target="/xl/media/image2869.jpg" Id="R8008da42db7f40a0" /><Relationship Type="http://schemas.openxmlformats.org/officeDocument/2006/relationships/image" Target="/xl/media/image2870.jpg" Id="R6bbdda495efa4ccd" /><Relationship Type="http://schemas.openxmlformats.org/officeDocument/2006/relationships/image" Target="/xl/media/image2871.jpg" Id="Rf569dc06418f4054" /><Relationship Type="http://schemas.openxmlformats.org/officeDocument/2006/relationships/image" Target="/xl/media/image2872.jpg" Id="Rfe01e3f0c6c545d5" /><Relationship Type="http://schemas.openxmlformats.org/officeDocument/2006/relationships/image" Target="/xl/media/image2873.jpg" Id="R79cbf91086344b20" /><Relationship Type="http://schemas.openxmlformats.org/officeDocument/2006/relationships/image" Target="/xl/media/image2874.jpg" Id="R912e2d9541e04b3d" /><Relationship Type="http://schemas.openxmlformats.org/officeDocument/2006/relationships/image" Target="/xl/media/image2875.jpg" Id="R89cde17776654e8e" /><Relationship Type="http://schemas.openxmlformats.org/officeDocument/2006/relationships/image" Target="/xl/media/image2876.jpg" Id="Rdbe5e42c0bca43eb" /><Relationship Type="http://schemas.openxmlformats.org/officeDocument/2006/relationships/image" Target="/xl/media/image2877.jpg" Id="Rcf89792a712444a3" /><Relationship Type="http://schemas.openxmlformats.org/officeDocument/2006/relationships/image" Target="/xl/media/image2878.jpg" Id="R2972c9bd3c3e41ac" /><Relationship Type="http://schemas.openxmlformats.org/officeDocument/2006/relationships/image" Target="/xl/media/image2879.jpg" Id="R2c077e8e6b3a49f9" /><Relationship Type="http://schemas.openxmlformats.org/officeDocument/2006/relationships/image" Target="/xl/media/image2880.jpg" Id="R14846480ea34496e" /><Relationship Type="http://schemas.openxmlformats.org/officeDocument/2006/relationships/image" Target="/xl/media/image2881.jpg" Id="R27c712ba0b7849c6" /><Relationship Type="http://schemas.openxmlformats.org/officeDocument/2006/relationships/image" Target="/xl/media/image2882.jpg" Id="R95e9df51506e4f4e" /><Relationship Type="http://schemas.openxmlformats.org/officeDocument/2006/relationships/image" Target="/xl/media/image2883.jpg" Id="Re59b180955aa46f2" /><Relationship Type="http://schemas.openxmlformats.org/officeDocument/2006/relationships/image" Target="/xl/media/image2884.jpg" Id="Rd446fc8cecd94506" /><Relationship Type="http://schemas.openxmlformats.org/officeDocument/2006/relationships/image" Target="/xl/media/image2885.jpg" Id="Reccff4aa2e6e4fb2" /><Relationship Type="http://schemas.openxmlformats.org/officeDocument/2006/relationships/image" Target="/xl/media/image2886.jpg" Id="R2e35838e810a471f" /><Relationship Type="http://schemas.openxmlformats.org/officeDocument/2006/relationships/image" Target="/xl/media/image2887.jpg" Id="R58ec6f1df70449cf" /><Relationship Type="http://schemas.openxmlformats.org/officeDocument/2006/relationships/image" Target="/xl/media/image2888.jpg" Id="R23be72e81f50485f" /><Relationship Type="http://schemas.openxmlformats.org/officeDocument/2006/relationships/image" Target="/xl/media/image2889.jpg" Id="Rd27d00d63df24aa5" /><Relationship Type="http://schemas.openxmlformats.org/officeDocument/2006/relationships/image" Target="/xl/media/image2890.jpg" Id="R64e7e733e2ba49c5" /><Relationship Type="http://schemas.openxmlformats.org/officeDocument/2006/relationships/image" Target="/xl/media/image2891.jpg" Id="R85d160d7dee34fbc" /><Relationship Type="http://schemas.openxmlformats.org/officeDocument/2006/relationships/image" Target="/xl/media/image2892.jpg" Id="Rfed6d236ce7746b6" /><Relationship Type="http://schemas.openxmlformats.org/officeDocument/2006/relationships/image" Target="/xl/media/image2893.jpg" Id="R3435f7239a9c4c9f" /><Relationship Type="http://schemas.openxmlformats.org/officeDocument/2006/relationships/image" Target="/xl/media/image2894.jpg" Id="Re840b10b707e46b0" /><Relationship Type="http://schemas.openxmlformats.org/officeDocument/2006/relationships/image" Target="/xl/media/image2895.jpg" Id="R75d570ed6c4e47ad" /><Relationship Type="http://schemas.openxmlformats.org/officeDocument/2006/relationships/image" Target="/xl/media/image2896.jpg" Id="Red6bb176a22e446d" /><Relationship Type="http://schemas.openxmlformats.org/officeDocument/2006/relationships/image" Target="/xl/media/image2897.jpg" Id="R22c7b9716cc9496c" /><Relationship Type="http://schemas.openxmlformats.org/officeDocument/2006/relationships/image" Target="/xl/media/image2898.jpg" Id="Rf502ad459d454bb3" /><Relationship Type="http://schemas.openxmlformats.org/officeDocument/2006/relationships/image" Target="/xl/media/image2899.jpg" Id="R1decee0cf57e43a1" /><Relationship Type="http://schemas.openxmlformats.org/officeDocument/2006/relationships/image" Target="/xl/media/image2900.jpg" Id="Rdd7d6d8152d848c9" /><Relationship Type="http://schemas.openxmlformats.org/officeDocument/2006/relationships/image" Target="/xl/media/image2901.jpg" Id="R96d9aeab66c7414e" /><Relationship Type="http://schemas.openxmlformats.org/officeDocument/2006/relationships/image" Target="/xl/media/image2902.jpg" Id="Red50474d3fcc4883" /><Relationship Type="http://schemas.openxmlformats.org/officeDocument/2006/relationships/image" Target="/xl/media/image2903.jpg" Id="Rda4db775db274011" /><Relationship Type="http://schemas.openxmlformats.org/officeDocument/2006/relationships/image" Target="/xl/media/image2904.jpg" Id="R6aa5559390154ca0" /><Relationship Type="http://schemas.openxmlformats.org/officeDocument/2006/relationships/image" Target="/xl/media/image2905.jpg" Id="R60b0735802a84642" /><Relationship Type="http://schemas.openxmlformats.org/officeDocument/2006/relationships/image" Target="/xl/media/image2906.jpg" Id="R2baa2404e69444a7" /><Relationship Type="http://schemas.openxmlformats.org/officeDocument/2006/relationships/image" Target="/xl/media/image2907.jpg" Id="R47b8bc1272c84154" /><Relationship Type="http://schemas.openxmlformats.org/officeDocument/2006/relationships/image" Target="/xl/media/image2908.jpg" Id="R333daa8873494195" /><Relationship Type="http://schemas.openxmlformats.org/officeDocument/2006/relationships/image" Target="/xl/media/image2909.jpg" Id="R56c6edd3a67d4f66" /><Relationship Type="http://schemas.openxmlformats.org/officeDocument/2006/relationships/image" Target="/xl/media/image2910.jpg" Id="Rf4f0d63c21294a9e" /><Relationship Type="http://schemas.openxmlformats.org/officeDocument/2006/relationships/image" Target="/xl/media/image2911.jpg" Id="Rb592731143284c2d" /><Relationship Type="http://schemas.openxmlformats.org/officeDocument/2006/relationships/image" Target="/xl/media/image2912.jpg" Id="R5ae9ca023c9a4881" /><Relationship Type="http://schemas.openxmlformats.org/officeDocument/2006/relationships/image" Target="/xl/media/image2913.jpg" Id="R6682553769ce4ebd" /><Relationship Type="http://schemas.openxmlformats.org/officeDocument/2006/relationships/image" Target="/xl/media/image2914.jpg" Id="Rc217810f0da34d79" /><Relationship Type="http://schemas.openxmlformats.org/officeDocument/2006/relationships/image" Target="/xl/media/image2915.jpg" Id="Ra9ccf9b1917e4163" /><Relationship Type="http://schemas.openxmlformats.org/officeDocument/2006/relationships/image" Target="/xl/media/image2916.jpg" Id="R0957eb12f9304003" /><Relationship Type="http://schemas.openxmlformats.org/officeDocument/2006/relationships/image" Target="/xl/media/image2917.jpg" Id="Rec6b9b16c5e24a6e" /><Relationship Type="http://schemas.openxmlformats.org/officeDocument/2006/relationships/image" Target="/xl/media/image2918.jpg" Id="R0453c33539594ae7" /><Relationship Type="http://schemas.openxmlformats.org/officeDocument/2006/relationships/image" Target="/xl/media/image2919.jpg" Id="Rde9aea5e12cc4ed0" /><Relationship Type="http://schemas.openxmlformats.org/officeDocument/2006/relationships/image" Target="/xl/media/image2920.jpg" Id="Rc7c773bcc5f847eb" /><Relationship Type="http://schemas.openxmlformats.org/officeDocument/2006/relationships/image" Target="/xl/media/image2921.jpg" Id="R6faa41c89970480f" /><Relationship Type="http://schemas.openxmlformats.org/officeDocument/2006/relationships/image" Target="/xl/media/image2922.jpg" Id="R9e9bb426977b4018" /><Relationship Type="http://schemas.openxmlformats.org/officeDocument/2006/relationships/image" Target="/xl/media/image2923.jpg" Id="Rd50144f03a204063" /><Relationship Type="http://schemas.openxmlformats.org/officeDocument/2006/relationships/image" Target="/xl/media/image2924.jpg" Id="R2402b33148ae470e" /><Relationship Type="http://schemas.openxmlformats.org/officeDocument/2006/relationships/image" Target="/xl/media/image2925.jpg" Id="R3c4898ea179944c9" /><Relationship Type="http://schemas.openxmlformats.org/officeDocument/2006/relationships/image" Target="/xl/media/image2926.jpg" Id="R5eaeb11024654f5a" /><Relationship Type="http://schemas.openxmlformats.org/officeDocument/2006/relationships/image" Target="/xl/media/image2927.jpg" Id="R657edfe5be774ed5" /><Relationship Type="http://schemas.openxmlformats.org/officeDocument/2006/relationships/image" Target="/xl/media/image2928.jpg" Id="R31700268e6b74d81" /><Relationship Type="http://schemas.openxmlformats.org/officeDocument/2006/relationships/image" Target="/xl/media/image2929.jpg" Id="Ra9036875580c4189" /><Relationship Type="http://schemas.openxmlformats.org/officeDocument/2006/relationships/image" Target="/xl/media/image2930.jpg" Id="Re070cacb459742bc" /><Relationship Type="http://schemas.openxmlformats.org/officeDocument/2006/relationships/image" Target="/xl/media/image2931.jpg" Id="R5c2f03781c0b42ce" /><Relationship Type="http://schemas.openxmlformats.org/officeDocument/2006/relationships/image" Target="/xl/media/image2932.jpg" Id="R302dfc5b3e134777" /><Relationship Type="http://schemas.openxmlformats.org/officeDocument/2006/relationships/image" Target="/xl/media/image2933.jpg" Id="R22708b18162c4052" /><Relationship Type="http://schemas.openxmlformats.org/officeDocument/2006/relationships/image" Target="/xl/media/image2934.jpg" Id="R277991972fcb4d3f" /><Relationship Type="http://schemas.openxmlformats.org/officeDocument/2006/relationships/image" Target="/xl/media/image2935.jpg" Id="R377f71bff01b46e7" /><Relationship Type="http://schemas.openxmlformats.org/officeDocument/2006/relationships/image" Target="/xl/media/image2936.jpg" Id="Rdae954bab6d34f11" /><Relationship Type="http://schemas.openxmlformats.org/officeDocument/2006/relationships/image" Target="/xl/media/image2937.jpg" Id="Re3027e5ed614443c" /><Relationship Type="http://schemas.openxmlformats.org/officeDocument/2006/relationships/image" Target="/xl/media/image2938.jpg" Id="R1b1132e356d54db7" /><Relationship Type="http://schemas.openxmlformats.org/officeDocument/2006/relationships/image" Target="/xl/media/image2939.jpg" Id="R9a81644aa8064845" /><Relationship Type="http://schemas.openxmlformats.org/officeDocument/2006/relationships/image" Target="/xl/media/image2940.jpg" Id="Rade0fe923dce47a3" /><Relationship Type="http://schemas.openxmlformats.org/officeDocument/2006/relationships/image" Target="/xl/media/image2941.jpg" Id="R021fcefb4d6f4e00" /><Relationship Type="http://schemas.openxmlformats.org/officeDocument/2006/relationships/image" Target="/xl/media/image2942.jpg" Id="Rd2235c2f14564bc6" /><Relationship Type="http://schemas.openxmlformats.org/officeDocument/2006/relationships/image" Target="/xl/media/image2943.jpg" Id="R0c148d40d7ff4189" /><Relationship Type="http://schemas.openxmlformats.org/officeDocument/2006/relationships/image" Target="/xl/media/image2944.jpg" Id="Rb3d2ab6c35a448a0" /><Relationship Type="http://schemas.openxmlformats.org/officeDocument/2006/relationships/image" Target="/xl/media/image2945.jpg" Id="Rde5a706ad66c4da9" /><Relationship Type="http://schemas.openxmlformats.org/officeDocument/2006/relationships/image" Target="/xl/media/image2946.jpg" Id="R75c880291c034724" /><Relationship Type="http://schemas.openxmlformats.org/officeDocument/2006/relationships/image" Target="/xl/media/image2947.jpg" Id="Rbb671864d07b44f5" /><Relationship Type="http://schemas.openxmlformats.org/officeDocument/2006/relationships/image" Target="/xl/media/image2948.jpg" Id="Rca198fa9a9a54ce7" /><Relationship Type="http://schemas.openxmlformats.org/officeDocument/2006/relationships/image" Target="/xl/media/image2949.jpg" Id="R85b510b2c2724ef9" /><Relationship Type="http://schemas.openxmlformats.org/officeDocument/2006/relationships/image" Target="/xl/media/image2950.jpg" Id="Rd2b13dfa32254965" /><Relationship Type="http://schemas.openxmlformats.org/officeDocument/2006/relationships/image" Target="/xl/media/image2951.jpg" Id="Rf97352506c04475b" /><Relationship Type="http://schemas.openxmlformats.org/officeDocument/2006/relationships/image" Target="/xl/media/image2952.jpg" Id="R920c7b2bee254f9a" /><Relationship Type="http://schemas.openxmlformats.org/officeDocument/2006/relationships/image" Target="/xl/media/image2953.jpg" Id="R5fa21846ad82416b" /><Relationship Type="http://schemas.openxmlformats.org/officeDocument/2006/relationships/image" Target="/xl/media/image2954.jpg" Id="Rc0430d4fc0f64234" /><Relationship Type="http://schemas.openxmlformats.org/officeDocument/2006/relationships/image" Target="/xl/media/image2955.jpg" Id="R67de67276a6a4108" /><Relationship Type="http://schemas.openxmlformats.org/officeDocument/2006/relationships/image" Target="/xl/media/image2956.jpg" Id="R173debf3e29f4fa3" /><Relationship Type="http://schemas.openxmlformats.org/officeDocument/2006/relationships/image" Target="/xl/media/image2957.jpg" Id="R81f46142288e4ab6" /><Relationship Type="http://schemas.openxmlformats.org/officeDocument/2006/relationships/image" Target="/xl/media/image2958.jpg" Id="Re360409ac7a2485f" /><Relationship Type="http://schemas.openxmlformats.org/officeDocument/2006/relationships/image" Target="/xl/media/image2959.jpg" Id="R2f40cd323d9746ea" /><Relationship Type="http://schemas.openxmlformats.org/officeDocument/2006/relationships/image" Target="/xl/media/image2960.jpg" Id="R7fa2afe2a5e647d6" /><Relationship Type="http://schemas.openxmlformats.org/officeDocument/2006/relationships/image" Target="/xl/media/image2961.jpg" Id="Rcebc148a955d433a" /><Relationship Type="http://schemas.openxmlformats.org/officeDocument/2006/relationships/image" Target="/xl/media/image2962.jpg" Id="R47f6062994fa4726" /><Relationship Type="http://schemas.openxmlformats.org/officeDocument/2006/relationships/image" Target="/xl/media/image2963.jpg" Id="R639326689a66453f" /><Relationship Type="http://schemas.openxmlformats.org/officeDocument/2006/relationships/image" Target="/xl/media/image2964.jpg" Id="R1861784b00bd47c8" /><Relationship Type="http://schemas.openxmlformats.org/officeDocument/2006/relationships/image" Target="/xl/media/image2965.jpg" Id="R3bf7a2c428b742d3" /><Relationship Type="http://schemas.openxmlformats.org/officeDocument/2006/relationships/image" Target="/xl/media/image2966.jpg" Id="R56bcc3465a4d40cf" /><Relationship Type="http://schemas.openxmlformats.org/officeDocument/2006/relationships/image" Target="/xl/media/image2967.jpg" Id="Rcbda8709dcd248f3" /><Relationship Type="http://schemas.openxmlformats.org/officeDocument/2006/relationships/image" Target="/xl/media/image2968.jpg" Id="R4e761ed5bd2744d4" /><Relationship Type="http://schemas.openxmlformats.org/officeDocument/2006/relationships/image" Target="/xl/media/image2969.jpg" Id="R8005750486f545ec" /><Relationship Type="http://schemas.openxmlformats.org/officeDocument/2006/relationships/image" Target="/xl/media/image2970.jpg" Id="R29d2f85fea78453c" /><Relationship Type="http://schemas.openxmlformats.org/officeDocument/2006/relationships/image" Target="/xl/media/image2971.jpg" Id="R91c56b55040542be" /><Relationship Type="http://schemas.openxmlformats.org/officeDocument/2006/relationships/image" Target="/xl/media/image2972.jpg" Id="Rc257cb627f4949c0" /><Relationship Type="http://schemas.openxmlformats.org/officeDocument/2006/relationships/image" Target="/xl/media/image2973.jpg" Id="Rdbce2da1a8994ed7" /><Relationship Type="http://schemas.openxmlformats.org/officeDocument/2006/relationships/image" Target="/xl/media/image2974.jpg" Id="R3fc5a7e176a44e9e" /><Relationship Type="http://schemas.openxmlformats.org/officeDocument/2006/relationships/image" Target="/xl/media/image2975.jpg" Id="R137f7156468f48b6" /><Relationship Type="http://schemas.openxmlformats.org/officeDocument/2006/relationships/image" Target="/xl/media/image2976.jpg" Id="R92562de755c14abb" /><Relationship Type="http://schemas.openxmlformats.org/officeDocument/2006/relationships/image" Target="/xl/media/image2977.jpg" Id="Rc63c9b019d6f416c" /><Relationship Type="http://schemas.openxmlformats.org/officeDocument/2006/relationships/image" Target="/xl/media/image2978.jpg" Id="R9ad8bed039834aae" /><Relationship Type="http://schemas.openxmlformats.org/officeDocument/2006/relationships/image" Target="/xl/media/image2979.jpg" Id="R411fad6bb17c4e19" /><Relationship Type="http://schemas.openxmlformats.org/officeDocument/2006/relationships/image" Target="/xl/media/image2980.jpg" Id="R0f6a9716e5c84ad2" /><Relationship Type="http://schemas.openxmlformats.org/officeDocument/2006/relationships/image" Target="/xl/media/image2981.jpg" Id="R1855efe5c2cf483e" /><Relationship Type="http://schemas.openxmlformats.org/officeDocument/2006/relationships/image" Target="/xl/media/image2982.jpg" Id="R679cc51790c44778" /><Relationship Type="http://schemas.openxmlformats.org/officeDocument/2006/relationships/image" Target="/xl/media/image2983.jpg" Id="Rf37731069d2b455a" /><Relationship Type="http://schemas.openxmlformats.org/officeDocument/2006/relationships/image" Target="/xl/media/image2984.jpg" Id="Reae3836b5c4140f2" /><Relationship Type="http://schemas.openxmlformats.org/officeDocument/2006/relationships/image" Target="/xl/media/image2985.jpg" Id="Re90ea9ee35054b54" /><Relationship Type="http://schemas.openxmlformats.org/officeDocument/2006/relationships/image" Target="/xl/media/image2986.jpg" Id="R220660c7d4bf4814" /><Relationship Type="http://schemas.openxmlformats.org/officeDocument/2006/relationships/image" Target="/xl/media/image2987.jpg" Id="Rf577c36601fa4812" /><Relationship Type="http://schemas.openxmlformats.org/officeDocument/2006/relationships/image" Target="/xl/media/image2988.jpg" Id="Rdb0ce746e9d24b5c" /><Relationship Type="http://schemas.openxmlformats.org/officeDocument/2006/relationships/image" Target="/xl/media/image2989.jpg" Id="Rd626925d23424bec" /><Relationship Type="http://schemas.openxmlformats.org/officeDocument/2006/relationships/image" Target="/xl/media/image2990.jpg" Id="Ra9847b208e9b4446" /><Relationship Type="http://schemas.openxmlformats.org/officeDocument/2006/relationships/image" Target="/xl/media/image2991.jpg" Id="R7a857c77d91e46d6" /><Relationship Type="http://schemas.openxmlformats.org/officeDocument/2006/relationships/image" Target="/xl/media/image2992.jpg" Id="R8a0cd8e8ac9d46c1" /><Relationship Type="http://schemas.openxmlformats.org/officeDocument/2006/relationships/image" Target="/xl/media/image2993.jpg" Id="Rbf4dda4942604929" /><Relationship Type="http://schemas.openxmlformats.org/officeDocument/2006/relationships/image" Target="/xl/media/image2994.jpg" Id="R283e9a7c0f5e4399" /><Relationship Type="http://schemas.openxmlformats.org/officeDocument/2006/relationships/image" Target="/xl/media/image2995.jpg" Id="R1feaef171e6d4b20" /><Relationship Type="http://schemas.openxmlformats.org/officeDocument/2006/relationships/image" Target="/xl/media/image2996.jpg" Id="Re89e74690ee04a1c" /><Relationship Type="http://schemas.openxmlformats.org/officeDocument/2006/relationships/image" Target="/xl/media/image2997.jpg" Id="R5ac9713f29bc4c16" /><Relationship Type="http://schemas.openxmlformats.org/officeDocument/2006/relationships/image" Target="/xl/media/image2998.jpg" Id="Ra7873df4322c403d" /><Relationship Type="http://schemas.openxmlformats.org/officeDocument/2006/relationships/image" Target="/xl/media/image2999.jpg" Id="Re0e5d7eb1b514c53" /><Relationship Type="http://schemas.openxmlformats.org/officeDocument/2006/relationships/image" Target="/xl/media/image3000.jpg" Id="R67351740194d4cbe" /><Relationship Type="http://schemas.openxmlformats.org/officeDocument/2006/relationships/image" Target="/xl/media/image3001.jpg" Id="R3b0740ad1d9c4281" /><Relationship Type="http://schemas.openxmlformats.org/officeDocument/2006/relationships/image" Target="/xl/media/image3002.jpg" Id="R91b02d141c5048cf" /><Relationship Type="http://schemas.openxmlformats.org/officeDocument/2006/relationships/image" Target="/xl/media/image3003.jpg" Id="R8ee7a5234988434f" /><Relationship Type="http://schemas.openxmlformats.org/officeDocument/2006/relationships/image" Target="/xl/media/image3004.jpg" Id="R00636be357eb49a9" /><Relationship Type="http://schemas.openxmlformats.org/officeDocument/2006/relationships/image" Target="/xl/media/image3005.jpg" Id="R3df9b053328d4b4c" /><Relationship Type="http://schemas.openxmlformats.org/officeDocument/2006/relationships/image" Target="/xl/media/image3006.jpg" Id="Rf9cd2442a19c417d" /><Relationship Type="http://schemas.openxmlformats.org/officeDocument/2006/relationships/image" Target="/xl/media/image3007.jpg" Id="Rbe9274867d264b6a" /><Relationship Type="http://schemas.openxmlformats.org/officeDocument/2006/relationships/image" Target="/xl/media/image3008.jpg" Id="Rf54f2b159340416e" /><Relationship Type="http://schemas.openxmlformats.org/officeDocument/2006/relationships/image" Target="/xl/media/image3009.jpg" Id="Raf45e81ebfb54741" /><Relationship Type="http://schemas.openxmlformats.org/officeDocument/2006/relationships/image" Target="/xl/media/image3010.jpg" Id="R4efcb2e7d1264827" /><Relationship Type="http://schemas.openxmlformats.org/officeDocument/2006/relationships/image" Target="/xl/media/image3011.jpg" Id="R313f952234da45ef" /><Relationship Type="http://schemas.openxmlformats.org/officeDocument/2006/relationships/image" Target="/xl/media/image3012.jpg" Id="Ra4f629d5d6b24fed" /><Relationship Type="http://schemas.openxmlformats.org/officeDocument/2006/relationships/image" Target="/xl/media/image3013.jpg" Id="Rc633bd377131416d" /><Relationship Type="http://schemas.openxmlformats.org/officeDocument/2006/relationships/image" Target="/xl/media/image3014.jpg" Id="Rc81e2cadff58402f" /><Relationship Type="http://schemas.openxmlformats.org/officeDocument/2006/relationships/image" Target="/xl/media/image3015.jpg" Id="R1cb29965a98b4c1d" /><Relationship Type="http://schemas.openxmlformats.org/officeDocument/2006/relationships/image" Target="/xl/media/image3016.jpg" Id="Rcea85bd190504021" /><Relationship Type="http://schemas.openxmlformats.org/officeDocument/2006/relationships/image" Target="/xl/media/image3017.jpg" Id="Rfb6fc65c02e04a60" /><Relationship Type="http://schemas.openxmlformats.org/officeDocument/2006/relationships/image" Target="/xl/media/image3018.jpg" Id="R32323d01723f4313" /><Relationship Type="http://schemas.openxmlformats.org/officeDocument/2006/relationships/image" Target="/xl/media/image3019.jpg" Id="R37b1d2e3ca0847d5" /><Relationship Type="http://schemas.openxmlformats.org/officeDocument/2006/relationships/image" Target="/xl/media/image3020.jpg" Id="R5e779ecc85fa430c" /><Relationship Type="http://schemas.openxmlformats.org/officeDocument/2006/relationships/image" Target="/xl/media/image3021.jpg" Id="R692caed6f7e54657" /><Relationship Type="http://schemas.openxmlformats.org/officeDocument/2006/relationships/image" Target="/xl/media/image3022.jpg" Id="R2f9ec7e2b4ec4649" /><Relationship Type="http://schemas.openxmlformats.org/officeDocument/2006/relationships/image" Target="/xl/media/image3023.jpg" Id="Red6d20dace85451a" /><Relationship Type="http://schemas.openxmlformats.org/officeDocument/2006/relationships/image" Target="/xl/media/image3024.jpg" Id="Ra8689bcd723a4b13" /><Relationship Type="http://schemas.openxmlformats.org/officeDocument/2006/relationships/image" Target="/xl/media/image3025.jpg" Id="R2cf27821ac2543ba" /><Relationship Type="http://schemas.openxmlformats.org/officeDocument/2006/relationships/image" Target="/xl/media/image3026.jpg" Id="R1fde35b8902a4f04" /><Relationship Type="http://schemas.openxmlformats.org/officeDocument/2006/relationships/image" Target="/xl/media/image3027.jpg" Id="Rce62e9502e6c443c" /><Relationship Type="http://schemas.openxmlformats.org/officeDocument/2006/relationships/image" Target="/xl/media/image3028.jpg" Id="R9c428896703b4cbe" /><Relationship Type="http://schemas.openxmlformats.org/officeDocument/2006/relationships/image" Target="/xl/media/image3029.jpg" Id="Rab359e61869f4f94" /><Relationship Type="http://schemas.openxmlformats.org/officeDocument/2006/relationships/image" Target="/xl/media/image3030.jpg" Id="R98cb47bfd44647eb" /><Relationship Type="http://schemas.openxmlformats.org/officeDocument/2006/relationships/image" Target="/xl/media/image3031.jpg" Id="R47371ebdb63c4f72" /><Relationship Type="http://schemas.openxmlformats.org/officeDocument/2006/relationships/image" Target="/xl/media/image3032.jpg" Id="R02a948ada8a14713" /><Relationship Type="http://schemas.openxmlformats.org/officeDocument/2006/relationships/image" Target="/xl/media/image3033.jpg" Id="R638c1adb8f6d4789" /><Relationship Type="http://schemas.openxmlformats.org/officeDocument/2006/relationships/image" Target="/xl/media/image3034.jpg" Id="Red2ab334c5334d24" /><Relationship Type="http://schemas.openxmlformats.org/officeDocument/2006/relationships/image" Target="/xl/media/image3035.jpg" Id="Rb8b91ea0997d4a10" /><Relationship Type="http://schemas.openxmlformats.org/officeDocument/2006/relationships/image" Target="/xl/media/image3036.jpg" Id="Rf4ed33f4ffa24583" /><Relationship Type="http://schemas.openxmlformats.org/officeDocument/2006/relationships/image" Target="/xl/media/image3037.jpg" Id="Re0c7c1a94519475a" /><Relationship Type="http://schemas.openxmlformats.org/officeDocument/2006/relationships/image" Target="/xl/media/image3038.jpg" Id="Rbfecca19b8c1474a" /><Relationship Type="http://schemas.openxmlformats.org/officeDocument/2006/relationships/image" Target="/xl/media/image3039.jpg" Id="Rcd7af187a01c4217" /><Relationship Type="http://schemas.openxmlformats.org/officeDocument/2006/relationships/image" Target="/xl/media/image3040.jpg" Id="R93d5a4605dae42e4" /><Relationship Type="http://schemas.openxmlformats.org/officeDocument/2006/relationships/image" Target="/xl/media/image3041.jpg" Id="R314076549b344323" /><Relationship Type="http://schemas.openxmlformats.org/officeDocument/2006/relationships/image" Target="/xl/media/image3042.jpg" Id="R05055842c62149ab" /><Relationship Type="http://schemas.openxmlformats.org/officeDocument/2006/relationships/image" Target="/xl/media/image3043.jpg" Id="R5629ea7fac2e41b3" /><Relationship Type="http://schemas.openxmlformats.org/officeDocument/2006/relationships/image" Target="/xl/media/image3044.jpg" Id="Ra553349179554908" /><Relationship Type="http://schemas.openxmlformats.org/officeDocument/2006/relationships/image" Target="/xl/media/image3045.jpg" Id="R0fd267dd66424768" /><Relationship Type="http://schemas.openxmlformats.org/officeDocument/2006/relationships/image" Target="/xl/media/image3046.jpg" Id="Red11005ed8504ddd" /><Relationship Type="http://schemas.openxmlformats.org/officeDocument/2006/relationships/image" Target="/xl/media/image3047.jpg" Id="Rc0c06e41afea4961" /><Relationship Type="http://schemas.openxmlformats.org/officeDocument/2006/relationships/image" Target="/xl/media/image3048.jpg" Id="Re1ec1573419f4342" /><Relationship Type="http://schemas.openxmlformats.org/officeDocument/2006/relationships/image" Target="/xl/media/image3049.jpg" Id="R38e76289588248ce" /><Relationship Type="http://schemas.openxmlformats.org/officeDocument/2006/relationships/image" Target="/xl/media/image3050.jpg" Id="Rcbd76c2b02b8493b" /><Relationship Type="http://schemas.openxmlformats.org/officeDocument/2006/relationships/image" Target="/xl/media/image3051.jpg" Id="R540715dcd7a949bd" /><Relationship Type="http://schemas.openxmlformats.org/officeDocument/2006/relationships/image" Target="/xl/media/image3052.jpg" Id="Rd3bea6266bd04f17" /><Relationship Type="http://schemas.openxmlformats.org/officeDocument/2006/relationships/image" Target="/xl/media/image3053.jpg" Id="R5ce6f4c1e14b48bd" /><Relationship Type="http://schemas.openxmlformats.org/officeDocument/2006/relationships/image" Target="/xl/media/image3054.jpg" Id="Raed9bbfb2bf5453d" /><Relationship Type="http://schemas.openxmlformats.org/officeDocument/2006/relationships/image" Target="/xl/media/image3055.jpg" Id="R143cbb278d084fdf" /><Relationship Type="http://schemas.openxmlformats.org/officeDocument/2006/relationships/image" Target="/xl/media/image3056.jpg" Id="R4283215b61384cc5" /><Relationship Type="http://schemas.openxmlformats.org/officeDocument/2006/relationships/image" Target="/xl/media/image3057.jpg" Id="R11075737f8724484" /><Relationship Type="http://schemas.openxmlformats.org/officeDocument/2006/relationships/image" Target="/xl/media/image3058.jpg" Id="R284ce7aa125940ae" /><Relationship Type="http://schemas.openxmlformats.org/officeDocument/2006/relationships/image" Target="/xl/media/image3059.jpg" Id="R6646e601e99d4250" /><Relationship Type="http://schemas.openxmlformats.org/officeDocument/2006/relationships/image" Target="/xl/media/image3060.jpg" Id="Rfe3901dfa0ba4fe1" /><Relationship Type="http://schemas.openxmlformats.org/officeDocument/2006/relationships/image" Target="/xl/media/image3061.jpg" Id="Rc591353aa9974f77" /><Relationship Type="http://schemas.openxmlformats.org/officeDocument/2006/relationships/image" Target="/xl/media/image3062.jpg" Id="R4776f307e34d4524" /><Relationship Type="http://schemas.openxmlformats.org/officeDocument/2006/relationships/image" Target="/xl/media/image3063.jpg" Id="R4689a6df78974afd" /><Relationship Type="http://schemas.openxmlformats.org/officeDocument/2006/relationships/image" Target="/xl/media/image3064.jpg" Id="R6341d80507964e07" /><Relationship Type="http://schemas.openxmlformats.org/officeDocument/2006/relationships/image" Target="/xl/media/image3065.jpg" Id="Re33cf711a7f6454c" /><Relationship Type="http://schemas.openxmlformats.org/officeDocument/2006/relationships/image" Target="/xl/media/image3066.jpg" Id="Ra51a97114a454062" /><Relationship Type="http://schemas.openxmlformats.org/officeDocument/2006/relationships/image" Target="/xl/media/image3067.jpg" Id="Rf9103396e54842eb" /><Relationship Type="http://schemas.openxmlformats.org/officeDocument/2006/relationships/image" Target="/xl/media/image3068.jpg" Id="Rae23cd20a5304f92" /><Relationship Type="http://schemas.openxmlformats.org/officeDocument/2006/relationships/image" Target="/xl/media/image3069.jpg" Id="R8b82bd331d5045ac" /><Relationship Type="http://schemas.openxmlformats.org/officeDocument/2006/relationships/image" Target="/xl/media/image3070.jpg" Id="R76c8e69b51f54bc4" /><Relationship Type="http://schemas.openxmlformats.org/officeDocument/2006/relationships/image" Target="/xl/media/image3071.jpg" Id="Rb081aaeeb53a482a" /><Relationship Type="http://schemas.openxmlformats.org/officeDocument/2006/relationships/image" Target="/xl/media/image3072.jpg" Id="R647aadf82f4f42f9" /><Relationship Type="http://schemas.openxmlformats.org/officeDocument/2006/relationships/image" Target="/xl/media/image3073.jpg" Id="Rd1fdaf2c19dd401f" /><Relationship Type="http://schemas.openxmlformats.org/officeDocument/2006/relationships/image" Target="/xl/media/image3074.jpg" Id="Rbdcf2483e6684440" /><Relationship Type="http://schemas.openxmlformats.org/officeDocument/2006/relationships/image" Target="/xl/media/image3075.jpg" Id="Rb341d95507604621" /><Relationship Type="http://schemas.openxmlformats.org/officeDocument/2006/relationships/image" Target="/xl/media/image3076.jpg" Id="Rda5d28622ae944b8" /><Relationship Type="http://schemas.openxmlformats.org/officeDocument/2006/relationships/image" Target="/xl/media/image3077.jpg" Id="Ra116591815394398" /><Relationship Type="http://schemas.openxmlformats.org/officeDocument/2006/relationships/image" Target="/xl/media/image3078.jpg" Id="Rb8f9a360ceba4146" /><Relationship Type="http://schemas.openxmlformats.org/officeDocument/2006/relationships/image" Target="/xl/media/image3079.jpg" Id="R29023d9889654863" /><Relationship Type="http://schemas.openxmlformats.org/officeDocument/2006/relationships/image" Target="/xl/media/image3080.jpg" Id="R25a1f9480155465d" /><Relationship Type="http://schemas.openxmlformats.org/officeDocument/2006/relationships/image" Target="/xl/media/image3081.jpg" Id="R3021b831b1bb457e" /><Relationship Type="http://schemas.openxmlformats.org/officeDocument/2006/relationships/image" Target="/xl/media/image3082.jpg" Id="Rc293a675a0854ced" /><Relationship Type="http://schemas.openxmlformats.org/officeDocument/2006/relationships/image" Target="/xl/media/image3083.jpg" Id="R53c7d9a9cf1f415a" /><Relationship Type="http://schemas.openxmlformats.org/officeDocument/2006/relationships/image" Target="/xl/media/image3084.jpg" Id="R48d591edaaf6425b" /><Relationship Type="http://schemas.openxmlformats.org/officeDocument/2006/relationships/image" Target="/xl/media/image3085.jpg" Id="Rcd379a8703334029" /><Relationship Type="http://schemas.openxmlformats.org/officeDocument/2006/relationships/image" Target="/xl/media/image3086.jpg" Id="Rabcca7b7630741bf" /><Relationship Type="http://schemas.openxmlformats.org/officeDocument/2006/relationships/image" Target="/xl/media/image3087.jpg" Id="Rb5519e8f6c2c434d" /><Relationship Type="http://schemas.openxmlformats.org/officeDocument/2006/relationships/image" Target="/xl/media/image3088.jpg" Id="Rdb20fe79cd2042ba" /><Relationship Type="http://schemas.openxmlformats.org/officeDocument/2006/relationships/image" Target="/xl/media/image3089.jpg" Id="Rf5de0cc9e19b4f57" /><Relationship Type="http://schemas.openxmlformats.org/officeDocument/2006/relationships/image" Target="/xl/media/image3090.jpg" Id="R4db12801705c4ee2" /><Relationship Type="http://schemas.openxmlformats.org/officeDocument/2006/relationships/image" Target="/xl/media/image3091.jpg" Id="R8bf553f565d84b0d" /><Relationship Type="http://schemas.openxmlformats.org/officeDocument/2006/relationships/image" Target="/xl/media/image3092.jpg" Id="Rc34a9c6869124e77" /><Relationship Type="http://schemas.openxmlformats.org/officeDocument/2006/relationships/image" Target="/xl/media/image3093.jpg" Id="Rab02e5597ae74456" /><Relationship Type="http://schemas.openxmlformats.org/officeDocument/2006/relationships/image" Target="/xl/media/image3094.jpg" Id="Recdd08216d6146e5" /><Relationship Type="http://schemas.openxmlformats.org/officeDocument/2006/relationships/image" Target="/xl/media/image3095.jpg" Id="Ra0038469b46b4e30" /><Relationship Type="http://schemas.openxmlformats.org/officeDocument/2006/relationships/image" Target="/xl/media/image3096.jpg" Id="R33319ebc85e0402b" /><Relationship Type="http://schemas.openxmlformats.org/officeDocument/2006/relationships/image" Target="/xl/media/image3097.jpg" Id="R2ace563b75dc4d2c" /><Relationship Type="http://schemas.openxmlformats.org/officeDocument/2006/relationships/image" Target="/xl/media/image3098.jpg" Id="Rdd51df69e7934b1a" /><Relationship Type="http://schemas.openxmlformats.org/officeDocument/2006/relationships/image" Target="/xl/media/image3099.jpg" Id="R7b012160d5c74e45" /><Relationship Type="http://schemas.openxmlformats.org/officeDocument/2006/relationships/image" Target="/xl/media/image3100.jpg" Id="Re2b0061cf5524e05" /><Relationship Type="http://schemas.openxmlformats.org/officeDocument/2006/relationships/image" Target="/xl/media/image3101.jpg" Id="R70391b9e10464275" /><Relationship Type="http://schemas.openxmlformats.org/officeDocument/2006/relationships/image" Target="/xl/media/image3102.jpg" Id="R500700335c1a4ce2" /><Relationship Type="http://schemas.openxmlformats.org/officeDocument/2006/relationships/image" Target="/xl/media/image3103.jpg" Id="R1c9a552da1b24b26" /><Relationship Type="http://schemas.openxmlformats.org/officeDocument/2006/relationships/image" Target="/xl/media/image3104.jpg" Id="Rb8bb460f549040a0" /><Relationship Type="http://schemas.openxmlformats.org/officeDocument/2006/relationships/image" Target="/xl/media/image3105.jpg" Id="R346e3563a5fd4aab" /><Relationship Type="http://schemas.openxmlformats.org/officeDocument/2006/relationships/image" Target="/xl/media/image3106.jpg" Id="Ra423728843414c7a" /><Relationship Type="http://schemas.openxmlformats.org/officeDocument/2006/relationships/image" Target="/xl/media/image3107.jpg" Id="R2c089497c8354e65" /><Relationship Type="http://schemas.openxmlformats.org/officeDocument/2006/relationships/image" Target="/xl/media/image3108.jpg" Id="R1f7a436369fd4f9c" /><Relationship Type="http://schemas.openxmlformats.org/officeDocument/2006/relationships/image" Target="/xl/media/image3109.jpg" Id="Rcaed3da1d7714c38" /><Relationship Type="http://schemas.openxmlformats.org/officeDocument/2006/relationships/image" Target="/xl/media/image3110.jpg" Id="Rd41cb573e87e4e8e" /><Relationship Type="http://schemas.openxmlformats.org/officeDocument/2006/relationships/image" Target="/xl/media/image3111.jpg" Id="Ra11ae112d3204651" /><Relationship Type="http://schemas.openxmlformats.org/officeDocument/2006/relationships/image" Target="/xl/media/image3112.jpg" Id="Re92bcf83feac472f" /><Relationship Type="http://schemas.openxmlformats.org/officeDocument/2006/relationships/image" Target="/xl/media/image3113.jpg" Id="Rdeeef83b659f4b84" /><Relationship Type="http://schemas.openxmlformats.org/officeDocument/2006/relationships/image" Target="/xl/media/image3114.jpg" Id="R281ed19b3d2a4c45" /><Relationship Type="http://schemas.openxmlformats.org/officeDocument/2006/relationships/image" Target="/xl/media/image3115.jpg" Id="R636750cf1a2b46d0" /><Relationship Type="http://schemas.openxmlformats.org/officeDocument/2006/relationships/image" Target="/xl/media/image3116.jpg" Id="R8df29e89e0ca41c3" /><Relationship Type="http://schemas.openxmlformats.org/officeDocument/2006/relationships/image" Target="/xl/media/image3117.jpg" Id="R73f7ceb42ff843b3" /><Relationship Type="http://schemas.openxmlformats.org/officeDocument/2006/relationships/image" Target="/xl/media/image3118.jpg" Id="R2a219d7eccde4d67" /><Relationship Type="http://schemas.openxmlformats.org/officeDocument/2006/relationships/image" Target="/xl/media/image3119.jpg" Id="R472bff163089424a" /><Relationship Type="http://schemas.openxmlformats.org/officeDocument/2006/relationships/image" Target="/xl/media/image3120.jpg" Id="R12267b7819ff4544" /><Relationship Type="http://schemas.openxmlformats.org/officeDocument/2006/relationships/image" Target="/xl/media/image3121.jpg" Id="Rcef07f8a47d840ae" /><Relationship Type="http://schemas.openxmlformats.org/officeDocument/2006/relationships/image" Target="/xl/media/image3122.jpg" Id="Reb0b2ad1899f43ab" /><Relationship Type="http://schemas.openxmlformats.org/officeDocument/2006/relationships/image" Target="/xl/media/image3123.jpg" Id="R07fb41c14a754d56" /><Relationship Type="http://schemas.openxmlformats.org/officeDocument/2006/relationships/image" Target="/xl/media/image3124.jpg" Id="Rd139ba63d5154e40" /><Relationship Type="http://schemas.openxmlformats.org/officeDocument/2006/relationships/image" Target="/xl/media/image3125.jpg" Id="Rd3e1b5f2132b4681" /><Relationship Type="http://schemas.openxmlformats.org/officeDocument/2006/relationships/image" Target="/xl/media/image3126.jpg" Id="Rb7c51cfc56484f18" /><Relationship Type="http://schemas.openxmlformats.org/officeDocument/2006/relationships/image" Target="/xl/media/image3127.jpg" Id="R50b6b35c5678467e" /><Relationship Type="http://schemas.openxmlformats.org/officeDocument/2006/relationships/image" Target="/xl/media/image3128.jpg" Id="R64292c1d9f524673" /><Relationship Type="http://schemas.openxmlformats.org/officeDocument/2006/relationships/image" Target="/xl/media/image3129.jpg" Id="R190f51c0c10e499b" /><Relationship Type="http://schemas.openxmlformats.org/officeDocument/2006/relationships/image" Target="/xl/media/image3130.jpg" Id="R4ebb2cfbd4a744eb" /><Relationship Type="http://schemas.openxmlformats.org/officeDocument/2006/relationships/image" Target="/xl/media/image3131.jpg" Id="Rce9565b673b54295" /><Relationship Type="http://schemas.openxmlformats.org/officeDocument/2006/relationships/image" Target="/xl/media/image3132.jpg" Id="Rb897270abdb74c6f" /><Relationship Type="http://schemas.openxmlformats.org/officeDocument/2006/relationships/image" Target="/xl/media/image3133.jpg" Id="Rf57737f4bf9c44aa" /><Relationship Type="http://schemas.openxmlformats.org/officeDocument/2006/relationships/image" Target="/xl/media/image3134.jpg" Id="R4b41c69ebdeb4104" /><Relationship Type="http://schemas.openxmlformats.org/officeDocument/2006/relationships/image" Target="/xl/media/image3135.jpg" Id="Rac4f8e7aab834848" /><Relationship Type="http://schemas.openxmlformats.org/officeDocument/2006/relationships/image" Target="/xl/media/image3136.jpg" Id="Rb9b81386807248bc" /><Relationship Type="http://schemas.openxmlformats.org/officeDocument/2006/relationships/image" Target="/xl/media/image3137.jpg" Id="Rc45101f252eb4040" /><Relationship Type="http://schemas.openxmlformats.org/officeDocument/2006/relationships/image" Target="/xl/media/image3138.jpg" Id="R25c8bd3fc32449f4" /><Relationship Type="http://schemas.openxmlformats.org/officeDocument/2006/relationships/image" Target="/xl/media/image3139.jpg" Id="R90cfcfb75efe4780" /><Relationship Type="http://schemas.openxmlformats.org/officeDocument/2006/relationships/image" Target="/xl/media/image3140.jpg" Id="Rc2d76af2436b4e0c" /><Relationship Type="http://schemas.openxmlformats.org/officeDocument/2006/relationships/image" Target="/xl/media/image3141.jpg" Id="R2c9d0432fee04971" /><Relationship Type="http://schemas.openxmlformats.org/officeDocument/2006/relationships/image" Target="/xl/media/image3142.jpg" Id="Reffe1aa5bbae47e5" /><Relationship Type="http://schemas.openxmlformats.org/officeDocument/2006/relationships/image" Target="/xl/media/image3143.jpg" Id="Re5c034387ddc4a72" /><Relationship Type="http://schemas.openxmlformats.org/officeDocument/2006/relationships/image" Target="/xl/media/image3144.jpg" Id="R67a36e7f94364ade" /><Relationship Type="http://schemas.openxmlformats.org/officeDocument/2006/relationships/image" Target="/xl/media/image3145.jpg" Id="Rf1799909cc6b4657" /><Relationship Type="http://schemas.openxmlformats.org/officeDocument/2006/relationships/image" Target="/xl/media/image3146.jpg" Id="R1a5f2634936b482f" /><Relationship Type="http://schemas.openxmlformats.org/officeDocument/2006/relationships/image" Target="/xl/media/image3147.jpg" Id="R141d22bdb17749f9" /><Relationship Type="http://schemas.openxmlformats.org/officeDocument/2006/relationships/image" Target="/xl/media/image3148.jpg" Id="Rd5d4118230c3445f" /><Relationship Type="http://schemas.openxmlformats.org/officeDocument/2006/relationships/image" Target="/xl/media/image3149.jpg" Id="R315a60780f2a4292" /><Relationship Type="http://schemas.openxmlformats.org/officeDocument/2006/relationships/image" Target="/xl/media/image3150.jpg" Id="R35d04b7b8307482c" /><Relationship Type="http://schemas.openxmlformats.org/officeDocument/2006/relationships/image" Target="/xl/media/image3151.jpg" Id="R9ea18d810b1746c1" /><Relationship Type="http://schemas.openxmlformats.org/officeDocument/2006/relationships/image" Target="/xl/media/image3152.jpg" Id="R9be29a8d447f4357" /><Relationship Type="http://schemas.openxmlformats.org/officeDocument/2006/relationships/image" Target="/xl/media/image3153.jpg" Id="R8ffe45ce0f504635" /><Relationship Type="http://schemas.openxmlformats.org/officeDocument/2006/relationships/image" Target="/xl/media/image3154.jpg" Id="R637dcbdd3e4544b9" /><Relationship Type="http://schemas.openxmlformats.org/officeDocument/2006/relationships/image" Target="/xl/media/image3155.jpg" Id="Rb80b0164360e49e3" /><Relationship Type="http://schemas.openxmlformats.org/officeDocument/2006/relationships/image" Target="/xl/media/image3156.jpg" Id="Racb9dfb6bfd04f73" /><Relationship Type="http://schemas.openxmlformats.org/officeDocument/2006/relationships/image" Target="/xl/media/image3157.jpg" Id="R9fa011c5e782486f" /><Relationship Type="http://schemas.openxmlformats.org/officeDocument/2006/relationships/image" Target="/xl/media/image3158.jpg" Id="R113a12c967324e41" /><Relationship Type="http://schemas.openxmlformats.org/officeDocument/2006/relationships/image" Target="/xl/media/image3159.jpg" Id="R3d885acd6dc345b9" /><Relationship Type="http://schemas.openxmlformats.org/officeDocument/2006/relationships/image" Target="/xl/media/image3160.jpg" Id="R61568e3d900f40f0" /><Relationship Type="http://schemas.openxmlformats.org/officeDocument/2006/relationships/image" Target="/xl/media/image3161.jpg" Id="Rb5411dbc673349cf" /><Relationship Type="http://schemas.openxmlformats.org/officeDocument/2006/relationships/image" Target="/xl/media/image3162.jpg" Id="R913b1e2fc51e40bb" /><Relationship Type="http://schemas.openxmlformats.org/officeDocument/2006/relationships/image" Target="/xl/media/image3163.jpg" Id="R6d2c1e93944540c4" /><Relationship Type="http://schemas.openxmlformats.org/officeDocument/2006/relationships/image" Target="/xl/media/image3164.jpg" Id="Rab7d877a9cc04e66" /><Relationship Type="http://schemas.openxmlformats.org/officeDocument/2006/relationships/image" Target="/xl/media/image3165.jpg" Id="R2b58a0e35724420a" /><Relationship Type="http://schemas.openxmlformats.org/officeDocument/2006/relationships/image" Target="/xl/media/image3166.jpg" Id="R922f2fdfec304496" /><Relationship Type="http://schemas.openxmlformats.org/officeDocument/2006/relationships/image" Target="/xl/media/image3167.jpg" Id="Rd4828227079f48b4" /><Relationship Type="http://schemas.openxmlformats.org/officeDocument/2006/relationships/image" Target="/xl/media/image3168.jpg" Id="R3c86866b4b224fc7" /><Relationship Type="http://schemas.openxmlformats.org/officeDocument/2006/relationships/image" Target="/xl/media/image3169.jpg" Id="R8ba6b4c128054ec2" /><Relationship Type="http://schemas.openxmlformats.org/officeDocument/2006/relationships/image" Target="/xl/media/image3170.jpg" Id="R26c600a23e1f4c82" /><Relationship Type="http://schemas.openxmlformats.org/officeDocument/2006/relationships/image" Target="/xl/media/image3171.jpg" Id="Rf5711fe1f58b46ab" /><Relationship Type="http://schemas.openxmlformats.org/officeDocument/2006/relationships/image" Target="/xl/media/image3172.jpg" Id="R14f2514d03164a39" /><Relationship Type="http://schemas.openxmlformats.org/officeDocument/2006/relationships/image" Target="/xl/media/image3173.jpg" Id="Rdebc7f2467bb4a00" /><Relationship Type="http://schemas.openxmlformats.org/officeDocument/2006/relationships/image" Target="/xl/media/image3174.jpg" Id="Rf55e7473ce914e51" /><Relationship Type="http://schemas.openxmlformats.org/officeDocument/2006/relationships/image" Target="/xl/media/image3175.jpg" Id="R56e0cd0028a44c21" /><Relationship Type="http://schemas.openxmlformats.org/officeDocument/2006/relationships/image" Target="/xl/media/image3176.jpg" Id="R042ec001f6534802" /><Relationship Type="http://schemas.openxmlformats.org/officeDocument/2006/relationships/image" Target="/xl/media/image3177.jpg" Id="Reae15ec561984526" /><Relationship Type="http://schemas.openxmlformats.org/officeDocument/2006/relationships/image" Target="/xl/media/image3178.jpg" Id="R01f877ccae274fa3" /><Relationship Type="http://schemas.openxmlformats.org/officeDocument/2006/relationships/image" Target="/xl/media/image3179.jpg" Id="R14f325224d844e76" /><Relationship Type="http://schemas.openxmlformats.org/officeDocument/2006/relationships/image" Target="/xl/media/image3180.jpg" Id="Rb45df4d40fff4887" /><Relationship Type="http://schemas.openxmlformats.org/officeDocument/2006/relationships/image" Target="/xl/media/image3181.jpg" Id="Re76505f87e414681" /><Relationship Type="http://schemas.openxmlformats.org/officeDocument/2006/relationships/image" Target="/xl/media/image3182.jpg" Id="Ra453dce400cd4154" /><Relationship Type="http://schemas.openxmlformats.org/officeDocument/2006/relationships/image" Target="/xl/media/image3183.jpg" Id="Rcfe2cd2b23494c48" /><Relationship Type="http://schemas.openxmlformats.org/officeDocument/2006/relationships/image" Target="/xl/media/image3184.jpg" Id="Rc694f658f2d14b15" /><Relationship Type="http://schemas.openxmlformats.org/officeDocument/2006/relationships/image" Target="/xl/media/image3185.jpg" Id="R5c2df44e65744524" /><Relationship Type="http://schemas.openxmlformats.org/officeDocument/2006/relationships/image" Target="/xl/media/image3186.jpg" Id="R5c574e0f38634391" /><Relationship Type="http://schemas.openxmlformats.org/officeDocument/2006/relationships/image" Target="/xl/media/image3187.jpg" Id="R51605b2529fd4712" /><Relationship Type="http://schemas.openxmlformats.org/officeDocument/2006/relationships/image" Target="/xl/media/image3188.jpg" Id="R2342fb4948d148db" /><Relationship Type="http://schemas.openxmlformats.org/officeDocument/2006/relationships/image" Target="/xl/media/image3189.jpg" Id="Rc72e21aee2a94712" /><Relationship Type="http://schemas.openxmlformats.org/officeDocument/2006/relationships/image" Target="/xl/media/image3190.jpg" Id="R035c0bcbabed43a0" /><Relationship Type="http://schemas.openxmlformats.org/officeDocument/2006/relationships/image" Target="/xl/media/image3191.jpg" Id="R30e5c3580fcd4244" /><Relationship Type="http://schemas.openxmlformats.org/officeDocument/2006/relationships/image" Target="/xl/media/image3192.jpg" Id="R56d249491d6948b1" /><Relationship Type="http://schemas.openxmlformats.org/officeDocument/2006/relationships/image" Target="/xl/media/image3193.jpg" Id="R289fc38a6c584806" /><Relationship Type="http://schemas.openxmlformats.org/officeDocument/2006/relationships/image" Target="/xl/media/image3194.jpg" Id="Rb7141a6610d144cb" /><Relationship Type="http://schemas.openxmlformats.org/officeDocument/2006/relationships/image" Target="/xl/media/image3195.jpg" Id="R091e3128265e47fd" /><Relationship Type="http://schemas.openxmlformats.org/officeDocument/2006/relationships/image" Target="/xl/media/image3196.jpg" Id="R12b1309cbc19433b" /><Relationship Type="http://schemas.openxmlformats.org/officeDocument/2006/relationships/image" Target="/xl/media/image3197.jpg" Id="R86b8e9bd74d34417" /><Relationship Type="http://schemas.openxmlformats.org/officeDocument/2006/relationships/image" Target="/xl/media/image3198.jpg" Id="R68a7a2b01a7745ff" /><Relationship Type="http://schemas.openxmlformats.org/officeDocument/2006/relationships/image" Target="/xl/media/image3199.jpg" Id="R573e3a75468e4303" /><Relationship Type="http://schemas.openxmlformats.org/officeDocument/2006/relationships/image" Target="/xl/media/image3200.jpg" Id="Rd4c00bf42c354fc6" /><Relationship Type="http://schemas.openxmlformats.org/officeDocument/2006/relationships/image" Target="/xl/media/image3201.jpg" Id="Reca315a59fb241db" /><Relationship Type="http://schemas.openxmlformats.org/officeDocument/2006/relationships/image" Target="/xl/media/image3202.jpg" Id="Reb1380b9b19249b6" /><Relationship Type="http://schemas.openxmlformats.org/officeDocument/2006/relationships/image" Target="/xl/media/image3203.jpg" Id="R7f128ed891084cf9" /><Relationship Type="http://schemas.openxmlformats.org/officeDocument/2006/relationships/image" Target="/xl/media/image3204.jpg" Id="R80508b8172b9453a" /><Relationship Type="http://schemas.openxmlformats.org/officeDocument/2006/relationships/image" Target="/xl/media/image3205.jpg" Id="R06ea8e4e37b6450d" /><Relationship Type="http://schemas.openxmlformats.org/officeDocument/2006/relationships/image" Target="/xl/media/image3206.jpg" Id="R9adec62385a94b2e" /><Relationship Type="http://schemas.openxmlformats.org/officeDocument/2006/relationships/image" Target="/xl/media/image3207.jpg" Id="R45df072e9d0f498f" /><Relationship Type="http://schemas.openxmlformats.org/officeDocument/2006/relationships/image" Target="/xl/media/image3208.jpg" Id="R262c4e2c7f0b49da" /><Relationship Type="http://schemas.openxmlformats.org/officeDocument/2006/relationships/image" Target="/xl/media/image3209.jpg" Id="Ref88eafda29447b8" /><Relationship Type="http://schemas.openxmlformats.org/officeDocument/2006/relationships/image" Target="/xl/media/image3210.jpg" Id="R567c707a65424ad0" /><Relationship Type="http://schemas.openxmlformats.org/officeDocument/2006/relationships/image" Target="/xl/media/image3211.jpg" Id="R74d986541fb143dc" /><Relationship Type="http://schemas.openxmlformats.org/officeDocument/2006/relationships/image" Target="/xl/media/image3212.jpg" Id="R1efe9d20faff46a9" /><Relationship Type="http://schemas.openxmlformats.org/officeDocument/2006/relationships/image" Target="/xl/media/image3213.jpg" Id="R9667b4c4994540af" /><Relationship Type="http://schemas.openxmlformats.org/officeDocument/2006/relationships/image" Target="/xl/media/image3214.jpg" Id="Rca2a3c79ae9d4ff2" /><Relationship Type="http://schemas.openxmlformats.org/officeDocument/2006/relationships/image" Target="/xl/media/image3215.jpg" Id="R62609ee07bc548ae" /><Relationship Type="http://schemas.openxmlformats.org/officeDocument/2006/relationships/image" Target="/xl/media/image3216.jpg" Id="R9ff82d5b66014bf4" /><Relationship Type="http://schemas.openxmlformats.org/officeDocument/2006/relationships/image" Target="/xl/media/image3217.jpg" Id="R29edca955cf740e4" /><Relationship Type="http://schemas.openxmlformats.org/officeDocument/2006/relationships/image" Target="/xl/media/image3218.jpg" Id="R049e62430fae4513" /><Relationship Type="http://schemas.openxmlformats.org/officeDocument/2006/relationships/image" Target="/xl/media/image3219.jpg" Id="R3ebe10f23eff4ee1" /><Relationship Type="http://schemas.openxmlformats.org/officeDocument/2006/relationships/image" Target="/xl/media/image3220.jpg" Id="Re084346c7cc84bed" /><Relationship Type="http://schemas.openxmlformats.org/officeDocument/2006/relationships/image" Target="/xl/media/image3221.jpg" Id="R1df128f94d20478a" /><Relationship Type="http://schemas.openxmlformats.org/officeDocument/2006/relationships/image" Target="/xl/media/image3222.jpg" Id="R4756022df4ec472e" /><Relationship Type="http://schemas.openxmlformats.org/officeDocument/2006/relationships/image" Target="/xl/media/image3223.jpg" Id="R7259be347a324078" /><Relationship Type="http://schemas.openxmlformats.org/officeDocument/2006/relationships/image" Target="/xl/media/image3224.jpg" Id="Rbe3aa348e2004f0b" /><Relationship Type="http://schemas.openxmlformats.org/officeDocument/2006/relationships/image" Target="/xl/media/image3225.jpg" Id="Rbc566293ea3a49c9" /><Relationship Type="http://schemas.openxmlformats.org/officeDocument/2006/relationships/image" Target="/xl/media/image3226.jpg" Id="R47bba2f435d743b8" /><Relationship Type="http://schemas.openxmlformats.org/officeDocument/2006/relationships/image" Target="/xl/media/image3227.jpg" Id="R71105308fe0f4e49" /><Relationship Type="http://schemas.openxmlformats.org/officeDocument/2006/relationships/image" Target="/xl/media/image3228.jpg" Id="Rd9de9797ca494ded" /><Relationship Type="http://schemas.openxmlformats.org/officeDocument/2006/relationships/image" Target="/xl/media/image3229.jpg" Id="R142fdc09b72e4808" /><Relationship Type="http://schemas.openxmlformats.org/officeDocument/2006/relationships/image" Target="/xl/media/image3230.jpg" Id="Rd8782db82f674100" /><Relationship Type="http://schemas.openxmlformats.org/officeDocument/2006/relationships/image" Target="/xl/media/image3231.jpg" Id="Re6889f5c9f014d55" /><Relationship Type="http://schemas.openxmlformats.org/officeDocument/2006/relationships/image" Target="/xl/media/image3232.jpg" Id="Rf4a0365cec5744f3" /><Relationship Type="http://schemas.openxmlformats.org/officeDocument/2006/relationships/image" Target="/xl/media/image3233.jpg" Id="R24121d143afc42d7" /><Relationship Type="http://schemas.openxmlformats.org/officeDocument/2006/relationships/image" Target="/xl/media/image3234.jpg" Id="R162fd3b12ba04248" /><Relationship Type="http://schemas.openxmlformats.org/officeDocument/2006/relationships/image" Target="/xl/media/image3235.jpg" Id="R9753d7754c114bad" /><Relationship Type="http://schemas.openxmlformats.org/officeDocument/2006/relationships/image" Target="/xl/media/image3236.jpg" Id="Rb009f29be9e54fb4" /><Relationship Type="http://schemas.openxmlformats.org/officeDocument/2006/relationships/image" Target="/xl/media/image3237.jpg" Id="Rc7911301ecf74e13" /><Relationship Type="http://schemas.openxmlformats.org/officeDocument/2006/relationships/image" Target="/xl/media/image3238.jpg" Id="R34c910311ca547ba" /><Relationship Type="http://schemas.openxmlformats.org/officeDocument/2006/relationships/image" Target="/xl/media/image3239.jpg" Id="R250c44e23e734083" /><Relationship Type="http://schemas.openxmlformats.org/officeDocument/2006/relationships/image" Target="/xl/media/image3240.jpg" Id="Ra2b7144308a948b2" /><Relationship Type="http://schemas.openxmlformats.org/officeDocument/2006/relationships/image" Target="/xl/media/image3241.jpg" Id="Refe730d0803e4a63" /><Relationship Type="http://schemas.openxmlformats.org/officeDocument/2006/relationships/image" Target="/xl/media/image3242.jpg" Id="R32b5c871aec24e7c" /><Relationship Type="http://schemas.openxmlformats.org/officeDocument/2006/relationships/image" Target="/xl/media/image3243.jpg" Id="Rb3e6102a0e374589" /><Relationship Type="http://schemas.openxmlformats.org/officeDocument/2006/relationships/image" Target="/xl/media/image3244.jpg" Id="Rc82e6f4a2cde42a6" /><Relationship Type="http://schemas.openxmlformats.org/officeDocument/2006/relationships/image" Target="/xl/media/image3245.jpg" Id="R330ec542443e471e" /><Relationship Type="http://schemas.openxmlformats.org/officeDocument/2006/relationships/image" Target="/xl/media/image3246.jpg" Id="R8ffc3fbec57d4924" /><Relationship Type="http://schemas.openxmlformats.org/officeDocument/2006/relationships/image" Target="/xl/media/image3247.jpg" Id="R0744cdb9d22f43fd" /><Relationship Type="http://schemas.openxmlformats.org/officeDocument/2006/relationships/image" Target="/xl/media/image3248.jpg" Id="R306667f082a3420d" /><Relationship Type="http://schemas.openxmlformats.org/officeDocument/2006/relationships/image" Target="/xl/media/image3249.jpg" Id="R321081206b2f449a" /><Relationship Type="http://schemas.openxmlformats.org/officeDocument/2006/relationships/image" Target="/xl/media/image3250.jpg" Id="Rbb34a47c428b4598" /><Relationship Type="http://schemas.openxmlformats.org/officeDocument/2006/relationships/image" Target="/xl/media/image3251.jpg" Id="Re2bbae3528ec476b" /><Relationship Type="http://schemas.openxmlformats.org/officeDocument/2006/relationships/image" Target="/xl/media/image3252.jpg" Id="Re283f58d97294eb8" /><Relationship Type="http://schemas.openxmlformats.org/officeDocument/2006/relationships/image" Target="/xl/media/image3253.jpg" Id="R89503e44f24247e0" /><Relationship Type="http://schemas.openxmlformats.org/officeDocument/2006/relationships/image" Target="/xl/media/image3254.jpg" Id="R014e15ad07684e75" /><Relationship Type="http://schemas.openxmlformats.org/officeDocument/2006/relationships/image" Target="/xl/media/image3255.jpg" Id="R68ad181421f14beb" /><Relationship Type="http://schemas.openxmlformats.org/officeDocument/2006/relationships/image" Target="/xl/media/image3256.jpg" Id="Ra49d62c3debf425b" /><Relationship Type="http://schemas.openxmlformats.org/officeDocument/2006/relationships/image" Target="/xl/media/image3257.jpg" Id="Rb587d7a784cf4fbb" /><Relationship Type="http://schemas.openxmlformats.org/officeDocument/2006/relationships/image" Target="/xl/media/image3258.jpg" Id="Rec675d59dc50417b" /><Relationship Type="http://schemas.openxmlformats.org/officeDocument/2006/relationships/image" Target="/xl/media/image3259.jpg" Id="R1075da67d7fb4384" /><Relationship Type="http://schemas.openxmlformats.org/officeDocument/2006/relationships/image" Target="/xl/media/image3260.jpg" Id="Rdeb369149d6f4a8b" /><Relationship Type="http://schemas.openxmlformats.org/officeDocument/2006/relationships/image" Target="/xl/media/image3261.jpg" Id="Ra13e0e64f8274f55" /><Relationship Type="http://schemas.openxmlformats.org/officeDocument/2006/relationships/image" Target="/xl/media/image3262.jpg" Id="R0f14cf1b6c7a485f" /><Relationship Type="http://schemas.openxmlformats.org/officeDocument/2006/relationships/image" Target="/xl/media/image3263.jpg" Id="R29d842e3431847d1" /><Relationship Type="http://schemas.openxmlformats.org/officeDocument/2006/relationships/image" Target="/xl/media/image3264.jpg" Id="Rda2f16a604f644d8" /><Relationship Type="http://schemas.openxmlformats.org/officeDocument/2006/relationships/image" Target="/xl/media/image3265.jpg" Id="R86801df868b540d4" /><Relationship Type="http://schemas.openxmlformats.org/officeDocument/2006/relationships/image" Target="/xl/media/image3266.jpg" Id="R891103fa22a846fc" /><Relationship Type="http://schemas.openxmlformats.org/officeDocument/2006/relationships/image" Target="/xl/media/image3267.jpg" Id="Rd0595d96f2874e3c" /><Relationship Type="http://schemas.openxmlformats.org/officeDocument/2006/relationships/image" Target="/xl/media/image3268.jpg" Id="R5421666d61eb40aa" /><Relationship Type="http://schemas.openxmlformats.org/officeDocument/2006/relationships/image" Target="/xl/media/image3269.jpg" Id="R952f70bb71bc49ad" /><Relationship Type="http://schemas.openxmlformats.org/officeDocument/2006/relationships/image" Target="/xl/media/image3270.jpg" Id="R7b60db50336c4118" /><Relationship Type="http://schemas.openxmlformats.org/officeDocument/2006/relationships/image" Target="/xl/media/image3271.jpg" Id="R24c2b4c5f8e6455b" /><Relationship Type="http://schemas.openxmlformats.org/officeDocument/2006/relationships/image" Target="/xl/media/image3272.jpg" Id="R563e3213e27b433a" /><Relationship Type="http://schemas.openxmlformats.org/officeDocument/2006/relationships/image" Target="/xl/media/image3273.jpg" Id="R2bb36ea636134bed" /><Relationship Type="http://schemas.openxmlformats.org/officeDocument/2006/relationships/image" Target="/xl/media/image3274.jpg" Id="R995b0cc1e9c240e7" /><Relationship Type="http://schemas.openxmlformats.org/officeDocument/2006/relationships/image" Target="/xl/media/image3275.jpg" Id="R0688ed6aab4e4789" /><Relationship Type="http://schemas.openxmlformats.org/officeDocument/2006/relationships/image" Target="/xl/media/image3276.jpg" Id="R5514c1fa60014e46" /><Relationship Type="http://schemas.openxmlformats.org/officeDocument/2006/relationships/image" Target="/xl/media/image3277.jpg" Id="R9f6b237715a84267" /><Relationship Type="http://schemas.openxmlformats.org/officeDocument/2006/relationships/image" Target="/xl/media/image3278.jpg" Id="Rc0d61ed7f3724c6b" /><Relationship Type="http://schemas.openxmlformats.org/officeDocument/2006/relationships/image" Target="/xl/media/image3279.jpg" Id="Raa292d59121548fc" /><Relationship Type="http://schemas.openxmlformats.org/officeDocument/2006/relationships/image" Target="/xl/media/image3280.jpg" Id="Rc020af32ae4a4e3a" /><Relationship Type="http://schemas.openxmlformats.org/officeDocument/2006/relationships/image" Target="/xl/media/image3281.jpg" Id="Ree0f13a129c94067" /><Relationship Type="http://schemas.openxmlformats.org/officeDocument/2006/relationships/image" Target="/xl/media/image3282.jpg" Id="R16b37427f6534d68" /><Relationship Type="http://schemas.openxmlformats.org/officeDocument/2006/relationships/image" Target="/xl/media/image3283.jpg" Id="Re5784a181de6447b" /><Relationship Type="http://schemas.openxmlformats.org/officeDocument/2006/relationships/image" Target="/xl/media/image3284.jpg" Id="Rc0901d5e9fd646af" /><Relationship Type="http://schemas.openxmlformats.org/officeDocument/2006/relationships/image" Target="/xl/media/image3285.jpg" Id="Red2428e5b61c4c97" /><Relationship Type="http://schemas.openxmlformats.org/officeDocument/2006/relationships/image" Target="/xl/media/image3286.jpg" Id="Rb5aa9d17a1564b8b" /><Relationship Type="http://schemas.openxmlformats.org/officeDocument/2006/relationships/image" Target="/xl/media/image3287.jpg" Id="R17d42f3e3cb24f4c" /><Relationship Type="http://schemas.openxmlformats.org/officeDocument/2006/relationships/image" Target="/xl/media/image3288.jpg" Id="R8c45cf2b90504eed" /><Relationship Type="http://schemas.openxmlformats.org/officeDocument/2006/relationships/image" Target="/xl/media/image3289.jpg" Id="Rcc776d5839fd4599" /><Relationship Type="http://schemas.openxmlformats.org/officeDocument/2006/relationships/image" Target="/xl/media/image3290.jpg" Id="R0fff085390794188" /><Relationship Type="http://schemas.openxmlformats.org/officeDocument/2006/relationships/image" Target="/xl/media/image3291.jpg" Id="R10691f78cd144ba0" /><Relationship Type="http://schemas.openxmlformats.org/officeDocument/2006/relationships/image" Target="/xl/media/image3292.jpg" Id="R0882807f5c754d17" /><Relationship Type="http://schemas.openxmlformats.org/officeDocument/2006/relationships/image" Target="/xl/media/image3293.jpg" Id="Ra222be3e970c4a03" /><Relationship Type="http://schemas.openxmlformats.org/officeDocument/2006/relationships/image" Target="/xl/media/image3294.jpg" Id="R2116faeb6aaa44de" /><Relationship Type="http://schemas.openxmlformats.org/officeDocument/2006/relationships/image" Target="/xl/media/image3295.jpg" Id="R1d2970ddaa194931" /><Relationship Type="http://schemas.openxmlformats.org/officeDocument/2006/relationships/image" Target="/xl/media/image3296.jpg" Id="R51575a8de5684170" /><Relationship Type="http://schemas.openxmlformats.org/officeDocument/2006/relationships/image" Target="/xl/media/image3297.jpg" Id="R900baa0c550d4b28" /><Relationship Type="http://schemas.openxmlformats.org/officeDocument/2006/relationships/image" Target="/xl/media/image3298.jpg" Id="Rb26c2a4c68c04fa1" /><Relationship Type="http://schemas.openxmlformats.org/officeDocument/2006/relationships/image" Target="/xl/media/image3299.jpg" Id="R02dcfd5daa454307" /><Relationship Type="http://schemas.openxmlformats.org/officeDocument/2006/relationships/image" Target="/xl/media/image3300.jpg" Id="Rc6f580537ca947e5" /><Relationship Type="http://schemas.openxmlformats.org/officeDocument/2006/relationships/image" Target="/xl/media/image3301.jpg" Id="R0cd797aecca84474" /><Relationship Type="http://schemas.openxmlformats.org/officeDocument/2006/relationships/image" Target="/xl/media/image3302.jpg" Id="R83c5ae557a994c4c" /><Relationship Type="http://schemas.openxmlformats.org/officeDocument/2006/relationships/image" Target="/xl/media/image3303.jpg" Id="Rc54116c191fc4328" /><Relationship Type="http://schemas.openxmlformats.org/officeDocument/2006/relationships/image" Target="/xl/media/image3304.jpg" Id="Rf02e8114f7c84764" /><Relationship Type="http://schemas.openxmlformats.org/officeDocument/2006/relationships/image" Target="/xl/media/image3305.jpg" Id="Redabd80d2b414eed" /><Relationship Type="http://schemas.openxmlformats.org/officeDocument/2006/relationships/image" Target="/xl/media/image3306.jpg" Id="R9312a54c21f44a5d" /><Relationship Type="http://schemas.openxmlformats.org/officeDocument/2006/relationships/image" Target="/xl/media/image3307.jpg" Id="Rb964882e59ab4e8b" /><Relationship Type="http://schemas.openxmlformats.org/officeDocument/2006/relationships/image" Target="/xl/media/image3308.jpg" Id="Rdb3671f623794467" /><Relationship Type="http://schemas.openxmlformats.org/officeDocument/2006/relationships/image" Target="/xl/media/image3309.jpg" Id="R2f3f11f7f23c45e7" /><Relationship Type="http://schemas.openxmlformats.org/officeDocument/2006/relationships/image" Target="/xl/media/image3310.jpg" Id="R3ae49cecaf284765" /><Relationship Type="http://schemas.openxmlformats.org/officeDocument/2006/relationships/image" Target="/xl/media/image3311.jpg" Id="R7ebd69b85be248d7" /><Relationship Type="http://schemas.openxmlformats.org/officeDocument/2006/relationships/image" Target="/xl/media/image3312.jpg" Id="Rfc96a59a01c14699" /><Relationship Type="http://schemas.openxmlformats.org/officeDocument/2006/relationships/image" Target="/xl/media/image3313.jpg" Id="R5299eb382ed54f8b" /><Relationship Type="http://schemas.openxmlformats.org/officeDocument/2006/relationships/image" Target="/xl/media/image3314.jpg" Id="R3d827d02fc394808" /><Relationship Type="http://schemas.openxmlformats.org/officeDocument/2006/relationships/image" Target="/xl/media/image3315.jpg" Id="Rb71d3eeaf4fa4338" /><Relationship Type="http://schemas.openxmlformats.org/officeDocument/2006/relationships/image" Target="/xl/media/image3316.jpg" Id="R75911aef486545b9" /><Relationship Type="http://schemas.openxmlformats.org/officeDocument/2006/relationships/image" Target="/xl/media/image3317.jpg" Id="R57a97916aa8b42a2" /><Relationship Type="http://schemas.openxmlformats.org/officeDocument/2006/relationships/image" Target="/xl/media/image3318.jpg" Id="Rf50c316a0e2c42a1" /><Relationship Type="http://schemas.openxmlformats.org/officeDocument/2006/relationships/image" Target="/xl/media/image3319.jpg" Id="Ra910bffc59924071" /><Relationship Type="http://schemas.openxmlformats.org/officeDocument/2006/relationships/image" Target="/xl/media/image3320.jpg" Id="R899b442a8aa24c13" /><Relationship Type="http://schemas.openxmlformats.org/officeDocument/2006/relationships/image" Target="/xl/media/image3321.jpg" Id="Re89116f6aea349f3" /><Relationship Type="http://schemas.openxmlformats.org/officeDocument/2006/relationships/image" Target="/xl/media/image3322.jpg" Id="Rea335649f0e64082" /><Relationship Type="http://schemas.openxmlformats.org/officeDocument/2006/relationships/image" Target="/xl/media/image3323.jpg" Id="R5a0b593f33ea4857" /><Relationship Type="http://schemas.openxmlformats.org/officeDocument/2006/relationships/image" Target="/xl/media/image3324.jpg" Id="R3423dfc538a24e70" /><Relationship Type="http://schemas.openxmlformats.org/officeDocument/2006/relationships/image" Target="/xl/media/image3325.jpg" Id="R891872d0910441e9" /><Relationship Type="http://schemas.openxmlformats.org/officeDocument/2006/relationships/image" Target="/xl/media/image3326.jpg" Id="R10f874fbfb6b487d" /><Relationship Type="http://schemas.openxmlformats.org/officeDocument/2006/relationships/image" Target="/xl/media/image3327.jpg" Id="R602b959051ae482a" /><Relationship Type="http://schemas.openxmlformats.org/officeDocument/2006/relationships/image" Target="/xl/media/image3328.jpg" Id="Re1ab682b84444736" /><Relationship Type="http://schemas.openxmlformats.org/officeDocument/2006/relationships/image" Target="/xl/media/image3329.jpg" Id="R60d5624813884286" /><Relationship Type="http://schemas.openxmlformats.org/officeDocument/2006/relationships/image" Target="/xl/media/image3330.jpg" Id="R267ed18785ae4452" /><Relationship Type="http://schemas.openxmlformats.org/officeDocument/2006/relationships/image" Target="/xl/media/image3331.jpg" Id="Rd96afe755ec8474b" /><Relationship Type="http://schemas.openxmlformats.org/officeDocument/2006/relationships/image" Target="/xl/media/image3332.jpg" Id="R6cea8afb29f64399" /><Relationship Type="http://schemas.openxmlformats.org/officeDocument/2006/relationships/image" Target="/xl/media/image3333.jpg" Id="Rca9584554d754b0d" /><Relationship Type="http://schemas.openxmlformats.org/officeDocument/2006/relationships/image" Target="/xl/media/image3334.jpg" Id="R93be7ae8e6e440b7" /><Relationship Type="http://schemas.openxmlformats.org/officeDocument/2006/relationships/image" Target="/xl/media/image3335.jpg" Id="R4edd224b538d403c" /><Relationship Type="http://schemas.openxmlformats.org/officeDocument/2006/relationships/image" Target="/xl/media/image3336.jpg" Id="Rcf214ffb9d464dfe" /><Relationship Type="http://schemas.openxmlformats.org/officeDocument/2006/relationships/image" Target="/xl/media/image3337.jpg" Id="Re806b6a4d91b438f" /><Relationship Type="http://schemas.openxmlformats.org/officeDocument/2006/relationships/image" Target="/xl/media/image3338.jpg" Id="R6376f88098cb4709" /><Relationship Type="http://schemas.openxmlformats.org/officeDocument/2006/relationships/image" Target="/xl/media/image3339.jpg" Id="R5f2a751b9acd478f" /><Relationship Type="http://schemas.openxmlformats.org/officeDocument/2006/relationships/image" Target="/xl/media/image3340.jpg" Id="Ra1c078325fe04c37" /><Relationship Type="http://schemas.openxmlformats.org/officeDocument/2006/relationships/image" Target="/xl/media/image3341.jpg" Id="R4ad9aac68bb34364" /><Relationship Type="http://schemas.openxmlformats.org/officeDocument/2006/relationships/image" Target="/xl/media/image3342.jpg" Id="R05dd22f1428446f0" /><Relationship Type="http://schemas.openxmlformats.org/officeDocument/2006/relationships/image" Target="/xl/media/image3343.jpg" Id="R43052becac044bc0" /><Relationship Type="http://schemas.openxmlformats.org/officeDocument/2006/relationships/image" Target="/xl/media/image3344.jpg" Id="R1d96b8040d744df6" /><Relationship Type="http://schemas.openxmlformats.org/officeDocument/2006/relationships/image" Target="/xl/media/image3345.jpg" Id="R6cd3e62b08534f39" /><Relationship Type="http://schemas.openxmlformats.org/officeDocument/2006/relationships/image" Target="/xl/media/image3346.jpg" Id="Rf93c47cee3f445bd" /><Relationship Type="http://schemas.openxmlformats.org/officeDocument/2006/relationships/image" Target="/xl/media/image3347.jpg" Id="Rb920f0d22c894de6" /><Relationship Type="http://schemas.openxmlformats.org/officeDocument/2006/relationships/image" Target="/xl/media/image3348.jpg" Id="R7ab65fa54cf244f3" /><Relationship Type="http://schemas.openxmlformats.org/officeDocument/2006/relationships/image" Target="/xl/media/image3349.jpg" Id="Re5ebe136f1af4d68" /><Relationship Type="http://schemas.openxmlformats.org/officeDocument/2006/relationships/image" Target="/xl/media/image3350.jpg" Id="R3488ef8e27a049ab" /><Relationship Type="http://schemas.openxmlformats.org/officeDocument/2006/relationships/image" Target="/xl/media/image3351.jpg" Id="Rc508de98f53f4914" /><Relationship Type="http://schemas.openxmlformats.org/officeDocument/2006/relationships/image" Target="/xl/media/image3352.jpg" Id="R2c7a991fbcef42bb" /><Relationship Type="http://schemas.openxmlformats.org/officeDocument/2006/relationships/image" Target="/xl/media/image3353.jpg" Id="Ra53c6c686a644d06" /><Relationship Type="http://schemas.openxmlformats.org/officeDocument/2006/relationships/image" Target="/xl/media/image3354.jpg" Id="R5bbb2a6e4cec49d3" /><Relationship Type="http://schemas.openxmlformats.org/officeDocument/2006/relationships/image" Target="/xl/media/image3355.jpg" Id="Rc624c733732941c5" /><Relationship Type="http://schemas.openxmlformats.org/officeDocument/2006/relationships/image" Target="/xl/media/image3356.jpg" Id="R827487dc0e484958" /><Relationship Type="http://schemas.openxmlformats.org/officeDocument/2006/relationships/image" Target="/xl/media/image3357.jpg" Id="R1b62a731abe242be" /><Relationship Type="http://schemas.openxmlformats.org/officeDocument/2006/relationships/image" Target="/xl/media/image3358.jpg" Id="Rd18b2e8f15c54f1a" /><Relationship Type="http://schemas.openxmlformats.org/officeDocument/2006/relationships/image" Target="/xl/media/image3359.jpg" Id="R02e5d7b906eb4c95" /><Relationship Type="http://schemas.openxmlformats.org/officeDocument/2006/relationships/image" Target="/xl/media/image3360.jpg" Id="R14be7b8612b7428c" /><Relationship Type="http://schemas.openxmlformats.org/officeDocument/2006/relationships/image" Target="/xl/media/image3361.jpg" Id="R14f56cadd9bb4504" /><Relationship Type="http://schemas.openxmlformats.org/officeDocument/2006/relationships/image" Target="/xl/media/image3362.jpg" Id="Ra8893c8a4c9343c3" /><Relationship Type="http://schemas.openxmlformats.org/officeDocument/2006/relationships/image" Target="/xl/media/image3363.jpg" Id="R240d7b5ac31242db" /><Relationship Type="http://schemas.openxmlformats.org/officeDocument/2006/relationships/image" Target="/xl/media/image3364.jpg" Id="R983a971f997d449c" /><Relationship Type="http://schemas.openxmlformats.org/officeDocument/2006/relationships/image" Target="/xl/media/image3365.jpg" Id="Rf58733a0297a479b" /><Relationship Type="http://schemas.openxmlformats.org/officeDocument/2006/relationships/image" Target="/xl/media/image3366.jpg" Id="R641b4007cc294054" /><Relationship Type="http://schemas.openxmlformats.org/officeDocument/2006/relationships/image" Target="/xl/media/image3367.jpg" Id="Rc7cdd4b5da0146ce" /><Relationship Type="http://schemas.openxmlformats.org/officeDocument/2006/relationships/image" Target="/xl/media/image3368.jpg" Id="Rb2624bd9d5714d03" /><Relationship Type="http://schemas.openxmlformats.org/officeDocument/2006/relationships/image" Target="/xl/media/image3369.jpg" Id="Raa9b7b0c82cc47c2" /><Relationship Type="http://schemas.openxmlformats.org/officeDocument/2006/relationships/image" Target="/xl/media/image3370.jpg" Id="Rf88950e5cfcb4d72" /><Relationship Type="http://schemas.openxmlformats.org/officeDocument/2006/relationships/image" Target="/xl/media/image3371.jpg" Id="R93fb51561051451a" /><Relationship Type="http://schemas.openxmlformats.org/officeDocument/2006/relationships/image" Target="/xl/media/image3372.jpg" Id="R3e4d7a81bed54f56" /><Relationship Type="http://schemas.openxmlformats.org/officeDocument/2006/relationships/image" Target="/xl/media/image3373.jpg" Id="R77371302a13b4c09" /><Relationship Type="http://schemas.openxmlformats.org/officeDocument/2006/relationships/image" Target="/xl/media/image3374.jpg" Id="R27003a2bf06a43df" /><Relationship Type="http://schemas.openxmlformats.org/officeDocument/2006/relationships/image" Target="/xl/media/image3375.jpg" Id="Re1bcc8d906154518" /><Relationship Type="http://schemas.openxmlformats.org/officeDocument/2006/relationships/image" Target="/xl/media/image3376.jpg" Id="R0f58313493ff4658" /><Relationship Type="http://schemas.openxmlformats.org/officeDocument/2006/relationships/image" Target="/xl/media/image3377.jpg" Id="R17aabb0529e4465f" /><Relationship Type="http://schemas.openxmlformats.org/officeDocument/2006/relationships/image" Target="/xl/media/image3378.jpg" Id="R277ebeff52ce4ac6" /><Relationship Type="http://schemas.openxmlformats.org/officeDocument/2006/relationships/image" Target="/xl/media/image3379.jpg" Id="R43fc2e1357c54f9c" /><Relationship Type="http://schemas.openxmlformats.org/officeDocument/2006/relationships/image" Target="/xl/media/image3380.jpg" Id="R4aadee2cf90c46c9" /><Relationship Type="http://schemas.openxmlformats.org/officeDocument/2006/relationships/image" Target="/xl/media/image3381.jpg" Id="R8784980ee6e445dd" /><Relationship Type="http://schemas.openxmlformats.org/officeDocument/2006/relationships/image" Target="/xl/media/image3382.jpg" Id="R3e958c59b45a4a9e" /><Relationship Type="http://schemas.openxmlformats.org/officeDocument/2006/relationships/image" Target="/xl/media/image3383.jpg" Id="R533bfcd0d01241ef" /><Relationship Type="http://schemas.openxmlformats.org/officeDocument/2006/relationships/image" Target="/xl/media/image3384.jpg" Id="R4f0a86021d584585" /><Relationship Type="http://schemas.openxmlformats.org/officeDocument/2006/relationships/image" Target="/xl/media/image3385.jpg" Id="R17dfa3da211a48f6" /><Relationship Type="http://schemas.openxmlformats.org/officeDocument/2006/relationships/image" Target="/xl/media/image3386.jpg" Id="R410e17daf4864244" /><Relationship Type="http://schemas.openxmlformats.org/officeDocument/2006/relationships/image" Target="/xl/media/image3387.jpg" Id="R337b548a2a15455f" /><Relationship Type="http://schemas.openxmlformats.org/officeDocument/2006/relationships/image" Target="/xl/media/image3388.jpg" Id="Redc5c8143a3b4ea7" /><Relationship Type="http://schemas.openxmlformats.org/officeDocument/2006/relationships/image" Target="/xl/media/image3389.jpg" Id="R593bd2553e4e4307" /><Relationship Type="http://schemas.openxmlformats.org/officeDocument/2006/relationships/image" Target="/xl/media/image3390.jpg" Id="R55c838748c9342b3" /><Relationship Type="http://schemas.openxmlformats.org/officeDocument/2006/relationships/image" Target="/xl/media/image3391.jpg" Id="R7ce6147b14d9408e" /><Relationship Type="http://schemas.openxmlformats.org/officeDocument/2006/relationships/image" Target="/xl/media/image3392.jpg" Id="Rc6ca010894b7466d" /><Relationship Type="http://schemas.openxmlformats.org/officeDocument/2006/relationships/image" Target="/xl/media/image3393.jpg" Id="R0b393ac2a55d4702" /><Relationship Type="http://schemas.openxmlformats.org/officeDocument/2006/relationships/image" Target="/xl/media/image3394.jpg" Id="Ra4bec08fd32d4926" /><Relationship Type="http://schemas.openxmlformats.org/officeDocument/2006/relationships/image" Target="/xl/media/image3395.jpg" Id="Rdb6fc3d315354b53" /><Relationship Type="http://schemas.openxmlformats.org/officeDocument/2006/relationships/image" Target="/xl/media/image3396.jpg" Id="R6417ccc0f5a5451c" /><Relationship Type="http://schemas.openxmlformats.org/officeDocument/2006/relationships/image" Target="/xl/media/image3397.jpg" Id="R0485306d8a2d41a8" /><Relationship Type="http://schemas.openxmlformats.org/officeDocument/2006/relationships/image" Target="/xl/media/image3398.jpg" Id="R75a7b66c60554716" /><Relationship Type="http://schemas.openxmlformats.org/officeDocument/2006/relationships/image" Target="/xl/media/image3399.jpg" Id="Rb8bf167889f642dc" /><Relationship Type="http://schemas.openxmlformats.org/officeDocument/2006/relationships/image" Target="/xl/media/image3400.jpg" Id="R29c7e105913a4943" /><Relationship Type="http://schemas.openxmlformats.org/officeDocument/2006/relationships/image" Target="/xl/media/image3401.jpg" Id="R5e26d356679141b1" /><Relationship Type="http://schemas.openxmlformats.org/officeDocument/2006/relationships/image" Target="/xl/media/image3402.jpg" Id="R7a50814b8a9847d3" /><Relationship Type="http://schemas.openxmlformats.org/officeDocument/2006/relationships/image" Target="/xl/media/image3403.jpg" Id="Rd076a5772e744482" /><Relationship Type="http://schemas.openxmlformats.org/officeDocument/2006/relationships/image" Target="/xl/media/image3404.jpg" Id="Rf4179b2321c749c8" /><Relationship Type="http://schemas.openxmlformats.org/officeDocument/2006/relationships/image" Target="/xl/media/image3405.jpg" Id="Radacbfc1ffad4a23" /><Relationship Type="http://schemas.openxmlformats.org/officeDocument/2006/relationships/image" Target="/xl/media/image3406.jpg" Id="R6a64b3cf293c45c3" /><Relationship Type="http://schemas.openxmlformats.org/officeDocument/2006/relationships/image" Target="/xl/media/image3407.jpg" Id="R6978f0bb31394d53" /><Relationship Type="http://schemas.openxmlformats.org/officeDocument/2006/relationships/image" Target="/xl/media/image3408.jpg" Id="R878662651d694c3c" /><Relationship Type="http://schemas.openxmlformats.org/officeDocument/2006/relationships/image" Target="/xl/media/image3409.jpg" Id="Rcef6e3f49ca746d2" /><Relationship Type="http://schemas.openxmlformats.org/officeDocument/2006/relationships/image" Target="/xl/media/image3410.jpg" Id="Rd9013275b5e14bf2" /><Relationship Type="http://schemas.openxmlformats.org/officeDocument/2006/relationships/image" Target="/xl/media/image3411.jpg" Id="Rae82cb0784554b87" /><Relationship Type="http://schemas.openxmlformats.org/officeDocument/2006/relationships/image" Target="/xl/media/image3412.jpg" Id="Rd113755d79cf4923" /><Relationship Type="http://schemas.openxmlformats.org/officeDocument/2006/relationships/image" Target="/xl/media/image3413.jpg" Id="Rb9af32e398c74f46" /><Relationship Type="http://schemas.openxmlformats.org/officeDocument/2006/relationships/image" Target="/xl/media/image3414.jpg" Id="Raede1ba85bcb44ec" /><Relationship Type="http://schemas.openxmlformats.org/officeDocument/2006/relationships/image" Target="/xl/media/image3415.jpg" Id="Rb3659e3a1cc24689" /><Relationship Type="http://schemas.openxmlformats.org/officeDocument/2006/relationships/image" Target="/xl/media/image3416.jpg" Id="R76b25f52f04b46da" /><Relationship Type="http://schemas.openxmlformats.org/officeDocument/2006/relationships/image" Target="/xl/media/image3417.jpg" Id="Rc25c1210ea5b43da" /><Relationship Type="http://schemas.openxmlformats.org/officeDocument/2006/relationships/image" Target="/xl/media/image3418.jpg" Id="R78d4cf8eaffc4d2f" /><Relationship Type="http://schemas.openxmlformats.org/officeDocument/2006/relationships/image" Target="/xl/media/image3419.jpg" Id="Rd0f69404813a4da1" /><Relationship Type="http://schemas.openxmlformats.org/officeDocument/2006/relationships/image" Target="/xl/media/image3420.jpg" Id="R0a248ed804974bda" /><Relationship Type="http://schemas.openxmlformats.org/officeDocument/2006/relationships/image" Target="/xl/media/image3421.jpg" Id="R8de31955ecb94aab" /><Relationship Type="http://schemas.openxmlformats.org/officeDocument/2006/relationships/image" Target="/xl/media/image3422.jpg" Id="Rf7e41fc4022641a2" /><Relationship Type="http://schemas.openxmlformats.org/officeDocument/2006/relationships/image" Target="/xl/media/image3423.jpg" Id="R79e7c012735342a0" /><Relationship Type="http://schemas.openxmlformats.org/officeDocument/2006/relationships/image" Target="/xl/media/image3424.jpg" Id="R153ddb87eee44dfb" /><Relationship Type="http://schemas.openxmlformats.org/officeDocument/2006/relationships/image" Target="/xl/media/image3425.jpg" Id="Rba484d1507dd44ee" /><Relationship Type="http://schemas.openxmlformats.org/officeDocument/2006/relationships/image" Target="/xl/media/image3426.jpg" Id="R93c8de087f414e33" /><Relationship Type="http://schemas.openxmlformats.org/officeDocument/2006/relationships/image" Target="/xl/media/image3427.jpg" Id="Rb16bdf7b9c9c4b56" /><Relationship Type="http://schemas.openxmlformats.org/officeDocument/2006/relationships/image" Target="/xl/media/image3428.jpg" Id="Reb2171960af54dde" /><Relationship Type="http://schemas.openxmlformats.org/officeDocument/2006/relationships/image" Target="/xl/media/image3429.jpg" Id="Rd8f60180842645e6" /><Relationship Type="http://schemas.openxmlformats.org/officeDocument/2006/relationships/image" Target="/xl/media/image3430.jpg" Id="Rcc5fd751209d404c" /><Relationship Type="http://schemas.openxmlformats.org/officeDocument/2006/relationships/image" Target="/xl/media/image3431.jpg" Id="Re9c7bfb53d7b43fa" /><Relationship Type="http://schemas.openxmlformats.org/officeDocument/2006/relationships/image" Target="/xl/media/image3432.jpg" Id="R9287d78b094547a6" /><Relationship Type="http://schemas.openxmlformats.org/officeDocument/2006/relationships/image" Target="/xl/media/image3433.jpg" Id="R60271cd4727a4de9" /><Relationship Type="http://schemas.openxmlformats.org/officeDocument/2006/relationships/image" Target="/xl/media/image3434.jpg" Id="R57e68bc193314886" /><Relationship Type="http://schemas.openxmlformats.org/officeDocument/2006/relationships/image" Target="/xl/media/image3435.jpg" Id="Re6ec1c4731fc45d6" /><Relationship Type="http://schemas.openxmlformats.org/officeDocument/2006/relationships/image" Target="/xl/media/image3436.jpg" Id="R017643e2654d482b" /><Relationship Type="http://schemas.openxmlformats.org/officeDocument/2006/relationships/image" Target="/xl/media/image3437.jpg" Id="R12d7c943327c4aae" /><Relationship Type="http://schemas.openxmlformats.org/officeDocument/2006/relationships/image" Target="/xl/media/image3438.jpg" Id="R6664769dbd134b48" /><Relationship Type="http://schemas.openxmlformats.org/officeDocument/2006/relationships/image" Target="/xl/media/image3439.jpg" Id="R2e9e2fdadc404887" /><Relationship Type="http://schemas.openxmlformats.org/officeDocument/2006/relationships/image" Target="/xl/media/image3440.jpg" Id="Re9893d7266f14634" /><Relationship Type="http://schemas.openxmlformats.org/officeDocument/2006/relationships/image" Target="/xl/media/image3441.jpg" Id="Ra9dd094418924616" /><Relationship Type="http://schemas.openxmlformats.org/officeDocument/2006/relationships/image" Target="/xl/media/image3442.jpg" Id="R154a1fe1b2c84055" /><Relationship Type="http://schemas.openxmlformats.org/officeDocument/2006/relationships/image" Target="/xl/media/image3443.jpg" Id="Rc4a273db48e84bb4" /><Relationship Type="http://schemas.openxmlformats.org/officeDocument/2006/relationships/image" Target="/xl/media/image3444.jpg" Id="R1d3abb86c8b74723" /><Relationship Type="http://schemas.openxmlformats.org/officeDocument/2006/relationships/image" Target="/xl/media/image3445.jpg" Id="Rc88295f33fee4cea" /><Relationship Type="http://schemas.openxmlformats.org/officeDocument/2006/relationships/image" Target="/xl/media/image3446.jpg" Id="R58ddfd4a97874ec9" /><Relationship Type="http://schemas.openxmlformats.org/officeDocument/2006/relationships/image" Target="/xl/media/image3447.jpg" Id="R6def95a0ba3c48a1" /><Relationship Type="http://schemas.openxmlformats.org/officeDocument/2006/relationships/image" Target="/xl/media/image3448.jpg" Id="Re203ad31a80942d5" /><Relationship Type="http://schemas.openxmlformats.org/officeDocument/2006/relationships/image" Target="/xl/media/image3449.jpg" Id="Rd360fd48214f4b9e" /><Relationship Type="http://schemas.openxmlformats.org/officeDocument/2006/relationships/image" Target="/xl/media/image3450.jpg" Id="R858b2244657d4835" /><Relationship Type="http://schemas.openxmlformats.org/officeDocument/2006/relationships/image" Target="/xl/media/image3451.jpg" Id="R0254e867b59b4c0e" /><Relationship Type="http://schemas.openxmlformats.org/officeDocument/2006/relationships/image" Target="/xl/media/image3452.jpg" Id="Rec4b651a0807446e" /><Relationship Type="http://schemas.openxmlformats.org/officeDocument/2006/relationships/image" Target="/xl/media/image3453.jpg" Id="R8cc3869d30964f65" /><Relationship Type="http://schemas.openxmlformats.org/officeDocument/2006/relationships/image" Target="/xl/media/image3454.jpg" Id="R57168ba7f6e0426c" /><Relationship Type="http://schemas.openxmlformats.org/officeDocument/2006/relationships/image" Target="/xl/media/image3455.jpg" Id="Re0f143a06cdd474b" /><Relationship Type="http://schemas.openxmlformats.org/officeDocument/2006/relationships/image" Target="/xl/media/image3456.jpg" Id="R5847cf18c19a4044" /><Relationship Type="http://schemas.openxmlformats.org/officeDocument/2006/relationships/image" Target="/xl/media/image3457.jpg" Id="R1e2ef119150e4ad8" /><Relationship Type="http://schemas.openxmlformats.org/officeDocument/2006/relationships/image" Target="/xl/media/image3458.jpg" Id="Rc0602417f8aa48e6" /><Relationship Type="http://schemas.openxmlformats.org/officeDocument/2006/relationships/image" Target="/xl/media/image3459.jpg" Id="Rd48231bbc57b4e2a" /><Relationship Type="http://schemas.openxmlformats.org/officeDocument/2006/relationships/image" Target="/xl/media/image3460.jpg" Id="R005c189be6c6435d" /><Relationship Type="http://schemas.openxmlformats.org/officeDocument/2006/relationships/image" Target="/xl/media/image3461.jpg" Id="R27daa6351de741fb" /><Relationship Type="http://schemas.openxmlformats.org/officeDocument/2006/relationships/image" Target="/xl/media/image3462.jpg" Id="R179dbd0cb6c24e0c" /><Relationship Type="http://schemas.openxmlformats.org/officeDocument/2006/relationships/image" Target="/xl/media/image3463.jpg" Id="Rd9b7f820e956453e" /><Relationship Type="http://schemas.openxmlformats.org/officeDocument/2006/relationships/image" Target="/xl/media/image3464.jpg" Id="Rba260e1770d64c75" /><Relationship Type="http://schemas.openxmlformats.org/officeDocument/2006/relationships/image" Target="/xl/media/image3465.jpg" Id="R0903b52e53314544" /><Relationship Type="http://schemas.openxmlformats.org/officeDocument/2006/relationships/image" Target="/xl/media/image3466.jpg" Id="R32f0ecf620274e59" /><Relationship Type="http://schemas.openxmlformats.org/officeDocument/2006/relationships/image" Target="/xl/media/image3467.jpg" Id="Rbdb2d3b453cf47b3" /><Relationship Type="http://schemas.openxmlformats.org/officeDocument/2006/relationships/image" Target="/xl/media/image3468.jpg" Id="Rde9abd8bebd94414" /><Relationship Type="http://schemas.openxmlformats.org/officeDocument/2006/relationships/image" Target="/xl/media/image3469.jpg" Id="R650f5835ee054b02" /><Relationship Type="http://schemas.openxmlformats.org/officeDocument/2006/relationships/image" Target="/xl/media/image3470.jpg" Id="R273b259e09f74db0" /><Relationship Type="http://schemas.openxmlformats.org/officeDocument/2006/relationships/image" Target="/xl/media/image3471.jpg" Id="R04e7e333dfe942b5" /><Relationship Type="http://schemas.openxmlformats.org/officeDocument/2006/relationships/image" Target="/xl/media/image3472.jpg" Id="Rd55321cac5a649d2" /><Relationship Type="http://schemas.openxmlformats.org/officeDocument/2006/relationships/image" Target="/xl/media/image3473.jpg" Id="R9e84ba984a4144cd" /><Relationship Type="http://schemas.openxmlformats.org/officeDocument/2006/relationships/image" Target="/xl/media/image3474.jpg" Id="Rcd7186315ab94540" /><Relationship Type="http://schemas.openxmlformats.org/officeDocument/2006/relationships/image" Target="/xl/media/image3475.jpg" Id="R666b1bd42480490d" /><Relationship Type="http://schemas.openxmlformats.org/officeDocument/2006/relationships/image" Target="/xl/media/image3476.jpg" Id="R9a3d456d8b694f23" /><Relationship Type="http://schemas.openxmlformats.org/officeDocument/2006/relationships/image" Target="/xl/media/image3477.jpg" Id="R4472319fce9148db" /><Relationship Type="http://schemas.openxmlformats.org/officeDocument/2006/relationships/image" Target="/xl/media/image3478.jpg" Id="R113252f7212a4a61" /><Relationship Type="http://schemas.openxmlformats.org/officeDocument/2006/relationships/image" Target="/xl/media/image3479.jpg" Id="R10ced980f15d42a4" /><Relationship Type="http://schemas.openxmlformats.org/officeDocument/2006/relationships/image" Target="/xl/media/image3480.jpg" Id="Rda9d93e3cb234710" /><Relationship Type="http://schemas.openxmlformats.org/officeDocument/2006/relationships/image" Target="/xl/media/image3481.jpg" Id="R88d7c6691c504a08" /><Relationship Type="http://schemas.openxmlformats.org/officeDocument/2006/relationships/image" Target="/xl/media/image3482.jpg" Id="R8df9b21ac8b74255" /><Relationship Type="http://schemas.openxmlformats.org/officeDocument/2006/relationships/image" Target="/xl/media/image3483.jpg" Id="Rfb6902281dc14bde" /><Relationship Type="http://schemas.openxmlformats.org/officeDocument/2006/relationships/image" Target="/xl/media/image3484.jpg" Id="Rb052e6cb3ab04fc8" /><Relationship Type="http://schemas.openxmlformats.org/officeDocument/2006/relationships/image" Target="/xl/media/image3485.jpg" Id="R3f36f0eaee75484e" /><Relationship Type="http://schemas.openxmlformats.org/officeDocument/2006/relationships/image" Target="/xl/media/image3486.jpg" Id="R2462549ead894224" /><Relationship Type="http://schemas.openxmlformats.org/officeDocument/2006/relationships/image" Target="/xl/media/image3487.jpg" Id="Rde87c3dccfac46c4" /><Relationship Type="http://schemas.openxmlformats.org/officeDocument/2006/relationships/image" Target="/xl/media/image3488.jpg" Id="R86df8e52c4cc463c" /><Relationship Type="http://schemas.openxmlformats.org/officeDocument/2006/relationships/image" Target="/xl/media/image3489.jpg" Id="R6b84c45a73f74729" /><Relationship Type="http://schemas.openxmlformats.org/officeDocument/2006/relationships/image" Target="/xl/media/image3490.jpg" Id="R2b4ce683b47a48c3" /><Relationship Type="http://schemas.openxmlformats.org/officeDocument/2006/relationships/image" Target="/xl/media/image3491.jpg" Id="Rfb96db6aee3a4ba4" /><Relationship Type="http://schemas.openxmlformats.org/officeDocument/2006/relationships/image" Target="/xl/media/image3492.jpg" Id="R6b1dbd01a62a4ff0" /><Relationship Type="http://schemas.openxmlformats.org/officeDocument/2006/relationships/image" Target="/xl/media/image3493.jpg" Id="R2defd43bbe8c44fa" /><Relationship Type="http://schemas.openxmlformats.org/officeDocument/2006/relationships/image" Target="/xl/media/image3494.jpg" Id="R6ce0ef11a98e414f" /><Relationship Type="http://schemas.openxmlformats.org/officeDocument/2006/relationships/image" Target="/xl/media/image3495.jpg" Id="Rb927d272349c4cb9" /><Relationship Type="http://schemas.openxmlformats.org/officeDocument/2006/relationships/image" Target="/xl/media/image3496.jpg" Id="Reb46c5fcb33946ea" /><Relationship Type="http://schemas.openxmlformats.org/officeDocument/2006/relationships/image" Target="/xl/media/image3497.jpg" Id="R8801e8af02d84cd0" /><Relationship Type="http://schemas.openxmlformats.org/officeDocument/2006/relationships/image" Target="/xl/media/image3498.jpg" Id="R0473057b027d4ae6" /><Relationship Type="http://schemas.openxmlformats.org/officeDocument/2006/relationships/image" Target="/xl/media/image3499.jpg" Id="R192c3eaa01c74548" /><Relationship Type="http://schemas.openxmlformats.org/officeDocument/2006/relationships/image" Target="/xl/media/image3500.jpg" Id="R2c556537287c42a7" /><Relationship Type="http://schemas.openxmlformats.org/officeDocument/2006/relationships/image" Target="/xl/media/image3501.jpg" Id="R374574606cca4923" /><Relationship Type="http://schemas.openxmlformats.org/officeDocument/2006/relationships/image" Target="/xl/media/image3502.jpg" Id="R06878095545241db" /><Relationship Type="http://schemas.openxmlformats.org/officeDocument/2006/relationships/image" Target="/xl/media/image3503.jpg" Id="Rb24eca994d0c4465" /><Relationship Type="http://schemas.openxmlformats.org/officeDocument/2006/relationships/image" Target="/xl/media/image3504.jpg" Id="Rf85f2015fc594011" /><Relationship Type="http://schemas.openxmlformats.org/officeDocument/2006/relationships/image" Target="/xl/media/image3505.jpg" Id="Re8bf5a782e164534" /><Relationship Type="http://schemas.openxmlformats.org/officeDocument/2006/relationships/image" Target="/xl/media/image3506.jpg" Id="R747904b3598e4b63" /><Relationship Type="http://schemas.openxmlformats.org/officeDocument/2006/relationships/image" Target="/xl/media/image3507.jpg" Id="R86c3ad8351864e71" /><Relationship Type="http://schemas.openxmlformats.org/officeDocument/2006/relationships/image" Target="/xl/media/image3508.jpg" Id="R4c9c42247f144eaa" /><Relationship Type="http://schemas.openxmlformats.org/officeDocument/2006/relationships/image" Target="/xl/media/image3509.jpg" Id="R1953a3ba59f34dba" /><Relationship Type="http://schemas.openxmlformats.org/officeDocument/2006/relationships/image" Target="/xl/media/image3510.jpg" Id="R4db3b3bad222430e" /><Relationship Type="http://schemas.openxmlformats.org/officeDocument/2006/relationships/image" Target="/xl/media/image3511.jpg" Id="R696df4c8dad3488b" /><Relationship Type="http://schemas.openxmlformats.org/officeDocument/2006/relationships/image" Target="/xl/media/image3512.jpg" Id="R284a4afa24fc434b" /><Relationship Type="http://schemas.openxmlformats.org/officeDocument/2006/relationships/image" Target="/xl/media/image3513.jpg" Id="R23bc2a3835394e31" /><Relationship Type="http://schemas.openxmlformats.org/officeDocument/2006/relationships/image" Target="/xl/media/image3514.jpg" Id="Re08d9c349e184239" /><Relationship Type="http://schemas.openxmlformats.org/officeDocument/2006/relationships/image" Target="/xl/media/image3515.jpg" Id="R968b8268aa784a6a" /><Relationship Type="http://schemas.openxmlformats.org/officeDocument/2006/relationships/image" Target="/xl/media/image3516.jpg" Id="R4b6e9f6c0db341b1" /><Relationship Type="http://schemas.openxmlformats.org/officeDocument/2006/relationships/image" Target="/xl/media/image3517.jpg" Id="R5af85e494a524611" /><Relationship Type="http://schemas.openxmlformats.org/officeDocument/2006/relationships/image" Target="/xl/media/image3518.jpg" Id="R665b403e0c6940ea" /><Relationship Type="http://schemas.openxmlformats.org/officeDocument/2006/relationships/image" Target="/xl/media/image3519.jpg" Id="Rb42ae3a0b7444e0b" /><Relationship Type="http://schemas.openxmlformats.org/officeDocument/2006/relationships/image" Target="/xl/media/image3520.jpg" Id="R22657e5afed74f0c" /><Relationship Type="http://schemas.openxmlformats.org/officeDocument/2006/relationships/image" Target="/xl/media/image3521.jpg" Id="Re7d4a8ca98ae49fb" /><Relationship Type="http://schemas.openxmlformats.org/officeDocument/2006/relationships/image" Target="/xl/media/image3522.jpg" Id="R51a6cffa532a43da" /><Relationship Type="http://schemas.openxmlformats.org/officeDocument/2006/relationships/image" Target="/xl/media/image3523.jpg" Id="Rc293e681fb1343b7" /><Relationship Type="http://schemas.openxmlformats.org/officeDocument/2006/relationships/image" Target="/xl/media/image3524.jpg" Id="R54f1b8c6e3b54a3c" /><Relationship Type="http://schemas.openxmlformats.org/officeDocument/2006/relationships/image" Target="/xl/media/image3525.jpg" Id="Rfedc3219a4774286" /><Relationship Type="http://schemas.openxmlformats.org/officeDocument/2006/relationships/image" Target="/xl/media/image3526.jpg" Id="Rd3252dc82414403e" /><Relationship Type="http://schemas.openxmlformats.org/officeDocument/2006/relationships/image" Target="/xl/media/image3527.jpg" Id="Ra49075f26d384e64" /><Relationship Type="http://schemas.openxmlformats.org/officeDocument/2006/relationships/image" Target="/xl/media/image3528.jpg" Id="Rbc28508070ff4b94" /><Relationship Type="http://schemas.openxmlformats.org/officeDocument/2006/relationships/image" Target="/xl/media/image3529.jpg" Id="Ra5e8976dd80b4b0d" /><Relationship Type="http://schemas.openxmlformats.org/officeDocument/2006/relationships/image" Target="/xl/media/image3530.jpg" Id="R7b070858d4f64dd8" /><Relationship Type="http://schemas.openxmlformats.org/officeDocument/2006/relationships/image" Target="/xl/media/image3531.jpg" Id="R42b31c365e8e4fbc" /><Relationship Type="http://schemas.openxmlformats.org/officeDocument/2006/relationships/image" Target="/xl/media/image3532.jpg" Id="R21b9dc03b99e4992" /><Relationship Type="http://schemas.openxmlformats.org/officeDocument/2006/relationships/image" Target="/xl/media/image3533.jpg" Id="Rf62a0a2c3ab8473a" /><Relationship Type="http://schemas.openxmlformats.org/officeDocument/2006/relationships/image" Target="/xl/media/image3534.jpg" Id="Rcf61845278c449bf" /><Relationship Type="http://schemas.openxmlformats.org/officeDocument/2006/relationships/image" Target="/xl/media/image3535.jpg" Id="Rca5186f7bb5a4b3b" /><Relationship Type="http://schemas.openxmlformats.org/officeDocument/2006/relationships/image" Target="/xl/media/image3536.jpg" Id="R867d50fc5d464098" /><Relationship Type="http://schemas.openxmlformats.org/officeDocument/2006/relationships/image" Target="/xl/media/image3537.jpg" Id="R8da69b6ab837437b" /><Relationship Type="http://schemas.openxmlformats.org/officeDocument/2006/relationships/image" Target="/xl/media/image3538.jpg" Id="R8ef276ab27c9449e" /><Relationship Type="http://schemas.openxmlformats.org/officeDocument/2006/relationships/image" Target="/xl/media/image3539.jpg" Id="Rb47a5ab8daf04103" /><Relationship Type="http://schemas.openxmlformats.org/officeDocument/2006/relationships/image" Target="/xl/media/image3540.jpg" Id="R251841e0332e4681" /><Relationship Type="http://schemas.openxmlformats.org/officeDocument/2006/relationships/image" Target="/xl/media/image3541.jpg" Id="R06920a4be4ab45c3" /><Relationship Type="http://schemas.openxmlformats.org/officeDocument/2006/relationships/image" Target="/xl/media/image3542.jpg" Id="R85b0f651fe104046" /><Relationship Type="http://schemas.openxmlformats.org/officeDocument/2006/relationships/image" Target="/xl/media/image3543.jpg" Id="R24c9b4441eeb4647" /><Relationship Type="http://schemas.openxmlformats.org/officeDocument/2006/relationships/image" Target="/xl/media/image3544.jpg" Id="R98254546250a45f4" /><Relationship Type="http://schemas.openxmlformats.org/officeDocument/2006/relationships/image" Target="/xl/media/image3545.jpg" Id="R236357bbe76b4817" /><Relationship Type="http://schemas.openxmlformats.org/officeDocument/2006/relationships/image" Target="/xl/media/image3546.jpg" Id="R07fa20a6e3ea443f" /><Relationship Type="http://schemas.openxmlformats.org/officeDocument/2006/relationships/image" Target="/xl/media/image3547.jpg" Id="Re3b8643fe639464f" /><Relationship Type="http://schemas.openxmlformats.org/officeDocument/2006/relationships/image" Target="/xl/media/image3548.jpg" Id="R6148c92cdeea4405" /><Relationship Type="http://schemas.openxmlformats.org/officeDocument/2006/relationships/image" Target="/xl/media/image3549.jpg" Id="Rbc2ebc65c377488a" /><Relationship Type="http://schemas.openxmlformats.org/officeDocument/2006/relationships/image" Target="/xl/media/image3550.jpg" Id="R5176d307b87f43e1" /><Relationship Type="http://schemas.openxmlformats.org/officeDocument/2006/relationships/image" Target="/xl/media/image3551.jpg" Id="Rb3bc513eb7f34104" /><Relationship Type="http://schemas.openxmlformats.org/officeDocument/2006/relationships/image" Target="/xl/media/image3552.jpg" Id="Ra994ea06e56f4a13" /><Relationship Type="http://schemas.openxmlformats.org/officeDocument/2006/relationships/image" Target="/xl/media/image3553.jpg" Id="Rfc92df0348b849c3" /><Relationship Type="http://schemas.openxmlformats.org/officeDocument/2006/relationships/image" Target="/xl/media/image3554.jpg" Id="Rb9824e3c2efb4598" /><Relationship Type="http://schemas.openxmlformats.org/officeDocument/2006/relationships/image" Target="/xl/media/image3555.jpg" Id="R972767423a18445b" /><Relationship Type="http://schemas.openxmlformats.org/officeDocument/2006/relationships/image" Target="/xl/media/image3556.jpg" Id="Rf53bfe826c314307" /><Relationship Type="http://schemas.openxmlformats.org/officeDocument/2006/relationships/image" Target="/xl/media/image3557.jpg" Id="R8fcffde46dc74a92" /><Relationship Type="http://schemas.openxmlformats.org/officeDocument/2006/relationships/image" Target="/xl/media/image3558.jpg" Id="R538607e0e7944ae6" /><Relationship Type="http://schemas.openxmlformats.org/officeDocument/2006/relationships/image" Target="/xl/media/image3559.jpg" Id="Rdb38f6c870f44886" /><Relationship Type="http://schemas.openxmlformats.org/officeDocument/2006/relationships/image" Target="/xl/media/image3560.jpg" Id="Rbc71ba50a0d14ec4" /><Relationship Type="http://schemas.openxmlformats.org/officeDocument/2006/relationships/image" Target="/xl/media/image3561.jpg" Id="R5a85214681a8453b" /><Relationship Type="http://schemas.openxmlformats.org/officeDocument/2006/relationships/image" Target="/xl/media/image3562.jpg" Id="R74f35b283b554bc6" /><Relationship Type="http://schemas.openxmlformats.org/officeDocument/2006/relationships/image" Target="/xl/media/image3563.jpg" Id="Rdf3a3ce768334530" /><Relationship Type="http://schemas.openxmlformats.org/officeDocument/2006/relationships/image" Target="/xl/media/image3564.jpg" Id="Rf6f546596079499c" /><Relationship Type="http://schemas.openxmlformats.org/officeDocument/2006/relationships/image" Target="/xl/media/image3565.jpg" Id="Rda33ab92e1bc4830" /><Relationship Type="http://schemas.openxmlformats.org/officeDocument/2006/relationships/image" Target="/xl/media/image3566.jpg" Id="Rac69d7cd93f94e41" /><Relationship Type="http://schemas.openxmlformats.org/officeDocument/2006/relationships/image" Target="/xl/media/image3567.jpg" Id="R77ed1003e7814992" /><Relationship Type="http://schemas.openxmlformats.org/officeDocument/2006/relationships/image" Target="/xl/media/image3568.jpg" Id="R82a15c0255b34668" /><Relationship Type="http://schemas.openxmlformats.org/officeDocument/2006/relationships/image" Target="/xl/media/image3569.jpg" Id="Rf283c6f31b9f4c50" /><Relationship Type="http://schemas.openxmlformats.org/officeDocument/2006/relationships/image" Target="/xl/media/image3570.jpg" Id="Rb4fc8338a2bb4c9e" /><Relationship Type="http://schemas.openxmlformats.org/officeDocument/2006/relationships/image" Target="/xl/media/image3571.jpg" Id="Rf19be48f3ebe4a9a" /><Relationship Type="http://schemas.openxmlformats.org/officeDocument/2006/relationships/image" Target="/xl/media/image3572.jpg" Id="Ra8852abae4914483" /><Relationship Type="http://schemas.openxmlformats.org/officeDocument/2006/relationships/image" Target="/xl/media/image3573.jpg" Id="Rb6ed10920e494434" /><Relationship Type="http://schemas.openxmlformats.org/officeDocument/2006/relationships/image" Target="/xl/media/image3574.jpg" Id="R4a385bfddf7b44ba" /><Relationship Type="http://schemas.openxmlformats.org/officeDocument/2006/relationships/image" Target="/xl/media/image3575.jpg" Id="R4cfe5667c3ea4d8b" /><Relationship Type="http://schemas.openxmlformats.org/officeDocument/2006/relationships/image" Target="/xl/media/image3576.jpg" Id="R8e61fe16f90942d9" /><Relationship Type="http://schemas.openxmlformats.org/officeDocument/2006/relationships/image" Target="/xl/media/image3577.jpg" Id="Red84d25093774170" /><Relationship Type="http://schemas.openxmlformats.org/officeDocument/2006/relationships/image" Target="/xl/media/image3578.jpg" Id="R885c9d822a3f4776" /><Relationship Type="http://schemas.openxmlformats.org/officeDocument/2006/relationships/image" Target="/xl/media/image3579.jpg" Id="Rb1985e4499b5414f" /><Relationship Type="http://schemas.openxmlformats.org/officeDocument/2006/relationships/image" Target="/xl/media/image3580.jpg" Id="R84bebcf879a844ed" /><Relationship Type="http://schemas.openxmlformats.org/officeDocument/2006/relationships/image" Target="/xl/media/image3581.jpg" Id="R66bfcc9b98554cca" /><Relationship Type="http://schemas.openxmlformats.org/officeDocument/2006/relationships/image" Target="/xl/media/image3582.jpg" Id="R8efb7fa2ecc54d57" /><Relationship Type="http://schemas.openxmlformats.org/officeDocument/2006/relationships/image" Target="/xl/media/image3583.jpg" Id="R1daf809b1ce646b8" /><Relationship Type="http://schemas.openxmlformats.org/officeDocument/2006/relationships/image" Target="/xl/media/image3584.jpg" Id="R5fe9abad8366440f" /><Relationship Type="http://schemas.openxmlformats.org/officeDocument/2006/relationships/image" Target="/xl/media/image3585.jpg" Id="R7579747efe794e6a" /><Relationship Type="http://schemas.openxmlformats.org/officeDocument/2006/relationships/image" Target="/xl/media/image3586.jpg" Id="Rd97b9d2f8ffb445b" /><Relationship Type="http://schemas.openxmlformats.org/officeDocument/2006/relationships/image" Target="/xl/media/image3587.jpg" Id="Rb75c7383002d46c7" /><Relationship Type="http://schemas.openxmlformats.org/officeDocument/2006/relationships/image" Target="/xl/media/image3588.jpg" Id="R933927c958a5452c" /><Relationship Type="http://schemas.openxmlformats.org/officeDocument/2006/relationships/image" Target="/xl/media/image3589.jpg" Id="Rd6204b9079a74a43" /><Relationship Type="http://schemas.openxmlformats.org/officeDocument/2006/relationships/image" Target="/xl/media/image3590.jpg" Id="R68c9067658af418e" /><Relationship Type="http://schemas.openxmlformats.org/officeDocument/2006/relationships/image" Target="/xl/media/image3591.jpg" Id="R55fae0bc3e5c4b2d" /><Relationship Type="http://schemas.openxmlformats.org/officeDocument/2006/relationships/image" Target="/xl/media/image3592.jpg" Id="R9849e0c7356f4cdc" /><Relationship Type="http://schemas.openxmlformats.org/officeDocument/2006/relationships/image" Target="/xl/media/image3593.jpg" Id="Rc4ad2c1b16bb48fd" /><Relationship Type="http://schemas.openxmlformats.org/officeDocument/2006/relationships/image" Target="/xl/media/image3594.jpg" Id="R8d99c5f0bcdb4b1f" /><Relationship Type="http://schemas.openxmlformats.org/officeDocument/2006/relationships/image" Target="/xl/media/image3595.jpg" Id="R0d1eed8ccccc40a8" /><Relationship Type="http://schemas.openxmlformats.org/officeDocument/2006/relationships/image" Target="/xl/media/image3596.jpg" Id="Rf74ce5906ded4365" /><Relationship Type="http://schemas.openxmlformats.org/officeDocument/2006/relationships/image" Target="/xl/media/image3597.jpg" Id="R03f87e157c024ae5" /><Relationship Type="http://schemas.openxmlformats.org/officeDocument/2006/relationships/image" Target="/xl/media/image3598.jpg" Id="Re248da17248f4fb3" /><Relationship Type="http://schemas.openxmlformats.org/officeDocument/2006/relationships/image" Target="/xl/media/image3599.jpg" Id="R72a95f61abde4b8d" /><Relationship Type="http://schemas.openxmlformats.org/officeDocument/2006/relationships/image" Target="/xl/media/image3600.jpg" Id="R0ba3f9fc65e14875" /><Relationship Type="http://schemas.openxmlformats.org/officeDocument/2006/relationships/image" Target="/xl/media/image3601.jpg" Id="Re4176099f38b4f1a" /><Relationship Type="http://schemas.openxmlformats.org/officeDocument/2006/relationships/image" Target="/xl/media/image3602.jpg" Id="R7ef6e35cddb542bf" /><Relationship Type="http://schemas.openxmlformats.org/officeDocument/2006/relationships/image" Target="/xl/media/image3603.jpg" Id="R5d8967cc76f74b18" /><Relationship Type="http://schemas.openxmlformats.org/officeDocument/2006/relationships/image" Target="/xl/media/image3604.jpg" Id="R90890de6eb6145fc" /><Relationship Type="http://schemas.openxmlformats.org/officeDocument/2006/relationships/image" Target="/xl/media/image3605.jpg" Id="Rd5fe5b789f674231" /><Relationship Type="http://schemas.openxmlformats.org/officeDocument/2006/relationships/image" Target="/xl/media/image3606.jpg" Id="Rc1613262ab94427b" /><Relationship Type="http://schemas.openxmlformats.org/officeDocument/2006/relationships/image" Target="/xl/media/image3607.jpg" Id="R6a096e1d55db4e87" /><Relationship Type="http://schemas.openxmlformats.org/officeDocument/2006/relationships/image" Target="/xl/media/image3608.jpg" Id="Rf98670bf5f0b4791" /><Relationship Type="http://schemas.openxmlformats.org/officeDocument/2006/relationships/image" Target="/xl/media/image3609.jpg" Id="R2b9ad9b43f2641ff" /><Relationship Type="http://schemas.openxmlformats.org/officeDocument/2006/relationships/image" Target="/xl/media/image3610.jpg" Id="R4190411e919d4222" /><Relationship Type="http://schemas.openxmlformats.org/officeDocument/2006/relationships/image" Target="/xl/media/image3611.jpg" Id="Rd5033cd7243348de" /><Relationship Type="http://schemas.openxmlformats.org/officeDocument/2006/relationships/image" Target="/xl/media/image3612.jpg" Id="Rc436f56d405b4dd6" /><Relationship Type="http://schemas.openxmlformats.org/officeDocument/2006/relationships/image" Target="/xl/media/image3613.jpg" Id="R5fcde3a21d514237" /><Relationship Type="http://schemas.openxmlformats.org/officeDocument/2006/relationships/image" Target="/xl/media/image3614.jpg" Id="R733395326977437a" /><Relationship Type="http://schemas.openxmlformats.org/officeDocument/2006/relationships/image" Target="/xl/media/image3615.jpg" Id="R75c3b6ab4f0d4afc" /><Relationship Type="http://schemas.openxmlformats.org/officeDocument/2006/relationships/image" Target="/xl/media/image3616.jpg" Id="Rf376e7b75aab4017" /><Relationship Type="http://schemas.openxmlformats.org/officeDocument/2006/relationships/image" Target="/xl/media/image3617.jpg" Id="R3f891c3932bd4dc4" /><Relationship Type="http://schemas.openxmlformats.org/officeDocument/2006/relationships/image" Target="/xl/media/image3618.jpg" Id="Rbda99058a59d447c" /><Relationship Type="http://schemas.openxmlformats.org/officeDocument/2006/relationships/image" Target="/xl/media/image3619.jpg" Id="Rab3b35d960b84335" /><Relationship Type="http://schemas.openxmlformats.org/officeDocument/2006/relationships/image" Target="/xl/media/image3620.jpg" Id="Rb49452cf32034d77" /><Relationship Type="http://schemas.openxmlformats.org/officeDocument/2006/relationships/image" Target="/xl/media/image3621.jpg" Id="R175665718ae54510" /><Relationship Type="http://schemas.openxmlformats.org/officeDocument/2006/relationships/image" Target="/xl/media/image3622.jpg" Id="R347707539a62466b" /><Relationship Type="http://schemas.openxmlformats.org/officeDocument/2006/relationships/image" Target="/xl/media/image3623.jpg" Id="R4e77c8cabefc4ccb" /><Relationship Type="http://schemas.openxmlformats.org/officeDocument/2006/relationships/image" Target="/xl/media/image3624.jpg" Id="R5c3048d130c8450a" /><Relationship Type="http://schemas.openxmlformats.org/officeDocument/2006/relationships/image" Target="/xl/media/image3625.jpg" Id="R61cf3dedb37548e3" /><Relationship Type="http://schemas.openxmlformats.org/officeDocument/2006/relationships/image" Target="/xl/media/image3626.jpg" Id="R2a173d0af77a404e" /><Relationship Type="http://schemas.openxmlformats.org/officeDocument/2006/relationships/image" Target="/xl/media/image3627.jpg" Id="R6c19bb1b16ac4a9d" /><Relationship Type="http://schemas.openxmlformats.org/officeDocument/2006/relationships/image" Target="/xl/media/image3628.jpg" Id="Rb6423098d58b4de7" /><Relationship Type="http://schemas.openxmlformats.org/officeDocument/2006/relationships/image" Target="/xl/media/image3629.jpg" Id="R78baa5ecaf314675" /><Relationship Type="http://schemas.openxmlformats.org/officeDocument/2006/relationships/image" Target="/xl/media/image3630.jpg" Id="R4c5f4ad9e6da499e" /><Relationship Type="http://schemas.openxmlformats.org/officeDocument/2006/relationships/image" Target="/xl/media/image3631.jpg" Id="Rd4681b5807124098" /><Relationship Type="http://schemas.openxmlformats.org/officeDocument/2006/relationships/image" Target="/xl/media/image3632.jpg" Id="Rd30c29b1942e4462" /><Relationship Type="http://schemas.openxmlformats.org/officeDocument/2006/relationships/image" Target="/xl/media/image3633.jpg" Id="Rc4333016bff447f1" /><Relationship Type="http://schemas.openxmlformats.org/officeDocument/2006/relationships/image" Target="/xl/media/image3634.jpg" Id="R5edeb75112b248f2" /><Relationship Type="http://schemas.openxmlformats.org/officeDocument/2006/relationships/image" Target="/xl/media/image3635.jpg" Id="R6ffd1b6b90f2480e" /><Relationship Type="http://schemas.openxmlformats.org/officeDocument/2006/relationships/image" Target="/xl/media/image3636.jpg" Id="R29860d024bde462c" /><Relationship Type="http://schemas.openxmlformats.org/officeDocument/2006/relationships/image" Target="/xl/media/image3637.jpg" Id="Ra8da3eeb02e34278" /><Relationship Type="http://schemas.openxmlformats.org/officeDocument/2006/relationships/image" Target="/xl/media/image3638.jpg" Id="R3d7a19ada19c4052" /><Relationship Type="http://schemas.openxmlformats.org/officeDocument/2006/relationships/image" Target="/xl/media/image3639.jpg" Id="R4bae7818e15b4032" /><Relationship Type="http://schemas.openxmlformats.org/officeDocument/2006/relationships/image" Target="/xl/media/image3640.jpg" Id="R9eb0f7d04f0b4f03" /><Relationship Type="http://schemas.openxmlformats.org/officeDocument/2006/relationships/image" Target="/xl/media/image3641.jpg" Id="R7bbd44aa745d4d10" /><Relationship Type="http://schemas.openxmlformats.org/officeDocument/2006/relationships/image" Target="/xl/media/image3642.jpg" Id="R28ba81b70208417b" /><Relationship Type="http://schemas.openxmlformats.org/officeDocument/2006/relationships/image" Target="/xl/media/image3643.jpg" Id="Rd02746ede7d74916" /><Relationship Type="http://schemas.openxmlformats.org/officeDocument/2006/relationships/image" Target="/xl/media/image3644.jpg" Id="Rda488901cd79422f" /><Relationship Type="http://schemas.openxmlformats.org/officeDocument/2006/relationships/image" Target="/xl/media/image3645.jpg" Id="Rf08c766721144e16" /><Relationship Type="http://schemas.openxmlformats.org/officeDocument/2006/relationships/image" Target="/xl/media/image3646.jpg" Id="Ra7945a7378cb42a8" /><Relationship Type="http://schemas.openxmlformats.org/officeDocument/2006/relationships/image" Target="/xl/media/image3647.jpg" Id="Rbbcf26cf10dd4b0f" /><Relationship Type="http://schemas.openxmlformats.org/officeDocument/2006/relationships/image" Target="/xl/media/image3648.jpg" Id="R439fa11dc39f4eb8" /><Relationship Type="http://schemas.openxmlformats.org/officeDocument/2006/relationships/image" Target="/xl/media/image3649.jpg" Id="R506930f54060471b" /><Relationship Type="http://schemas.openxmlformats.org/officeDocument/2006/relationships/image" Target="/xl/media/image3650.jpg" Id="R9d702d4a96b7421b" /><Relationship Type="http://schemas.openxmlformats.org/officeDocument/2006/relationships/image" Target="/xl/media/image3651.jpg" Id="R932281ba7f044e4b" /><Relationship Type="http://schemas.openxmlformats.org/officeDocument/2006/relationships/image" Target="/xl/media/image3652.jpg" Id="R737b1875c2ff4e66" /><Relationship Type="http://schemas.openxmlformats.org/officeDocument/2006/relationships/image" Target="/xl/media/image3653.jpg" Id="R21b39bc1882a4dba" /><Relationship Type="http://schemas.openxmlformats.org/officeDocument/2006/relationships/image" Target="/xl/media/image3654.jpg" Id="R7b62aa17ab3545b7" /><Relationship Type="http://schemas.openxmlformats.org/officeDocument/2006/relationships/image" Target="/xl/media/image3655.jpg" Id="R19256dbf58d943cd" /><Relationship Type="http://schemas.openxmlformats.org/officeDocument/2006/relationships/image" Target="/xl/media/image3656.jpg" Id="R1c2a803fe68548e0" /><Relationship Type="http://schemas.openxmlformats.org/officeDocument/2006/relationships/image" Target="/xl/media/image3657.jpg" Id="Re4f052ebbe314039" /><Relationship Type="http://schemas.openxmlformats.org/officeDocument/2006/relationships/image" Target="/xl/media/image3658.jpg" Id="R2fbc2bb51ca84c00" /><Relationship Type="http://schemas.openxmlformats.org/officeDocument/2006/relationships/image" Target="/xl/media/image3659.jpg" Id="R59982126925d4d0d" /><Relationship Type="http://schemas.openxmlformats.org/officeDocument/2006/relationships/image" Target="/xl/media/image3660.jpg" Id="R865e2b68fa784d76" /><Relationship Type="http://schemas.openxmlformats.org/officeDocument/2006/relationships/image" Target="/xl/media/image3661.jpg" Id="Rc253f1010216444c" /><Relationship Type="http://schemas.openxmlformats.org/officeDocument/2006/relationships/image" Target="/xl/media/image3662.jpg" Id="R3cc7d6ea0f424fb1" /><Relationship Type="http://schemas.openxmlformats.org/officeDocument/2006/relationships/image" Target="/xl/media/image3663.jpg" Id="R29ef395a2dff4a93" /><Relationship Type="http://schemas.openxmlformats.org/officeDocument/2006/relationships/image" Target="/xl/media/image3664.jpg" Id="Rf4212548a5984c99" /><Relationship Type="http://schemas.openxmlformats.org/officeDocument/2006/relationships/image" Target="/xl/media/image3665.jpg" Id="R705e788bafd34f30" /><Relationship Type="http://schemas.openxmlformats.org/officeDocument/2006/relationships/image" Target="/xl/media/image3666.jpg" Id="R9eb25d3b77f84439" /><Relationship Type="http://schemas.openxmlformats.org/officeDocument/2006/relationships/image" Target="/xl/media/image3667.jpg" Id="R8a278fab77b64e11" /><Relationship Type="http://schemas.openxmlformats.org/officeDocument/2006/relationships/image" Target="/xl/media/image3668.jpg" Id="Rcdf19616dc794c07" /><Relationship Type="http://schemas.openxmlformats.org/officeDocument/2006/relationships/image" Target="/xl/media/image3669.jpg" Id="R78ae0d7392c845c9" /><Relationship Type="http://schemas.openxmlformats.org/officeDocument/2006/relationships/image" Target="/xl/media/image3670.jpg" Id="Re55a52a8804e401f" /><Relationship Type="http://schemas.openxmlformats.org/officeDocument/2006/relationships/image" Target="/xl/media/image3671.jpg" Id="Rc0c0f9ff554b42a3" /><Relationship Type="http://schemas.openxmlformats.org/officeDocument/2006/relationships/image" Target="/xl/media/image3672.jpg" Id="Rf3a6d07f9f414777" /><Relationship Type="http://schemas.openxmlformats.org/officeDocument/2006/relationships/image" Target="/xl/media/image3673.jpg" Id="Rab2b60dfce6a4fff" /><Relationship Type="http://schemas.openxmlformats.org/officeDocument/2006/relationships/image" Target="/xl/media/image3674.jpg" Id="Rbaa6620b24214df9" /><Relationship Type="http://schemas.openxmlformats.org/officeDocument/2006/relationships/image" Target="/xl/media/image3675.jpg" Id="Rf913cbb0f9d14eeb" /><Relationship Type="http://schemas.openxmlformats.org/officeDocument/2006/relationships/image" Target="/xl/media/image3676.jpg" Id="Re39772c5082b4252" /><Relationship Type="http://schemas.openxmlformats.org/officeDocument/2006/relationships/image" Target="/xl/media/image3677.jpg" Id="R3dd666c81f4842ba" /><Relationship Type="http://schemas.openxmlformats.org/officeDocument/2006/relationships/image" Target="/xl/media/image3678.jpg" Id="R3dd2b8c3e5224a80" /><Relationship Type="http://schemas.openxmlformats.org/officeDocument/2006/relationships/image" Target="/xl/media/image3679.jpg" Id="R034e30ef49e4413d" /><Relationship Type="http://schemas.openxmlformats.org/officeDocument/2006/relationships/image" Target="/xl/media/image3680.jpg" Id="R4fd063dfecee43c8" /><Relationship Type="http://schemas.openxmlformats.org/officeDocument/2006/relationships/image" Target="/xl/media/image3681.jpg" Id="R00794274f049454a" /><Relationship Type="http://schemas.openxmlformats.org/officeDocument/2006/relationships/image" Target="/xl/media/image3682.jpg" Id="Ra63c5a86fee64e21" /><Relationship Type="http://schemas.openxmlformats.org/officeDocument/2006/relationships/image" Target="/xl/media/image3683.jpg" Id="Ra49676abef154b45" /><Relationship Type="http://schemas.openxmlformats.org/officeDocument/2006/relationships/image" Target="/xl/media/image3684.jpg" Id="R5a025960bb1f40e5" /><Relationship Type="http://schemas.openxmlformats.org/officeDocument/2006/relationships/image" Target="/xl/media/image3685.jpg" Id="Rb7cb9a0892f747b9" /><Relationship Type="http://schemas.openxmlformats.org/officeDocument/2006/relationships/image" Target="/xl/media/image3686.jpg" Id="R5206f2e2fdce4b51" /><Relationship Type="http://schemas.openxmlformats.org/officeDocument/2006/relationships/image" Target="/xl/media/image3687.jpg" Id="R81cee09b2e8749ee" /><Relationship Type="http://schemas.openxmlformats.org/officeDocument/2006/relationships/image" Target="/xl/media/image3688.jpg" Id="R9fb3383cd91442fe" /><Relationship Type="http://schemas.openxmlformats.org/officeDocument/2006/relationships/image" Target="/xl/media/image3689.jpg" Id="Ra1fb710e15024147" /><Relationship Type="http://schemas.openxmlformats.org/officeDocument/2006/relationships/image" Target="/xl/media/image3690.jpg" Id="R83d96f1b1f634235" /><Relationship Type="http://schemas.openxmlformats.org/officeDocument/2006/relationships/image" Target="/xl/media/image3691.jpg" Id="R0f3fe6e1ce2a4a8a" /><Relationship Type="http://schemas.openxmlformats.org/officeDocument/2006/relationships/image" Target="/xl/media/image3692.jpg" Id="R50dcc0f25ca14e59" /><Relationship Type="http://schemas.openxmlformats.org/officeDocument/2006/relationships/image" Target="/xl/media/image3693.jpg" Id="R25b907c1397a4b86" /><Relationship Type="http://schemas.openxmlformats.org/officeDocument/2006/relationships/image" Target="/xl/media/image3694.jpg" Id="Ra468d79cdace44f2" /><Relationship Type="http://schemas.openxmlformats.org/officeDocument/2006/relationships/image" Target="/xl/media/image3695.jpg" Id="R78ae8fde3f76493e" /><Relationship Type="http://schemas.openxmlformats.org/officeDocument/2006/relationships/image" Target="/xl/media/image3696.jpg" Id="R3c6a9f9c76de4e51" /><Relationship Type="http://schemas.openxmlformats.org/officeDocument/2006/relationships/image" Target="/xl/media/image3697.jpg" Id="R27a564931ff94574" /><Relationship Type="http://schemas.openxmlformats.org/officeDocument/2006/relationships/image" Target="/xl/media/image3698.jpg" Id="Rc494786439da459d" /><Relationship Type="http://schemas.openxmlformats.org/officeDocument/2006/relationships/image" Target="/xl/media/image3699.jpg" Id="R75d877c182d24a08" /><Relationship Type="http://schemas.openxmlformats.org/officeDocument/2006/relationships/image" Target="/xl/media/image3700.jpg" Id="R7996c140dca74075" /><Relationship Type="http://schemas.openxmlformats.org/officeDocument/2006/relationships/image" Target="/xl/media/image3701.jpg" Id="Reffd4e5e94ca436f" /><Relationship Type="http://schemas.openxmlformats.org/officeDocument/2006/relationships/image" Target="/xl/media/image3702.jpg" Id="Rf602c0f256094178" /><Relationship Type="http://schemas.openxmlformats.org/officeDocument/2006/relationships/image" Target="/xl/media/image3703.jpg" Id="Rfe55f5f392ec4952" /><Relationship Type="http://schemas.openxmlformats.org/officeDocument/2006/relationships/image" Target="/xl/media/image3704.jpg" Id="Rebd18d1925f94c6b" /><Relationship Type="http://schemas.openxmlformats.org/officeDocument/2006/relationships/image" Target="/xl/media/image3705.jpg" Id="Rfe6eabc18bd446af" /><Relationship Type="http://schemas.openxmlformats.org/officeDocument/2006/relationships/image" Target="/xl/media/image3706.jpg" Id="R84782d87c98d4999" /><Relationship Type="http://schemas.openxmlformats.org/officeDocument/2006/relationships/image" Target="/xl/media/image3707.jpg" Id="R9a804f26916c426a" /><Relationship Type="http://schemas.openxmlformats.org/officeDocument/2006/relationships/image" Target="/xl/media/image3708.jpg" Id="R9b3da46cde984015" /><Relationship Type="http://schemas.openxmlformats.org/officeDocument/2006/relationships/image" Target="/xl/media/image3709.jpg" Id="Re8f4dbd592e84e77" /><Relationship Type="http://schemas.openxmlformats.org/officeDocument/2006/relationships/image" Target="/xl/media/image3710.jpg" Id="R1887edaa30e048e9" /><Relationship Type="http://schemas.openxmlformats.org/officeDocument/2006/relationships/image" Target="/xl/media/image3711.jpg" Id="R0f44c04343c74ecc" /><Relationship Type="http://schemas.openxmlformats.org/officeDocument/2006/relationships/image" Target="/xl/media/image3712.jpg" Id="Rf5e14ad14993464c" /><Relationship Type="http://schemas.openxmlformats.org/officeDocument/2006/relationships/image" Target="/xl/media/image3713.jpg" Id="R9d976c8c27864de9" /><Relationship Type="http://schemas.openxmlformats.org/officeDocument/2006/relationships/image" Target="/xl/media/image3714.jpg" Id="R3ecda0d2e84f4f77" /><Relationship Type="http://schemas.openxmlformats.org/officeDocument/2006/relationships/image" Target="/xl/media/image3715.jpg" Id="R0da27f84a4c04a95" /><Relationship Type="http://schemas.openxmlformats.org/officeDocument/2006/relationships/image" Target="/xl/media/image3716.jpg" Id="R949f67053dc7485c" /><Relationship Type="http://schemas.openxmlformats.org/officeDocument/2006/relationships/image" Target="/xl/media/image3717.jpg" Id="R7ecdcf1c1c854811" /><Relationship Type="http://schemas.openxmlformats.org/officeDocument/2006/relationships/image" Target="/xl/media/image3718.jpg" Id="R354c11be2b3d44fd" /><Relationship Type="http://schemas.openxmlformats.org/officeDocument/2006/relationships/image" Target="/xl/media/image3719.jpg" Id="R5d1c94edc71d44c6" /><Relationship Type="http://schemas.openxmlformats.org/officeDocument/2006/relationships/image" Target="/xl/media/image3720.jpg" Id="R43409236bb8b4ab9" /><Relationship Type="http://schemas.openxmlformats.org/officeDocument/2006/relationships/image" Target="/xl/media/image3721.jpg" Id="R36a9f52af556492d" /><Relationship Type="http://schemas.openxmlformats.org/officeDocument/2006/relationships/image" Target="/xl/media/image3722.jpg" Id="R8f2e8e13d24345d9" /><Relationship Type="http://schemas.openxmlformats.org/officeDocument/2006/relationships/image" Target="/xl/media/image3723.jpg" Id="R3d3910758b6e4c7b" /><Relationship Type="http://schemas.openxmlformats.org/officeDocument/2006/relationships/image" Target="/xl/media/image3724.jpg" Id="Ra7525ef87f70443b" /><Relationship Type="http://schemas.openxmlformats.org/officeDocument/2006/relationships/image" Target="/xl/media/image3725.jpg" Id="Rb559c0fb464f44e4" /><Relationship Type="http://schemas.openxmlformats.org/officeDocument/2006/relationships/image" Target="/xl/media/image3726.jpg" Id="Ra8517fbdbff041f0" /><Relationship Type="http://schemas.openxmlformats.org/officeDocument/2006/relationships/image" Target="/xl/media/image3727.jpg" Id="R08e5e45eda754169" /><Relationship Type="http://schemas.openxmlformats.org/officeDocument/2006/relationships/image" Target="/xl/media/image3728.jpg" Id="Rb14db3ba487c4979" /><Relationship Type="http://schemas.openxmlformats.org/officeDocument/2006/relationships/image" Target="/xl/media/image3729.jpg" Id="Rb93197bf33da4eb6" /><Relationship Type="http://schemas.openxmlformats.org/officeDocument/2006/relationships/image" Target="/xl/media/image3730.jpg" Id="R3208f50c08304ece" /><Relationship Type="http://schemas.openxmlformats.org/officeDocument/2006/relationships/image" Target="/xl/media/image3731.jpg" Id="R13a7138c2e35403b" /><Relationship Type="http://schemas.openxmlformats.org/officeDocument/2006/relationships/image" Target="/xl/media/image3732.jpg" Id="Ra50d1ea485d445b6" /><Relationship Type="http://schemas.openxmlformats.org/officeDocument/2006/relationships/image" Target="/xl/media/image3733.jpg" Id="R51b0917f99e84fe6" /><Relationship Type="http://schemas.openxmlformats.org/officeDocument/2006/relationships/image" Target="/xl/media/image3734.jpg" Id="Rd30aaa9f28fe4dbc" /><Relationship Type="http://schemas.openxmlformats.org/officeDocument/2006/relationships/image" Target="/xl/media/image3735.jpg" Id="R46ce88be32134283" /><Relationship Type="http://schemas.openxmlformats.org/officeDocument/2006/relationships/image" Target="/xl/media/image3736.jpg" Id="R1712d4e1e4434761" /><Relationship Type="http://schemas.openxmlformats.org/officeDocument/2006/relationships/image" Target="/xl/media/image3737.jpg" Id="Rc7add27fa2a84a09" /><Relationship Type="http://schemas.openxmlformats.org/officeDocument/2006/relationships/image" Target="/xl/media/image3738.jpg" Id="R484c32dd4df146cb" /><Relationship Type="http://schemas.openxmlformats.org/officeDocument/2006/relationships/image" Target="/xl/media/image3739.jpg" Id="Ra92191de018c4593" /><Relationship Type="http://schemas.openxmlformats.org/officeDocument/2006/relationships/image" Target="/xl/media/image3740.jpg" Id="R7ee40f4a09c64fd0" /><Relationship Type="http://schemas.openxmlformats.org/officeDocument/2006/relationships/image" Target="/xl/media/image3741.jpg" Id="Rba94caadedfe4fb9" /><Relationship Type="http://schemas.openxmlformats.org/officeDocument/2006/relationships/image" Target="/xl/media/image3742.jpg" Id="R556087a7cea34eaa" /><Relationship Type="http://schemas.openxmlformats.org/officeDocument/2006/relationships/image" Target="/xl/media/image3743.jpg" Id="R11184a888415441a" /><Relationship Type="http://schemas.openxmlformats.org/officeDocument/2006/relationships/image" Target="/xl/media/image3744.jpg" Id="R3f11e1be835e4f6a" /><Relationship Type="http://schemas.openxmlformats.org/officeDocument/2006/relationships/image" Target="/xl/media/image3745.jpg" Id="Rcd476fce49ec4457" /><Relationship Type="http://schemas.openxmlformats.org/officeDocument/2006/relationships/image" Target="/xl/media/image3746.jpg" Id="Rc3828eb763a74839" /><Relationship Type="http://schemas.openxmlformats.org/officeDocument/2006/relationships/image" Target="/xl/media/image3747.jpg" Id="R7d5428f469d84775" /><Relationship Type="http://schemas.openxmlformats.org/officeDocument/2006/relationships/image" Target="/xl/media/image3748.jpg" Id="R59108f8af520456a" /><Relationship Type="http://schemas.openxmlformats.org/officeDocument/2006/relationships/image" Target="/xl/media/image3749.jpg" Id="Rfcf14c42e31c482a" /><Relationship Type="http://schemas.openxmlformats.org/officeDocument/2006/relationships/image" Target="/xl/media/image3750.jpg" Id="R88eb436a77cf48fc" /><Relationship Type="http://schemas.openxmlformats.org/officeDocument/2006/relationships/image" Target="/xl/media/image3751.jpg" Id="Raef0ccf7f4144799" /><Relationship Type="http://schemas.openxmlformats.org/officeDocument/2006/relationships/image" Target="/xl/media/image3752.jpg" Id="Rf65ca729549c40dd" /><Relationship Type="http://schemas.openxmlformats.org/officeDocument/2006/relationships/image" Target="/xl/media/image3753.jpg" Id="R016f3fd68d284e95" /><Relationship Type="http://schemas.openxmlformats.org/officeDocument/2006/relationships/image" Target="/xl/media/image3754.jpg" Id="R7bf2818690a94cf7" /><Relationship Type="http://schemas.openxmlformats.org/officeDocument/2006/relationships/image" Target="/xl/media/image3755.jpg" Id="R686435ed30254bd5" /><Relationship Type="http://schemas.openxmlformats.org/officeDocument/2006/relationships/image" Target="/xl/media/image3756.jpg" Id="R993249141b324299" /><Relationship Type="http://schemas.openxmlformats.org/officeDocument/2006/relationships/image" Target="/xl/media/image3757.jpg" Id="Re84bad0b7fe54691" /><Relationship Type="http://schemas.openxmlformats.org/officeDocument/2006/relationships/image" Target="/xl/media/image3758.jpg" Id="Rc744341be0344b07" /><Relationship Type="http://schemas.openxmlformats.org/officeDocument/2006/relationships/image" Target="/xl/media/image3759.jpg" Id="R95b2595ef0754813" /><Relationship Type="http://schemas.openxmlformats.org/officeDocument/2006/relationships/image" Target="/xl/media/image3760.jpg" Id="R0468826d625d4189" /><Relationship Type="http://schemas.openxmlformats.org/officeDocument/2006/relationships/image" Target="/xl/media/image3761.jpg" Id="R2d675978a23645af" /><Relationship Type="http://schemas.openxmlformats.org/officeDocument/2006/relationships/image" Target="/xl/media/image3762.jpg" Id="R0e3bd0141713488d" /><Relationship Type="http://schemas.openxmlformats.org/officeDocument/2006/relationships/image" Target="/xl/media/image3763.jpg" Id="R2d22490da36d42e6" /><Relationship Type="http://schemas.openxmlformats.org/officeDocument/2006/relationships/image" Target="/xl/media/image3764.jpg" Id="R04df010a60a543d1" /><Relationship Type="http://schemas.openxmlformats.org/officeDocument/2006/relationships/image" Target="/xl/media/image3765.jpg" Id="Rcf886c182fde4b74" /><Relationship Type="http://schemas.openxmlformats.org/officeDocument/2006/relationships/image" Target="/xl/media/image3766.jpg" Id="R48575fc3cbda489a" /><Relationship Type="http://schemas.openxmlformats.org/officeDocument/2006/relationships/image" Target="/xl/media/image3767.jpg" Id="R5163a16437784cde" /><Relationship Type="http://schemas.openxmlformats.org/officeDocument/2006/relationships/image" Target="/xl/media/image3768.jpg" Id="R553f2aadf4214643" /><Relationship Type="http://schemas.openxmlformats.org/officeDocument/2006/relationships/image" Target="/xl/media/image3769.jpg" Id="R2b914448be2e4a4c" /><Relationship Type="http://schemas.openxmlformats.org/officeDocument/2006/relationships/image" Target="/xl/media/image3770.jpg" Id="Rc979c95759b046ae" /><Relationship Type="http://schemas.openxmlformats.org/officeDocument/2006/relationships/image" Target="/xl/media/image3771.jpg" Id="R656db97c78e34e7e" /><Relationship Type="http://schemas.openxmlformats.org/officeDocument/2006/relationships/image" Target="/xl/media/image3772.jpg" Id="Rff136696c61b4eb7" /><Relationship Type="http://schemas.openxmlformats.org/officeDocument/2006/relationships/image" Target="/xl/media/image3773.jpg" Id="Ra0deadd3c60847de" /><Relationship Type="http://schemas.openxmlformats.org/officeDocument/2006/relationships/image" Target="/xl/media/image3774.jpg" Id="Rcad1c191a4df4aa6" /><Relationship Type="http://schemas.openxmlformats.org/officeDocument/2006/relationships/image" Target="/xl/media/image3775.jpg" Id="Rd94f3ba64b014ea8" /><Relationship Type="http://schemas.openxmlformats.org/officeDocument/2006/relationships/image" Target="/xl/media/image3776.jpg" Id="Rd2ee9b00c0df4520" /><Relationship Type="http://schemas.openxmlformats.org/officeDocument/2006/relationships/image" Target="/xl/media/image3777.jpg" Id="R3be95708ca4b40f5" /><Relationship Type="http://schemas.openxmlformats.org/officeDocument/2006/relationships/image" Target="/xl/media/image3778.jpg" Id="Rfbbcb0dd198f4d2a" /><Relationship Type="http://schemas.openxmlformats.org/officeDocument/2006/relationships/image" Target="/xl/media/image3779.jpg" Id="R89e96c120c084d2b" /><Relationship Type="http://schemas.openxmlformats.org/officeDocument/2006/relationships/image" Target="/xl/media/image3780.jpg" Id="R33af5b3081714d75" /><Relationship Type="http://schemas.openxmlformats.org/officeDocument/2006/relationships/image" Target="/xl/media/image3781.jpg" Id="R869b278ca0f44862" /><Relationship Type="http://schemas.openxmlformats.org/officeDocument/2006/relationships/image" Target="/xl/media/image3782.jpg" Id="R6f742f09ece44619" /><Relationship Type="http://schemas.openxmlformats.org/officeDocument/2006/relationships/image" Target="/xl/media/image3783.jpg" Id="R8eca31bd506e4e7f" /><Relationship Type="http://schemas.openxmlformats.org/officeDocument/2006/relationships/image" Target="/xl/media/image3784.jpg" Id="R2b9d61ba72c94e14" /><Relationship Type="http://schemas.openxmlformats.org/officeDocument/2006/relationships/image" Target="/xl/media/image3785.jpg" Id="Ree0da68c310f4ce1" /><Relationship Type="http://schemas.openxmlformats.org/officeDocument/2006/relationships/image" Target="/xl/media/image3786.jpg" Id="R5fcee59e239a460b" /><Relationship Type="http://schemas.openxmlformats.org/officeDocument/2006/relationships/image" Target="/xl/media/image3787.jpg" Id="R9bd1a5e1609948ea" /><Relationship Type="http://schemas.openxmlformats.org/officeDocument/2006/relationships/image" Target="/xl/media/image3788.jpg" Id="Rd2b0804e72ca4645" /><Relationship Type="http://schemas.openxmlformats.org/officeDocument/2006/relationships/image" Target="/xl/media/image3789.jpg" Id="Re35adb509834492b" /><Relationship Type="http://schemas.openxmlformats.org/officeDocument/2006/relationships/image" Target="/xl/media/image3790.jpg" Id="Rb84cf4f50cb64e70" /><Relationship Type="http://schemas.openxmlformats.org/officeDocument/2006/relationships/image" Target="/xl/media/image3791.jpg" Id="R0c2c977602154960" /><Relationship Type="http://schemas.openxmlformats.org/officeDocument/2006/relationships/image" Target="/xl/media/image3792.jpg" Id="R281ec68767e941c0" /><Relationship Type="http://schemas.openxmlformats.org/officeDocument/2006/relationships/image" Target="/xl/media/image3793.jpg" Id="R5538f82c3c764786" /><Relationship Type="http://schemas.openxmlformats.org/officeDocument/2006/relationships/image" Target="/xl/media/image3794.jpg" Id="R79116a83df724b3e" /><Relationship Type="http://schemas.openxmlformats.org/officeDocument/2006/relationships/image" Target="/xl/media/image3795.jpg" Id="R9f677ac7cf4340f5" /><Relationship Type="http://schemas.openxmlformats.org/officeDocument/2006/relationships/image" Target="/xl/media/image3796.jpg" Id="Rc4636c6a9e514ae4" /><Relationship Type="http://schemas.openxmlformats.org/officeDocument/2006/relationships/image" Target="/xl/media/image3797.jpg" Id="R57e0e0996c5d4532" /><Relationship Type="http://schemas.openxmlformats.org/officeDocument/2006/relationships/image" Target="/xl/media/image3798.jpg" Id="Rd252e234a56b4ae8" /><Relationship Type="http://schemas.openxmlformats.org/officeDocument/2006/relationships/image" Target="/xl/media/image3799.jpg" Id="R0761b627e4794660" /><Relationship Type="http://schemas.openxmlformats.org/officeDocument/2006/relationships/image" Target="/xl/media/image3800.jpg" Id="R88a544677ccb4fe9" /><Relationship Type="http://schemas.openxmlformats.org/officeDocument/2006/relationships/image" Target="/xl/media/image3801.jpg" Id="Rad92e978298d4f80" /><Relationship Type="http://schemas.openxmlformats.org/officeDocument/2006/relationships/image" Target="/xl/media/image3802.jpg" Id="R2f8529a8a79142d2" /><Relationship Type="http://schemas.openxmlformats.org/officeDocument/2006/relationships/image" Target="/xl/media/image3803.jpg" Id="R4b8b579fc22845ec" /><Relationship Type="http://schemas.openxmlformats.org/officeDocument/2006/relationships/image" Target="/xl/media/image3804.jpg" Id="R25404a1898f94a13" /><Relationship Type="http://schemas.openxmlformats.org/officeDocument/2006/relationships/image" Target="/xl/media/image3805.jpg" Id="R3a2a83275f8e47f1" /><Relationship Type="http://schemas.openxmlformats.org/officeDocument/2006/relationships/image" Target="/xl/media/image3806.jpg" Id="R9835351a21e64fa9" /><Relationship Type="http://schemas.openxmlformats.org/officeDocument/2006/relationships/image" Target="/xl/media/image3807.jpg" Id="R754f4637d6464d5c" /><Relationship Type="http://schemas.openxmlformats.org/officeDocument/2006/relationships/image" Target="/xl/media/image3808.jpg" Id="Rbb6e8b5df2ad43db" /><Relationship Type="http://schemas.openxmlformats.org/officeDocument/2006/relationships/image" Target="/xl/media/image3809.jpg" Id="R7193eedac1d9447b" /><Relationship Type="http://schemas.openxmlformats.org/officeDocument/2006/relationships/image" Target="/xl/media/image3810.jpg" Id="R8522ff2152654aa2" /><Relationship Type="http://schemas.openxmlformats.org/officeDocument/2006/relationships/image" Target="/xl/media/image3811.jpg" Id="R29c41151e508498c" /><Relationship Type="http://schemas.openxmlformats.org/officeDocument/2006/relationships/image" Target="/xl/media/image3812.jpg" Id="Rec2fc1d6329746bb" /><Relationship Type="http://schemas.openxmlformats.org/officeDocument/2006/relationships/image" Target="/xl/media/image3813.jpg" Id="Rd7627109afa34289" /><Relationship Type="http://schemas.openxmlformats.org/officeDocument/2006/relationships/image" Target="/xl/media/image3814.jpg" Id="Ra6ea2e1652984c52" /><Relationship Type="http://schemas.openxmlformats.org/officeDocument/2006/relationships/image" Target="/xl/media/image3815.jpg" Id="R4fdb19cc215f463d" /><Relationship Type="http://schemas.openxmlformats.org/officeDocument/2006/relationships/image" Target="/xl/media/image3816.jpg" Id="R186056dec8954ede" /><Relationship Type="http://schemas.openxmlformats.org/officeDocument/2006/relationships/image" Target="/xl/media/image3817.jpg" Id="R4aea1475b7714ef9" /><Relationship Type="http://schemas.openxmlformats.org/officeDocument/2006/relationships/image" Target="/xl/media/image3818.jpg" Id="Rc6140828cb0544b2" /><Relationship Type="http://schemas.openxmlformats.org/officeDocument/2006/relationships/image" Target="/xl/media/image3819.jpg" Id="R688c76ee2c05401b" /><Relationship Type="http://schemas.openxmlformats.org/officeDocument/2006/relationships/image" Target="/xl/media/image3820.jpg" Id="R1c673bc86ead471a" /><Relationship Type="http://schemas.openxmlformats.org/officeDocument/2006/relationships/image" Target="/xl/media/image3821.jpg" Id="R45700298919949c0" /><Relationship Type="http://schemas.openxmlformats.org/officeDocument/2006/relationships/image" Target="/xl/media/image3822.jpg" Id="Ra07585952f114bfd" /><Relationship Type="http://schemas.openxmlformats.org/officeDocument/2006/relationships/image" Target="/xl/media/image3823.jpg" Id="Rcd1fbfbc48654bb6" /><Relationship Type="http://schemas.openxmlformats.org/officeDocument/2006/relationships/image" Target="/xl/media/image3824.jpg" Id="R173f0dd37cc64c0e" /><Relationship Type="http://schemas.openxmlformats.org/officeDocument/2006/relationships/image" Target="/xl/media/image3825.jpg" Id="R2beb7c9a13424979" /><Relationship Type="http://schemas.openxmlformats.org/officeDocument/2006/relationships/image" Target="/xl/media/image3826.jpg" Id="R202ee53eaa444a42" /><Relationship Type="http://schemas.openxmlformats.org/officeDocument/2006/relationships/image" Target="/xl/media/image3827.jpg" Id="R53a12e2d19d24c48" /><Relationship Type="http://schemas.openxmlformats.org/officeDocument/2006/relationships/image" Target="/xl/media/image3828.jpg" Id="Rca6f37e4a602459d" /><Relationship Type="http://schemas.openxmlformats.org/officeDocument/2006/relationships/image" Target="/xl/media/image3829.jpg" Id="R5293032af6e042b8" /><Relationship Type="http://schemas.openxmlformats.org/officeDocument/2006/relationships/image" Target="/xl/media/image3830.jpg" Id="R7fe6f14ba2f5445a" /><Relationship Type="http://schemas.openxmlformats.org/officeDocument/2006/relationships/image" Target="/xl/media/image3831.jpg" Id="Re17b72c00a5641f5" /><Relationship Type="http://schemas.openxmlformats.org/officeDocument/2006/relationships/image" Target="/xl/media/image3832.jpg" Id="Rae0ea54b24c14100" /><Relationship Type="http://schemas.openxmlformats.org/officeDocument/2006/relationships/image" Target="/xl/media/image3833.jpg" Id="R95cf2e2750314a07" /><Relationship Type="http://schemas.openxmlformats.org/officeDocument/2006/relationships/image" Target="/xl/media/image3834.jpg" Id="Rf5355f9f4a464951" /><Relationship Type="http://schemas.openxmlformats.org/officeDocument/2006/relationships/image" Target="/xl/media/image3835.jpg" Id="Rf21d056b6a7645b6" /><Relationship Type="http://schemas.openxmlformats.org/officeDocument/2006/relationships/image" Target="/xl/media/image3836.jpg" Id="R54238c1eacad466f" /><Relationship Type="http://schemas.openxmlformats.org/officeDocument/2006/relationships/image" Target="/xl/media/image3837.jpg" Id="R97c73f65569847b9" /><Relationship Type="http://schemas.openxmlformats.org/officeDocument/2006/relationships/image" Target="/xl/media/image3838.jpg" Id="R7b544f5736274926" /><Relationship Type="http://schemas.openxmlformats.org/officeDocument/2006/relationships/image" Target="/xl/media/image3839.jpg" Id="Rfaa0454cceb34616" /><Relationship Type="http://schemas.openxmlformats.org/officeDocument/2006/relationships/image" Target="/xl/media/image3840.jpg" Id="R7ca44906e4654f8d" /><Relationship Type="http://schemas.openxmlformats.org/officeDocument/2006/relationships/image" Target="/xl/media/image3841.jpg" Id="Rdb81348a74e541f8" /><Relationship Type="http://schemas.openxmlformats.org/officeDocument/2006/relationships/image" Target="/xl/media/image3842.jpg" Id="R07ca9cc1efba47a8" /><Relationship Type="http://schemas.openxmlformats.org/officeDocument/2006/relationships/image" Target="/xl/media/image3843.jpg" Id="Rd91574a6aa6b4c6b" /><Relationship Type="http://schemas.openxmlformats.org/officeDocument/2006/relationships/image" Target="/xl/media/image3844.jpg" Id="Rce9d6221c30649d7" /><Relationship Type="http://schemas.openxmlformats.org/officeDocument/2006/relationships/image" Target="/xl/media/image3845.jpg" Id="R0a50e8b40b784bfb" /><Relationship Type="http://schemas.openxmlformats.org/officeDocument/2006/relationships/image" Target="/xl/media/image3846.jpg" Id="Rd111948acfae4c02" /><Relationship Type="http://schemas.openxmlformats.org/officeDocument/2006/relationships/image" Target="/xl/media/image3847.jpg" Id="R581330de408f420a" /><Relationship Type="http://schemas.openxmlformats.org/officeDocument/2006/relationships/image" Target="/xl/media/image3848.jpg" Id="R5a294c4da5bd4644" /><Relationship Type="http://schemas.openxmlformats.org/officeDocument/2006/relationships/image" Target="/xl/media/image3849.jpg" Id="R7f42f8f58e0d4156" /><Relationship Type="http://schemas.openxmlformats.org/officeDocument/2006/relationships/image" Target="/xl/media/image3850.jpg" Id="R5398fee4f8fe473c" /><Relationship Type="http://schemas.openxmlformats.org/officeDocument/2006/relationships/image" Target="/xl/media/image3851.jpg" Id="Rf0f9e22ee76b4958" /><Relationship Type="http://schemas.openxmlformats.org/officeDocument/2006/relationships/image" Target="/xl/media/image3852.jpg" Id="R046e8db4898945c6" /><Relationship Type="http://schemas.openxmlformats.org/officeDocument/2006/relationships/image" Target="/xl/media/image3853.jpg" Id="R7035cc55ed7641db" /><Relationship Type="http://schemas.openxmlformats.org/officeDocument/2006/relationships/image" Target="/xl/media/image3854.jpg" Id="R580ab34058b849cf" /><Relationship Type="http://schemas.openxmlformats.org/officeDocument/2006/relationships/image" Target="/xl/media/image3855.jpg" Id="R1e05aa76a9474030" /><Relationship Type="http://schemas.openxmlformats.org/officeDocument/2006/relationships/image" Target="/xl/media/image3856.jpg" Id="R79d1c087e3e249b8" /><Relationship Type="http://schemas.openxmlformats.org/officeDocument/2006/relationships/image" Target="/xl/media/image3857.jpg" Id="R38da792a61994959" /><Relationship Type="http://schemas.openxmlformats.org/officeDocument/2006/relationships/image" Target="/xl/media/image3858.jpg" Id="R3f45144c106e43f0" /><Relationship Type="http://schemas.openxmlformats.org/officeDocument/2006/relationships/image" Target="/xl/media/image3859.jpg" Id="R11e9fcf020f647c8" /><Relationship Type="http://schemas.openxmlformats.org/officeDocument/2006/relationships/image" Target="/xl/media/image3860.jpg" Id="R483a4a538d2c4c67" /><Relationship Type="http://schemas.openxmlformats.org/officeDocument/2006/relationships/image" Target="/xl/media/image3861.jpg" Id="R900da0d7ff9c416f" /><Relationship Type="http://schemas.openxmlformats.org/officeDocument/2006/relationships/image" Target="/xl/media/image3862.jpg" Id="Rbf51171e14fb4ac0" /><Relationship Type="http://schemas.openxmlformats.org/officeDocument/2006/relationships/image" Target="/xl/media/image3863.jpg" Id="R6dd4fa2b4df946ad" /><Relationship Type="http://schemas.openxmlformats.org/officeDocument/2006/relationships/image" Target="/xl/media/image3864.jpg" Id="R557f4dc8841d4b40" /><Relationship Type="http://schemas.openxmlformats.org/officeDocument/2006/relationships/image" Target="/xl/media/image3865.jpg" Id="R99dff1692cbf4ee5" /><Relationship Type="http://schemas.openxmlformats.org/officeDocument/2006/relationships/image" Target="/xl/media/image3866.jpg" Id="Rc7c6a927b6e94053" /><Relationship Type="http://schemas.openxmlformats.org/officeDocument/2006/relationships/image" Target="/xl/media/image3867.jpg" Id="Rc46c8fe561fc4bdc" /><Relationship Type="http://schemas.openxmlformats.org/officeDocument/2006/relationships/image" Target="/xl/media/image3868.jpg" Id="R859adba0d73b485b" /><Relationship Type="http://schemas.openxmlformats.org/officeDocument/2006/relationships/image" Target="/xl/media/image3869.jpg" Id="R237fefb0cb294027" /><Relationship Type="http://schemas.openxmlformats.org/officeDocument/2006/relationships/image" Target="/xl/media/image3870.jpg" Id="R5d7e23a9ec154750" /><Relationship Type="http://schemas.openxmlformats.org/officeDocument/2006/relationships/image" Target="/xl/media/image3871.jpg" Id="Rc79e9eb67c13456b" /><Relationship Type="http://schemas.openxmlformats.org/officeDocument/2006/relationships/image" Target="/xl/media/image3872.jpg" Id="R4c027edaf09f4d7c" /><Relationship Type="http://schemas.openxmlformats.org/officeDocument/2006/relationships/image" Target="/xl/media/image3873.jpg" Id="R32df2fb788a448da" /><Relationship Type="http://schemas.openxmlformats.org/officeDocument/2006/relationships/image" Target="/xl/media/image3874.jpg" Id="R92ebe8b2c9634afb" /><Relationship Type="http://schemas.openxmlformats.org/officeDocument/2006/relationships/image" Target="/xl/media/image3875.jpg" Id="R166d16fb107241b4" /><Relationship Type="http://schemas.openxmlformats.org/officeDocument/2006/relationships/image" Target="/xl/media/image3876.jpg" Id="R89c8ad3fd90f4ad3" /><Relationship Type="http://schemas.openxmlformats.org/officeDocument/2006/relationships/image" Target="/xl/media/image3877.jpg" Id="Rf188b7271c6c4db6" /><Relationship Type="http://schemas.openxmlformats.org/officeDocument/2006/relationships/image" Target="/xl/media/image3878.jpg" Id="Rb20c3dc3fb7d464b" /><Relationship Type="http://schemas.openxmlformats.org/officeDocument/2006/relationships/image" Target="/xl/media/image3879.jpg" Id="R3a218c928ac64b3e" /><Relationship Type="http://schemas.openxmlformats.org/officeDocument/2006/relationships/image" Target="/xl/media/image3880.jpg" Id="R9044702da59a4547" /><Relationship Type="http://schemas.openxmlformats.org/officeDocument/2006/relationships/image" Target="/xl/media/image3881.jpg" Id="R44b30ae811874a80" /><Relationship Type="http://schemas.openxmlformats.org/officeDocument/2006/relationships/image" Target="/xl/media/image3882.jpg" Id="Rf4efd42275dc4f40" /><Relationship Type="http://schemas.openxmlformats.org/officeDocument/2006/relationships/image" Target="/xl/media/image3883.jpg" Id="Rf0c9df081e7f491e" /><Relationship Type="http://schemas.openxmlformats.org/officeDocument/2006/relationships/image" Target="/xl/media/image3884.jpg" Id="Re3990ba2ec06439f" /><Relationship Type="http://schemas.openxmlformats.org/officeDocument/2006/relationships/image" Target="/xl/media/image3885.jpg" Id="R86c3f2a99e1b4169" /><Relationship Type="http://schemas.openxmlformats.org/officeDocument/2006/relationships/image" Target="/xl/media/image3886.jpg" Id="Rd25fb4ccaaf94a99" /><Relationship Type="http://schemas.openxmlformats.org/officeDocument/2006/relationships/image" Target="/xl/media/image3887.jpg" Id="Rd2734864fad34370" /><Relationship Type="http://schemas.openxmlformats.org/officeDocument/2006/relationships/image" Target="/xl/media/image3888.jpg" Id="Rad4508d4a70b4db0" /><Relationship Type="http://schemas.openxmlformats.org/officeDocument/2006/relationships/image" Target="/xl/media/image3889.jpg" Id="R7e0a64bfb9144679" /><Relationship Type="http://schemas.openxmlformats.org/officeDocument/2006/relationships/image" Target="/xl/media/image3890.jpg" Id="R33a83e9255a94206" /><Relationship Type="http://schemas.openxmlformats.org/officeDocument/2006/relationships/image" Target="/xl/media/image3891.jpg" Id="Rdd7a7a2730794477" /><Relationship Type="http://schemas.openxmlformats.org/officeDocument/2006/relationships/image" Target="/xl/media/image3892.jpg" Id="Rdeb1a748227d444e" /><Relationship Type="http://schemas.openxmlformats.org/officeDocument/2006/relationships/image" Target="/xl/media/image3893.jpg" Id="R2e443610453545d3" /><Relationship Type="http://schemas.openxmlformats.org/officeDocument/2006/relationships/image" Target="/xl/media/image3894.jpg" Id="Re048e44aaf1947e7" /><Relationship Type="http://schemas.openxmlformats.org/officeDocument/2006/relationships/image" Target="/xl/media/image3895.jpg" Id="R62e60c4890604860" /><Relationship Type="http://schemas.openxmlformats.org/officeDocument/2006/relationships/image" Target="/xl/media/image3896.jpg" Id="R5f77f2ae46594aa9" /><Relationship Type="http://schemas.openxmlformats.org/officeDocument/2006/relationships/image" Target="/xl/media/image3897.jpg" Id="R15d35c5b0b904db2" /><Relationship Type="http://schemas.openxmlformats.org/officeDocument/2006/relationships/image" Target="/xl/media/image3898.jpg" Id="Rd51c3aba141b4166" /><Relationship Type="http://schemas.openxmlformats.org/officeDocument/2006/relationships/image" Target="/xl/media/image3899.jpg" Id="Ra3eafbcd42f94bdc" /><Relationship Type="http://schemas.openxmlformats.org/officeDocument/2006/relationships/image" Target="/xl/media/image3900.jpg" Id="Rc65c9f442a7a4075" /><Relationship Type="http://schemas.openxmlformats.org/officeDocument/2006/relationships/image" Target="/xl/media/image3901.jpg" Id="R7ff82226cbd24e0d" /><Relationship Type="http://schemas.openxmlformats.org/officeDocument/2006/relationships/image" Target="/xl/media/image3902.jpg" Id="Raa40c05666da46d8" /><Relationship Type="http://schemas.openxmlformats.org/officeDocument/2006/relationships/image" Target="/xl/media/image3903.jpg" Id="Rb4a46dff1bcd409a" /><Relationship Type="http://schemas.openxmlformats.org/officeDocument/2006/relationships/image" Target="/xl/media/image3904.jpg" Id="R9551f3aa9c954dcb" /><Relationship Type="http://schemas.openxmlformats.org/officeDocument/2006/relationships/image" Target="/xl/media/image3905.jpg" Id="R7f82153bee424100" /><Relationship Type="http://schemas.openxmlformats.org/officeDocument/2006/relationships/image" Target="/xl/media/image3906.jpg" Id="Rd19c41b63dd44c90" /><Relationship Type="http://schemas.openxmlformats.org/officeDocument/2006/relationships/image" Target="/xl/media/image3907.jpg" Id="R69d036868b3543d4" /><Relationship Type="http://schemas.openxmlformats.org/officeDocument/2006/relationships/image" Target="/xl/media/image3908.jpg" Id="Re316714aeb7c45e8" /><Relationship Type="http://schemas.openxmlformats.org/officeDocument/2006/relationships/image" Target="/xl/media/image3909.jpg" Id="R04ba4924ea5741aa" /><Relationship Type="http://schemas.openxmlformats.org/officeDocument/2006/relationships/image" Target="/xl/media/image3910.jpg" Id="R45146b23dbab4765" /><Relationship Type="http://schemas.openxmlformats.org/officeDocument/2006/relationships/image" Target="/xl/media/image3911.jpg" Id="R23b9ec30504c4715" /><Relationship Type="http://schemas.openxmlformats.org/officeDocument/2006/relationships/image" Target="/xl/media/image3912.jpg" Id="R44521a6fe7744997" /><Relationship Type="http://schemas.openxmlformats.org/officeDocument/2006/relationships/image" Target="/xl/media/image3913.jpg" Id="R4586a934e3c74198" /><Relationship Type="http://schemas.openxmlformats.org/officeDocument/2006/relationships/image" Target="/xl/media/image3914.jpg" Id="Rd65a44f4856d4ec2" /><Relationship Type="http://schemas.openxmlformats.org/officeDocument/2006/relationships/image" Target="/xl/media/image3915.jpg" Id="R19522df1d3304a68" /><Relationship Type="http://schemas.openxmlformats.org/officeDocument/2006/relationships/image" Target="/xl/media/image3916.jpg" Id="R05088c249fa541a2" /><Relationship Type="http://schemas.openxmlformats.org/officeDocument/2006/relationships/image" Target="/xl/media/image3917.jpg" Id="Ra5407800e2f3464c" /><Relationship Type="http://schemas.openxmlformats.org/officeDocument/2006/relationships/image" Target="/xl/media/image3918.jpg" Id="R9768d2ea7c5e4d3b" /><Relationship Type="http://schemas.openxmlformats.org/officeDocument/2006/relationships/image" Target="/xl/media/image3919.jpg" Id="Rb9b71ba513ec454a" /><Relationship Type="http://schemas.openxmlformats.org/officeDocument/2006/relationships/image" Target="/xl/media/image3920.jpg" Id="R768d294b6a9341c5" /><Relationship Type="http://schemas.openxmlformats.org/officeDocument/2006/relationships/image" Target="/xl/media/image3921.jpg" Id="Re97036257e9d41cd" /><Relationship Type="http://schemas.openxmlformats.org/officeDocument/2006/relationships/image" Target="/xl/media/image3922.jpg" Id="Rf8c3e2b310ed4a39" /><Relationship Type="http://schemas.openxmlformats.org/officeDocument/2006/relationships/image" Target="/xl/media/image3923.jpg" Id="R1806676db25f4d34" /><Relationship Type="http://schemas.openxmlformats.org/officeDocument/2006/relationships/image" Target="/xl/media/image3924.jpg" Id="R566ddc6d5e8a46ca" /><Relationship Type="http://schemas.openxmlformats.org/officeDocument/2006/relationships/image" Target="/xl/media/image3925.jpg" Id="R390a679caf194e05" /><Relationship Type="http://schemas.openxmlformats.org/officeDocument/2006/relationships/image" Target="/xl/media/image3926.jpg" Id="R9481ddeaf8354adc" /><Relationship Type="http://schemas.openxmlformats.org/officeDocument/2006/relationships/image" Target="/xl/media/image3927.jpg" Id="Rce087e6654654dfa" /><Relationship Type="http://schemas.openxmlformats.org/officeDocument/2006/relationships/image" Target="/xl/media/image3928.jpg" Id="R0e69645a9072439b" /><Relationship Type="http://schemas.openxmlformats.org/officeDocument/2006/relationships/image" Target="/xl/media/image3929.jpg" Id="R604f852b4cc54b79" /><Relationship Type="http://schemas.openxmlformats.org/officeDocument/2006/relationships/image" Target="/xl/media/image3930.jpg" Id="R44c2f408308d4018" /><Relationship Type="http://schemas.openxmlformats.org/officeDocument/2006/relationships/image" Target="/xl/media/image3931.jpg" Id="R4d7538b50dd24dde" /><Relationship Type="http://schemas.openxmlformats.org/officeDocument/2006/relationships/image" Target="/xl/media/image3932.jpg" Id="R974433bfc8814edd" /><Relationship Type="http://schemas.openxmlformats.org/officeDocument/2006/relationships/image" Target="/xl/media/image3933.jpg" Id="R2515bdb8111645bc" /><Relationship Type="http://schemas.openxmlformats.org/officeDocument/2006/relationships/image" Target="/xl/media/image3934.jpg" Id="R9cb1c178e0844b1d" /><Relationship Type="http://schemas.openxmlformats.org/officeDocument/2006/relationships/image" Target="/xl/media/image3935.jpg" Id="R0ccab79e9335400a" /><Relationship Type="http://schemas.openxmlformats.org/officeDocument/2006/relationships/image" Target="/xl/media/image3936.jpg" Id="Rad6470d9a6dd40bc" /><Relationship Type="http://schemas.openxmlformats.org/officeDocument/2006/relationships/image" Target="/xl/media/image3937.jpg" Id="Rf4b7141ad7484f62" /><Relationship Type="http://schemas.openxmlformats.org/officeDocument/2006/relationships/image" Target="/xl/media/image3938.jpg" Id="R5e87bddd9d8a4b59" /><Relationship Type="http://schemas.openxmlformats.org/officeDocument/2006/relationships/image" Target="/xl/media/image3939.jpg" Id="Rbcb0f461144a4130" /><Relationship Type="http://schemas.openxmlformats.org/officeDocument/2006/relationships/image" Target="/xl/media/image3940.jpg" Id="R80e18a20ef674df8" /><Relationship Type="http://schemas.openxmlformats.org/officeDocument/2006/relationships/image" Target="/xl/media/image3941.jpg" Id="R912099f54eda4315" /><Relationship Type="http://schemas.openxmlformats.org/officeDocument/2006/relationships/image" Target="/xl/media/image3942.jpg" Id="Rde6f233c38fe415f" /><Relationship Type="http://schemas.openxmlformats.org/officeDocument/2006/relationships/image" Target="/xl/media/image3943.jpg" Id="R59c2923f147f4a35" /><Relationship Type="http://schemas.openxmlformats.org/officeDocument/2006/relationships/image" Target="/xl/media/image3944.jpg" Id="Rc6e8f6b8ed474b44" /><Relationship Type="http://schemas.openxmlformats.org/officeDocument/2006/relationships/image" Target="/xl/media/image3945.jpg" Id="R940504214fe54614" /><Relationship Type="http://schemas.openxmlformats.org/officeDocument/2006/relationships/image" Target="/xl/media/image3946.jpg" Id="R6a51953102fd4910" /><Relationship Type="http://schemas.openxmlformats.org/officeDocument/2006/relationships/image" Target="/xl/media/image3947.jpg" Id="Rac87d2f06c2c4d19" /><Relationship Type="http://schemas.openxmlformats.org/officeDocument/2006/relationships/image" Target="/xl/media/image3948.jpg" Id="Rc4ae313b60034a70" /><Relationship Type="http://schemas.openxmlformats.org/officeDocument/2006/relationships/image" Target="/xl/media/image3949.jpg" Id="R9ad6e1ea8304425b" /><Relationship Type="http://schemas.openxmlformats.org/officeDocument/2006/relationships/image" Target="/xl/media/image3950.jpg" Id="R09a1fa55670d422b" /><Relationship Type="http://schemas.openxmlformats.org/officeDocument/2006/relationships/image" Target="/xl/media/image3951.jpg" Id="R4395d00db9194ae5" /><Relationship Type="http://schemas.openxmlformats.org/officeDocument/2006/relationships/image" Target="/xl/media/image3952.jpg" Id="R35cb811e58774013" /><Relationship Type="http://schemas.openxmlformats.org/officeDocument/2006/relationships/image" Target="/xl/media/image3953.jpg" Id="R1d19009b8d3f479c" /><Relationship Type="http://schemas.openxmlformats.org/officeDocument/2006/relationships/image" Target="/xl/media/image3954.jpg" Id="Rc5527759f6bd4043" /><Relationship Type="http://schemas.openxmlformats.org/officeDocument/2006/relationships/image" Target="/xl/media/image3955.jpg" Id="R9961a52ea6194f6c" /><Relationship Type="http://schemas.openxmlformats.org/officeDocument/2006/relationships/image" Target="/xl/media/image3956.jpg" Id="R69261d5e4bbe424d" /><Relationship Type="http://schemas.openxmlformats.org/officeDocument/2006/relationships/image" Target="/xl/media/image3957.jpg" Id="R43a86088da444872" /><Relationship Type="http://schemas.openxmlformats.org/officeDocument/2006/relationships/image" Target="/xl/media/image3958.jpg" Id="Rf3cd3c54ff31487c" /><Relationship Type="http://schemas.openxmlformats.org/officeDocument/2006/relationships/image" Target="/xl/media/image3959.jpg" Id="Re990e9ef94504bfb" /><Relationship Type="http://schemas.openxmlformats.org/officeDocument/2006/relationships/image" Target="/xl/media/image3960.jpg" Id="Rcca30d9f08ac4b01" /><Relationship Type="http://schemas.openxmlformats.org/officeDocument/2006/relationships/image" Target="/xl/media/image3961.jpg" Id="R7c8fe052e3a44601" /><Relationship Type="http://schemas.openxmlformats.org/officeDocument/2006/relationships/image" Target="/xl/media/image3962.jpg" Id="R2bde0c5d0dff4c7b" /><Relationship Type="http://schemas.openxmlformats.org/officeDocument/2006/relationships/image" Target="/xl/media/image3963.jpg" Id="R0f6520954829445a" /><Relationship Type="http://schemas.openxmlformats.org/officeDocument/2006/relationships/image" Target="/xl/media/image3964.jpg" Id="R0acf7eef7f7c4a31" /><Relationship Type="http://schemas.openxmlformats.org/officeDocument/2006/relationships/image" Target="/xl/media/image3965.jpg" Id="Ref6bf948e7704ed1" /><Relationship Type="http://schemas.openxmlformats.org/officeDocument/2006/relationships/image" Target="/xl/media/image3966.jpg" Id="R71a2bc786fb24649" /><Relationship Type="http://schemas.openxmlformats.org/officeDocument/2006/relationships/image" Target="/xl/media/image3967.jpg" Id="Rb3ac603857594d4b" /><Relationship Type="http://schemas.openxmlformats.org/officeDocument/2006/relationships/image" Target="/xl/media/image3968.jpg" Id="R06eb58c248724dc8" /><Relationship Type="http://schemas.openxmlformats.org/officeDocument/2006/relationships/image" Target="/xl/media/image3969.jpg" Id="R670438f319de43a2" /><Relationship Type="http://schemas.openxmlformats.org/officeDocument/2006/relationships/image" Target="/xl/media/image3970.jpg" Id="R02ce3c1c1d3143dd" /><Relationship Type="http://schemas.openxmlformats.org/officeDocument/2006/relationships/image" Target="/xl/media/image3971.jpg" Id="R5c81a144188447aa" /><Relationship Type="http://schemas.openxmlformats.org/officeDocument/2006/relationships/image" Target="/xl/media/image3972.jpg" Id="R3e9c6424c241440f" /><Relationship Type="http://schemas.openxmlformats.org/officeDocument/2006/relationships/image" Target="/xl/media/image3973.jpg" Id="R5c0932c892d44f72" /><Relationship Type="http://schemas.openxmlformats.org/officeDocument/2006/relationships/image" Target="/xl/media/image3974.jpg" Id="R53eb7653735b4f34" /><Relationship Type="http://schemas.openxmlformats.org/officeDocument/2006/relationships/image" Target="/xl/media/image3975.jpg" Id="R787a2f023df14485" /><Relationship Type="http://schemas.openxmlformats.org/officeDocument/2006/relationships/image" Target="/xl/media/image3976.jpg" Id="Rb4a58662e6014c43" /><Relationship Type="http://schemas.openxmlformats.org/officeDocument/2006/relationships/image" Target="/xl/media/image3977.jpg" Id="R73de2fd1f8504ee6" /><Relationship Type="http://schemas.openxmlformats.org/officeDocument/2006/relationships/image" Target="/xl/media/image3978.jpg" Id="R2c97cbe417d8470d" /><Relationship Type="http://schemas.openxmlformats.org/officeDocument/2006/relationships/image" Target="/xl/media/image3979.jpg" Id="Rc86cc9a9390a4c72" /><Relationship Type="http://schemas.openxmlformats.org/officeDocument/2006/relationships/image" Target="/xl/media/image3980.jpg" Id="R4f02a3b4c45b45b1" /><Relationship Type="http://schemas.openxmlformats.org/officeDocument/2006/relationships/image" Target="/xl/media/image3981.jpg" Id="R6ae5b6d44dc645a6" /><Relationship Type="http://schemas.openxmlformats.org/officeDocument/2006/relationships/image" Target="/xl/media/image3982.jpg" Id="Raa89408f314d489f" /><Relationship Type="http://schemas.openxmlformats.org/officeDocument/2006/relationships/image" Target="/xl/media/image3983.jpg" Id="R670ee930d8b943a1" /><Relationship Type="http://schemas.openxmlformats.org/officeDocument/2006/relationships/image" Target="/xl/media/image3984.jpg" Id="Rd9db5a0f87be47e1" /><Relationship Type="http://schemas.openxmlformats.org/officeDocument/2006/relationships/image" Target="/xl/media/image3985.jpg" Id="Ra1ff05171e1f4a5f" /><Relationship Type="http://schemas.openxmlformats.org/officeDocument/2006/relationships/image" Target="/xl/media/image3986.jpg" Id="R4cc713203d464fc8" /><Relationship Type="http://schemas.openxmlformats.org/officeDocument/2006/relationships/image" Target="/xl/media/image3987.jpg" Id="Rda451a9441134159" /><Relationship Type="http://schemas.openxmlformats.org/officeDocument/2006/relationships/image" Target="/xl/media/image3988.jpg" Id="R9d72626602844806" /><Relationship Type="http://schemas.openxmlformats.org/officeDocument/2006/relationships/image" Target="/xl/media/image3989.jpg" Id="R9d7ac409d1f3472f" /><Relationship Type="http://schemas.openxmlformats.org/officeDocument/2006/relationships/image" Target="/xl/media/image3990.jpg" Id="Rba6e93e20fc94e4e" /><Relationship Type="http://schemas.openxmlformats.org/officeDocument/2006/relationships/image" Target="/xl/media/image3991.jpg" Id="R304b88b607fe4dde" /><Relationship Type="http://schemas.openxmlformats.org/officeDocument/2006/relationships/image" Target="/xl/media/image3992.jpg" Id="Reb14cfd48e8f4171" /><Relationship Type="http://schemas.openxmlformats.org/officeDocument/2006/relationships/image" Target="/xl/media/image3993.jpg" Id="R7b4b83fc5f9f477c" /><Relationship Type="http://schemas.openxmlformats.org/officeDocument/2006/relationships/image" Target="/xl/media/image3994.jpg" Id="Rc7337bb6b0fe4a7c" /><Relationship Type="http://schemas.openxmlformats.org/officeDocument/2006/relationships/image" Target="/xl/media/image3995.jpg" Id="R174d9002dae34490" /><Relationship Type="http://schemas.openxmlformats.org/officeDocument/2006/relationships/image" Target="/xl/media/image3996.jpg" Id="R452e571fbd574257" /><Relationship Type="http://schemas.openxmlformats.org/officeDocument/2006/relationships/image" Target="/xl/media/image3997.jpg" Id="R599f2f7dc76141cd" /><Relationship Type="http://schemas.openxmlformats.org/officeDocument/2006/relationships/image" Target="/xl/media/image3998.jpg" Id="R1df40191f89a4811" /><Relationship Type="http://schemas.openxmlformats.org/officeDocument/2006/relationships/image" Target="/xl/media/image3999.jpg" Id="R40008c12107e448f" /><Relationship Type="http://schemas.openxmlformats.org/officeDocument/2006/relationships/image" Target="/xl/media/image4000.jpg" Id="R1efd2c576a33457d" /><Relationship Type="http://schemas.openxmlformats.org/officeDocument/2006/relationships/image" Target="/xl/media/image4001.jpg" Id="Rbc749279372d40dd" /><Relationship Type="http://schemas.openxmlformats.org/officeDocument/2006/relationships/image" Target="/xl/media/image4002.jpg" Id="R8864db3fb4484874" /><Relationship Type="http://schemas.openxmlformats.org/officeDocument/2006/relationships/image" Target="/xl/media/image4003.jpg" Id="R3c42fd1b97104ff2" /><Relationship Type="http://schemas.openxmlformats.org/officeDocument/2006/relationships/image" Target="/xl/media/image4004.jpg" Id="R2eb2b1e391124fba" /><Relationship Type="http://schemas.openxmlformats.org/officeDocument/2006/relationships/image" Target="/xl/media/image4005.jpg" Id="Rd0569d6e519c4378" /><Relationship Type="http://schemas.openxmlformats.org/officeDocument/2006/relationships/image" Target="/xl/media/image4006.jpg" Id="Re9d3cd9120644277" /><Relationship Type="http://schemas.openxmlformats.org/officeDocument/2006/relationships/image" Target="/xl/media/image4007.jpg" Id="Ra16b867ac97a4031" /><Relationship Type="http://schemas.openxmlformats.org/officeDocument/2006/relationships/image" Target="/xl/media/image4008.jpg" Id="R86893c5be8554e88" /><Relationship Type="http://schemas.openxmlformats.org/officeDocument/2006/relationships/image" Target="/xl/media/image4009.jpg" Id="Rf2051680bc89422e" /><Relationship Type="http://schemas.openxmlformats.org/officeDocument/2006/relationships/image" Target="/xl/media/image4010.jpg" Id="R22f60075551d4451" /><Relationship Type="http://schemas.openxmlformats.org/officeDocument/2006/relationships/image" Target="/xl/media/image4011.jpg" Id="R89e8da3cef8742e4" /><Relationship Type="http://schemas.openxmlformats.org/officeDocument/2006/relationships/image" Target="/xl/media/image4012.jpg" Id="Ra532a105c1c349bc" /><Relationship Type="http://schemas.openxmlformats.org/officeDocument/2006/relationships/image" Target="/xl/media/image4013.jpg" Id="R85f932bbdd1b429d" /><Relationship Type="http://schemas.openxmlformats.org/officeDocument/2006/relationships/image" Target="/xl/media/image4014.jpg" Id="R10cb1fb144c6455a" /><Relationship Type="http://schemas.openxmlformats.org/officeDocument/2006/relationships/image" Target="/xl/media/image4015.jpg" Id="R0528d7cc559a4ad7" /><Relationship Type="http://schemas.openxmlformats.org/officeDocument/2006/relationships/image" Target="/xl/media/image4016.jpg" Id="R9043d610bd72444b" /><Relationship Type="http://schemas.openxmlformats.org/officeDocument/2006/relationships/image" Target="/xl/media/image4017.jpg" Id="R39d34e9a7502445e" /><Relationship Type="http://schemas.openxmlformats.org/officeDocument/2006/relationships/image" Target="/xl/media/image4018.jpg" Id="Ra1e53c46cd294796" /><Relationship Type="http://schemas.openxmlformats.org/officeDocument/2006/relationships/image" Target="/xl/media/image4019.jpg" Id="R482a3817e1304f97" /><Relationship Type="http://schemas.openxmlformats.org/officeDocument/2006/relationships/image" Target="/xl/media/image4020.jpg" Id="R3f4f440b0e9b4abe" /><Relationship Type="http://schemas.openxmlformats.org/officeDocument/2006/relationships/image" Target="/xl/media/image4021.jpg" Id="Rcd77237464fb446a" /><Relationship Type="http://schemas.openxmlformats.org/officeDocument/2006/relationships/image" Target="/xl/media/image4022.jpg" Id="R31af650babc54983" /><Relationship Type="http://schemas.openxmlformats.org/officeDocument/2006/relationships/image" Target="/xl/media/image4023.jpg" Id="R84033adb1e1c41d4" /><Relationship Type="http://schemas.openxmlformats.org/officeDocument/2006/relationships/image" Target="/xl/media/image4024.jpg" Id="Re3342a13dde04aee" /><Relationship Type="http://schemas.openxmlformats.org/officeDocument/2006/relationships/image" Target="/xl/media/image4025.jpg" Id="R2f9be80551404359" /><Relationship Type="http://schemas.openxmlformats.org/officeDocument/2006/relationships/image" Target="/xl/media/image4026.jpg" Id="R63742fd402d34b83" /><Relationship Type="http://schemas.openxmlformats.org/officeDocument/2006/relationships/image" Target="/xl/media/image4027.jpg" Id="R87be1c743f1c4019" /><Relationship Type="http://schemas.openxmlformats.org/officeDocument/2006/relationships/image" Target="/xl/media/image4028.jpg" Id="R670e69a367e94f68" /><Relationship Type="http://schemas.openxmlformats.org/officeDocument/2006/relationships/image" Target="/xl/media/image4029.jpg" Id="R34485b8367064fab" /><Relationship Type="http://schemas.openxmlformats.org/officeDocument/2006/relationships/image" Target="/xl/media/image4030.jpg" Id="R68032fb35d44431c" /><Relationship Type="http://schemas.openxmlformats.org/officeDocument/2006/relationships/image" Target="/xl/media/image4031.jpg" Id="Rd3079bbaf0c74a64" /><Relationship Type="http://schemas.openxmlformats.org/officeDocument/2006/relationships/image" Target="/xl/media/image4032.jpg" Id="R11e27f6f217444aa" /><Relationship Type="http://schemas.openxmlformats.org/officeDocument/2006/relationships/image" Target="/xl/media/image4033.jpg" Id="Rb76f2825d4a2431e" /><Relationship Type="http://schemas.openxmlformats.org/officeDocument/2006/relationships/image" Target="/xl/media/image4034.jpg" Id="R00fda12092cd42b8" /><Relationship Type="http://schemas.openxmlformats.org/officeDocument/2006/relationships/image" Target="/xl/media/image4035.jpg" Id="Ra17d15341b5d45a4" /><Relationship Type="http://schemas.openxmlformats.org/officeDocument/2006/relationships/image" Target="/xl/media/image4036.jpg" Id="Rce9d6003fb8b4fc4" /><Relationship Type="http://schemas.openxmlformats.org/officeDocument/2006/relationships/image" Target="/xl/media/image4037.jpg" Id="R17f5357fdfd04908" /><Relationship Type="http://schemas.openxmlformats.org/officeDocument/2006/relationships/image" Target="/xl/media/image4038.jpg" Id="Rb4e26df526a74520" /><Relationship Type="http://schemas.openxmlformats.org/officeDocument/2006/relationships/image" Target="/xl/media/image4039.jpg" Id="R63a2d1a18b2e4ad1" /><Relationship Type="http://schemas.openxmlformats.org/officeDocument/2006/relationships/image" Target="/xl/media/image4040.jpg" Id="R84a0f2da31244d32" /><Relationship Type="http://schemas.openxmlformats.org/officeDocument/2006/relationships/image" Target="/xl/media/image4041.jpg" Id="R48f44a303994442d" /><Relationship Type="http://schemas.openxmlformats.org/officeDocument/2006/relationships/image" Target="/xl/media/image4042.jpg" Id="Rcd60f47354f148b1" /><Relationship Type="http://schemas.openxmlformats.org/officeDocument/2006/relationships/image" Target="/xl/media/image4043.jpg" Id="R1bf8f403ebce47a0" /><Relationship Type="http://schemas.openxmlformats.org/officeDocument/2006/relationships/image" Target="/xl/media/image4044.jpg" Id="Rf4eec2f2d56a430b" /><Relationship Type="http://schemas.openxmlformats.org/officeDocument/2006/relationships/image" Target="/xl/media/image4045.jpg" Id="Rf27cc84ab1c845b6" /><Relationship Type="http://schemas.openxmlformats.org/officeDocument/2006/relationships/image" Target="/xl/media/image4046.jpg" Id="R7f74edd4adc6474f" /><Relationship Type="http://schemas.openxmlformats.org/officeDocument/2006/relationships/image" Target="/xl/media/image4047.jpg" Id="R4ce5d97b7e204544" /><Relationship Type="http://schemas.openxmlformats.org/officeDocument/2006/relationships/image" Target="/xl/media/image4048.jpg" Id="Rbd4d0777699f43c4" /><Relationship Type="http://schemas.openxmlformats.org/officeDocument/2006/relationships/image" Target="/xl/media/image4049.jpg" Id="Re76fa4ef3d1d47d7" /><Relationship Type="http://schemas.openxmlformats.org/officeDocument/2006/relationships/image" Target="/xl/media/image4050.jpg" Id="R77238c6d499f4713" /><Relationship Type="http://schemas.openxmlformats.org/officeDocument/2006/relationships/image" Target="/xl/media/image4051.jpg" Id="Rece34bcdaf0f43ec" /><Relationship Type="http://schemas.openxmlformats.org/officeDocument/2006/relationships/image" Target="/xl/media/image4052.jpg" Id="R2ea478f97bd04361" /><Relationship Type="http://schemas.openxmlformats.org/officeDocument/2006/relationships/image" Target="/xl/media/image4053.jpg" Id="R5e8dd90b11b94e78" /><Relationship Type="http://schemas.openxmlformats.org/officeDocument/2006/relationships/image" Target="/xl/media/image4054.jpg" Id="R40b7a79972ee4f8c" /><Relationship Type="http://schemas.openxmlformats.org/officeDocument/2006/relationships/image" Target="/xl/media/image4055.jpg" Id="R700ec848090048f6" /><Relationship Type="http://schemas.openxmlformats.org/officeDocument/2006/relationships/image" Target="/xl/media/image4056.jpg" Id="R51919ed27cfa48de" /><Relationship Type="http://schemas.openxmlformats.org/officeDocument/2006/relationships/image" Target="/xl/media/image4057.jpg" Id="R46636ab57c5f44c6" /><Relationship Type="http://schemas.openxmlformats.org/officeDocument/2006/relationships/image" Target="/xl/media/image4058.jpg" Id="R29118e478df44f6f" /><Relationship Type="http://schemas.openxmlformats.org/officeDocument/2006/relationships/image" Target="/xl/media/image4059.jpg" Id="Rf1d699be39464225" /><Relationship Type="http://schemas.openxmlformats.org/officeDocument/2006/relationships/image" Target="/xl/media/image4060.jpg" Id="Ra81b3a3fdcc747c9" /><Relationship Type="http://schemas.openxmlformats.org/officeDocument/2006/relationships/image" Target="/xl/media/image4061.jpg" Id="R5b867c10b2b44645" /><Relationship Type="http://schemas.openxmlformats.org/officeDocument/2006/relationships/image" Target="/xl/media/image4062.jpg" Id="Rb2fe394cde01456e" /><Relationship Type="http://schemas.openxmlformats.org/officeDocument/2006/relationships/image" Target="/xl/media/image4063.jpg" Id="Rf5ecd8a33a184630" /><Relationship Type="http://schemas.openxmlformats.org/officeDocument/2006/relationships/image" Target="/xl/media/image4064.jpg" Id="R1062055438ea43cf" /><Relationship Type="http://schemas.openxmlformats.org/officeDocument/2006/relationships/image" Target="/xl/media/image4065.jpg" Id="R2083361fa0664bd9" /><Relationship Type="http://schemas.openxmlformats.org/officeDocument/2006/relationships/image" Target="/xl/media/image4066.jpg" Id="Rd6822adaee1b44b6" /><Relationship Type="http://schemas.openxmlformats.org/officeDocument/2006/relationships/image" Target="/xl/media/image4067.jpg" Id="R4510f3b63ecf437a" /><Relationship Type="http://schemas.openxmlformats.org/officeDocument/2006/relationships/image" Target="/xl/media/image4068.jpg" Id="R5227dd79252943d9" /><Relationship Type="http://schemas.openxmlformats.org/officeDocument/2006/relationships/image" Target="/xl/media/image4069.jpg" Id="Rc8d2c808abc346c0" /><Relationship Type="http://schemas.openxmlformats.org/officeDocument/2006/relationships/image" Target="/xl/media/image4070.jpg" Id="R985f7054fa004c23" /><Relationship Type="http://schemas.openxmlformats.org/officeDocument/2006/relationships/image" Target="/xl/media/image4071.jpg" Id="R9f6e76af50e44aff" /><Relationship Type="http://schemas.openxmlformats.org/officeDocument/2006/relationships/image" Target="/xl/media/image4072.jpg" Id="R9b70fb36c1264aef" /><Relationship Type="http://schemas.openxmlformats.org/officeDocument/2006/relationships/image" Target="/xl/media/image4073.jpg" Id="R2eb4eecbf8f745ac" /><Relationship Type="http://schemas.openxmlformats.org/officeDocument/2006/relationships/image" Target="/xl/media/image4074.jpg" Id="R77119c48647a427e" /><Relationship Type="http://schemas.openxmlformats.org/officeDocument/2006/relationships/image" Target="/xl/media/image4075.jpg" Id="Rf860c066c10047ef" /><Relationship Type="http://schemas.openxmlformats.org/officeDocument/2006/relationships/image" Target="/xl/media/image4076.jpg" Id="Rf5ad08a7ecc143d1" /><Relationship Type="http://schemas.openxmlformats.org/officeDocument/2006/relationships/image" Target="/xl/media/image4077.jpg" Id="Ra8f0fae78a6b4587" /><Relationship Type="http://schemas.openxmlformats.org/officeDocument/2006/relationships/image" Target="/xl/media/image4078.jpg" Id="Rdd05a80ddac54462" /><Relationship Type="http://schemas.openxmlformats.org/officeDocument/2006/relationships/image" Target="/xl/media/image4079.jpg" Id="Rebbe1db738814db3" /><Relationship Type="http://schemas.openxmlformats.org/officeDocument/2006/relationships/image" Target="/xl/media/image4080.jpg" Id="R6423874facb74f0d" /><Relationship Type="http://schemas.openxmlformats.org/officeDocument/2006/relationships/image" Target="/xl/media/image4081.jpg" Id="R19e10e8b396747d7" /><Relationship Type="http://schemas.openxmlformats.org/officeDocument/2006/relationships/image" Target="/xl/media/image4082.jpg" Id="Rc235c3a2ba37429a" /><Relationship Type="http://schemas.openxmlformats.org/officeDocument/2006/relationships/image" Target="/xl/media/image4083.jpg" Id="R5ef7327855d54a85" /><Relationship Type="http://schemas.openxmlformats.org/officeDocument/2006/relationships/image" Target="/xl/media/image4084.jpg" Id="R86d3f85c0f8f4f92" /><Relationship Type="http://schemas.openxmlformats.org/officeDocument/2006/relationships/image" Target="/xl/media/image4085.jpg" Id="R32be5268cd2a413a" /><Relationship Type="http://schemas.openxmlformats.org/officeDocument/2006/relationships/image" Target="/xl/media/image4086.jpg" Id="Rfdc695b41a444209" /><Relationship Type="http://schemas.openxmlformats.org/officeDocument/2006/relationships/image" Target="/xl/media/image4087.jpg" Id="R718ba86b78cd4cb5" /><Relationship Type="http://schemas.openxmlformats.org/officeDocument/2006/relationships/image" Target="/xl/media/image4088.jpg" Id="R63aacad623664d3f" /><Relationship Type="http://schemas.openxmlformats.org/officeDocument/2006/relationships/image" Target="/xl/media/image4089.jpg" Id="Rbae5c50afcdf4ee8" /><Relationship Type="http://schemas.openxmlformats.org/officeDocument/2006/relationships/image" Target="/xl/media/image4090.jpg" Id="Rbc81ff127674433b" /><Relationship Type="http://schemas.openxmlformats.org/officeDocument/2006/relationships/image" Target="/xl/media/image4091.jpg" Id="R6530e977c3f44ca2" /><Relationship Type="http://schemas.openxmlformats.org/officeDocument/2006/relationships/image" Target="/xl/media/image4092.jpg" Id="Raa87c5dfaed9490b" /><Relationship Type="http://schemas.openxmlformats.org/officeDocument/2006/relationships/image" Target="/xl/media/image4093.jpg" Id="Ra3da44713d1e435f" /><Relationship Type="http://schemas.openxmlformats.org/officeDocument/2006/relationships/image" Target="/xl/media/image4094.jpg" Id="R60acaab5935b4157" /><Relationship Type="http://schemas.openxmlformats.org/officeDocument/2006/relationships/image" Target="/xl/media/image4095.jpg" Id="Ra9ab4943f1e245d9" /><Relationship Type="http://schemas.openxmlformats.org/officeDocument/2006/relationships/image" Target="/xl/media/image4096.jpg" Id="Rbad1983eee6944bd" /><Relationship Type="http://schemas.openxmlformats.org/officeDocument/2006/relationships/image" Target="/xl/media/image4097.jpg" Id="R662f1702ae0345ee" /><Relationship Type="http://schemas.openxmlformats.org/officeDocument/2006/relationships/image" Target="/xl/media/image4098.jpg" Id="Ra095e235336c451f" /><Relationship Type="http://schemas.openxmlformats.org/officeDocument/2006/relationships/image" Target="/xl/media/image4099.jpg" Id="R26c7a2f7035d4b13" /><Relationship Type="http://schemas.openxmlformats.org/officeDocument/2006/relationships/image" Target="/xl/media/image4100.jpg" Id="R73174d923ac34e09" /><Relationship Type="http://schemas.openxmlformats.org/officeDocument/2006/relationships/image" Target="/xl/media/image4101.jpg" Id="R008e144918f64fc6" /><Relationship Type="http://schemas.openxmlformats.org/officeDocument/2006/relationships/image" Target="/xl/media/image4102.jpg" Id="Rce791caffd6e42e9" /><Relationship Type="http://schemas.openxmlformats.org/officeDocument/2006/relationships/image" Target="/xl/media/image4103.jpg" Id="Re0e3cdb7aa1e4fc6" /><Relationship Type="http://schemas.openxmlformats.org/officeDocument/2006/relationships/image" Target="/xl/media/image4104.jpg" Id="R6d04ab24436a44aa" /><Relationship Type="http://schemas.openxmlformats.org/officeDocument/2006/relationships/image" Target="/xl/media/image4105.jpg" Id="Rc9795531d12a4a9a" /><Relationship Type="http://schemas.openxmlformats.org/officeDocument/2006/relationships/image" Target="/xl/media/image4106.jpg" Id="Rc20bfa7a895e420b" /><Relationship Type="http://schemas.openxmlformats.org/officeDocument/2006/relationships/image" Target="/xl/media/image4107.jpg" Id="R3db3ab2acdb64478" /><Relationship Type="http://schemas.openxmlformats.org/officeDocument/2006/relationships/image" Target="/xl/media/image4108.jpg" Id="R52b276d5e96248e0" /><Relationship Type="http://schemas.openxmlformats.org/officeDocument/2006/relationships/image" Target="/xl/media/image4109.jpg" Id="R02d8a2b640504bdc" /><Relationship Type="http://schemas.openxmlformats.org/officeDocument/2006/relationships/image" Target="/xl/media/image4110.jpg" Id="Rbe0b67f8852b4dc4" /><Relationship Type="http://schemas.openxmlformats.org/officeDocument/2006/relationships/image" Target="/xl/media/image4111.jpg" Id="Rc773e86471cc4ffe" /><Relationship Type="http://schemas.openxmlformats.org/officeDocument/2006/relationships/image" Target="/xl/media/image4112.jpg" Id="Ra30669e37b4a4e02" /><Relationship Type="http://schemas.openxmlformats.org/officeDocument/2006/relationships/image" Target="/xl/media/image4113.jpg" Id="R5177f1d3130d4576" /><Relationship Type="http://schemas.openxmlformats.org/officeDocument/2006/relationships/image" Target="/xl/media/image4114.jpg" Id="R2d252965253d4602" /><Relationship Type="http://schemas.openxmlformats.org/officeDocument/2006/relationships/image" Target="/xl/media/image4115.jpg" Id="R91a7686227eb48c0" /><Relationship Type="http://schemas.openxmlformats.org/officeDocument/2006/relationships/image" Target="/xl/media/image4116.jpg" Id="R76bde0f176454acf" /><Relationship Type="http://schemas.openxmlformats.org/officeDocument/2006/relationships/image" Target="/xl/media/image4117.jpg" Id="R6c95e557237b43db" /><Relationship Type="http://schemas.openxmlformats.org/officeDocument/2006/relationships/image" Target="/xl/media/image4118.jpg" Id="Rbf7b105cf7ed41a0" /><Relationship Type="http://schemas.openxmlformats.org/officeDocument/2006/relationships/image" Target="/xl/media/image4119.jpg" Id="Re5d013ebf5c646d0" /><Relationship Type="http://schemas.openxmlformats.org/officeDocument/2006/relationships/image" Target="/xl/media/image4120.jpg" Id="R97999e284c2540fe" /><Relationship Type="http://schemas.openxmlformats.org/officeDocument/2006/relationships/image" Target="/xl/media/image4121.jpg" Id="Rdb71371fed774b56" /><Relationship Type="http://schemas.openxmlformats.org/officeDocument/2006/relationships/image" Target="/xl/media/image4122.jpg" Id="R7612f8e8dc2d4e76" /><Relationship Type="http://schemas.openxmlformats.org/officeDocument/2006/relationships/image" Target="/xl/media/image4123.jpg" Id="R9e21505aab764618" /><Relationship Type="http://schemas.openxmlformats.org/officeDocument/2006/relationships/image" Target="/xl/media/image4124.jpg" Id="R66006d796c704d94" /><Relationship Type="http://schemas.openxmlformats.org/officeDocument/2006/relationships/image" Target="/xl/media/image4125.jpg" Id="R6b28c89b62324c47" /><Relationship Type="http://schemas.openxmlformats.org/officeDocument/2006/relationships/image" Target="/xl/media/image4126.jpg" Id="Red205a7041d1474d" /><Relationship Type="http://schemas.openxmlformats.org/officeDocument/2006/relationships/image" Target="/xl/media/image4127.jpg" Id="R4dbe5cfe37984b1b" /><Relationship Type="http://schemas.openxmlformats.org/officeDocument/2006/relationships/image" Target="/xl/media/image4128.jpg" Id="R7563596ba6fb4ca2" /><Relationship Type="http://schemas.openxmlformats.org/officeDocument/2006/relationships/image" Target="/xl/media/image4129.jpg" Id="R163892d2259f4423" /><Relationship Type="http://schemas.openxmlformats.org/officeDocument/2006/relationships/image" Target="/xl/media/image4130.jpg" Id="Rec8d8a2706dc4c48" /><Relationship Type="http://schemas.openxmlformats.org/officeDocument/2006/relationships/image" Target="/xl/media/image4131.jpg" Id="R06f8e7d761224a5f" /><Relationship Type="http://schemas.openxmlformats.org/officeDocument/2006/relationships/image" Target="/xl/media/image4132.jpg" Id="R71d9fb5bc32a4e1d" /><Relationship Type="http://schemas.openxmlformats.org/officeDocument/2006/relationships/image" Target="/xl/media/image4133.jpg" Id="R6ae7521364b24ea3" /><Relationship Type="http://schemas.openxmlformats.org/officeDocument/2006/relationships/image" Target="/xl/media/image4134.jpg" Id="R921900a325eb4471" /><Relationship Type="http://schemas.openxmlformats.org/officeDocument/2006/relationships/image" Target="/xl/media/image4135.jpg" Id="R67dcdbb29cf74588" /><Relationship Type="http://schemas.openxmlformats.org/officeDocument/2006/relationships/image" Target="/xl/media/image4136.jpg" Id="Rf7932be4898a4f5e" /><Relationship Type="http://schemas.openxmlformats.org/officeDocument/2006/relationships/image" Target="/xl/media/image4137.jpg" Id="R06fdf404954f4ce1" /><Relationship Type="http://schemas.openxmlformats.org/officeDocument/2006/relationships/image" Target="/xl/media/image4138.jpg" Id="Rd45fb6c767994dab" /><Relationship Type="http://schemas.openxmlformats.org/officeDocument/2006/relationships/image" Target="/xl/media/image4139.jpg" Id="R4c85bd299a084348" /><Relationship Type="http://schemas.openxmlformats.org/officeDocument/2006/relationships/image" Target="/xl/media/image4140.jpg" Id="R9931fef1d26d460a" /><Relationship Type="http://schemas.openxmlformats.org/officeDocument/2006/relationships/image" Target="/xl/media/image4141.jpg" Id="R6e33a95457ca4e51" /><Relationship Type="http://schemas.openxmlformats.org/officeDocument/2006/relationships/image" Target="/xl/media/image4142.jpg" Id="Re549e9142c0b4944" /><Relationship Type="http://schemas.openxmlformats.org/officeDocument/2006/relationships/image" Target="/xl/media/image4143.jpg" Id="R6d08d9ccd2934ef2" /><Relationship Type="http://schemas.openxmlformats.org/officeDocument/2006/relationships/image" Target="/xl/media/image4144.jpg" Id="Re93d774f679a4e2b" /><Relationship Type="http://schemas.openxmlformats.org/officeDocument/2006/relationships/image" Target="/xl/media/image4145.jpg" Id="R16849c55fba44cb3" /><Relationship Type="http://schemas.openxmlformats.org/officeDocument/2006/relationships/image" Target="/xl/media/image4146.jpg" Id="R623f2d1aa3094663" /><Relationship Type="http://schemas.openxmlformats.org/officeDocument/2006/relationships/image" Target="/xl/media/image4147.jpg" Id="R78e3d94ff5ef4ab3" /><Relationship Type="http://schemas.openxmlformats.org/officeDocument/2006/relationships/image" Target="/xl/media/image4148.jpg" Id="Rf7c5e710b5064975" /><Relationship Type="http://schemas.openxmlformats.org/officeDocument/2006/relationships/image" Target="/xl/media/image4149.jpg" Id="Ra85a243543294ef0" /><Relationship Type="http://schemas.openxmlformats.org/officeDocument/2006/relationships/image" Target="/xl/media/image4150.jpg" Id="Rf793d22dd7674b2a" /><Relationship Type="http://schemas.openxmlformats.org/officeDocument/2006/relationships/image" Target="/xl/media/image4151.jpg" Id="R985164800b274e2c" /><Relationship Type="http://schemas.openxmlformats.org/officeDocument/2006/relationships/image" Target="/xl/media/image4152.jpg" Id="R0183cf91de6041a0" /><Relationship Type="http://schemas.openxmlformats.org/officeDocument/2006/relationships/image" Target="/xl/media/image4153.jpg" Id="Rd8326c3e9b0e45ee" /><Relationship Type="http://schemas.openxmlformats.org/officeDocument/2006/relationships/image" Target="/xl/media/image4154.jpg" Id="Re23838055df54b64" /><Relationship Type="http://schemas.openxmlformats.org/officeDocument/2006/relationships/image" Target="/xl/media/image4155.jpg" Id="R09e11549399b4a6d" /><Relationship Type="http://schemas.openxmlformats.org/officeDocument/2006/relationships/image" Target="/xl/media/image4156.jpg" Id="Rb38940db30d44104" /><Relationship Type="http://schemas.openxmlformats.org/officeDocument/2006/relationships/image" Target="/xl/media/image4157.jpg" Id="Rf9876991ea1c4eee" /><Relationship Type="http://schemas.openxmlformats.org/officeDocument/2006/relationships/image" Target="/xl/media/image4158.jpg" Id="Rc72512ba4bc74f92" /><Relationship Type="http://schemas.openxmlformats.org/officeDocument/2006/relationships/image" Target="/xl/media/image4159.jpg" Id="Re923fe6187844bac" /><Relationship Type="http://schemas.openxmlformats.org/officeDocument/2006/relationships/image" Target="/xl/media/image4160.jpg" Id="Ra88b26761a02488b" /><Relationship Type="http://schemas.openxmlformats.org/officeDocument/2006/relationships/image" Target="/xl/media/image4161.jpg" Id="R07ea41c6349245be" /><Relationship Type="http://schemas.openxmlformats.org/officeDocument/2006/relationships/image" Target="/xl/media/image4162.jpg" Id="R5f6b1f2e96a84f2d" /><Relationship Type="http://schemas.openxmlformats.org/officeDocument/2006/relationships/image" Target="/xl/media/image4163.jpg" Id="R8d525d8ad5434687" /><Relationship Type="http://schemas.openxmlformats.org/officeDocument/2006/relationships/image" Target="/xl/media/image4164.jpg" Id="R6b7160edfeee4b0a" /><Relationship Type="http://schemas.openxmlformats.org/officeDocument/2006/relationships/image" Target="/xl/media/image4165.jpg" Id="Rdfc864678f9a41f9" /><Relationship Type="http://schemas.openxmlformats.org/officeDocument/2006/relationships/image" Target="/xl/media/image4166.jpg" Id="R9ae8e3b28b60431b" /><Relationship Type="http://schemas.openxmlformats.org/officeDocument/2006/relationships/image" Target="/xl/media/image4167.jpg" Id="Ra59ce84fd6ec4eb1" /><Relationship Type="http://schemas.openxmlformats.org/officeDocument/2006/relationships/image" Target="/xl/media/image4168.jpg" Id="R57ed8b6c1d2f4791" /><Relationship Type="http://schemas.openxmlformats.org/officeDocument/2006/relationships/image" Target="/xl/media/image4169.jpg" Id="R9b5c495d3c0a48d4" /><Relationship Type="http://schemas.openxmlformats.org/officeDocument/2006/relationships/image" Target="/xl/media/image4170.jpg" Id="R3363857dfed64d9f" /><Relationship Type="http://schemas.openxmlformats.org/officeDocument/2006/relationships/image" Target="/xl/media/image4171.jpg" Id="R69ca101945ed4bd8" /><Relationship Type="http://schemas.openxmlformats.org/officeDocument/2006/relationships/image" Target="/xl/media/image4172.jpg" Id="R7de65a324064427c" /><Relationship Type="http://schemas.openxmlformats.org/officeDocument/2006/relationships/image" Target="/xl/media/image4173.jpg" Id="R1938e155fd714190" /><Relationship Type="http://schemas.openxmlformats.org/officeDocument/2006/relationships/image" Target="/xl/media/image4174.jpg" Id="Re567ea05f5754688" /><Relationship Type="http://schemas.openxmlformats.org/officeDocument/2006/relationships/image" Target="/xl/media/image4175.jpg" Id="R722826484565401e" /><Relationship Type="http://schemas.openxmlformats.org/officeDocument/2006/relationships/image" Target="/xl/media/image4176.jpg" Id="R5511d6071dd7488b" /><Relationship Type="http://schemas.openxmlformats.org/officeDocument/2006/relationships/image" Target="/xl/media/image4177.jpg" Id="Rd11322b211224508" /><Relationship Type="http://schemas.openxmlformats.org/officeDocument/2006/relationships/image" Target="/xl/media/image4178.jpg" Id="R7295c580beff4d28" /><Relationship Type="http://schemas.openxmlformats.org/officeDocument/2006/relationships/image" Target="/xl/media/image4179.jpg" Id="Rf69a1b733c5e43e3" /><Relationship Type="http://schemas.openxmlformats.org/officeDocument/2006/relationships/image" Target="/xl/media/image4180.jpg" Id="R076f4d2a676d4ea5" /><Relationship Type="http://schemas.openxmlformats.org/officeDocument/2006/relationships/image" Target="/xl/media/image4181.jpg" Id="Rb31c3b3926bd4bff" /><Relationship Type="http://schemas.openxmlformats.org/officeDocument/2006/relationships/image" Target="/xl/media/image4182.jpg" Id="Rc6e2d2caad06475b" /><Relationship Type="http://schemas.openxmlformats.org/officeDocument/2006/relationships/image" Target="/xl/media/image4183.jpg" Id="R173b3d3793e24fe8" /><Relationship Type="http://schemas.openxmlformats.org/officeDocument/2006/relationships/image" Target="/xl/media/image4184.jpg" Id="R27a7a093f35545c8" /><Relationship Type="http://schemas.openxmlformats.org/officeDocument/2006/relationships/image" Target="/xl/media/image4185.jpg" Id="Rb6533614b1a84bfb" /><Relationship Type="http://schemas.openxmlformats.org/officeDocument/2006/relationships/image" Target="/xl/media/image4186.jpg" Id="R7f448ecb4fc744f9" /><Relationship Type="http://schemas.openxmlformats.org/officeDocument/2006/relationships/image" Target="/xl/media/image4187.jpg" Id="Rd4e029720cd4410d" /><Relationship Type="http://schemas.openxmlformats.org/officeDocument/2006/relationships/image" Target="/xl/media/image4188.jpg" Id="Rf986e561397a4f0b" /><Relationship Type="http://schemas.openxmlformats.org/officeDocument/2006/relationships/image" Target="/xl/media/image4189.jpg" Id="R4ac8308dd4cb4742" /><Relationship Type="http://schemas.openxmlformats.org/officeDocument/2006/relationships/image" Target="/xl/media/image4190.jpg" Id="Rc8be34ca41f149f1" /><Relationship Type="http://schemas.openxmlformats.org/officeDocument/2006/relationships/image" Target="/xl/media/image4191.jpg" Id="Ra355bcab1dc04421" /><Relationship Type="http://schemas.openxmlformats.org/officeDocument/2006/relationships/image" Target="/xl/media/image4192.jpg" Id="Rab1d4f2025f64cd1" /><Relationship Type="http://schemas.openxmlformats.org/officeDocument/2006/relationships/image" Target="/xl/media/image4193.jpg" Id="Rb6fe2a67dcb74530" /><Relationship Type="http://schemas.openxmlformats.org/officeDocument/2006/relationships/image" Target="/xl/media/image4194.jpg" Id="Rf38c035368614b00" /><Relationship Type="http://schemas.openxmlformats.org/officeDocument/2006/relationships/image" Target="/xl/media/image4195.jpg" Id="R45e6ae6d51704b66" /><Relationship Type="http://schemas.openxmlformats.org/officeDocument/2006/relationships/image" Target="/xl/media/image4196.jpg" Id="Re2eee2939d3d4435" /><Relationship Type="http://schemas.openxmlformats.org/officeDocument/2006/relationships/image" Target="/xl/media/image4197.jpg" Id="Rfcf152de778d4e10" /><Relationship Type="http://schemas.openxmlformats.org/officeDocument/2006/relationships/image" Target="/xl/media/image4198.jpg" Id="Ra1defa205eef4636" /><Relationship Type="http://schemas.openxmlformats.org/officeDocument/2006/relationships/image" Target="/xl/media/image4199.jpg" Id="R8d2aaf4cff2e4b87" /><Relationship Type="http://schemas.openxmlformats.org/officeDocument/2006/relationships/image" Target="/xl/media/image4200.jpg" Id="Rce0ce3be8c464b39" /><Relationship Type="http://schemas.openxmlformats.org/officeDocument/2006/relationships/image" Target="/xl/media/image4201.jpg" Id="R010cf770e6be45b1" /><Relationship Type="http://schemas.openxmlformats.org/officeDocument/2006/relationships/image" Target="/xl/media/image4202.jpg" Id="R0ec962d6991a4deb" /><Relationship Type="http://schemas.openxmlformats.org/officeDocument/2006/relationships/image" Target="/xl/media/image4203.jpg" Id="R4c0b3a0d974b46b4" /><Relationship Type="http://schemas.openxmlformats.org/officeDocument/2006/relationships/image" Target="/xl/media/image4204.jpg" Id="R1878c840e9cf4c0b" /><Relationship Type="http://schemas.openxmlformats.org/officeDocument/2006/relationships/image" Target="/xl/media/image4205.jpg" Id="Rb6d8f45e4c14447e" /><Relationship Type="http://schemas.openxmlformats.org/officeDocument/2006/relationships/image" Target="/xl/media/image4206.jpg" Id="Re91cc8c855e74f04" /><Relationship Type="http://schemas.openxmlformats.org/officeDocument/2006/relationships/image" Target="/xl/media/image4207.jpg" Id="Rea6f98fffda84fa4" /><Relationship Type="http://schemas.openxmlformats.org/officeDocument/2006/relationships/image" Target="/xl/media/image4208.jpg" Id="Rc0cc6ba972ee4da3" /><Relationship Type="http://schemas.openxmlformats.org/officeDocument/2006/relationships/image" Target="/xl/media/image4209.jpg" Id="R666d2d4454a640ca" /><Relationship Type="http://schemas.openxmlformats.org/officeDocument/2006/relationships/image" Target="/xl/media/image4210.jpg" Id="R43217fe93a254484" /><Relationship Type="http://schemas.openxmlformats.org/officeDocument/2006/relationships/image" Target="/xl/media/image4211.jpg" Id="R77be1bde005b49d9" /><Relationship Type="http://schemas.openxmlformats.org/officeDocument/2006/relationships/image" Target="/xl/media/image4212.jpg" Id="R5f879ee8f1d24d41" /><Relationship Type="http://schemas.openxmlformats.org/officeDocument/2006/relationships/image" Target="/xl/media/image4213.jpg" Id="R4d4d2e5e385048eb" /><Relationship Type="http://schemas.openxmlformats.org/officeDocument/2006/relationships/image" Target="/xl/media/image4214.jpg" Id="R52e2483389e845e3" /><Relationship Type="http://schemas.openxmlformats.org/officeDocument/2006/relationships/image" Target="/xl/media/image4215.jpg" Id="R0f43ee8ed92d48ff" /><Relationship Type="http://schemas.openxmlformats.org/officeDocument/2006/relationships/image" Target="/xl/media/image4216.jpg" Id="R4bdf5ff12b964d59" /><Relationship Type="http://schemas.openxmlformats.org/officeDocument/2006/relationships/image" Target="/xl/media/image4217.jpg" Id="Rab58ebe5fe7e4b53" /><Relationship Type="http://schemas.openxmlformats.org/officeDocument/2006/relationships/image" Target="/xl/media/image4218.jpg" Id="R9438a3e8c69549f8" /><Relationship Type="http://schemas.openxmlformats.org/officeDocument/2006/relationships/image" Target="/xl/media/image4219.jpg" Id="R304804c9021847fb" /><Relationship Type="http://schemas.openxmlformats.org/officeDocument/2006/relationships/image" Target="/xl/media/image4220.jpg" Id="R89e007c7876b49d3" /><Relationship Type="http://schemas.openxmlformats.org/officeDocument/2006/relationships/image" Target="/xl/media/image4221.jpg" Id="R34433f14267241d7" /><Relationship Type="http://schemas.openxmlformats.org/officeDocument/2006/relationships/image" Target="/xl/media/image4222.jpg" Id="Ref251debcff54060" /><Relationship Type="http://schemas.openxmlformats.org/officeDocument/2006/relationships/image" Target="/xl/media/image4223.jpg" Id="Reecac876be8f46bd" /><Relationship Type="http://schemas.openxmlformats.org/officeDocument/2006/relationships/image" Target="/xl/media/image4224.jpg" Id="R3e5164a5d07948ae" /><Relationship Type="http://schemas.openxmlformats.org/officeDocument/2006/relationships/image" Target="/xl/media/image4225.jpg" Id="Rc705fd39a76e49b1" /><Relationship Type="http://schemas.openxmlformats.org/officeDocument/2006/relationships/image" Target="/xl/media/image4226.jpg" Id="Rd374d273f1364fda" /><Relationship Type="http://schemas.openxmlformats.org/officeDocument/2006/relationships/image" Target="/xl/media/image4227.jpg" Id="R87ff69c664474db4" /><Relationship Type="http://schemas.openxmlformats.org/officeDocument/2006/relationships/image" Target="/xl/media/image4228.jpg" Id="R5720c81910314108" /><Relationship Type="http://schemas.openxmlformats.org/officeDocument/2006/relationships/image" Target="/xl/media/image4229.jpg" Id="R56fa2cf1aee14a8c" /><Relationship Type="http://schemas.openxmlformats.org/officeDocument/2006/relationships/image" Target="/xl/media/image4230.jpg" Id="R9855d62b68b54571" /><Relationship Type="http://schemas.openxmlformats.org/officeDocument/2006/relationships/image" Target="/xl/media/image4231.jpg" Id="R94def913de6b4115" /><Relationship Type="http://schemas.openxmlformats.org/officeDocument/2006/relationships/image" Target="/xl/media/image4232.jpg" Id="R4a8c0634c92141ec" /><Relationship Type="http://schemas.openxmlformats.org/officeDocument/2006/relationships/image" Target="/xl/media/image4233.jpg" Id="R8213a8d1ee9045dd" /><Relationship Type="http://schemas.openxmlformats.org/officeDocument/2006/relationships/image" Target="/xl/media/image4234.jpg" Id="R6a1a92614d0f423a" /><Relationship Type="http://schemas.openxmlformats.org/officeDocument/2006/relationships/image" Target="/xl/media/image4235.jpg" Id="R4a1cee2f45604676" /><Relationship Type="http://schemas.openxmlformats.org/officeDocument/2006/relationships/image" Target="/xl/media/image4236.jpg" Id="R0558ea42b4e242f4" /><Relationship Type="http://schemas.openxmlformats.org/officeDocument/2006/relationships/image" Target="/xl/media/image4237.jpg" Id="Rafc34f1e3a8248d8" /><Relationship Type="http://schemas.openxmlformats.org/officeDocument/2006/relationships/image" Target="/xl/media/image4238.jpg" Id="R62823a81d8fb48ec" /><Relationship Type="http://schemas.openxmlformats.org/officeDocument/2006/relationships/image" Target="/xl/media/image4239.jpg" Id="R863e8346f7324f92" /><Relationship Type="http://schemas.openxmlformats.org/officeDocument/2006/relationships/image" Target="/xl/media/image4240.jpg" Id="R9713671a058f482e" /><Relationship Type="http://schemas.openxmlformats.org/officeDocument/2006/relationships/image" Target="/xl/media/image4241.jpg" Id="R895e950b143a4880" /><Relationship Type="http://schemas.openxmlformats.org/officeDocument/2006/relationships/image" Target="/xl/media/image4242.jpg" Id="R2492008464ec4be0" /><Relationship Type="http://schemas.openxmlformats.org/officeDocument/2006/relationships/image" Target="/xl/media/image4243.jpg" Id="R296f644d772f4c6a" /><Relationship Type="http://schemas.openxmlformats.org/officeDocument/2006/relationships/image" Target="/xl/media/image4244.jpg" Id="R67e16d870386448e" /><Relationship Type="http://schemas.openxmlformats.org/officeDocument/2006/relationships/image" Target="/xl/media/image4245.jpg" Id="R1da285b6a0f6476a" /><Relationship Type="http://schemas.openxmlformats.org/officeDocument/2006/relationships/image" Target="/xl/media/image4246.jpg" Id="Rdbbde9ae60a746e2" /><Relationship Type="http://schemas.openxmlformats.org/officeDocument/2006/relationships/image" Target="/xl/media/image4247.jpg" Id="Ra2e6d1fdc6ad4ab0" /><Relationship Type="http://schemas.openxmlformats.org/officeDocument/2006/relationships/image" Target="/xl/media/image4248.jpg" Id="R4bde570874924357" /><Relationship Type="http://schemas.openxmlformats.org/officeDocument/2006/relationships/image" Target="/xl/media/image4249.jpg" Id="R6e36ff04df6c460c" /><Relationship Type="http://schemas.openxmlformats.org/officeDocument/2006/relationships/image" Target="/xl/media/image4250.jpg" Id="R68d905d7db1648d7" /><Relationship Type="http://schemas.openxmlformats.org/officeDocument/2006/relationships/image" Target="/xl/media/image4251.jpg" Id="Rec3c7b960f0b4ace" /><Relationship Type="http://schemas.openxmlformats.org/officeDocument/2006/relationships/image" Target="/xl/media/image4252.jpg" Id="R10f5ae49f396491d" /><Relationship Type="http://schemas.openxmlformats.org/officeDocument/2006/relationships/image" Target="/xl/media/image4253.jpg" Id="Ra1829a398f70454c" /><Relationship Type="http://schemas.openxmlformats.org/officeDocument/2006/relationships/image" Target="/xl/media/image4254.jpg" Id="R7cabbc6af056482f" /><Relationship Type="http://schemas.openxmlformats.org/officeDocument/2006/relationships/image" Target="/xl/media/image4255.jpg" Id="Ra24f7c9843874c86" /><Relationship Type="http://schemas.openxmlformats.org/officeDocument/2006/relationships/image" Target="/xl/media/image4256.jpg" Id="Re3cdc38599f948aa" /><Relationship Type="http://schemas.openxmlformats.org/officeDocument/2006/relationships/image" Target="/xl/media/image4257.jpg" Id="R4892498f11df447d" /><Relationship Type="http://schemas.openxmlformats.org/officeDocument/2006/relationships/image" Target="/xl/media/image4258.jpg" Id="Rdd844aa95773435b" /><Relationship Type="http://schemas.openxmlformats.org/officeDocument/2006/relationships/image" Target="/xl/media/image4259.jpg" Id="R3f991d1b912d44b3" /><Relationship Type="http://schemas.openxmlformats.org/officeDocument/2006/relationships/image" Target="/xl/media/image4260.jpg" Id="R6f74bfca890a47b0" /><Relationship Type="http://schemas.openxmlformats.org/officeDocument/2006/relationships/image" Target="/xl/media/image4261.jpg" Id="R8c0dc71f546d4d3b" /><Relationship Type="http://schemas.openxmlformats.org/officeDocument/2006/relationships/image" Target="/xl/media/image4262.jpg" Id="R4f71ab1b052a4aaf" /><Relationship Type="http://schemas.openxmlformats.org/officeDocument/2006/relationships/image" Target="/xl/media/image4263.jpg" Id="R69dc0108ee294dd4" /><Relationship Type="http://schemas.openxmlformats.org/officeDocument/2006/relationships/image" Target="/xl/media/image4264.jpg" Id="R4390044e8a87431b" /><Relationship Type="http://schemas.openxmlformats.org/officeDocument/2006/relationships/image" Target="/xl/media/image4265.jpg" Id="R88dd85ffdd4244a1" /><Relationship Type="http://schemas.openxmlformats.org/officeDocument/2006/relationships/image" Target="/xl/media/image4266.jpg" Id="R6da6f0b468fd47b8" /><Relationship Type="http://schemas.openxmlformats.org/officeDocument/2006/relationships/image" Target="/xl/media/image4267.jpg" Id="R8be3a485279649d8" /><Relationship Type="http://schemas.openxmlformats.org/officeDocument/2006/relationships/image" Target="/xl/media/image4268.jpg" Id="Rbeb1bdab65e04c80" /><Relationship Type="http://schemas.openxmlformats.org/officeDocument/2006/relationships/image" Target="/xl/media/image4269.jpg" Id="R53f5ad7ea2a94e97" /><Relationship Type="http://schemas.openxmlformats.org/officeDocument/2006/relationships/image" Target="/xl/media/image4270.jpg" Id="R9f4cc25370884c87" /><Relationship Type="http://schemas.openxmlformats.org/officeDocument/2006/relationships/image" Target="/xl/media/image4271.jpg" Id="Rbf5864243a8f4b1b" /><Relationship Type="http://schemas.openxmlformats.org/officeDocument/2006/relationships/image" Target="/xl/media/image4272.jpg" Id="Rbe4d8f05ae834fc3" /><Relationship Type="http://schemas.openxmlformats.org/officeDocument/2006/relationships/image" Target="/xl/media/image4273.jpg" Id="R5a5493558c4349ea" /><Relationship Type="http://schemas.openxmlformats.org/officeDocument/2006/relationships/image" Target="/xl/media/image4274.jpg" Id="R9d53b70a78124f1d" /><Relationship Type="http://schemas.openxmlformats.org/officeDocument/2006/relationships/image" Target="/xl/media/image4275.jpg" Id="Ra261297c03554182" /><Relationship Type="http://schemas.openxmlformats.org/officeDocument/2006/relationships/image" Target="/xl/media/image4276.jpg" Id="Rd8c29d04717e449e" /><Relationship Type="http://schemas.openxmlformats.org/officeDocument/2006/relationships/image" Target="/xl/media/image4277.jpg" Id="Rf92727114c774c00" /><Relationship Type="http://schemas.openxmlformats.org/officeDocument/2006/relationships/image" Target="/xl/media/image4278.jpg" Id="R62ac7e7439fb4c46" /><Relationship Type="http://schemas.openxmlformats.org/officeDocument/2006/relationships/image" Target="/xl/media/image4279.jpg" Id="Reb4dfcc2a503406f" /><Relationship Type="http://schemas.openxmlformats.org/officeDocument/2006/relationships/image" Target="/xl/media/image4280.jpg" Id="R94ad5a3089c8460c" /><Relationship Type="http://schemas.openxmlformats.org/officeDocument/2006/relationships/image" Target="/xl/media/image4281.jpg" Id="R1799537614d644e3" /><Relationship Type="http://schemas.openxmlformats.org/officeDocument/2006/relationships/image" Target="/xl/media/image4282.jpg" Id="R77955eae2be743ae" /><Relationship Type="http://schemas.openxmlformats.org/officeDocument/2006/relationships/image" Target="/xl/media/image4283.jpg" Id="R1daa4d435ee5463c" /><Relationship Type="http://schemas.openxmlformats.org/officeDocument/2006/relationships/image" Target="/xl/media/image4284.jpg" Id="Rc1bac96815f24981" /><Relationship Type="http://schemas.openxmlformats.org/officeDocument/2006/relationships/image" Target="/xl/media/image4285.jpg" Id="R59d7ee79ad084122" /><Relationship Type="http://schemas.openxmlformats.org/officeDocument/2006/relationships/image" Target="/xl/media/image4286.jpg" Id="Rfc6e3ce75adf419b" /><Relationship Type="http://schemas.openxmlformats.org/officeDocument/2006/relationships/image" Target="/xl/media/image4287.jpg" Id="R987989232d014691" /><Relationship Type="http://schemas.openxmlformats.org/officeDocument/2006/relationships/image" Target="/xl/media/image4288.jpg" Id="R230e794cab8d48ce" /><Relationship Type="http://schemas.openxmlformats.org/officeDocument/2006/relationships/image" Target="/xl/media/image4289.jpg" Id="R0c72e97968ff4b52" /><Relationship Type="http://schemas.openxmlformats.org/officeDocument/2006/relationships/image" Target="/xl/media/image4290.jpg" Id="R6c4409874642434e" /><Relationship Type="http://schemas.openxmlformats.org/officeDocument/2006/relationships/image" Target="/xl/media/image4291.jpg" Id="Rf83689f648414e71" /><Relationship Type="http://schemas.openxmlformats.org/officeDocument/2006/relationships/image" Target="/xl/media/image4292.jpg" Id="R693a8f1de1fa4b28" /><Relationship Type="http://schemas.openxmlformats.org/officeDocument/2006/relationships/image" Target="/xl/media/image4293.jpg" Id="Rbca90d240dfd4bf4" /><Relationship Type="http://schemas.openxmlformats.org/officeDocument/2006/relationships/image" Target="/xl/media/image4294.jpg" Id="Rec1ccd77959a4c8f" /><Relationship Type="http://schemas.openxmlformats.org/officeDocument/2006/relationships/image" Target="/xl/media/image4295.jpg" Id="Rf87fbbf3b4c443e0" /><Relationship Type="http://schemas.openxmlformats.org/officeDocument/2006/relationships/image" Target="/xl/media/image4296.jpg" Id="Rdf6ce99877fc4e5e" /><Relationship Type="http://schemas.openxmlformats.org/officeDocument/2006/relationships/image" Target="/xl/media/image4297.jpg" Id="R2b8131228cf84979" /><Relationship Type="http://schemas.openxmlformats.org/officeDocument/2006/relationships/image" Target="/xl/media/image4298.jpg" Id="R891791d9fc194dd5" /><Relationship Type="http://schemas.openxmlformats.org/officeDocument/2006/relationships/image" Target="/xl/media/image4299.jpg" Id="R625a8a1c286b4e07" /><Relationship Type="http://schemas.openxmlformats.org/officeDocument/2006/relationships/image" Target="/xl/media/image4300.jpg" Id="R4d5af0f4d98f4ede" /><Relationship Type="http://schemas.openxmlformats.org/officeDocument/2006/relationships/image" Target="/xl/media/image4301.jpg" Id="R6f17834912de4157" /><Relationship Type="http://schemas.openxmlformats.org/officeDocument/2006/relationships/image" Target="/xl/media/image4302.jpg" Id="R056088c8136b42f5" /><Relationship Type="http://schemas.openxmlformats.org/officeDocument/2006/relationships/image" Target="/xl/media/image4303.jpg" Id="R591cd20f12044294" /><Relationship Type="http://schemas.openxmlformats.org/officeDocument/2006/relationships/image" Target="/xl/media/image4304.jpg" Id="R2a586e2b185845b6" /><Relationship Type="http://schemas.openxmlformats.org/officeDocument/2006/relationships/image" Target="/xl/media/image4305.jpg" Id="Rdd9e37b65bd347ce" /><Relationship Type="http://schemas.openxmlformats.org/officeDocument/2006/relationships/image" Target="/xl/media/image4306.jpg" Id="Rb6e0e309f466456b" /><Relationship Type="http://schemas.openxmlformats.org/officeDocument/2006/relationships/image" Target="/xl/media/image4307.jpg" Id="R99cedfac50404773" /><Relationship Type="http://schemas.openxmlformats.org/officeDocument/2006/relationships/image" Target="/xl/media/image4308.jpg" Id="Rf4e16693bf844480" /><Relationship Type="http://schemas.openxmlformats.org/officeDocument/2006/relationships/image" Target="/xl/media/image4309.jpg" Id="R01603f9ec31c47ed" /><Relationship Type="http://schemas.openxmlformats.org/officeDocument/2006/relationships/image" Target="/xl/media/image4310.jpg" Id="Rcf0867a5aa1f479f" /><Relationship Type="http://schemas.openxmlformats.org/officeDocument/2006/relationships/image" Target="/xl/media/image4311.jpg" Id="R79f909cc81944380" /><Relationship Type="http://schemas.openxmlformats.org/officeDocument/2006/relationships/image" Target="/xl/media/image4312.jpg" Id="R4fef0cb6392046e4" /><Relationship Type="http://schemas.openxmlformats.org/officeDocument/2006/relationships/image" Target="/xl/media/image4313.jpg" Id="Rb08f83b51a7d40ec" /><Relationship Type="http://schemas.openxmlformats.org/officeDocument/2006/relationships/image" Target="/xl/media/image4314.jpg" Id="R15a289d877324f60" /><Relationship Type="http://schemas.openxmlformats.org/officeDocument/2006/relationships/image" Target="/xl/media/image4315.jpg" Id="R8e97bc76def64bb5" /><Relationship Type="http://schemas.openxmlformats.org/officeDocument/2006/relationships/image" Target="/xl/media/image4316.jpg" Id="Rf145813555f84353" /><Relationship Type="http://schemas.openxmlformats.org/officeDocument/2006/relationships/image" Target="/xl/media/image4317.jpg" Id="R8cca9d9954e1439c" /><Relationship Type="http://schemas.openxmlformats.org/officeDocument/2006/relationships/image" Target="/xl/media/image4318.jpg" Id="R7c78eb6cbf8a41fe" /><Relationship Type="http://schemas.openxmlformats.org/officeDocument/2006/relationships/image" Target="/xl/media/image4319.jpg" Id="Re55c0a1e92b444a0" /><Relationship Type="http://schemas.openxmlformats.org/officeDocument/2006/relationships/image" Target="/xl/media/image4320.jpg" Id="Rc6e15b056be148d1" /><Relationship Type="http://schemas.openxmlformats.org/officeDocument/2006/relationships/image" Target="/xl/media/image4321.jpg" Id="Rcc891af21a604378" /><Relationship Type="http://schemas.openxmlformats.org/officeDocument/2006/relationships/image" Target="/xl/media/image4322.jpg" Id="Ra9103272517a4899" /><Relationship Type="http://schemas.openxmlformats.org/officeDocument/2006/relationships/image" Target="/xl/media/image4323.jpg" Id="R90b2b8b86f884044" /><Relationship Type="http://schemas.openxmlformats.org/officeDocument/2006/relationships/image" Target="/xl/media/image4324.jpg" Id="R7718bc49ea594423" /><Relationship Type="http://schemas.openxmlformats.org/officeDocument/2006/relationships/image" Target="/xl/media/image4325.jpg" Id="R2520d19301f84bb5" /><Relationship Type="http://schemas.openxmlformats.org/officeDocument/2006/relationships/image" Target="/xl/media/image4326.jpg" Id="Rb4ec4ae85da84258" /><Relationship Type="http://schemas.openxmlformats.org/officeDocument/2006/relationships/image" Target="/xl/media/image4327.jpg" Id="R9d99b302bb474bb2" /><Relationship Type="http://schemas.openxmlformats.org/officeDocument/2006/relationships/image" Target="/xl/media/image4328.jpg" Id="R0058974141034065" /><Relationship Type="http://schemas.openxmlformats.org/officeDocument/2006/relationships/image" Target="/xl/media/image4329.jpg" Id="R7d5dc75ce8aa4031" /><Relationship Type="http://schemas.openxmlformats.org/officeDocument/2006/relationships/image" Target="/xl/media/image4330.jpg" Id="Rab513ae552c74229" /><Relationship Type="http://schemas.openxmlformats.org/officeDocument/2006/relationships/image" Target="/xl/media/image4331.jpg" Id="Rb8421e5afa454ffb" /><Relationship Type="http://schemas.openxmlformats.org/officeDocument/2006/relationships/image" Target="/xl/media/image4332.jpg" Id="Rd51d2d1a3b054c55" /><Relationship Type="http://schemas.openxmlformats.org/officeDocument/2006/relationships/image" Target="/xl/media/image4333.jpg" Id="R52c1d6c40316439c" /><Relationship Type="http://schemas.openxmlformats.org/officeDocument/2006/relationships/image" Target="/xl/media/image4334.jpg" Id="Rfd0fb5a803ce42ee" /><Relationship Type="http://schemas.openxmlformats.org/officeDocument/2006/relationships/image" Target="/xl/media/image4335.jpg" Id="R2319bd91059f4e98" /><Relationship Type="http://schemas.openxmlformats.org/officeDocument/2006/relationships/image" Target="/xl/media/image4336.jpg" Id="Rb280d40c9366460b" /><Relationship Type="http://schemas.openxmlformats.org/officeDocument/2006/relationships/image" Target="/xl/media/image4337.jpg" Id="R794dc03460cc4312" /><Relationship Type="http://schemas.openxmlformats.org/officeDocument/2006/relationships/image" Target="/xl/media/image4338.jpg" Id="R8f635a7fa4154bb6" /><Relationship Type="http://schemas.openxmlformats.org/officeDocument/2006/relationships/image" Target="/xl/media/image4339.jpg" Id="R23111103ab524950" /><Relationship Type="http://schemas.openxmlformats.org/officeDocument/2006/relationships/image" Target="/xl/media/image4340.jpg" Id="R7f2fdb35325d4548" /><Relationship Type="http://schemas.openxmlformats.org/officeDocument/2006/relationships/image" Target="/xl/media/image4341.jpg" Id="Rd738ed7dfbc5496f" /><Relationship Type="http://schemas.openxmlformats.org/officeDocument/2006/relationships/image" Target="/xl/media/image4342.jpg" Id="R0e93c21e3ceb47d5" /><Relationship Type="http://schemas.openxmlformats.org/officeDocument/2006/relationships/image" Target="/xl/media/image4343.jpg" Id="R93a749ea018f42e4" /><Relationship Type="http://schemas.openxmlformats.org/officeDocument/2006/relationships/image" Target="/xl/media/image4344.jpg" Id="R1650a79d9a7b4652" /><Relationship Type="http://schemas.openxmlformats.org/officeDocument/2006/relationships/image" Target="/xl/media/image4345.jpg" Id="Rd24e82b6ce7d41cc" /><Relationship Type="http://schemas.openxmlformats.org/officeDocument/2006/relationships/image" Target="/xl/media/image4346.jpg" Id="Rb9721ea351b84cfd" /><Relationship Type="http://schemas.openxmlformats.org/officeDocument/2006/relationships/image" Target="/xl/media/image4347.jpg" Id="Ree319210c2044c5f" /><Relationship Type="http://schemas.openxmlformats.org/officeDocument/2006/relationships/image" Target="/xl/media/image4348.jpg" Id="R94fc70b1709d4ba1" /><Relationship Type="http://schemas.openxmlformats.org/officeDocument/2006/relationships/image" Target="/xl/media/image4349.jpg" Id="R39cfa2fa096d4ad2" /><Relationship Type="http://schemas.openxmlformats.org/officeDocument/2006/relationships/image" Target="/xl/media/image4350.jpg" Id="R148fdfd6593b4459" /><Relationship Type="http://schemas.openxmlformats.org/officeDocument/2006/relationships/image" Target="/xl/media/image4351.jpg" Id="R8ce43b2136ad4082" /><Relationship Type="http://schemas.openxmlformats.org/officeDocument/2006/relationships/image" Target="/xl/media/image4352.jpg" Id="Rfc86047aada94beb" /><Relationship Type="http://schemas.openxmlformats.org/officeDocument/2006/relationships/image" Target="/xl/media/image4353.jpg" Id="R89fa26de952546db" /><Relationship Type="http://schemas.openxmlformats.org/officeDocument/2006/relationships/image" Target="/xl/media/image4354.jpg" Id="R7b0a1fe5ab28434e" /><Relationship Type="http://schemas.openxmlformats.org/officeDocument/2006/relationships/image" Target="/xl/media/image4355.jpg" Id="R5c865b30997141a8" /><Relationship Type="http://schemas.openxmlformats.org/officeDocument/2006/relationships/image" Target="/xl/media/image4356.jpg" Id="R95c284840a564b78" /><Relationship Type="http://schemas.openxmlformats.org/officeDocument/2006/relationships/image" Target="/xl/media/image4357.jpg" Id="R9855b4a82c6845c1" /><Relationship Type="http://schemas.openxmlformats.org/officeDocument/2006/relationships/image" Target="/xl/media/image4358.jpg" Id="Re97a018c5b514e14" /><Relationship Type="http://schemas.openxmlformats.org/officeDocument/2006/relationships/image" Target="/xl/media/image4359.jpg" Id="R0cac3bf626d74558" /><Relationship Type="http://schemas.openxmlformats.org/officeDocument/2006/relationships/image" Target="/xl/media/image4360.jpg" Id="R2603d0c4f1e4483f" /><Relationship Type="http://schemas.openxmlformats.org/officeDocument/2006/relationships/image" Target="/xl/media/image4361.jpg" Id="R1dd40931f1654956" /><Relationship Type="http://schemas.openxmlformats.org/officeDocument/2006/relationships/image" Target="/xl/media/image4362.jpg" Id="R0bf7bcfafa8e4911" /><Relationship Type="http://schemas.openxmlformats.org/officeDocument/2006/relationships/image" Target="/xl/media/image4363.jpg" Id="R5c57fb0524cb4586" /><Relationship Type="http://schemas.openxmlformats.org/officeDocument/2006/relationships/image" Target="/xl/media/image4364.jpg" Id="R38c8f337ce0a48da" /><Relationship Type="http://schemas.openxmlformats.org/officeDocument/2006/relationships/image" Target="/xl/media/image4365.jpg" Id="R53323beb95674274" /><Relationship Type="http://schemas.openxmlformats.org/officeDocument/2006/relationships/image" Target="/xl/media/image4366.jpg" Id="Rd8b13cb6a8784c93" /><Relationship Type="http://schemas.openxmlformats.org/officeDocument/2006/relationships/image" Target="/xl/media/image4367.jpg" Id="Rbf5bf1809a9941a3" /><Relationship Type="http://schemas.openxmlformats.org/officeDocument/2006/relationships/image" Target="/xl/media/image4368.jpg" Id="R27dac87b5d3d4903" /><Relationship Type="http://schemas.openxmlformats.org/officeDocument/2006/relationships/image" Target="/xl/media/image4369.jpg" Id="Rf7ae73080e5e4b12" /><Relationship Type="http://schemas.openxmlformats.org/officeDocument/2006/relationships/image" Target="/xl/media/image4370.jpg" Id="Ra1c8ba4d29494dc7" /><Relationship Type="http://schemas.openxmlformats.org/officeDocument/2006/relationships/image" Target="/xl/media/image4371.jpg" Id="R050994d7f3194910" /><Relationship Type="http://schemas.openxmlformats.org/officeDocument/2006/relationships/image" Target="/xl/media/image4372.jpg" Id="Rb8ac2976d1ab406b" /><Relationship Type="http://schemas.openxmlformats.org/officeDocument/2006/relationships/image" Target="/xl/media/image4373.jpg" Id="Ra07317c3d4894b17" /><Relationship Type="http://schemas.openxmlformats.org/officeDocument/2006/relationships/image" Target="/xl/media/image4374.jpg" Id="Re9000babbce3414e" /><Relationship Type="http://schemas.openxmlformats.org/officeDocument/2006/relationships/image" Target="/xl/media/image4375.jpg" Id="R8c43f22366964b67" /><Relationship Type="http://schemas.openxmlformats.org/officeDocument/2006/relationships/image" Target="/xl/media/image4376.jpg" Id="R99eb7f91b32c4026" /><Relationship Type="http://schemas.openxmlformats.org/officeDocument/2006/relationships/image" Target="/xl/media/image4377.jpg" Id="R227ed859e5484c45" /><Relationship Type="http://schemas.openxmlformats.org/officeDocument/2006/relationships/image" Target="/xl/media/image4378.jpg" Id="Rff3e271fdb3f4018" /><Relationship Type="http://schemas.openxmlformats.org/officeDocument/2006/relationships/image" Target="/xl/media/image4379.jpg" Id="R6c26342d08da4787" /><Relationship Type="http://schemas.openxmlformats.org/officeDocument/2006/relationships/image" Target="/xl/media/image4380.jpg" Id="R7add3fcbb5b64077" /><Relationship Type="http://schemas.openxmlformats.org/officeDocument/2006/relationships/image" Target="/xl/media/image4381.jpg" Id="R72071ca3ce754837" /><Relationship Type="http://schemas.openxmlformats.org/officeDocument/2006/relationships/image" Target="/xl/media/image4382.jpg" Id="R3a06b0213b5148ec" /><Relationship Type="http://schemas.openxmlformats.org/officeDocument/2006/relationships/image" Target="/xl/media/image4383.jpg" Id="Rdcc81cabac8641ec" /><Relationship Type="http://schemas.openxmlformats.org/officeDocument/2006/relationships/image" Target="/xl/media/image4384.jpg" Id="R6d63b72fe2144561" /><Relationship Type="http://schemas.openxmlformats.org/officeDocument/2006/relationships/image" Target="/xl/media/image4385.jpg" Id="R37273f414c674f6c" /><Relationship Type="http://schemas.openxmlformats.org/officeDocument/2006/relationships/image" Target="/xl/media/image4386.jpg" Id="R833062652212465b" /><Relationship Type="http://schemas.openxmlformats.org/officeDocument/2006/relationships/image" Target="/xl/media/image4387.jpg" Id="Ra906609821aa48a4" /><Relationship Type="http://schemas.openxmlformats.org/officeDocument/2006/relationships/image" Target="/xl/media/image4388.jpg" Id="R4d9180222f30493e" /><Relationship Type="http://schemas.openxmlformats.org/officeDocument/2006/relationships/image" Target="/xl/media/image4389.jpg" Id="R3d9b26f25f884a16" /><Relationship Type="http://schemas.openxmlformats.org/officeDocument/2006/relationships/image" Target="/xl/media/image4390.jpg" Id="R9aa433736e4d41ee" /><Relationship Type="http://schemas.openxmlformats.org/officeDocument/2006/relationships/image" Target="/xl/media/image4391.jpg" Id="R6b8e8f86e55d4aae" /><Relationship Type="http://schemas.openxmlformats.org/officeDocument/2006/relationships/image" Target="/xl/media/image4392.jpg" Id="R7405e0259c3b4054" /><Relationship Type="http://schemas.openxmlformats.org/officeDocument/2006/relationships/image" Target="/xl/media/image4393.jpg" Id="R4a7ee07d90f24e9b" /><Relationship Type="http://schemas.openxmlformats.org/officeDocument/2006/relationships/image" Target="/xl/media/image4394.jpg" Id="Rd2e6a9004f564739" /><Relationship Type="http://schemas.openxmlformats.org/officeDocument/2006/relationships/image" Target="/xl/media/image4395.jpg" Id="R9187b6653a9f4ea4" /><Relationship Type="http://schemas.openxmlformats.org/officeDocument/2006/relationships/image" Target="/xl/media/image4396.jpg" Id="R7268ac7016bc4783" /><Relationship Type="http://schemas.openxmlformats.org/officeDocument/2006/relationships/image" Target="/xl/media/image4397.jpg" Id="R42280cd6b53b4130" /><Relationship Type="http://schemas.openxmlformats.org/officeDocument/2006/relationships/image" Target="/xl/media/image4398.jpg" Id="R0abf72590907461d" /><Relationship Type="http://schemas.openxmlformats.org/officeDocument/2006/relationships/image" Target="/xl/media/image4399.jpg" Id="R65979d562cee4980" /><Relationship Type="http://schemas.openxmlformats.org/officeDocument/2006/relationships/image" Target="/xl/media/image4400.jpg" Id="R4929ebe8ee7e4d23" /><Relationship Type="http://schemas.openxmlformats.org/officeDocument/2006/relationships/image" Target="/xl/media/image4401.jpg" Id="R410eb6b5815d44e4" /><Relationship Type="http://schemas.openxmlformats.org/officeDocument/2006/relationships/image" Target="/xl/media/image4402.jpg" Id="Rd56dfbb382034609" /><Relationship Type="http://schemas.openxmlformats.org/officeDocument/2006/relationships/image" Target="/xl/media/image4403.jpg" Id="R390800d890ad4e1c" /><Relationship Type="http://schemas.openxmlformats.org/officeDocument/2006/relationships/image" Target="/xl/media/image4404.jpg" Id="R49836f0516eb4f7a" /><Relationship Type="http://schemas.openxmlformats.org/officeDocument/2006/relationships/image" Target="/xl/media/image4405.jpg" Id="R0a4f013c31d64af5" /><Relationship Type="http://schemas.openxmlformats.org/officeDocument/2006/relationships/image" Target="/xl/media/image4406.jpg" Id="R0b86ec2e997545e2" /><Relationship Type="http://schemas.openxmlformats.org/officeDocument/2006/relationships/image" Target="/xl/media/image4407.jpg" Id="Rfb5342a4604b42fb" /><Relationship Type="http://schemas.openxmlformats.org/officeDocument/2006/relationships/image" Target="/xl/media/image4408.jpg" Id="Ref6abaf3e8c64569" /><Relationship Type="http://schemas.openxmlformats.org/officeDocument/2006/relationships/image" Target="/xl/media/image4409.jpg" Id="Rcd08f09aab73451b" /><Relationship Type="http://schemas.openxmlformats.org/officeDocument/2006/relationships/image" Target="/xl/media/image4410.jpg" Id="R2f0d23c18b614d91" /><Relationship Type="http://schemas.openxmlformats.org/officeDocument/2006/relationships/image" Target="/xl/media/image4411.jpg" Id="R8740e6f085c74146" /><Relationship Type="http://schemas.openxmlformats.org/officeDocument/2006/relationships/image" Target="/xl/media/image4412.jpg" Id="R1507597bc60543f9" /><Relationship Type="http://schemas.openxmlformats.org/officeDocument/2006/relationships/image" Target="/xl/media/image4413.jpg" Id="R63c9a21f52f542d3" /><Relationship Type="http://schemas.openxmlformats.org/officeDocument/2006/relationships/image" Target="/xl/media/image4414.jpg" Id="R6de41e4d446b4ed8" /><Relationship Type="http://schemas.openxmlformats.org/officeDocument/2006/relationships/image" Target="/xl/media/image4415.jpg" Id="Ra7aac014871a4115" /><Relationship Type="http://schemas.openxmlformats.org/officeDocument/2006/relationships/image" Target="/xl/media/image4416.jpg" Id="R8ba1839fa5d64320" /><Relationship Type="http://schemas.openxmlformats.org/officeDocument/2006/relationships/image" Target="/xl/media/image4417.jpg" Id="R569876c27b434b2c" /><Relationship Type="http://schemas.openxmlformats.org/officeDocument/2006/relationships/image" Target="/xl/media/image4418.jpg" Id="R524c98fa980a41d5" /><Relationship Type="http://schemas.openxmlformats.org/officeDocument/2006/relationships/image" Target="/xl/media/image4419.jpg" Id="Rdcc5a6ef407f4bd8" /><Relationship Type="http://schemas.openxmlformats.org/officeDocument/2006/relationships/image" Target="/xl/media/image4420.jpg" Id="R0b7eb1d401064c84" /><Relationship Type="http://schemas.openxmlformats.org/officeDocument/2006/relationships/image" Target="/xl/media/image4421.jpg" Id="R215ab735d2414895" /><Relationship Type="http://schemas.openxmlformats.org/officeDocument/2006/relationships/image" Target="/xl/media/image4422.jpg" Id="R003a5365b72842c6" /><Relationship Type="http://schemas.openxmlformats.org/officeDocument/2006/relationships/image" Target="/xl/media/image4423.jpg" Id="R586323023d3d4514" /><Relationship Type="http://schemas.openxmlformats.org/officeDocument/2006/relationships/image" Target="/xl/media/image4424.jpg" Id="R3e3396936aab4f7f" /><Relationship Type="http://schemas.openxmlformats.org/officeDocument/2006/relationships/image" Target="/xl/media/image4425.jpg" Id="R6011099533714939" /><Relationship Type="http://schemas.openxmlformats.org/officeDocument/2006/relationships/image" Target="/xl/media/image4426.jpg" Id="R24816d1074f44516" /><Relationship Type="http://schemas.openxmlformats.org/officeDocument/2006/relationships/image" Target="/xl/media/image4427.jpg" Id="R2087721d3a0c4fd9" /><Relationship Type="http://schemas.openxmlformats.org/officeDocument/2006/relationships/image" Target="/xl/media/image4428.jpg" Id="Ra6fd24adb35a416a" /><Relationship Type="http://schemas.openxmlformats.org/officeDocument/2006/relationships/image" Target="/xl/media/image4429.jpg" Id="R4386cebe84f249d9" /><Relationship Type="http://schemas.openxmlformats.org/officeDocument/2006/relationships/image" Target="/xl/media/image4430.jpg" Id="R443bb502ef414ae5" /><Relationship Type="http://schemas.openxmlformats.org/officeDocument/2006/relationships/image" Target="/xl/media/image4431.jpg" Id="R5eace826852e4715" /><Relationship Type="http://schemas.openxmlformats.org/officeDocument/2006/relationships/image" Target="/xl/media/image4432.jpg" Id="R05162813b7354544" /><Relationship Type="http://schemas.openxmlformats.org/officeDocument/2006/relationships/image" Target="/xl/media/image4433.jpg" Id="Rdaa5a168415d4165" /><Relationship Type="http://schemas.openxmlformats.org/officeDocument/2006/relationships/image" Target="/xl/media/image4434.jpg" Id="Rb6f4e61175aa45e8" /><Relationship Type="http://schemas.openxmlformats.org/officeDocument/2006/relationships/image" Target="/xl/media/image4435.jpg" Id="Rc44a6e8b094d4a26" /><Relationship Type="http://schemas.openxmlformats.org/officeDocument/2006/relationships/image" Target="/xl/media/image4436.jpg" Id="Re18a6673426c4ffa" /><Relationship Type="http://schemas.openxmlformats.org/officeDocument/2006/relationships/image" Target="/xl/media/image4437.jpg" Id="R813546e9955f44bb" /><Relationship Type="http://schemas.openxmlformats.org/officeDocument/2006/relationships/image" Target="/xl/media/image4438.jpg" Id="R8685ff17b0e2425e" /><Relationship Type="http://schemas.openxmlformats.org/officeDocument/2006/relationships/image" Target="/xl/media/image4439.jpg" Id="Rc82646665ad343ba" /><Relationship Type="http://schemas.openxmlformats.org/officeDocument/2006/relationships/image" Target="/xl/media/image4440.jpg" Id="R9f44b6677f514581" /><Relationship Type="http://schemas.openxmlformats.org/officeDocument/2006/relationships/image" Target="/xl/media/image4441.jpg" Id="Rf6d77d6b349e4d93" /><Relationship Type="http://schemas.openxmlformats.org/officeDocument/2006/relationships/image" Target="/xl/media/image4442.jpg" Id="R06117830cf9141f8" /><Relationship Type="http://schemas.openxmlformats.org/officeDocument/2006/relationships/image" Target="/xl/media/image4443.jpg" Id="R6153595ab0d74cc8" /><Relationship Type="http://schemas.openxmlformats.org/officeDocument/2006/relationships/image" Target="/xl/media/image4444.jpg" Id="Ra2298e9c5aef42f3" /><Relationship Type="http://schemas.openxmlformats.org/officeDocument/2006/relationships/image" Target="/xl/media/image4445.jpg" Id="R81e097cdf2914ef0" /><Relationship Type="http://schemas.openxmlformats.org/officeDocument/2006/relationships/image" Target="/xl/media/image4446.jpg" Id="R937bf2582a004a6f" /><Relationship Type="http://schemas.openxmlformats.org/officeDocument/2006/relationships/image" Target="/xl/media/image4447.jpg" Id="R51a9862388b446db" /><Relationship Type="http://schemas.openxmlformats.org/officeDocument/2006/relationships/image" Target="/xl/media/image4448.jpg" Id="R9137337f7d424af1" /><Relationship Type="http://schemas.openxmlformats.org/officeDocument/2006/relationships/image" Target="/xl/media/image4449.jpg" Id="Ra3dc804c7e794444" /><Relationship Type="http://schemas.openxmlformats.org/officeDocument/2006/relationships/image" Target="/xl/media/image4450.jpg" Id="Rf6c31494185740d1" /><Relationship Type="http://schemas.openxmlformats.org/officeDocument/2006/relationships/image" Target="/xl/media/image4451.jpg" Id="Ra361f4e9ba384b52" /><Relationship Type="http://schemas.openxmlformats.org/officeDocument/2006/relationships/image" Target="/xl/media/image4452.jpg" Id="R1cc9a08d83d240cd" /><Relationship Type="http://schemas.openxmlformats.org/officeDocument/2006/relationships/image" Target="/xl/media/image4453.jpg" Id="Rdff1bfd3cc6b4eb0" /><Relationship Type="http://schemas.openxmlformats.org/officeDocument/2006/relationships/image" Target="/xl/media/image4454.jpg" Id="R0a1c4e1eedce4261" /><Relationship Type="http://schemas.openxmlformats.org/officeDocument/2006/relationships/image" Target="/xl/media/image4455.jpg" Id="Reacd7167fc7e4080" /><Relationship Type="http://schemas.openxmlformats.org/officeDocument/2006/relationships/image" Target="/xl/media/image4456.jpg" Id="R2426949cf49d4f6f" /><Relationship Type="http://schemas.openxmlformats.org/officeDocument/2006/relationships/image" Target="/xl/media/image4457.jpg" Id="Re517a9e9e3504894" /><Relationship Type="http://schemas.openxmlformats.org/officeDocument/2006/relationships/image" Target="/xl/media/image4458.jpg" Id="R694d9dfc05b84bec" /><Relationship Type="http://schemas.openxmlformats.org/officeDocument/2006/relationships/image" Target="/xl/media/image4459.jpg" Id="R3f375f1adbe84946" /><Relationship Type="http://schemas.openxmlformats.org/officeDocument/2006/relationships/image" Target="/xl/media/image4460.jpg" Id="R4f9bf1dd7fa34399" /><Relationship Type="http://schemas.openxmlformats.org/officeDocument/2006/relationships/image" Target="/xl/media/image4461.jpg" Id="R91809faa498449fa" /><Relationship Type="http://schemas.openxmlformats.org/officeDocument/2006/relationships/image" Target="/xl/media/image4462.jpg" Id="R52c1f70dfd334b2c" /><Relationship Type="http://schemas.openxmlformats.org/officeDocument/2006/relationships/image" Target="/xl/media/image4463.jpg" Id="R33ebd76bba5d4c79" /><Relationship Type="http://schemas.openxmlformats.org/officeDocument/2006/relationships/image" Target="/xl/media/image4464.jpg" Id="R67017d97c5d14909" /><Relationship Type="http://schemas.openxmlformats.org/officeDocument/2006/relationships/image" Target="/xl/media/image4465.jpg" Id="R6f5e24829b5e4335" /><Relationship Type="http://schemas.openxmlformats.org/officeDocument/2006/relationships/image" Target="/xl/media/image4466.jpg" Id="R20c18cab45864253" /><Relationship Type="http://schemas.openxmlformats.org/officeDocument/2006/relationships/image" Target="/xl/media/image4467.jpg" Id="Rcfaa877729a44f3a" /><Relationship Type="http://schemas.openxmlformats.org/officeDocument/2006/relationships/image" Target="/xl/media/image4468.jpg" Id="R42f53af33a7b4301" /><Relationship Type="http://schemas.openxmlformats.org/officeDocument/2006/relationships/image" Target="/xl/media/image4469.jpg" Id="R88e05e75e9884a58" /><Relationship Type="http://schemas.openxmlformats.org/officeDocument/2006/relationships/image" Target="/xl/media/image4470.jpg" Id="R0ff2c60ba48146ed" /><Relationship Type="http://schemas.openxmlformats.org/officeDocument/2006/relationships/image" Target="/xl/media/image4471.jpg" Id="R5d8cb993bfe1471a" /><Relationship Type="http://schemas.openxmlformats.org/officeDocument/2006/relationships/image" Target="/xl/media/image4472.jpg" Id="Rfb9b4d3d0b1f44c5" /><Relationship Type="http://schemas.openxmlformats.org/officeDocument/2006/relationships/image" Target="/xl/media/image4473.jpg" Id="Rf011b89eb36e40d5" /><Relationship Type="http://schemas.openxmlformats.org/officeDocument/2006/relationships/image" Target="/xl/media/image4474.jpg" Id="Re0c35abffa114b66" /><Relationship Type="http://schemas.openxmlformats.org/officeDocument/2006/relationships/image" Target="/xl/media/image4475.jpg" Id="Rf9f5804f8c6445d4" /><Relationship Type="http://schemas.openxmlformats.org/officeDocument/2006/relationships/image" Target="/xl/media/image4476.jpg" Id="R0d9ad063809a4315" /><Relationship Type="http://schemas.openxmlformats.org/officeDocument/2006/relationships/image" Target="/xl/media/image4477.jpg" Id="Rf612f77c32234459" /><Relationship Type="http://schemas.openxmlformats.org/officeDocument/2006/relationships/image" Target="/xl/media/image4478.jpg" Id="R091be7ca47b5470f" /><Relationship Type="http://schemas.openxmlformats.org/officeDocument/2006/relationships/image" Target="/xl/media/image4479.jpg" Id="Rf67bf9dcc95f41bb" /><Relationship Type="http://schemas.openxmlformats.org/officeDocument/2006/relationships/image" Target="/xl/media/image4480.jpg" Id="R87b57c239e674653" /><Relationship Type="http://schemas.openxmlformats.org/officeDocument/2006/relationships/image" Target="/xl/media/image4481.jpg" Id="Reb217fec1e7e459f" /><Relationship Type="http://schemas.openxmlformats.org/officeDocument/2006/relationships/image" Target="/xl/media/image4482.jpg" Id="Rdcff6bc9fe7f4135" /><Relationship Type="http://schemas.openxmlformats.org/officeDocument/2006/relationships/image" Target="/xl/media/image4483.jpg" Id="R74c0ed7921204b13" /><Relationship Type="http://schemas.openxmlformats.org/officeDocument/2006/relationships/image" Target="/xl/media/image4484.jpg" Id="R4568e94ad39b4724" /><Relationship Type="http://schemas.openxmlformats.org/officeDocument/2006/relationships/image" Target="/xl/media/image4485.jpg" Id="Rf01cd6460dfe4233" /><Relationship Type="http://schemas.openxmlformats.org/officeDocument/2006/relationships/image" Target="/xl/media/image4486.jpg" Id="Rbbd5ee24dd84485c" /><Relationship Type="http://schemas.openxmlformats.org/officeDocument/2006/relationships/image" Target="/xl/media/image4487.jpg" Id="R8bf5e03d002d4d82" /><Relationship Type="http://schemas.openxmlformats.org/officeDocument/2006/relationships/image" Target="/xl/media/image4488.jpg" Id="R62a5eb43c47d4608" /><Relationship Type="http://schemas.openxmlformats.org/officeDocument/2006/relationships/image" Target="/xl/media/image4489.jpg" Id="R2428ccf9b5e64176" /><Relationship Type="http://schemas.openxmlformats.org/officeDocument/2006/relationships/image" Target="/xl/media/image4490.jpg" Id="R94064e182eb94b78" /><Relationship Type="http://schemas.openxmlformats.org/officeDocument/2006/relationships/image" Target="/xl/media/image4491.jpg" Id="R10db46827abf42af" /><Relationship Type="http://schemas.openxmlformats.org/officeDocument/2006/relationships/image" Target="/xl/media/image4492.jpg" Id="R8c449c2c50234aae" /><Relationship Type="http://schemas.openxmlformats.org/officeDocument/2006/relationships/image" Target="/xl/media/image4493.jpg" Id="R05b39c7bd8aa4a3d" /><Relationship Type="http://schemas.openxmlformats.org/officeDocument/2006/relationships/image" Target="/xl/media/image4494.jpg" Id="R6f9bec27517e4fc8" /><Relationship Type="http://schemas.openxmlformats.org/officeDocument/2006/relationships/image" Target="/xl/media/image4495.jpg" Id="R4881e43ba4d9426b" /><Relationship Type="http://schemas.openxmlformats.org/officeDocument/2006/relationships/image" Target="/xl/media/image4496.jpg" Id="Rb1d639207ae74253" /><Relationship Type="http://schemas.openxmlformats.org/officeDocument/2006/relationships/image" Target="/xl/media/image4497.jpg" Id="Re7bc261130104129" /><Relationship Type="http://schemas.openxmlformats.org/officeDocument/2006/relationships/image" Target="/xl/media/image4498.jpg" Id="Rf34446ea6484413f" /><Relationship Type="http://schemas.openxmlformats.org/officeDocument/2006/relationships/image" Target="/xl/media/image4499.jpg" Id="R855b1e2cc3bf46e3" /><Relationship Type="http://schemas.openxmlformats.org/officeDocument/2006/relationships/image" Target="/xl/media/image4500.jpg" Id="Raa94a908beed41bf" /><Relationship Type="http://schemas.openxmlformats.org/officeDocument/2006/relationships/image" Target="/xl/media/image4501.jpg" Id="R297933f292d943bd" /><Relationship Type="http://schemas.openxmlformats.org/officeDocument/2006/relationships/image" Target="/xl/media/image4502.jpg" Id="Rfb2d86504d9f4a63" /><Relationship Type="http://schemas.openxmlformats.org/officeDocument/2006/relationships/image" Target="/xl/media/image4503.jpg" Id="R6fd3421968494a71" /><Relationship Type="http://schemas.openxmlformats.org/officeDocument/2006/relationships/image" Target="/xl/media/image4504.jpg" Id="Rb813a51c205e4709" /><Relationship Type="http://schemas.openxmlformats.org/officeDocument/2006/relationships/image" Target="/xl/media/image4505.jpg" Id="R90e83a3110514704" /><Relationship Type="http://schemas.openxmlformats.org/officeDocument/2006/relationships/image" Target="/xl/media/image4506.jpg" Id="Reb6ca87bfdb94a5e" /><Relationship Type="http://schemas.openxmlformats.org/officeDocument/2006/relationships/image" Target="/xl/media/image4507.jpg" Id="Rbca07aa806bb4a10" /><Relationship Type="http://schemas.openxmlformats.org/officeDocument/2006/relationships/image" Target="/xl/media/image4508.jpg" Id="Rb5ed803c438a460b" /><Relationship Type="http://schemas.openxmlformats.org/officeDocument/2006/relationships/image" Target="/xl/media/image4509.jpg" Id="Rf2351e95a9f14fcd" /><Relationship Type="http://schemas.openxmlformats.org/officeDocument/2006/relationships/image" Target="/xl/media/image4510.jpg" Id="R9f05ea8c14da480d" /><Relationship Type="http://schemas.openxmlformats.org/officeDocument/2006/relationships/image" Target="/xl/media/image4511.jpg" Id="R2d443816b2a04858" /><Relationship Type="http://schemas.openxmlformats.org/officeDocument/2006/relationships/image" Target="/xl/media/image4512.jpg" Id="R6c295c912bcf431b" /><Relationship Type="http://schemas.openxmlformats.org/officeDocument/2006/relationships/image" Target="/xl/media/image4513.jpg" Id="R303853eac3e3493b" /><Relationship Type="http://schemas.openxmlformats.org/officeDocument/2006/relationships/image" Target="/xl/media/image4514.jpg" Id="R6d151749417a4859" /><Relationship Type="http://schemas.openxmlformats.org/officeDocument/2006/relationships/image" Target="/xl/media/image4515.jpg" Id="R4068f0813a2c41a8" /><Relationship Type="http://schemas.openxmlformats.org/officeDocument/2006/relationships/image" Target="/xl/media/image4516.jpg" Id="Re7e6ac6525544633" /><Relationship Type="http://schemas.openxmlformats.org/officeDocument/2006/relationships/image" Target="/xl/media/image4517.jpg" Id="R091e4c0633bd48ee" /><Relationship Type="http://schemas.openxmlformats.org/officeDocument/2006/relationships/image" Target="/xl/media/image4518.jpg" Id="Rb4f0bb9cd6d541b4" /><Relationship Type="http://schemas.openxmlformats.org/officeDocument/2006/relationships/image" Target="/xl/media/image4519.jpg" Id="Raa4d45e2d0ad4e7c" /><Relationship Type="http://schemas.openxmlformats.org/officeDocument/2006/relationships/image" Target="/xl/media/image4520.jpg" Id="R2d367692bcdb4be1" /><Relationship Type="http://schemas.openxmlformats.org/officeDocument/2006/relationships/image" Target="/xl/media/image4521.jpg" Id="R62897b494484491e" /><Relationship Type="http://schemas.openxmlformats.org/officeDocument/2006/relationships/image" Target="/xl/media/image4522.jpg" Id="R911a556133a34e44" /><Relationship Type="http://schemas.openxmlformats.org/officeDocument/2006/relationships/image" Target="/xl/media/image4523.jpg" Id="Re49ff01b2baf46e1" /><Relationship Type="http://schemas.openxmlformats.org/officeDocument/2006/relationships/image" Target="/xl/media/image4524.jpg" Id="R3af75f558e964c95" /><Relationship Type="http://schemas.openxmlformats.org/officeDocument/2006/relationships/image" Target="/xl/media/image4525.jpg" Id="Rc50d98fac6bb4ebf" /><Relationship Type="http://schemas.openxmlformats.org/officeDocument/2006/relationships/image" Target="/xl/media/image4526.jpg" Id="Rd56542b70a474853" /><Relationship Type="http://schemas.openxmlformats.org/officeDocument/2006/relationships/image" Target="/xl/media/image4527.jpg" Id="R4eb4f578ce8447b9" /><Relationship Type="http://schemas.openxmlformats.org/officeDocument/2006/relationships/image" Target="/xl/media/image4528.jpg" Id="R1fa203c1fa674ae6" /><Relationship Type="http://schemas.openxmlformats.org/officeDocument/2006/relationships/image" Target="/xl/media/image4529.jpg" Id="Rfdb56e7782e24500" /><Relationship Type="http://schemas.openxmlformats.org/officeDocument/2006/relationships/image" Target="/xl/media/image4530.jpg" Id="R2d7803743f524e8f" /><Relationship Type="http://schemas.openxmlformats.org/officeDocument/2006/relationships/image" Target="/xl/media/image4531.jpg" Id="R1a2e47b04e07442a" /><Relationship Type="http://schemas.openxmlformats.org/officeDocument/2006/relationships/image" Target="/xl/media/image4532.jpg" Id="R1e4ae29673da4099" /><Relationship Type="http://schemas.openxmlformats.org/officeDocument/2006/relationships/image" Target="/xl/media/image4533.jpg" Id="Rb0b4341cf1b7459e" /><Relationship Type="http://schemas.openxmlformats.org/officeDocument/2006/relationships/image" Target="/xl/media/image4534.jpg" Id="Rfc579e09e7c64fc5" /><Relationship Type="http://schemas.openxmlformats.org/officeDocument/2006/relationships/image" Target="/xl/media/image4535.jpg" Id="R15b807b513c148cb" /><Relationship Type="http://schemas.openxmlformats.org/officeDocument/2006/relationships/image" Target="/xl/media/image4536.jpg" Id="R7b2a4cb2293347d4" /><Relationship Type="http://schemas.openxmlformats.org/officeDocument/2006/relationships/image" Target="/xl/media/image4537.jpg" Id="Rfb4025632e7d4577" /><Relationship Type="http://schemas.openxmlformats.org/officeDocument/2006/relationships/image" Target="/xl/media/image4538.jpg" Id="R841abe301355454d" /><Relationship Type="http://schemas.openxmlformats.org/officeDocument/2006/relationships/image" Target="/xl/media/image4539.jpg" Id="Rbcb8c4e87a9c42ba" /><Relationship Type="http://schemas.openxmlformats.org/officeDocument/2006/relationships/image" Target="/xl/media/image4540.jpg" Id="Rd55d519603684e28" /><Relationship Type="http://schemas.openxmlformats.org/officeDocument/2006/relationships/image" Target="/xl/media/image4541.jpg" Id="R1184cd245516418e" /><Relationship Type="http://schemas.openxmlformats.org/officeDocument/2006/relationships/image" Target="/xl/media/image4542.jpg" Id="R1b0acd774cf040ec" /><Relationship Type="http://schemas.openxmlformats.org/officeDocument/2006/relationships/image" Target="/xl/media/image4543.jpg" Id="R9c7e3b1f50d94508" /><Relationship Type="http://schemas.openxmlformats.org/officeDocument/2006/relationships/image" Target="/xl/media/image4544.jpg" Id="Rdb1f0b16c1444681" /><Relationship Type="http://schemas.openxmlformats.org/officeDocument/2006/relationships/image" Target="/xl/media/image4545.jpg" Id="R88549435f5334c29" /><Relationship Type="http://schemas.openxmlformats.org/officeDocument/2006/relationships/image" Target="/xl/media/image4546.jpg" Id="R1388cc490dc54fdf" /><Relationship Type="http://schemas.openxmlformats.org/officeDocument/2006/relationships/image" Target="/xl/media/image4547.jpg" Id="Rb9ec33b344ed4876" /><Relationship Type="http://schemas.openxmlformats.org/officeDocument/2006/relationships/image" Target="/xl/media/image4548.jpg" Id="Refc204975f254679" /><Relationship Type="http://schemas.openxmlformats.org/officeDocument/2006/relationships/image" Target="/xl/media/image4549.jpg" Id="R37fcabd554134526" /><Relationship Type="http://schemas.openxmlformats.org/officeDocument/2006/relationships/image" Target="/xl/media/image4550.jpg" Id="R7bcee0e9b50542ae" /><Relationship Type="http://schemas.openxmlformats.org/officeDocument/2006/relationships/image" Target="/xl/media/image4551.jpg" Id="R4edf6c74cb07459b" /><Relationship Type="http://schemas.openxmlformats.org/officeDocument/2006/relationships/image" Target="/xl/media/image4552.jpg" Id="Reeb750dd5e74482d" /><Relationship Type="http://schemas.openxmlformats.org/officeDocument/2006/relationships/image" Target="/xl/media/image4553.jpg" Id="R0a209bbbd525443c" /><Relationship Type="http://schemas.openxmlformats.org/officeDocument/2006/relationships/image" Target="/xl/media/image4554.jpg" Id="Rac2087ef97ef4fe1" /><Relationship Type="http://schemas.openxmlformats.org/officeDocument/2006/relationships/image" Target="/xl/media/image4555.jpg" Id="Rcf53542c64094fdc" /><Relationship Type="http://schemas.openxmlformats.org/officeDocument/2006/relationships/image" Target="/xl/media/image4556.jpg" Id="R80064e9549524bc4" /><Relationship Type="http://schemas.openxmlformats.org/officeDocument/2006/relationships/image" Target="/xl/media/image4557.jpg" Id="R0fbc3479653245f0" /><Relationship Type="http://schemas.openxmlformats.org/officeDocument/2006/relationships/image" Target="/xl/media/image4558.jpg" Id="R1f735fd044644d2c" /><Relationship Type="http://schemas.openxmlformats.org/officeDocument/2006/relationships/image" Target="/xl/media/image4559.jpg" Id="R45fbf5060a6947e3" /><Relationship Type="http://schemas.openxmlformats.org/officeDocument/2006/relationships/image" Target="/xl/media/image4560.jpg" Id="R715bd8405c5b4b8d" /><Relationship Type="http://schemas.openxmlformats.org/officeDocument/2006/relationships/image" Target="/xl/media/image4561.jpg" Id="Re09f0b739d044564" /><Relationship Type="http://schemas.openxmlformats.org/officeDocument/2006/relationships/image" Target="/xl/media/image4562.jpg" Id="R349c005dbbf9464e" /><Relationship Type="http://schemas.openxmlformats.org/officeDocument/2006/relationships/image" Target="/xl/media/image4563.jpg" Id="R7f2455a562f64c90" /><Relationship Type="http://schemas.openxmlformats.org/officeDocument/2006/relationships/image" Target="/xl/media/image4564.jpg" Id="Rdd2aa1e3580642e3" /><Relationship Type="http://schemas.openxmlformats.org/officeDocument/2006/relationships/image" Target="/xl/media/image4565.jpg" Id="R70835a34b9ec449c" /><Relationship Type="http://schemas.openxmlformats.org/officeDocument/2006/relationships/image" Target="/xl/media/image4566.jpg" Id="Rb5ac9b69b5ef4e5b" /><Relationship Type="http://schemas.openxmlformats.org/officeDocument/2006/relationships/image" Target="/xl/media/image4567.jpg" Id="Rd2ff9a1abefa4103" /><Relationship Type="http://schemas.openxmlformats.org/officeDocument/2006/relationships/image" Target="/xl/media/image4568.jpg" Id="R99386643ba9a4c92" /><Relationship Type="http://schemas.openxmlformats.org/officeDocument/2006/relationships/image" Target="/xl/media/image4569.jpg" Id="R4693df02e3a64bde" /><Relationship Type="http://schemas.openxmlformats.org/officeDocument/2006/relationships/image" Target="/xl/media/image4570.jpg" Id="Rb84399d1cd4349ac" /><Relationship Type="http://schemas.openxmlformats.org/officeDocument/2006/relationships/image" Target="/xl/media/image4571.jpg" Id="R15aeec99334a4fbe" /><Relationship Type="http://schemas.openxmlformats.org/officeDocument/2006/relationships/image" Target="/xl/media/image4572.jpg" Id="R278f5ed2bc854665" /><Relationship Type="http://schemas.openxmlformats.org/officeDocument/2006/relationships/image" Target="/xl/media/image4573.jpg" Id="R6d7679e07e784e8f" /><Relationship Type="http://schemas.openxmlformats.org/officeDocument/2006/relationships/image" Target="/xl/media/image4574.jpg" Id="R1431cb0643cf4a4c" /><Relationship Type="http://schemas.openxmlformats.org/officeDocument/2006/relationships/image" Target="/xl/media/image4575.jpg" Id="R675acb0b1de7432e" /><Relationship Type="http://schemas.openxmlformats.org/officeDocument/2006/relationships/image" Target="/xl/media/image4576.jpg" Id="R1e4c0136220b480b" /><Relationship Type="http://schemas.openxmlformats.org/officeDocument/2006/relationships/image" Target="/xl/media/image4577.jpg" Id="R2b83519d024248b4" /><Relationship Type="http://schemas.openxmlformats.org/officeDocument/2006/relationships/image" Target="/xl/media/image4578.jpg" Id="Re7bbeb2dc8be45d6" /><Relationship Type="http://schemas.openxmlformats.org/officeDocument/2006/relationships/image" Target="/xl/media/image4579.jpg" Id="R6fd9c1df4a4f4342" /><Relationship Type="http://schemas.openxmlformats.org/officeDocument/2006/relationships/image" Target="/xl/media/image4580.jpg" Id="R8bfbafc0ef244881" /><Relationship Type="http://schemas.openxmlformats.org/officeDocument/2006/relationships/image" Target="/xl/media/image4581.jpg" Id="R2891dfceabb44df2" /><Relationship Type="http://schemas.openxmlformats.org/officeDocument/2006/relationships/image" Target="/xl/media/image4582.jpg" Id="R214ee3f7345b4719" /><Relationship Type="http://schemas.openxmlformats.org/officeDocument/2006/relationships/image" Target="/xl/media/image4583.jpg" Id="Rf42511c691f647fa" /><Relationship Type="http://schemas.openxmlformats.org/officeDocument/2006/relationships/image" Target="/xl/media/image4584.jpg" Id="R7588bbc9fa634deb" /><Relationship Type="http://schemas.openxmlformats.org/officeDocument/2006/relationships/image" Target="/xl/media/image4585.jpg" Id="R125021e2d342492d" /><Relationship Type="http://schemas.openxmlformats.org/officeDocument/2006/relationships/image" Target="/xl/media/image4586.jpg" Id="R75870ed115764517" /><Relationship Type="http://schemas.openxmlformats.org/officeDocument/2006/relationships/image" Target="/xl/media/image4587.jpg" Id="Rb0b92804a7ff411b" /><Relationship Type="http://schemas.openxmlformats.org/officeDocument/2006/relationships/image" Target="/xl/media/image4588.jpg" Id="R683c7fdd793d4d3d" /><Relationship Type="http://schemas.openxmlformats.org/officeDocument/2006/relationships/image" Target="/xl/media/image4589.jpg" Id="R3490cb4f5cc84579" /><Relationship Type="http://schemas.openxmlformats.org/officeDocument/2006/relationships/image" Target="/xl/media/image4590.jpg" Id="R041537db51cb441e" /><Relationship Type="http://schemas.openxmlformats.org/officeDocument/2006/relationships/image" Target="/xl/media/image4591.jpg" Id="R6972b34b59144798" /><Relationship Type="http://schemas.openxmlformats.org/officeDocument/2006/relationships/image" Target="/xl/media/image4592.jpg" Id="R13e55ca3fc8444aa" /><Relationship Type="http://schemas.openxmlformats.org/officeDocument/2006/relationships/image" Target="/xl/media/image4593.jpg" Id="Rbe77f30e95914c95" /><Relationship Type="http://schemas.openxmlformats.org/officeDocument/2006/relationships/image" Target="/xl/media/image4594.jpg" Id="R8ec5e60142b24017" /><Relationship Type="http://schemas.openxmlformats.org/officeDocument/2006/relationships/image" Target="/xl/media/image4595.jpg" Id="Rfe7f6ea4bdd64e2c" /><Relationship Type="http://schemas.openxmlformats.org/officeDocument/2006/relationships/image" Target="/xl/media/image4596.jpg" Id="R2a8c9aedaa954ec7" /><Relationship Type="http://schemas.openxmlformats.org/officeDocument/2006/relationships/image" Target="/xl/media/image4597.jpg" Id="R153b9a519f7e422b" /><Relationship Type="http://schemas.openxmlformats.org/officeDocument/2006/relationships/image" Target="/xl/media/image4598.jpg" Id="R8d793af9567548b3" /><Relationship Type="http://schemas.openxmlformats.org/officeDocument/2006/relationships/image" Target="/xl/media/image4599.jpg" Id="R180e8707f04445a0" /><Relationship Type="http://schemas.openxmlformats.org/officeDocument/2006/relationships/image" Target="/xl/media/image4600.jpg" Id="R1527c541cb954899" /><Relationship Type="http://schemas.openxmlformats.org/officeDocument/2006/relationships/image" Target="/xl/media/image4601.jpg" Id="R70b28cf704f141e9" /><Relationship Type="http://schemas.openxmlformats.org/officeDocument/2006/relationships/image" Target="/xl/media/image4602.jpg" Id="R592a931f0dbe4746" /><Relationship Type="http://schemas.openxmlformats.org/officeDocument/2006/relationships/image" Target="/xl/media/image4603.jpg" Id="R52a0a87879a14e9d" /><Relationship Type="http://schemas.openxmlformats.org/officeDocument/2006/relationships/image" Target="/xl/media/image4604.jpg" Id="Rb53120e59b914afc" /><Relationship Type="http://schemas.openxmlformats.org/officeDocument/2006/relationships/image" Target="/xl/media/image4605.jpg" Id="Recfdcb8502cf49c0" /><Relationship Type="http://schemas.openxmlformats.org/officeDocument/2006/relationships/image" Target="/xl/media/image4606.jpg" Id="R1ca1cfd97bdb422c" /><Relationship Type="http://schemas.openxmlformats.org/officeDocument/2006/relationships/image" Target="/xl/media/image4607.jpg" Id="R38991593aaa24224" /><Relationship Type="http://schemas.openxmlformats.org/officeDocument/2006/relationships/image" Target="/xl/media/image4608.jpg" Id="R2b01b1c644044069" /><Relationship Type="http://schemas.openxmlformats.org/officeDocument/2006/relationships/image" Target="/xl/media/image4609.jpg" Id="R7cb04b47ef7c41cb" /><Relationship Type="http://schemas.openxmlformats.org/officeDocument/2006/relationships/image" Target="/xl/media/image4610.jpg" Id="R9c22b841f43241f9" /><Relationship Type="http://schemas.openxmlformats.org/officeDocument/2006/relationships/image" Target="/xl/media/image4611.jpg" Id="Ra50df243d8f7434a" /><Relationship Type="http://schemas.openxmlformats.org/officeDocument/2006/relationships/image" Target="/xl/media/image4612.jpg" Id="R16858a9a373b414c" /><Relationship Type="http://schemas.openxmlformats.org/officeDocument/2006/relationships/image" Target="/xl/media/image4613.jpg" Id="R55e79256f9e84509" /><Relationship Type="http://schemas.openxmlformats.org/officeDocument/2006/relationships/image" Target="/xl/media/image4614.jpg" Id="Rdff5acd80df64381" /><Relationship Type="http://schemas.openxmlformats.org/officeDocument/2006/relationships/image" Target="/xl/media/image4615.jpg" Id="R9e54cb9ac1214a9b" /><Relationship Type="http://schemas.openxmlformats.org/officeDocument/2006/relationships/image" Target="/xl/media/image4616.jpg" Id="Rbf5c1b71ef04407d" /><Relationship Type="http://schemas.openxmlformats.org/officeDocument/2006/relationships/image" Target="/xl/media/image4617.jpg" Id="R1a13af18043c448d" /><Relationship Type="http://schemas.openxmlformats.org/officeDocument/2006/relationships/image" Target="/xl/media/image4618.jpg" Id="R9e0458c41af14f30" /><Relationship Type="http://schemas.openxmlformats.org/officeDocument/2006/relationships/image" Target="/xl/media/image4619.jpg" Id="R5404cc34721b4c29" /><Relationship Type="http://schemas.openxmlformats.org/officeDocument/2006/relationships/image" Target="/xl/media/image4620.jpg" Id="R3a390c77da7f4f0c" /><Relationship Type="http://schemas.openxmlformats.org/officeDocument/2006/relationships/image" Target="/xl/media/image4621.jpg" Id="R6e755406e4d0471d" /><Relationship Type="http://schemas.openxmlformats.org/officeDocument/2006/relationships/image" Target="/xl/media/image4622.jpg" Id="R0d084f4097d84dfc" /><Relationship Type="http://schemas.openxmlformats.org/officeDocument/2006/relationships/image" Target="/xl/media/image4623.jpg" Id="R2040fa89f57a4579" /><Relationship Type="http://schemas.openxmlformats.org/officeDocument/2006/relationships/image" Target="/xl/media/image4624.jpg" Id="Rc7dfeab9f89d4e9e" /><Relationship Type="http://schemas.openxmlformats.org/officeDocument/2006/relationships/image" Target="/xl/media/image4625.jpg" Id="R3bd1fb9e959d4b36" /><Relationship Type="http://schemas.openxmlformats.org/officeDocument/2006/relationships/image" Target="/xl/media/image4626.jpg" Id="Re53e3ae5333243b5" /><Relationship Type="http://schemas.openxmlformats.org/officeDocument/2006/relationships/image" Target="/xl/media/image4627.jpg" Id="Rbccf556ba06d4cbf" /><Relationship Type="http://schemas.openxmlformats.org/officeDocument/2006/relationships/image" Target="/xl/media/image4628.jpg" Id="Rc1f37183bcac4aea" /><Relationship Type="http://schemas.openxmlformats.org/officeDocument/2006/relationships/image" Target="/xl/media/image4629.jpg" Id="R4e149187119b44d5" /><Relationship Type="http://schemas.openxmlformats.org/officeDocument/2006/relationships/image" Target="/xl/media/image4630.jpg" Id="R4a7a15d0b0b9424d" /><Relationship Type="http://schemas.openxmlformats.org/officeDocument/2006/relationships/image" Target="/xl/media/image4631.jpg" Id="R01879c787d8a47c1" /><Relationship Type="http://schemas.openxmlformats.org/officeDocument/2006/relationships/image" Target="/xl/media/image4632.jpg" Id="Rbdd2d40008dd48c6" /><Relationship Type="http://schemas.openxmlformats.org/officeDocument/2006/relationships/image" Target="/xl/media/image4633.jpg" Id="R25d8b9dcdce64732" /><Relationship Type="http://schemas.openxmlformats.org/officeDocument/2006/relationships/image" Target="/xl/media/image4634.jpg" Id="R5a38725d581747c0" /><Relationship Type="http://schemas.openxmlformats.org/officeDocument/2006/relationships/image" Target="/xl/media/image4635.jpg" Id="R44fe3ebe2a254218" /><Relationship Type="http://schemas.openxmlformats.org/officeDocument/2006/relationships/image" Target="/xl/media/image4636.jpg" Id="Rb1e85b6106bc4001" /><Relationship Type="http://schemas.openxmlformats.org/officeDocument/2006/relationships/image" Target="/xl/media/image4637.jpg" Id="R6e195d9d794e448c" /><Relationship Type="http://schemas.openxmlformats.org/officeDocument/2006/relationships/image" Target="/xl/media/image4638.jpg" Id="R8d1422489dc84c58" /><Relationship Type="http://schemas.openxmlformats.org/officeDocument/2006/relationships/image" Target="/xl/media/image4639.jpg" Id="Rdaf0d6a69f7e4196" /><Relationship Type="http://schemas.openxmlformats.org/officeDocument/2006/relationships/image" Target="/xl/media/image4640.jpg" Id="R45206a7517034e01" /><Relationship Type="http://schemas.openxmlformats.org/officeDocument/2006/relationships/image" Target="/xl/media/image4641.jpg" Id="R190640eb8ea44def" /><Relationship Type="http://schemas.openxmlformats.org/officeDocument/2006/relationships/image" Target="/xl/media/image4642.jpg" Id="Re940ec35c57a429b" /><Relationship Type="http://schemas.openxmlformats.org/officeDocument/2006/relationships/image" Target="/xl/media/image4643.jpg" Id="Rffd0a93a92e94f6d" /><Relationship Type="http://schemas.openxmlformats.org/officeDocument/2006/relationships/image" Target="/xl/media/image4644.jpg" Id="Ra733c172c97f4d63" /><Relationship Type="http://schemas.openxmlformats.org/officeDocument/2006/relationships/image" Target="/xl/media/image4645.jpg" Id="R8aa1edb89c154624" /><Relationship Type="http://schemas.openxmlformats.org/officeDocument/2006/relationships/image" Target="/xl/media/image4646.jpg" Id="R0d0f95e8004c4058" /><Relationship Type="http://schemas.openxmlformats.org/officeDocument/2006/relationships/image" Target="/xl/media/image4647.jpg" Id="R9f84bb8ad2b24663" /><Relationship Type="http://schemas.openxmlformats.org/officeDocument/2006/relationships/image" Target="/xl/media/image4648.jpg" Id="R8a1e26b6ddd445c5" /><Relationship Type="http://schemas.openxmlformats.org/officeDocument/2006/relationships/image" Target="/xl/media/image4649.jpg" Id="Ra9b6ca7f5838440d" /><Relationship Type="http://schemas.openxmlformats.org/officeDocument/2006/relationships/image" Target="/xl/media/image4650.jpg" Id="R22771ea88c404341" /><Relationship Type="http://schemas.openxmlformats.org/officeDocument/2006/relationships/image" Target="/xl/media/image4651.jpg" Id="R804cff3051ff4e31" /><Relationship Type="http://schemas.openxmlformats.org/officeDocument/2006/relationships/image" Target="/xl/media/image4652.jpg" Id="Re34342bb53f64d2d" /><Relationship Type="http://schemas.openxmlformats.org/officeDocument/2006/relationships/image" Target="/xl/media/image4653.jpg" Id="Rb0a6eaff665a4ae9" /><Relationship Type="http://schemas.openxmlformats.org/officeDocument/2006/relationships/image" Target="/xl/media/image4654.jpg" Id="Rce9323369fd543ec" /><Relationship Type="http://schemas.openxmlformats.org/officeDocument/2006/relationships/image" Target="/xl/media/image4655.jpg" Id="R09b6e54469e54ebc" /><Relationship Type="http://schemas.openxmlformats.org/officeDocument/2006/relationships/image" Target="/xl/media/image4656.jpg" Id="R5034fcf567a5491a" /><Relationship Type="http://schemas.openxmlformats.org/officeDocument/2006/relationships/image" Target="/xl/media/image4657.jpg" Id="Ra71fed6b18704549" /><Relationship Type="http://schemas.openxmlformats.org/officeDocument/2006/relationships/image" Target="/xl/media/image4658.jpg" Id="Rea4c83182df84c82" /><Relationship Type="http://schemas.openxmlformats.org/officeDocument/2006/relationships/image" Target="/xl/media/image4659.jpg" Id="R40139bd7c9fb45fa" /><Relationship Type="http://schemas.openxmlformats.org/officeDocument/2006/relationships/image" Target="/xl/media/image4660.jpg" Id="Ra4f5e365c93241bc" /><Relationship Type="http://schemas.openxmlformats.org/officeDocument/2006/relationships/image" Target="/xl/media/image4661.jpg" Id="R23e6ed263e7443b1" /><Relationship Type="http://schemas.openxmlformats.org/officeDocument/2006/relationships/image" Target="/xl/media/image4662.jpg" Id="Rda3948d590a54abd" /><Relationship Type="http://schemas.openxmlformats.org/officeDocument/2006/relationships/image" Target="/xl/media/image4663.jpg" Id="R813129a9a15444fd" /><Relationship Type="http://schemas.openxmlformats.org/officeDocument/2006/relationships/image" Target="/xl/media/image4664.jpg" Id="R28793ae0fd464684" /><Relationship Type="http://schemas.openxmlformats.org/officeDocument/2006/relationships/image" Target="/xl/media/image4665.jpg" Id="R76835e85dc00465c" /><Relationship Type="http://schemas.openxmlformats.org/officeDocument/2006/relationships/image" Target="/xl/media/image4666.jpg" Id="R76f78abe63fc4450" /><Relationship Type="http://schemas.openxmlformats.org/officeDocument/2006/relationships/image" Target="/xl/media/image4667.jpg" Id="R549df160189442ef" /><Relationship Type="http://schemas.openxmlformats.org/officeDocument/2006/relationships/image" Target="/xl/media/image4668.jpg" Id="R8b0968113b794f80" /><Relationship Type="http://schemas.openxmlformats.org/officeDocument/2006/relationships/image" Target="/xl/media/image4669.jpg" Id="Ra4067787bee742bc" /><Relationship Type="http://schemas.openxmlformats.org/officeDocument/2006/relationships/image" Target="/xl/media/image4670.jpg" Id="R9701af717fc44ca9" /><Relationship Type="http://schemas.openxmlformats.org/officeDocument/2006/relationships/image" Target="/xl/media/image4671.jpg" Id="R5432f18db3b94c10" /><Relationship Type="http://schemas.openxmlformats.org/officeDocument/2006/relationships/image" Target="/xl/media/image4672.jpg" Id="Rfeaf2255dfb44ad1" /><Relationship Type="http://schemas.openxmlformats.org/officeDocument/2006/relationships/image" Target="/xl/media/image4673.jpg" Id="R8222fd53c36b4056" /><Relationship Type="http://schemas.openxmlformats.org/officeDocument/2006/relationships/image" Target="/xl/media/image4674.jpg" Id="R1c9a3020fc634ea8" /><Relationship Type="http://schemas.openxmlformats.org/officeDocument/2006/relationships/image" Target="/xl/media/image4675.jpg" Id="Rd5737ed91bf04ec9" /><Relationship Type="http://schemas.openxmlformats.org/officeDocument/2006/relationships/image" Target="/xl/media/image4676.jpg" Id="Rd06128f02fe54f7d" /><Relationship Type="http://schemas.openxmlformats.org/officeDocument/2006/relationships/image" Target="/xl/media/image4677.jpg" Id="R112fbbfa6bae4159" /><Relationship Type="http://schemas.openxmlformats.org/officeDocument/2006/relationships/image" Target="/xl/media/image4678.jpg" Id="R6dbf3d78f35d4b09" /><Relationship Type="http://schemas.openxmlformats.org/officeDocument/2006/relationships/image" Target="/xl/media/image4679.jpg" Id="R2dbda4046f474960" /><Relationship Type="http://schemas.openxmlformats.org/officeDocument/2006/relationships/image" Target="/xl/media/image4680.jpg" Id="Rdf65212b2fae4504" /><Relationship Type="http://schemas.openxmlformats.org/officeDocument/2006/relationships/image" Target="/xl/media/image4681.jpg" Id="R9080808b06b44148" /><Relationship Type="http://schemas.openxmlformats.org/officeDocument/2006/relationships/image" Target="/xl/media/image4682.jpg" Id="R2af075058d9443eb" /><Relationship Type="http://schemas.openxmlformats.org/officeDocument/2006/relationships/image" Target="/xl/media/image4683.jpg" Id="R2838d11d26e24061" /><Relationship Type="http://schemas.openxmlformats.org/officeDocument/2006/relationships/image" Target="/xl/media/image4684.jpg" Id="R41b07778313f4c1b" /><Relationship Type="http://schemas.openxmlformats.org/officeDocument/2006/relationships/image" Target="/xl/media/image4685.jpg" Id="R8c7f182d85c6417f" /><Relationship Type="http://schemas.openxmlformats.org/officeDocument/2006/relationships/image" Target="/xl/media/image4686.jpg" Id="Rb3a0ecd0a7ba471a" /><Relationship Type="http://schemas.openxmlformats.org/officeDocument/2006/relationships/image" Target="/xl/media/image4687.jpg" Id="Rc2e0b2fb52a34a28" /><Relationship Type="http://schemas.openxmlformats.org/officeDocument/2006/relationships/image" Target="/xl/media/image4688.jpg" Id="Recbf38bdba244590" /><Relationship Type="http://schemas.openxmlformats.org/officeDocument/2006/relationships/image" Target="/xl/media/image4689.jpg" Id="Rb20dba3a4c4345bd" /><Relationship Type="http://schemas.openxmlformats.org/officeDocument/2006/relationships/image" Target="/xl/media/image4690.jpg" Id="R86fc7dd2b7594b08" /><Relationship Type="http://schemas.openxmlformats.org/officeDocument/2006/relationships/image" Target="/xl/media/image4691.jpg" Id="R5a7bf469010f4bfd" /><Relationship Type="http://schemas.openxmlformats.org/officeDocument/2006/relationships/image" Target="/xl/media/image4692.jpg" Id="Ref3bba1e364542e9" /><Relationship Type="http://schemas.openxmlformats.org/officeDocument/2006/relationships/image" Target="/xl/media/image4693.jpg" Id="R466d46572537433f" /><Relationship Type="http://schemas.openxmlformats.org/officeDocument/2006/relationships/image" Target="/xl/media/image4694.jpg" Id="R125e8f5eff5044d0" /><Relationship Type="http://schemas.openxmlformats.org/officeDocument/2006/relationships/image" Target="/xl/media/image4695.jpg" Id="Ra26391772c8647f2" /><Relationship Type="http://schemas.openxmlformats.org/officeDocument/2006/relationships/image" Target="/xl/media/image4696.jpg" Id="R3a86e8bde3bc44b5" /><Relationship Type="http://schemas.openxmlformats.org/officeDocument/2006/relationships/image" Target="/xl/media/image4697.jpg" Id="Rc04a3e8f5f6b422e" /><Relationship Type="http://schemas.openxmlformats.org/officeDocument/2006/relationships/image" Target="/xl/media/image4698.jpg" Id="R6f3d3d38ceaf436e" /><Relationship Type="http://schemas.openxmlformats.org/officeDocument/2006/relationships/image" Target="/xl/media/image4699.jpg" Id="R3bc22b10bb6b49a7" /><Relationship Type="http://schemas.openxmlformats.org/officeDocument/2006/relationships/image" Target="/xl/media/image4700.jpg" Id="Ra80512414c054796" /><Relationship Type="http://schemas.openxmlformats.org/officeDocument/2006/relationships/image" Target="/xl/media/image4701.jpg" Id="Ref633638299743ab" /><Relationship Type="http://schemas.openxmlformats.org/officeDocument/2006/relationships/image" Target="/xl/media/image4702.jpg" Id="Reb23e88086384807" /><Relationship Type="http://schemas.openxmlformats.org/officeDocument/2006/relationships/image" Target="/xl/media/image4703.jpg" Id="R62f3b8f019b144d8" /><Relationship Type="http://schemas.openxmlformats.org/officeDocument/2006/relationships/image" Target="/xl/media/image4704.jpg" Id="R997aa79af28a47e1" /><Relationship Type="http://schemas.openxmlformats.org/officeDocument/2006/relationships/image" Target="/xl/media/image4705.jpg" Id="R667a88fb9e584d30" /><Relationship Type="http://schemas.openxmlformats.org/officeDocument/2006/relationships/image" Target="/xl/media/image4706.jpg" Id="R6f32bc1550b7462c" /><Relationship Type="http://schemas.openxmlformats.org/officeDocument/2006/relationships/image" Target="/xl/media/image4707.jpg" Id="R6b6fe5fa28304f60" /><Relationship Type="http://schemas.openxmlformats.org/officeDocument/2006/relationships/image" Target="/xl/media/image4708.jpg" Id="R3582799d7566405b" /><Relationship Type="http://schemas.openxmlformats.org/officeDocument/2006/relationships/image" Target="/xl/media/image4709.jpg" Id="R5adf4f8a41334c10" /><Relationship Type="http://schemas.openxmlformats.org/officeDocument/2006/relationships/image" Target="/xl/media/image4710.jpg" Id="R388b2fae2828477a" /><Relationship Type="http://schemas.openxmlformats.org/officeDocument/2006/relationships/image" Target="/xl/media/image4711.jpg" Id="R9aedf4d4bd3e4504" /><Relationship Type="http://schemas.openxmlformats.org/officeDocument/2006/relationships/image" Target="/xl/media/image4712.jpg" Id="Rcb0ecbdbfde84e86" /><Relationship Type="http://schemas.openxmlformats.org/officeDocument/2006/relationships/image" Target="/xl/media/image4713.jpg" Id="R3b8531f23e6849ba" /><Relationship Type="http://schemas.openxmlformats.org/officeDocument/2006/relationships/image" Target="/xl/media/image4714.jpg" Id="R337870974aba4b43" /><Relationship Type="http://schemas.openxmlformats.org/officeDocument/2006/relationships/image" Target="/xl/media/image4715.jpg" Id="R02a01705b816405d" /><Relationship Type="http://schemas.openxmlformats.org/officeDocument/2006/relationships/image" Target="/xl/media/image4716.jpg" Id="R61c5aa8ef62c4479" /><Relationship Type="http://schemas.openxmlformats.org/officeDocument/2006/relationships/image" Target="/xl/media/image4717.jpg" Id="R0bf2ff0cd4634faa" /><Relationship Type="http://schemas.openxmlformats.org/officeDocument/2006/relationships/image" Target="/xl/media/image4718.jpg" Id="R895cecec69a54993" /><Relationship Type="http://schemas.openxmlformats.org/officeDocument/2006/relationships/image" Target="/xl/media/image4719.jpg" Id="Rab86976b799148be" /><Relationship Type="http://schemas.openxmlformats.org/officeDocument/2006/relationships/image" Target="/xl/media/image4720.jpg" Id="R72c464e03c49461d" /><Relationship Type="http://schemas.openxmlformats.org/officeDocument/2006/relationships/image" Target="/xl/media/image4721.jpg" Id="R0b35728dfea947f7" /><Relationship Type="http://schemas.openxmlformats.org/officeDocument/2006/relationships/image" Target="/xl/media/image4722.jpg" Id="Rcd6cabd045a24bb0" /><Relationship Type="http://schemas.openxmlformats.org/officeDocument/2006/relationships/image" Target="/xl/media/image4723.jpg" Id="Rb4f52d45ba50464a" /><Relationship Type="http://schemas.openxmlformats.org/officeDocument/2006/relationships/image" Target="/xl/media/image4724.jpg" Id="R93f36e6f99174bbe" /><Relationship Type="http://schemas.openxmlformats.org/officeDocument/2006/relationships/image" Target="/xl/media/image4725.jpg" Id="Rcc26bb9e48b54453" /><Relationship Type="http://schemas.openxmlformats.org/officeDocument/2006/relationships/image" Target="/xl/media/image4726.jpg" Id="Rb430130924854de0" /><Relationship Type="http://schemas.openxmlformats.org/officeDocument/2006/relationships/image" Target="/xl/media/image4727.jpg" Id="R783070074f574e19" /><Relationship Type="http://schemas.openxmlformats.org/officeDocument/2006/relationships/image" Target="/xl/media/image4728.jpg" Id="R42cbe4bb61604aba" /><Relationship Type="http://schemas.openxmlformats.org/officeDocument/2006/relationships/image" Target="/xl/media/image4729.jpg" Id="R6598011cf2d44c51" /><Relationship Type="http://schemas.openxmlformats.org/officeDocument/2006/relationships/image" Target="/xl/media/image4730.jpg" Id="Rde84a143fc7e48fc" /><Relationship Type="http://schemas.openxmlformats.org/officeDocument/2006/relationships/image" Target="/xl/media/image4731.jpg" Id="R1126ebe506a1408d" /><Relationship Type="http://schemas.openxmlformats.org/officeDocument/2006/relationships/image" Target="/xl/media/image4732.jpg" Id="R25d419e25f9546cf" /><Relationship Type="http://schemas.openxmlformats.org/officeDocument/2006/relationships/image" Target="/xl/media/image4733.jpg" Id="Re79bd457c0434eda" /><Relationship Type="http://schemas.openxmlformats.org/officeDocument/2006/relationships/image" Target="/xl/media/image4734.jpg" Id="R080aafbe4c4740eb" /><Relationship Type="http://schemas.openxmlformats.org/officeDocument/2006/relationships/image" Target="/xl/media/image4735.jpg" Id="Rb604ae467ea64aa4" /><Relationship Type="http://schemas.openxmlformats.org/officeDocument/2006/relationships/image" Target="/xl/media/image4736.jpg" Id="Ra67983a8728f4f87" /><Relationship Type="http://schemas.openxmlformats.org/officeDocument/2006/relationships/image" Target="/xl/media/image4737.jpg" Id="Ra30fa47a19d24ba9" /><Relationship Type="http://schemas.openxmlformats.org/officeDocument/2006/relationships/image" Target="/xl/media/image4738.jpg" Id="Ra1616ea368104b4e" /><Relationship Type="http://schemas.openxmlformats.org/officeDocument/2006/relationships/image" Target="/xl/media/image4739.jpg" Id="Rd0d5719c6c554de7" /><Relationship Type="http://schemas.openxmlformats.org/officeDocument/2006/relationships/image" Target="/xl/media/image4740.jpg" Id="R225083fce5a34f9f" /><Relationship Type="http://schemas.openxmlformats.org/officeDocument/2006/relationships/image" Target="/xl/media/image4741.jpg" Id="R0528f7617a1a4412" /><Relationship Type="http://schemas.openxmlformats.org/officeDocument/2006/relationships/image" Target="/xl/media/image4742.jpg" Id="R313a42aec28444c1" /><Relationship Type="http://schemas.openxmlformats.org/officeDocument/2006/relationships/image" Target="/xl/media/image4743.jpg" Id="Rd0a11298a6614336" /><Relationship Type="http://schemas.openxmlformats.org/officeDocument/2006/relationships/image" Target="/xl/media/image4744.jpg" Id="Refd5ea2630584829" /><Relationship Type="http://schemas.openxmlformats.org/officeDocument/2006/relationships/image" Target="/xl/media/image4745.jpg" Id="R7a007a4cbdb9453d" /><Relationship Type="http://schemas.openxmlformats.org/officeDocument/2006/relationships/image" Target="/xl/media/image4746.jpg" Id="Rb9a84d90e3ec45b1" /><Relationship Type="http://schemas.openxmlformats.org/officeDocument/2006/relationships/image" Target="/xl/media/image4747.jpg" Id="R5b42daf030a74046" /><Relationship Type="http://schemas.openxmlformats.org/officeDocument/2006/relationships/image" Target="/xl/media/image4748.jpg" Id="R52fe4cffb7fa4f3c" /><Relationship Type="http://schemas.openxmlformats.org/officeDocument/2006/relationships/image" Target="/xl/media/image4749.jpg" Id="R67e94ca748124eeb" /><Relationship Type="http://schemas.openxmlformats.org/officeDocument/2006/relationships/image" Target="/xl/media/image4750.jpg" Id="R6854dc29890a4e1e" /><Relationship Type="http://schemas.openxmlformats.org/officeDocument/2006/relationships/image" Target="/xl/media/image4751.jpg" Id="Rc63138d38aa94431" /><Relationship Type="http://schemas.openxmlformats.org/officeDocument/2006/relationships/image" Target="/xl/media/image4752.jpg" Id="R27291a9abcf846b6" /><Relationship Type="http://schemas.openxmlformats.org/officeDocument/2006/relationships/image" Target="/xl/media/image4753.jpg" Id="R9a3c2e76d1d64552" /><Relationship Type="http://schemas.openxmlformats.org/officeDocument/2006/relationships/image" Target="/xl/media/image4754.jpg" Id="R6e21504a2f634735" /><Relationship Type="http://schemas.openxmlformats.org/officeDocument/2006/relationships/image" Target="/xl/media/image4755.jpg" Id="R78c08ebfcb0841bb" /><Relationship Type="http://schemas.openxmlformats.org/officeDocument/2006/relationships/image" Target="/xl/media/image4756.jpg" Id="R2af1ba8e30f74ae8" /><Relationship Type="http://schemas.openxmlformats.org/officeDocument/2006/relationships/image" Target="/xl/media/image4757.jpg" Id="R55171fa714bf4e03" /><Relationship Type="http://schemas.openxmlformats.org/officeDocument/2006/relationships/image" Target="/xl/media/image4758.jpg" Id="R6fc4a802103c4e65" /><Relationship Type="http://schemas.openxmlformats.org/officeDocument/2006/relationships/image" Target="/xl/media/image4759.jpg" Id="R8ca10be5f7004bae" /><Relationship Type="http://schemas.openxmlformats.org/officeDocument/2006/relationships/image" Target="/xl/media/image4760.jpg" Id="R226bda3860db4cb3" /><Relationship Type="http://schemas.openxmlformats.org/officeDocument/2006/relationships/image" Target="/xl/media/image4761.jpg" Id="R289fc5f6f9674ba9" /><Relationship Type="http://schemas.openxmlformats.org/officeDocument/2006/relationships/image" Target="/xl/media/image4762.jpg" Id="Rd18d354385fd46ad" /><Relationship Type="http://schemas.openxmlformats.org/officeDocument/2006/relationships/image" Target="/xl/media/image4763.jpg" Id="Rddfef468bae94d6e" /><Relationship Type="http://schemas.openxmlformats.org/officeDocument/2006/relationships/image" Target="/xl/media/image4764.jpg" Id="R1507c44f6f2f48aa" /><Relationship Type="http://schemas.openxmlformats.org/officeDocument/2006/relationships/image" Target="/xl/media/image4765.jpg" Id="Re23d52d7c0af468f" /><Relationship Type="http://schemas.openxmlformats.org/officeDocument/2006/relationships/image" Target="/xl/media/image4766.jpg" Id="R7097ee3f50be4b7f" /><Relationship Type="http://schemas.openxmlformats.org/officeDocument/2006/relationships/image" Target="/xl/media/image4767.jpg" Id="R4d118a3ccf9c427b" /><Relationship Type="http://schemas.openxmlformats.org/officeDocument/2006/relationships/image" Target="/xl/media/image4768.jpg" Id="R5d6fbc2b58cb4ee3" /><Relationship Type="http://schemas.openxmlformats.org/officeDocument/2006/relationships/image" Target="/xl/media/image4769.jpg" Id="R0fb9f77162e24562" /><Relationship Type="http://schemas.openxmlformats.org/officeDocument/2006/relationships/image" Target="/xl/media/image4770.jpg" Id="R68a38420253443c1" /><Relationship Type="http://schemas.openxmlformats.org/officeDocument/2006/relationships/image" Target="/xl/media/image4771.jpg" Id="Ra0288496ac11423c" /><Relationship Type="http://schemas.openxmlformats.org/officeDocument/2006/relationships/image" Target="/xl/media/image4772.jpg" Id="R8707e804562648a1" /><Relationship Type="http://schemas.openxmlformats.org/officeDocument/2006/relationships/image" Target="/xl/media/image4773.jpg" Id="R2311f43a14084eab" /><Relationship Type="http://schemas.openxmlformats.org/officeDocument/2006/relationships/image" Target="/xl/media/image4774.jpg" Id="R28ff38c5840e4078" /><Relationship Type="http://schemas.openxmlformats.org/officeDocument/2006/relationships/image" Target="/xl/media/image4775.jpg" Id="R35becc5d05fb4209" /><Relationship Type="http://schemas.openxmlformats.org/officeDocument/2006/relationships/image" Target="/xl/media/image4776.jpg" Id="R6d25ed32e7bd4d2e" /><Relationship Type="http://schemas.openxmlformats.org/officeDocument/2006/relationships/image" Target="/xl/media/image4777.jpg" Id="R34c37eed3d7646dd" /><Relationship Type="http://schemas.openxmlformats.org/officeDocument/2006/relationships/image" Target="/xl/media/image4778.jpg" Id="Rec9fe8a67b324026" /><Relationship Type="http://schemas.openxmlformats.org/officeDocument/2006/relationships/image" Target="/xl/media/image4779.jpg" Id="R033bcdaa4ab94ce3" /><Relationship Type="http://schemas.openxmlformats.org/officeDocument/2006/relationships/image" Target="/xl/media/image4780.jpg" Id="Rce0a4d21831f44a8" /><Relationship Type="http://schemas.openxmlformats.org/officeDocument/2006/relationships/image" Target="/xl/media/image4781.jpg" Id="R1e547b3629af45e1" /><Relationship Type="http://schemas.openxmlformats.org/officeDocument/2006/relationships/image" Target="/xl/media/image4782.jpg" Id="Rfeab9bfdad4c4f69" /><Relationship Type="http://schemas.openxmlformats.org/officeDocument/2006/relationships/image" Target="/xl/media/image4783.jpg" Id="R8aa76b6b9de747a4" /><Relationship Type="http://schemas.openxmlformats.org/officeDocument/2006/relationships/image" Target="/xl/media/image4784.jpg" Id="R84a17cd502b743be" /><Relationship Type="http://schemas.openxmlformats.org/officeDocument/2006/relationships/image" Target="/xl/media/image4785.jpg" Id="Rd32a64e1d29b4c37" /><Relationship Type="http://schemas.openxmlformats.org/officeDocument/2006/relationships/image" Target="/xl/media/image4786.jpg" Id="R4a9e1e6d24934ec2" /><Relationship Type="http://schemas.openxmlformats.org/officeDocument/2006/relationships/image" Target="/xl/media/image4787.jpg" Id="Re7d5c08005c74cd5" /><Relationship Type="http://schemas.openxmlformats.org/officeDocument/2006/relationships/image" Target="/xl/media/image4788.jpg" Id="R59db0f87f3104633" /><Relationship Type="http://schemas.openxmlformats.org/officeDocument/2006/relationships/image" Target="/xl/media/image4789.jpg" Id="Re924eb103a1b4808" /><Relationship Type="http://schemas.openxmlformats.org/officeDocument/2006/relationships/image" Target="/xl/media/image4790.jpg" Id="Ra3edce151e104e01" /><Relationship Type="http://schemas.openxmlformats.org/officeDocument/2006/relationships/image" Target="/xl/media/image4791.jpg" Id="Rb6994f37904d431e" /><Relationship Type="http://schemas.openxmlformats.org/officeDocument/2006/relationships/image" Target="/xl/media/image4792.jpg" Id="R66105629c5a8464c" /><Relationship Type="http://schemas.openxmlformats.org/officeDocument/2006/relationships/image" Target="/xl/media/image4793.jpg" Id="R94abcf177ab84686" /><Relationship Type="http://schemas.openxmlformats.org/officeDocument/2006/relationships/image" Target="/xl/media/image4794.jpg" Id="R63824ed2941b4589" /><Relationship Type="http://schemas.openxmlformats.org/officeDocument/2006/relationships/image" Target="/xl/media/image4795.jpg" Id="R67ad29028ee34e1c" /><Relationship Type="http://schemas.openxmlformats.org/officeDocument/2006/relationships/image" Target="/xl/media/image4796.jpg" Id="R0cd77014891d4b2f" /><Relationship Type="http://schemas.openxmlformats.org/officeDocument/2006/relationships/image" Target="/xl/media/image4797.jpg" Id="Re5c16877b6ad4f3e" /><Relationship Type="http://schemas.openxmlformats.org/officeDocument/2006/relationships/image" Target="/xl/media/image4798.jpg" Id="R1dde9791265d461e" /><Relationship Type="http://schemas.openxmlformats.org/officeDocument/2006/relationships/image" Target="/xl/media/image4799.jpg" Id="R4f87a3bfaeca4399" /><Relationship Type="http://schemas.openxmlformats.org/officeDocument/2006/relationships/image" Target="/xl/media/image4800.jpg" Id="Raa5c5db09bac4cba" /><Relationship Type="http://schemas.openxmlformats.org/officeDocument/2006/relationships/image" Target="/xl/media/image4801.jpg" Id="R2e04efad0d604790" /><Relationship Type="http://schemas.openxmlformats.org/officeDocument/2006/relationships/image" Target="/xl/media/image4802.jpg" Id="Ra41a75bca49f40d1" /><Relationship Type="http://schemas.openxmlformats.org/officeDocument/2006/relationships/image" Target="/xl/media/image4803.jpg" Id="Rae5bed85a15742b1" /><Relationship Type="http://schemas.openxmlformats.org/officeDocument/2006/relationships/image" Target="/xl/media/image4804.jpg" Id="R12fa47ea13774c92" /><Relationship Type="http://schemas.openxmlformats.org/officeDocument/2006/relationships/image" Target="/xl/media/image4805.jpg" Id="Rfbc7da988aa84eb6" /><Relationship Type="http://schemas.openxmlformats.org/officeDocument/2006/relationships/image" Target="/xl/media/image4806.jpg" Id="R4b0ac4095b6c45ae" /><Relationship Type="http://schemas.openxmlformats.org/officeDocument/2006/relationships/image" Target="/xl/media/image4807.jpg" Id="R35e19e72ac434577" /><Relationship Type="http://schemas.openxmlformats.org/officeDocument/2006/relationships/image" Target="/xl/media/image4808.jpg" Id="R7e392e9929194c01" /><Relationship Type="http://schemas.openxmlformats.org/officeDocument/2006/relationships/image" Target="/xl/media/image4809.jpg" Id="Rdc0b1564c2a1405f" /><Relationship Type="http://schemas.openxmlformats.org/officeDocument/2006/relationships/image" Target="/xl/media/image4810.jpg" Id="R8716a78990aa4705" /><Relationship Type="http://schemas.openxmlformats.org/officeDocument/2006/relationships/image" Target="/xl/media/image4811.jpg" Id="R04c81f8654654c11" /><Relationship Type="http://schemas.openxmlformats.org/officeDocument/2006/relationships/image" Target="/xl/media/image4812.jpg" Id="Rb8b6e94e0bd14f3a" /><Relationship Type="http://schemas.openxmlformats.org/officeDocument/2006/relationships/image" Target="/xl/media/image4813.jpg" Id="R69e25822c4864275" /><Relationship Type="http://schemas.openxmlformats.org/officeDocument/2006/relationships/image" Target="/xl/media/image4814.jpg" Id="R5547282e3eab48a8" /><Relationship Type="http://schemas.openxmlformats.org/officeDocument/2006/relationships/image" Target="/xl/media/image4815.jpg" Id="R68cd661369d14cbb" /><Relationship Type="http://schemas.openxmlformats.org/officeDocument/2006/relationships/image" Target="/xl/media/image4816.jpg" Id="R94b7c725d22f4665" /><Relationship Type="http://schemas.openxmlformats.org/officeDocument/2006/relationships/image" Target="/xl/media/image4817.jpg" Id="R81bc83c0ad374c16" /><Relationship Type="http://schemas.openxmlformats.org/officeDocument/2006/relationships/image" Target="/xl/media/image4818.jpg" Id="R306ee93717154ea0" /><Relationship Type="http://schemas.openxmlformats.org/officeDocument/2006/relationships/image" Target="/xl/media/image4819.jpg" Id="R7477a019483a41e7" /><Relationship Type="http://schemas.openxmlformats.org/officeDocument/2006/relationships/image" Target="/xl/media/image4820.jpg" Id="Raaed7938573b4311" /><Relationship Type="http://schemas.openxmlformats.org/officeDocument/2006/relationships/image" Target="/xl/media/image4821.jpg" Id="R762cd7ab7a0d46bb" /><Relationship Type="http://schemas.openxmlformats.org/officeDocument/2006/relationships/image" Target="/xl/media/image4822.jpg" Id="R43ce721374364490" /><Relationship Type="http://schemas.openxmlformats.org/officeDocument/2006/relationships/image" Target="/xl/media/image4823.jpg" Id="Rf270ff4577f74ea7" /><Relationship Type="http://schemas.openxmlformats.org/officeDocument/2006/relationships/image" Target="/xl/media/image4824.jpg" Id="Rb7496a5d453843bd" /><Relationship Type="http://schemas.openxmlformats.org/officeDocument/2006/relationships/image" Target="/xl/media/image4825.jpg" Id="Raf081198bda043fc" /><Relationship Type="http://schemas.openxmlformats.org/officeDocument/2006/relationships/image" Target="/xl/media/image4826.jpg" Id="R280a1b55d0164717" /><Relationship Type="http://schemas.openxmlformats.org/officeDocument/2006/relationships/image" Target="/xl/media/image4827.jpg" Id="Rcd712e44d11b4502" /><Relationship Type="http://schemas.openxmlformats.org/officeDocument/2006/relationships/image" Target="/xl/media/image4828.jpg" Id="R79c39ddd7cdb4bd9" /><Relationship Type="http://schemas.openxmlformats.org/officeDocument/2006/relationships/image" Target="/xl/media/image4829.jpg" Id="R670b535f7713443c" /><Relationship Type="http://schemas.openxmlformats.org/officeDocument/2006/relationships/image" Target="/xl/media/image4830.jpg" Id="Rffa8efc3d66e415b" /><Relationship Type="http://schemas.openxmlformats.org/officeDocument/2006/relationships/image" Target="/xl/media/image4831.jpg" Id="R96f2dae686974b89" /><Relationship Type="http://schemas.openxmlformats.org/officeDocument/2006/relationships/image" Target="/xl/media/image4832.jpg" Id="R246b1507676b4824" /><Relationship Type="http://schemas.openxmlformats.org/officeDocument/2006/relationships/image" Target="/xl/media/image4833.jpg" Id="R5022130b6e3b422f" /><Relationship Type="http://schemas.openxmlformats.org/officeDocument/2006/relationships/image" Target="/xl/media/image4834.jpg" Id="Rd1b9b8e7b8004f9d" /><Relationship Type="http://schemas.openxmlformats.org/officeDocument/2006/relationships/image" Target="/xl/media/image4835.jpg" Id="R42830f5896bc4229" /><Relationship Type="http://schemas.openxmlformats.org/officeDocument/2006/relationships/image" Target="/xl/media/image4836.jpg" Id="R1d65168ea3a74ea7" /><Relationship Type="http://schemas.openxmlformats.org/officeDocument/2006/relationships/image" Target="/xl/media/image4837.jpg" Id="Rf4d34036420d4eb2" /><Relationship Type="http://schemas.openxmlformats.org/officeDocument/2006/relationships/image" Target="/xl/media/image4838.jpg" Id="R373da03bd9d04dbb" /><Relationship Type="http://schemas.openxmlformats.org/officeDocument/2006/relationships/image" Target="/xl/media/image4839.jpg" Id="R5652d22c529d4b5f" /><Relationship Type="http://schemas.openxmlformats.org/officeDocument/2006/relationships/image" Target="/xl/media/image4840.jpg" Id="R05d77c79707f48ca" /><Relationship Type="http://schemas.openxmlformats.org/officeDocument/2006/relationships/image" Target="/xl/media/image4841.jpg" Id="R3132f2d56b754829" /><Relationship Type="http://schemas.openxmlformats.org/officeDocument/2006/relationships/image" Target="/xl/media/image4842.jpg" Id="Reea9ffe838884fad" /><Relationship Type="http://schemas.openxmlformats.org/officeDocument/2006/relationships/image" Target="/xl/media/image4843.jpg" Id="R130ccc77d74f46e5" /><Relationship Type="http://schemas.openxmlformats.org/officeDocument/2006/relationships/image" Target="/xl/media/image4844.jpg" Id="R246820a3b7fb4a59" /><Relationship Type="http://schemas.openxmlformats.org/officeDocument/2006/relationships/image" Target="/xl/media/image4845.jpg" Id="Re28786a523a64a63" /><Relationship Type="http://schemas.openxmlformats.org/officeDocument/2006/relationships/image" Target="/xl/media/image4846.jpg" Id="R125a4d8fd98740b8" /><Relationship Type="http://schemas.openxmlformats.org/officeDocument/2006/relationships/image" Target="/xl/media/image4847.jpg" Id="Rc7b13890f7c34dd9" /><Relationship Type="http://schemas.openxmlformats.org/officeDocument/2006/relationships/image" Target="/xl/media/image4848.jpg" Id="R43f958bb49954d79" /><Relationship Type="http://schemas.openxmlformats.org/officeDocument/2006/relationships/image" Target="/xl/media/image4849.jpg" Id="R55e89329cca64c67" /><Relationship Type="http://schemas.openxmlformats.org/officeDocument/2006/relationships/image" Target="/xl/media/image4850.jpg" Id="R619dd6a5cce1471f" /><Relationship Type="http://schemas.openxmlformats.org/officeDocument/2006/relationships/image" Target="/xl/media/image4851.jpg" Id="R23ed437002dc4da0" /><Relationship Type="http://schemas.openxmlformats.org/officeDocument/2006/relationships/image" Target="/xl/media/image4852.jpg" Id="R7a074783f39047f7" /><Relationship Type="http://schemas.openxmlformats.org/officeDocument/2006/relationships/image" Target="/xl/media/image4853.jpg" Id="R8858db23950944c5" /><Relationship Type="http://schemas.openxmlformats.org/officeDocument/2006/relationships/image" Target="/xl/media/image4854.jpg" Id="Ref85615e50f44063" /><Relationship Type="http://schemas.openxmlformats.org/officeDocument/2006/relationships/image" Target="/xl/media/image4855.jpg" Id="R304103c2496d4515" /><Relationship Type="http://schemas.openxmlformats.org/officeDocument/2006/relationships/image" Target="/xl/media/image4856.jpg" Id="R363ebcff46984f35" /><Relationship Type="http://schemas.openxmlformats.org/officeDocument/2006/relationships/image" Target="/xl/media/image4857.jpg" Id="R02900a3d42e44ed3" /><Relationship Type="http://schemas.openxmlformats.org/officeDocument/2006/relationships/image" Target="/xl/media/image4858.jpg" Id="R417d6472210e44b7" /><Relationship Type="http://schemas.openxmlformats.org/officeDocument/2006/relationships/image" Target="/xl/media/image4859.jpg" Id="Radbfac88226e41e7" /><Relationship Type="http://schemas.openxmlformats.org/officeDocument/2006/relationships/image" Target="/xl/media/image4860.jpg" Id="R7cb50ae454a04ae0" /><Relationship Type="http://schemas.openxmlformats.org/officeDocument/2006/relationships/image" Target="/xl/media/image4861.jpg" Id="Rd53a1d207310488e" /><Relationship Type="http://schemas.openxmlformats.org/officeDocument/2006/relationships/image" Target="/xl/media/image4862.jpg" Id="Ra52b6575487c4365" /><Relationship Type="http://schemas.openxmlformats.org/officeDocument/2006/relationships/image" Target="/xl/media/image4863.jpg" Id="R4a7ae31533744ecb" /><Relationship Type="http://schemas.openxmlformats.org/officeDocument/2006/relationships/image" Target="/xl/media/image4864.jpg" Id="R74d3ce579c9c41e4" /><Relationship Type="http://schemas.openxmlformats.org/officeDocument/2006/relationships/image" Target="/xl/media/image4865.jpg" Id="R2fb0e7f353564e85" /><Relationship Type="http://schemas.openxmlformats.org/officeDocument/2006/relationships/image" Target="/xl/media/image4866.jpg" Id="R22030802277e4418" /><Relationship Type="http://schemas.openxmlformats.org/officeDocument/2006/relationships/image" Target="/xl/media/image4867.jpg" Id="R56c142c8c82446b9" /><Relationship Type="http://schemas.openxmlformats.org/officeDocument/2006/relationships/image" Target="/xl/media/image4868.jpg" Id="Rcb86ad1cf4324e14" /><Relationship Type="http://schemas.openxmlformats.org/officeDocument/2006/relationships/image" Target="/xl/media/image4869.jpg" Id="Re004a7ab91db487f" /><Relationship Type="http://schemas.openxmlformats.org/officeDocument/2006/relationships/image" Target="/xl/media/image4870.jpg" Id="Re1a7d428ddc141d0" /><Relationship Type="http://schemas.openxmlformats.org/officeDocument/2006/relationships/image" Target="/xl/media/image4871.jpg" Id="Ra4a5053b0f7e4260" /><Relationship Type="http://schemas.openxmlformats.org/officeDocument/2006/relationships/image" Target="/xl/media/image4872.jpg" Id="Ra104d90a719a4510" /><Relationship Type="http://schemas.openxmlformats.org/officeDocument/2006/relationships/image" Target="/xl/media/image4873.jpg" Id="Red381de73ae543f4" /><Relationship Type="http://schemas.openxmlformats.org/officeDocument/2006/relationships/image" Target="/xl/media/image4874.jpg" Id="Rd33f7deb78fb40aa" /><Relationship Type="http://schemas.openxmlformats.org/officeDocument/2006/relationships/image" Target="/xl/media/image4875.jpg" Id="Ra9391aa476af49fb" /><Relationship Type="http://schemas.openxmlformats.org/officeDocument/2006/relationships/image" Target="/xl/media/image4876.jpg" Id="R495ba6c18d4546d5" /><Relationship Type="http://schemas.openxmlformats.org/officeDocument/2006/relationships/image" Target="/xl/media/image4877.jpg" Id="R1561465920634174" /><Relationship Type="http://schemas.openxmlformats.org/officeDocument/2006/relationships/image" Target="/xl/media/image4878.jpg" Id="R179890dda1494b21" /><Relationship Type="http://schemas.openxmlformats.org/officeDocument/2006/relationships/image" Target="/xl/media/image4879.jpg" Id="Raee96a15bfc94978" /><Relationship Type="http://schemas.openxmlformats.org/officeDocument/2006/relationships/image" Target="/xl/media/image4880.jpg" Id="Re05e0e0c66844b05" /><Relationship Type="http://schemas.openxmlformats.org/officeDocument/2006/relationships/image" Target="/xl/media/image4881.jpg" Id="R2bc96f3957e34978" /><Relationship Type="http://schemas.openxmlformats.org/officeDocument/2006/relationships/image" Target="/xl/media/image4882.jpg" Id="Rc09743570ca647a0" /><Relationship Type="http://schemas.openxmlformats.org/officeDocument/2006/relationships/image" Target="/xl/media/image4883.jpg" Id="R61fe10109f4042c9" /><Relationship Type="http://schemas.openxmlformats.org/officeDocument/2006/relationships/image" Target="/xl/media/image4884.jpg" Id="R9fcc06bc36b5440f" /><Relationship Type="http://schemas.openxmlformats.org/officeDocument/2006/relationships/image" Target="/xl/media/image4885.jpg" Id="Rf324e54a508e4f59" /><Relationship Type="http://schemas.openxmlformats.org/officeDocument/2006/relationships/image" Target="/xl/media/image4886.jpg" Id="R39a2b15cd9504388" /><Relationship Type="http://schemas.openxmlformats.org/officeDocument/2006/relationships/image" Target="/xl/media/image4887.jpg" Id="R0f865ec3a33644b4" /><Relationship Type="http://schemas.openxmlformats.org/officeDocument/2006/relationships/image" Target="/xl/media/image4888.jpg" Id="R77630081d0284f3f" /><Relationship Type="http://schemas.openxmlformats.org/officeDocument/2006/relationships/image" Target="/xl/media/image4889.jpg" Id="R1fef4095baa84667" /><Relationship Type="http://schemas.openxmlformats.org/officeDocument/2006/relationships/image" Target="/xl/media/image4890.jpg" Id="Rd63f4d76983b4ae8" /><Relationship Type="http://schemas.openxmlformats.org/officeDocument/2006/relationships/image" Target="/xl/media/image4891.jpg" Id="R78ae11b3ec97492e" /><Relationship Type="http://schemas.openxmlformats.org/officeDocument/2006/relationships/image" Target="/xl/media/image4892.jpg" Id="R00c0d08c6ded4485" /><Relationship Type="http://schemas.openxmlformats.org/officeDocument/2006/relationships/image" Target="/xl/media/image4893.jpg" Id="Rebad45c46555411c" /><Relationship Type="http://schemas.openxmlformats.org/officeDocument/2006/relationships/image" Target="/xl/media/image4894.jpg" Id="R58e4523f6f53417a" /><Relationship Type="http://schemas.openxmlformats.org/officeDocument/2006/relationships/image" Target="/xl/media/image4895.jpg" Id="R46350f225f914a64" /><Relationship Type="http://schemas.openxmlformats.org/officeDocument/2006/relationships/image" Target="/xl/media/image4896.jpg" Id="R3bb50210b4f44056" /><Relationship Type="http://schemas.openxmlformats.org/officeDocument/2006/relationships/image" Target="/xl/media/image4897.jpg" Id="R7e4408eb1de94900" /><Relationship Type="http://schemas.openxmlformats.org/officeDocument/2006/relationships/image" Target="/xl/media/image4898.jpg" Id="Rff89d9e6824e496e" /><Relationship Type="http://schemas.openxmlformats.org/officeDocument/2006/relationships/image" Target="/xl/media/image4899.jpg" Id="R5c2eebf19f6f421c" /><Relationship Type="http://schemas.openxmlformats.org/officeDocument/2006/relationships/image" Target="/xl/media/image4900.jpg" Id="R0ab0dd2ad36b418f" /><Relationship Type="http://schemas.openxmlformats.org/officeDocument/2006/relationships/image" Target="/xl/media/image4901.jpg" Id="R4b4df2c6015b473a" /><Relationship Type="http://schemas.openxmlformats.org/officeDocument/2006/relationships/image" Target="/xl/media/image4902.jpg" Id="Ra94b563b050e4474" /><Relationship Type="http://schemas.openxmlformats.org/officeDocument/2006/relationships/image" Target="/xl/media/image4903.jpg" Id="R205e97d770814c55" /><Relationship Type="http://schemas.openxmlformats.org/officeDocument/2006/relationships/image" Target="/xl/media/image4904.jpg" Id="Rf4f7159e5c074aac" /><Relationship Type="http://schemas.openxmlformats.org/officeDocument/2006/relationships/image" Target="/xl/media/image4905.jpg" Id="R62c2ae9353b84a40" /><Relationship Type="http://schemas.openxmlformats.org/officeDocument/2006/relationships/image" Target="/xl/media/image4906.jpg" Id="R38bc0b5ec31d4ae4" /><Relationship Type="http://schemas.openxmlformats.org/officeDocument/2006/relationships/image" Target="/xl/media/image4907.jpg" Id="Rd71681bc26034476" /><Relationship Type="http://schemas.openxmlformats.org/officeDocument/2006/relationships/image" Target="/xl/media/image4908.jpg" Id="Rfb4dc95e1ae04362" /><Relationship Type="http://schemas.openxmlformats.org/officeDocument/2006/relationships/image" Target="/xl/media/image4909.jpg" Id="Rb70cc0b76324436c" /><Relationship Type="http://schemas.openxmlformats.org/officeDocument/2006/relationships/image" Target="/xl/media/image4910.jpg" Id="Rb69db26023404765" /><Relationship Type="http://schemas.openxmlformats.org/officeDocument/2006/relationships/image" Target="/xl/media/image4911.jpg" Id="R0b05ffbc35714333" /><Relationship Type="http://schemas.openxmlformats.org/officeDocument/2006/relationships/image" Target="/xl/media/image4912.jpg" Id="Re9debba7a3fe403b" /><Relationship Type="http://schemas.openxmlformats.org/officeDocument/2006/relationships/image" Target="/xl/media/image4913.jpg" Id="Rb9ab1df282d7415b" /><Relationship Type="http://schemas.openxmlformats.org/officeDocument/2006/relationships/image" Target="/xl/media/image4914.jpg" Id="R803329a56825497e" /><Relationship Type="http://schemas.openxmlformats.org/officeDocument/2006/relationships/image" Target="/xl/media/image4915.jpg" Id="R6407b5baaec14632" /><Relationship Type="http://schemas.openxmlformats.org/officeDocument/2006/relationships/image" Target="/xl/media/image4916.jpg" Id="R42a5f426dce94bdd" /><Relationship Type="http://schemas.openxmlformats.org/officeDocument/2006/relationships/image" Target="/xl/media/image4917.jpg" Id="R85772f3b4d1448e0" /><Relationship Type="http://schemas.openxmlformats.org/officeDocument/2006/relationships/image" Target="/xl/media/image4918.jpg" Id="R16d78f3cb937463c" /><Relationship Type="http://schemas.openxmlformats.org/officeDocument/2006/relationships/image" Target="/xl/media/image4919.jpg" Id="Rfada3eb73bed443a" /><Relationship Type="http://schemas.openxmlformats.org/officeDocument/2006/relationships/image" Target="/xl/media/image4920.jpg" Id="Rda7d44b9a3994f6e" /><Relationship Type="http://schemas.openxmlformats.org/officeDocument/2006/relationships/image" Target="/xl/media/image4921.jpg" Id="R40c597d70e07494d" /><Relationship Type="http://schemas.openxmlformats.org/officeDocument/2006/relationships/image" Target="/xl/media/image4922.jpg" Id="R0e24487dfb224767" /><Relationship Type="http://schemas.openxmlformats.org/officeDocument/2006/relationships/image" Target="/xl/media/image4923.jpg" Id="R24943634c5f74115" /><Relationship Type="http://schemas.openxmlformats.org/officeDocument/2006/relationships/image" Target="/xl/media/image4924.jpg" Id="R0f04aa9529894950" /><Relationship Type="http://schemas.openxmlformats.org/officeDocument/2006/relationships/image" Target="/xl/media/image4925.jpg" Id="R07b0dadb47ca4951" /><Relationship Type="http://schemas.openxmlformats.org/officeDocument/2006/relationships/image" Target="/xl/media/image4926.jpg" Id="R526bb50d9e9b4f5a" /><Relationship Type="http://schemas.openxmlformats.org/officeDocument/2006/relationships/image" Target="/xl/media/image4927.jpg" Id="R2da835752bf34a0b" /><Relationship Type="http://schemas.openxmlformats.org/officeDocument/2006/relationships/image" Target="/xl/media/image4928.jpg" Id="R730e0b3c77ef4920" /><Relationship Type="http://schemas.openxmlformats.org/officeDocument/2006/relationships/image" Target="/xl/media/image4929.jpg" Id="R119e77fdc1ff41fa" /><Relationship Type="http://schemas.openxmlformats.org/officeDocument/2006/relationships/image" Target="/xl/media/image4930.jpg" Id="Rf93c824921dd4b69" /><Relationship Type="http://schemas.openxmlformats.org/officeDocument/2006/relationships/image" Target="/xl/media/image4931.jpg" Id="R5caf9b8087d84325" /><Relationship Type="http://schemas.openxmlformats.org/officeDocument/2006/relationships/image" Target="/xl/media/image4932.jpg" Id="R9e6025d0d23745b1" /><Relationship Type="http://schemas.openxmlformats.org/officeDocument/2006/relationships/image" Target="/xl/media/image4933.jpg" Id="R697ce67116934fdd" /><Relationship Type="http://schemas.openxmlformats.org/officeDocument/2006/relationships/image" Target="/xl/media/image4934.jpg" Id="R10670564371e4d96" /><Relationship Type="http://schemas.openxmlformats.org/officeDocument/2006/relationships/image" Target="/xl/media/image4935.jpg" Id="Raa882065e066497e" /><Relationship Type="http://schemas.openxmlformats.org/officeDocument/2006/relationships/image" Target="/xl/media/image4936.jpg" Id="Ra0ce0d8825fd439a" /><Relationship Type="http://schemas.openxmlformats.org/officeDocument/2006/relationships/image" Target="/xl/media/image4937.jpg" Id="Rb95d116d559b4633" /><Relationship Type="http://schemas.openxmlformats.org/officeDocument/2006/relationships/image" Target="/xl/media/image4938.jpg" Id="R43c72b032efd469b" /><Relationship Type="http://schemas.openxmlformats.org/officeDocument/2006/relationships/image" Target="/xl/media/image4939.jpg" Id="Rb47957f124da4c0b" /><Relationship Type="http://schemas.openxmlformats.org/officeDocument/2006/relationships/image" Target="/xl/media/image4940.jpg" Id="R97116eb5d1ba4d26" /><Relationship Type="http://schemas.openxmlformats.org/officeDocument/2006/relationships/image" Target="/xl/media/image4941.jpg" Id="R8c790818b1e24c19" /><Relationship Type="http://schemas.openxmlformats.org/officeDocument/2006/relationships/image" Target="/xl/media/image4942.jpg" Id="R6c6b34233fae4109" /><Relationship Type="http://schemas.openxmlformats.org/officeDocument/2006/relationships/image" Target="/xl/media/image4943.jpg" Id="R9df465c4bf344bcf" /><Relationship Type="http://schemas.openxmlformats.org/officeDocument/2006/relationships/image" Target="/xl/media/image4944.jpg" Id="Rc432151c056f486a" /><Relationship Type="http://schemas.openxmlformats.org/officeDocument/2006/relationships/image" Target="/xl/media/image4945.jpg" Id="R9c627ce467944b53" /><Relationship Type="http://schemas.openxmlformats.org/officeDocument/2006/relationships/image" Target="/xl/media/image4946.jpg" Id="R15710ae3c3d54385" /><Relationship Type="http://schemas.openxmlformats.org/officeDocument/2006/relationships/image" Target="/xl/media/image4947.jpg" Id="R4be8527a195343e3" /><Relationship Type="http://schemas.openxmlformats.org/officeDocument/2006/relationships/image" Target="/xl/media/image4948.jpg" Id="Ref270c1d9b0d4048" /><Relationship Type="http://schemas.openxmlformats.org/officeDocument/2006/relationships/image" Target="/xl/media/image4949.jpg" Id="R7fed01a61bc04a4e" /><Relationship Type="http://schemas.openxmlformats.org/officeDocument/2006/relationships/image" Target="/xl/media/image4950.jpg" Id="Rf293038f1ad64058" /><Relationship Type="http://schemas.openxmlformats.org/officeDocument/2006/relationships/image" Target="/xl/media/image4951.jpg" Id="Ra10bf4d8a8144f59" /><Relationship Type="http://schemas.openxmlformats.org/officeDocument/2006/relationships/image" Target="/xl/media/image4952.jpg" Id="R870253faf4d547f9" /><Relationship Type="http://schemas.openxmlformats.org/officeDocument/2006/relationships/image" Target="/xl/media/image4953.jpg" Id="Rf9d1b5916d3e4f67" /><Relationship Type="http://schemas.openxmlformats.org/officeDocument/2006/relationships/image" Target="/xl/media/image4954.jpg" Id="R4a733b79414e4a10" /><Relationship Type="http://schemas.openxmlformats.org/officeDocument/2006/relationships/image" Target="/xl/media/image4955.jpg" Id="Re452762bf5d94db0" /><Relationship Type="http://schemas.openxmlformats.org/officeDocument/2006/relationships/image" Target="/xl/media/image4956.jpg" Id="Ra5309a6428fa48f1" /><Relationship Type="http://schemas.openxmlformats.org/officeDocument/2006/relationships/image" Target="/xl/media/image4957.jpg" Id="R79aaceb386c946d6" /><Relationship Type="http://schemas.openxmlformats.org/officeDocument/2006/relationships/image" Target="/xl/media/image4958.jpg" Id="Rbd99f540a5d0467d" /><Relationship Type="http://schemas.openxmlformats.org/officeDocument/2006/relationships/image" Target="/xl/media/image4959.jpg" Id="R9e2993730a43442d" /><Relationship Type="http://schemas.openxmlformats.org/officeDocument/2006/relationships/image" Target="/xl/media/image4960.jpg" Id="Rb00762ef5dbe46ed" /><Relationship Type="http://schemas.openxmlformats.org/officeDocument/2006/relationships/image" Target="/xl/media/image4961.jpg" Id="R650be84416524585" /><Relationship Type="http://schemas.openxmlformats.org/officeDocument/2006/relationships/image" Target="/xl/media/image4962.jpg" Id="R2f5a897d8c3e4c49" /><Relationship Type="http://schemas.openxmlformats.org/officeDocument/2006/relationships/image" Target="/xl/media/image4963.jpg" Id="R4d9ecdf260b9430d" /><Relationship Type="http://schemas.openxmlformats.org/officeDocument/2006/relationships/image" Target="/xl/media/image4964.jpg" Id="R65fc39725c034609" /><Relationship Type="http://schemas.openxmlformats.org/officeDocument/2006/relationships/image" Target="/xl/media/image4965.jpg" Id="R8f655e8c62614723" /><Relationship Type="http://schemas.openxmlformats.org/officeDocument/2006/relationships/image" Target="/xl/media/image4966.jpg" Id="Rb447ffe7e3b14ca0" /><Relationship Type="http://schemas.openxmlformats.org/officeDocument/2006/relationships/image" Target="/xl/media/image4967.jpg" Id="R9d74f109c6404a75" /><Relationship Type="http://schemas.openxmlformats.org/officeDocument/2006/relationships/image" Target="/xl/media/image4968.jpg" Id="R6da24d419ad84c62" /><Relationship Type="http://schemas.openxmlformats.org/officeDocument/2006/relationships/image" Target="/xl/media/image4969.jpg" Id="R66d86f568ccb4be6" /><Relationship Type="http://schemas.openxmlformats.org/officeDocument/2006/relationships/image" Target="/xl/media/image4970.jpg" Id="Rd67494bdb8f14fbf" /><Relationship Type="http://schemas.openxmlformats.org/officeDocument/2006/relationships/image" Target="/xl/media/image4971.jpg" Id="Ra20617dcf50e4df3" /><Relationship Type="http://schemas.openxmlformats.org/officeDocument/2006/relationships/image" Target="/xl/media/image4972.jpg" Id="R8a8fc0627caf434b" /><Relationship Type="http://schemas.openxmlformats.org/officeDocument/2006/relationships/image" Target="/xl/media/image4973.jpg" Id="R6ced82454d224ee2" /><Relationship Type="http://schemas.openxmlformats.org/officeDocument/2006/relationships/image" Target="/xl/media/image4974.jpg" Id="Rba96ad89d2694621" /><Relationship Type="http://schemas.openxmlformats.org/officeDocument/2006/relationships/image" Target="/xl/media/image4975.jpg" Id="Rc9637bb763bb4e2f" /><Relationship Type="http://schemas.openxmlformats.org/officeDocument/2006/relationships/image" Target="/xl/media/image4976.jpg" Id="R784896808005459f" /><Relationship Type="http://schemas.openxmlformats.org/officeDocument/2006/relationships/image" Target="/xl/media/image4977.jpg" Id="R829a122486cc497c" /><Relationship Type="http://schemas.openxmlformats.org/officeDocument/2006/relationships/image" Target="/xl/media/image4978.jpg" Id="R455b190a7eaa4fd7" /><Relationship Type="http://schemas.openxmlformats.org/officeDocument/2006/relationships/image" Target="/xl/media/image4979.jpg" Id="R956b871a99df4979" /><Relationship Type="http://schemas.openxmlformats.org/officeDocument/2006/relationships/image" Target="/xl/media/image4980.jpg" Id="R4d511fa06bc4416c" /><Relationship Type="http://schemas.openxmlformats.org/officeDocument/2006/relationships/image" Target="/xl/media/image4981.jpg" Id="R219409c0a9de4a22" /><Relationship Type="http://schemas.openxmlformats.org/officeDocument/2006/relationships/image" Target="/xl/media/image4982.jpg" Id="R9e566ed77e564367" /><Relationship Type="http://schemas.openxmlformats.org/officeDocument/2006/relationships/image" Target="/xl/media/image4983.jpg" Id="Rcf82361564924d1f" /><Relationship Type="http://schemas.openxmlformats.org/officeDocument/2006/relationships/image" Target="/xl/media/image4984.jpg" Id="R473aad662f154400" /><Relationship Type="http://schemas.openxmlformats.org/officeDocument/2006/relationships/image" Target="/xl/media/image4985.jpg" Id="R14cf8f1b3bb74bbe" /><Relationship Type="http://schemas.openxmlformats.org/officeDocument/2006/relationships/image" Target="/xl/media/image4986.jpg" Id="Rce0129dbee52431b" /><Relationship Type="http://schemas.openxmlformats.org/officeDocument/2006/relationships/image" Target="/xl/media/image4987.jpg" Id="R8cf8cdfb16954610" /><Relationship Type="http://schemas.openxmlformats.org/officeDocument/2006/relationships/image" Target="/xl/media/image4988.jpg" Id="Rb32777e98cb947e6" /><Relationship Type="http://schemas.openxmlformats.org/officeDocument/2006/relationships/image" Target="/xl/media/image4989.jpg" Id="R8cbb1b3aa7cc4571" /><Relationship Type="http://schemas.openxmlformats.org/officeDocument/2006/relationships/image" Target="/xl/media/image4990.jpg" Id="Rdf5f7dea991447a2" /><Relationship Type="http://schemas.openxmlformats.org/officeDocument/2006/relationships/image" Target="/xl/media/image4991.jpg" Id="R06762ca408cb41b9" /><Relationship Type="http://schemas.openxmlformats.org/officeDocument/2006/relationships/image" Target="/xl/media/image4992.jpg" Id="R44549026b0984a92" /><Relationship Type="http://schemas.openxmlformats.org/officeDocument/2006/relationships/image" Target="/xl/media/image4993.jpg" Id="Rb1d9abc465384b0f" /><Relationship Type="http://schemas.openxmlformats.org/officeDocument/2006/relationships/image" Target="/xl/media/image4994.jpg" Id="R0abf2467b726494b" /><Relationship Type="http://schemas.openxmlformats.org/officeDocument/2006/relationships/image" Target="/xl/media/image4995.jpg" Id="R2724c5d8a8714df4" /><Relationship Type="http://schemas.openxmlformats.org/officeDocument/2006/relationships/image" Target="/xl/media/image4996.jpg" Id="R39050405b6dc4a3a" /><Relationship Type="http://schemas.openxmlformats.org/officeDocument/2006/relationships/image" Target="/xl/media/image4997.jpg" Id="R193e6d4d8b564096" /><Relationship Type="http://schemas.openxmlformats.org/officeDocument/2006/relationships/image" Target="/xl/media/image4998.jpg" Id="R4961a5d93ed14672" /><Relationship Type="http://schemas.openxmlformats.org/officeDocument/2006/relationships/image" Target="/xl/media/image4999.jpg" Id="R7d0c881273ac408b" /><Relationship Type="http://schemas.openxmlformats.org/officeDocument/2006/relationships/image" Target="/xl/media/image5000.jpg" Id="R0d4b5bccc58749e4" /><Relationship Type="http://schemas.openxmlformats.org/officeDocument/2006/relationships/image" Target="/xl/media/image5001.jpg" Id="R80ca13e9ba3740ee" /><Relationship Type="http://schemas.openxmlformats.org/officeDocument/2006/relationships/image" Target="/xl/media/image5002.jpg" Id="R9c79b7f3b8d64527" /><Relationship Type="http://schemas.openxmlformats.org/officeDocument/2006/relationships/image" Target="/xl/media/image5003.jpg" Id="R2a3a37a1577b4d7b" /><Relationship Type="http://schemas.openxmlformats.org/officeDocument/2006/relationships/image" Target="/xl/media/image5004.jpg" Id="R7cd2d85f4b874da7" /><Relationship Type="http://schemas.openxmlformats.org/officeDocument/2006/relationships/image" Target="/xl/media/image5005.jpg" Id="R3583d076e8b346da" /><Relationship Type="http://schemas.openxmlformats.org/officeDocument/2006/relationships/image" Target="/xl/media/image5006.jpg" Id="R3f4b9c2a2c7f4b8b" /><Relationship Type="http://schemas.openxmlformats.org/officeDocument/2006/relationships/image" Target="/xl/media/image5007.jpg" Id="Rb9af306c6976465f" /><Relationship Type="http://schemas.openxmlformats.org/officeDocument/2006/relationships/image" Target="/xl/media/image5008.jpg" Id="R969273c5c8544b8c" /><Relationship Type="http://schemas.openxmlformats.org/officeDocument/2006/relationships/image" Target="/xl/media/image5009.jpg" Id="Rf39bf2c608c34032" /><Relationship Type="http://schemas.openxmlformats.org/officeDocument/2006/relationships/image" Target="/xl/media/image5010.jpg" Id="R7ccdd8f2b2394617" /><Relationship Type="http://schemas.openxmlformats.org/officeDocument/2006/relationships/image" Target="/xl/media/image5011.jpg" Id="R18b81a07821b4fea" /><Relationship Type="http://schemas.openxmlformats.org/officeDocument/2006/relationships/image" Target="/xl/media/image5012.jpg" Id="R9c0c5925dd784c6e" /><Relationship Type="http://schemas.openxmlformats.org/officeDocument/2006/relationships/image" Target="/xl/media/image5013.jpg" Id="R03a21545cf8b4ac8" /><Relationship Type="http://schemas.openxmlformats.org/officeDocument/2006/relationships/image" Target="/xl/media/image5014.jpg" Id="R4498937eff7a4fb1" /><Relationship Type="http://schemas.openxmlformats.org/officeDocument/2006/relationships/image" Target="/xl/media/image5015.jpg" Id="R8bd6cf7393964e19" /><Relationship Type="http://schemas.openxmlformats.org/officeDocument/2006/relationships/image" Target="/xl/media/image5016.jpg" Id="Rc31ec6c490a640d0" /><Relationship Type="http://schemas.openxmlformats.org/officeDocument/2006/relationships/image" Target="/xl/media/image5017.jpg" Id="R19a9bd92afa94d54" /><Relationship Type="http://schemas.openxmlformats.org/officeDocument/2006/relationships/image" Target="/xl/media/image5018.jpg" Id="Rca570903db794d5c" /><Relationship Type="http://schemas.openxmlformats.org/officeDocument/2006/relationships/image" Target="/xl/media/image5019.jpg" Id="Rf0d636409feb4c93" /><Relationship Type="http://schemas.openxmlformats.org/officeDocument/2006/relationships/image" Target="/xl/media/image5020.jpg" Id="R5775e3832e1a435c" /><Relationship Type="http://schemas.openxmlformats.org/officeDocument/2006/relationships/image" Target="/xl/media/image5021.jpg" Id="R2bce98c57392416d" /><Relationship Type="http://schemas.openxmlformats.org/officeDocument/2006/relationships/image" Target="/xl/media/image5022.jpg" Id="Rddb55357373e4976" /><Relationship Type="http://schemas.openxmlformats.org/officeDocument/2006/relationships/image" Target="/xl/media/image5023.jpg" Id="Rb8ab3f4046e7438f" /><Relationship Type="http://schemas.openxmlformats.org/officeDocument/2006/relationships/image" Target="/xl/media/image5024.jpg" Id="R96340e5936aa4fb5" /><Relationship Type="http://schemas.openxmlformats.org/officeDocument/2006/relationships/image" Target="/xl/media/image5025.jpg" Id="R2cb8e5af1e094a84" /><Relationship Type="http://schemas.openxmlformats.org/officeDocument/2006/relationships/image" Target="/xl/media/image5026.jpg" Id="R2a2ab2d747134e66" /><Relationship Type="http://schemas.openxmlformats.org/officeDocument/2006/relationships/image" Target="/xl/media/image5027.jpg" Id="R154eeb38078a400a" /><Relationship Type="http://schemas.openxmlformats.org/officeDocument/2006/relationships/image" Target="/xl/media/image5028.jpg" Id="R4bb55956de0544f6" /><Relationship Type="http://schemas.openxmlformats.org/officeDocument/2006/relationships/image" Target="/xl/media/image5029.jpg" Id="Rd3ec1f59943f4e9c" /><Relationship Type="http://schemas.openxmlformats.org/officeDocument/2006/relationships/image" Target="/xl/media/image5030.jpg" Id="R35e2eb42bf5446e1" /><Relationship Type="http://schemas.openxmlformats.org/officeDocument/2006/relationships/image" Target="/xl/media/image5031.jpg" Id="Rbad9c57f5c534114" /><Relationship Type="http://schemas.openxmlformats.org/officeDocument/2006/relationships/image" Target="/xl/media/image5032.jpg" Id="R99e6d15af2ea4200" /><Relationship Type="http://schemas.openxmlformats.org/officeDocument/2006/relationships/image" Target="/xl/media/image5033.jpg" Id="R65db4e350c0442e9" /><Relationship Type="http://schemas.openxmlformats.org/officeDocument/2006/relationships/image" Target="/xl/media/image5034.jpg" Id="R0a2cd04b715d4c93" /><Relationship Type="http://schemas.openxmlformats.org/officeDocument/2006/relationships/image" Target="/xl/media/image5035.jpg" Id="R1c16610bd5e241dd" /><Relationship Type="http://schemas.openxmlformats.org/officeDocument/2006/relationships/image" Target="/xl/media/image5036.jpg" Id="R0a3fa40195244102" /><Relationship Type="http://schemas.openxmlformats.org/officeDocument/2006/relationships/image" Target="/xl/media/image5037.jpg" Id="R630984c01b6d4bca" /><Relationship Type="http://schemas.openxmlformats.org/officeDocument/2006/relationships/image" Target="/xl/media/image5038.jpg" Id="Reba10992b75b4c4a" /><Relationship Type="http://schemas.openxmlformats.org/officeDocument/2006/relationships/image" Target="/xl/media/image5039.jpg" Id="Rfc8934f738a64d4e" /><Relationship Type="http://schemas.openxmlformats.org/officeDocument/2006/relationships/image" Target="/xl/media/image5040.jpg" Id="Rdfb28b9eaa754016" /><Relationship Type="http://schemas.openxmlformats.org/officeDocument/2006/relationships/image" Target="/xl/media/image5041.jpg" Id="R3a855077aaea4e6c" /><Relationship Type="http://schemas.openxmlformats.org/officeDocument/2006/relationships/image" Target="/xl/media/image5042.jpg" Id="R6a5528b240994d58" /><Relationship Type="http://schemas.openxmlformats.org/officeDocument/2006/relationships/image" Target="/xl/media/image5043.jpg" Id="R990586a7a7b64b36" /><Relationship Type="http://schemas.openxmlformats.org/officeDocument/2006/relationships/image" Target="/xl/media/image5044.jpg" Id="R086f29d7266c4716" /><Relationship Type="http://schemas.openxmlformats.org/officeDocument/2006/relationships/image" Target="/xl/media/image5045.jpg" Id="R66a64632a4684731" /><Relationship Type="http://schemas.openxmlformats.org/officeDocument/2006/relationships/image" Target="/xl/media/image5046.jpg" Id="Rf298387c7c254d47" /><Relationship Type="http://schemas.openxmlformats.org/officeDocument/2006/relationships/image" Target="/xl/media/image5047.jpg" Id="R4a100f052fce41cf" /><Relationship Type="http://schemas.openxmlformats.org/officeDocument/2006/relationships/image" Target="/xl/media/image5048.jpg" Id="R79e6b7c21fd7430a" /><Relationship Type="http://schemas.openxmlformats.org/officeDocument/2006/relationships/image" Target="/xl/media/image5049.jpg" Id="R263f7f06bb5b406d" /><Relationship Type="http://schemas.openxmlformats.org/officeDocument/2006/relationships/image" Target="/xl/media/image5050.jpg" Id="R31ea06d4f9a248d5" /><Relationship Type="http://schemas.openxmlformats.org/officeDocument/2006/relationships/image" Target="/xl/media/image5051.jpg" Id="R0fd7dc5728a04d9b" /><Relationship Type="http://schemas.openxmlformats.org/officeDocument/2006/relationships/image" Target="/xl/media/image5052.jpg" Id="R4a1e31fe919c43cb" /><Relationship Type="http://schemas.openxmlformats.org/officeDocument/2006/relationships/image" Target="/xl/media/image5053.jpg" Id="R78f677cfc64e4ddd" /><Relationship Type="http://schemas.openxmlformats.org/officeDocument/2006/relationships/image" Target="/xl/media/image5054.jpg" Id="Ree01066edb954c29" /><Relationship Type="http://schemas.openxmlformats.org/officeDocument/2006/relationships/image" Target="/xl/media/image5055.jpg" Id="Rbc4ad13c01c246ba" /><Relationship Type="http://schemas.openxmlformats.org/officeDocument/2006/relationships/image" Target="/xl/media/image5056.jpg" Id="Rc946a7b1f5b14c8d" /><Relationship Type="http://schemas.openxmlformats.org/officeDocument/2006/relationships/image" Target="/xl/media/image5057.jpg" Id="R1909efb40c594cfb" /><Relationship Type="http://schemas.openxmlformats.org/officeDocument/2006/relationships/image" Target="/xl/media/image5058.jpg" Id="Ra2aba70c7a354db9" /><Relationship Type="http://schemas.openxmlformats.org/officeDocument/2006/relationships/image" Target="/xl/media/image5059.jpg" Id="R191fb9a6aa34490e" /><Relationship Type="http://schemas.openxmlformats.org/officeDocument/2006/relationships/image" Target="/xl/media/image5060.jpg" Id="R0155b70fa7d04fc0" /><Relationship Type="http://schemas.openxmlformats.org/officeDocument/2006/relationships/image" Target="/xl/media/image5061.jpg" Id="Rf2378452127f44cd" /><Relationship Type="http://schemas.openxmlformats.org/officeDocument/2006/relationships/image" Target="/xl/media/image5062.jpg" Id="R6a0958ff76c74639" /><Relationship Type="http://schemas.openxmlformats.org/officeDocument/2006/relationships/image" Target="/xl/media/image5063.jpg" Id="Rf6db97bbb2bf4192" /><Relationship Type="http://schemas.openxmlformats.org/officeDocument/2006/relationships/image" Target="/xl/media/image5064.jpg" Id="Rd151aeb554ed41bc" /><Relationship Type="http://schemas.openxmlformats.org/officeDocument/2006/relationships/image" Target="/xl/media/image5065.jpg" Id="R1ac84645aaf54b0b" /><Relationship Type="http://schemas.openxmlformats.org/officeDocument/2006/relationships/image" Target="/xl/media/image5066.jpg" Id="Rcb164ec26b7345ad" /><Relationship Type="http://schemas.openxmlformats.org/officeDocument/2006/relationships/image" Target="/xl/media/image5067.jpg" Id="R87e52d82b46f495e" /><Relationship Type="http://schemas.openxmlformats.org/officeDocument/2006/relationships/image" Target="/xl/media/image5068.jpg" Id="R297dc22f893341ba" /><Relationship Type="http://schemas.openxmlformats.org/officeDocument/2006/relationships/image" Target="/xl/media/image5069.jpg" Id="R386de30b91a54d49" /><Relationship Type="http://schemas.openxmlformats.org/officeDocument/2006/relationships/image" Target="/xl/media/image5070.jpg" Id="Rab4101b9b8f4487f" /><Relationship Type="http://schemas.openxmlformats.org/officeDocument/2006/relationships/image" Target="/xl/media/image5071.jpg" Id="Rd178776e0abe4fd6" /><Relationship Type="http://schemas.openxmlformats.org/officeDocument/2006/relationships/image" Target="/xl/media/image5072.jpg" Id="R9aee358527b74096" /><Relationship Type="http://schemas.openxmlformats.org/officeDocument/2006/relationships/image" Target="/xl/media/image5073.jpg" Id="R752239a0c3634670" /><Relationship Type="http://schemas.openxmlformats.org/officeDocument/2006/relationships/image" Target="/xl/media/image5074.jpg" Id="Re7c62a2005184d89" /><Relationship Type="http://schemas.openxmlformats.org/officeDocument/2006/relationships/image" Target="/xl/media/image5075.jpg" Id="Rb5412544c65d4698" /><Relationship Type="http://schemas.openxmlformats.org/officeDocument/2006/relationships/image" Target="/xl/media/image5076.jpg" Id="Rdc193c4aa1ec437c" /><Relationship Type="http://schemas.openxmlformats.org/officeDocument/2006/relationships/image" Target="/xl/media/image5077.jpg" Id="R1483c892d28b40ca" /><Relationship Type="http://schemas.openxmlformats.org/officeDocument/2006/relationships/image" Target="/xl/media/image5078.jpg" Id="R5a8cd64a5d3141bd" /><Relationship Type="http://schemas.openxmlformats.org/officeDocument/2006/relationships/image" Target="/xl/media/image5079.jpg" Id="R45dcbbbcd4a744b9" /><Relationship Type="http://schemas.openxmlformats.org/officeDocument/2006/relationships/image" Target="/xl/media/image5080.jpg" Id="Ra632f11c80ad4959" /><Relationship Type="http://schemas.openxmlformats.org/officeDocument/2006/relationships/image" Target="/xl/media/image5081.jpg" Id="R9dc32db669a44e4d" /><Relationship Type="http://schemas.openxmlformats.org/officeDocument/2006/relationships/image" Target="/xl/media/image5082.jpg" Id="Re9d59b65e7534d8e" /><Relationship Type="http://schemas.openxmlformats.org/officeDocument/2006/relationships/image" Target="/xl/media/image5083.jpg" Id="R183d273a25864391" /><Relationship Type="http://schemas.openxmlformats.org/officeDocument/2006/relationships/image" Target="/xl/media/image5084.jpg" Id="R85bebb70dcdb43dc" /><Relationship Type="http://schemas.openxmlformats.org/officeDocument/2006/relationships/image" Target="/xl/media/image5085.jpg" Id="R14358ec7a63d44a8" /><Relationship Type="http://schemas.openxmlformats.org/officeDocument/2006/relationships/image" Target="/xl/media/image5086.jpg" Id="Ra74fcdaeb94c424c" /><Relationship Type="http://schemas.openxmlformats.org/officeDocument/2006/relationships/image" Target="/xl/media/image5087.jpg" Id="Rc92b4f32112040de" /><Relationship Type="http://schemas.openxmlformats.org/officeDocument/2006/relationships/image" Target="/xl/media/image5088.jpg" Id="Rf88394026ec743c8" /><Relationship Type="http://schemas.openxmlformats.org/officeDocument/2006/relationships/image" Target="/xl/media/image5089.jpg" Id="R3661ed5ad37f4f2a" /><Relationship Type="http://schemas.openxmlformats.org/officeDocument/2006/relationships/image" Target="/xl/media/image5090.jpg" Id="Ra927f21f02b346ad" /><Relationship Type="http://schemas.openxmlformats.org/officeDocument/2006/relationships/image" Target="/xl/media/image5091.jpg" Id="R7a3c6e354a2b499a" /><Relationship Type="http://schemas.openxmlformats.org/officeDocument/2006/relationships/image" Target="/xl/media/image5092.jpg" Id="Rb8a9be3f59374a06" /><Relationship Type="http://schemas.openxmlformats.org/officeDocument/2006/relationships/image" Target="/xl/media/image5093.jpg" Id="R70957477c3a94c91" /><Relationship Type="http://schemas.openxmlformats.org/officeDocument/2006/relationships/image" Target="/xl/media/image5094.jpg" Id="R7742bad5c09a41c9" /><Relationship Type="http://schemas.openxmlformats.org/officeDocument/2006/relationships/image" Target="/xl/media/image5095.jpg" Id="R7b2b2053741a4dd1" /><Relationship Type="http://schemas.openxmlformats.org/officeDocument/2006/relationships/image" Target="/xl/media/image5096.jpg" Id="R972e383518d04ebd" /><Relationship Type="http://schemas.openxmlformats.org/officeDocument/2006/relationships/image" Target="/xl/media/image5097.jpg" Id="Raf39c843341244b1" /><Relationship Type="http://schemas.openxmlformats.org/officeDocument/2006/relationships/image" Target="/xl/media/image5098.jpg" Id="R20a535d3b3a449e1" /><Relationship Type="http://schemas.openxmlformats.org/officeDocument/2006/relationships/image" Target="/xl/media/image5099.jpg" Id="R31b35a93605f42c5" /><Relationship Type="http://schemas.openxmlformats.org/officeDocument/2006/relationships/image" Target="/xl/media/image5100.jpg" Id="R7fb116cd6d1a4fd3" /><Relationship Type="http://schemas.openxmlformats.org/officeDocument/2006/relationships/image" Target="/xl/media/image5101.jpg" Id="R69e038de509d4be7" /><Relationship Type="http://schemas.openxmlformats.org/officeDocument/2006/relationships/image" Target="/xl/media/image5102.jpg" Id="R501526c32297410c" /><Relationship Type="http://schemas.openxmlformats.org/officeDocument/2006/relationships/image" Target="/xl/media/image5103.jpg" Id="Rc83f43a98dee4ffb" /><Relationship Type="http://schemas.openxmlformats.org/officeDocument/2006/relationships/image" Target="/xl/media/image5104.jpg" Id="R9df7f8411e134eae" /><Relationship Type="http://schemas.openxmlformats.org/officeDocument/2006/relationships/image" Target="/xl/media/image5105.jpg" Id="R169e6d45d15d43ca" /><Relationship Type="http://schemas.openxmlformats.org/officeDocument/2006/relationships/image" Target="/xl/media/image5106.jpg" Id="Rf115572ec3464507" /><Relationship Type="http://schemas.openxmlformats.org/officeDocument/2006/relationships/image" Target="/xl/media/image5107.jpg" Id="R055a8b75d8674538" /><Relationship Type="http://schemas.openxmlformats.org/officeDocument/2006/relationships/image" Target="/xl/media/image5108.jpg" Id="R036f04826cac4cfe" /><Relationship Type="http://schemas.openxmlformats.org/officeDocument/2006/relationships/image" Target="/xl/media/image5109.jpg" Id="Rf9ecf7ade6c74db0" /><Relationship Type="http://schemas.openxmlformats.org/officeDocument/2006/relationships/image" Target="/xl/media/image5110.jpg" Id="R28329687eed8456b" /><Relationship Type="http://schemas.openxmlformats.org/officeDocument/2006/relationships/image" Target="/xl/media/image5111.jpg" Id="R0a93ab4392044e3c" /><Relationship Type="http://schemas.openxmlformats.org/officeDocument/2006/relationships/image" Target="/xl/media/image5112.jpg" Id="R55559d830e264669" /><Relationship Type="http://schemas.openxmlformats.org/officeDocument/2006/relationships/image" Target="/xl/media/image5113.jpg" Id="R959fc3bd93084670" /><Relationship Type="http://schemas.openxmlformats.org/officeDocument/2006/relationships/image" Target="/xl/media/image5114.jpg" Id="Rabc2d649a5c842ac" /><Relationship Type="http://schemas.openxmlformats.org/officeDocument/2006/relationships/image" Target="/xl/media/image5115.jpg" Id="R3e457036de234001" /><Relationship Type="http://schemas.openxmlformats.org/officeDocument/2006/relationships/image" Target="/xl/media/image5116.jpg" Id="R8719866ed6d44fc3" /><Relationship Type="http://schemas.openxmlformats.org/officeDocument/2006/relationships/image" Target="/xl/media/image5117.jpg" Id="R90535e37f461413f" /><Relationship Type="http://schemas.openxmlformats.org/officeDocument/2006/relationships/image" Target="/xl/media/image5118.jpg" Id="R720933d816d44940" /><Relationship Type="http://schemas.openxmlformats.org/officeDocument/2006/relationships/image" Target="/xl/media/image5119.jpg" Id="R42e650e7ee5f4145" /><Relationship Type="http://schemas.openxmlformats.org/officeDocument/2006/relationships/image" Target="/xl/media/image5120.jpg" Id="R9e10fb3a491c4698" /><Relationship Type="http://schemas.openxmlformats.org/officeDocument/2006/relationships/image" Target="/xl/media/image5121.jpg" Id="R51aeb28ad5894607" /><Relationship Type="http://schemas.openxmlformats.org/officeDocument/2006/relationships/image" Target="/xl/media/image5122.jpg" Id="R916c1a810b654004" /><Relationship Type="http://schemas.openxmlformats.org/officeDocument/2006/relationships/image" Target="/xl/media/image5123.jpg" Id="R2994731f041746f0" /><Relationship Type="http://schemas.openxmlformats.org/officeDocument/2006/relationships/image" Target="/xl/media/image5124.jpg" Id="R9b1c2be009724400" /><Relationship Type="http://schemas.openxmlformats.org/officeDocument/2006/relationships/image" Target="/xl/media/image5125.jpg" Id="R627df8e467f14434" /><Relationship Type="http://schemas.openxmlformats.org/officeDocument/2006/relationships/image" Target="/xl/media/image5126.jpg" Id="R47a393cda7b74496" /><Relationship Type="http://schemas.openxmlformats.org/officeDocument/2006/relationships/image" Target="/xl/media/image5127.jpg" Id="R289dfa2c3007447a" /><Relationship Type="http://schemas.openxmlformats.org/officeDocument/2006/relationships/image" Target="/xl/media/image5128.jpg" Id="R43d322f154af40c5" /><Relationship Type="http://schemas.openxmlformats.org/officeDocument/2006/relationships/image" Target="/xl/media/image5129.jpg" Id="R99cebf9a34fd43aa" /><Relationship Type="http://schemas.openxmlformats.org/officeDocument/2006/relationships/image" Target="/xl/media/image5130.jpg" Id="Re2fc16ab76854e71" /><Relationship Type="http://schemas.openxmlformats.org/officeDocument/2006/relationships/image" Target="/xl/media/image5131.jpg" Id="R5a7ea05c38fc40b0" /><Relationship Type="http://schemas.openxmlformats.org/officeDocument/2006/relationships/image" Target="/xl/media/image5132.jpg" Id="Re24a6c9bbc6d4a00" /><Relationship Type="http://schemas.openxmlformats.org/officeDocument/2006/relationships/image" Target="/xl/media/image5133.jpg" Id="Ra14d95131bd84b60" /><Relationship Type="http://schemas.openxmlformats.org/officeDocument/2006/relationships/image" Target="/xl/media/image5134.jpg" Id="Rf6474a2df033444c" /><Relationship Type="http://schemas.openxmlformats.org/officeDocument/2006/relationships/image" Target="/xl/media/image5135.jpg" Id="Rf312de67b5524054" /><Relationship Type="http://schemas.openxmlformats.org/officeDocument/2006/relationships/image" Target="/xl/media/image5136.jpg" Id="R81cb7aad8a5043d7" /><Relationship Type="http://schemas.openxmlformats.org/officeDocument/2006/relationships/image" Target="/xl/media/image5137.jpg" Id="R664b1cd8623945a9" /><Relationship Type="http://schemas.openxmlformats.org/officeDocument/2006/relationships/image" Target="/xl/media/image5138.jpg" Id="R856b37400e874935" /><Relationship Type="http://schemas.openxmlformats.org/officeDocument/2006/relationships/image" Target="/xl/media/image5139.jpg" Id="R00336ca066a54d59" /><Relationship Type="http://schemas.openxmlformats.org/officeDocument/2006/relationships/image" Target="/xl/media/image5140.jpg" Id="R6e12b6bb02544694" /><Relationship Type="http://schemas.openxmlformats.org/officeDocument/2006/relationships/image" Target="/xl/media/image5141.jpg" Id="R4b71b593527e46b4" /><Relationship Type="http://schemas.openxmlformats.org/officeDocument/2006/relationships/image" Target="/xl/media/image5142.jpg" Id="R0944f5ba371041e0" /><Relationship Type="http://schemas.openxmlformats.org/officeDocument/2006/relationships/image" Target="/xl/media/image5143.jpg" Id="R75d8265640a747c1" /><Relationship Type="http://schemas.openxmlformats.org/officeDocument/2006/relationships/image" Target="/xl/media/image5144.jpg" Id="R18350336b3c443de" /><Relationship Type="http://schemas.openxmlformats.org/officeDocument/2006/relationships/image" Target="/xl/media/image5145.jpg" Id="R768dff1df1524202" /><Relationship Type="http://schemas.openxmlformats.org/officeDocument/2006/relationships/image" Target="/xl/media/image5146.jpg" Id="R7c3bb52614ab4c3d" /><Relationship Type="http://schemas.openxmlformats.org/officeDocument/2006/relationships/image" Target="/xl/media/image5147.jpg" Id="Raf3bf5983a6b4566" /><Relationship Type="http://schemas.openxmlformats.org/officeDocument/2006/relationships/image" Target="/xl/media/image5148.jpg" Id="R1e8b6b6552a340e9" /><Relationship Type="http://schemas.openxmlformats.org/officeDocument/2006/relationships/image" Target="/xl/media/image5149.jpg" Id="R1702d1a050f44864" /><Relationship Type="http://schemas.openxmlformats.org/officeDocument/2006/relationships/image" Target="/xl/media/image5150.jpg" Id="Rb478c135287a4a7f" /><Relationship Type="http://schemas.openxmlformats.org/officeDocument/2006/relationships/image" Target="/xl/media/image5151.jpg" Id="R590fa83b3fb9482b" /><Relationship Type="http://schemas.openxmlformats.org/officeDocument/2006/relationships/image" Target="/xl/media/image5152.jpg" Id="Ra659602e61fa4693" /><Relationship Type="http://schemas.openxmlformats.org/officeDocument/2006/relationships/image" Target="/xl/media/image5153.jpg" Id="R9de0936ac3a84278" /><Relationship Type="http://schemas.openxmlformats.org/officeDocument/2006/relationships/image" Target="/xl/media/image5154.jpg" Id="R7c543051596a4746" /><Relationship Type="http://schemas.openxmlformats.org/officeDocument/2006/relationships/image" Target="/xl/media/image5155.jpg" Id="R7c2498f596394542" /><Relationship Type="http://schemas.openxmlformats.org/officeDocument/2006/relationships/image" Target="/xl/media/image5156.jpg" Id="Rcdb574d72a9d4ef0" /><Relationship Type="http://schemas.openxmlformats.org/officeDocument/2006/relationships/image" Target="/xl/media/image5157.jpg" Id="Rf721048b9f874eba" /><Relationship Type="http://schemas.openxmlformats.org/officeDocument/2006/relationships/image" Target="/xl/media/image5158.jpg" Id="R7c897ca72cde4007" /><Relationship Type="http://schemas.openxmlformats.org/officeDocument/2006/relationships/image" Target="/xl/media/image5159.jpg" Id="Rb1276be5dc5b454b" /><Relationship Type="http://schemas.openxmlformats.org/officeDocument/2006/relationships/image" Target="/xl/media/image5160.jpg" Id="Ra073e2ce20db462a" /><Relationship Type="http://schemas.openxmlformats.org/officeDocument/2006/relationships/image" Target="/xl/media/image5161.jpg" Id="R99d36dfb248c4c23" /><Relationship Type="http://schemas.openxmlformats.org/officeDocument/2006/relationships/image" Target="/xl/media/image5162.jpg" Id="R7d56125278894140" /><Relationship Type="http://schemas.openxmlformats.org/officeDocument/2006/relationships/image" Target="/xl/media/image5163.jpg" Id="Re2432c631c0645ae" /><Relationship Type="http://schemas.openxmlformats.org/officeDocument/2006/relationships/image" Target="/xl/media/image5164.jpg" Id="R00427d3895524e7c" /><Relationship Type="http://schemas.openxmlformats.org/officeDocument/2006/relationships/image" Target="/xl/media/image5165.jpg" Id="R62efa31cbb944ca1" /><Relationship Type="http://schemas.openxmlformats.org/officeDocument/2006/relationships/image" Target="/xl/media/image5166.jpg" Id="R97ecf98fd14f45db" /><Relationship Type="http://schemas.openxmlformats.org/officeDocument/2006/relationships/image" Target="/xl/media/image5167.jpg" Id="R473aa1f47e704b58" /><Relationship Type="http://schemas.openxmlformats.org/officeDocument/2006/relationships/image" Target="/xl/media/image5168.jpg" Id="Rd4456f9317494949" /><Relationship Type="http://schemas.openxmlformats.org/officeDocument/2006/relationships/image" Target="/xl/media/image5169.jpg" Id="R7220b8a98ad84a9b" /><Relationship Type="http://schemas.openxmlformats.org/officeDocument/2006/relationships/image" Target="/xl/media/image5170.jpg" Id="R6cb066691396446a" /><Relationship Type="http://schemas.openxmlformats.org/officeDocument/2006/relationships/image" Target="/xl/media/image5171.jpg" Id="R4d22a1a235e74a54" /><Relationship Type="http://schemas.openxmlformats.org/officeDocument/2006/relationships/image" Target="/xl/media/image5172.jpg" Id="R316146b6f7c444b2" /><Relationship Type="http://schemas.openxmlformats.org/officeDocument/2006/relationships/image" Target="/xl/media/image5173.jpg" Id="Rc14242e200c14d68" /><Relationship Type="http://schemas.openxmlformats.org/officeDocument/2006/relationships/image" Target="/xl/media/image5174.jpg" Id="R6b1e692709904605" /><Relationship Type="http://schemas.openxmlformats.org/officeDocument/2006/relationships/image" Target="/xl/media/image5175.jpg" Id="Rf61a4718ed5c4dd8" /><Relationship Type="http://schemas.openxmlformats.org/officeDocument/2006/relationships/image" Target="/xl/media/image5176.jpg" Id="Rf166aee200e14a3e" /><Relationship Type="http://schemas.openxmlformats.org/officeDocument/2006/relationships/image" Target="/xl/media/image5177.jpg" Id="R18b515f0789a4e0e" /><Relationship Type="http://schemas.openxmlformats.org/officeDocument/2006/relationships/image" Target="/xl/media/image5178.jpg" Id="R7e562f8ab93d430c" /><Relationship Type="http://schemas.openxmlformats.org/officeDocument/2006/relationships/image" Target="/xl/media/image5179.jpg" Id="R5d88b267e1134696" /><Relationship Type="http://schemas.openxmlformats.org/officeDocument/2006/relationships/image" Target="/xl/media/image5180.jpg" Id="Rf38c40fa9b2d4d54" /><Relationship Type="http://schemas.openxmlformats.org/officeDocument/2006/relationships/image" Target="/xl/media/image5181.jpg" Id="Rc1f09b59edac406c" /><Relationship Type="http://schemas.openxmlformats.org/officeDocument/2006/relationships/image" Target="/xl/media/image5182.jpg" Id="R99972056ec974e3b" /><Relationship Type="http://schemas.openxmlformats.org/officeDocument/2006/relationships/image" Target="/xl/media/image5183.jpg" Id="R0cd8d02c63e64fe6" /><Relationship Type="http://schemas.openxmlformats.org/officeDocument/2006/relationships/image" Target="/xl/media/image5184.jpg" Id="R7d3764f562544e30" /><Relationship Type="http://schemas.openxmlformats.org/officeDocument/2006/relationships/image" Target="/xl/media/image5185.jpg" Id="Rf120f6546bee4244" /><Relationship Type="http://schemas.openxmlformats.org/officeDocument/2006/relationships/image" Target="/xl/media/image5186.jpg" Id="R34688b9a64d145f9" /><Relationship Type="http://schemas.openxmlformats.org/officeDocument/2006/relationships/image" Target="/xl/media/image5187.jpg" Id="R52aa576c2e904359" /><Relationship Type="http://schemas.openxmlformats.org/officeDocument/2006/relationships/image" Target="/xl/media/image5188.jpg" Id="R15a3f243ab5647df" /><Relationship Type="http://schemas.openxmlformats.org/officeDocument/2006/relationships/image" Target="/xl/media/image5189.jpg" Id="R7fa0dcc9ea554264" /><Relationship Type="http://schemas.openxmlformats.org/officeDocument/2006/relationships/image" Target="/xl/media/image5190.jpg" Id="Rd5efcfaf7ce14637" /><Relationship Type="http://schemas.openxmlformats.org/officeDocument/2006/relationships/image" Target="/xl/media/image5191.jpg" Id="R0f697986ce704e7a" /><Relationship Type="http://schemas.openxmlformats.org/officeDocument/2006/relationships/image" Target="/xl/media/image5192.jpg" Id="Rd64a4b02f2d94230" /><Relationship Type="http://schemas.openxmlformats.org/officeDocument/2006/relationships/image" Target="/xl/media/image5193.jpg" Id="Rcc66837f40f5458d" /><Relationship Type="http://schemas.openxmlformats.org/officeDocument/2006/relationships/image" Target="/xl/media/image5194.jpg" Id="R98ba722d9aea4fdf" /><Relationship Type="http://schemas.openxmlformats.org/officeDocument/2006/relationships/image" Target="/xl/media/image5195.jpg" Id="R2fc05602a90f46a4" /><Relationship Type="http://schemas.openxmlformats.org/officeDocument/2006/relationships/image" Target="/xl/media/image5196.jpg" Id="R3380cbce75964c25" /><Relationship Type="http://schemas.openxmlformats.org/officeDocument/2006/relationships/image" Target="/xl/media/image5197.jpg" Id="R958948a8259e412a" /><Relationship Type="http://schemas.openxmlformats.org/officeDocument/2006/relationships/image" Target="/xl/media/image5198.jpg" Id="Rab9c048224034a8d" /><Relationship Type="http://schemas.openxmlformats.org/officeDocument/2006/relationships/image" Target="/xl/media/image5199.jpg" Id="R30a6594c683d433d" /><Relationship Type="http://schemas.openxmlformats.org/officeDocument/2006/relationships/image" Target="/xl/media/image5200.jpg" Id="R495787420f7a4282" /><Relationship Type="http://schemas.openxmlformats.org/officeDocument/2006/relationships/image" Target="/xl/media/image5201.jpg" Id="Rca24143ff8fa4d2d" /><Relationship Type="http://schemas.openxmlformats.org/officeDocument/2006/relationships/image" Target="/xl/media/image5202.jpg" Id="Rab40e18479cd4004" /><Relationship Type="http://schemas.openxmlformats.org/officeDocument/2006/relationships/image" Target="/xl/media/image5203.jpg" Id="Rf32e47da15864894" /><Relationship Type="http://schemas.openxmlformats.org/officeDocument/2006/relationships/image" Target="/xl/media/image5204.jpg" Id="Rbf0f5a3ad8da41bc" /><Relationship Type="http://schemas.openxmlformats.org/officeDocument/2006/relationships/image" Target="/xl/media/image5205.jpg" Id="R3b4753ee40cc4106" /><Relationship Type="http://schemas.openxmlformats.org/officeDocument/2006/relationships/image" Target="/xl/media/image5206.jpg" Id="R7d5a64fb6abd43c2" /><Relationship Type="http://schemas.openxmlformats.org/officeDocument/2006/relationships/image" Target="/xl/media/image5207.jpg" Id="R1f15a84baa294de9" /><Relationship Type="http://schemas.openxmlformats.org/officeDocument/2006/relationships/image" Target="/xl/media/image5208.jpg" Id="R25c2bf4ec7db4caa" /><Relationship Type="http://schemas.openxmlformats.org/officeDocument/2006/relationships/image" Target="/xl/media/image5209.jpg" Id="R328e863f12834b89" /><Relationship Type="http://schemas.openxmlformats.org/officeDocument/2006/relationships/image" Target="/xl/media/image5210.jpg" Id="Ra17dd756833d4539" /><Relationship Type="http://schemas.openxmlformats.org/officeDocument/2006/relationships/image" Target="/xl/media/image5211.jpg" Id="R2acc4d5ce55a40e4" /><Relationship Type="http://schemas.openxmlformats.org/officeDocument/2006/relationships/image" Target="/xl/media/image5212.jpg" Id="R629af6a12e9c4f33" /><Relationship Type="http://schemas.openxmlformats.org/officeDocument/2006/relationships/image" Target="/xl/media/image5213.jpg" Id="R89af1cd43ad74ec0" /><Relationship Type="http://schemas.openxmlformats.org/officeDocument/2006/relationships/image" Target="/xl/media/image5214.jpg" Id="R4c72714759b349af" /><Relationship Type="http://schemas.openxmlformats.org/officeDocument/2006/relationships/image" Target="/xl/media/image5215.jpg" Id="Rf3b920bded644926" /><Relationship Type="http://schemas.openxmlformats.org/officeDocument/2006/relationships/image" Target="/xl/media/image5216.jpg" Id="Rc885f7679cc4492a" /><Relationship Type="http://schemas.openxmlformats.org/officeDocument/2006/relationships/image" Target="/xl/media/image5217.jpg" Id="Raa3d5c66ce884b95" /><Relationship Type="http://schemas.openxmlformats.org/officeDocument/2006/relationships/image" Target="/xl/media/image5218.jpg" Id="R55853e6801fc4a18" /><Relationship Type="http://schemas.openxmlformats.org/officeDocument/2006/relationships/image" Target="/xl/media/image5219.jpg" Id="R5bca22903c90483a" /><Relationship Type="http://schemas.openxmlformats.org/officeDocument/2006/relationships/image" Target="/xl/media/image5220.jpg" Id="R9887dd5f15db4d23" /><Relationship Type="http://schemas.openxmlformats.org/officeDocument/2006/relationships/image" Target="/xl/media/image5221.jpg" Id="Rc5f7a16620c241b6" /><Relationship Type="http://schemas.openxmlformats.org/officeDocument/2006/relationships/image" Target="/xl/media/image5222.jpg" Id="Rfd078db75a864d96" /><Relationship Type="http://schemas.openxmlformats.org/officeDocument/2006/relationships/image" Target="/xl/media/image5223.jpg" Id="Rce975b3c409e40d9" /><Relationship Type="http://schemas.openxmlformats.org/officeDocument/2006/relationships/image" Target="/xl/media/image5224.jpg" Id="R8a80ce51bef84894" /><Relationship Type="http://schemas.openxmlformats.org/officeDocument/2006/relationships/image" Target="/xl/media/image5225.jpg" Id="R36bc9ab8354345e1" /><Relationship Type="http://schemas.openxmlformats.org/officeDocument/2006/relationships/image" Target="/xl/media/image5226.jpg" Id="R8fd9bc8542904f8e" /><Relationship Type="http://schemas.openxmlformats.org/officeDocument/2006/relationships/image" Target="/xl/media/image5227.jpg" Id="R3642553c624d499f" /><Relationship Type="http://schemas.openxmlformats.org/officeDocument/2006/relationships/image" Target="/xl/media/image5228.jpg" Id="Rfc636eb057e34eef" /><Relationship Type="http://schemas.openxmlformats.org/officeDocument/2006/relationships/image" Target="/xl/media/image5229.jpg" Id="R183a594ea5c442be" /><Relationship Type="http://schemas.openxmlformats.org/officeDocument/2006/relationships/image" Target="/xl/media/image5230.jpg" Id="R344dc1ab1ae6407b" /><Relationship Type="http://schemas.openxmlformats.org/officeDocument/2006/relationships/image" Target="/xl/media/image5231.jpg" Id="Rf0e4e3174cb84b5c" /><Relationship Type="http://schemas.openxmlformats.org/officeDocument/2006/relationships/image" Target="/xl/media/image5232.jpg" Id="R1601c77b41e744c7" /><Relationship Type="http://schemas.openxmlformats.org/officeDocument/2006/relationships/image" Target="/xl/media/image5233.jpg" Id="R84b59d411d0e41ba" /><Relationship Type="http://schemas.openxmlformats.org/officeDocument/2006/relationships/image" Target="/xl/media/image5234.jpg" Id="R217dfb9f64cf4ff7" /><Relationship Type="http://schemas.openxmlformats.org/officeDocument/2006/relationships/image" Target="/xl/media/image5235.jpg" Id="Ra4cbe3696ac04b72" /><Relationship Type="http://schemas.openxmlformats.org/officeDocument/2006/relationships/image" Target="/xl/media/image5236.jpg" Id="R1c8cc640282e4256" /><Relationship Type="http://schemas.openxmlformats.org/officeDocument/2006/relationships/image" Target="/xl/media/image5237.jpg" Id="Ra5e8673a163a4acd" /><Relationship Type="http://schemas.openxmlformats.org/officeDocument/2006/relationships/image" Target="/xl/media/image5238.jpg" Id="Rfba80c4653764da7" /><Relationship Type="http://schemas.openxmlformats.org/officeDocument/2006/relationships/image" Target="/xl/media/image5239.jpg" Id="Rb65b241a02294b4b" /><Relationship Type="http://schemas.openxmlformats.org/officeDocument/2006/relationships/image" Target="/xl/media/image5240.jpg" Id="Rd0e9a8d5667b41df" /><Relationship Type="http://schemas.openxmlformats.org/officeDocument/2006/relationships/image" Target="/xl/media/image5241.jpg" Id="R1900f3d299214f54" /><Relationship Type="http://schemas.openxmlformats.org/officeDocument/2006/relationships/image" Target="/xl/media/image5242.jpg" Id="Ra3b63547601e4f37" /><Relationship Type="http://schemas.openxmlformats.org/officeDocument/2006/relationships/image" Target="/xl/media/image5243.jpg" Id="R6e3e28583c7f4b72" /><Relationship Type="http://schemas.openxmlformats.org/officeDocument/2006/relationships/image" Target="/xl/media/image5244.jpg" Id="Re658826c31cf46a4" /><Relationship Type="http://schemas.openxmlformats.org/officeDocument/2006/relationships/image" Target="/xl/media/image5245.jpg" Id="Rf22bc2d136ca4e36" /><Relationship Type="http://schemas.openxmlformats.org/officeDocument/2006/relationships/image" Target="/xl/media/image5246.jpg" Id="R4a34c4d50aab4aea" /><Relationship Type="http://schemas.openxmlformats.org/officeDocument/2006/relationships/image" Target="/xl/media/image5247.jpg" Id="R19dc675b6276400c" /><Relationship Type="http://schemas.openxmlformats.org/officeDocument/2006/relationships/image" Target="/xl/media/image5248.jpg" Id="R56dd61806aba41e7" /><Relationship Type="http://schemas.openxmlformats.org/officeDocument/2006/relationships/image" Target="/xl/media/image5249.jpg" Id="R1c4ca8c91bf542e4" /><Relationship Type="http://schemas.openxmlformats.org/officeDocument/2006/relationships/image" Target="/xl/media/image5250.jpg" Id="Rb8781dbb424d4b13" /><Relationship Type="http://schemas.openxmlformats.org/officeDocument/2006/relationships/image" Target="/xl/media/image5251.jpg" Id="Rfc4ae02a1e5342d0" /><Relationship Type="http://schemas.openxmlformats.org/officeDocument/2006/relationships/image" Target="/xl/media/image5252.jpg" Id="R4eab94a7613645cb" /><Relationship Type="http://schemas.openxmlformats.org/officeDocument/2006/relationships/image" Target="/xl/media/image5253.jpg" Id="R177ea9909e8a47ce" /><Relationship Type="http://schemas.openxmlformats.org/officeDocument/2006/relationships/image" Target="/xl/media/image5254.jpg" Id="Rcdc5fca395ca436e" /><Relationship Type="http://schemas.openxmlformats.org/officeDocument/2006/relationships/image" Target="/xl/media/image5255.jpg" Id="R040710b6de564cfc" /><Relationship Type="http://schemas.openxmlformats.org/officeDocument/2006/relationships/image" Target="/xl/media/image5256.jpg" Id="R5e51edbb8cee4d20" /><Relationship Type="http://schemas.openxmlformats.org/officeDocument/2006/relationships/image" Target="/xl/media/image5257.jpg" Id="Re9ae9bad21dc410b" /><Relationship Type="http://schemas.openxmlformats.org/officeDocument/2006/relationships/image" Target="/xl/media/image5258.jpg" Id="R8384d4069c84486f" /><Relationship Type="http://schemas.openxmlformats.org/officeDocument/2006/relationships/image" Target="/xl/media/image5259.jpg" Id="Rade7e37512e1403b" /><Relationship Type="http://schemas.openxmlformats.org/officeDocument/2006/relationships/image" Target="/xl/media/image5260.jpg" Id="R5e1af59f14164ced" /><Relationship Type="http://schemas.openxmlformats.org/officeDocument/2006/relationships/image" Target="/xl/media/image5261.jpg" Id="R3af023af947b4b1b" /><Relationship Type="http://schemas.openxmlformats.org/officeDocument/2006/relationships/image" Target="/xl/media/image5262.jpg" Id="R0fb309db36be4260" /><Relationship Type="http://schemas.openxmlformats.org/officeDocument/2006/relationships/image" Target="/xl/media/image5263.jpg" Id="R7209a4c4ac2742f4" /><Relationship Type="http://schemas.openxmlformats.org/officeDocument/2006/relationships/image" Target="/xl/media/image5264.jpg" Id="Rbb056a6d00ff493a" /><Relationship Type="http://schemas.openxmlformats.org/officeDocument/2006/relationships/image" Target="/xl/media/image5265.jpg" Id="R61b1f9dd18324e54" /><Relationship Type="http://schemas.openxmlformats.org/officeDocument/2006/relationships/image" Target="/xl/media/image5266.jpg" Id="Re04d0a8194184f61" /><Relationship Type="http://schemas.openxmlformats.org/officeDocument/2006/relationships/image" Target="/xl/media/image5267.jpg" Id="R761a1ee086ee4fe4" /><Relationship Type="http://schemas.openxmlformats.org/officeDocument/2006/relationships/image" Target="/xl/media/image5268.jpg" Id="R5ed9b7a9184f49dd" /><Relationship Type="http://schemas.openxmlformats.org/officeDocument/2006/relationships/image" Target="/xl/media/image5269.jpg" Id="R6d35e553bf504b2a" /><Relationship Type="http://schemas.openxmlformats.org/officeDocument/2006/relationships/image" Target="/xl/media/image5270.jpg" Id="Rd0df3ed92f174f6c" /><Relationship Type="http://schemas.openxmlformats.org/officeDocument/2006/relationships/image" Target="/xl/media/image5271.jpg" Id="Rbfbdf852db374679" /><Relationship Type="http://schemas.openxmlformats.org/officeDocument/2006/relationships/image" Target="/xl/media/image5272.jpg" Id="R1927dfcdddbf4008" /><Relationship Type="http://schemas.openxmlformats.org/officeDocument/2006/relationships/image" Target="/xl/media/image5273.jpg" Id="Rd1bca052d7054f87" /><Relationship Type="http://schemas.openxmlformats.org/officeDocument/2006/relationships/image" Target="/xl/media/image5274.jpg" Id="R40c28c9441454bf7" /><Relationship Type="http://schemas.openxmlformats.org/officeDocument/2006/relationships/image" Target="/xl/media/image5275.jpg" Id="Rb52c1d8ee1784287" /><Relationship Type="http://schemas.openxmlformats.org/officeDocument/2006/relationships/image" Target="/xl/media/image5276.jpg" Id="R9c15bddcbfa544b0" /><Relationship Type="http://schemas.openxmlformats.org/officeDocument/2006/relationships/image" Target="/xl/media/image5277.jpg" Id="R1ad5c3ba46044c92" /><Relationship Type="http://schemas.openxmlformats.org/officeDocument/2006/relationships/image" Target="/xl/media/image5278.jpg" Id="R043b81b1a855447f" /><Relationship Type="http://schemas.openxmlformats.org/officeDocument/2006/relationships/image" Target="/xl/media/image5279.jpg" Id="R7de7adb0b55d4426" /><Relationship Type="http://schemas.openxmlformats.org/officeDocument/2006/relationships/image" Target="/xl/media/image5280.jpg" Id="Rafba6b0de19a4a00" /><Relationship Type="http://schemas.openxmlformats.org/officeDocument/2006/relationships/image" Target="/xl/media/image5281.jpg" Id="R0f02462109434e8f" /><Relationship Type="http://schemas.openxmlformats.org/officeDocument/2006/relationships/image" Target="/xl/media/image5282.jpg" Id="R0bf1051dabb148aa" /><Relationship Type="http://schemas.openxmlformats.org/officeDocument/2006/relationships/image" Target="/xl/media/image5283.jpg" Id="R6b637e00f5de4955" /><Relationship Type="http://schemas.openxmlformats.org/officeDocument/2006/relationships/image" Target="/xl/media/image5284.jpg" Id="R06b9afb22ff14e21" /><Relationship Type="http://schemas.openxmlformats.org/officeDocument/2006/relationships/image" Target="/xl/media/image5285.jpg" Id="R191fcbb7d29a46b7" /><Relationship Type="http://schemas.openxmlformats.org/officeDocument/2006/relationships/image" Target="/xl/media/image5286.jpg" Id="R8cc3d18317ca4536" /><Relationship Type="http://schemas.openxmlformats.org/officeDocument/2006/relationships/image" Target="/xl/media/image5287.jpg" Id="R71436e7124a94ea4" /><Relationship Type="http://schemas.openxmlformats.org/officeDocument/2006/relationships/image" Target="/xl/media/image5288.jpg" Id="Rc9069b607ec642a0" /><Relationship Type="http://schemas.openxmlformats.org/officeDocument/2006/relationships/image" Target="/xl/media/image5289.jpg" Id="R6b10922e333e4df1" /><Relationship Type="http://schemas.openxmlformats.org/officeDocument/2006/relationships/image" Target="/xl/media/image5290.jpg" Id="R5eadc0a3b29b4757" /><Relationship Type="http://schemas.openxmlformats.org/officeDocument/2006/relationships/image" Target="/xl/media/image5291.jpg" Id="Rc62f5ee3da81466c" /><Relationship Type="http://schemas.openxmlformats.org/officeDocument/2006/relationships/image" Target="/xl/media/image5292.jpg" Id="R8241e1a893af4e23" /><Relationship Type="http://schemas.openxmlformats.org/officeDocument/2006/relationships/image" Target="/xl/media/image5293.jpg" Id="R1199b7203557445e" /><Relationship Type="http://schemas.openxmlformats.org/officeDocument/2006/relationships/image" Target="/xl/media/image5294.jpg" Id="R41ceaaee03c44c6c" /><Relationship Type="http://schemas.openxmlformats.org/officeDocument/2006/relationships/image" Target="/xl/media/image5295.jpg" Id="Rae90a3779dc24f34" /><Relationship Type="http://schemas.openxmlformats.org/officeDocument/2006/relationships/image" Target="/xl/media/image5296.jpg" Id="Rd9fa41cab6694713" /><Relationship Type="http://schemas.openxmlformats.org/officeDocument/2006/relationships/image" Target="/xl/media/image5297.jpg" Id="Rdc90aacdd5274c93" /><Relationship Type="http://schemas.openxmlformats.org/officeDocument/2006/relationships/image" Target="/xl/media/image5298.jpg" Id="Re939cd14f93b4f26" /><Relationship Type="http://schemas.openxmlformats.org/officeDocument/2006/relationships/image" Target="/xl/media/image5299.jpg" Id="Rab3b1bafa6ca4fc8" /><Relationship Type="http://schemas.openxmlformats.org/officeDocument/2006/relationships/image" Target="/xl/media/image5300.jpg" Id="R9b65a9b5188d4e57" /><Relationship Type="http://schemas.openxmlformats.org/officeDocument/2006/relationships/image" Target="/xl/media/image5301.jpg" Id="R1d92b700b6724f2d" /><Relationship Type="http://schemas.openxmlformats.org/officeDocument/2006/relationships/image" Target="/xl/media/image5302.jpg" Id="R5ed3d52bd2c148b6" /><Relationship Type="http://schemas.openxmlformats.org/officeDocument/2006/relationships/image" Target="/xl/media/image5303.jpg" Id="Rd5f4dbbee05447b4" /><Relationship Type="http://schemas.openxmlformats.org/officeDocument/2006/relationships/image" Target="/xl/media/image5304.jpg" Id="R471c064e965444e6" /><Relationship Type="http://schemas.openxmlformats.org/officeDocument/2006/relationships/image" Target="/xl/media/image5305.jpg" Id="R11102b77ad4144cf" /><Relationship Type="http://schemas.openxmlformats.org/officeDocument/2006/relationships/image" Target="/xl/media/image5306.jpg" Id="R8931856680424758" /><Relationship Type="http://schemas.openxmlformats.org/officeDocument/2006/relationships/image" Target="/xl/media/image5307.jpg" Id="Rb6b538e8e6c64559" /><Relationship Type="http://schemas.openxmlformats.org/officeDocument/2006/relationships/image" Target="/xl/media/image5308.jpg" Id="Rb6e70a137a334a15" /><Relationship Type="http://schemas.openxmlformats.org/officeDocument/2006/relationships/image" Target="/xl/media/image5309.jpg" Id="Rb894a9e94869428f" /><Relationship Type="http://schemas.openxmlformats.org/officeDocument/2006/relationships/image" Target="/xl/media/image5310.jpg" Id="R8bf9b3b72e354153" /><Relationship Type="http://schemas.openxmlformats.org/officeDocument/2006/relationships/image" Target="/xl/media/image5311.jpg" Id="Rf7a751ffdae8422f" /><Relationship Type="http://schemas.openxmlformats.org/officeDocument/2006/relationships/image" Target="/xl/media/image5312.jpg" Id="R795b4451477346a9" /><Relationship Type="http://schemas.openxmlformats.org/officeDocument/2006/relationships/image" Target="/xl/media/image5313.jpg" Id="Re793913b2ef04638" /><Relationship Type="http://schemas.openxmlformats.org/officeDocument/2006/relationships/image" Target="/xl/media/image5314.jpg" Id="R707e141cb4704eea" /><Relationship Type="http://schemas.openxmlformats.org/officeDocument/2006/relationships/image" Target="/xl/media/image5315.jpg" Id="R772a22433c4f44f9" /><Relationship Type="http://schemas.openxmlformats.org/officeDocument/2006/relationships/image" Target="/xl/media/image5316.jpg" Id="R1c420b828c914092" /><Relationship Type="http://schemas.openxmlformats.org/officeDocument/2006/relationships/image" Target="/xl/media/image5317.jpg" Id="R004baf98a4ae486e" /><Relationship Type="http://schemas.openxmlformats.org/officeDocument/2006/relationships/image" Target="/xl/media/image5318.jpg" Id="R9029ea5d83474a40" /><Relationship Type="http://schemas.openxmlformats.org/officeDocument/2006/relationships/image" Target="/xl/media/image5319.jpg" Id="R9e5348f99a0b4030" /><Relationship Type="http://schemas.openxmlformats.org/officeDocument/2006/relationships/image" Target="/xl/media/image5320.jpg" Id="R1c0ac12323f24a6a" /><Relationship Type="http://schemas.openxmlformats.org/officeDocument/2006/relationships/image" Target="/xl/media/image5321.jpg" Id="R2acc229b3f014b47" /><Relationship Type="http://schemas.openxmlformats.org/officeDocument/2006/relationships/image" Target="/xl/media/image5322.jpg" Id="R1bb152138c6249a0" /><Relationship Type="http://schemas.openxmlformats.org/officeDocument/2006/relationships/image" Target="/xl/media/image5323.jpg" Id="R1ea6e97393aa4edd" /><Relationship Type="http://schemas.openxmlformats.org/officeDocument/2006/relationships/image" Target="/xl/media/image5324.jpg" Id="R067882e10ce44361" /><Relationship Type="http://schemas.openxmlformats.org/officeDocument/2006/relationships/image" Target="/xl/media/image5325.jpg" Id="Reda193f5a03b495b" /><Relationship Type="http://schemas.openxmlformats.org/officeDocument/2006/relationships/image" Target="/xl/media/image5326.jpg" Id="R1699e44d1c88443e" /><Relationship Type="http://schemas.openxmlformats.org/officeDocument/2006/relationships/image" Target="/xl/media/image5327.jpg" Id="R09b95568c72b411e" /><Relationship Type="http://schemas.openxmlformats.org/officeDocument/2006/relationships/image" Target="/xl/media/image5328.jpg" Id="Rbd9544d3426a4bca" /><Relationship Type="http://schemas.openxmlformats.org/officeDocument/2006/relationships/image" Target="/xl/media/image5329.jpg" Id="R998f1d2c955f411b" /><Relationship Type="http://schemas.openxmlformats.org/officeDocument/2006/relationships/image" Target="/xl/media/image5330.jpg" Id="R4be0ebead6384f2b" /><Relationship Type="http://schemas.openxmlformats.org/officeDocument/2006/relationships/image" Target="/xl/media/image5331.jpg" Id="Rf641c59740b1453f" /><Relationship Type="http://schemas.openxmlformats.org/officeDocument/2006/relationships/image" Target="/xl/media/image5332.jpg" Id="Rfe6746b8bb854c13" /><Relationship Type="http://schemas.openxmlformats.org/officeDocument/2006/relationships/image" Target="/xl/media/image5333.jpg" Id="R0ffed5e963f24072" /><Relationship Type="http://schemas.openxmlformats.org/officeDocument/2006/relationships/image" Target="/xl/media/image5334.jpg" Id="R21e06534af8a4cae" /><Relationship Type="http://schemas.openxmlformats.org/officeDocument/2006/relationships/image" Target="/xl/media/image5335.jpg" Id="R95bd2324ee3d4215" /><Relationship Type="http://schemas.openxmlformats.org/officeDocument/2006/relationships/image" Target="/xl/media/image5336.jpg" Id="Rfe7c6cde0e8d4acb" /><Relationship Type="http://schemas.openxmlformats.org/officeDocument/2006/relationships/image" Target="/xl/media/image5337.jpg" Id="Ra7fa555317234b8c" /><Relationship Type="http://schemas.openxmlformats.org/officeDocument/2006/relationships/image" Target="/xl/media/image5338.jpg" Id="R03eb30b35c8c4860" /><Relationship Type="http://schemas.openxmlformats.org/officeDocument/2006/relationships/image" Target="/xl/media/image5339.jpg" Id="R7b3e5133c6754ece" /><Relationship Type="http://schemas.openxmlformats.org/officeDocument/2006/relationships/image" Target="/xl/media/image5340.jpg" Id="R30fa0793b3ba4ea6" /><Relationship Type="http://schemas.openxmlformats.org/officeDocument/2006/relationships/image" Target="/xl/media/image5341.jpg" Id="Rfb38c2f756304b63" /><Relationship Type="http://schemas.openxmlformats.org/officeDocument/2006/relationships/image" Target="/xl/media/image5342.jpg" Id="R77d615800ec84682" /><Relationship Type="http://schemas.openxmlformats.org/officeDocument/2006/relationships/image" Target="/xl/media/image5343.jpg" Id="R398b3babe98e4608" /><Relationship Type="http://schemas.openxmlformats.org/officeDocument/2006/relationships/image" Target="/xl/media/image5344.jpg" Id="R8d73e74c0b9c4713" /><Relationship Type="http://schemas.openxmlformats.org/officeDocument/2006/relationships/image" Target="/xl/media/image5345.jpg" Id="Ra9c71d6b4b554bee" /><Relationship Type="http://schemas.openxmlformats.org/officeDocument/2006/relationships/image" Target="/xl/media/image5346.jpg" Id="R2d37a11f2291455b" /><Relationship Type="http://schemas.openxmlformats.org/officeDocument/2006/relationships/image" Target="/xl/media/image5347.jpg" Id="Ra57f6a11594240ab" /><Relationship Type="http://schemas.openxmlformats.org/officeDocument/2006/relationships/image" Target="/xl/media/image5348.jpg" Id="R89f6849388eb4e25" /><Relationship Type="http://schemas.openxmlformats.org/officeDocument/2006/relationships/image" Target="/xl/media/image5349.jpg" Id="Rdbf684c8ce5b4e13" /><Relationship Type="http://schemas.openxmlformats.org/officeDocument/2006/relationships/image" Target="/xl/media/image5350.jpg" Id="R23e8ae2e627947fb" /><Relationship Type="http://schemas.openxmlformats.org/officeDocument/2006/relationships/image" Target="/xl/media/image5351.jpg" Id="R5702ce15b6374191" /><Relationship Type="http://schemas.openxmlformats.org/officeDocument/2006/relationships/image" Target="/xl/media/image5352.jpg" Id="Rcb876da15f174065" /><Relationship Type="http://schemas.openxmlformats.org/officeDocument/2006/relationships/image" Target="/xl/media/image5353.jpg" Id="R17533dc41edd4737" /><Relationship Type="http://schemas.openxmlformats.org/officeDocument/2006/relationships/image" Target="/xl/media/image5354.jpg" Id="Rd9f1eaa36d7f4572" /><Relationship Type="http://schemas.openxmlformats.org/officeDocument/2006/relationships/image" Target="/xl/media/image5355.jpg" Id="R3ed5fb55c6e341d2" /><Relationship Type="http://schemas.openxmlformats.org/officeDocument/2006/relationships/image" Target="/xl/media/image5356.jpg" Id="R44e17b49f8284aff" /><Relationship Type="http://schemas.openxmlformats.org/officeDocument/2006/relationships/image" Target="/xl/media/image5357.jpg" Id="Rfd282837391d4448" /><Relationship Type="http://schemas.openxmlformats.org/officeDocument/2006/relationships/image" Target="/xl/media/image5358.jpg" Id="R3e330b2ed721454e" /><Relationship Type="http://schemas.openxmlformats.org/officeDocument/2006/relationships/image" Target="/xl/media/image5359.jpg" Id="R0c437812798d4990" /><Relationship Type="http://schemas.openxmlformats.org/officeDocument/2006/relationships/image" Target="/xl/media/image5360.jpg" Id="Ra55aa8bdd07d457b" /><Relationship Type="http://schemas.openxmlformats.org/officeDocument/2006/relationships/image" Target="/xl/media/image5361.jpg" Id="R98eef4eb632a4c8d" /><Relationship Type="http://schemas.openxmlformats.org/officeDocument/2006/relationships/image" Target="/xl/media/image5362.jpg" Id="R457db359555a458a" /><Relationship Type="http://schemas.openxmlformats.org/officeDocument/2006/relationships/image" Target="/xl/media/image5363.jpg" Id="Rc7dcf378421d4904" /><Relationship Type="http://schemas.openxmlformats.org/officeDocument/2006/relationships/image" Target="/xl/media/image5364.jpg" Id="R141b935572914b04" /><Relationship Type="http://schemas.openxmlformats.org/officeDocument/2006/relationships/image" Target="/xl/media/image5365.jpg" Id="R8bc1d77914a3413e" /><Relationship Type="http://schemas.openxmlformats.org/officeDocument/2006/relationships/image" Target="/xl/media/image5366.jpg" Id="R3e66362fc7174f8a" /><Relationship Type="http://schemas.openxmlformats.org/officeDocument/2006/relationships/image" Target="/xl/media/image5367.jpg" Id="R80aca658c6224d03" /><Relationship Type="http://schemas.openxmlformats.org/officeDocument/2006/relationships/image" Target="/xl/media/image5368.jpg" Id="R6b5a28f5fb314758" /><Relationship Type="http://schemas.openxmlformats.org/officeDocument/2006/relationships/image" Target="/xl/media/image5369.jpg" Id="R19787ecb81444c09" /><Relationship Type="http://schemas.openxmlformats.org/officeDocument/2006/relationships/image" Target="/xl/media/image5370.jpg" Id="Rcb155c8971694d12" /><Relationship Type="http://schemas.openxmlformats.org/officeDocument/2006/relationships/image" Target="/xl/media/image5371.jpg" Id="R9dd6a98f478e4147" /><Relationship Type="http://schemas.openxmlformats.org/officeDocument/2006/relationships/image" Target="/xl/media/image5372.jpg" Id="Re8373f833ba846a2" /><Relationship Type="http://schemas.openxmlformats.org/officeDocument/2006/relationships/image" Target="/xl/media/image5373.jpg" Id="R8531f9197fd14c12" /><Relationship Type="http://schemas.openxmlformats.org/officeDocument/2006/relationships/image" Target="/xl/media/image5374.jpg" Id="Rc43da97e08c94873" /><Relationship Type="http://schemas.openxmlformats.org/officeDocument/2006/relationships/image" Target="/xl/media/image5375.jpg" Id="Re04f450367584718" /><Relationship Type="http://schemas.openxmlformats.org/officeDocument/2006/relationships/image" Target="/xl/media/image5376.jpg" Id="Re3d9b61c03934012" /><Relationship Type="http://schemas.openxmlformats.org/officeDocument/2006/relationships/image" Target="/xl/media/image5377.jpg" Id="Rb3c212c396604c0f" /><Relationship Type="http://schemas.openxmlformats.org/officeDocument/2006/relationships/image" Target="/xl/media/image5378.jpg" Id="R1a99f9da95a94e44" /><Relationship Type="http://schemas.openxmlformats.org/officeDocument/2006/relationships/image" Target="/xl/media/image5379.jpg" Id="R7b3c3cab53c34781" /><Relationship Type="http://schemas.openxmlformats.org/officeDocument/2006/relationships/image" Target="/xl/media/image5380.jpg" Id="R17bc163290b84787" /><Relationship Type="http://schemas.openxmlformats.org/officeDocument/2006/relationships/image" Target="/xl/media/image5381.jpg" Id="Rd3ea1c1b5a364641" /><Relationship Type="http://schemas.openxmlformats.org/officeDocument/2006/relationships/image" Target="/xl/media/image5382.jpg" Id="Rc667b12b75ab471c" /><Relationship Type="http://schemas.openxmlformats.org/officeDocument/2006/relationships/image" Target="/xl/media/image5383.jpg" Id="R0e1371ac2a8545b9" /><Relationship Type="http://schemas.openxmlformats.org/officeDocument/2006/relationships/image" Target="/xl/media/image5384.jpg" Id="R19761f8bc64f41a1" /><Relationship Type="http://schemas.openxmlformats.org/officeDocument/2006/relationships/image" Target="/xl/media/image5385.jpg" Id="R038575a7f8f543b0" /><Relationship Type="http://schemas.openxmlformats.org/officeDocument/2006/relationships/image" Target="/xl/media/image5386.jpg" Id="Rcf4d902bf6ef475a" /><Relationship Type="http://schemas.openxmlformats.org/officeDocument/2006/relationships/image" Target="/xl/media/image5387.jpg" Id="Ra4b84f2932cb4fb9" /><Relationship Type="http://schemas.openxmlformats.org/officeDocument/2006/relationships/image" Target="/xl/media/image5388.jpg" Id="R81f0718a2d8c49d7" /><Relationship Type="http://schemas.openxmlformats.org/officeDocument/2006/relationships/image" Target="/xl/media/image5389.jpg" Id="R0e6f6bf1defb48aa" /><Relationship Type="http://schemas.openxmlformats.org/officeDocument/2006/relationships/image" Target="/xl/media/image5390.jpg" Id="R92f9b46f0b5e4913" /><Relationship Type="http://schemas.openxmlformats.org/officeDocument/2006/relationships/image" Target="/xl/media/image5391.jpg" Id="Rb5643bea2a944609" /><Relationship Type="http://schemas.openxmlformats.org/officeDocument/2006/relationships/image" Target="/xl/media/image5392.jpg" Id="R927b7ba729d64ac6" /><Relationship Type="http://schemas.openxmlformats.org/officeDocument/2006/relationships/image" Target="/xl/media/image5393.jpg" Id="R5db7a8ab200d4a7f" /><Relationship Type="http://schemas.openxmlformats.org/officeDocument/2006/relationships/image" Target="/xl/media/image5394.jpg" Id="Rb94388a95fed4f63" /><Relationship Type="http://schemas.openxmlformats.org/officeDocument/2006/relationships/image" Target="/xl/media/image5395.jpg" Id="R57e9e447ab13408f" /><Relationship Type="http://schemas.openxmlformats.org/officeDocument/2006/relationships/image" Target="/xl/media/image5396.jpg" Id="Rd835e601f540492b" /><Relationship Type="http://schemas.openxmlformats.org/officeDocument/2006/relationships/image" Target="/xl/media/image5397.jpg" Id="R10fc791ab2c44e73" /><Relationship Type="http://schemas.openxmlformats.org/officeDocument/2006/relationships/image" Target="/xl/media/image5398.jpg" Id="R1e093b7491214f65" /><Relationship Type="http://schemas.openxmlformats.org/officeDocument/2006/relationships/image" Target="/xl/media/image5399.jpg" Id="R01993d79b3264ad4" /><Relationship Type="http://schemas.openxmlformats.org/officeDocument/2006/relationships/image" Target="/xl/media/image5400.jpg" Id="R5f9c6e12e1d246ec" /><Relationship Type="http://schemas.openxmlformats.org/officeDocument/2006/relationships/image" Target="/xl/media/image5401.jpg" Id="R1cd755005e974335" /><Relationship Type="http://schemas.openxmlformats.org/officeDocument/2006/relationships/image" Target="/xl/media/image5402.jpg" Id="R0f4dda86f11044d2" /><Relationship Type="http://schemas.openxmlformats.org/officeDocument/2006/relationships/image" Target="/xl/media/image5403.jpg" Id="R92d72ac95f7549c1" /><Relationship Type="http://schemas.openxmlformats.org/officeDocument/2006/relationships/image" Target="/xl/media/image5404.jpg" Id="R89f84030af034a68" /><Relationship Type="http://schemas.openxmlformats.org/officeDocument/2006/relationships/image" Target="/xl/media/image5405.jpg" Id="R2163c6d0757b4517" /><Relationship Type="http://schemas.openxmlformats.org/officeDocument/2006/relationships/image" Target="/xl/media/image5406.jpg" Id="R67c078c86eae43ef" /><Relationship Type="http://schemas.openxmlformats.org/officeDocument/2006/relationships/image" Target="/xl/media/image5407.jpg" Id="R1249d53904844844" /><Relationship Type="http://schemas.openxmlformats.org/officeDocument/2006/relationships/image" Target="/xl/media/image5408.jpg" Id="R0ddaab89307a4a35" /><Relationship Type="http://schemas.openxmlformats.org/officeDocument/2006/relationships/image" Target="/xl/media/image5409.jpg" Id="Rd7afbf01af954d4d" /><Relationship Type="http://schemas.openxmlformats.org/officeDocument/2006/relationships/image" Target="/xl/media/image5410.jpg" Id="Raf43fb78bbf346ba" /><Relationship Type="http://schemas.openxmlformats.org/officeDocument/2006/relationships/image" Target="/xl/media/image5411.jpg" Id="R7bc6aa3d189f4cb1" /><Relationship Type="http://schemas.openxmlformats.org/officeDocument/2006/relationships/image" Target="/xl/media/image5412.jpg" Id="R9ce77752c89a486f" /><Relationship Type="http://schemas.openxmlformats.org/officeDocument/2006/relationships/image" Target="/xl/media/image5413.jpg" Id="R8ea761bd113943d7" /><Relationship Type="http://schemas.openxmlformats.org/officeDocument/2006/relationships/image" Target="/xl/media/image5414.jpg" Id="R3172150610124726" /><Relationship Type="http://schemas.openxmlformats.org/officeDocument/2006/relationships/image" Target="/xl/media/image5415.jpg" Id="R0a42ef2de3584690" /><Relationship Type="http://schemas.openxmlformats.org/officeDocument/2006/relationships/image" Target="/xl/media/image5416.jpg" Id="R079d8379b5ae41f5" /><Relationship Type="http://schemas.openxmlformats.org/officeDocument/2006/relationships/image" Target="/xl/media/image5417.jpg" Id="Rcb35467a27294e24" /><Relationship Type="http://schemas.openxmlformats.org/officeDocument/2006/relationships/image" Target="/xl/media/image5418.jpg" Id="R93e19dfa472442b2" /><Relationship Type="http://schemas.openxmlformats.org/officeDocument/2006/relationships/image" Target="/xl/media/image5419.jpg" Id="R0307fcbec3f34950" /><Relationship Type="http://schemas.openxmlformats.org/officeDocument/2006/relationships/image" Target="/xl/media/image5420.jpg" Id="Rbc677a9ed0c04194" /><Relationship Type="http://schemas.openxmlformats.org/officeDocument/2006/relationships/image" Target="/xl/media/image5421.jpg" Id="R951b5f18efa14236" /><Relationship Type="http://schemas.openxmlformats.org/officeDocument/2006/relationships/image" Target="/xl/media/image5422.jpg" Id="R168daae8994b4c99" /><Relationship Type="http://schemas.openxmlformats.org/officeDocument/2006/relationships/image" Target="/xl/media/image5423.jpg" Id="R5066d836f6744777" /><Relationship Type="http://schemas.openxmlformats.org/officeDocument/2006/relationships/image" Target="/xl/media/image5424.jpg" Id="R81aa2846bba048a9" /><Relationship Type="http://schemas.openxmlformats.org/officeDocument/2006/relationships/image" Target="/xl/media/image5425.jpg" Id="Rac059202334e4d61" /><Relationship Type="http://schemas.openxmlformats.org/officeDocument/2006/relationships/image" Target="/xl/media/image5426.jpg" Id="R5f2dcd86f54e446b" /><Relationship Type="http://schemas.openxmlformats.org/officeDocument/2006/relationships/image" Target="/xl/media/image5427.jpg" Id="R5d8338b903bd44ba" /><Relationship Type="http://schemas.openxmlformats.org/officeDocument/2006/relationships/image" Target="/xl/media/image5428.jpg" Id="R05e25035a8784795" /><Relationship Type="http://schemas.openxmlformats.org/officeDocument/2006/relationships/image" Target="/xl/media/image5429.jpg" Id="R0b2615b33e464e5d" /><Relationship Type="http://schemas.openxmlformats.org/officeDocument/2006/relationships/image" Target="/xl/media/image5430.jpg" Id="R011932a887064510" /><Relationship Type="http://schemas.openxmlformats.org/officeDocument/2006/relationships/image" Target="/xl/media/image5431.jpg" Id="R87f009fd6d214618" /><Relationship Type="http://schemas.openxmlformats.org/officeDocument/2006/relationships/image" Target="/xl/media/image5432.jpg" Id="Reccd73cf4e3749bb" /><Relationship Type="http://schemas.openxmlformats.org/officeDocument/2006/relationships/image" Target="/xl/media/image5433.jpg" Id="R5ff3c3ce52e84fd2" /><Relationship Type="http://schemas.openxmlformats.org/officeDocument/2006/relationships/image" Target="/xl/media/image5434.jpg" Id="R3b089a5995584db4" /><Relationship Type="http://schemas.openxmlformats.org/officeDocument/2006/relationships/image" Target="/xl/media/image5435.jpg" Id="Reca7c2bf3d2e493a" /><Relationship Type="http://schemas.openxmlformats.org/officeDocument/2006/relationships/image" Target="/xl/media/image5436.jpg" Id="R1c82a7cdaaa14f6c" /><Relationship Type="http://schemas.openxmlformats.org/officeDocument/2006/relationships/image" Target="/xl/media/image5437.jpg" Id="R8d6a1592fa17478a" /><Relationship Type="http://schemas.openxmlformats.org/officeDocument/2006/relationships/image" Target="/xl/media/image5438.jpg" Id="Ra2471b57d46c4825" /><Relationship Type="http://schemas.openxmlformats.org/officeDocument/2006/relationships/image" Target="/xl/media/image5439.jpg" Id="Re261558a67e44630" /><Relationship Type="http://schemas.openxmlformats.org/officeDocument/2006/relationships/image" Target="/xl/media/image5440.jpg" Id="Rda44c10e24a14579" /><Relationship Type="http://schemas.openxmlformats.org/officeDocument/2006/relationships/image" Target="/xl/media/image5441.jpg" Id="R2e82d7797b964c97" /><Relationship Type="http://schemas.openxmlformats.org/officeDocument/2006/relationships/image" Target="/xl/media/image5442.jpg" Id="R231e1c83448d4376" /><Relationship Type="http://schemas.openxmlformats.org/officeDocument/2006/relationships/image" Target="/xl/media/image5443.jpg" Id="R9e487762bcd047ba" /><Relationship Type="http://schemas.openxmlformats.org/officeDocument/2006/relationships/image" Target="/xl/media/image5444.jpg" Id="Rda7544871afd4982" /><Relationship Type="http://schemas.openxmlformats.org/officeDocument/2006/relationships/image" Target="/xl/media/image5445.jpg" Id="Rea7d2d6305cd4cae" /><Relationship Type="http://schemas.openxmlformats.org/officeDocument/2006/relationships/image" Target="/xl/media/image5446.jpg" Id="Ra5abac68aae045ed" /><Relationship Type="http://schemas.openxmlformats.org/officeDocument/2006/relationships/image" Target="/xl/media/image5447.jpg" Id="Rb5ffbfa7654b4488" /><Relationship Type="http://schemas.openxmlformats.org/officeDocument/2006/relationships/image" Target="/xl/media/image5448.jpg" Id="R91f4579a44294a35" /><Relationship Type="http://schemas.openxmlformats.org/officeDocument/2006/relationships/image" Target="/xl/media/image5449.jpg" Id="Rea474c3b34094ad6" /><Relationship Type="http://schemas.openxmlformats.org/officeDocument/2006/relationships/image" Target="/xl/media/image5450.jpg" Id="Rc4e7a3fbf0534b88" /><Relationship Type="http://schemas.openxmlformats.org/officeDocument/2006/relationships/image" Target="/xl/media/image5451.jpg" Id="R3defc0a9149f4068" /><Relationship Type="http://schemas.openxmlformats.org/officeDocument/2006/relationships/image" Target="/xl/media/image5452.jpg" Id="Rbc592f17e4894a48" /><Relationship Type="http://schemas.openxmlformats.org/officeDocument/2006/relationships/image" Target="/xl/media/image5453.jpg" Id="Rd697b724b5e241e7" /><Relationship Type="http://schemas.openxmlformats.org/officeDocument/2006/relationships/image" Target="/xl/media/image5454.jpg" Id="R3b0c6799627a49ed" /><Relationship Type="http://schemas.openxmlformats.org/officeDocument/2006/relationships/image" Target="/xl/media/image5455.jpg" Id="R314c0c699d6e41b9" /><Relationship Type="http://schemas.openxmlformats.org/officeDocument/2006/relationships/image" Target="/xl/media/image5456.jpg" Id="R7e0df6ef484e4315" /><Relationship Type="http://schemas.openxmlformats.org/officeDocument/2006/relationships/image" Target="/xl/media/image5457.jpg" Id="R21db0eabe0e048bf" /><Relationship Type="http://schemas.openxmlformats.org/officeDocument/2006/relationships/image" Target="/xl/media/image5458.jpg" Id="R6bef719714214dc9" /><Relationship Type="http://schemas.openxmlformats.org/officeDocument/2006/relationships/image" Target="/xl/media/image5459.jpg" Id="R701ae06c1fec450c" /><Relationship Type="http://schemas.openxmlformats.org/officeDocument/2006/relationships/image" Target="/xl/media/image5460.jpg" Id="R366649f958364eab" /><Relationship Type="http://schemas.openxmlformats.org/officeDocument/2006/relationships/image" Target="/xl/media/image5461.jpg" Id="R32958e05b8764b6a" /><Relationship Type="http://schemas.openxmlformats.org/officeDocument/2006/relationships/image" Target="/xl/media/image5462.jpg" Id="R5c5cda15fa714d21" /><Relationship Type="http://schemas.openxmlformats.org/officeDocument/2006/relationships/image" Target="/xl/media/image5463.jpg" Id="R51b178345dec4d55" /><Relationship Type="http://schemas.openxmlformats.org/officeDocument/2006/relationships/image" Target="/xl/media/image5464.jpg" Id="R87e07e26592241f7" /><Relationship Type="http://schemas.openxmlformats.org/officeDocument/2006/relationships/image" Target="/xl/media/image5465.jpg" Id="Rb72e63b964ce42f3" /><Relationship Type="http://schemas.openxmlformats.org/officeDocument/2006/relationships/image" Target="/xl/media/image5466.jpg" Id="Rd2391c37486841e6" /><Relationship Type="http://schemas.openxmlformats.org/officeDocument/2006/relationships/image" Target="/xl/media/image5467.jpg" Id="R104468c25cb0493a" /><Relationship Type="http://schemas.openxmlformats.org/officeDocument/2006/relationships/image" Target="/xl/media/image5468.jpg" Id="Rfc18ce4fa58046b9" /><Relationship Type="http://schemas.openxmlformats.org/officeDocument/2006/relationships/image" Target="/xl/media/image5469.jpg" Id="Rb86ad295c3b84774" /><Relationship Type="http://schemas.openxmlformats.org/officeDocument/2006/relationships/image" Target="/xl/media/image5470.jpg" Id="R3ae5a4dfb3524626" /><Relationship Type="http://schemas.openxmlformats.org/officeDocument/2006/relationships/image" Target="/xl/media/image5471.jpg" Id="R5d7895d85bd1429a" /><Relationship Type="http://schemas.openxmlformats.org/officeDocument/2006/relationships/image" Target="/xl/media/image5472.jpg" Id="R8ecdd52b305e4d01" /><Relationship Type="http://schemas.openxmlformats.org/officeDocument/2006/relationships/image" Target="/xl/media/image5473.jpg" Id="Rca55937f10964444" /><Relationship Type="http://schemas.openxmlformats.org/officeDocument/2006/relationships/image" Target="/xl/media/image5474.jpg" Id="Rc796e4d50ef14f2b" /><Relationship Type="http://schemas.openxmlformats.org/officeDocument/2006/relationships/image" Target="/xl/media/image5475.jpg" Id="R4336306a0def4c16" /><Relationship Type="http://schemas.openxmlformats.org/officeDocument/2006/relationships/image" Target="/xl/media/image5476.jpg" Id="Redbe871fdfa94358" /><Relationship Type="http://schemas.openxmlformats.org/officeDocument/2006/relationships/image" Target="/xl/media/image5477.jpg" Id="Rd31604015537433c" /><Relationship Type="http://schemas.openxmlformats.org/officeDocument/2006/relationships/image" Target="/xl/media/image5478.jpg" Id="Rcf8f8fce9307434a" /><Relationship Type="http://schemas.openxmlformats.org/officeDocument/2006/relationships/image" Target="/xl/media/image5479.jpg" Id="R49afae4b0ed74109" /><Relationship Type="http://schemas.openxmlformats.org/officeDocument/2006/relationships/image" Target="/xl/media/image5480.jpg" Id="R973ce475be4741fe" /><Relationship Type="http://schemas.openxmlformats.org/officeDocument/2006/relationships/image" Target="/xl/media/image5481.jpg" Id="R7ba722e75b814f5f" /><Relationship Type="http://schemas.openxmlformats.org/officeDocument/2006/relationships/image" Target="/xl/media/image5482.jpg" Id="Rf8381ec118ec48f6" /><Relationship Type="http://schemas.openxmlformats.org/officeDocument/2006/relationships/image" Target="/xl/media/image5483.jpg" Id="R8f694c867b294b3a" /><Relationship Type="http://schemas.openxmlformats.org/officeDocument/2006/relationships/image" Target="/xl/media/image5484.jpg" Id="Rcd17c0d04e07408e" /><Relationship Type="http://schemas.openxmlformats.org/officeDocument/2006/relationships/image" Target="/xl/media/image5485.jpg" Id="R8a86ec26a50345ec" /><Relationship Type="http://schemas.openxmlformats.org/officeDocument/2006/relationships/image" Target="/xl/media/image5486.jpg" Id="R78a8ea0d5d684e11" /><Relationship Type="http://schemas.openxmlformats.org/officeDocument/2006/relationships/image" Target="/xl/media/image5487.jpg" Id="R6e28d90e32a94373" /><Relationship Type="http://schemas.openxmlformats.org/officeDocument/2006/relationships/image" Target="/xl/media/image5488.jpg" Id="Rcecb2219e5a8434e" /><Relationship Type="http://schemas.openxmlformats.org/officeDocument/2006/relationships/image" Target="/xl/media/image5489.jpg" Id="R1ac90e17a2ca4126" /><Relationship Type="http://schemas.openxmlformats.org/officeDocument/2006/relationships/image" Target="/xl/media/image5490.jpg" Id="Rd113f2cef7e84f88" /><Relationship Type="http://schemas.openxmlformats.org/officeDocument/2006/relationships/image" Target="/xl/media/image5491.jpg" Id="Rb534ebde4fa842bb" /><Relationship Type="http://schemas.openxmlformats.org/officeDocument/2006/relationships/image" Target="/xl/media/image5492.jpg" Id="Rb36c1f25e5844a67" /><Relationship Type="http://schemas.openxmlformats.org/officeDocument/2006/relationships/image" Target="/xl/media/image5493.jpg" Id="R9d09ea3ea5c44450" /><Relationship Type="http://schemas.openxmlformats.org/officeDocument/2006/relationships/image" Target="/xl/media/image5494.jpg" Id="R7f7694a4d7944137" /><Relationship Type="http://schemas.openxmlformats.org/officeDocument/2006/relationships/image" Target="/xl/media/image5495.jpg" Id="Rb8f5aa9791f341bc" /><Relationship Type="http://schemas.openxmlformats.org/officeDocument/2006/relationships/image" Target="/xl/media/image5496.jpg" Id="R8869e6752e6f4954" /><Relationship Type="http://schemas.openxmlformats.org/officeDocument/2006/relationships/image" Target="/xl/media/image5497.jpg" Id="Ra211f570f56049d8" /><Relationship Type="http://schemas.openxmlformats.org/officeDocument/2006/relationships/image" Target="/xl/media/image5498.jpg" Id="Rb20ead5d180b4ad3" /><Relationship Type="http://schemas.openxmlformats.org/officeDocument/2006/relationships/image" Target="/xl/media/image5499.jpg" Id="R86ca250eb68543a7" /><Relationship Type="http://schemas.openxmlformats.org/officeDocument/2006/relationships/image" Target="/xl/media/image5500.jpg" Id="Rfcdb4a16772c467f" /><Relationship Type="http://schemas.openxmlformats.org/officeDocument/2006/relationships/image" Target="/xl/media/image5501.jpg" Id="Rbe62cc40930b4277" /><Relationship Type="http://schemas.openxmlformats.org/officeDocument/2006/relationships/image" Target="/xl/media/image5502.jpg" Id="Rf8ab321bed10431d" /><Relationship Type="http://schemas.openxmlformats.org/officeDocument/2006/relationships/image" Target="/xl/media/image5503.jpg" Id="R049a22fb033f4a4b" /><Relationship Type="http://schemas.openxmlformats.org/officeDocument/2006/relationships/image" Target="/xl/media/image5504.jpg" Id="R32b11c78812d45df" /><Relationship Type="http://schemas.openxmlformats.org/officeDocument/2006/relationships/image" Target="/xl/media/image5505.jpg" Id="Ra47ecf8c5125475d" /><Relationship Type="http://schemas.openxmlformats.org/officeDocument/2006/relationships/image" Target="/xl/media/image5506.jpg" Id="R8e1a7317b3014bda" /><Relationship Type="http://schemas.openxmlformats.org/officeDocument/2006/relationships/image" Target="/xl/media/image5507.jpg" Id="R4b67c73fec9e4c92" /><Relationship Type="http://schemas.openxmlformats.org/officeDocument/2006/relationships/image" Target="/xl/media/image5508.jpg" Id="R60ac069181c24795" /><Relationship Type="http://schemas.openxmlformats.org/officeDocument/2006/relationships/image" Target="/xl/media/image5509.jpg" Id="R473e7c4a6d8c4d5b" /><Relationship Type="http://schemas.openxmlformats.org/officeDocument/2006/relationships/image" Target="/xl/media/image5510.jpg" Id="Rc315469244c64211" /><Relationship Type="http://schemas.openxmlformats.org/officeDocument/2006/relationships/image" Target="/xl/media/image5511.jpg" Id="R5cb779b361ef4bda" /><Relationship Type="http://schemas.openxmlformats.org/officeDocument/2006/relationships/image" Target="/xl/media/image5512.jpg" Id="Rc3a50ab698d34667" /><Relationship Type="http://schemas.openxmlformats.org/officeDocument/2006/relationships/image" Target="/xl/media/image5513.jpg" Id="R9350c893943d400e" /><Relationship Type="http://schemas.openxmlformats.org/officeDocument/2006/relationships/image" Target="/xl/media/image5514.jpg" Id="Re18773ae047c4870" /><Relationship Type="http://schemas.openxmlformats.org/officeDocument/2006/relationships/image" Target="/xl/media/image5515.jpg" Id="Rde560fdd35e943c3" /><Relationship Type="http://schemas.openxmlformats.org/officeDocument/2006/relationships/image" Target="/xl/media/image5516.jpg" Id="R20617ef028cc4df5" /><Relationship Type="http://schemas.openxmlformats.org/officeDocument/2006/relationships/image" Target="/xl/media/image5517.jpg" Id="R3fdb89dc04d147c8" /><Relationship Type="http://schemas.openxmlformats.org/officeDocument/2006/relationships/image" Target="/xl/media/image5518.jpg" Id="R7abab55a815640c8" /><Relationship Type="http://schemas.openxmlformats.org/officeDocument/2006/relationships/image" Target="/xl/media/image5519.jpg" Id="Rce617503f60847f2" /><Relationship Type="http://schemas.openxmlformats.org/officeDocument/2006/relationships/image" Target="/xl/media/image5520.jpg" Id="R3d397e77ffa04ac3" /><Relationship Type="http://schemas.openxmlformats.org/officeDocument/2006/relationships/image" Target="/xl/media/image5521.jpg" Id="R2091c9d1f7eb408a" /><Relationship Type="http://schemas.openxmlformats.org/officeDocument/2006/relationships/image" Target="/xl/media/image5522.jpg" Id="R2de3ea169231437c" /><Relationship Type="http://schemas.openxmlformats.org/officeDocument/2006/relationships/image" Target="/xl/media/image5523.jpg" Id="Rcc79774d940143ba" /><Relationship Type="http://schemas.openxmlformats.org/officeDocument/2006/relationships/image" Target="/xl/media/image5524.jpg" Id="R4ae6baca0dbd43d2" /><Relationship Type="http://schemas.openxmlformats.org/officeDocument/2006/relationships/image" Target="/xl/media/image5525.jpg" Id="Ra63ec48308364feb" /><Relationship Type="http://schemas.openxmlformats.org/officeDocument/2006/relationships/image" Target="/xl/media/image5526.jpg" Id="R4187bf4e9ebd459f" /><Relationship Type="http://schemas.openxmlformats.org/officeDocument/2006/relationships/image" Target="/xl/media/image5527.jpg" Id="R2db450804af44612" /><Relationship Type="http://schemas.openxmlformats.org/officeDocument/2006/relationships/image" Target="/xl/media/image5528.jpg" Id="R80cbf92ed62043dc" /><Relationship Type="http://schemas.openxmlformats.org/officeDocument/2006/relationships/image" Target="/xl/media/image5529.jpg" Id="R2330ffc1012845e1" /><Relationship Type="http://schemas.openxmlformats.org/officeDocument/2006/relationships/image" Target="/xl/media/image5530.jpg" Id="Rca9d5f8b29934ecd" /><Relationship Type="http://schemas.openxmlformats.org/officeDocument/2006/relationships/image" Target="/xl/media/image5531.jpg" Id="Rd92e6ddb2c034e97" /><Relationship Type="http://schemas.openxmlformats.org/officeDocument/2006/relationships/image" Target="/xl/media/image5532.jpg" Id="Re35c41e403d6454d" /><Relationship Type="http://schemas.openxmlformats.org/officeDocument/2006/relationships/image" Target="/xl/media/image5533.jpg" Id="Rf67b664f49644f64" /><Relationship Type="http://schemas.openxmlformats.org/officeDocument/2006/relationships/image" Target="/xl/media/image5534.jpg" Id="R7f7103ff3753478a" /><Relationship Type="http://schemas.openxmlformats.org/officeDocument/2006/relationships/image" Target="/xl/media/image5535.jpg" Id="R2bf9c65fa3484d21" /><Relationship Type="http://schemas.openxmlformats.org/officeDocument/2006/relationships/image" Target="/xl/media/image5536.jpg" Id="R297a4a4658144d93" /><Relationship Type="http://schemas.openxmlformats.org/officeDocument/2006/relationships/image" Target="/xl/media/image5537.jpg" Id="R5c6ac762152f48ff" /><Relationship Type="http://schemas.openxmlformats.org/officeDocument/2006/relationships/image" Target="/xl/media/image5538.jpg" Id="Rf9d362ec63e24496" /><Relationship Type="http://schemas.openxmlformats.org/officeDocument/2006/relationships/image" Target="/xl/media/image5539.jpg" Id="Re9307c97bca647a7" /><Relationship Type="http://schemas.openxmlformats.org/officeDocument/2006/relationships/image" Target="/xl/media/image5540.jpg" Id="Rd41eb9193f4c4f7b" /><Relationship Type="http://schemas.openxmlformats.org/officeDocument/2006/relationships/image" Target="/xl/media/image5541.jpg" Id="R70c3581981404fd5" /><Relationship Type="http://schemas.openxmlformats.org/officeDocument/2006/relationships/image" Target="/xl/media/image5542.jpg" Id="R0746d58ea16048d0" /><Relationship Type="http://schemas.openxmlformats.org/officeDocument/2006/relationships/image" Target="/xl/media/image5543.jpg" Id="Rcd1c2e49c55042bb" /><Relationship Type="http://schemas.openxmlformats.org/officeDocument/2006/relationships/image" Target="/xl/media/image5544.jpg" Id="Reb311ab8b41447a9" /><Relationship Type="http://schemas.openxmlformats.org/officeDocument/2006/relationships/image" Target="/xl/media/image5545.jpg" Id="R7688d9cdc25648ff" /><Relationship Type="http://schemas.openxmlformats.org/officeDocument/2006/relationships/image" Target="/xl/media/image5546.jpg" Id="R31ca4127f27a4e7a" /><Relationship Type="http://schemas.openxmlformats.org/officeDocument/2006/relationships/image" Target="/xl/media/image5547.jpg" Id="R49db1f785d7d4f69" /><Relationship Type="http://schemas.openxmlformats.org/officeDocument/2006/relationships/image" Target="/xl/media/image5548.jpg" Id="R0e7f92aa985043cb" /><Relationship Type="http://schemas.openxmlformats.org/officeDocument/2006/relationships/image" Target="/xl/media/image5549.jpg" Id="R5ca8f7933cae4a49" /><Relationship Type="http://schemas.openxmlformats.org/officeDocument/2006/relationships/image" Target="/xl/media/image5550.jpg" Id="R3e4015d7bafe409a" /><Relationship Type="http://schemas.openxmlformats.org/officeDocument/2006/relationships/image" Target="/xl/media/image5551.jpg" Id="R0bdf7b56377142ec" /><Relationship Type="http://schemas.openxmlformats.org/officeDocument/2006/relationships/image" Target="/xl/media/image5552.jpg" Id="Re1867e7562984527" /><Relationship Type="http://schemas.openxmlformats.org/officeDocument/2006/relationships/image" Target="/xl/media/image5553.jpg" Id="Rad5e70e06ac84ed5" /><Relationship Type="http://schemas.openxmlformats.org/officeDocument/2006/relationships/image" Target="/xl/media/image5554.jpg" Id="Rd9b1f96b878043c1" /><Relationship Type="http://schemas.openxmlformats.org/officeDocument/2006/relationships/image" Target="/xl/media/image5555.jpg" Id="R90b7306cc671466d" /><Relationship Type="http://schemas.openxmlformats.org/officeDocument/2006/relationships/image" Target="/xl/media/image5556.jpg" Id="R8f2660fc696b4891" /><Relationship Type="http://schemas.openxmlformats.org/officeDocument/2006/relationships/image" Target="/xl/media/image5557.jpg" Id="Re155aea37fdc4749" /><Relationship Type="http://schemas.openxmlformats.org/officeDocument/2006/relationships/image" Target="/xl/media/image5558.jpg" Id="R509b5858c716437f" /><Relationship Type="http://schemas.openxmlformats.org/officeDocument/2006/relationships/image" Target="/xl/media/image5559.jpg" Id="Rdaea2b5d4a154192" /><Relationship Type="http://schemas.openxmlformats.org/officeDocument/2006/relationships/image" Target="/xl/media/image5560.jpg" Id="R75a1355320cd40cc" /><Relationship Type="http://schemas.openxmlformats.org/officeDocument/2006/relationships/image" Target="/xl/media/image5561.jpg" Id="Rb154adc6f4bb4e7a" /><Relationship Type="http://schemas.openxmlformats.org/officeDocument/2006/relationships/image" Target="/xl/media/image5562.jpg" Id="R56a3f08c67914bdc" /><Relationship Type="http://schemas.openxmlformats.org/officeDocument/2006/relationships/image" Target="/xl/media/image5563.jpg" Id="R1931520fed4340d7" /><Relationship Type="http://schemas.openxmlformats.org/officeDocument/2006/relationships/image" Target="/xl/media/image5564.jpg" Id="Rcaa5a89fa1ce4351" /><Relationship Type="http://schemas.openxmlformats.org/officeDocument/2006/relationships/image" Target="/xl/media/image5565.jpg" Id="R1fcdd18627d74216" /><Relationship Type="http://schemas.openxmlformats.org/officeDocument/2006/relationships/image" Target="/xl/media/image5566.jpg" Id="R1268effe609f43ba" /><Relationship Type="http://schemas.openxmlformats.org/officeDocument/2006/relationships/image" Target="/xl/media/image5567.jpg" Id="R4264d2cc8da24daf" /><Relationship Type="http://schemas.openxmlformats.org/officeDocument/2006/relationships/image" Target="/xl/media/image5568.jpg" Id="Rd39988c2d99d4e8f" /><Relationship Type="http://schemas.openxmlformats.org/officeDocument/2006/relationships/image" Target="/xl/media/image5569.jpg" Id="Rf3f9eef7f9794629" /><Relationship Type="http://schemas.openxmlformats.org/officeDocument/2006/relationships/image" Target="/xl/media/image5570.jpg" Id="R5eff5f40024e4caf" /><Relationship Type="http://schemas.openxmlformats.org/officeDocument/2006/relationships/image" Target="/xl/media/image5571.jpg" Id="R87b2e8a8aa95470c" /><Relationship Type="http://schemas.openxmlformats.org/officeDocument/2006/relationships/image" Target="/xl/media/image5572.jpg" Id="Re6b990d9859c4fc0" /><Relationship Type="http://schemas.openxmlformats.org/officeDocument/2006/relationships/image" Target="/xl/media/image5573.jpg" Id="R3fd24453b94e4d3c" /><Relationship Type="http://schemas.openxmlformats.org/officeDocument/2006/relationships/image" Target="/xl/media/image5574.jpg" Id="R69e1d5e95f8a4964" /><Relationship Type="http://schemas.openxmlformats.org/officeDocument/2006/relationships/image" Target="/xl/media/image5575.jpg" Id="R97ab67db2496416c" /><Relationship Type="http://schemas.openxmlformats.org/officeDocument/2006/relationships/image" Target="/xl/media/image5576.jpg" Id="Rf0de3bf0ae364481" /><Relationship Type="http://schemas.openxmlformats.org/officeDocument/2006/relationships/image" Target="/xl/media/image5577.jpg" Id="R9bd8a017cbd84a58" /><Relationship Type="http://schemas.openxmlformats.org/officeDocument/2006/relationships/image" Target="/xl/media/image5578.jpg" Id="Rc832ec4f733d4b54" /><Relationship Type="http://schemas.openxmlformats.org/officeDocument/2006/relationships/image" Target="/xl/media/image5579.jpg" Id="Rcd99a1de9aed4d28" /><Relationship Type="http://schemas.openxmlformats.org/officeDocument/2006/relationships/image" Target="/xl/media/image5580.jpg" Id="Rec0377ad05cb4371" /><Relationship Type="http://schemas.openxmlformats.org/officeDocument/2006/relationships/image" Target="/xl/media/image5581.jpg" Id="R31883cff40c5481c" /><Relationship Type="http://schemas.openxmlformats.org/officeDocument/2006/relationships/image" Target="/xl/media/image5582.jpg" Id="R758018ba61694769" /><Relationship Type="http://schemas.openxmlformats.org/officeDocument/2006/relationships/image" Target="/xl/media/image5583.jpg" Id="R4d023e8b45e84e71" /><Relationship Type="http://schemas.openxmlformats.org/officeDocument/2006/relationships/image" Target="/xl/media/image5584.jpg" Id="Rc4b3972fe6d24bdf" /><Relationship Type="http://schemas.openxmlformats.org/officeDocument/2006/relationships/image" Target="/xl/media/image5585.jpg" Id="Rfe121b6d937e4973" /><Relationship Type="http://schemas.openxmlformats.org/officeDocument/2006/relationships/image" Target="/xl/media/image5586.jpg" Id="R4719fea05c57495b" /><Relationship Type="http://schemas.openxmlformats.org/officeDocument/2006/relationships/image" Target="/xl/media/image5587.jpg" Id="R0d4a5891fd614388" /><Relationship Type="http://schemas.openxmlformats.org/officeDocument/2006/relationships/image" Target="/xl/media/image5588.jpg" Id="Ra1acac1f41264d10" /><Relationship Type="http://schemas.openxmlformats.org/officeDocument/2006/relationships/image" Target="/xl/media/image5589.jpg" Id="R1bf5ea86bafb4afe" /><Relationship Type="http://schemas.openxmlformats.org/officeDocument/2006/relationships/image" Target="/xl/media/image5590.jpg" Id="Rc18f58675f8b4e73" /><Relationship Type="http://schemas.openxmlformats.org/officeDocument/2006/relationships/image" Target="/xl/media/image5591.jpg" Id="R63ea675978d44440" /><Relationship Type="http://schemas.openxmlformats.org/officeDocument/2006/relationships/image" Target="/xl/media/image5592.jpg" Id="R422fcceb0cda4986" /><Relationship Type="http://schemas.openxmlformats.org/officeDocument/2006/relationships/image" Target="/xl/media/image5593.jpg" Id="R14381f914e714ba3" /><Relationship Type="http://schemas.openxmlformats.org/officeDocument/2006/relationships/image" Target="/xl/media/image5594.jpg" Id="Ra4927736548a405f" /><Relationship Type="http://schemas.openxmlformats.org/officeDocument/2006/relationships/image" Target="/xl/media/image5595.jpg" Id="Ra69786e3ff0d4d28" /><Relationship Type="http://schemas.openxmlformats.org/officeDocument/2006/relationships/image" Target="/xl/media/image5596.jpg" Id="R7e919468cca348c3" /><Relationship Type="http://schemas.openxmlformats.org/officeDocument/2006/relationships/image" Target="/xl/media/image5597.jpg" Id="R885983c6c3234736" /><Relationship Type="http://schemas.openxmlformats.org/officeDocument/2006/relationships/image" Target="/xl/media/image5598.jpg" Id="Rf01bbc7c06b7407f" /><Relationship Type="http://schemas.openxmlformats.org/officeDocument/2006/relationships/image" Target="/xl/media/image5599.jpg" Id="R343f8815cc29440a" /><Relationship Type="http://schemas.openxmlformats.org/officeDocument/2006/relationships/image" Target="/xl/media/image5600.jpg" Id="R0a2ad27ac5c746db" /><Relationship Type="http://schemas.openxmlformats.org/officeDocument/2006/relationships/image" Target="/xl/media/image5601.jpg" Id="Re68b09d761924063" /><Relationship Type="http://schemas.openxmlformats.org/officeDocument/2006/relationships/image" Target="/xl/media/image5602.jpg" Id="Rbc13faab382f436e" /><Relationship Type="http://schemas.openxmlformats.org/officeDocument/2006/relationships/image" Target="/xl/media/image5603.jpg" Id="R116b8eb18d804e53" /><Relationship Type="http://schemas.openxmlformats.org/officeDocument/2006/relationships/image" Target="/xl/media/image5604.jpg" Id="R079be4129c1045ea" /><Relationship Type="http://schemas.openxmlformats.org/officeDocument/2006/relationships/image" Target="/xl/media/image5605.jpg" Id="R636523d3558f4b3c" /><Relationship Type="http://schemas.openxmlformats.org/officeDocument/2006/relationships/image" Target="/xl/media/image5606.jpg" Id="Rc8b0b126aa3341c9" /><Relationship Type="http://schemas.openxmlformats.org/officeDocument/2006/relationships/image" Target="/xl/media/image5607.jpg" Id="Rd8606f23b8a14e5f" /><Relationship Type="http://schemas.openxmlformats.org/officeDocument/2006/relationships/image" Target="/xl/media/image5608.jpg" Id="R4f8969b283d348e6" /><Relationship Type="http://schemas.openxmlformats.org/officeDocument/2006/relationships/image" Target="/xl/media/image5609.jpg" Id="R09452ffa276046c9" /><Relationship Type="http://schemas.openxmlformats.org/officeDocument/2006/relationships/image" Target="/xl/media/image5610.jpg" Id="Rf3e7fa773ecf4a56" /><Relationship Type="http://schemas.openxmlformats.org/officeDocument/2006/relationships/image" Target="/xl/media/image5611.jpg" Id="R0a57ab9ef769454e" /><Relationship Type="http://schemas.openxmlformats.org/officeDocument/2006/relationships/image" Target="/xl/media/image5612.jpg" Id="Rc1689cc869494083" /><Relationship Type="http://schemas.openxmlformats.org/officeDocument/2006/relationships/image" Target="/xl/media/image5613.jpg" Id="Rcdf156826a864552" /><Relationship Type="http://schemas.openxmlformats.org/officeDocument/2006/relationships/image" Target="/xl/media/image5614.jpg" Id="Re425263929694ae8" /><Relationship Type="http://schemas.openxmlformats.org/officeDocument/2006/relationships/image" Target="/xl/media/image5615.jpg" Id="Rf6a6467242cc4706" /><Relationship Type="http://schemas.openxmlformats.org/officeDocument/2006/relationships/image" Target="/xl/media/image5616.jpg" Id="Rb93388353fc34bb3" /><Relationship Type="http://schemas.openxmlformats.org/officeDocument/2006/relationships/image" Target="/xl/media/image5617.jpg" Id="Rf117da87ba834ef7" /><Relationship Type="http://schemas.openxmlformats.org/officeDocument/2006/relationships/image" Target="/xl/media/image5618.jpg" Id="R6a35a14403de41fc" /><Relationship Type="http://schemas.openxmlformats.org/officeDocument/2006/relationships/image" Target="/xl/media/image5619.jpg" Id="Rc0a38a46a7e24b49" /><Relationship Type="http://schemas.openxmlformats.org/officeDocument/2006/relationships/image" Target="/xl/media/image5620.jpg" Id="R38442531d3f2458b" /><Relationship Type="http://schemas.openxmlformats.org/officeDocument/2006/relationships/image" Target="/xl/media/image5621.jpg" Id="Rb641a83c6f1a4d5d" /><Relationship Type="http://schemas.openxmlformats.org/officeDocument/2006/relationships/image" Target="/xl/media/image5622.jpg" Id="Rb22c14fea84d49f1" /><Relationship Type="http://schemas.openxmlformats.org/officeDocument/2006/relationships/image" Target="/xl/media/image5623.jpg" Id="R13d8442f96bd4312" /><Relationship Type="http://schemas.openxmlformats.org/officeDocument/2006/relationships/image" Target="/xl/media/image5624.jpg" Id="Rcf445641380044fd" /><Relationship Type="http://schemas.openxmlformats.org/officeDocument/2006/relationships/image" Target="/xl/media/image5625.jpg" Id="R73cb1134d8ca404b" /><Relationship Type="http://schemas.openxmlformats.org/officeDocument/2006/relationships/image" Target="/xl/media/image5626.jpg" Id="Rafdf60f0e1404a77" /><Relationship Type="http://schemas.openxmlformats.org/officeDocument/2006/relationships/image" Target="/xl/media/image5627.jpg" Id="R6497014688214238" /><Relationship Type="http://schemas.openxmlformats.org/officeDocument/2006/relationships/image" Target="/xl/media/image5628.jpg" Id="Rcfd4403b445040f0" /><Relationship Type="http://schemas.openxmlformats.org/officeDocument/2006/relationships/image" Target="/xl/media/image5629.jpg" Id="R9865dbee30ea4285" /><Relationship Type="http://schemas.openxmlformats.org/officeDocument/2006/relationships/image" Target="/xl/media/image5630.jpg" Id="R48d6135e09514e09" /><Relationship Type="http://schemas.openxmlformats.org/officeDocument/2006/relationships/image" Target="/xl/media/image5631.jpg" Id="Rd58da4cde217497b" /><Relationship Type="http://schemas.openxmlformats.org/officeDocument/2006/relationships/image" Target="/xl/media/image5632.jpg" Id="R631e2da0bfdd4d7b" /><Relationship Type="http://schemas.openxmlformats.org/officeDocument/2006/relationships/image" Target="/xl/media/image5633.jpg" Id="R2d84322d5a9344e3" /><Relationship Type="http://schemas.openxmlformats.org/officeDocument/2006/relationships/image" Target="/xl/media/image5634.jpg" Id="R48de2f0af99e43f7" /><Relationship Type="http://schemas.openxmlformats.org/officeDocument/2006/relationships/image" Target="/xl/media/image5635.jpg" Id="Re57a5b4d5e8c4bac" /><Relationship Type="http://schemas.openxmlformats.org/officeDocument/2006/relationships/image" Target="/xl/media/image5636.jpg" Id="Rf3e56dfaa8714b92" /><Relationship Type="http://schemas.openxmlformats.org/officeDocument/2006/relationships/image" Target="/xl/media/image5637.jpg" Id="Re9e3e2f80a794c57" /><Relationship Type="http://schemas.openxmlformats.org/officeDocument/2006/relationships/image" Target="/xl/media/image5638.jpg" Id="R640560d27d074b05" /><Relationship Type="http://schemas.openxmlformats.org/officeDocument/2006/relationships/image" Target="/xl/media/image5639.jpg" Id="Rc313c1b938364eb4" /><Relationship Type="http://schemas.openxmlformats.org/officeDocument/2006/relationships/image" Target="/xl/media/image5640.jpg" Id="Re465230e3b98456c" /><Relationship Type="http://schemas.openxmlformats.org/officeDocument/2006/relationships/image" Target="/xl/media/image5641.jpg" Id="Rd6f1ee5f53d54576" /><Relationship Type="http://schemas.openxmlformats.org/officeDocument/2006/relationships/image" Target="/xl/media/image5642.jpg" Id="Red98f9b366234241" /><Relationship Type="http://schemas.openxmlformats.org/officeDocument/2006/relationships/image" Target="/xl/media/image5643.jpg" Id="R8c052497ace94a1f" /><Relationship Type="http://schemas.openxmlformats.org/officeDocument/2006/relationships/image" Target="/xl/media/image5644.jpg" Id="Rb17e523591bc4d59" /><Relationship Type="http://schemas.openxmlformats.org/officeDocument/2006/relationships/image" Target="/xl/media/image5645.jpg" Id="R1b99b69720374d45" /><Relationship Type="http://schemas.openxmlformats.org/officeDocument/2006/relationships/image" Target="/xl/media/image5646.jpg" Id="R32bf9c7ff463405b" /><Relationship Type="http://schemas.openxmlformats.org/officeDocument/2006/relationships/image" Target="/xl/media/image5647.jpg" Id="R988b61e3a9814c73" /><Relationship Type="http://schemas.openxmlformats.org/officeDocument/2006/relationships/image" Target="/xl/media/image5648.jpg" Id="Re7e06a0b61284fdf" /><Relationship Type="http://schemas.openxmlformats.org/officeDocument/2006/relationships/image" Target="/xl/media/image5649.jpg" Id="Rd9725c14a1b54ab0" /><Relationship Type="http://schemas.openxmlformats.org/officeDocument/2006/relationships/image" Target="/xl/media/image5650.jpg" Id="R1f92243708eb42db" /><Relationship Type="http://schemas.openxmlformats.org/officeDocument/2006/relationships/image" Target="/xl/media/image5651.jpg" Id="R643fbeee287f4fcc" /><Relationship Type="http://schemas.openxmlformats.org/officeDocument/2006/relationships/image" Target="/xl/media/image5652.jpg" Id="R1483703618a14aaa" /><Relationship Type="http://schemas.openxmlformats.org/officeDocument/2006/relationships/image" Target="/xl/media/image5653.jpg" Id="Rced571270ce94e16" /><Relationship Type="http://schemas.openxmlformats.org/officeDocument/2006/relationships/image" Target="/xl/media/image5654.jpg" Id="R43fdd90a56bc48c0" /><Relationship Type="http://schemas.openxmlformats.org/officeDocument/2006/relationships/image" Target="/xl/media/image5655.jpg" Id="Rd0995eab0d324e51" /><Relationship Type="http://schemas.openxmlformats.org/officeDocument/2006/relationships/image" Target="/xl/media/image5656.jpg" Id="Reb83ebe62dd9433b" /><Relationship Type="http://schemas.openxmlformats.org/officeDocument/2006/relationships/image" Target="/xl/media/image5657.jpg" Id="R08222f9fa9a24b62" /><Relationship Type="http://schemas.openxmlformats.org/officeDocument/2006/relationships/image" Target="/xl/media/image5658.jpg" Id="Rd4ed5be82c2742d5" /><Relationship Type="http://schemas.openxmlformats.org/officeDocument/2006/relationships/image" Target="/xl/media/image5659.jpg" Id="R6a38d992accc4a45" /><Relationship Type="http://schemas.openxmlformats.org/officeDocument/2006/relationships/image" Target="/xl/media/image5660.jpg" Id="R1820d5f4f9ac41ed" /><Relationship Type="http://schemas.openxmlformats.org/officeDocument/2006/relationships/image" Target="/xl/media/image5661.jpg" Id="R94fc0698e1f94288" /><Relationship Type="http://schemas.openxmlformats.org/officeDocument/2006/relationships/image" Target="/xl/media/image5662.jpg" Id="R9de7ef2524c74553" /><Relationship Type="http://schemas.openxmlformats.org/officeDocument/2006/relationships/image" Target="/xl/media/image5663.jpg" Id="Rdf74110ec0e04b70" /><Relationship Type="http://schemas.openxmlformats.org/officeDocument/2006/relationships/image" Target="/xl/media/image5664.jpg" Id="R93538097b88840f0" /><Relationship Type="http://schemas.openxmlformats.org/officeDocument/2006/relationships/image" Target="/xl/media/image5665.jpg" Id="R06da76031b894321" /><Relationship Type="http://schemas.openxmlformats.org/officeDocument/2006/relationships/image" Target="/xl/media/image5666.jpg" Id="Rebff8ec4095144a6" /><Relationship Type="http://schemas.openxmlformats.org/officeDocument/2006/relationships/image" Target="/xl/media/image5667.jpg" Id="Redf41cefc8ee4025" /><Relationship Type="http://schemas.openxmlformats.org/officeDocument/2006/relationships/image" Target="/xl/media/image5668.jpg" Id="R244d0951a49a42b6" /><Relationship Type="http://schemas.openxmlformats.org/officeDocument/2006/relationships/image" Target="/xl/media/image5669.jpg" Id="Reba89d64cb5a4098" /><Relationship Type="http://schemas.openxmlformats.org/officeDocument/2006/relationships/image" Target="/xl/media/image5670.jpg" Id="R7b4716e133a64c1d" /><Relationship Type="http://schemas.openxmlformats.org/officeDocument/2006/relationships/image" Target="/xl/media/image5671.jpg" Id="Ra079e8435c4d4c92" /><Relationship Type="http://schemas.openxmlformats.org/officeDocument/2006/relationships/image" Target="/xl/media/image5672.jpg" Id="R8dd32f864fd54852" /><Relationship Type="http://schemas.openxmlformats.org/officeDocument/2006/relationships/image" Target="/xl/media/image5673.jpg" Id="R004dfabe5d244bc9" /><Relationship Type="http://schemas.openxmlformats.org/officeDocument/2006/relationships/image" Target="/xl/media/image5674.jpg" Id="Rca90689f5d7c4193" /><Relationship Type="http://schemas.openxmlformats.org/officeDocument/2006/relationships/image" Target="/xl/media/image5675.jpg" Id="Re300ecea183c4584" /><Relationship Type="http://schemas.openxmlformats.org/officeDocument/2006/relationships/image" Target="/xl/media/image5676.jpg" Id="Rf704b135ffe341da" /><Relationship Type="http://schemas.openxmlformats.org/officeDocument/2006/relationships/image" Target="/xl/media/image5677.jpg" Id="R61985e1ec72d4c6c" /><Relationship Type="http://schemas.openxmlformats.org/officeDocument/2006/relationships/image" Target="/xl/media/image5678.jpg" Id="R55a8bd3c50454b21" /><Relationship Type="http://schemas.openxmlformats.org/officeDocument/2006/relationships/image" Target="/xl/media/image5679.jpg" Id="Rddb0af217f38461c" /><Relationship Type="http://schemas.openxmlformats.org/officeDocument/2006/relationships/image" Target="/xl/media/image5680.jpg" Id="R65fe4a26906e45b3" /><Relationship Type="http://schemas.openxmlformats.org/officeDocument/2006/relationships/image" Target="/xl/media/image5681.jpg" Id="R968299d0aae442c1" /><Relationship Type="http://schemas.openxmlformats.org/officeDocument/2006/relationships/image" Target="/xl/media/image5682.jpg" Id="R6fbf754827784cfa" /><Relationship Type="http://schemas.openxmlformats.org/officeDocument/2006/relationships/image" Target="/xl/media/image5683.jpg" Id="R87f85bb214264c46" /><Relationship Type="http://schemas.openxmlformats.org/officeDocument/2006/relationships/image" Target="/xl/media/image5684.jpg" Id="Rd7b5ad01d09b44a0" /><Relationship Type="http://schemas.openxmlformats.org/officeDocument/2006/relationships/image" Target="/xl/media/image5685.jpg" Id="Rf6a4c4fc7b4b402d" /><Relationship Type="http://schemas.openxmlformats.org/officeDocument/2006/relationships/image" Target="/xl/media/image5686.jpg" Id="R719677f1d42f4fb5" /><Relationship Type="http://schemas.openxmlformats.org/officeDocument/2006/relationships/image" Target="/xl/media/image5687.jpg" Id="Rf06ec035aa52468a" /><Relationship Type="http://schemas.openxmlformats.org/officeDocument/2006/relationships/image" Target="/xl/media/image5688.jpg" Id="R24f3fc54f4a44d05" /><Relationship Type="http://schemas.openxmlformats.org/officeDocument/2006/relationships/image" Target="/xl/media/image5689.jpg" Id="R81f5ed74cd09480b" /><Relationship Type="http://schemas.openxmlformats.org/officeDocument/2006/relationships/image" Target="/xl/media/image5690.jpg" Id="Ra4cc4b7aec5b4ee1" /><Relationship Type="http://schemas.openxmlformats.org/officeDocument/2006/relationships/image" Target="/xl/media/image5691.jpg" Id="R294d12e52be247c2" /><Relationship Type="http://schemas.openxmlformats.org/officeDocument/2006/relationships/image" Target="/xl/media/image5692.jpg" Id="R8a5ffc6ce2d240b2" /><Relationship Type="http://schemas.openxmlformats.org/officeDocument/2006/relationships/image" Target="/xl/media/image5693.jpg" Id="Re2c7de7af5d843a2" /><Relationship Type="http://schemas.openxmlformats.org/officeDocument/2006/relationships/image" Target="/xl/media/image5694.jpg" Id="Rfc77e4eda42d4195" /><Relationship Type="http://schemas.openxmlformats.org/officeDocument/2006/relationships/image" Target="/xl/media/image5695.jpg" Id="Re4a0880f3c814590" /><Relationship Type="http://schemas.openxmlformats.org/officeDocument/2006/relationships/image" Target="/xl/media/image5696.jpg" Id="Ra528d99fe5ce435e" /><Relationship Type="http://schemas.openxmlformats.org/officeDocument/2006/relationships/image" Target="/xl/media/image5697.jpg" Id="Ra1122bed2fa54a62" /><Relationship Type="http://schemas.openxmlformats.org/officeDocument/2006/relationships/image" Target="/xl/media/image5698.jpg" Id="R9d3bab42e4f64dd8" /><Relationship Type="http://schemas.openxmlformats.org/officeDocument/2006/relationships/image" Target="/xl/media/image5699.jpg" Id="Rd9c4ca84fec04297" /><Relationship Type="http://schemas.openxmlformats.org/officeDocument/2006/relationships/image" Target="/xl/media/image5700.jpg" Id="Ree30adb1b2c84e4d" /><Relationship Type="http://schemas.openxmlformats.org/officeDocument/2006/relationships/image" Target="/xl/media/image5701.jpg" Id="R7c1948c2d5a44b4b" /><Relationship Type="http://schemas.openxmlformats.org/officeDocument/2006/relationships/image" Target="/xl/media/image5702.jpg" Id="Rc5a24c5788c44a06" /><Relationship Type="http://schemas.openxmlformats.org/officeDocument/2006/relationships/image" Target="/xl/media/image5703.jpg" Id="Rac6156f6b7d54033" /><Relationship Type="http://schemas.openxmlformats.org/officeDocument/2006/relationships/image" Target="/xl/media/image5704.jpg" Id="R4ac9f805a3bf4e2e" /><Relationship Type="http://schemas.openxmlformats.org/officeDocument/2006/relationships/image" Target="/xl/media/image5705.jpg" Id="R7536eec7488d4522" /><Relationship Type="http://schemas.openxmlformats.org/officeDocument/2006/relationships/image" Target="/xl/media/image5706.jpg" Id="R1149c2c8a54c4fd7" /><Relationship Type="http://schemas.openxmlformats.org/officeDocument/2006/relationships/image" Target="/xl/media/image5707.jpg" Id="R55055bd3190442ce" /><Relationship Type="http://schemas.openxmlformats.org/officeDocument/2006/relationships/image" Target="/xl/media/image5708.jpg" Id="Rdb9ac45e35fa4d67" /><Relationship Type="http://schemas.openxmlformats.org/officeDocument/2006/relationships/image" Target="/xl/media/image5709.jpg" Id="Rc1ac23bb0dcb4f6a" /><Relationship Type="http://schemas.openxmlformats.org/officeDocument/2006/relationships/image" Target="/xl/media/image5710.jpg" Id="Rb858d881bbdd4d0d" /><Relationship Type="http://schemas.openxmlformats.org/officeDocument/2006/relationships/image" Target="/xl/media/image5711.jpg" Id="Rb318ec74d75543a4" /><Relationship Type="http://schemas.openxmlformats.org/officeDocument/2006/relationships/image" Target="/xl/media/image5712.jpg" Id="Rb128db840dcb4b7f" /><Relationship Type="http://schemas.openxmlformats.org/officeDocument/2006/relationships/image" Target="/xl/media/image5713.jpg" Id="R917d4c1e8a154b5c" /><Relationship Type="http://schemas.openxmlformats.org/officeDocument/2006/relationships/image" Target="/xl/media/image5714.jpg" Id="Ra61db77c367e485a" /><Relationship Type="http://schemas.openxmlformats.org/officeDocument/2006/relationships/image" Target="/xl/media/image5715.jpg" Id="Rcc594c18a86e4286" /><Relationship Type="http://schemas.openxmlformats.org/officeDocument/2006/relationships/image" Target="/xl/media/image5716.jpg" Id="R3d749a093f9348fb" /><Relationship Type="http://schemas.openxmlformats.org/officeDocument/2006/relationships/image" Target="/xl/media/image5717.jpg" Id="R2f2bf957cf7c4a53" /><Relationship Type="http://schemas.openxmlformats.org/officeDocument/2006/relationships/image" Target="/xl/media/image5718.jpg" Id="R8cf16c30bcca41db" /><Relationship Type="http://schemas.openxmlformats.org/officeDocument/2006/relationships/image" Target="/xl/media/image5719.jpg" Id="R96920c25f7504553" /><Relationship Type="http://schemas.openxmlformats.org/officeDocument/2006/relationships/image" Target="/xl/media/image5720.jpg" Id="R25f0e90fedbf4a23" /><Relationship Type="http://schemas.openxmlformats.org/officeDocument/2006/relationships/image" Target="/xl/media/image5721.jpg" Id="Raf748e48ee52431e" /><Relationship Type="http://schemas.openxmlformats.org/officeDocument/2006/relationships/image" Target="/xl/media/image5722.jpg" Id="R6ff85377b85c4c49" /><Relationship Type="http://schemas.openxmlformats.org/officeDocument/2006/relationships/image" Target="/xl/media/image5723.jpg" Id="Rb416f05ddaec48c7" /><Relationship Type="http://schemas.openxmlformats.org/officeDocument/2006/relationships/image" Target="/xl/media/image5724.jpg" Id="Rad694bcfa1a446e9" /><Relationship Type="http://schemas.openxmlformats.org/officeDocument/2006/relationships/image" Target="/xl/media/image5725.jpg" Id="R1ce0aa69ea6c4514" /><Relationship Type="http://schemas.openxmlformats.org/officeDocument/2006/relationships/image" Target="/xl/media/image5726.jpg" Id="R0b6d9d2852b64267" /><Relationship Type="http://schemas.openxmlformats.org/officeDocument/2006/relationships/image" Target="/xl/media/image5727.jpg" Id="Rb1e4a21b631a4ec5" /><Relationship Type="http://schemas.openxmlformats.org/officeDocument/2006/relationships/image" Target="/xl/media/image5728.jpg" Id="Ra5638974fe214ae7" /><Relationship Type="http://schemas.openxmlformats.org/officeDocument/2006/relationships/image" Target="/xl/media/image5729.jpg" Id="R61592777f0264081" /><Relationship Type="http://schemas.openxmlformats.org/officeDocument/2006/relationships/image" Target="/xl/media/image5730.jpg" Id="Rd975fdab1db94b5f" /><Relationship Type="http://schemas.openxmlformats.org/officeDocument/2006/relationships/image" Target="/xl/media/image5731.jpg" Id="Rf4074b58fe8b492d" /><Relationship Type="http://schemas.openxmlformats.org/officeDocument/2006/relationships/image" Target="/xl/media/image5732.jpg" Id="Rba4cd3ec27af41df" /><Relationship Type="http://schemas.openxmlformats.org/officeDocument/2006/relationships/image" Target="/xl/media/image5733.jpg" Id="R1bd3667b65334d31" /><Relationship Type="http://schemas.openxmlformats.org/officeDocument/2006/relationships/image" Target="/xl/media/image5734.jpg" Id="R3a1b0d8563604340" /><Relationship Type="http://schemas.openxmlformats.org/officeDocument/2006/relationships/image" Target="/xl/media/image5735.jpg" Id="Rbbae71bf3893481b" /><Relationship Type="http://schemas.openxmlformats.org/officeDocument/2006/relationships/image" Target="/xl/media/image5736.jpg" Id="Refeb789e3b804e6a" /><Relationship Type="http://schemas.openxmlformats.org/officeDocument/2006/relationships/image" Target="/xl/media/image5737.jpg" Id="R7858ee077aa24251" /><Relationship Type="http://schemas.openxmlformats.org/officeDocument/2006/relationships/image" Target="/xl/media/image5738.jpg" Id="R124b5261adba48cb" /><Relationship Type="http://schemas.openxmlformats.org/officeDocument/2006/relationships/image" Target="/xl/media/image5739.jpg" Id="R84a316e5707541ee" /><Relationship Type="http://schemas.openxmlformats.org/officeDocument/2006/relationships/image" Target="/xl/media/image5740.jpg" Id="Rfb4e4dee4c9749aa" /><Relationship Type="http://schemas.openxmlformats.org/officeDocument/2006/relationships/image" Target="/xl/media/image5741.jpg" Id="R11c359afe1924ff3" /><Relationship Type="http://schemas.openxmlformats.org/officeDocument/2006/relationships/image" Target="/xl/media/image5742.jpg" Id="R8ca4864bdd954d88" /><Relationship Type="http://schemas.openxmlformats.org/officeDocument/2006/relationships/image" Target="/xl/media/image5743.jpg" Id="R5a9594986b944805" /><Relationship Type="http://schemas.openxmlformats.org/officeDocument/2006/relationships/image" Target="/xl/media/image5744.jpg" Id="R2124d586f03d4dcc" /><Relationship Type="http://schemas.openxmlformats.org/officeDocument/2006/relationships/image" Target="/xl/media/image5745.jpg" Id="R32e98cd84d3f45d2" /><Relationship Type="http://schemas.openxmlformats.org/officeDocument/2006/relationships/image" Target="/xl/media/image5746.jpg" Id="R4da1b5f7b8844422" /><Relationship Type="http://schemas.openxmlformats.org/officeDocument/2006/relationships/image" Target="/xl/media/image5747.jpg" Id="Ra45cd4bcec7e4e02" /><Relationship Type="http://schemas.openxmlformats.org/officeDocument/2006/relationships/image" Target="/xl/media/image5748.jpg" Id="R762d8c0e48af4cfd" /><Relationship Type="http://schemas.openxmlformats.org/officeDocument/2006/relationships/image" Target="/xl/media/image5749.jpg" Id="R092f8da2964240e3" /><Relationship Type="http://schemas.openxmlformats.org/officeDocument/2006/relationships/image" Target="/xl/media/image5750.jpg" Id="R3c54b4570b354189" /><Relationship Type="http://schemas.openxmlformats.org/officeDocument/2006/relationships/image" Target="/xl/media/image5751.jpg" Id="R41f05fae640e4295" /><Relationship Type="http://schemas.openxmlformats.org/officeDocument/2006/relationships/image" Target="/xl/media/image5752.jpg" Id="R398d9b5f78994eee" /><Relationship Type="http://schemas.openxmlformats.org/officeDocument/2006/relationships/image" Target="/xl/media/image5753.jpg" Id="Rc8947d984fed469a" /><Relationship Type="http://schemas.openxmlformats.org/officeDocument/2006/relationships/image" Target="/xl/media/image5754.jpg" Id="Rae7d682af96041bf" /><Relationship Type="http://schemas.openxmlformats.org/officeDocument/2006/relationships/image" Target="/xl/media/image5755.jpg" Id="Ra4828126a18e4bfc" /><Relationship Type="http://schemas.openxmlformats.org/officeDocument/2006/relationships/image" Target="/xl/media/image5756.jpg" Id="R3ab5916b9ee44ce7" /><Relationship Type="http://schemas.openxmlformats.org/officeDocument/2006/relationships/image" Target="/xl/media/image5757.jpg" Id="Rad4ef79b610044b9" /><Relationship Type="http://schemas.openxmlformats.org/officeDocument/2006/relationships/image" Target="/xl/media/image5758.jpg" Id="R289536449bf94acf" /><Relationship Type="http://schemas.openxmlformats.org/officeDocument/2006/relationships/image" Target="/xl/media/image5759.jpg" Id="R4e68da3e7296434c" /><Relationship Type="http://schemas.openxmlformats.org/officeDocument/2006/relationships/image" Target="/xl/media/image5760.jpg" Id="R8c340a3427234547" /><Relationship Type="http://schemas.openxmlformats.org/officeDocument/2006/relationships/image" Target="/xl/media/image5761.jpg" Id="R4f62aedbe6224f00" /><Relationship Type="http://schemas.openxmlformats.org/officeDocument/2006/relationships/image" Target="/xl/media/image5762.jpg" Id="Rc64f56e924f946fe" /><Relationship Type="http://schemas.openxmlformats.org/officeDocument/2006/relationships/image" Target="/xl/media/image5763.jpg" Id="Rd280f65da5804855" /><Relationship Type="http://schemas.openxmlformats.org/officeDocument/2006/relationships/image" Target="/xl/media/image5764.jpg" Id="R079a7aab2b984c24" /><Relationship Type="http://schemas.openxmlformats.org/officeDocument/2006/relationships/image" Target="/xl/media/image5765.jpg" Id="R1a0fbbe0f424418d" /><Relationship Type="http://schemas.openxmlformats.org/officeDocument/2006/relationships/image" Target="/xl/media/image5766.jpg" Id="Rd227742a109e48cc" /><Relationship Type="http://schemas.openxmlformats.org/officeDocument/2006/relationships/image" Target="/xl/media/image5767.jpg" Id="R075a2491bff14b81" /><Relationship Type="http://schemas.openxmlformats.org/officeDocument/2006/relationships/image" Target="/xl/media/image5768.jpg" Id="R93f6329e74754cee" /><Relationship Type="http://schemas.openxmlformats.org/officeDocument/2006/relationships/image" Target="/xl/media/image5769.jpg" Id="Rcb23d3dab4f8456f" /><Relationship Type="http://schemas.openxmlformats.org/officeDocument/2006/relationships/image" Target="/xl/media/image5770.jpg" Id="Rdfa3575a4685406c" /><Relationship Type="http://schemas.openxmlformats.org/officeDocument/2006/relationships/image" Target="/xl/media/image5771.jpg" Id="Rbc624e063f134e5a" /><Relationship Type="http://schemas.openxmlformats.org/officeDocument/2006/relationships/image" Target="/xl/media/image5772.jpg" Id="Rd9187b5843374934" /><Relationship Type="http://schemas.openxmlformats.org/officeDocument/2006/relationships/image" Target="/xl/media/image5773.jpg" Id="Ra15f46b59a254fb1" /><Relationship Type="http://schemas.openxmlformats.org/officeDocument/2006/relationships/image" Target="/xl/media/image5774.jpg" Id="R48ae6df20e744a37" /><Relationship Type="http://schemas.openxmlformats.org/officeDocument/2006/relationships/image" Target="/xl/media/image5775.jpg" Id="Rc70704ff3dc4443d" /><Relationship Type="http://schemas.openxmlformats.org/officeDocument/2006/relationships/image" Target="/xl/media/image5776.jpg" Id="Rb63bc26d229a4320" /><Relationship Type="http://schemas.openxmlformats.org/officeDocument/2006/relationships/image" Target="/xl/media/image5777.jpg" Id="R058f6bef4c314791" /><Relationship Type="http://schemas.openxmlformats.org/officeDocument/2006/relationships/image" Target="/xl/media/image5778.jpg" Id="R71b0f9d1c1a84448" /><Relationship Type="http://schemas.openxmlformats.org/officeDocument/2006/relationships/image" Target="/xl/media/image5779.jpg" Id="R9bb8d68aac314bf8" /><Relationship Type="http://schemas.openxmlformats.org/officeDocument/2006/relationships/image" Target="/xl/media/image5780.jpg" Id="R84033d75b36e40c9" /><Relationship Type="http://schemas.openxmlformats.org/officeDocument/2006/relationships/image" Target="/xl/media/image5781.jpg" Id="Rad003089b7304b80" /><Relationship Type="http://schemas.openxmlformats.org/officeDocument/2006/relationships/image" Target="/xl/media/image5782.jpg" Id="R2d06e61fe9e8460a" /><Relationship Type="http://schemas.openxmlformats.org/officeDocument/2006/relationships/image" Target="/xl/media/image5783.jpg" Id="R381f74d986634552" /><Relationship Type="http://schemas.openxmlformats.org/officeDocument/2006/relationships/image" Target="/xl/media/image5784.jpg" Id="R3190b19d8ab1481f" /><Relationship Type="http://schemas.openxmlformats.org/officeDocument/2006/relationships/image" Target="/xl/media/image5785.jpg" Id="R1b2842c47c4b4e59" /><Relationship Type="http://schemas.openxmlformats.org/officeDocument/2006/relationships/image" Target="/xl/media/image5786.jpg" Id="Re43742b6aa564555" /><Relationship Type="http://schemas.openxmlformats.org/officeDocument/2006/relationships/image" Target="/xl/media/image5787.jpg" Id="Ra33d86a0c8de4db9" /><Relationship Type="http://schemas.openxmlformats.org/officeDocument/2006/relationships/image" Target="/xl/media/image5788.jpg" Id="Re18b9d8c9a6c4de1" /><Relationship Type="http://schemas.openxmlformats.org/officeDocument/2006/relationships/image" Target="/xl/media/image5789.jpg" Id="R5959cabbbd0e4d24" /><Relationship Type="http://schemas.openxmlformats.org/officeDocument/2006/relationships/image" Target="/xl/media/image5790.jpg" Id="R0675dc256eca4eae" /><Relationship Type="http://schemas.openxmlformats.org/officeDocument/2006/relationships/image" Target="/xl/media/image5791.jpg" Id="R401779b5a89e48a8" /><Relationship Type="http://schemas.openxmlformats.org/officeDocument/2006/relationships/image" Target="/xl/media/image5792.jpg" Id="R9f5113bf465445f1" /><Relationship Type="http://schemas.openxmlformats.org/officeDocument/2006/relationships/image" Target="/xl/media/image5793.jpg" Id="Ra42e3d645f5d47b0" /><Relationship Type="http://schemas.openxmlformats.org/officeDocument/2006/relationships/image" Target="/xl/media/image5794.jpg" Id="Rd51314c345b54ef3" /><Relationship Type="http://schemas.openxmlformats.org/officeDocument/2006/relationships/image" Target="/xl/media/image5795.jpg" Id="R94af8feaf692413a" /><Relationship Type="http://schemas.openxmlformats.org/officeDocument/2006/relationships/image" Target="/xl/media/image5796.jpg" Id="R3628c2946b424f7d" /><Relationship Type="http://schemas.openxmlformats.org/officeDocument/2006/relationships/image" Target="/xl/media/image5797.jpg" Id="Rebcb9d2cd9864cf0" /><Relationship Type="http://schemas.openxmlformats.org/officeDocument/2006/relationships/image" Target="/xl/media/image5798.jpg" Id="R5573cb985f564e69" /><Relationship Type="http://schemas.openxmlformats.org/officeDocument/2006/relationships/image" Target="/xl/media/image5799.jpg" Id="R6a053cdf31184473" /><Relationship Type="http://schemas.openxmlformats.org/officeDocument/2006/relationships/image" Target="/xl/media/image5800.jpg" Id="R1148a43f1b224055" /><Relationship Type="http://schemas.openxmlformats.org/officeDocument/2006/relationships/image" Target="/xl/media/image5801.jpg" Id="R3669bf58d63e4792" /><Relationship Type="http://schemas.openxmlformats.org/officeDocument/2006/relationships/image" Target="/xl/media/image5802.jpg" Id="R923c367ff4454252" /><Relationship Type="http://schemas.openxmlformats.org/officeDocument/2006/relationships/image" Target="/xl/media/image5803.jpg" Id="R638da9b9c68744f6" /><Relationship Type="http://schemas.openxmlformats.org/officeDocument/2006/relationships/image" Target="/xl/media/image5804.jpg" Id="Rb96129db92d740a3" /><Relationship Type="http://schemas.openxmlformats.org/officeDocument/2006/relationships/image" Target="/xl/media/image5805.jpg" Id="R0cf9d1e5384c400f" /><Relationship Type="http://schemas.openxmlformats.org/officeDocument/2006/relationships/image" Target="/xl/media/image5806.jpg" Id="R51875b402f31460c" /><Relationship Type="http://schemas.openxmlformats.org/officeDocument/2006/relationships/image" Target="/xl/media/image5807.jpg" Id="R4c1da33355de4cd3" /><Relationship Type="http://schemas.openxmlformats.org/officeDocument/2006/relationships/image" Target="/xl/media/image5808.jpg" Id="Rd3c62c6d5b24407a" /><Relationship Type="http://schemas.openxmlformats.org/officeDocument/2006/relationships/image" Target="/xl/media/image5809.jpg" Id="Ra1f9d2eb984b4689" /><Relationship Type="http://schemas.openxmlformats.org/officeDocument/2006/relationships/image" Target="/xl/media/image5810.jpg" Id="Rde62a69eeff14386" /><Relationship Type="http://schemas.openxmlformats.org/officeDocument/2006/relationships/image" Target="/xl/media/image5811.jpg" Id="R9bd3f373474a42d6" /><Relationship Type="http://schemas.openxmlformats.org/officeDocument/2006/relationships/image" Target="/xl/media/image5812.jpg" Id="R544236f5976348bb" /><Relationship Type="http://schemas.openxmlformats.org/officeDocument/2006/relationships/image" Target="/xl/media/image5813.jpg" Id="R7640f0985a9b44d8" /><Relationship Type="http://schemas.openxmlformats.org/officeDocument/2006/relationships/image" Target="/xl/media/image5814.jpg" Id="R67ef35cc357647ef" /><Relationship Type="http://schemas.openxmlformats.org/officeDocument/2006/relationships/image" Target="/xl/media/image5815.jpg" Id="R1001beb7dacd4ebb" /><Relationship Type="http://schemas.openxmlformats.org/officeDocument/2006/relationships/image" Target="/xl/media/image5816.jpg" Id="R512cfc4058ca417e" /><Relationship Type="http://schemas.openxmlformats.org/officeDocument/2006/relationships/image" Target="/xl/media/image5817.jpg" Id="R6203fc340d234d5d" /><Relationship Type="http://schemas.openxmlformats.org/officeDocument/2006/relationships/image" Target="/xl/media/image5818.jpg" Id="R46ea4b92bb5c4922" /><Relationship Type="http://schemas.openxmlformats.org/officeDocument/2006/relationships/image" Target="/xl/media/image5819.jpg" Id="Rfcd4eea4e5144e86" /><Relationship Type="http://schemas.openxmlformats.org/officeDocument/2006/relationships/image" Target="/xl/media/image5820.jpg" Id="Ra8678faed6dd486f" /><Relationship Type="http://schemas.openxmlformats.org/officeDocument/2006/relationships/image" Target="/xl/media/image5821.jpg" Id="R9674e143d3bc4e38" /><Relationship Type="http://schemas.openxmlformats.org/officeDocument/2006/relationships/image" Target="/xl/media/image5822.jpg" Id="Rce337f851ac24aef" /><Relationship Type="http://schemas.openxmlformats.org/officeDocument/2006/relationships/image" Target="/xl/media/image5823.jpg" Id="Rd74cbde093d541f8" /><Relationship Type="http://schemas.openxmlformats.org/officeDocument/2006/relationships/image" Target="/xl/media/image5824.jpg" Id="R87c2445719584748" /><Relationship Type="http://schemas.openxmlformats.org/officeDocument/2006/relationships/image" Target="/xl/media/image5825.jpg" Id="Rd523524376954c7a" /><Relationship Type="http://schemas.openxmlformats.org/officeDocument/2006/relationships/image" Target="/xl/media/image5826.jpg" Id="Rf10ac0ff3c81447f" /><Relationship Type="http://schemas.openxmlformats.org/officeDocument/2006/relationships/image" Target="/xl/media/image5827.jpg" Id="Ra5f86bc7fe5a4d01" /><Relationship Type="http://schemas.openxmlformats.org/officeDocument/2006/relationships/image" Target="/xl/media/image5828.jpg" Id="Raf8f262d6f5048f7" /><Relationship Type="http://schemas.openxmlformats.org/officeDocument/2006/relationships/image" Target="/xl/media/image5829.jpg" Id="R477bf3e6e893483a" /><Relationship Type="http://schemas.openxmlformats.org/officeDocument/2006/relationships/image" Target="/xl/media/image5830.jpg" Id="Re47e45a4c9bd4fbf" /><Relationship Type="http://schemas.openxmlformats.org/officeDocument/2006/relationships/image" Target="/xl/media/image5831.jpg" Id="R0b04945e17144ae2" /><Relationship Type="http://schemas.openxmlformats.org/officeDocument/2006/relationships/image" Target="/xl/media/image5832.jpg" Id="R89f724a91a5345fb" /><Relationship Type="http://schemas.openxmlformats.org/officeDocument/2006/relationships/image" Target="/xl/media/image5833.jpg" Id="R88d86716f96e4fcd" /><Relationship Type="http://schemas.openxmlformats.org/officeDocument/2006/relationships/image" Target="/xl/media/image5834.jpg" Id="R6f34d9c3c1bc4916" /><Relationship Type="http://schemas.openxmlformats.org/officeDocument/2006/relationships/image" Target="/xl/media/image5835.jpg" Id="Rbe9e3893162d4135" /><Relationship Type="http://schemas.openxmlformats.org/officeDocument/2006/relationships/image" Target="/xl/media/image5836.jpg" Id="Rffe90ea5a0c74ad3" /><Relationship Type="http://schemas.openxmlformats.org/officeDocument/2006/relationships/image" Target="/xl/media/image5837.jpg" Id="R191ef95987354c6e" /><Relationship Type="http://schemas.openxmlformats.org/officeDocument/2006/relationships/image" Target="/xl/media/image5838.jpg" Id="R5b934436c00f4570" /><Relationship Type="http://schemas.openxmlformats.org/officeDocument/2006/relationships/image" Target="/xl/media/image5839.jpg" Id="R930592b820c94018" /><Relationship Type="http://schemas.openxmlformats.org/officeDocument/2006/relationships/image" Target="/xl/media/image5840.jpg" Id="R57af3894f6754439" /><Relationship Type="http://schemas.openxmlformats.org/officeDocument/2006/relationships/image" Target="/xl/media/image5841.jpg" Id="Rea0d769d98104025" /><Relationship Type="http://schemas.openxmlformats.org/officeDocument/2006/relationships/image" Target="/xl/media/image5842.jpg" Id="R8950ac37541141cf" /><Relationship Type="http://schemas.openxmlformats.org/officeDocument/2006/relationships/image" Target="/xl/media/image5843.jpg" Id="R278a1f9dbf404758" /><Relationship Type="http://schemas.openxmlformats.org/officeDocument/2006/relationships/image" Target="/xl/media/image5844.jpg" Id="Rfdb9573fd7954263" /><Relationship Type="http://schemas.openxmlformats.org/officeDocument/2006/relationships/image" Target="/xl/media/image5845.jpg" Id="Rb9610d1150b54507" /><Relationship Type="http://schemas.openxmlformats.org/officeDocument/2006/relationships/image" Target="/xl/media/image5846.jpg" Id="R014aafe87bc94222" /><Relationship Type="http://schemas.openxmlformats.org/officeDocument/2006/relationships/image" Target="/xl/media/image5847.jpg" Id="Ra0e5eae60d1c46d0" /><Relationship Type="http://schemas.openxmlformats.org/officeDocument/2006/relationships/image" Target="/xl/media/image5848.jpg" Id="R75368ee75e57414d" /><Relationship Type="http://schemas.openxmlformats.org/officeDocument/2006/relationships/image" Target="/xl/media/image5849.jpg" Id="R3f83a690038d4aeb" /><Relationship Type="http://schemas.openxmlformats.org/officeDocument/2006/relationships/image" Target="/xl/media/image5850.jpg" Id="R0cf8f3044b1c4267" /><Relationship Type="http://schemas.openxmlformats.org/officeDocument/2006/relationships/image" Target="/xl/media/image5851.jpg" Id="Rf434737061714cba" /><Relationship Type="http://schemas.openxmlformats.org/officeDocument/2006/relationships/image" Target="/xl/media/image5852.jpg" Id="R210b51e7c00a4b89" /><Relationship Type="http://schemas.openxmlformats.org/officeDocument/2006/relationships/image" Target="/xl/media/image5853.jpg" Id="Rb660f5b032b74f6b" /><Relationship Type="http://schemas.openxmlformats.org/officeDocument/2006/relationships/image" Target="/xl/media/image5854.jpg" Id="R53103f1013d64eee" /><Relationship Type="http://schemas.openxmlformats.org/officeDocument/2006/relationships/image" Target="/xl/media/image5855.jpg" Id="R4e761ed0081b45d7" /><Relationship Type="http://schemas.openxmlformats.org/officeDocument/2006/relationships/image" Target="/xl/media/image5856.jpg" Id="R5bb069cfed534ddd" /><Relationship Type="http://schemas.openxmlformats.org/officeDocument/2006/relationships/image" Target="/xl/media/image5857.jpg" Id="R6c065ba191844c36" /><Relationship Type="http://schemas.openxmlformats.org/officeDocument/2006/relationships/image" Target="/xl/media/image5858.jpg" Id="R317db2aa922349ec" /><Relationship Type="http://schemas.openxmlformats.org/officeDocument/2006/relationships/image" Target="/xl/media/image5859.jpg" Id="Rd766aecf07d84307" /><Relationship Type="http://schemas.openxmlformats.org/officeDocument/2006/relationships/image" Target="/xl/media/image5860.jpg" Id="Rb2ad16f488e8412d" /><Relationship Type="http://schemas.openxmlformats.org/officeDocument/2006/relationships/image" Target="/xl/media/image5861.jpg" Id="R28108dc834604b4d" /><Relationship Type="http://schemas.openxmlformats.org/officeDocument/2006/relationships/image" Target="/xl/media/image5862.jpg" Id="R5f4e8a72069d444c" /><Relationship Type="http://schemas.openxmlformats.org/officeDocument/2006/relationships/image" Target="/xl/media/image5863.jpg" Id="R46235336267a4e74" /><Relationship Type="http://schemas.openxmlformats.org/officeDocument/2006/relationships/image" Target="/xl/media/image5864.jpg" Id="R452030adf9bf4a71" /><Relationship Type="http://schemas.openxmlformats.org/officeDocument/2006/relationships/image" Target="/xl/media/image5865.jpg" Id="R7c778ca16c554fc6" /><Relationship Type="http://schemas.openxmlformats.org/officeDocument/2006/relationships/image" Target="/xl/media/image5866.jpg" Id="R88536483ec5a46d8" /><Relationship Type="http://schemas.openxmlformats.org/officeDocument/2006/relationships/image" Target="/xl/media/image5867.jpg" Id="Ra04eb57a819149d8" /><Relationship Type="http://schemas.openxmlformats.org/officeDocument/2006/relationships/image" Target="/xl/media/image5868.jpg" Id="R882e98f21653484b" /><Relationship Type="http://schemas.openxmlformats.org/officeDocument/2006/relationships/image" Target="/xl/media/image5869.jpg" Id="R467babba0baf4af4" /><Relationship Type="http://schemas.openxmlformats.org/officeDocument/2006/relationships/image" Target="/xl/media/image5870.jpg" Id="R9f73375846884161" /><Relationship Type="http://schemas.openxmlformats.org/officeDocument/2006/relationships/image" Target="/xl/media/image5871.jpg" Id="R216999e9cc0e4915" /><Relationship Type="http://schemas.openxmlformats.org/officeDocument/2006/relationships/image" Target="/xl/media/image5872.jpg" Id="R8854ec5b1f2a4147" /><Relationship Type="http://schemas.openxmlformats.org/officeDocument/2006/relationships/image" Target="/xl/media/image5873.jpg" Id="R0a012f214105474f" /><Relationship Type="http://schemas.openxmlformats.org/officeDocument/2006/relationships/image" Target="/xl/media/image5874.jpg" Id="Racae08ca4e2440c7" /><Relationship Type="http://schemas.openxmlformats.org/officeDocument/2006/relationships/image" Target="/xl/media/image5875.jpg" Id="R4ac193c33fc14142" /><Relationship Type="http://schemas.openxmlformats.org/officeDocument/2006/relationships/image" Target="/xl/media/image5876.jpg" Id="R75915ff6c16c4f3b" /><Relationship Type="http://schemas.openxmlformats.org/officeDocument/2006/relationships/image" Target="/xl/media/image5877.jpg" Id="R9a00d7fc98db4917" /><Relationship Type="http://schemas.openxmlformats.org/officeDocument/2006/relationships/image" Target="/xl/media/image5878.jpg" Id="Rd9693383395140de" /><Relationship Type="http://schemas.openxmlformats.org/officeDocument/2006/relationships/image" Target="/xl/media/image5879.jpg" Id="Re97c4b9ecab24c22" /><Relationship Type="http://schemas.openxmlformats.org/officeDocument/2006/relationships/image" Target="/xl/media/image5880.jpg" Id="Rcc00003baa9a4568" /><Relationship Type="http://schemas.openxmlformats.org/officeDocument/2006/relationships/image" Target="/xl/media/image5881.jpg" Id="Rb54dd7a664404a12" /><Relationship Type="http://schemas.openxmlformats.org/officeDocument/2006/relationships/image" Target="/xl/media/image5882.jpg" Id="R37ac90535dad4dfc" /><Relationship Type="http://schemas.openxmlformats.org/officeDocument/2006/relationships/image" Target="/xl/media/image5883.jpg" Id="R8c344ee2c9d14ade" /><Relationship Type="http://schemas.openxmlformats.org/officeDocument/2006/relationships/image" Target="/xl/media/image5884.jpg" Id="R1dd9ec915e0b4515" /><Relationship Type="http://schemas.openxmlformats.org/officeDocument/2006/relationships/image" Target="/xl/media/image5885.jpg" Id="R6fceee46073f4558" /><Relationship Type="http://schemas.openxmlformats.org/officeDocument/2006/relationships/image" Target="/xl/media/image5886.jpg" Id="R9434c8a4d53b4665" /><Relationship Type="http://schemas.openxmlformats.org/officeDocument/2006/relationships/image" Target="/xl/media/image5887.jpg" Id="R81aab873fe5e416e" /><Relationship Type="http://schemas.openxmlformats.org/officeDocument/2006/relationships/image" Target="/xl/media/image5888.jpg" Id="R93ebca9219af4ab3" /><Relationship Type="http://schemas.openxmlformats.org/officeDocument/2006/relationships/image" Target="/xl/media/image5889.jpg" Id="R79e03323337d4e69" /><Relationship Type="http://schemas.openxmlformats.org/officeDocument/2006/relationships/image" Target="/xl/media/image5890.jpg" Id="R2b120bb7cb754390" /><Relationship Type="http://schemas.openxmlformats.org/officeDocument/2006/relationships/image" Target="/xl/media/image5891.jpg" Id="Ref459ee0e0e74b9c" /><Relationship Type="http://schemas.openxmlformats.org/officeDocument/2006/relationships/image" Target="/xl/media/image5892.jpg" Id="Rdd98fce04de84f61" /><Relationship Type="http://schemas.openxmlformats.org/officeDocument/2006/relationships/image" Target="/xl/media/image5893.jpg" Id="Rb8b4d4fd4d4741f6" /><Relationship Type="http://schemas.openxmlformats.org/officeDocument/2006/relationships/image" Target="/xl/media/image5894.jpg" Id="R4ecc24b5c7594dd0" /><Relationship Type="http://schemas.openxmlformats.org/officeDocument/2006/relationships/image" Target="/xl/media/image5895.jpg" Id="R5798dc861d8e48a5" /><Relationship Type="http://schemas.openxmlformats.org/officeDocument/2006/relationships/image" Target="/xl/media/image5896.jpg" Id="R629fe0dfc1d54c46" /><Relationship Type="http://schemas.openxmlformats.org/officeDocument/2006/relationships/image" Target="/xl/media/image5897.jpg" Id="Rd287cae1abad40de" /><Relationship Type="http://schemas.openxmlformats.org/officeDocument/2006/relationships/image" Target="/xl/media/image5898.jpg" Id="R0eb090dd298c4962" /><Relationship Type="http://schemas.openxmlformats.org/officeDocument/2006/relationships/image" Target="/xl/media/image5899.jpg" Id="Rc173ecafbd174793" /><Relationship Type="http://schemas.openxmlformats.org/officeDocument/2006/relationships/image" Target="/xl/media/image5900.jpg" Id="Rc2b8d7c3ec4f4c1a" /><Relationship Type="http://schemas.openxmlformats.org/officeDocument/2006/relationships/image" Target="/xl/media/image5901.jpg" Id="R90bf4c4edea4400f" /><Relationship Type="http://schemas.openxmlformats.org/officeDocument/2006/relationships/image" Target="/xl/media/image5902.jpg" Id="Rb4ba5cab0da149db" /><Relationship Type="http://schemas.openxmlformats.org/officeDocument/2006/relationships/image" Target="/xl/media/image5903.jpg" Id="Rd911db3abf314f8f" /><Relationship Type="http://schemas.openxmlformats.org/officeDocument/2006/relationships/image" Target="/xl/media/image5904.jpg" Id="Rdc56e97a2d224b76" /><Relationship Type="http://schemas.openxmlformats.org/officeDocument/2006/relationships/image" Target="/xl/media/image5905.jpg" Id="R1dcaf0308aa443dc" /><Relationship Type="http://schemas.openxmlformats.org/officeDocument/2006/relationships/image" Target="/xl/media/image5906.jpg" Id="R3d15bb86df524045" /><Relationship Type="http://schemas.openxmlformats.org/officeDocument/2006/relationships/image" Target="/xl/media/image5907.jpg" Id="R8210cbe1e0f74134" /><Relationship Type="http://schemas.openxmlformats.org/officeDocument/2006/relationships/image" Target="/xl/media/image5908.jpg" Id="Raef836235ad54fb8" /><Relationship Type="http://schemas.openxmlformats.org/officeDocument/2006/relationships/image" Target="/xl/media/image5909.jpg" Id="R765bce71da0a4f08" /><Relationship Type="http://schemas.openxmlformats.org/officeDocument/2006/relationships/image" Target="/xl/media/image5910.jpg" Id="R0e5800449db9447f" /><Relationship Type="http://schemas.openxmlformats.org/officeDocument/2006/relationships/image" Target="/xl/media/image5911.jpg" Id="R0345576935554791" /><Relationship Type="http://schemas.openxmlformats.org/officeDocument/2006/relationships/image" Target="/xl/media/image5912.jpg" Id="R76235e8255494ced" /><Relationship Type="http://schemas.openxmlformats.org/officeDocument/2006/relationships/image" Target="/xl/media/image5913.jpg" Id="R86efccaea8ff4436" /><Relationship Type="http://schemas.openxmlformats.org/officeDocument/2006/relationships/image" Target="/xl/media/image5914.jpg" Id="R3dab6ddaa67742d5" /><Relationship Type="http://schemas.openxmlformats.org/officeDocument/2006/relationships/image" Target="/xl/media/image5915.jpg" Id="R8a589a96e1db4261" /><Relationship Type="http://schemas.openxmlformats.org/officeDocument/2006/relationships/image" Target="/xl/media/image5916.jpg" Id="Ra06ca833cb9c4ac7" /><Relationship Type="http://schemas.openxmlformats.org/officeDocument/2006/relationships/image" Target="/xl/media/image5917.jpg" Id="Rd93608dc998348aa" /><Relationship Type="http://schemas.openxmlformats.org/officeDocument/2006/relationships/image" Target="/xl/media/image5918.jpg" Id="Rbd7190c187084b6c" /><Relationship Type="http://schemas.openxmlformats.org/officeDocument/2006/relationships/image" Target="/xl/media/image5919.jpg" Id="Rd5a9db5a48bf48d6" /><Relationship Type="http://schemas.openxmlformats.org/officeDocument/2006/relationships/image" Target="/xl/media/image5920.jpg" Id="R0f6b4c0fc90543d0" /><Relationship Type="http://schemas.openxmlformats.org/officeDocument/2006/relationships/image" Target="/xl/media/image5921.jpg" Id="R1dd41ae821124214" /><Relationship Type="http://schemas.openxmlformats.org/officeDocument/2006/relationships/image" Target="/xl/media/image5922.jpg" Id="R6a2045fe87a34745" /><Relationship Type="http://schemas.openxmlformats.org/officeDocument/2006/relationships/image" Target="/xl/media/image5923.jpg" Id="Rf568f373a27746b3" /><Relationship Type="http://schemas.openxmlformats.org/officeDocument/2006/relationships/image" Target="/xl/media/image5924.jpg" Id="Rf8091855e4f14d23" /><Relationship Type="http://schemas.openxmlformats.org/officeDocument/2006/relationships/image" Target="/xl/media/image5925.jpg" Id="R47417c5384fe47b7" /><Relationship Type="http://schemas.openxmlformats.org/officeDocument/2006/relationships/image" Target="/xl/media/image5926.jpg" Id="R64fc417dfa1b48ba" /><Relationship Type="http://schemas.openxmlformats.org/officeDocument/2006/relationships/image" Target="/xl/media/image5927.jpg" Id="Rdd42546062744bb8" /><Relationship Type="http://schemas.openxmlformats.org/officeDocument/2006/relationships/image" Target="/xl/media/image5928.jpg" Id="Rebe3386cf1a04251" /><Relationship Type="http://schemas.openxmlformats.org/officeDocument/2006/relationships/image" Target="/xl/media/image5929.jpg" Id="Rf6359bb93f924915" /><Relationship Type="http://schemas.openxmlformats.org/officeDocument/2006/relationships/image" Target="/xl/media/image5930.jpg" Id="R937663ab6ee74243" /><Relationship Type="http://schemas.openxmlformats.org/officeDocument/2006/relationships/image" Target="/xl/media/image5931.jpg" Id="R1331997a170743aa" /><Relationship Type="http://schemas.openxmlformats.org/officeDocument/2006/relationships/image" Target="/xl/media/image5932.jpg" Id="Rb0dfd6a1394743ea" /><Relationship Type="http://schemas.openxmlformats.org/officeDocument/2006/relationships/image" Target="/xl/media/image5933.jpg" Id="R564a36b58eb143bb" /><Relationship Type="http://schemas.openxmlformats.org/officeDocument/2006/relationships/image" Target="/xl/media/image5934.jpg" Id="R04fbf47ff75b462f" /><Relationship Type="http://schemas.openxmlformats.org/officeDocument/2006/relationships/image" Target="/xl/media/image5935.jpg" Id="Rf4f90e5506634450" /><Relationship Type="http://schemas.openxmlformats.org/officeDocument/2006/relationships/image" Target="/xl/media/image5936.jpg" Id="R9804e23305844fd8" /><Relationship Type="http://schemas.openxmlformats.org/officeDocument/2006/relationships/image" Target="/xl/media/image5937.jpg" Id="R3fb876004ea842d0" /><Relationship Type="http://schemas.openxmlformats.org/officeDocument/2006/relationships/image" Target="/xl/media/image5938.jpg" Id="Rce38f69fb16a4af2" /><Relationship Type="http://schemas.openxmlformats.org/officeDocument/2006/relationships/image" Target="/xl/media/image5939.jpg" Id="R67f3a3673df34fcb" /><Relationship Type="http://schemas.openxmlformats.org/officeDocument/2006/relationships/image" Target="/xl/media/image5940.jpg" Id="Rb420d877c74c4c5d" /><Relationship Type="http://schemas.openxmlformats.org/officeDocument/2006/relationships/image" Target="/xl/media/image5941.jpg" Id="R63810e16813f4ef2" /><Relationship Type="http://schemas.openxmlformats.org/officeDocument/2006/relationships/image" Target="/xl/media/image5942.jpg" Id="R7d078b28ffd9412c" /><Relationship Type="http://schemas.openxmlformats.org/officeDocument/2006/relationships/image" Target="/xl/media/image5943.jpg" Id="Rad722317ee6144bc" /><Relationship Type="http://schemas.openxmlformats.org/officeDocument/2006/relationships/image" Target="/xl/media/image5944.jpg" Id="R1014bc75c7a6423c" /><Relationship Type="http://schemas.openxmlformats.org/officeDocument/2006/relationships/image" Target="/xl/media/image5945.jpg" Id="R90f3b8dfad4e4310" /><Relationship Type="http://schemas.openxmlformats.org/officeDocument/2006/relationships/image" Target="/xl/media/image5946.jpg" Id="Rab11d5348fc145f5" /><Relationship Type="http://schemas.openxmlformats.org/officeDocument/2006/relationships/image" Target="/xl/media/image5947.jpg" Id="Ra5294e52e76941f9" /><Relationship Type="http://schemas.openxmlformats.org/officeDocument/2006/relationships/image" Target="/xl/media/image5948.jpg" Id="R8996ce7ef2974908" /><Relationship Type="http://schemas.openxmlformats.org/officeDocument/2006/relationships/image" Target="/xl/media/image5949.jpg" Id="Rc9547ff7b2ae4734" /><Relationship Type="http://schemas.openxmlformats.org/officeDocument/2006/relationships/image" Target="/xl/media/image5950.jpg" Id="Rc55620a76f684638" /><Relationship Type="http://schemas.openxmlformats.org/officeDocument/2006/relationships/image" Target="/xl/media/image5951.jpg" Id="Ra94960f0c82344a4" /><Relationship Type="http://schemas.openxmlformats.org/officeDocument/2006/relationships/image" Target="/xl/media/image5952.jpg" Id="R01cf945a6a69432a" /><Relationship Type="http://schemas.openxmlformats.org/officeDocument/2006/relationships/image" Target="/xl/media/image5953.jpg" Id="Rd84a58377a7e4f01" /><Relationship Type="http://schemas.openxmlformats.org/officeDocument/2006/relationships/image" Target="/xl/media/image5954.jpg" Id="R3962380bf5d149c6" /><Relationship Type="http://schemas.openxmlformats.org/officeDocument/2006/relationships/image" Target="/xl/media/image5955.jpg" Id="Rb3f5f3543db140f4" /><Relationship Type="http://schemas.openxmlformats.org/officeDocument/2006/relationships/image" Target="/xl/media/image5956.jpg" Id="R7cd4db8401c44c4d" /><Relationship Type="http://schemas.openxmlformats.org/officeDocument/2006/relationships/image" Target="/xl/media/image5957.jpg" Id="R5d64867054484686" /><Relationship Type="http://schemas.openxmlformats.org/officeDocument/2006/relationships/image" Target="/xl/media/image5958.jpg" Id="R7deb2429a8964b06" /><Relationship Type="http://schemas.openxmlformats.org/officeDocument/2006/relationships/image" Target="/xl/media/image5959.jpg" Id="R02be5eea132343e3" /><Relationship Type="http://schemas.openxmlformats.org/officeDocument/2006/relationships/image" Target="/xl/media/image5960.jpg" Id="R4bbe54b3ee7742f1" /><Relationship Type="http://schemas.openxmlformats.org/officeDocument/2006/relationships/image" Target="/xl/media/image5961.jpg" Id="R3b337e3976af43e4" /><Relationship Type="http://schemas.openxmlformats.org/officeDocument/2006/relationships/image" Target="/xl/media/image5962.jpg" Id="R8760ff9e54c041b3" /><Relationship Type="http://schemas.openxmlformats.org/officeDocument/2006/relationships/image" Target="/xl/media/image5963.jpg" Id="R4cb2d46417334974" /><Relationship Type="http://schemas.openxmlformats.org/officeDocument/2006/relationships/image" Target="/xl/media/image5964.jpg" Id="R0c446aaeb0c54ed5" /><Relationship Type="http://schemas.openxmlformats.org/officeDocument/2006/relationships/image" Target="/xl/media/image5965.jpg" Id="R6903563cb31744e3" /><Relationship Type="http://schemas.openxmlformats.org/officeDocument/2006/relationships/image" Target="/xl/media/image5966.jpg" Id="Ra725df983d5e4d3a" /><Relationship Type="http://schemas.openxmlformats.org/officeDocument/2006/relationships/image" Target="/xl/media/image5967.jpg" Id="R93c123cfef944890" /><Relationship Type="http://schemas.openxmlformats.org/officeDocument/2006/relationships/image" Target="/xl/media/image5968.jpg" Id="Rf3c23bc7933d4bf9" /><Relationship Type="http://schemas.openxmlformats.org/officeDocument/2006/relationships/image" Target="/xl/media/image5969.jpg" Id="Ra8eaf1d001974bb1" /><Relationship Type="http://schemas.openxmlformats.org/officeDocument/2006/relationships/image" Target="/xl/media/image5970.jpg" Id="R9669494a4ac34fbf" /><Relationship Type="http://schemas.openxmlformats.org/officeDocument/2006/relationships/image" Target="/xl/media/image5971.jpg" Id="R1e2bb7d8627f452c" /><Relationship Type="http://schemas.openxmlformats.org/officeDocument/2006/relationships/image" Target="/xl/media/image5972.jpg" Id="R9b658f61913b47c4" /><Relationship Type="http://schemas.openxmlformats.org/officeDocument/2006/relationships/image" Target="/xl/media/image5973.jpg" Id="Rbc7d1af336c04b8b" /><Relationship Type="http://schemas.openxmlformats.org/officeDocument/2006/relationships/image" Target="/xl/media/image5974.jpg" Id="Rd094ad879a524f04" /><Relationship Type="http://schemas.openxmlformats.org/officeDocument/2006/relationships/image" Target="/xl/media/image5975.jpg" Id="Rcabbf5c34b424e20" /><Relationship Type="http://schemas.openxmlformats.org/officeDocument/2006/relationships/image" Target="/xl/media/image5976.jpg" Id="R2e2f8e43afa14a0c" /><Relationship Type="http://schemas.openxmlformats.org/officeDocument/2006/relationships/image" Target="/xl/media/image5977.jpg" Id="Ra804b896dc794017" /><Relationship Type="http://schemas.openxmlformats.org/officeDocument/2006/relationships/image" Target="/xl/media/image5978.jpg" Id="R0d67a8d2ff0d4310" /><Relationship Type="http://schemas.openxmlformats.org/officeDocument/2006/relationships/image" Target="/xl/media/image5979.jpg" Id="Red8e158eab354608" /><Relationship Type="http://schemas.openxmlformats.org/officeDocument/2006/relationships/image" Target="/xl/media/image5980.jpg" Id="R596338fd033a4df3" /><Relationship Type="http://schemas.openxmlformats.org/officeDocument/2006/relationships/image" Target="/xl/media/image5981.jpg" Id="Rdf600ea1135d4274" /><Relationship Type="http://schemas.openxmlformats.org/officeDocument/2006/relationships/image" Target="/xl/media/image5982.jpg" Id="R7f4c4638da2242dd" /><Relationship Type="http://schemas.openxmlformats.org/officeDocument/2006/relationships/image" Target="/xl/media/image5983.jpg" Id="R0faf634512b341a3" /><Relationship Type="http://schemas.openxmlformats.org/officeDocument/2006/relationships/image" Target="/xl/media/image5984.jpg" Id="R90a9a9e5ba684393" /><Relationship Type="http://schemas.openxmlformats.org/officeDocument/2006/relationships/image" Target="/xl/media/image5985.jpg" Id="R4f0b652382b84eb6" /><Relationship Type="http://schemas.openxmlformats.org/officeDocument/2006/relationships/image" Target="/xl/media/image5986.jpg" Id="Rd36a8545a98f4cd8" /><Relationship Type="http://schemas.openxmlformats.org/officeDocument/2006/relationships/image" Target="/xl/media/image5987.jpg" Id="R4b3a7cf19da44010" /><Relationship Type="http://schemas.openxmlformats.org/officeDocument/2006/relationships/image" Target="/xl/media/image5988.jpg" Id="Rd65a845e991e42b8" /><Relationship Type="http://schemas.openxmlformats.org/officeDocument/2006/relationships/image" Target="/xl/media/image5989.jpg" Id="R98d3fe1951684d87" /><Relationship Type="http://schemas.openxmlformats.org/officeDocument/2006/relationships/image" Target="/xl/media/image5990.jpg" Id="R2fc8872ff92449e2" /><Relationship Type="http://schemas.openxmlformats.org/officeDocument/2006/relationships/image" Target="/xl/media/image5991.jpg" Id="R4b4ae34d1b9b4488" /><Relationship Type="http://schemas.openxmlformats.org/officeDocument/2006/relationships/image" Target="/xl/media/image5992.jpg" Id="R3dcfd02b0c4d43dd" /><Relationship Type="http://schemas.openxmlformats.org/officeDocument/2006/relationships/image" Target="/xl/media/image5993.jpg" Id="Rfe3934b94f194ab6" /><Relationship Type="http://schemas.openxmlformats.org/officeDocument/2006/relationships/image" Target="/xl/media/image5994.jpg" Id="Ra4ad4a30b6784899" /><Relationship Type="http://schemas.openxmlformats.org/officeDocument/2006/relationships/image" Target="/xl/media/image5995.jpg" Id="R6c8d995a9c6d4245" /><Relationship Type="http://schemas.openxmlformats.org/officeDocument/2006/relationships/image" Target="/xl/media/image5996.jpg" Id="R1ce800b815914290" /><Relationship Type="http://schemas.openxmlformats.org/officeDocument/2006/relationships/image" Target="/xl/media/image5997.jpg" Id="Rc2b6d774eb284a04" /><Relationship Type="http://schemas.openxmlformats.org/officeDocument/2006/relationships/image" Target="/xl/media/image5998.jpg" Id="R78a8f2d3d2394756" /><Relationship Type="http://schemas.openxmlformats.org/officeDocument/2006/relationships/image" Target="/xl/media/image5999.jpg" Id="R75791e3c38a7448f" /><Relationship Type="http://schemas.openxmlformats.org/officeDocument/2006/relationships/image" Target="/xl/media/image6000.jpg" Id="Rd86d36bc5354444d" /><Relationship Type="http://schemas.openxmlformats.org/officeDocument/2006/relationships/image" Target="/xl/media/image6001.jpg" Id="R24f6b57e7a3a4343" /><Relationship Type="http://schemas.openxmlformats.org/officeDocument/2006/relationships/image" Target="/xl/media/image6002.jpg" Id="Rb4bf3cb01fa74f7e" /><Relationship Type="http://schemas.openxmlformats.org/officeDocument/2006/relationships/image" Target="/xl/media/image6003.jpg" Id="R240a29323fc84036" /><Relationship Type="http://schemas.openxmlformats.org/officeDocument/2006/relationships/image" Target="/xl/media/image6004.jpg" Id="R6acf719f34a345b1" /><Relationship Type="http://schemas.openxmlformats.org/officeDocument/2006/relationships/image" Target="/xl/media/image6005.jpg" Id="Rbc4ae7036fd54bed" /><Relationship Type="http://schemas.openxmlformats.org/officeDocument/2006/relationships/image" Target="/xl/media/image6006.jpg" Id="R1d458b3a2be244de" /><Relationship Type="http://schemas.openxmlformats.org/officeDocument/2006/relationships/image" Target="/xl/media/image6007.jpg" Id="R7591ac39ce2e45d8" /><Relationship Type="http://schemas.openxmlformats.org/officeDocument/2006/relationships/image" Target="/xl/media/image6008.jpg" Id="R43be94ce9049446c" /><Relationship Type="http://schemas.openxmlformats.org/officeDocument/2006/relationships/image" Target="/xl/media/image6009.jpg" Id="Rce9485d6027a4dc4" /><Relationship Type="http://schemas.openxmlformats.org/officeDocument/2006/relationships/image" Target="/xl/media/image6010.jpg" Id="R1dab59b9952a42e4" /><Relationship Type="http://schemas.openxmlformats.org/officeDocument/2006/relationships/image" Target="/xl/media/image6011.jpg" Id="R3dc24fbf54344711" /><Relationship Type="http://schemas.openxmlformats.org/officeDocument/2006/relationships/image" Target="/xl/media/image6012.jpg" Id="R770c771623564473" /><Relationship Type="http://schemas.openxmlformats.org/officeDocument/2006/relationships/image" Target="/xl/media/image6013.jpg" Id="Re6ca6eeff10248fb" /><Relationship Type="http://schemas.openxmlformats.org/officeDocument/2006/relationships/image" Target="/xl/media/image6014.jpg" Id="R5967d5282f7b4d30" /><Relationship Type="http://schemas.openxmlformats.org/officeDocument/2006/relationships/image" Target="/xl/media/image6015.jpg" Id="R4f3d833110284003" /><Relationship Type="http://schemas.openxmlformats.org/officeDocument/2006/relationships/image" Target="/xl/media/image6016.jpg" Id="Rc6b33489b3b84dd2" /><Relationship Type="http://schemas.openxmlformats.org/officeDocument/2006/relationships/image" Target="/xl/media/image6017.jpg" Id="Ra4c892eafe594d0e" /><Relationship Type="http://schemas.openxmlformats.org/officeDocument/2006/relationships/image" Target="/xl/media/image6018.jpg" Id="Rf701384baac945f9" /><Relationship Type="http://schemas.openxmlformats.org/officeDocument/2006/relationships/image" Target="/xl/media/image6019.jpg" Id="R90fef99185934647" /><Relationship Type="http://schemas.openxmlformats.org/officeDocument/2006/relationships/image" Target="/xl/media/image6020.jpg" Id="R7b6f357c2b414498" /><Relationship Type="http://schemas.openxmlformats.org/officeDocument/2006/relationships/image" Target="/xl/media/image6021.jpg" Id="Re6b9b5fe0f514dda" /><Relationship Type="http://schemas.openxmlformats.org/officeDocument/2006/relationships/image" Target="/xl/media/image6022.jpg" Id="Reeefc1d7eb47469b" /><Relationship Type="http://schemas.openxmlformats.org/officeDocument/2006/relationships/image" Target="/xl/media/image6023.jpg" Id="R4209ff6a6a964998" /><Relationship Type="http://schemas.openxmlformats.org/officeDocument/2006/relationships/image" Target="/xl/media/image6024.jpg" Id="Rc850700a18a74ca0" /><Relationship Type="http://schemas.openxmlformats.org/officeDocument/2006/relationships/image" Target="/xl/media/image6025.jpg" Id="Rb961267510014b2a" /><Relationship Type="http://schemas.openxmlformats.org/officeDocument/2006/relationships/image" Target="/xl/media/image6026.jpg" Id="R1544f027993249db" /><Relationship Type="http://schemas.openxmlformats.org/officeDocument/2006/relationships/image" Target="/xl/media/image6027.jpg" Id="R110bd2fe0e704e9e" /><Relationship Type="http://schemas.openxmlformats.org/officeDocument/2006/relationships/image" Target="/xl/media/image6028.jpg" Id="R07369545a94e4c4d" /><Relationship Type="http://schemas.openxmlformats.org/officeDocument/2006/relationships/image" Target="/xl/media/image6029.jpg" Id="Ra4c62e8d24c543eb" /><Relationship Type="http://schemas.openxmlformats.org/officeDocument/2006/relationships/image" Target="/xl/media/image6030.jpg" Id="Rcf7782f6f32e42ac" /><Relationship Type="http://schemas.openxmlformats.org/officeDocument/2006/relationships/image" Target="/xl/media/image6031.jpg" Id="Rfdf5dd0f216b4839" /><Relationship Type="http://schemas.openxmlformats.org/officeDocument/2006/relationships/image" Target="/xl/media/image6032.jpg" Id="R9dd18623fe3545d8" /><Relationship Type="http://schemas.openxmlformats.org/officeDocument/2006/relationships/image" Target="/xl/media/image6033.jpg" Id="R28235175f273461e" /><Relationship Type="http://schemas.openxmlformats.org/officeDocument/2006/relationships/image" Target="/xl/media/image6034.jpg" Id="Rcd743f57081f4398" /><Relationship Type="http://schemas.openxmlformats.org/officeDocument/2006/relationships/image" Target="/xl/media/image6035.jpg" Id="R73775f2bf19149bc" /><Relationship Type="http://schemas.openxmlformats.org/officeDocument/2006/relationships/image" Target="/xl/media/image6036.jpg" Id="Ra3ef90b8f5414d95" /><Relationship Type="http://schemas.openxmlformats.org/officeDocument/2006/relationships/image" Target="/xl/media/image6037.jpg" Id="R314b78a0babb4cb0" /><Relationship Type="http://schemas.openxmlformats.org/officeDocument/2006/relationships/image" Target="/xl/media/image6038.jpg" Id="Rac721028abe94864" /><Relationship Type="http://schemas.openxmlformats.org/officeDocument/2006/relationships/image" Target="/xl/media/image6039.jpg" Id="Rcc101f6cd72e4361" /><Relationship Type="http://schemas.openxmlformats.org/officeDocument/2006/relationships/image" Target="/xl/media/image6040.jpg" Id="Ra0c08a1c27bd4e31" /><Relationship Type="http://schemas.openxmlformats.org/officeDocument/2006/relationships/image" Target="/xl/media/image6041.jpg" Id="R714168eb0faa470b" /><Relationship Type="http://schemas.openxmlformats.org/officeDocument/2006/relationships/image" Target="/xl/media/image6042.jpg" Id="R86abc25ef9f4448b" /><Relationship Type="http://schemas.openxmlformats.org/officeDocument/2006/relationships/image" Target="/xl/media/image6043.jpg" Id="R6975a4a3aeed41c0" /><Relationship Type="http://schemas.openxmlformats.org/officeDocument/2006/relationships/image" Target="/xl/media/image6044.jpg" Id="Rb64ec76b7aa84eb6" /><Relationship Type="http://schemas.openxmlformats.org/officeDocument/2006/relationships/image" Target="/xl/media/image6045.jpg" Id="Rc05272b1a4ae4548" /><Relationship Type="http://schemas.openxmlformats.org/officeDocument/2006/relationships/image" Target="/xl/media/image6046.jpg" Id="R4db969bc01714095" /><Relationship Type="http://schemas.openxmlformats.org/officeDocument/2006/relationships/image" Target="/xl/media/image6047.jpg" Id="R318111189d9d420c" /><Relationship Type="http://schemas.openxmlformats.org/officeDocument/2006/relationships/image" Target="/xl/media/image6048.jpg" Id="Rd0e64a002b734468" /><Relationship Type="http://schemas.openxmlformats.org/officeDocument/2006/relationships/image" Target="/xl/media/image6049.jpg" Id="R8fac5bc4c1624d62" /><Relationship Type="http://schemas.openxmlformats.org/officeDocument/2006/relationships/image" Target="/xl/media/image6050.jpg" Id="R5af8d54464414a4c" /><Relationship Type="http://schemas.openxmlformats.org/officeDocument/2006/relationships/image" Target="/xl/media/image6051.jpg" Id="Rab4cd33b34304feb" /><Relationship Type="http://schemas.openxmlformats.org/officeDocument/2006/relationships/image" Target="/xl/media/image6052.jpg" Id="R81cd930a84e14818" /><Relationship Type="http://schemas.openxmlformats.org/officeDocument/2006/relationships/image" Target="/xl/media/image6053.jpg" Id="Rc4f4920288a94795" /><Relationship Type="http://schemas.openxmlformats.org/officeDocument/2006/relationships/image" Target="/xl/media/image6054.jpg" Id="Rd48e777b472a4c25" /><Relationship Type="http://schemas.openxmlformats.org/officeDocument/2006/relationships/image" Target="/xl/media/image6055.jpg" Id="Rc6614bae60ab4972" /><Relationship Type="http://schemas.openxmlformats.org/officeDocument/2006/relationships/image" Target="/xl/media/image6056.jpg" Id="Rf53d8f7cbd9144f5" /><Relationship Type="http://schemas.openxmlformats.org/officeDocument/2006/relationships/image" Target="/xl/media/image6057.jpg" Id="Rfdac47d7e6384f13" /><Relationship Type="http://schemas.openxmlformats.org/officeDocument/2006/relationships/image" Target="/xl/media/image6058.jpg" Id="Recc440160dfc4faf" /><Relationship Type="http://schemas.openxmlformats.org/officeDocument/2006/relationships/image" Target="/xl/media/image6059.jpg" Id="R1ae779acdbca4efe" /><Relationship Type="http://schemas.openxmlformats.org/officeDocument/2006/relationships/image" Target="/xl/media/image6060.jpg" Id="R50bd1a94b4914ee6" /><Relationship Type="http://schemas.openxmlformats.org/officeDocument/2006/relationships/image" Target="/xl/media/image6061.jpg" Id="R9f145544b5b9445e" /><Relationship Type="http://schemas.openxmlformats.org/officeDocument/2006/relationships/image" Target="/xl/media/image6062.jpg" Id="R99b588a3f9824391" /><Relationship Type="http://schemas.openxmlformats.org/officeDocument/2006/relationships/image" Target="/xl/media/image6063.jpg" Id="R73120b2b3aae42b5" /><Relationship Type="http://schemas.openxmlformats.org/officeDocument/2006/relationships/image" Target="/xl/media/image6064.jpg" Id="R0fe797735de94fea" /><Relationship Type="http://schemas.openxmlformats.org/officeDocument/2006/relationships/image" Target="/xl/media/image6065.jpg" Id="Rc729737374364cae" /><Relationship Type="http://schemas.openxmlformats.org/officeDocument/2006/relationships/image" Target="/xl/media/image6066.jpg" Id="R23fb80c0c0834f44" /><Relationship Type="http://schemas.openxmlformats.org/officeDocument/2006/relationships/image" Target="/xl/media/image6067.jpg" Id="R77722cf1179846da" /><Relationship Type="http://schemas.openxmlformats.org/officeDocument/2006/relationships/image" Target="/xl/media/image6068.jpg" Id="Rc282b94e1e99495a" /><Relationship Type="http://schemas.openxmlformats.org/officeDocument/2006/relationships/image" Target="/xl/media/image6069.jpg" Id="R8a19f3d8179244b2" /><Relationship Type="http://schemas.openxmlformats.org/officeDocument/2006/relationships/image" Target="/xl/media/image6070.jpg" Id="R66786204fba8462e" /><Relationship Type="http://schemas.openxmlformats.org/officeDocument/2006/relationships/image" Target="/xl/media/image6071.jpg" Id="R6153b6d469054e1c" /><Relationship Type="http://schemas.openxmlformats.org/officeDocument/2006/relationships/image" Target="/xl/media/image6072.jpg" Id="R353257c1a47c461f" /><Relationship Type="http://schemas.openxmlformats.org/officeDocument/2006/relationships/image" Target="/xl/media/image6073.jpg" Id="R5c9eaf10bc654af1" /><Relationship Type="http://schemas.openxmlformats.org/officeDocument/2006/relationships/image" Target="/xl/media/image6074.jpg" Id="R1936a09b016a4416" /><Relationship Type="http://schemas.openxmlformats.org/officeDocument/2006/relationships/image" Target="/xl/media/image6075.jpg" Id="R4702af82378f439d" /><Relationship Type="http://schemas.openxmlformats.org/officeDocument/2006/relationships/image" Target="/xl/media/image6076.jpg" Id="R7a35e94dcecd4d41" /><Relationship Type="http://schemas.openxmlformats.org/officeDocument/2006/relationships/image" Target="/xl/media/image6077.jpg" Id="Ra25555c42d1a4f4c" /><Relationship Type="http://schemas.openxmlformats.org/officeDocument/2006/relationships/image" Target="/xl/media/image6078.jpg" Id="R9712eb0694144240" /><Relationship Type="http://schemas.openxmlformats.org/officeDocument/2006/relationships/image" Target="/xl/media/image6079.jpg" Id="Re2860c7e07a4402c" /><Relationship Type="http://schemas.openxmlformats.org/officeDocument/2006/relationships/image" Target="/xl/media/image6080.jpg" Id="Re28e420c2a5a4351" /><Relationship Type="http://schemas.openxmlformats.org/officeDocument/2006/relationships/image" Target="/xl/media/image6081.jpg" Id="R2d3858c5d81f4ef0" /><Relationship Type="http://schemas.openxmlformats.org/officeDocument/2006/relationships/image" Target="/xl/media/image6082.jpg" Id="Re4cc734dc016494f" /><Relationship Type="http://schemas.openxmlformats.org/officeDocument/2006/relationships/image" Target="/xl/media/image6083.jpg" Id="Rbab10d0250ec4213" /><Relationship Type="http://schemas.openxmlformats.org/officeDocument/2006/relationships/image" Target="/xl/media/image6084.jpg" Id="Refcb01196d384642" /><Relationship Type="http://schemas.openxmlformats.org/officeDocument/2006/relationships/image" Target="/xl/media/image6085.jpg" Id="Re79ab2087c574635" /><Relationship Type="http://schemas.openxmlformats.org/officeDocument/2006/relationships/image" Target="/xl/media/image6086.jpg" Id="R1b57201fb8414e35" /><Relationship Type="http://schemas.openxmlformats.org/officeDocument/2006/relationships/image" Target="/xl/media/image6087.jpg" Id="Rcaf81043d94b40ba" /><Relationship Type="http://schemas.openxmlformats.org/officeDocument/2006/relationships/image" Target="/xl/media/image6088.jpg" Id="Ree333c281a0b4370" /><Relationship Type="http://schemas.openxmlformats.org/officeDocument/2006/relationships/image" Target="/xl/media/image6089.jpg" Id="R92241fb2e2674574" /><Relationship Type="http://schemas.openxmlformats.org/officeDocument/2006/relationships/image" Target="/xl/media/image6090.jpg" Id="R80a1392b74a74ee6" /><Relationship Type="http://schemas.openxmlformats.org/officeDocument/2006/relationships/image" Target="/xl/media/image6091.jpg" Id="Rc66790d2f2e444b5" /><Relationship Type="http://schemas.openxmlformats.org/officeDocument/2006/relationships/image" Target="/xl/media/image6092.jpg" Id="R18b6e0cbef6c4a4b" /><Relationship Type="http://schemas.openxmlformats.org/officeDocument/2006/relationships/image" Target="/xl/media/image6093.jpg" Id="R2497f5942fc84087" /><Relationship Type="http://schemas.openxmlformats.org/officeDocument/2006/relationships/image" Target="/xl/media/image6094.jpg" Id="Rab3dceccb2314268" /><Relationship Type="http://schemas.openxmlformats.org/officeDocument/2006/relationships/image" Target="/xl/media/image6095.jpg" Id="Re14a977bdf064679" /><Relationship Type="http://schemas.openxmlformats.org/officeDocument/2006/relationships/image" Target="/xl/media/image6096.jpg" Id="R0ed5881d86ff4c02" /><Relationship Type="http://schemas.openxmlformats.org/officeDocument/2006/relationships/image" Target="/xl/media/image6097.jpg" Id="R4eee8aca11334ce4" /><Relationship Type="http://schemas.openxmlformats.org/officeDocument/2006/relationships/image" Target="/xl/media/image6098.jpg" Id="R954dfeef49c3494a" /><Relationship Type="http://schemas.openxmlformats.org/officeDocument/2006/relationships/image" Target="/xl/media/image6099.jpg" Id="R0ecb620e58b245b4" /><Relationship Type="http://schemas.openxmlformats.org/officeDocument/2006/relationships/image" Target="/xl/media/image6100.jpg" Id="R769c789851874288" /><Relationship Type="http://schemas.openxmlformats.org/officeDocument/2006/relationships/image" Target="/xl/media/image6101.jpg" Id="Rb4c95a70ed134c42" /><Relationship Type="http://schemas.openxmlformats.org/officeDocument/2006/relationships/image" Target="/xl/media/image6102.jpg" Id="R5763d82c05c846c2" /><Relationship Type="http://schemas.openxmlformats.org/officeDocument/2006/relationships/image" Target="/xl/media/image6103.jpg" Id="R5d6ceca369d4453b" /><Relationship Type="http://schemas.openxmlformats.org/officeDocument/2006/relationships/image" Target="/xl/media/image6104.jpg" Id="R590c64d5d5c24c70" /><Relationship Type="http://schemas.openxmlformats.org/officeDocument/2006/relationships/image" Target="/xl/media/image6105.jpg" Id="Rcc0d242f42064b85" /><Relationship Type="http://schemas.openxmlformats.org/officeDocument/2006/relationships/image" Target="/xl/media/image6106.jpg" Id="R8898946ad9db4c2a" /><Relationship Type="http://schemas.openxmlformats.org/officeDocument/2006/relationships/image" Target="/xl/media/image6107.jpg" Id="R9346b7dbe97344cc" /><Relationship Type="http://schemas.openxmlformats.org/officeDocument/2006/relationships/image" Target="/xl/media/image6108.jpg" Id="Rdb9cd07c47cb4df5" /><Relationship Type="http://schemas.openxmlformats.org/officeDocument/2006/relationships/image" Target="/xl/media/image6109.jpg" Id="Rd1b99d9c33c94c91" /><Relationship Type="http://schemas.openxmlformats.org/officeDocument/2006/relationships/image" Target="/xl/media/image6110.jpg" Id="R34620de8551b4590" /><Relationship Type="http://schemas.openxmlformats.org/officeDocument/2006/relationships/image" Target="/xl/media/image6111.jpg" Id="R2220cae490c547b1" /><Relationship Type="http://schemas.openxmlformats.org/officeDocument/2006/relationships/image" Target="/xl/media/image6112.jpg" Id="R913116b3e7a245ff" /><Relationship Type="http://schemas.openxmlformats.org/officeDocument/2006/relationships/image" Target="/xl/media/image6113.jpg" Id="R166f7e2bfc214cff" /><Relationship Type="http://schemas.openxmlformats.org/officeDocument/2006/relationships/image" Target="/xl/media/image6114.jpg" Id="Re8d6fbd085b64f33" /><Relationship Type="http://schemas.openxmlformats.org/officeDocument/2006/relationships/image" Target="/xl/media/image6115.jpg" Id="Ra072132fa0b64bb2" /><Relationship Type="http://schemas.openxmlformats.org/officeDocument/2006/relationships/image" Target="/xl/media/image6116.jpg" Id="R34771be05fbd43e3" /><Relationship Type="http://schemas.openxmlformats.org/officeDocument/2006/relationships/image" Target="/xl/media/image6117.jpg" Id="R340e101c9e8a4dd6" /><Relationship Type="http://schemas.openxmlformats.org/officeDocument/2006/relationships/image" Target="/xl/media/image6118.jpg" Id="R0403184e0d3b4053" /><Relationship Type="http://schemas.openxmlformats.org/officeDocument/2006/relationships/image" Target="/xl/media/image6119.jpg" Id="R87e0e76de52f40e2" /><Relationship Type="http://schemas.openxmlformats.org/officeDocument/2006/relationships/image" Target="/xl/media/image6120.jpg" Id="Ra2c4626ffa044a25" /><Relationship Type="http://schemas.openxmlformats.org/officeDocument/2006/relationships/image" Target="/xl/media/image6121.jpg" Id="R0991f7378ba646cb" /><Relationship Type="http://schemas.openxmlformats.org/officeDocument/2006/relationships/image" Target="/xl/media/image6122.jpg" Id="Rf0086226fe2245ca" /><Relationship Type="http://schemas.openxmlformats.org/officeDocument/2006/relationships/image" Target="/xl/media/image6123.jpg" Id="R97226ac1149344fa" /><Relationship Type="http://schemas.openxmlformats.org/officeDocument/2006/relationships/image" Target="/xl/media/image6124.jpg" Id="Reda2e11369f64c4d" /><Relationship Type="http://schemas.openxmlformats.org/officeDocument/2006/relationships/image" Target="/xl/media/image6125.jpg" Id="Rdbdb72e6714048e2" /><Relationship Type="http://schemas.openxmlformats.org/officeDocument/2006/relationships/image" Target="/xl/media/image6126.jpg" Id="Re32358fb13574d16" /><Relationship Type="http://schemas.openxmlformats.org/officeDocument/2006/relationships/image" Target="/xl/media/image6127.jpg" Id="Ra09d39c9149942a1" /><Relationship Type="http://schemas.openxmlformats.org/officeDocument/2006/relationships/image" Target="/xl/media/image6128.jpg" Id="Rea3756df21e643c9" /><Relationship Type="http://schemas.openxmlformats.org/officeDocument/2006/relationships/image" Target="/xl/media/image6129.jpg" Id="Re4febdbb81944183" /><Relationship Type="http://schemas.openxmlformats.org/officeDocument/2006/relationships/image" Target="/xl/media/image6130.jpg" Id="R7e06bb9c7cec44bd" /><Relationship Type="http://schemas.openxmlformats.org/officeDocument/2006/relationships/image" Target="/xl/media/image6131.jpg" Id="Rb7ba54f360634439" /><Relationship Type="http://schemas.openxmlformats.org/officeDocument/2006/relationships/image" Target="/xl/media/image6132.jpg" Id="R2e301482ddc54233" /><Relationship Type="http://schemas.openxmlformats.org/officeDocument/2006/relationships/image" Target="/xl/media/image6133.jpg" Id="R06f965c3fc984353" /><Relationship Type="http://schemas.openxmlformats.org/officeDocument/2006/relationships/image" Target="/xl/media/image6134.jpg" Id="Rbfa187d4221d4750" /><Relationship Type="http://schemas.openxmlformats.org/officeDocument/2006/relationships/image" Target="/xl/media/image6135.jpg" Id="R911c08fb990a44ca" /><Relationship Type="http://schemas.openxmlformats.org/officeDocument/2006/relationships/image" Target="/xl/media/image6136.jpg" Id="R24b1a66306e64392" /><Relationship Type="http://schemas.openxmlformats.org/officeDocument/2006/relationships/image" Target="/xl/media/image6137.jpg" Id="R8dea1f78726f4a96" /><Relationship Type="http://schemas.openxmlformats.org/officeDocument/2006/relationships/image" Target="/xl/media/image6138.jpg" Id="R4c5a78d677a44bf9" /><Relationship Type="http://schemas.openxmlformats.org/officeDocument/2006/relationships/image" Target="/xl/media/image6139.jpg" Id="R0ef291add1784510" /><Relationship Type="http://schemas.openxmlformats.org/officeDocument/2006/relationships/image" Target="/xl/media/image6140.jpg" Id="R180f74e857a04098" /><Relationship Type="http://schemas.openxmlformats.org/officeDocument/2006/relationships/image" Target="/xl/media/image6141.jpg" Id="R399ec590ecf74674" /><Relationship Type="http://schemas.openxmlformats.org/officeDocument/2006/relationships/image" Target="/xl/media/image6142.jpg" Id="R611c24e88909482f" /><Relationship Type="http://schemas.openxmlformats.org/officeDocument/2006/relationships/image" Target="/xl/media/image6143.jpg" Id="R112d513834de49f7" /><Relationship Type="http://schemas.openxmlformats.org/officeDocument/2006/relationships/image" Target="/xl/media/image6144.jpg" Id="R951f7bbac7364fb9" /><Relationship Type="http://schemas.openxmlformats.org/officeDocument/2006/relationships/image" Target="/xl/media/image6145.jpg" Id="Rf7a6bfbe9ce744a4" /><Relationship Type="http://schemas.openxmlformats.org/officeDocument/2006/relationships/image" Target="/xl/media/image6146.jpg" Id="Rf3dd55732d6b4a97" /><Relationship Type="http://schemas.openxmlformats.org/officeDocument/2006/relationships/image" Target="/xl/media/image6147.jpg" Id="Ref1d45e9e45e4a0b" /><Relationship Type="http://schemas.openxmlformats.org/officeDocument/2006/relationships/image" Target="/xl/media/image6148.jpg" Id="R3aac0b79baf14ca6" /><Relationship Type="http://schemas.openxmlformats.org/officeDocument/2006/relationships/image" Target="/xl/media/image6149.jpg" Id="R60523fa1bff94cf3" /><Relationship Type="http://schemas.openxmlformats.org/officeDocument/2006/relationships/image" Target="/xl/media/image6150.jpg" Id="Rbeb27fe94f66438b" /><Relationship Type="http://schemas.openxmlformats.org/officeDocument/2006/relationships/image" Target="/xl/media/image6151.jpg" Id="R9e9ed8e6e1964876" /><Relationship Type="http://schemas.openxmlformats.org/officeDocument/2006/relationships/image" Target="/xl/media/image6152.jpg" Id="R04cb5303c2174de7" /><Relationship Type="http://schemas.openxmlformats.org/officeDocument/2006/relationships/image" Target="/xl/media/image6153.jpg" Id="Rc45a201fb5f44784" /><Relationship Type="http://schemas.openxmlformats.org/officeDocument/2006/relationships/image" Target="/xl/media/image6154.jpg" Id="R7ddadfb8d8084406" /><Relationship Type="http://schemas.openxmlformats.org/officeDocument/2006/relationships/image" Target="/xl/media/image6155.jpg" Id="R8ae4daa7b2c74ff2" /><Relationship Type="http://schemas.openxmlformats.org/officeDocument/2006/relationships/image" Target="/xl/media/image6156.jpg" Id="R95bd5909a1da47b9" /><Relationship Type="http://schemas.openxmlformats.org/officeDocument/2006/relationships/image" Target="/xl/media/image6157.jpg" Id="R6e57e1d02bea4fcc" /><Relationship Type="http://schemas.openxmlformats.org/officeDocument/2006/relationships/image" Target="/xl/media/image6158.jpg" Id="R18155671e9804d60" /><Relationship Type="http://schemas.openxmlformats.org/officeDocument/2006/relationships/image" Target="/xl/media/image6159.jpg" Id="Rea4a60d1f0154c54" /><Relationship Type="http://schemas.openxmlformats.org/officeDocument/2006/relationships/image" Target="/xl/media/image6160.jpg" Id="R686ed7fe0fdc4eed" /><Relationship Type="http://schemas.openxmlformats.org/officeDocument/2006/relationships/image" Target="/xl/media/image6161.jpg" Id="R211e3be4158b49fe" /><Relationship Type="http://schemas.openxmlformats.org/officeDocument/2006/relationships/image" Target="/xl/media/image6162.jpg" Id="R30e6f2fec109476f" /><Relationship Type="http://schemas.openxmlformats.org/officeDocument/2006/relationships/image" Target="/xl/media/image6163.jpg" Id="R7ab8df9a91d64b11" /><Relationship Type="http://schemas.openxmlformats.org/officeDocument/2006/relationships/image" Target="/xl/media/image6164.jpg" Id="R5c764e3d94c44931" /><Relationship Type="http://schemas.openxmlformats.org/officeDocument/2006/relationships/image" Target="/xl/media/image6165.jpg" Id="R2c8d02add4864258" /><Relationship Type="http://schemas.openxmlformats.org/officeDocument/2006/relationships/image" Target="/xl/media/image6166.jpg" Id="R10ef1abcd1684ba9" /><Relationship Type="http://schemas.openxmlformats.org/officeDocument/2006/relationships/image" Target="/xl/media/image6167.jpg" Id="Red41c2f85ad24ec6" /><Relationship Type="http://schemas.openxmlformats.org/officeDocument/2006/relationships/image" Target="/xl/media/image6168.jpg" Id="R533da33f62134a16" /><Relationship Type="http://schemas.openxmlformats.org/officeDocument/2006/relationships/image" Target="/xl/media/image6169.jpg" Id="Raefbec673410402e" /><Relationship Type="http://schemas.openxmlformats.org/officeDocument/2006/relationships/image" Target="/xl/media/image6170.jpg" Id="R67b746b3ec114c5c" /><Relationship Type="http://schemas.openxmlformats.org/officeDocument/2006/relationships/image" Target="/xl/media/image6171.jpg" Id="Rb5f5ac38a6064e86" /><Relationship Type="http://schemas.openxmlformats.org/officeDocument/2006/relationships/image" Target="/xl/media/image6172.jpg" Id="R8e5befffb6fa4930" /><Relationship Type="http://schemas.openxmlformats.org/officeDocument/2006/relationships/image" Target="/xl/media/image6173.jpg" Id="R8247b01773184531" /><Relationship Type="http://schemas.openxmlformats.org/officeDocument/2006/relationships/image" Target="/xl/media/image6174.jpg" Id="R26cf98264e0a4208" /><Relationship Type="http://schemas.openxmlformats.org/officeDocument/2006/relationships/image" Target="/xl/media/image6175.jpg" Id="Rc98a77bc04e34630" /><Relationship Type="http://schemas.openxmlformats.org/officeDocument/2006/relationships/image" Target="/xl/media/image6176.jpg" Id="Rb0bc35d5245f4c2e" /><Relationship Type="http://schemas.openxmlformats.org/officeDocument/2006/relationships/image" Target="/xl/media/image6177.jpg" Id="R91315fd0c8e941b6" /><Relationship Type="http://schemas.openxmlformats.org/officeDocument/2006/relationships/image" Target="/xl/media/image6178.jpg" Id="R8e7e8a2a03594d56" /><Relationship Type="http://schemas.openxmlformats.org/officeDocument/2006/relationships/image" Target="/xl/media/image6179.jpg" Id="R9b8cf2ed35f54112" /><Relationship Type="http://schemas.openxmlformats.org/officeDocument/2006/relationships/image" Target="/xl/media/image6180.jpg" Id="R5591a3d2c2b04046" /><Relationship Type="http://schemas.openxmlformats.org/officeDocument/2006/relationships/image" Target="/xl/media/image6181.jpg" Id="R533942256a1a48b1" /><Relationship Type="http://schemas.openxmlformats.org/officeDocument/2006/relationships/image" Target="/xl/media/image6182.jpg" Id="Rab639a21172946f0" /><Relationship Type="http://schemas.openxmlformats.org/officeDocument/2006/relationships/image" Target="/xl/media/image6183.jpg" Id="Rae34b76884864c29" /><Relationship Type="http://schemas.openxmlformats.org/officeDocument/2006/relationships/image" Target="/xl/media/image6184.jpg" Id="Ra29f42f18f784381" /><Relationship Type="http://schemas.openxmlformats.org/officeDocument/2006/relationships/image" Target="/xl/media/image6185.jpg" Id="R3095404720784e55" /><Relationship Type="http://schemas.openxmlformats.org/officeDocument/2006/relationships/image" Target="/xl/media/image6186.jpg" Id="R2a53330cd5104bd3" /><Relationship Type="http://schemas.openxmlformats.org/officeDocument/2006/relationships/image" Target="/xl/media/image6187.jpg" Id="R21e0914ec5774b4d" /><Relationship Type="http://schemas.openxmlformats.org/officeDocument/2006/relationships/image" Target="/xl/media/image6188.jpg" Id="Rcbd86120ab184497" /><Relationship Type="http://schemas.openxmlformats.org/officeDocument/2006/relationships/image" Target="/xl/media/image6189.jpg" Id="R630cb0aa3df14f30" /><Relationship Type="http://schemas.openxmlformats.org/officeDocument/2006/relationships/image" Target="/xl/media/image6190.jpg" Id="R6c68dc065e1043a6" /><Relationship Type="http://schemas.openxmlformats.org/officeDocument/2006/relationships/image" Target="/xl/media/image6191.jpg" Id="Ra5d3631a52514fe1" /><Relationship Type="http://schemas.openxmlformats.org/officeDocument/2006/relationships/image" Target="/xl/media/image6192.jpg" Id="R593d1c2b29014121" /><Relationship Type="http://schemas.openxmlformats.org/officeDocument/2006/relationships/image" Target="/xl/media/image6193.jpg" Id="Rbd11ad0174e247e4" /><Relationship Type="http://schemas.openxmlformats.org/officeDocument/2006/relationships/image" Target="/xl/media/image6194.jpg" Id="Rafdb19ca57e64f56" /><Relationship Type="http://schemas.openxmlformats.org/officeDocument/2006/relationships/image" Target="/xl/media/image6195.jpg" Id="R98db265799d94d9a" /><Relationship Type="http://schemas.openxmlformats.org/officeDocument/2006/relationships/image" Target="/xl/media/image6196.jpg" Id="R14eece08c8344586" /><Relationship Type="http://schemas.openxmlformats.org/officeDocument/2006/relationships/image" Target="/xl/media/image6197.jpg" Id="R87780096b6284260" /><Relationship Type="http://schemas.openxmlformats.org/officeDocument/2006/relationships/image" Target="/xl/media/image6198.jpg" Id="R93bf55dabad74bf1" /><Relationship Type="http://schemas.openxmlformats.org/officeDocument/2006/relationships/image" Target="/xl/media/image6199.jpg" Id="Rd5cbe16a4c6245e1" /><Relationship Type="http://schemas.openxmlformats.org/officeDocument/2006/relationships/image" Target="/xl/media/image6200.jpg" Id="R06540c83ba4640fe" /><Relationship Type="http://schemas.openxmlformats.org/officeDocument/2006/relationships/image" Target="/xl/media/image6201.jpg" Id="R6ecbf919e0e245b1" /><Relationship Type="http://schemas.openxmlformats.org/officeDocument/2006/relationships/image" Target="/xl/media/image6202.jpg" Id="R71e9b4287eec41ee" /><Relationship Type="http://schemas.openxmlformats.org/officeDocument/2006/relationships/image" Target="/xl/media/image6203.jpg" Id="R1cf1b9949dad4f95" /><Relationship Type="http://schemas.openxmlformats.org/officeDocument/2006/relationships/image" Target="/xl/media/image6204.jpg" Id="R46ee1bc2ae854884" /><Relationship Type="http://schemas.openxmlformats.org/officeDocument/2006/relationships/image" Target="/xl/media/image6205.jpg" Id="R030f9a36ac2b4b20" /><Relationship Type="http://schemas.openxmlformats.org/officeDocument/2006/relationships/image" Target="/xl/media/image6206.jpg" Id="R68052ce8ed73422e" /><Relationship Type="http://schemas.openxmlformats.org/officeDocument/2006/relationships/image" Target="/xl/media/image6207.jpg" Id="R95019b6c45304065" /><Relationship Type="http://schemas.openxmlformats.org/officeDocument/2006/relationships/image" Target="/xl/media/image6208.jpg" Id="R379f40aaf74e42a4" /><Relationship Type="http://schemas.openxmlformats.org/officeDocument/2006/relationships/image" Target="/xl/media/image6209.jpg" Id="Rc0b99a2cbf2449c4" /><Relationship Type="http://schemas.openxmlformats.org/officeDocument/2006/relationships/image" Target="/xl/media/image6210.jpg" Id="R27230ced5cd8494d" /><Relationship Type="http://schemas.openxmlformats.org/officeDocument/2006/relationships/image" Target="/xl/media/image6211.jpg" Id="R4d1f3d4e4ff5445b" /><Relationship Type="http://schemas.openxmlformats.org/officeDocument/2006/relationships/image" Target="/xl/media/image6212.jpg" Id="R381093aaf18e41e2" /><Relationship Type="http://schemas.openxmlformats.org/officeDocument/2006/relationships/image" Target="/xl/media/image6213.jpg" Id="R6272d168180f4ae7" /><Relationship Type="http://schemas.openxmlformats.org/officeDocument/2006/relationships/image" Target="/xl/media/image6214.jpg" Id="Rc0c1a73df7ef48f5" /><Relationship Type="http://schemas.openxmlformats.org/officeDocument/2006/relationships/image" Target="/xl/media/image6215.jpg" Id="Rf495303eceac4308" /><Relationship Type="http://schemas.openxmlformats.org/officeDocument/2006/relationships/image" Target="/xl/media/image6216.jpg" Id="R5432a640b066408e" /><Relationship Type="http://schemas.openxmlformats.org/officeDocument/2006/relationships/image" Target="/xl/media/image6217.jpg" Id="R07269f0c3093480f" /><Relationship Type="http://schemas.openxmlformats.org/officeDocument/2006/relationships/image" Target="/xl/media/image6218.jpg" Id="R1f1e3d4d5b9d41b0" /><Relationship Type="http://schemas.openxmlformats.org/officeDocument/2006/relationships/image" Target="/xl/media/image6219.jpg" Id="R31a43d3ef6174a02" /><Relationship Type="http://schemas.openxmlformats.org/officeDocument/2006/relationships/image" Target="/xl/media/image6220.jpg" Id="R8fb98a29039b48bb" /><Relationship Type="http://schemas.openxmlformats.org/officeDocument/2006/relationships/image" Target="/xl/media/image6221.jpg" Id="R9d991bed75244e04" /><Relationship Type="http://schemas.openxmlformats.org/officeDocument/2006/relationships/image" Target="/xl/media/image6222.jpg" Id="Ra8a1f90d522a41bb" /><Relationship Type="http://schemas.openxmlformats.org/officeDocument/2006/relationships/image" Target="/xl/media/image6223.jpg" Id="Rebd59f792d9b4667" /><Relationship Type="http://schemas.openxmlformats.org/officeDocument/2006/relationships/image" Target="/xl/media/image6224.jpg" Id="R12d91f7f36154a75" /><Relationship Type="http://schemas.openxmlformats.org/officeDocument/2006/relationships/image" Target="/xl/media/image6225.jpg" Id="Rceeab5bca07544e1" /><Relationship Type="http://schemas.openxmlformats.org/officeDocument/2006/relationships/image" Target="/xl/media/image6226.jpg" Id="R886f89fae5884ea1" /><Relationship Type="http://schemas.openxmlformats.org/officeDocument/2006/relationships/image" Target="/xl/media/image6227.jpg" Id="R4573e3b9d7714616" /><Relationship Type="http://schemas.openxmlformats.org/officeDocument/2006/relationships/image" Target="/xl/media/image6228.jpg" Id="Rf8e4fb5348d9472f" /><Relationship Type="http://schemas.openxmlformats.org/officeDocument/2006/relationships/image" Target="/xl/media/image6229.jpg" Id="Rfe8b1f7f43c648ed" /><Relationship Type="http://schemas.openxmlformats.org/officeDocument/2006/relationships/image" Target="/xl/media/image6230.jpg" Id="R38db7dd02fed495d" /><Relationship Type="http://schemas.openxmlformats.org/officeDocument/2006/relationships/image" Target="/xl/media/image6231.jpg" Id="R5993fb8c484d46d1" /><Relationship Type="http://schemas.openxmlformats.org/officeDocument/2006/relationships/image" Target="/xl/media/image6232.jpg" Id="R38a6cf423e274c16" /><Relationship Type="http://schemas.openxmlformats.org/officeDocument/2006/relationships/image" Target="/xl/media/image6233.jpg" Id="R9ecb8435a8ff4ceb" /><Relationship Type="http://schemas.openxmlformats.org/officeDocument/2006/relationships/image" Target="/xl/media/image6234.jpg" Id="R9b3d96cf5f4f4ca5" /><Relationship Type="http://schemas.openxmlformats.org/officeDocument/2006/relationships/image" Target="/xl/media/image6235.jpg" Id="R355f79634020480b" /><Relationship Type="http://schemas.openxmlformats.org/officeDocument/2006/relationships/image" Target="/xl/media/image6236.jpg" Id="Re90b0740db714a17" /><Relationship Type="http://schemas.openxmlformats.org/officeDocument/2006/relationships/image" Target="/xl/media/image6237.jpg" Id="R9d34380d70494c50" /><Relationship Type="http://schemas.openxmlformats.org/officeDocument/2006/relationships/image" Target="/xl/media/image6238.jpg" Id="Re3b5d28a042c4223" /><Relationship Type="http://schemas.openxmlformats.org/officeDocument/2006/relationships/image" Target="/xl/media/image6239.jpg" Id="Rd6111ed5e8b941e7" /><Relationship Type="http://schemas.openxmlformats.org/officeDocument/2006/relationships/image" Target="/xl/media/image6240.jpg" Id="R6a5d92b0554a4111" /><Relationship Type="http://schemas.openxmlformats.org/officeDocument/2006/relationships/image" Target="/xl/media/image6241.jpg" Id="Rf24fa766649c43c4" /><Relationship Type="http://schemas.openxmlformats.org/officeDocument/2006/relationships/image" Target="/xl/media/image6242.jpg" Id="R877dfa148e7c4bc7" /><Relationship Type="http://schemas.openxmlformats.org/officeDocument/2006/relationships/image" Target="/xl/media/image6243.jpg" Id="R3317096935a44e9d" /><Relationship Type="http://schemas.openxmlformats.org/officeDocument/2006/relationships/image" Target="/xl/media/image6244.jpg" Id="R6fbd8454b1c94912" /><Relationship Type="http://schemas.openxmlformats.org/officeDocument/2006/relationships/image" Target="/xl/media/image6245.jpg" Id="R47643fcf2ecf4dd8" /><Relationship Type="http://schemas.openxmlformats.org/officeDocument/2006/relationships/image" Target="/xl/media/image6246.jpg" Id="R13b76e27dfe84ac9" /><Relationship Type="http://schemas.openxmlformats.org/officeDocument/2006/relationships/image" Target="/xl/media/image6247.jpg" Id="R322b3776df814e45" /><Relationship Type="http://schemas.openxmlformats.org/officeDocument/2006/relationships/image" Target="/xl/media/image6248.jpg" Id="Ra2b2ed14be2640d3" /><Relationship Type="http://schemas.openxmlformats.org/officeDocument/2006/relationships/image" Target="/xl/media/image6249.jpg" Id="R49b99f319dfa4bae" /><Relationship Type="http://schemas.openxmlformats.org/officeDocument/2006/relationships/image" Target="/xl/media/image6250.jpg" Id="Rc202b445eb854547" /><Relationship Type="http://schemas.openxmlformats.org/officeDocument/2006/relationships/image" Target="/xl/media/image6251.jpg" Id="R23fdf5028aa14f21" /><Relationship Type="http://schemas.openxmlformats.org/officeDocument/2006/relationships/image" Target="/xl/media/image6252.jpg" Id="Rdb38675c0ef742e7" /><Relationship Type="http://schemas.openxmlformats.org/officeDocument/2006/relationships/image" Target="/xl/media/image6253.jpg" Id="Rde1c7755130949ea" /><Relationship Type="http://schemas.openxmlformats.org/officeDocument/2006/relationships/image" Target="/xl/media/image6254.jpg" Id="R81e0a6341ae94ab3" /><Relationship Type="http://schemas.openxmlformats.org/officeDocument/2006/relationships/image" Target="/xl/media/image6255.jpg" Id="R8ad2721a963340c1" /><Relationship Type="http://schemas.openxmlformats.org/officeDocument/2006/relationships/image" Target="/xl/media/image6256.jpg" Id="R0ae4fbaecf204f81" /><Relationship Type="http://schemas.openxmlformats.org/officeDocument/2006/relationships/image" Target="/xl/media/image6257.jpg" Id="R25c39e81c0184584" /><Relationship Type="http://schemas.openxmlformats.org/officeDocument/2006/relationships/image" Target="/xl/media/image6258.jpg" Id="R83cf9568b64b488e" /><Relationship Type="http://schemas.openxmlformats.org/officeDocument/2006/relationships/image" Target="/xl/media/image6259.jpg" Id="Rf7d357f1b9434b84" /><Relationship Type="http://schemas.openxmlformats.org/officeDocument/2006/relationships/image" Target="/xl/media/image6260.jpg" Id="R021eff9b79884c6b" /><Relationship Type="http://schemas.openxmlformats.org/officeDocument/2006/relationships/image" Target="/xl/media/image6261.jpg" Id="R1a110242376e4ebc" /><Relationship Type="http://schemas.openxmlformats.org/officeDocument/2006/relationships/image" Target="/xl/media/image6262.jpg" Id="Rd80324ee89644a58" /><Relationship Type="http://schemas.openxmlformats.org/officeDocument/2006/relationships/image" Target="/xl/media/image6263.jpg" Id="R464448dc39ae4e4f" /><Relationship Type="http://schemas.openxmlformats.org/officeDocument/2006/relationships/image" Target="/xl/media/image6264.jpg" Id="Rc472abc29b27490d" /><Relationship Type="http://schemas.openxmlformats.org/officeDocument/2006/relationships/image" Target="/xl/media/image6265.jpg" Id="Rfc0cb6d42cc14b5d" /><Relationship Type="http://schemas.openxmlformats.org/officeDocument/2006/relationships/image" Target="/xl/media/image6266.jpg" Id="Rbb4f2cb14ba84698" /><Relationship Type="http://schemas.openxmlformats.org/officeDocument/2006/relationships/image" Target="/xl/media/image6267.jpg" Id="Rc6665f9e1a504bff" /><Relationship Type="http://schemas.openxmlformats.org/officeDocument/2006/relationships/image" Target="/xl/media/image6268.jpg" Id="R4ca8a0b2438f498c" /><Relationship Type="http://schemas.openxmlformats.org/officeDocument/2006/relationships/image" Target="/xl/media/image6269.jpg" Id="R26bc2064d2f34a24" /><Relationship Type="http://schemas.openxmlformats.org/officeDocument/2006/relationships/image" Target="/xl/media/image6270.jpg" Id="R03e07f48a94d4c50" /><Relationship Type="http://schemas.openxmlformats.org/officeDocument/2006/relationships/image" Target="/xl/media/image6271.jpg" Id="R9d6502e27e374ccb" /><Relationship Type="http://schemas.openxmlformats.org/officeDocument/2006/relationships/image" Target="/xl/media/image6272.jpg" Id="R394a93d0cdae447c" /><Relationship Type="http://schemas.openxmlformats.org/officeDocument/2006/relationships/image" Target="/xl/media/image6273.jpg" Id="Re09c709d1e33493f" /><Relationship Type="http://schemas.openxmlformats.org/officeDocument/2006/relationships/image" Target="/xl/media/image6274.jpg" Id="R6a303d28db884edc" /><Relationship Type="http://schemas.openxmlformats.org/officeDocument/2006/relationships/image" Target="/xl/media/image6275.jpg" Id="R7b9a81e1031e4b05" /><Relationship Type="http://schemas.openxmlformats.org/officeDocument/2006/relationships/image" Target="/xl/media/image6276.jpg" Id="R97e3b54477524f5a" /><Relationship Type="http://schemas.openxmlformats.org/officeDocument/2006/relationships/image" Target="/xl/media/image6277.jpg" Id="Rccc8807e48674294" /><Relationship Type="http://schemas.openxmlformats.org/officeDocument/2006/relationships/image" Target="/xl/media/image6278.jpg" Id="Rd15f573153934fc6" /><Relationship Type="http://schemas.openxmlformats.org/officeDocument/2006/relationships/image" Target="/xl/media/image6279.jpg" Id="Rbc04f853235e4d85" /><Relationship Type="http://schemas.openxmlformats.org/officeDocument/2006/relationships/image" Target="/xl/media/image6280.jpg" Id="Rd68fd3bc68924b34" /><Relationship Type="http://schemas.openxmlformats.org/officeDocument/2006/relationships/image" Target="/xl/media/image6281.jpg" Id="R9e2f111219f64157" /><Relationship Type="http://schemas.openxmlformats.org/officeDocument/2006/relationships/image" Target="/xl/media/image6282.jpg" Id="R2615e83d0a554ef2" /><Relationship Type="http://schemas.openxmlformats.org/officeDocument/2006/relationships/image" Target="/xl/media/image6283.jpg" Id="R9adaff98792c4f8b" /><Relationship Type="http://schemas.openxmlformats.org/officeDocument/2006/relationships/image" Target="/xl/media/image6284.jpg" Id="R2ce78077684840a4" /><Relationship Type="http://schemas.openxmlformats.org/officeDocument/2006/relationships/image" Target="/xl/media/image6285.jpg" Id="Rd86b8db7d1a14554" /><Relationship Type="http://schemas.openxmlformats.org/officeDocument/2006/relationships/image" Target="/xl/media/image6286.jpg" Id="Rf2ae94afca9640a0" /><Relationship Type="http://schemas.openxmlformats.org/officeDocument/2006/relationships/image" Target="/xl/media/image6287.jpg" Id="R37155483b89d411d" /><Relationship Type="http://schemas.openxmlformats.org/officeDocument/2006/relationships/image" Target="/xl/media/image6288.jpg" Id="Rfe4de08af2c14cfc" /><Relationship Type="http://schemas.openxmlformats.org/officeDocument/2006/relationships/image" Target="/xl/media/image6289.jpg" Id="R44d1f2ffdd194642" /><Relationship Type="http://schemas.openxmlformats.org/officeDocument/2006/relationships/image" Target="/xl/media/image6290.jpg" Id="R375f0d6bb4664d21" /><Relationship Type="http://schemas.openxmlformats.org/officeDocument/2006/relationships/image" Target="/xl/media/image6291.jpg" Id="R4606cd5ff87f42aa" /><Relationship Type="http://schemas.openxmlformats.org/officeDocument/2006/relationships/image" Target="/xl/media/image6292.jpg" Id="R6c2aeb1c213742f1" /><Relationship Type="http://schemas.openxmlformats.org/officeDocument/2006/relationships/image" Target="/xl/media/image6293.jpg" Id="R9b957903cd9a4a59" /><Relationship Type="http://schemas.openxmlformats.org/officeDocument/2006/relationships/image" Target="/xl/media/image6294.jpg" Id="Re66555d740494239" /><Relationship Type="http://schemas.openxmlformats.org/officeDocument/2006/relationships/image" Target="/xl/media/image6295.jpg" Id="Rb95795b2a61347d3" /><Relationship Type="http://schemas.openxmlformats.org/officeDocument/2006/relationships/image" Target="/xl/media/image6296.jpg" Id="R163e0f3387454768" /><Relationship Type="http://schemas.openxmlformats.org/officeDocument/2006/relationships/image" Target="/xl/media/image6297.jpg" Id="Rbb851b6a1bd44c3d" /><Relationship Type="http://schemas.openxmlformats.org/officeDocument/2006/relationships/image" Target="/xl/media/image6298.jpg" Id="R5317ad7231394cc5" /><Relationship Type="http://schemas.openxmlformats.org/officeDocument/2006/relationships/image" Target="/xl/media/image6299.jpg" Id="R9644214255d74cba" /><Relationship Type="http://schemas.openxmlformats.org/officeDocument/2006/relationships/image" Target="/xl/media/image6300.jpg" Id="R8c7594daa4ad4891" /><Relationship Type="http://schemas.openxmlformats.org/officeDocument/2006/relationships/image" Target="/xl/media/image6301.jpg" Id="R13b02a931a024ff1" /><Relationship Type="http://schemas.openxmlformats.org/officeDocument/2006/relationships/image" Target="/xl/media/image6302.jpg" Id="R99b99bde2ed84446" /><Relationship Type="http://schemas.openxmlformats.org/officeDocument/2006/relationships/image" Target="/xl/media/image6303.jpg" Id="Ra44cf0b737874c8b" /><Relationship Type="http://schemas.openxmlformats.org/officeDocument/2006/relationships/image" Target="/xl/media/image6304.jpg" Id="R58f5ede983754e73" /><Relationship Type="http://schemas.openxmlformats.org/officeDocument/2006/relationships/image" Target="/xl/media/image6305.jpg" Id="R24da2e053ed64644" /><Relationship Type="http://schemas.openxmlformats.org/officeDocument/2006/relationships/image" Target="/xl/media/image6306.jpg" Id="R059e25926e16449c" /><Relationship Type="http://schemas.openxmlformats.org/officeDocument/2006/relationships/image" Target="/xl/media/image6307.jpg" Id="R3e46527219bd4ccd" /><Relationship Type="http://schemas.openxmlformats.org/officeDocument/2006/relationships/image" Target="/xl/media/image6308.jpg" Id="Re7b5ec0b92634895" /><Relationship Type="http://schemas.openxmlformats.org/officeDocument/2006/relationships/image" Target="/xl/media/image6309.jpg" Id="Rf805e2995d844c0f" /><Relationship Type="http://schemas.openxmlformats.org/officeDocument/2006/relationships/image" Target="/xl/media/image6310.jpg" Id="R5978c269863e4bed" /><Relationship Type="http://schemas.openxmlformats.org/officeDocument/2006/relationships/image" Target="/xl/media/image6311.jpg" Id="R4e282f8b0de44628" /><Relationship Type="http://schemas.openxmlformats.org/officeDocument/2006/relationships/image" Target="/xl/media/image6312.jpg" Id="Ref83bf87428542d4" /><Relationship Type="http://schemas.openxmlformats.org/officeDocument/2006/relationships/image" Target="/xl/media/image6313.jpg" Id="Ra919e72d319e4758" /><Relationship Type="http://schemas.openxmlformats.org/officeDocument/2006/relationships/image" Target="/xl/media/image6314.jpg" Id="R277edeba8aed46d9" /><Relationship Type="http://schemas.openxmlformats.org/officeDocument/2006/relationships/image" Target="/xl/media/image6315.jpg" Id="R4a1b33ff82a84668" /><Relationship Type="http://schemas.openxmlformats.org/officeDocument/2006/relationships/image" Target="/xl/media/image6316.jpg" Id="R98e8e5314a924eb3" /><Relationship Type="http://schemas.openxmlformats.org/officeDocument/2006/relationships/image" Target="/xl/media/image6317.jpg" Id="R356de7d78adc4132" /><Relationship Type="http://schemas.openxmlformats.org/officeDocument/2006/relationships/image" Target="/xl/media/image6318.jpg" Id="R8bf06755ce744332" /><Relationship Type="http://schemas.openxmlformats.org/officeDocument/2006/relationships/image" Target="/xl/media/image6319.jpg" Id="Raffdf685d5344fa0" /><Relationship Type="http://schemas.openxmlformats.org/officeDocument/2006/relationships/image" Target="/xl/media/image6320.jpg" Id="Rebe83b3c2ceb484d" /><Relationship Type="http://schemas.openxmlformats.org/officeDocument/2006/relationships/image" Target="/xl/media/image6321.jpg" Id="R619444d8b35f4f10" /><Relationship Type="http://schemas.openxmlformats.org/officeDocument/2006/relationships/image" Target="/xl/media/image6322.jpg" Id="R8a9e14ec398f444b" /><Relationship Type="http://schemas.openxmlformats.org/officeDocument/2006/relationships/image" Target="/xl/media/image6323.jpg" Id="R50c0a5ad96c04aff" /><Relationship Type="http://schemas.openxmlformats.org/officeDocument/2006/relationships/image" Target="/xl/media/image6324.jpg" Id="R24d8ed42e93246ea" /><Relationship Type="http://schemas.openxmlformats.org/officeDocument/2006/relationships/image" Target="/xl/media/image6325.jpg" Id="Rf3c69a22f3ad428b" /><Relationship Type="http://schemas.openxmlformats.org/officeDocument/2006/relationships/image" Target="/xl/media/image6326.jpg" Id="R1428b1713c244ec5" /><Relationship Type="http://schemas.openxmlformats.org/officeDocument/2006/relationships/image" Target="/xl/media/image6327.jpg" Id="R6d41517b60bf4bed" /><Relationship Type="http://schemas.openxmlformats.org/officeDocument/2006/relationships/image" Target="/xl/media/image6328.jpg" Id="R1fcfb3111da24ae7" /><Relationship Type="http://schemas.openxmlformats.org/officeDocument/2006/relationships/image" Target="/xl/media/image6329.jpg" Id="Rb4c755e736b84ac3" /><Relationship Type="http://schemas.openxmlformats.org/officeDocument/2006/relationships/image" Target="/xl/media/image6330.jpg" Id="Reacbda3f262c4e1f" /><Relationship Type="http://schemas.openxmlformats.org/officeDocument/2006/relationships/image" Target="/xl/media/image6331.jpg" Id="Rae10bef8fb4645c5" /><Relationship Type="http://schemas.openxmlformats.org/officeDocument/2006/relationships/image" Target="/xl/media/image6332.jpg" Id="R939a553af7ce4b2c" /><Relationship Type="http://schemas.openxmlformats.org/officeDocument/2006/relationships/image" Target="/xl/media/image6333.jpg" Id="Rc618c484271e4bc3" /><Relationship Type="http://schemas.openxmlformats.org/officeDocument/2006/relationships/image" Target="/xl/media/image6334.jpg" Id="R0f7a7588fb084903" /><Relationship Type="http://schemas.openxmlformats.org/officeDocument/2006/relationships/image" Target="/xl/media/image6335.jpg" Id="R6759bb12b5d147d7" /><Relationship Type="http://schemas.openxmlformats.org/officeDocument/2006/relationships/image" Target="/xl/media/image6336.jpg" Id="R7a7b63f5b29b4306" /><Relationship Type="http://schemas.openxmlformats.org/officeDocument/2006/relationships/image" Target="/xl/media/image6337.jpg" Id="Rbfc0e54d93e84dd8" /><Relationship Type="http://schemas.openxmlformats.org/officeDocument/2006/relationships/image" Target="/xl/media/image6338.jpg" Id="R79b2b1d22ae64067" /><Relationship Type="http://schemas.openxmlformats.org/officeDocument/2006/relationships/image" Target="/xl/media/image6339.jpg" Id="R10b00fafda0e474d" /><Relationship Type="http://schemas.openxmlformats.org/officeDocument/2006/relationships/image" Target="/xl/media/image6340.jpg" Id="Rc6527f983a474083" /><Relationship Type="http://schemas.openxmlformats.org/officeDocument/2006/relationships/image" Target="/xl/media/image6341.jpg" Id="R6fb387ffbc5e4ada" /><Relationship Type="http://schemas.openxmlformats.org/officeDocument/2006/relationships/image" Target="/xl/media/image6342.jpg" Id="R5ebb7b6ace6c4589" /><Relationship Type="http://schemas.openxmlformats.org/officeDocument/2006/relationships/image" Target="/xl/media/image6343.jpg" Id="R173299d3d61a42f5" /><Relationship Type="http://schemas.openxmlformats.org/officeDocument/2006/relationships/image" Target="/xl/media/image6344.jpg" Id="R1ee4745eef6e41cc" /><Relationship Type="http://schemas.openxmlformats.org/officeDocument/2006/relationships/image" Target="/xl/media/image6345.jpg" Id="R36b3c2cd01e5433c" /><Relationship Type="http://schemas.openxmlformats.org/officeDocument/2006/relationships/image" Target="/xl/media/image6346.jpg" Id="R92e6e1829cdc4c82" /><Relationship Type="http://schemas.openxmlformats.org/officeDocument/2006/relationships/image" Target="/xl/media/image6347.jpg" Id="R575655e2929c499c" /><Relationship Type="http://schemas.openxmlformats.org/officeDocument/2006/relationships/image" Target="/xl/media/image6348.jpg" Id="R7ae2aaddad1642d1" /><Relationship Type="http://schemas.openxmlformats.org/officeDocument/2006/relationships/image" Target="/xl/media/image6349.jpg" Id="R297a327daee94939" /><Relationship Type="http://schemas.openxmlformats.org/officeDocument/2006/relationships/image" Target="/xl/media/image6350.jpg" Id="Rc4fcba3ba08846c4" /><Relationship Type="http://schemas.openxmlformats.org/officeDocument/2006/relationships/image" Target="/xl/media/image6351.jpg" Id="Refcb2ce122104127" /><Relationship Type="http://schemas.openxmlformats.org/officeDocument/2006/relationships/image" Target="/xl/media/image6352.jpg" Id="R398258d54d9d41c1" /><Relationship Type="http://schemas.openxmlformats.org/officeDocument/2006/relationships/image" Target="/xl/media/image6353.jpg" Id="Rdf961d95edd346ae" /><Relationship Type="http://schemas.openxmlformats.org/officeDocument/2006/relationships/image" Target="/xl/media/image6354.jpg" Id="R04c08431deff4b22" /><Relationship Type="http://schemas.openxmlformats.org/officeDocument/2006/relationships/image" Target="/xl/media/image6355.jpg" Id="Rd42b2fd08d504f6a" /><Relationship Type="http://schemas.openxmlformats.org/officeDocument/2006/relationships/image" Target="/xl/media/image6356.jpg" Id="R4d8276c285a9456e" /><Relationship Type="http://schemas.openxmlformats.org/officeDocument/2006/relationships/image" Target="/xl/media/image6357.jpg" Id="R8656259b4ec54984" /><Relationship Type="http://schemas.openxmlformats.org/officeDocument/2006/relationships/image" Target="/xl/media/image6358.jpg" Id="Rda198174c90846b2" /><Relationship Type="http://schemas.openxmlformats.org/officeDocument/2006/relationships/image" Target="/xl/media/image6359.jpg" Id="R2b3237408a104db2" /><Relationship Type="http://schemas.openxmlformats.org/officeDocument/2006/relationships/image" Target="/xl/media/image6360.jpg" Id="R0e497291901c40fa" /><Relationship Type="http://schemas.openxmlformats.org/officeDocument/2006/relationships/image" Target="/xl/media/image6361.jpg" Id="R28a638feb68343ea" /><Relationship Type="http://schemas.openxmlformats.org/officeDocument/2006/relationships/image" Target="/xl/media/image6362.jpg" Id="Ra9e32d8132674c9d" /><Relationship Type="http://schemas.openxmlformats.org/officeDocument/2006/relationships/image" Target="/xl/media/image6363.jpg" Id="R99f6d916f06448ee" /><Relationship Type="http://schemas.openxmlformats.org/officeDocument/2006/relationships/image" Target="/xl/media/image6364.jpg" Id="R8a8c243612984ac8" /><Relationship Type="http://schemas.openxmlformats.org/officeDocument/2006/relationships/image" Target="/xl/media/image6365.jpg" Id="R4fd0a22770d04925" /><Relationship Type="http://schemas.openxmlformats.org/officeDocument/2006/relationships/image" Target="/xl/media/image6366.jpg" Id="Rd70c423d519147cd" /><Relationship Type="http://schemas.openxmlformats.org/officeDocument/2006/relationships/image" Target="/xl/media/image6367.jpg" Id="Re414c48f7cac4453" /><Relationship Type="http://schemas.openxmlformats.org/officeDocument/2006/relationships/image" Target="/xl/media/image6368.jpg" Id="Rbec19dcad1bf428c" /><Relationship Type="http://schemas.openxmlformats.org/officeDocument/2006/relationships/image" Target="/xl/media/image6369.jpg" Id="Rf16b9402a5b84ee7" /><Relationship Type="http://schemas.openxmlformats.org/officeDocument/2006/relationships/image" Target="/xl/media/image6370.jpg" Id="R73ba6dfa7c054fcb" /><Relationship Type="http://schemas.openxmlformats.org/officeDocument/2006/relationships/image" Target="/xl/media/image6371.jpg" Id="R03626c313557432f" /><Relationship Type="http://schemas.openxmlformats.org/officeDocument/2006/relationships/image" Target="/xl/media/image6372.jpg" Id="R40c4ffe2b0d2475c" /><Relationship Type="http://schemas.openxmlformats.org/officeDocument/2006/relationships/image" Target="/xl/media/image6373.jpg" Id="Ra6aa9264f4d947a1" /><Relationship Type="http://schemas.openxmlformats.org/officeDocument/2006/relationships/image" Target="/xl/media/image6374.jpg" Id="Rb760323b1dee4307" /><Relationship Type="http://schemas.openxmlformats.org/officeDocument/2006/relationships/image" Target="/xl/media/image6375.jpg" Id="Raf04312c12d345f2" /><Relationship Type="http://schemas.openxmlformats.org/officeDocument/2006/relationships/image" Target="/xl/media/image6376.jpg" Id="R0bc549e798154134" /><Relationship Type="http://schemas.openxmlformats.org/officeDocument/2006/relationships/image" Target="/xl/media/image6377.jpg" Id="R4289a3a26a1b428b" /><Relationship Type="http://schemas.openxmlformats.org/officeDocument/2006/relationships/image" Target="/xl/media/image6378.jpg" Id="R8c6bc53fda6f4068" /><Relationship Type="http://schemas.openxmlformats.org/officeDocument/2006/relationships/image" Target="/xl/media/image6379.jpg" Id="R3c512ecf25bb4454" /><Relationship Type="http://schemas.openxmlformats.org/officeDocument/2006/relationships/image" Target="/xl/media/image6380.jpg" Id="R58bccb4a97c44763" /><Relationship Type="http://schemas.openxmlformats.org/officeDocument/2006/relationships/image" Target="/xl/media/image6381.jpg" Id="Rc619aee6d5ff458f" /><Relationship Type="http://schemas.openxmlformats.org/officeDocument/2006/relationships/image" Target="/xl/media/image6382.jpg" Id="Rc52481e537d9480d" /><Relationship Type="http://schemas.openxmlformats.org/officeDocument/2006/relationships/image" Target="/xl/media/image6383.jpg" Id="Rdd5f64491b594576" /><Relationship Type="http://schemas.openxmlformats.org/officeDocument/2006/relationships/image" Target="/xl/media/image6384.jpg" Id="Rd9dd8f0b18904c04" /><Relationship Type="http://schemas.openxmlformats.org/officeDocument/2006/relationships/image" Target="/xl/media/image6385.jpg" Id="Rc1b2b93ed6f7474b" /><Relationship Type="http://schemas.openxmlformats.org/officeDocument/2006/relationships/image" Target="/xl/media/image6386.jpg" Id="R4f51e5f4be9248b8" /><Relationship Type="http://schemas.openxmlformats.org/officeDocument/2006/relationships/image" Target="/xl/media/image6387.jpg" Id="Rff1383de43e44ab5" /><Relationship Type="http://schemas.openxmlformats.org/officeDocument/2006/relationships/image" Target="/xl/media/image6388.jpg" Id="Rd2b0f24f3354420b" /><Relationship Type="http://schemas.openxmlformats.org/officeDocument/2006/relationships/image" Target="/xl/media/image6389.jpg" Id="R491b0ff57d834157" /><Relationship Type="http://schemas.openxmlformats.org/officeDocument/2006/relationships/image" Target="/xl/media/image6390.jpg" Id="R206789a8e5954ae6" /><Relationship Type="http://schemas.openxmlformats.org/officeDocument/2006/relationships/image" Target="/xl/media/image6391.jpg" Id="R810308f686be442b" /><Relationship Type="http://schemas.openxmlformats.org/officeDocument/2006/relationships/image" Target="/xl/media/image6392.jpg" Id="Rbf3766e99d3d45f5" /><Relationship Type="http://schemas.openxmlformats.org/officeDocument/2006/relationships/image" Target="/xl/media/image6393.jpg" Id="R50c7ee0865fe4f67" /><Relationship Type="http://schemas.openxmlformats.org/officeDocument/2006/relationships/image" Target="/xl/media/image6394.jpg" Id="R0fb03647abb34349" /><Relationship Type="http://schemas.openxmlformats.org/officeDocument/2006/relationships/image" Target="/xl/media/image6395.jpg" Id="R9cd71f4bdd5e4979" /><Relationship Type="http://schemas.openxmlformats.org/officeDocument/2006/relationships/image" Target="/xl/media/image6396.jpg" Id="R91e9aa5d141b4db6" /><Relationship Type="http://schemas.openxmlformats.org/officeDocument/2006/relationships/image" Target="/xl/media/image6397.jpg" Id="Rbe85ee56d5c5462f" /><Relationship Type="http://schemas.openxmlformats.org/officeDocument/2006/relationships/image" Target="/xl/media/image6398.jpg" Id="R3832999732ce448d" /><Relationship Type="http://schemas.openxmlformats.org/officeDocument/2006/relationships/image" Target="/xl/media/image6399.jpg" Id="Rf0bac7016aed4501" /><Relationship Type="http://schemas.openxmlformats.org/officeDocument/2006/relationships/image" Target="/xl/media/image6400.jpg" Id="Re168f7ca6f1542cf" /><Relationship Type="http://schemas.openxmlformats.org/officeDocument/2006/relationships/image" Target="/xl/media/image6401.jpg" Id="R62fc5a97e1254636" /><Relationship Type="http://schemas.openxmlformats.org/officeDocument/2006/relationships/image" Target="/xl/media/image6402.jpg" Id="R7aa8be35dfce4763" /><Relationship Type="http://schemas.openxmlformats.org/officeDocument/2006/relationships/image" Target="/xl/media/image6403.jpg" Id="R8683d0668fb84564" /><Relationship Type="http://schemas.openxmlformats.org/officeDocument/2006/relationships/image" Target="/xl/media/image6404.jpg" Id="R651eba15db8d446c" /><Relationship Type="http://schemas.openxmlformats.org/officeDocument/2006/relationships/image" Target="/xl/media/image6405.jpg" Id="R11709fb82b8f434f" /><Relationship Type="http://schemas.openxmlformats.org/officeDocument/2006/relationships/image" Target="/xl/media/image6406.jpg" Id="R6e725a06367e403a" /><Relationship Type="http://schemas.openxmlformats.org/officeDocument/2006/relationships/image" Target="/xl/media/image6407.jpg" Id="R51a042f2ae3e461e" /><Relationship Type="http://schemas.openxmlformats.org/officeDocument/2006/relationships/image" Target="/xl/media/image6408.jpg" Id="Rf39090442ff74fc4" /><Relationship Type="http://schemas.openxmlformats.org/officeDocument/2006/relationships/image" Target="/xl/media/image6409.jpg" Id="Rddb870acf9134e37" /><Relationship Type="http://schemas.openxmlformats.org/officeDocument/2006/relationships/image" Target="/xl/media/image6410.jpg" Id="R7768bec3f1f14a95" /><Relationship Type="http://schemas.openxmlformats.org/officeDocument/2006/relationships/image" Target="/xl/media/image6411.jpg" Id="Re345ea72df45461d" /><Relationship Type="http://schemas.openxmlformats.org/officeDocument/2006/relationships/image" Target="/xl/media/image6412.jpg" Id="Rd5bffb278a234a33" /><Relationship Type="http://schemas.openxmlformats.org/officeDocument/2006/relationships/image" Target="/xl/media/image6413.jpg" Id="R0feed7dc6f884da9" /><Relationship Type="http://schemas.openxmlformats.org/officeDocument/2006/relationships/image" Target="/xl/media/image6414.jpg" Id="R85997212a0ed47ba" /><Relationship Type="http://schemas.openxmlformats.org/officeDocument/2006/relationships/image" Target="/xl/media/image6415.jpg" Id="Rb0ab4d06fffa4a78" /><Relationship Type="http://schemas.openxmlformats.org/officeDocument/2006/relationships/image" Target="/xl/media/image6416.jpg" Id="Rea16f881cfc64453" /><Relationship Type="http://schemas.openxmlformats.org/officeDocument/2006/relationships/image" Target="/xl/media/image6417.jpg" Id="Ra2932f54cfbd4698" /><Relationship Type="http://schemas.openxmlformats.org/officeDocument/2006/relationships/image" Target="/xl/media/image6418.jpg" Id="R0d58664f2de94a8e" /><Relationship Type="http://schemas.openxmlformats.org/officeDocument/2006/relationships/image" Target="/xl/media/image6419.jpg" Id="R50f4aa80f81049f0" /><Relationship Type="http://schemas.openxmlformats.org/officeDocument/2006/relationships/image" Target="/xl/media/image6420.jpg" Id="R5bf42cb36ea64362" /><Relationship Type="http://schemas.openxmlformats.org/officeDocument/2006/relationships/image" Target="/xl/media/image6421.jpg" Id="Rc8d7ba9a86be4669" /><Relationship Type="http://schemas.openxmlformats.org/officeDocument/2006/relationships/image" Target="/xl/media/image6422.jpg" Id="R4fb906baf7b242e5" /><Relationship Type="http://schemas.openxmlformats.org/officeDocument/2006/relationships/image" Target="/xl/media/image6423.jpg" Id="Re7325484ac4c40af" /><Relationship Type="http://schemas.openxmlformats.org/officeDocument/2006/relationships/image" Target="/xl/media/image6424.jpg" Id="R0059abe9792a4588" /><Relationship Type="http://schemas.openxmlformats.org/officeDocument/2006/relationships/image" Target="/xl/media/image6425.jpg" Id="Rca793b7852f241b2" /><Relationship Type="http://schemas.openxmlformats.org/officeDocument/2006/relationships/image" Target="/xl/media/image6426.jpg" Id="Rddadafc990b340c4" /><Relationship Type="http://schemas.openxmlformats.org/officeDocument/2006/relationships/image" Target="/xl/media/image6427.jpg" Id="R628f1c345e17418f" /><Relationship Type="http://schemas.openxmlformats.org/officeDocument/2006/relationships/image" Target="/xl/media/image6428.jpg" Id="R8156d2ec468b4f78" /><Relationship Type="http://schemas.openxmlformats.org/officeDocument/2006/relationships/image" Target="/xl/media/image6429.jpg" Id="R2ffa6ddea8364b5e" /><Relationship Type="http://schemas.openxmlformats.org/officeDocument/2006/relationships/image" Target="/xl/media/image6430.jpg" Id="R27ad69f5f9d445d0" /><Relationship Type="http://schemas.openxmlformats.org/officeDocument/2006/relationships/image" Target="/xl/media/image6431.jpg" Id="Ra68611ea4c464def" /><Relationship Type="http://schemas.openxmlformats.org/officeDocument/2006/relationships/image" Target="/xl/media/image6432.jpg" Id="R3596dfade9724f29" /><Relationship Type="http://schemas.openxmlformats.org/officeDocument/2006/relationships/image" Target="/xl/media/image6433.jpg" Id="Ra872257f6ecd47e3" /><Relationship Type="http://schemas.openxmlformats.org/officeDocument/2006/relationships/image" Target="/xl/media/image6434.jpg" Id="Rbeb4dfba483f4229" /><Relationship Type="http://schemas.openxmlformats.org/officeDocument/2006/relationships/image" Target="/xl/media/image6435.jpg" Id="R36bca8c880d240f5" /><Relationship Type="http://schemas.openxmlformats.org/officeDocument/2006/relationships/image" Target="/xl/media/image6436.jpg" Id="R87535e9849da4ca9" /><Relationship Type="http://schemas.openxmlformats.org/officeDocument/2006/relationships/image" Target="/xl/media/image6437.jpg" Id="Re833e976cfa94f11" /><Relationship Type="http://schemas.openxmlformats.org/officeDocument/2006/relationships/image" Target="/xl/media/image6438.jpg" Id="R198c1e160f50403f" /><Relationship Type="http://schemas.openxmlformats.org/officeDocument/2006/relationships/image" Target="/xl/media/image6439.jpg" Id="Rf4e6aa6347f340f1" /><Relationship Type="http://schemas.openxmlformats.org/officeDocument/2006/relationships/image" Target="/xl/media/image6440.jpg" Id="R6d6b75ba908c47db" /><Relationship Type="http://schemas.openxmlformats.org/officeDocument/2006/relationships/image" Target="/xl/media/image6441.jpg" Id="R2166df8caee84ae9" /><Relationship Type="http://schemas.openxmlformats.org/officeDocument/2006/relationships/image" Target="/xl/media/image6442.jpg" Id="R2f17069004fc4dba" /><Relationship Type="http://schemas.openxmlformats.org/officeDocument/2006/relationships/image" Target="/xl/media/image6443.jpg" Id="R82b23132b8a643b8" /><Relationship Type="http://schemas.openxmlformats.org/officeDocument/2006/relationships/image" Target="/xl/media/image6444.jpg" Id="R48866a497c314ed3" /><Relationship Type="http://schemas.openxmlformats.org/officeDocument/2006/relationships/image" Target="/xl/media/image6445.jpg" Id="R728c4c604a294dfb" /><Relationship Type="http://schemas.openxmlformats.org/officeDocument/2006/relationships/image" Target="/xl/media/image6446.jpg" Id="R09e6d37819bd4286" /><Relationship Type="http://schemas.openxmlformats.org/officeDocument/2006/relationships/image" Target="/xl/media/image6447.jpg" Id="R94e3a2e022e44cba" /><Relationship Type="http://schemas.openxmlformats.org/officeDocument/2006/relationships/image" Target="/xl/media/image6448.jpg" Id="R325d7f960b5245b5" /><Relationship Type="http://schemas.openxmlformats.org/officeDocument/2006/relationships/image" Target="/xl/media/image6449.jpg" Id="R31b030bff68d4293" /><Relationship Type="http://schemas.openxmlformats.org/officeDocument/2006/relationships/image" Target="/xl/media/image6450.jpg" Id="R12cbe7391e634e05" /><Relationship Type="http://schemas.openxmlformats.org/officeDocument/2006/relationships/image" Target="/xl/media/image6451.jpg" Id="Radbda76583ff439b" /><Relationship Type="http://schemas.openxmlformats.org/officeDocument/2006/relationships/image" Target="/xl/media/image6452.jpg" Id="Re7087a1f7cc74313" /><Relationship Type="http://schemas.openxmlformats.org/officeDocument/2006/relationships/image" Target="/xl/media/image6453.jpg" Id="R7174045bb148431b" /><Relationship Type="http://schemas.openxmlformats.org/officeDocument/2006/relationships/image" Target="/xl/media/image6454.jpg" Id="R42eec4482cf0438f" /><Relationship Type="http://schemas.openxmlformats.org/officeDocument/2006/relationships/image" Target="/xl/media/image6455.jpg" Id="R0ff665e926de4e80" /><Relationship Type="http://schemas.openxmlformats.org/officeDocument/2006/relationships/image" Target="/xl/media/image6456.jpg" Id="R93cfd37dbb434651" /><Relationship Type="http://schemas.openxmlformats.org/officeDocument/2006/relationships/image" Target="/xl/media/image6457.jpg" Id="R0fb88955b1764837" /><Relationship Type="http://schemas.openxmlformats.org/officeDocument/2006/relationships/image" Target="/xl/media/image6458.jpg" Id="Rcec087d2411e4133" /><Relationship Type="http://schemas.openxmlformats.org/officeDocument/2006/relationships/image" Target="/xl/media/image6459.jpg" Id="R0537b6c5b2b54441" /><Relationship Type="http://schemas.openxmlformats.org/officeDocument/2006/relationships/image" Target="/xl/media/image6460.jpg" Id="Rf9dcda07b2434407" /><Relationship Type="http://schemas.openxmlformats.org/officeDocument/2006/relationships/image" Target="/xl/media/image6461.jpg" Id="R0948809e1bac422c" /><Relationship Type="http://schemas.openxmlformats.org/officeDocument/2006/relationships/image" Target="/xl/media/image6462.jpg" Id="R554ab9ceb5e84ab4" /><Relationship Type="http://schemas.openxmlformats.org/officeDocument/2006/relationships/image" Target="/xl/media/image6463.jpg" Id="R0d02c60b243e40b4" /><Relationship Type="http://schemas.openxmlformats.org/officeDocument/2006/relationships/image" Target="/xl/media/image6464.jpg" Id="Ra68b5cd7de28459c" /><Relationship Type="http://schemas.openxmlformats.org/officeDocument/2006/relationships/image" Target="/xl/media/image6465.jpg" Id="R0245bfb5ccbb4514" /><Relationship Type="http://schemas.openxmlformats.org/officeDocument/2006/relationships/image" Target="/xl/media/image6466.jpg" Id="Rc759761ea00d41fd" /><Relationship Type="http://schemas.openxmlformats.org/officeDocument/2006/relationships/image" Target="/xl/media/image6467.jpg" Id="R260b772168d4453a" /><Relationship Type="http://schemas.openxmlformats.org/officeDocument/2006/relationships/image" Target="/xl/media/image6468.jpg" Id="R2f2e9e0c2cec45b5" /><Relationship Type="http://schemas.openxmlformats.org/officeDocument/2006/relationships/image" Target="/xl/media/image6469.jpg" Id="R6d64bdbf6f564fc3" /><Relationship Type="http://schemas.openxmlformats.org/officeDocument/2006/relationships/image" Target="/xl/media/image6470.jpg" Id="Rae6b3224397e4c27" /><Relationship Type="http://schemas.openxmlformats.org/officeDocument/2006/relationships/image" Target="/xl/media/image6471.jpg" Id="R169bf7582ea84f82" /><Relationship Type="http://schemas.openxmlformats.org/officeDocument/2006/relationships/image" Target="/xl/media/image6472.jpg" Id="Rf02471a11a4b424b" /><Relationship Type="http://schemas.openxmlformats.org/officeDocument/2006/relationships/image" Target="/xl/media/image6473.jpg" Id="R004c97fb0f9a4ac0" /><Relationship Type="http://schemas.openxmlformats.org/officeDocument/2006/relationships/image" Target="/xl/media/image6474.jpg" Id="R61c5794261274800" /><Relationship Type="http://schemas.openxmlformats.org/officeDocument/2006/relationships/image" Target="/xl/media/image6475.jpg" Id="R52988d54340f4f81" /><Relationship Type="http://schemas.openxmlformats.org/officeDocument/2006/relationships/image" Target="/xl/media/image6476.jpg" Id="R2d8b432ea9fe49e2" /><Relationship Type="http://schemas.openxmlformats.org/officeDocument/2006/relationships/image" Target="/xl/media/image6477.jpg" Id="R247e674f3266413c" /><Relationship Type="http://schemas.openxmlformats.org/officeDocument/2006/relationships/image" Target="/xl/media/image6478.jpg" Id="Re22f206ace604e78" /><Relationship Type="http://schemas.openxmlformats.org/officeDocument/2006/relationships/image" Target="/xl/media/image6479.jpg" Id="Rb04d8ae44c46434b" /><Relationship Type="http://schemas.openxmlformats.org/officeDocument/2006/relationships/image" Target="/xl/media/image6480.jpg" Id="R6a4776c632fa48f6" /><Relationship Type="http://schemas.openxmlformats.org/officeDocument/2006/relationships/image" Target="/xl/media/image6481.jpg" Id="R5b6f09b2bc654e73" /><Relationship Type="http://schemas.openxmlformats.org/officeDocument/2006/relationships/image" Target="/xl/media/image6482.jpg" Id="R9dabca1f935d4825" /><Relationship Type="http://schemas.openxmlformats.org/officeDocument/2006/relationships/image" Target="/xl/media/image6483.jpg" Id="Re9fe36f1d99543b2" /><Relationship Type="http://schemas.openxmlformats.org/officeDocument/2006/relationships/image" Target="/xl/media/image6484.jpg" Id="R889b20e83bd944fe" /><Relationship Type="http://schemas.openxmlformats.org/officeDocument/2006/relationships/image" Target="/xl/media/image6485.jpg" Id="Rc8bda561be1a4322" /><Relationship Type="http://schemas.openxmlformats.org/officeDocument/2006/relationships/image" Target="/xl/media/image6486.jpg" Id="R9f08bab8fe5a43c9" /><Relationship Type="http://schemas.openxmlformats.org/officeDocument/2006/relationships/image" Target="/xl/media/image6487.jpg" Id="Rf656ab2226674cb2" /><Relationship Type="http://schemas.openxmlformats.org/officeDocument/2006/relationships/image" Target="/xl/media/image6488.jpg" Id="R3d5a548004fb4a87" /><Relationship Type="http://schemas.openxmlformats.org/officeDocument/2006/relationships/image" Target="/xl/media/image6489.jpg" Id="R1a1a6f5223754acc" /><Relationship Type="http://schemas.openxmlformats.org/officeDocument/2006/relationships/image" Target="/xl/media/image6490.jpg" Id="R4a760002045d4686" /><Relationship Type="http://schemas.openxmlformats.org/officeDocument/2006/relationships/image" Target="/xl/media/image6491.jpg" Id="R8b1c2ccd1e4b44c8" /><Relationship Type="http://schemas.openxmlformats.org/officeDocument/2006/relationships/image" Target="/xl/media/image6492.jpg" Id="R7947deb273f84d98" /><Relationship Type="http://schemas.openxmlformats.org/officeDocument/2006/relationships/image" Target="/xl/media/image6493.jpg" Id="R3da1db8a86b741a8" /><Relationship Type="http://schemas.openxmlformats.org/officeDocument/2006/relationships/image" Target="/xl/media/image6494.jpg" Id="R5f39facc85b4420b" /><Relationship Type="http://schemas.openxmlformats.org/officeDocument/2006/relationships/image" Target="/xl/media/image6495.jpg" Id="Rc0753888fbcf4486" /><Relationship Type="http://schemas.openxmlformats.org/officeDocument/2006/relationships/image" Target="/xl/media/image6496.jpg" Id="Re290ce5ffba84a8f" /><Relationship Type="http://schemas.openxmlformats.org/officeDocument/2006/relationships/image" Target="/xl/media/image6497.jpg" Id="R086e9640046a4afa" /><Relationship Type="http://schemas.openxmlformats.org/officeDocument/2006/relationships/image" Target="/xl/media/image6498.jpg" Id="Re883aa81b3d34074" /><Relationship Type="http://schemas.openxmlformats.org/officeDocument/2006/relationships/image" Target="/xl/media/image6499.jpg" Id="R9e749a8c6db84881" /><Relationship Type="http://schemas.openxmlformats.org/officeDocument/2006/relationships/image" Target="/xl/media/image6500.jpg" Id="R36191bdd92a74085" /><Relationship Type="http://schemas.openxmlformats.org/officeDocument/2006/relationships/image" Target="/xl/media/image6501.jpg" Id="R3f3907a0e16a49a5" /><Relationship Type="http://schemas.openxmlformats.org/officeDocument/2006/relationships/image" Target="/xl/media/image6502.jpg" Id="R4f97ccea4dc449c8" /><Relationship Type="http://schemas.openxmlformats.org/officeDocument/2006/relationships/image" Target="/xl/media/image6503.jpg" Id="R950a39276e1c4bec" /><Relationship Type="http://schemas.openxmlformats.org/officeDocument/2006/relationships/image" Target="/xl/media/image6504.jpg" Id="R657ec98f937f44cf" /><Relationship Type="http://schemas.openxmlformats.org/officeDocument/2006/relationships/image" Target="/xl/media/image6505.jpg" Id="R1adcc5701b504490" /><Relationship Type="http://schemas.openxmlformats.org/officeDocument/2006/relationships/image" Target="/xl/media/image6506.jpg" Id="R8ade3ea216644b6e" /><Relationship Type="http://schemas.openxmlformats.org/officeDocument/2006/relationships/image" Target="/xl/media/image6507.jpg" Id="Ref38316c255d4627" /><Relationship Type="http://schemas.openxmlformats.org/officeDocument/2006/relationships/image" Target="/xl/media/image6508.jpg" Id="Rfbb7a77ffae3456c" /><Relationship Type="http://schemas.openxmlformats.org/officeDocument/2006/relationships/image" Target="/xl/media/image6509.jpg" Id="R8c33d360aef64669" /><Relationship Type="http://schemas.openxmlformats.org/officeDocument/2006/relationships/image" Target="/xl/media/image6510.jpg" Id="R353ed798d889454c" /><Relationship Type="http://schemas.openxmlformats.org/officeDocument/2006/relationships/image" Target="/xl/media/image6511.jpg" Id="R699a8499caf740fc" /><Relationship Type="http://schemas.openxmlformats.org/officeDocument/2006/relationships/image" Target="/xl/media/image6512.jpg" Id="R24e67902639c4091" /><Relationship Type="http://schemas.openxmlformats.org/officeDocument/2006/relationships/image" Target="/xl/media/image6513.jpg" Id="R05c6172e223b44a9" /><Relationship Type="http://schemas.openxmlformats.org/officeDocument/2006/relationships/image" Target="/xl/media/image6514.jpg" Id="R7d88eed96913406d" /><Relationship Type="http://schemas.openxmlformats.org/officeDocument/2006/relationships/image" Target="/xl/media/image6515.jpg" Id="R61e10b575aa14290" /><Relationship Type="http://schemas.openxmlformats.org/officeDocument/2006/relationships/image" Target="/xl/media/image6516.jpg" Id="R8a8daf0bd662491e" /><Relationship Type="http://schemas.openxmlformats.org/officeDocument/2006/relationships/image" Target="/xl/media/image6517.jpg" Id="Rf4c2850c6c5948f8" /><Relationship Type="http://schemas.openxmlformats.org/officeDocument/2006/relationships/image" Target="/xl/media/image6518.jpg" Id="R2be71aabc049402e" /><Relationship Type="http://schemas.openxmlformats.org/officeDocument/2006/relationships/image" Target="/xl/media/image6519.jpg" Id="R7f0d5410d9ee4bde" /><Relationship Type="http://schemas.openxmlformats.org/officeDocument/2006/relationships/image" Target="/xl/media/image6520.jpg" Id="R8394af03161e48d7" /><Relationship Type="http://schemas.openxmlformats.org/officeDocument/2006/relationships/image" Target="/xl/media/image6521.jpg" Id="R05dd61103747467e" /><Relationship Type="http://schemas.openxmlformats.org/officeDocument/2006/relationships/image" Target="/xl/media/image6522.jpg" Id="Rb317e2f921d2491d" /><Relationship Type="http://schemas.openxmlformats.org/officeDocument/2006/relationships/image" Target="/xl/media/image6523.jpg" Id="R356827bcb4cc4d60" /><Relationship Type="http://schemas.openxmlformats.org/officeDocument/2006/relationships/image" Target="/xl/media/image6524.jpg" Id="R627b3ab19ed94387" /><Relationship Type="http://schemas.openxmlformats.org/officeDocument/2006/relationships/image" Target="/xl/media/image6525.jpg" Id="R6e1f6a6c0c4041bd" /><Relationship Type="http://schemas.openxmlformats.org/officeDocument/2006/relationships/image" Target="/xl/media/image6526.jpg" Id="R56a2c7660ee74cb8" /><Relationship Type="http://schemas.openxmlformats.org/officeDocument/2006/relationships/image" Target="/xl/media/image6527.jpg" Id="Rd2affec907c14039" /><Relationship Type="http://schemas.openxmlformats.org/officeDocument/2006/relationships/image" Target="/xl/media/image6528.jpg" Id="Rd5cc98c1aec2462a" /><Relationship Type="http://schemas.openxmlformats.org/officeDocument/2006/relationships/image" Target="/xl/media/image6529.jpg" Id="R1813b6de6e794aa7" /><Relationship Type="http://schemas.openxmlformats.org/officeDocument/2006/relationships/image" Target="/xl/media/image6530.jpg" Id="Ra5a37ff533244539" /><Relationship Type="http://schemas.openxmlformats.org/officeDocument/2006/relationships/image" Target="/xl/media/image6531.jpg" Id="R2d62017901eb4117" /><Relationship Type="http://schemas.openxmlformats.org/officeDocument/2006/relationships/image" Target="/xl/media/image6532.jpg" Id="Rb8fb4c1b383b4719" /><Relationship Type="http://schemas.openxmlformats.org/officeDocument/2006/relationships/image" Target="/xl/media/image6533.jpg" Id="R87cb1acded0742f3" /><Relationship Type="http://schemas.openxmlformats.org/officeDocument/2006/relationships/image" Target="/xl/media/image6534.jpg" Id="Raab5b6e1116f436d" /><Relationship Type="http://schemas.openxmlformats.org/officeDocument/2006/relationships/image" Target="/xl/media/image6535.jpg" Id="Rb25c9d4d51274985" /><Relationship Type="http://schemas.openxmlformats.org/officeDocument/2006/relationships/image" Target="/xl/media/image6536.jpg" Id="R48a45630905c40fc" /><Relationship Type="http://schemas.openxmlformats.org/officeDocument/2006/relationships/image" Target="/xl/media/image6537.jpg" Id="R71b7162d8cd24e46" /><Relationship Type="http://schemas.openxmlformats.org/officeDocument/2006/relationships/image" Target="/xl/media/image6538.jpg" Id="Ree505197c12b46e4" /><Relationship Type="http://schemas.openxmlformats.org/officeDocument/2006/relationships/image" Target="/xl/media/image6539.jpg" Id="R53b223f6a71a41fb" /><Relationship Type="http://schemas.openxmlformats.org/officeDocument/2006/relationships/image" Target="/xl/media/image6540.jpg" Id="R97c290dcc89b4fef" /><Relationship Type="http://schemas.openxmlformats.org/officeDocument/2006/relationships/image" Target="/xl/media/image6541.jpg" Id="R16377016812644b9" /><Relationship Type="http://schemas.openxmlformats.org/officeDocument/2006/relationships/image" Target="/xl/media/image6542.jpg" Id="Rc7ba1f04f8e74c64" /><Relationship Type="http://schemas.openxmlformats.org/officeDocument/2006/relationships/image" Target="/xl/media/image6543.jpg" Id="Rca2fb429f1d24977" /><Relationship Type="http://schemas.openxmlformats.org/officeDocument/2006/relationships/image" Target="/xl/media/image6544.jpg" Id="R0c6583ee46bb45d6" /><Relationship Type="http://schemas.openxmlformats.org/officeDocument/2006/relationships/image" Target="/xl/media/image6545.jpg" Id="Rc5e6c05ee34a4f86" /><Relationship Type="http://schemas.openxmlformats.org/officeDocument/2006/relationships/image" Target="/xl/media/image6546.jpg" Id="Rc59a09aedcb241ef" /><Relationship Type="http://schemas.openxmlformats.org/officeDocument/2006/relationships/image" Target="/xl/media/image6547.jpg" Id="R29bbc9cdfdd24b40" /><Relationship Type="http://schemas.openxmlformats.org/officeDocument/2006/relationships/image" Target="/xl/media/image6548.jpg" Id="R438b7f60657e445d" /><Relationship Type="http://schemas.openxmlformats.org/officeDocument/2006/relationships/image" Target="/xl/media/image6549.jpg" Id="Rf42c7678439f476c" /><Relationship Type="http://schemas.openxmlformats.org/officeDocument/2006/relationships/image" Target="/xl/media/image6550.jpg" Id="R7de4483e4e004a1b" /><Relationship Type="http://schemas.openxmlformats.org/officeDocument/2006/relationships/image" Target="/xl/media/image6551.jpg" Id="R47e548641c9b4fa9" /><Relationship Type="http://schemas.openxmlformats.org/officeDocument/2006/relationships/image" Target="/xl/media/image6552.jpg" Id="R7ba9093fa3b045a2" /><Relationship Type="http://schemas.openxmlformats.org/officeDocument/2006/relationships/image" Target="/xl/media/image6553.jpg" Id="R17239a6fe0e24907" /><Relationship Type="http://schemas.openxmlformats.org/officeDocument/2006/relationships/image" Target="/xl/media/image6554.jpg" Id="R65d903670fdc4466" /><Relationship Type="http://schemas.openxmlformats.org/officeDocument/2006/relationships/image" Target="/xl/media/image6555.jpg" Id="R3c194af048ae4635" /><Relationship Type="http://schemas.openxmlformats.org/officeDocument/2006/relationships/image" Target="/xl/media/image6556.jpg" Id="R5dea3e09afc141c5" /><Relationship Type="http://schemas.openxmlformats.org/officeDocument/2006/relationships/image" Target="/xl/media/image6557.jpg" Id="R5ddcd9f2f7b84f34" /><Relationship Type="http://schemas.openxmlformats.org/officeDocument/2006/relationships/image" Target="/xl/media/image6558.jpg" Id="Rce4e6bc8a52048ad" /><Relationship Type="http://schemas.openxmlformats.org/officeDocument/2006/relationships/image" Target="/xl/media/image6559.jpg" Id="R6bddda112b594b00" /><Relationship Type="http://schemas.openxmlformats.org/officeDocument/2006/relationships/image" Target="/xl/media/image6560.jpg" Id="R26fc37c5299d4864" /><Relationship Type="http://schemas.openxmlformats.org/officeDocument/2006/relationships/image" Target="/xl/media/image6561.jpg" Id="R9517026ec9034d48" /><Relationship Type="http://schemas.openxmlformats.org/officeDocument/2006/relationships/image" Target="/xl/media/image6562.jpg" Id="R2a6ae815290941d8" /><Relationship Type="http://schemas.openxmlformats.org/officeDocument/2006/relationships/image" Target="/xl/media/image6563.jpg" Id="Rab46f89d6d514d55" /><Relationship Type="http://schemas.openxmlformats.org/officeDocument/2006/relationships/image" Target="/xl/media/image6564.jpg" Id="Rbbdfcd024c674ef8" /><Relationship Type="http://schemas.openxmlformats.org/officeDocument/2006/relationships/image" Target="/xl/media/image6565.jpg" Id="R1eace6f5e74c41f1" /><Relationship Type="http://schemas.openxmlformats.org/officeDocument/2006/relationships/image" Target="/xl/media/image6566.jpg" Id="R8bcac75860054828" /><Relationship Type="http://schemas.openxmlformats.org/officeDocument/2006/relationships/image" Target="/xl/media/image6567.jpg" Id="R75a1f9c7e4e94a67" /><Relationship Type="http://schemas.openxmlformats.org/officeDocument/2006/relationships/image" Target="/xl/media/image6568.jpg" Id="R92c22b4556424d73" /><Relationship Type="http://schemas.openxmlformats.org/officeDocument/2006/relationships/image" Target="/xl/media/image6569.jpg" Id="R19eaadd7fe754986" /><Relationship Type="http://schemas.openxmlformats.org/officeDocument/2006/relationships/image" Target="/xl/media/image6570.jpg" Id="R9c2be049d4784c5a" /><Relationship Type="http://schemas.openxmlformats.org/officeDocument/2006/relationships/image" Target="/xl/media/image6571.jpg" Id="R360f41140c6c4306" /><Relationship Type="http://schemas.openxmlformats.org/officeDocument/2006/relationships/image" Target="/xl/media/image6572.jpg" Id="Rc5181f0432b7490c" /><Relationship Type="http://schemas.openxmlformats.org/officeDocument/2006/relationships/image" Target="/xl/media/image6573.jpg" Id="R9cde7f8554114c12" /><Relationship Type="http://schemas.openxmlformats.org/officeDocument/2006/relationships/image" Target="/xl/media/image6574.jpg" Id="R08f56a4d229940d9" /><Relationship Type="http://schemas.openxmlformats.org/officeDocument/2006/relationships/image" Target="/xl/media/image6575.jpg" Id="Raeb80d6210cd4f55" /><Relationship Type="http://schemas.openxmlformats.org/officeDocument/2006/relationships/image" Target="/xl/media/image6576.jpg" Id="R3ddb9a2674f24c8d" /><Relationship Type="http://schemas.openxmlformats.org/officeDocument/2006/relationships/image" Target="/xl/media/image6577.jpg" Id="R3a155e28482b449c" /><Relationship Type="http://schemas.openxmlformats.org/officeDocument/2006/relationships/image" Target="/xl/media/image6578.jpg" Id="R74242c846de44141" /><Relationship Type="http://schemas.openxmlformats.org/officeDocument/2006/relationships/image" Target="/xl/media/image6579.jpg" Id="Reb60cbbe8ea14a84" /><Relationship Type="http://schemas.openxmlformats.org/officeDocument/2006/relationships/image" Target="/xl/media/image6580.jpg" Id="R977c54cf2b4b4fc7" /><Relationship Type="http://schemas.openxmlformats.org/officeDocument/2006/relationships/image" Target="/xl/media/image6581.jpg" Id="R4ec3c3a6b5334c35" /><Relationship Type="http://schemas.openxmlformats.org/officeDocument/2006/relationships/image" Target="/xl/media/image6582.jpg" Id="R8049340f91b74970" /><Relationship Type="http://schemas.openxmlformats.org/officeDocument/2006/relationships/image" Target="/xl/media/image6583.jpg" Id="Rc72310a53e114c83" /><Relationship Type="http://schemas.openxmlformats.org/officeDocument/2006/relationships/image" Target="/xl/media/image6584.jpg" Id="Rf0bc4692d58248a8" /><Relationship Type="http://schemas.openxmlformats.org/officeDocument/2006/relationships/image" Target="/xl/media/image6585.jpg" Id="R8e6529ada9e241b6" /><Relationship Type="http://schemas.openxmlformats.org/officeDocument/2006/relationships/image" Target="/xl/media/image6586.jpg" Id="R0f5872c116124f69" /><Relationship Type="http://schemas.openxmlformats.org/officeDocument/2006/relationships/image" Target="/xl/media/image6587.jpg" Id="Rc5c926d92a5d48b5" /><Relationship Type="http://schemas.openxmlformats.org/officeDocument/2006/relationships/image" Target="/xl/media/image6588.jpg" Id="R0be9eb9bc77a40df" /><Relationship Type="http://schemas.openxmlformats.org/officeDocument/2006/relationships/image" Target="/xl/media/image6589.jpg" Id="Rd3ceb60b3f394290" /><Relationship Type="http://schemas.openxmlformats.org/officeDocument/2006/relationships/image" Target="/xl/media/image6590.jpg" Id="R060a825020e6422e" /><Relationship Type="http://schemas.openxmlformats.org/officeDocument/2006/relationships/image" Target="/xl/media/image6591.jpg" Id="Rf68add901e474ae1" /><Relationship Type="http://schemas.openxmlformats.org/officeDocument/2006/relationships/image" Target="/xl/media/image6592.jpg" Id="R426258fc439d49f3" /><Relationship Type="http://schemas.openxmlformats.org/officeDocument/2006/relationships/image" Target="/xl/media/image6593.jpg" Id="Rc75501198acd4e0c" /><Relationship Type="http://schemas.openxmlformats.org/officeDocument/2006/relationships/image" Target="/xl/media/image6594.jpg" Id="Rc7b908e24d9c4ed1" /><Relationship Type="http://schemas.openxmlformats.org/officeDocument/2006/relationships/image" Target="/xl/media/image6595.jpg" Id="R608eb7e953a74b36" /><Relationship Type="http://schemas.openxmlformats.org/officeDocument/2006/relationships/image" Target="/xl/media/image6596.jpg" Id="Rd0f2981f18e04bd1" /><Relationship Type="http://schemas.openxmlformats.org/officeDocument/2006/relationships/image" Target="/xl/media/image6597.jpg" Id="Rc25a556f195b49bd" /><Relationship Type="http://schemas.openxmlformats.org/officeDocument/2006/relationships/image" Target="/xl/media/image6598.jpg" Id="Rf820218bd33d465e" /><Relationship Type="http://schemas.openxmlformats.org/officeDocument/2006/relationships/image" Target="/xl/media/image6599.jpg" Id="R2d4c583e0d494512" /><Relationship Type="http://schemas.openxmlformats.org/officeDocument/2006/relationships/image" Target="/xl/media/image6600.jpg" Id="R891c21c926cd42bf" /><Relationship Type="http://schemas.openxmlformats.org/officeDocument/2006/relationships/image" Target="/xl/media/image6601.jpg" Id="R69d02c862b21464e" /><Relationship Type="http://schemas.openxmlformats.org/officeDocument/2006/relationships/image" Target="/xl/media/image6602.jpg" Id="R5f3bf4ebb3244f60" /><Relationship Type="http://schemas.openxmlformats.org/officeDocument/2006/relationships/image" Target="/xl/media/image6603.jpg" Id="Re3b004e256454a04" /><Relationship Type="http://schemas.openxmlformats.org/officeDocument/2006/relationships/image" Target="/xl/media/image6604.jpg" Id="R2594d43e696447d9" /><Relationship Type="http://schemas.openxmlformats.org/officeDocument/2006/relationships/image" Target="/xl/media/image6605.jpg" Id="R539d9f20d33b4f5a" /><Relationship Type="http://schemas.openxmlformats.org/officeDocument/2006/relationships/image" Target="/xl/media/image6606.jpg" Id="R7981492c6ba941b7" /><Relationship Type="http://schemas.openxmlformats.org/officeDocument/2006/relationships/image" Target="/xl/media/image6607.jpg" Id="R3f1b3089540543ac" /><Relationship Type="http://schemas.openxmlformats.org/officeDocument/2006/relationships/image" Target="/xl/media/image6608.jpg" Id="Rff03a78ebdba48e7" /><Relationship Type="http://schemas.openxmlformats.org/officeDocument/2006/relationships/image" Target="/xl/media/image6609.jpg" Id="R1d0953ae71c344a6" /><Relationship Type="http://schemas.openxmlformats.org/officeDocument/2006/relationships/image" Target="/xl/media/image6610.jpg" Id="Re5910b87642f4b84" /><Relationship Type="http://schemas.openxmlformats.org/officeDocument/2006/relationships/image" Target="/xl/media/image6611.jpg" Id="Re47fdc5c9eb84d99" /><Relationship Type="http://schemas.openxmlformats.org/officeDocument/2006/relationships/image" Target="/xl/media/image6612.jpg" Id="Raed5de61b54f428f" /><Relationship Type="http://schemas.openxmlformats.org/officeDocument/2006/relationships/image" Target="/xl/media/image6613.jpg" Id="R1eee280e12f84a4e" /><Relationship Type="http://schemas.openxmlformats.org/officeDocument/2006/relationships/image" Target="/xl/media/image6614.jpg" Id="R9361583fca8f4168" /><Relationship Type="http://schemas.openxmlformats.org/officeDocument/2006/relationships/image" Target="/xl/media/image6615.jpg" Id="R89e97501885a409c" /><Relationship Type="http://schemas.openxmlformats.org/officeDocument/2006/relationships/image" Target="/xl/media/image6616.jpg" Id="R379f888e5f064d89" /><Relationship Type="http://schemas.openxmlformats.org/officeDocument/2006/relationships/image" Target="/xl/media/image6617.jpg" Id="Re5f97403e7ba4fdf" /><Relationship Type="http://schemas.openxmlformats.org/officeDocument/2006/relationships/image" Target="/xl/media/image6618.jpg" Id="R64b8d62ff99b4f6a" /><Relationship Type="http://schemas.openxmlformats.org/officeDocument/2006/relationships/image" Target="/xl/media/image6619.jpg" Id="Rb8c1f904dd0b401b" /><Relationship Type="http://schemas.openxmlformats.org/officeDocument/2006/relationships/image" Target="/xl/media/image6620.jpg" Id="Re9fe771b83c1434e" /><Relationship Type="http://schemas.openxmlformats.org/officeDocument/2006/relationships/image" Target="/xl/media/image6621.jpg" Id="R5b460eaba71d4c7c" /><Relationship Type="http://schemas.openxmlformats.org/officeDocument/2006/relationships/image" Target="/xl/media/image6622.jpg" Id="Rb22687b0fe4d4413" /><Relationship Type="http://schemas.openxmlformats.org/officeDocument/2006/relationships/image" Target="/xl/media/image6623.jpg" Id="R0bd75b36e4124ff9" /><Relationship Type="http://schemas.openxmlformats.org/officeDocument/2006/relationships/image" Target="/xl/media/image6624.jpg" Id="Rf65ef6ab1a7844c0" /><Relationship Type="http://schemas.openxmlformats.org/officeDocument/2006/relationships/image" Target="/xl/media/image6625.jpg" Id="Rb5bdf18960704a6e" /><Relationship Type="http://schemas.openxmlformats.org/officeDocument/2006/relationships/image" Target="/xl/media/image6626.jpg" Id="R19f198539f3f49ef" /><Relationship Type="http://schemas.openxmlformats.org/officeDocument/2006/relationships/image" Target="/xl/media/image6627.jpg" Id="Rb819aad2e49d48c6" /><Relationship Type="http://schemas.openxmlformats.org/officeDocument/2006/relationships/image" Target="/xl/media/image6628.jpg" Id="Rf6af468ebe924043" /><Relationship Type="http://schemas.openxmlformats.org/officeDocument/2006/relationships/image" Target="/xl/media/image6629.jpg" Id="Rbe62432805b040b0" /><Relationship Type="http://schemas.openxmlformats.org/officeDocument/2006/relationships/image" Target="/xl/media/image6630.jpg" Id="R81f92d89ece446a0" /><Relationship Type="http://schemas.openxmlformats.org/officeDocument/2006/relationships/image" Target="/xl/media/image6631.jpg" Id="Ra41f60cfc8584fd0" /><Relationship Type="http://schemas.openxmlformats.org/officeDocument/2006/relationships/image" Target="/xl/media/image6632.jpg" Id="R8995be5660924da8" /><Relationship Type="http://schemas.openxmlformats.org/officeDocument/2006/relationships/image" Target="/xl/media/image6633.jpg" Id="R243d09cf7f2c460d" /><Relationship Type="http://schemas.openxmlformats.org/officeDocument/2006/relationships/image" Target="/xl/media/image6634.jpg" Id="R6ee5ea9eb5f6438f" /><Relationship Type="http://schemas.openxmlformats.org/officeDocument/2006/relationships/image" Target="/xl/media/image6635.jpg" Id="R6c6cc9e8b66e43a1" /><Relationship Type="http://schemas.openxmlformats.org/officeDocument/2006/relationships/image" Target="/xl/media/image6636.jpg" Id="Rcb2c9673b84e46ff" /><Relationship Type="http://schemas.openxmlformats.org/officeDocument/2006/relationships/image" Target="/xl/media/image6637.jpg" Id="Reaa0f4d1d7b64086" /><Relationship Type="http://schemas.openxmlformats.org/officeDocument/2006/relationships/image" Target="/xl/media/image6638.jpg" Id="R7733efc89a254005" /><Relationship Type="http://schemas.openxmlformats.org/officeDocument/2006/relationships/image" Target="/xl/media/image6639.jpg" Id="R1f8f27c2ed7244ab" /><Relationship Type="http://schemas.openxmlformats.org/officeDocument/2006/relationships/image" Target="/xl/media/image6640.jpg" Id="Rd9c2538927884b0f" /><Relationship Type="http://schemas.openxmlformats.org/officeDocument/2006/relationships/image" Target="/xl/media/image6641.jpg" Id="Re727c9eee07e4586" /><Relationship Type="http://schemas.openxmlformats.org/officeDocument/2006/relationships/image" Target="/xl/media/image6642.jpg" Id="R6fe44bc2993740f0" /><Relationship Type="http://schemas.openxmlformats.org/officeDocument/2006/relationships/image" Target="/xl/media/image6643.jpg" Id="R9f08d3c976074a83" /><Relationship Type="http://schemas.openxmlformats.org/officeDocument/2006/relationships/image" Target="/xl/media/image6644.jpg" Id="R0f448904fba24af0" /><Relationship Type="http://schemas.openxmlformats.org/officeDocument/2006/relationships/image" Target="/xl/media/image6645.jpg" Id="R39d18a6ad7c2441c" /><Relationship Type="http://schemas.openxmlformats.org/officeDocument/2006/relationships/image" Target="/xl/media/image6646.jpg" Id="R237969ccebfe403d" /><Relationship Type="http://schemas.openxmlformats.org/officeDocument/2006/relationships/image" Target="/xl/media/image6647.jpg" Id="Rcc15461ac5f14661" /><Relationship Type="http://schemas.openxmlformats.org/officeDocument/2006/relationships/image" Target="/xl/media/image6648.jpg" Id="Re46bb4bf72e64ef0" /><Relationship Type="http://schemas.openxmlformats.org/officeDocument/2006/relationships/image" Target="/xl/media/image6649.jpg" Id="Rce9c04f4697248c0" /><Relationship Type="http://schemas.openxmlformats.org/officeDocument/2006/relationships/image" Target="/xl/media/image6650.jpg" Id="R6037484acbc64e46" /><Relationship Type="http://schemas.openxmlformats.org/officeDocument/2006/relationships/image" Target="/xl/media/image6651.jpg" Id="Ra89234fefcb3444f" /><Relationship Type="http://schemas.openxmlformats.org/officeDocument/2006/relationships/image" Target="/xl/media/image6652.jpg" Id="R4181fbb714da4778" /><Relationship Type="http://schemas.openxmlformats.org/officeDocument/2006/relationships/image" Target="/xl/media/image6653.jpg" Id="Re76bbe8dfb7448ac" /><Relationship Type="http://schemas.openxmlformats.org/officeDocument/2006/relationships/image" Target="/xl/media/image6654.jpg" Id="Rdd8e4177aca44e68" /><Relationship Type="http://schemas.openxmlformats.org/officeDocument/2006/relationships/image" Target="/xl/media/image6655.jpg" Id="R9e34965fc7f84e2c" /><Relationship Type="http://schemas.openxmlformats.org/officeDocument/2006/relationships/image" Target="/xl/media/image6656.jpg" Id="R1a43c2f65f0842db" /><Relationship Type="http://schemas.openxmlformats.org/officeDocument/2006/relationships/image" Target="/xl/media/image6657.jpg" Id="Rc43cfd1f387a4114" /><Relationship Type="http://schemas.openxmlformats.org/officeDocument/2006/relationships/image" Target="/xl/media/image6658.jpg" Id="Rf2f8f5c090724a86" /><Relationship Type="http://schemas.openxmlformats.org/officeDocument/2006/relationships/image" Target="/xl/media/image6659.jpg" Id="R5c8fc26eeac04e9c" /><Relationship Type="http://schemas.openxmlformats.org/officeDocument/2006/relationships/image" Target="/xl/media/image6660.jpg" Id="R870c74e8c0014383" /><Relationship Type="http://schemas.openxmlformats.org/officeDocument/2006/relationships/image" Target="/xl/media/image6661.jpg" Id="R2e6b1d911daa4848" /><Relationship Type="http://schemas.openxmlformats.org/officeDocument/2006/relationships/image" Target="/xl/media/image6662.jpg" Id="R437fa54d663f44e1" /><Relationship Type="http://schemas.openxmlformats.org/officeDocument/2006/relationships/image" Target="/xl/media/image6663.jpg" Id="R0ae40d04888a4b7f" /><Relationship Type="http://schemas.openxmlformats.org/officeDocument/2006/relationships/image" Target="/xl/media/image6664.jpg" Id="R8e71059be36e406d" /><Relationship Type="http://schemas.openxmlformats.org/officeDocument/2006/relationships/image" Target="/xl/media/image6665.jpg" Id="R955579fbc5d045cd" /><Relationship Type="http://schemas.openxmlformats.org/officeDocument/2006/relationships/image" Target="/xl/media/image6666.jpg" Id="Rd2098e31419a4479" /><Relationship Type="http://schemas.openxmlformats.org/officeDocument/2006/relationships/image" Target="/xl/media/image6667.jpg" Id="Rd58cee727dab4a48" /><Relationship Type="http://schemas.openxmlformats.org/officeDocument/2006/relationships/image" Target="/xl/media/image6668.jpg" Id="R9ec8ccb3b8034dfd" /><Relationship Type="http://schemas.openxmlformats.org/officeDocument/2006/relationships/image" Target="/xl/media/image6669.jpg" Id="R71e8b4f6944749fd" /><Relationship Type="http://schemas.openxmlformats.org/officeDocument/2006/relationships/image" Target="/xl/media/image6670.jpg" Id="Rda912e1b0f9540e6" /><Relationship Type="http://schemas.openxmlformats.org/officeDocument/2006/relationships/image" Target="/xl/media/image6671.jpg" Id="Re092299df5ce43fc" /><Relationship Type="http://schemas.openxmlformats.org/officeDocument/2006/relationships/image" Target="/xl/media/image6672.jpg" Id="Ra0aa5a4e80ab4d4a" /><Relationship Type="http://schemas.openxmlformats.org/officeDocument/2006/relationships/image" Target="/xl/media/image6673.jpg" Id="R86b7ffdf30d14de5" /><Relationship Type="http://schemas.openxmlformats.org/officeDocument/2006/relationships/image" Target="/xl/media/image6674.jpg" Id="Rbc6c86734e5a4e5e" /><Relationship Type="http://schemas.openxmlformats.org/officeDocument/2006/relationships/image" Target="/xl/media/image6675.jpg" Id="R8f604cbf0b05494d" /><Relationship Type="http://schemas.openxmlformats.org/officeDocument/2006/relationships/image" Target="/xl/media/image6676.jpg" Id="R20a777616bfd41f8" /><Relationship Type="http://schemas.openxmlformats.org/officeDocument/2006/relationships/image" Target="/xl/media/image6677.jpg" Id="R06036f3719344baf" /><Relationship Type="http://schemas.openxmlformats.org/officeDocument/2006/relationships/image" Target="/xl/media/image6678.jpg" Id="R2773130c89b04d05" /><Relationship Type="http://schemas.openxmlformats.org/officeDocument/2006/relationships/image" Target="/xl/media/image6679.jpg" Id="R539c483f67fa4448" /><Relationship Type="http://schemas.openxmlformats.org/officeDocument/2006/relationships/image" Target="/xl/media/image6680.jpg" Id="R1a11873308224403" /><Relationship Type="http://schemas.openxmlformats.org/officeDocument/2006/relationships/image" Target="/xl/media/image6681.jpg" Id="R1037895d44044420" /><Relationship Type="http://schemas.openxmlformats.org/officeDocument/2006/relationships/image" Target="/xl/media/image6682.jpg" Id="Rad0bfdf9fb554647" /><Relationship Type="http://schemas.openxmlformats.org/officeDocument/2006/relationships/image" Target="/xl/media/image6683.jpg" Id="R632c51c52e5f4be2" /><Relationship Type="http://schemas.openxmlformats.org/officeDocument/2006/relationships/image" Target="/xl/media/image6684.jpg" Id="R391f897e80ff451d" /><Relationship Type="http://schemas.openxmlformats.org/officeDocument/2006/relationships/image" Target="/xl/media/image6685.jpg" Id="R2b554325726040ae" /><Relationship Type="http://schemas.openxmlformats.org/officeDocument/2006/relationships/image" Target="/xl/media/image6686.jpg" Id="R952fe3634cbc4898" /><Relationship Type="http://schemas.openxmlformats.org/officeDocument/2006/relationships/image" Target="/xl/media/image6687.jpg" Id="R57c53885e9614e71" /><Relationship Type="http://schemas.openxmlformats.org/officeDocument/2006/relationships/image" Target="/xl/media/image6688.jpg" Id="Ree0065c5002b4953" /><Relationship Type="http://schemas.openxmlformats.org/officeDocument/2006/relationships/image" Target="/xl/media/image6689.jpg" Id="R78a7f0db7d7c4f1f" /><Relationship Type="http://schemas.openxmlformats.org/officeDocument/2006/relationships/image" Target="/xl/media/image6690.jpg" Id="R74e3fcd48ead4914" /><Relationship Type="http://schemas.openxmlformats.org/officeDocument/2006/relationships/image" Target="/xl/media/image6691.jpg" Id="R7035746fe94c46a6" /><Relationship Type="http://schemas.openxmlformats.org/officeDocument/2006/relationships/image" Target="/xl/media/image6692.jpg" Id="Rb9cb48d823024143" /><Relationship Type="http://schemas.openxmlformats.org/officeDocument/2006/relationships/image" Target="/xl/media/image6693.jpg" Id="Rd8e0ac2ef9d7493d" /><Relationship Type="http://schemas.openxmlformats.org/officeDocument/2006/relationships/image" Target="/xl/media/image6694.jpg" Id="R8a71ceac548b4a61" /><Relationship Type="http://schemas.openxmlformats.org/officeDocument/2006/relationships/image" Target="/xl/media/image6695.jpg" Id="R92a88d508e224d3b" /><Relationship Type="http://schemas.openxmlformats.org/officeDocument/2006/relationships/image" Target="/xl/media/image6696.jpg" Id="R9319d48f5dc64a3b" /><Relationship Type="http://schemas.openxmlformats.org/officeDocument/2006/relationships/image" Target="/xl/media/image6697.jpg" Id="R56ba1578f1e84279" /><Relationship Type="http://schemas.openxmlformats.org/officeDocument/2006/relationships/image" Target="/xl/media/image6698.jpg" Id="Rde6027a428834d5b" /><Relationship Type="http://schemas.openxmlformats.org/officeDocument/2006/relationships/image" Target="/xl/media/image6699.jpg" Id="Rfd616265f9124a21" /><Relationship Type="http://schemas.openxmlformats.org/officeDocument/2006/relationships/image" Target="/xl/media/image6700.jpg" Id="Reba76925cb6143f8" /><Relationship Type="http://schemas.openxmlformats.org/officeDocument/2006/relationships/image" Target="/xl/media/image6701.jpg" Id="R2405af1768b84272" /><Relationship Type="http://schemas.openxmlformats.org/officeDocument/2006/relationships/image" Target="/xl/media/image6702.jpg" Id="R948f9899ab2a41f3" /><Relationship Type="http://schemas.openxmlformats.org/officeDocument/2006/relationships/image" Target="/xl/media/image6703.jpg" Id="Rbc0c47188ea34421" /><Relationship Type="http://schemas.openxmlformats.org/officeDocument/2006/relationships/image" Target="/xl/media/image6704.jpg" Id="R9958fa37fbca48ad" /><Relationship Type="http://schemas.openxmlformats.org/officeDocument/2006/relationships/image" Target="/xl/media/image6705.jpg" Id="Rc72f1bc7b63b4e90" /><Relationship Type="http://schemas.openxmlformats.org/officeDocument/2006/relationships/image" Target="/xl/media/image6706.jpg" Id="R013aa4a302934f17" /><Relationship Type="http://schemas.openxmlformats.org/officeDocument/2006/relationships/image" Target="/xl/media/image6707.jpg" Id="Ra760d52d08e04a71" /><Relationship Type="http://schemas.openxmlformats.org/officeDocument/2006/relationships/image" Target="/xl/media/image6708.jpg" Id="R9ecf11db42564e73" /><Relationship Type="http://schemas.openxmlformats.org/officeDocument/2006/relationships/image" Target="/xl/media/image6709.jpg" Id="Re4433c88f8c24c9f" /><Relationship Type="http://schemas.openxmlformats.org/officeDocument/2006/relationships/image" Target="/xl/media/image6710.jpg" Id="R5ba0629291d34fee" /><Relationship Type="http://schemas.openxmlformats.org/officeDocument/2006/relationships/image" Target="/xl/media/image6711.jpg" Id="Re37f65059afd4255" /><Relationship Type="http://schemas.openxmlformats.org/officeDocument/2006/relationships/image" Target="/xl/media/image6712.jpg" Id="Rbe17864d6232465b" /><Relationship Type="http://schemas.openxmlformats.org/officeDocument/2006/relationships/image" Target="/xl/media/image6713.jpg" Id="R2a8d6a6860b044b1" /><Relationship Type="http://schemas.openxmlformats.org/officeDocument/2006/relationships/image" Target="/xl/media/image6714.jpg" Id="Ra439d6a87e204a14" /><Relationship Type="http://schemas.openxmlformats.org/officeDocument/2006/relationships/image" Target="/xl/media/image6715.jpg" Id="Ree17dd26ab9e4e74" /><Relationship Type="http://schemas.openxmlformats.org/officeDocument/2006/relationships/image" Target="/xl/media/image6716.jpg" Id="Rc77169a53bb74035" /><Relationship Type="http://schemas.openxmlformats.org/officeDocument/2006/relationships/image" Target="/xl/media/image6717.jpg" Id="R84c51aa002964fab" /><Relationship Type="http://schemas.openxmlformats.org/officeDocument/2006/relationships/image" Target="/xl/media/image6718.jpg" Id="R1c63e5ca1d254cc8" /><Relationship Type="http://schemas.openxmlformats.org/officeDocument/2006/relationships/image" Target="/xl/media/image6719.jpg" Id="R89cf9cb619794e8e" /><Relationship Type="http://schemas.openxmlformats.org/officeDocument/2006/relationships/image" Target="/xl/media/image6720.jpg" Id="Rc94e81f001c54e81" /><Relationship Type="http://schemas.openxmlformats.org/officeDocument/2006/relationships/image" Target="/xl/media/image6721.jpg" Id="R7b18cd6982a14c0d" /><Relationship Type="http://schemas.openxmlformats.org/officeDocument/2006/relationships/image" Target="/xl/media/image6722.jpg" Id="R26440d3c89e54135" /><Relationship Type="http://schemas.openxmlformats.org/officeDocument/2006/relationships/image" Target="/xl/media/image6723.jpg" Id="Rbeeee2555274414f" /><Relationship Type="http://schemas.openxmlformats.org/officeDocument/2006/relationships/image" Target="/xl/media/image6724.jpg" Id="R7955f9141d5549d9" /><Relationship Type="http://schemas.openxmlformats.org/officeDocument/2006/relationships/image" Target="/xl/media/image6725.jpg" Id="R83b2de02fb0542db" /><Relationship Type="http://schemas.openxmlformats.org/officeDocument/2006/relationships/image" Target="/xl/media/image6726.jpg" Id="Rec1fd1e8e5b54310" /><Relationship Type="http://schemas.openxmlformats.org/officeDocument/2006/relationships/image" Target="/xl/media/image6727.jpg" Id="R299dbc86cd7c4d6c" /><Relationship Type="http://schemas.openxmlformats.org/officeDocument/2006/relationships/image" Target="/xl/media/image6728.jpg" Id="R67518392f67c49d5" /><Relationship Type="http://schemas.openxmlformats.org/officeDocument/2006/relationships/image" Target="/xl/media/image6729.jpg" Id="R93d3ccfa944b42d8" /><Relationship Type="http://schemas.openxmlformats.org/officeDocument/2006/relationships/image" Target="/xl/media/image6730.jpg" Id="R3edd9cf8b76b4e54" /><Relationship Type="http://schemas.openxmlformats.org/officeDocument/2006/relationships/image" Target="/xl/media/image6731.jpg" Id="R1951bc481793420a" /><Relationship Type="http://schemas.openxmlformats.org/officeDocument/2006/relationships/image" Target="/xl/media/image6732.jpg" Id="R4192eab795ce4e1f" /><Relationship Type="http://schemas.openxmlformats.org/officeDocument/2006/relationships/image" Target="/xl/media/image6733.jpg" Id="R55bca344474741bb" /><Relationship Type="http://schemas.openxmlformats.org/officeDocument/2006/relationships/image" Target="/xl/media/image6734.jpg" Id="R69a26065869e4cf7" /><Relationship Type="http://schemas.openxmlformats.org/officeDocument/2006/relationships/image" Target="/xl/media/image6735.jpg" Id="R7493f8c1e3ce4982" /><Relationship Type="http://schemas.openxmlformats.org/officeDocument/2006/relationships/image" Target="/xl/media/image6736.jpg" Id="R64887ebfda514215" /><Relationship Type="http://schemas.openxmlformats.org/officeDocument/2006/relationships/image" Target="/xl/media/image6737.jpg" Id="R8eb7f4bed45c40ab" /><Relationship Type="http://schemas.openxmlformats.org/officeDocument/2006/relationships/image" Target="/xl/media/image6738.jpg" Id="R2f342eb1970d4e2d" /><Relationship Type="http://schemas.openxmlformats.org/officeDocument/2006/relationships/image" Target="/xl/media/image6739.jpg" Id="Rd312d37bfd614dbe" /><Relationship Type="http://schemas.openxmlformats.org/officeDocument/2006/relationships/image" Target="/xl/media/image6740.jpg" Id="Rf6096007bf41459f" /><Relationship Type="http://schemas.openxmlformats.org/officeDocument/2006/relationships/image" Target="/xl/media/image6741.jpg" Id="R60432b126d794a42" /><Relationship Type="http://schemas.openxmlformats.org/officeDocument/2006/relationships/image" Target="/xl/media/image6742.jpg" Id="R3203f9524d8e43af" /><Relationship Type="http://schemas.openxmlformats.org/officeDocument/2006/relationships/image" Target="/xl/media/image6743.jpg" Id="Rba2823bdeb174d69" /><Relationship Type="http://schemas.openxmlformats.org/officeDocument/2006/relationships/image" Target="/xl/media/image6744.jpg" Id="Raf5e0789d8e54b2a" /><Relationship Type="http://schemas.openxmlformats.org/officeDocument/2006/relationships/image" Target="/xl/media/image6745.jpg" Id="R3483d84d6fbb4343" /><Relationship Type="http://schemas.openxmlformats.org/officeDocument/2006/relationships/image" Target="/xl/media/image6746.jpg" Id="R5c2f310a0d8341a8" /><Relationship Type="http://schemas.openxmlformats.org/officeDocument/2006/relationships/image" Target="/xl/media/image6747.jpg" Id="R7bb7e1574a594311" /><Relationship Type="http://schemas.openxmlformats.org/officeDocument/2006/relationships/image" Target="/xl/media/image6748.jpg" Id="R1e706edbd41c440d" /><Relationship Type="http://schemas.openxmlformats.org/officeDocument/2006/relationships/image" Target="/xl/media/image6749.jpg" Id="R9011965146c64953" /><Relationship Type="http://schemas.openxmlformats.org/officeDocument/2006/relationships/image" Target="/xl/media/image6750.jpg" Id="R247dddf834324f48" /><Relationship Type="http://schemas.openxmlformats.org/officeDocument/2006/relationships/image" Target="/xl/media/image6751.jpg" Id="R919fc6f1199a47ed" /><Relationship Type="http://schemas.openxmlformats.org/officeDocument/2006/relationships/image" Target="/xl/media/image6752.jpg" Id="R369cd4d039e14b0d" /><Relationship Type="http://schemas.openxmlformats.org/officeDocument/2006/relationships/image" Target="/xl/media/image6753.jpg" Id="Ra7d912348fe24034" /><Relationship Type="http://schemas.openxmlformats.org/officeDocument/2006/relationships/image" Target="/xl/media/image6754.jpg" Id="Ra9dbed3b89754cf6" /><Relationship Type="http://schemas.openxmlformats.org/officeDocument/2006/relationships/image" Target="/xl/media/image6755.jpg" Id="Rac24aef5acd74c64" /><Relationship Type="http://schemas.openxmlformats.org/officeDocument/2006/relationships/image" Target="/xl/media/image6756.jpg" Id="R27610ce87a3a4be4" /><Relationship Type="http://schemas.openxmlformats.org/officeDocument/2006/relationships/image" Target="/xl/media/image6757.jpg" Id="Ra9ce3254e3cd456f" /><Relationship Type="http://schemas.openxmlformats.org/officeDocument/2006/relationships/image" Target="/xl/media/image6758.jpg" Id="R7d0e64d05d6141f9" /><Relationship Type="http://schemas.openxmlformats.org/officeDocument/2006/relationships/image" Target="/xl/media/image6759.jpg" Id="Rfac31a845d494881" /><Relationship Type="http://schemas.openxmlformats.org/officeDocument/2006/relationships/image" Target="/xl/media/image6760.jpg" Id="Rd7bc7030adb24813" /><Relationship Type="http://schemas.openxmlformats.org/officeDocument/2006/relationships/image" Target="/xl/media/image6761.jpg" Id="Rea03165efe7040bc" /><Relationship Type="http://schemas.openxmlformats.org/officeDocument/2006/relationships/image" Target="/xl/media/image6762.jpg" Id="R03df21fab17a4b12" /><Relationship Type="http://schemas.openxmlformats.org/officeDocument/2006/relationships/image" Target="/xl/media/image6763.jpg" Id="Rf3717c72523a42d1" /><Relationship Type="http://schemas.openxmlformats.org/officeDocument/2006/relationships/image" Target="/xl/media/image6764.jpg" Id="R257473b2c0114c1e" /><Relationship Type="http://schemas.openxmlformats.org/officeDocument/2006/relationships/image" Target="/xl/media/image6765.jpg" Id="Rbf962164f25a416b" /><Relationship Type="http://schemas.openxmlformats.org/officeDocument/2006/relationships/image" Target="/xl/media/image6766.jpg" Id="Rc4ce22f253194ef9" /><Relationship Type="http://schemas.openxmlformats.org/officeDocument/2006/relationships/image" Target="/xl/media/image6767.jpg" Id="R415b408facbc4031" /><Relationship Type="http://schemas.openxmlformats.org/officeDocument/2006/relationships/image" Target="/xl/media/image6768.jpg" Id="Rfc5e82f6e7fc4d9d" /><Relationship Type="http://schemas.openxmlformats.org/officeDocument/2006/relationships/image" Target="/xl/media/image6769.jpg" Id="R7a0dd7eea94e475c" /><Relationship Type="http://schemas.openxmlformats.org/officeDocument/2006/relationships/image" Target="/xl/media/image6770.jpg" Id="R018828f52bf04170" /><Relationship Type="http://schemas.openxmlformats.org/officeDocument/2006/relationships/image" Target="/xl/media/image6771.jpg" Id="Rc0ff31667e924033" /><Relationship Type="http://schemas.openxmlformats.org/officeDocument/2006/relationships/image" Target="/xl/media/image6772.jpg" Id="R71aed664a9494632" /><Relationship Type="http://schemas.openxmlformats.org/officeDocument/2006/relationships/image" Target="/xl/media/image6773.jpg" Id="R5a07e18c1d014d65" /><Relationship Type="http://schemas.openxmlformats.org/officeDocument/2006/relationships/image" Target="/xl/media/image6774.jpg" Id="R7e884708a98246b8" /><Relationship Type="http://schemas.openxmlformats.org/officeDocument/2006/relationships/image" Target="/xl/media/image6775.jpg" Id="R1b7389e6ddd24b9f" /><Relationship Type="http://schemas.openxmlformats.org/officeDocument/2006/relationships/image" Target="/xl/media/image6776.jpg" Id="R2a34a24254a54737" /><Relationship Type="http://schemas.openxmlformats.org/officeDocument/2006/relationships/image" Target="/xl/media/image6777.jpg" Id="Rdfe696cff1564c80" /><Relationship Type="http://schemas.openxmlformats.org/officeDocument/2006/relationships/image" Target="/xl/media/image6778.jpg" Id="Ra69214ce6ac54b90" /><Relationship Type="http://schemas.openxmlformats.org/officeDocument/2006/relationships/image" Target="/xl/media/image6779.jpg" Id="R3e680ef6c5bc456b" /><Relationship Type="http://schemas.openxmlformats.org/officeDocument/2006/relationships/image" Target="/xl/media/image6780.jpg" Id="R92bf1519915c40fb" /><Relationship Type="http://schemas.openxmlformats.org/officeDocument/2006/relationships/image" Target="/xl/media/image6781.jpg" Id="R95fc2e5be48c4632" /><Relationship Type="http://schemas.openxmlformats.org/officeDocument/2006/relationships/image" Target="/xl/media/image6782.jpg" Id="R06caeb74cab540be" /><Relationship Type="http://schemas.openxmlformats.org/officeDocument/2006/relationships/image" Target="/xl/media/image6783.jpg" Id="Re85e46a3e31040d4" /><Relationship Type="http://schemas.openxmlformats.org/officeDocument/2006/relationships/image" Target="/xl/media/image6784.jpg" Id="R9ed342d20c1f4b17" /><Relationship Type="http://schemas.openxmlformats.org/officeDocument/2006/relationships/image" Target="/xl/media/image6785.jpg" Id="R6f920e2466134848" /><Relationship Type="http://schemas.openxmlformats.org/officeDocument/2006/relationships/image" Target="/xl/media/image6786.jpg" Id="Rda08b43130ad49cd" /><Relationship Type="http://schemas.openxmlformats.org/officeDocument/2006/relationships/image" Target="/xl/media/image6787.jpg" Id="Ra19b4998b2ee4d91" /><Relationship Type="http://schemas.openxmlformats.org/officeDocument/2006/relationships/image" Target="/xl/media/image6788.jpg" Id="Rdf144c83feb44afa" /><Relationship Type="http://schemas.openxmlformats.org/officeDocument/2006/relationships/image" Target="/xl/media/image6789.jpg" Id="R2af2aa09132a48f9" /><Relationship Type="http://schemas.openxmlformats.org/officeDocument/2006/relationships/image" Target="/xl/media/image6790.jpg" Id="R20e9a6a329c74aa5" /><Relationship Type="http://schemas.openxmlformats.org/officeDocument/2006/relationships/image" Target="/xl/media/image6791.jpg" Id="R38b6f5c62b424156" /><Relationship Type="http://schemas.openxmlformats.org/officeDocument/2006/relationships/image" Target="/xl/media/image6792.jpg" Id="R1c31553aef8b4145" /><Relationship Type="http://schemas.openxmlformats.org/officeDocument/2006/relationships/image" Target="/xl/media/image6793.jpg" Id="R4e1902af42e74653" /><Relationship Type="http://schemas.openxmlformats.org/officeDocument/2006/relationships/image" Target="/xl/media/image6794.jpg" Id="Raa381d5245fa41e5" /><Relationship Type="http://schemas.openxmlformats.org/officeDocument/2006/relationships/image" Target="/xl/media/image6795.jpg" Id="Rbddb626b64364872" /><Relationship Type="http://schemas.openxmlformats.org/officeDocument/2006/relationships/image" Target="/xl/media/image6796.jpg" Id="R2ce96c71c4d84ee1" /><Relationship Type="http://schemas.openxmlformats.org/officeDocument/2006/relationships/image" Target="/xl/media/image6797.jpg" Id="R604034287797447d" /><Relationship Type="http://schemas.openxmlformats.org/officeDocument/2006/relationships/image" Target="/xl/media/image6798.jpg" Id="R11ae9b2995bc49be" /><Relationship Type="http://schemas.openxmlformats.org/officeDocument/2006/relationships/image" Target="/xl/media/image6799.jpg" Id="Rc9c89da868e046cd" /><Relationship Type="http://schemas.openxmlformats.org/officeDocument/2006/relationships/image" Target="/xl/media/image6800.jpg" Id="R2c4ff8da24ca4433" /><Relationship Type="http://schemas.openxmlformats.org/officeDocument/2006/relationships/image" Target="/xl/media/image6801.jpg" Id="R024eec32ee5c4095" /><Relationship Type="http://schemas.openxmlformats.org/officeDocument/2006/relationships/image" Target="/xl/media/image6802.jpg" Id="Re4575d41cc4f4099" /><Relationship Type="http://schemas.openxmlformats.org/officeDocument/2006/relationships/image" Target="/xl/media/image6803.jpg" Id="R973fcc112ac64c54" /><Relationship Type="http://schemas.openxmlformats.org/officeDocument/2006/relationships/image" Target="/xl/media/image6804.jpg" Id="R4eef31d917e74201" /><Relationship Type="http://schemas.openxmlformats.org/officeDocument/2006/relationships/image" Target="/xl/media/image6805.jpg" Id="Ra584d783a68948c0" /><Relationship Type="http://schemas.openxmlformats.org/officeDocument/2006/relationships/image" Target="/xl/media/image6806.jpg" Id="R5ce3701e10204ce9" /><Relationship Type="http://schemas.openxmlformats.org/officeDocument/2006/relationships/image" Target="/xl/media/image6807.jpg" Id="R5baddb9150104754" /><Relationship Type="http://schemas.openxmlformats.org/officeDocument/2006/relationships/image" Target="/xl/media/image6808.jpg" Id="R005791b58585448f" /><Relationship Type="http://schemas.openxmlformats.org/officeDocument/2006/relationships/image" Target="/xl/media/image6809.jpg" Id="Ra63fec4a951f42e0" /><Relationship Type="http://schemas.openxmlformats.org/officeDocument/2006/relationships/image" Target="/xl/media/image6810.jpg" Id="Rcd57a6df504f42ff" /><Relationship Type="http://schemas.openxmlformats.org/officeDocument/2006/relationships/image" Target="/xl/media/image6811.jpg" Id="R16f135dcee1c41a3" /><Relationship Type="http://schemas.openxmlformats.org/officeDocument/2006/relationships/image" Target="/xl/media/image6812.jpg" Id="Rae6dfd25f60842ac" /><Relationship Type="http://schemas.openxmlformats.org/officeDocument/2006/relationships/image" Target="/xl/media/image6813.jpg" Id="Rdc3ca96ab6c64c04" /><Relationship Type="http://schemas.openxmlformats.org/officeDocument/2006/relationships/image" Target="/xl/media/image6814.jpg" Id="R5802a3096d3d4940" /><Relationship Type="http://schemas.openxmlformats.org/officeDocument/2006/relationships/image" Target="/xl/media/image6815.jpg" Id="Re2879c97372d4f05" /><Relationship Type="http://schemas.openxmlformats.org/officeDocument/2006/relationships/image" Target="/xl/media/image6816.jpg" Id="Rc9d8e624a58843eb" /><Relationship Type="http://schemas.openxmlformats.org/officeDocument/2006/relationships/image" Target="/xl/media/image6817.jpg" Id="R67bc833ea05645b5" /><Relationship Type="http://schemas.openxmlformats.org/officeDocument/2006/relationships/image" Target="/xl/media/image6818.jpg" Id="R3c3abbfdbdc14f5c" /><Relationship Type="http://schemas.openxmlformats.org/officeDocument/2006/relationships/image" Target="/xl/media/image6819.jpg" Id="R02dae24478f34c50" /><Relationship Type="http://schemas.openxmlformats.org/officeDocument/2006/relationships/image" Target="/xl/media/image6820.jpg" Id="R6944241faef7440e" /><Relationship Type="http://schemas.openxmlformats.org/officeDocument/2006/relationships/image" Target="/xl/media/image6821.jpg" Id="R404626b0f0b64368" /><Relationship Type="http://schemas.openxmlformats.org/officeDocument/2006/relationships/image" Target="/xl/media/image6822.jpg" Id="R9ca7155496e740ef" /><Relationship Type="http://schemas.openxmlformats.org/officeDocument/2006/relationships/image" Target="/xl/media/image6823.jpg" Id="R2c933a389d794241" /><Relationship Type="http://schemas.openxmlformats.org/officeDocument/2006/relationships/image" Target="/xl/media/image6824.jpg" Id="R6ef63165d0634859" /><Relationship Type="http://schemas.openxmlformats.org/officeDocument/2006/relationships/image" Target="/xl/media/image6825.jpg" Id="R1ea661d187ea48d0" /><Relationship Type="http://schemas.openxmlformats.org/officeDocument/2006/relationships/image" Target="/xl/media/image6826.jpg" Id="R00ed4c86b600411a" /><Relationship Type="http://schemas.openxmlformats.org/officeDocument/2006/relationships/image" Target="/xl/media/image6827.jpg" Id="R647cdc4bb5cb493c" /><Relationship Type="http://schemas.openxmlformats.org/officeDocument/2006/relationships/image" Target="/xl/media/image6828.jpg" Id="Rc897f9b489ca42d5" /><Relationship Type="http://schemas.openxmlformats.org/officeDocument/2006/relationships/image" Target="/xl/media/image6829.jpg" Id="R4771e966547840a6" /><Relationship Type="http://schemas.openxmlformats.org/officeDocument/2006/relationships/image" Target="/xl/media/image6830.jpg" Id="Rf4a264e8fead4657" /><Relationship Type="http://schemas.openxmlformats.org/officeDocument/2006/relationships/image" Target="/xl/media/image6831.jpg" Id="R2f12e594ea6848b0" /><Relationship Type="http://schemas.openxmlformats.org/officeDocument/2006/relationships/image" Target="/xl/media/image6832.jpg" Id="R83b5bf62f11c45e7" /><Relationship Type="http://schemas.openxmlformats.org/officeDocument/2006/relationships/image" Target="/xl/media/image6833.jpg" Id="R1a019736836841c7" /><Relationship Type="http://schemas.openxmlformats.org/officeDocument/2006/relationships/image" Target="/xl/media/image6834.jpg" Id="R7ad7d83e4f5d4c5c" /><Relationship Type="http://schemas.openxmlformats.org/officeDocument/2006/relationships/image" Target="/xl/media/image6835.jpg" Id="Rdef6cedaed4944ec" /><Relationship Type="http://schemas.openxmlformats.org/officeDocument/2006/relationships/image" Target="/xl/media/image6836.jpg" Id="R633b7a6fc70e47af" /><Relationship Type="http://schemas.openxmlformats.org/officeDocument/2006/relationships/image" Target="/xl/media/image6837.jpg" Id="R5d30253d78c04a8a" /><Relationship Type="http://schemas.openxmlformats.org/officeDocument/2006/relationships/image" Target="/xl/media/image6838.jpg" Id="R7b1f1e3c7da74a0c" /><Relationship Type="http://schemas.openxmlformats.org/officeDocument/2006/relationships/image" Target="/xl/media/image6839.jpg" Id="R261965a7c5b04344" /><Relationship Type="http://schemas.openxmlformats.org/officeDocument/2006/relationships/image" Target="/xl/media/image6840.jpg" Id="Rd9d7488f61b0417c" /><Relationship Type="http://schemas.openxmlformats.org/officeDocument/2006/relationships/image" Target="/xl/media/image6841.jpg" Id="Re4bc983389134a64" /><Relationship Type="http://schemas.openxmlformats.org/officeDocument/2006/relationships/image" Target="/xl/media/image6842.jpg" Id="R2aa972b670f14674" /><Relationship Type="http://schemas.openxmlformats.org/officeDocument/2006/relationships/image" Target="/xl/media/image6843.jpg" Id="R62fc4fefe3174470" /><Relationship Type="http://schemas.openxmlformats.org/officeDocument/2006/relationships/image" Target="/xl/media/image6844.jpg" Id="R7d3bc43cfb464a63" /><Relationship Type="http://schemas.openxmlformats.org/officeDocument/2006/relationships/image" Target="/xl/media/image6845.jpg" Id="R3673eb4f2d6b42af" /><Relationship Type="http://schemas.openxmlformats.org/officeDocument/2006/relationships/image" Target="/xl/media/image6846.jpg" Id="R6541aaf1c3954722" /><Relationship Type="http://schemas.openxmlformats.org/officeDocument/2006/relationships/image" Target="/xl/media/image6847.jpg" Id="Rfa72c1ee5a574709" /><Relationship Type="http://schemas.openxmlformats.org/officeDocument/2006/relationships/image" Target="/xl/media/image6848.jpg" Id="R81c33820cce24313" /><Relationship Type="http://schemas.openxmlformats.org/officeDocument/2006/relationships/image" Target="/xl/media/image6849.jpg" Id="Rd816f456204a4c50" /><Relationship Type="http://schemas.openxmlformats.org/officeDocument/2006/relationships/image" Target="/xl/media/image6850.jpg" Id="R10874dfb4da34457" /><Relationship Type="http://schemas.openxmlformats.org/officeDocument/2006/relationships/image" Target="/xl/media/image6851.jpg" Id="Ra8af3a483a7d409f" /><Relationship Type="http://schemas.openxmlformats.org/officeDocument/2006/relationships/image" Target="/xl/media/image6852.jpg" Id="R3b0ad5f5222b41e4" /><Relationship Type="http://schemas.openxmlformats.org/officeDocument/2006/relationships/image" Target="/xl/media/image6853.jpg" Id="R6f2e1cce2b2f4e16" /><Relationship Type="http://schemas.openxmlformats.org/officeDocument/2006/relationships/image" Target="/xl/media/image6854.jpg" Id="Rce29fe41d3c940b7" /><Relationship Type="http://schemas.openxmlformats.org/officeDocument/2006/relationships/image" Target="/xl/media/image6855.jpg" Id="Rb5050f759cc64027" /><Relationship Type="http://schemas.openxmlformats.org/officeDocument/2006/relationships/image" Target="/xl/media/image6856.jpg" Id="Rc37c4fe256a248c6" /><Relationship Type="http://schemas.openxmlformats.org/officeDocument/2006/relationships/image" Target="/xl/media/image6857.jpg" Id="Rda89a6fb791c4685" /><Relationship Type="http://schemas.openxmlformats.org/officeDocument/2006/relationships/image" Target="/xl/media/image6858.jpg" Id="Raf084b7db7044859" /><Relationship Type="http://schemas.openxmlformats.org/officeDocument/2006/relationships/image" Target="/xl/media/image6859.jpg" Id="R128edfa023824eba" /><Relationship Type="http://schemas.openxmlformats.org/officeDocument/2006/relationships/image" Target="/xl/media/image6860.jpg" Id="Re46cb0b50aef4936" /><Relationship Type="http://schemas.openxmlformats.org/officeDocument/2006/relationships/image" Target="/xl/media/image6861.jpg" Id="R86552c12044949b8" /><Relationship Type="http://schemas.openxmlformats.org/officeDocument/2006/relationships/image" Target="/xl/media/image6862.jpg" Id="R21db4ab75e634232" /><Relationship Type="http://schemas.openxmlformats.org/officeDocument/2006/relationships/image" Target="/xl/media/image6863.jpg" Id="Rbedb841e7bcd4fd8" /><Relationship Type="http://schemas.openxmlformats.org/officeDocument/2006/relationships/image" Target="/xl/media/image6864.jpg" Id="R19db25dd51234b13" /><Relationship Type="http://schemas.openxmlformats.org/officeDocument/2006/relationships/image" Target="/xl/media/image6865.jpg" Id="R5863a8d7957346c4" /><Relationship Type="http://schemas.openxmlformats.org/officeDocument/2006/relationships/image" Target="/xl/media/image6866.jpg" Id="Re385f9d9a96e4f3d" /><Relationship Type="http://schemas.openxmlformats.org/officeDocument/2006/relationships/image" Target="/xl/media/image6867.jpg" Id="R3b5107baad3d4816" /><Relationship Type="http://schemas.openxmlformats.org/officeDocument/2006/relationships/image" Target="/xl/media/image6868.jpg" Id="R008779e201334f03" /><Relationship Type="http://schemas.openxmlformats.org/officeDocument/2006/relationships/image" Target="/xl/media/image6869.jpg" Id="Ra35a39f16f754b0b" /><Relationship Type="http://schemas.openxmlformats.org/officeDocument/2006/relationships/image" Target="/xl/media/image6870.jpg" Id="R93feb0cdc8c64720" /><Relationship Type="http://schemas.openxmlformats.org/officeDocument/2006/relationships/image" Target="/xl/media/image6871.jpg" Id="R742fc0dd78034d9d" /><Relationship Type="http://schemas.openxmlformats.org/officeDocument/2006/relationships/image" Target="/xl/media/image6872.jpg" Id="Re4762eedc2f04980" /><Relationship Type="http://schemas.openxmlformats.org/officeDocument/2006/relationships/image" Target="/xl/media/image6873.jpg" Id="R8c7d5ef4571f4b07" /><Relationship Type="http://schemas.openxmlformats.org/officeDocument/2006/relationships/image" Target="/xl/media/image6874.jpg" Id="R0e7d2562855c41a9" /><Relationship Type="http://schemas.openxmlformats.org/officeDocument/2006/relationships/image" Target="/xl/media/image6875.jpg" Id="R9a63770a7a9e4deb" /><Relationship Type="http://schemas.openxmlformats.org/officeDocument/2006/relationships/image" Target="/xl/media/image6876.jpg" Id="R5e542a41c43e40a4" /><Relationship Type="http://schemas.openxmlformats.org/officeDocument/2006/relationships/image" Target="/xl/media/image6877.jpg" Id="R87e84a5b6c5441e2" /><Relationship Type="http://schemas.openxmlformats.org/officeDocument/2006/relationships/image" Target="/xl/media/image6878.jpg" Id="Rf07856237dd748a9" /><Relationship Type="http://schemas.openxmlformats.org/officeDocument/2006/relationships/image" Target="/xl/media/image6879.jpg" Id="Rdb49b6fddf4b4da7" /><Relationship Type="http://schemas.openxmlformats.org/officeDocument/2006/relationships/image" Target="/xl/media/image6880.jpg" Id="Rec7c6054aa8949e3" /><Relationship Type="http://schemas.openxmlformats.org/officeDocument/2006/relationships/image" Target="/xl/media/image6881.jpg" Id="R0663b35a30964ce2" /><Relationship Type="http://schemas.openxmlformats.org/officeDocument/2006/relationships/image" Target="/xl/media/image6882.jpg" Id="R9dc06a5983e14ce3" /><Relationship Type="http://schemas.openxmlformats.org/officeDocument/2006/relationships/image" Target="/xl/media/image6883.jpg" Id="R58c8d054773143d5" /><Relationship Type="http://schemas.openxmlformats.org/officeDocument/2006/relationships/image" Target="/xl/media/image6884.jpg" Id="R6570c81c9e054297" /><Relationship Type="http://schemas.openxmlformats.org/officeDocument/2006/relationships/image" Target="/xl/media/image6885.jpg" Id="R540993b9a75545c6" /><Relationship Type="http://schemas.openxmlformats.org/officeDocument/2006/relationships/image" Target="/xl/media/image6886.jpg" Id="Ree0cc5ee6b1a42d9" /><Relationship Type="http://schemas.openxmlformats.org/officeDocument/2006/relationships/image" Target="/xl/media/image6887.jpg" Id="R7bce6e3823784ce3" /><Relationship Type="http://schemas.openxmlformats.org/officeDocument/2006/relationships/image" Target="/xl/media/image6888.jpg" Id="R3572b102aedf4f79" /><Relationship Type="http://schemas.openxmlformats.org/officeDocument/2006/relationships/image" Target="/xl/media/image6889.jpg" Id="R4a410dbc81e74af5" /><Relationship Type="http://schemas.openxmlformats.org/officeDocument/2006/relationships/image" Target="/xl/media/image6890.jpg" Id="R654bebf1762441e2" /><Relationship Type="http://schemas.openxmlformats.org/officeDocument/2006/relationships/image" Target="/xl/media/image6891.jpg" Id="Rca9e6dbd9fb74f9d" /><Relationship Type="http://schemas.openxmlformats.org/officeDocument/2006/relationships/image" Target="/xl/media/image6892.jpg" Id="Ra64b1344857143dd" /><Relationship Type="http://schemas.openxmlformats.org/officeDocument/2006/relationships/image" Target="/xl/media/image6893.jpg" Id="Rbb5355db67404371" /><Relationship Type="http://schemas.openxmlformats.org/officeDocument/2006/relationships/image" Target="/xl/media/image6894.jpg" Id="Rd92923e3bb984966" /><Relationship Type="http://schemas.openxmlformats.org/officeDocument/2006/relationships/image" Target="/xl/media/image6895.jpg" Id="R126d5894c6f84727" /><Relationship Type="http://schemas.openxmlformats.org/officeDocument/2006/relationships/image" Target="/xl/media/image6896.jpg" Id="R15524ac7671849c0" /><Relationship Type="http://schemas.openxmlformats.org/officeDocument/2006/relationships/image" Target="/xl/media/image6897.jpg" Id="Ra9b8f435e5b74d90" /><Relationship Type="http://schemas.openxmlformats.org/officeDocument/2006/relationships/image" Target="/xl/media/image6898.jpg" Id="R95a30146b64b454e" /><Relationship Type="http://schemas.openxmlformats.org/officeDocument/2006/relationships/image" Target="/xl/media/image6899.jpg" Id="R2d8ce20fe3544131" /><Relationship Type="http://schemas.openxmlformats.org/officeDocument/2006/relationships/image" Target="/xl/media/image6900.jpg" Id="Rfcd723328a1e4fe2" /><Relationship Type="http://schemas.openxmlformats.org/officeDocument/2006/relationships/image" Target="/xl/media/image6901.jpg" Id="Rcf64f6d65cdb4648" /><Relationship Type="http://schemas.openxmlformats.org/officeDocument/2006/relationships/image" Target="/xl/media/image6902.jpg" Id="R224a0be57a62434c" /><Relationship Type="http://schemas.openxmlformats.org/officeDocument/2006/relationships/image" Target="/xl/media/image6903.jpg" Id="R481b2ad451ad45c4" /><Relationship Type="http://schemas.openxmlformats.org/officeDocument/2006/relationships/image" Target="/xl/media/image6904.jpg" Id="R40ba04fd15124617" /><Relationship Type="http://schemas.openxmlformats.org/officeDocument/2006/relationships/image" Target="/xl/media/image6905.jpg" Id="R5158a338c5e6446e" /><Relationship Type="http://schemas.openxmlformats.org/officeDocument/2006/relationships/image" Target="/xl/media/image6906.jpg" Id="Re889f58603bb4ff2" /><Relationship Type="http://schemas.openxmlformats.org/officeDocument/2006/relationships/image" Target="/xl/media/image6907.jpg" Id="R2f2d25b9e6cf4f42" /><Relationship Type="http://schemas.openxmlformats.org/officeDocument/2006/relationships/image" Target="/xl/media/image6908.jpg" Id="R4f0736240b5241cb" /><Relationship Type="http://schemas.openxmlformats.org/officeDocument/2006/relationships/image" Target="/xl/media/image6909.jpg" Id="R51caa8557e6a409c" /><Relationship Type="http://schemas.openxmlformats.org/officeDocument/2006/relationships/image" Target="/xl/media/image6910.jpg" Id="R91a26b307d5f4a6d" /><Relationship Type="http://schemas.openxmlformats.org/officeDocument/2006/relationships/image" Target="/xl/media/image6911.jpg" Id="R94ff4ea792a44e77" /><Relationship Type="http://schemas.openxmlformats.org/officeDocument/2006/relationships/image" Target="/xl/media/image6912.jpg" Id="R1187eab330ef46e9" /><Relationship Type="http://schemas.openxmlformats.org/officeDocument/2006/relationships/image" Target="/xl/media/image6913.jpg" Id="R6fcd978ae1af4cc1" /><Relationship Type="http://schemas.openxmlformats.org/officeDocument/2006/relationships/image" Target="/xl/media/image6914.jpg" Id="Rfae23675e0384f4a" /><Relationship Type="http://schemas.openxmlformats.org/officeDocument/2006/relationships/image" Target="/xl/media/image6915.jpg" Id="R8f00f7b399b64d67" /><Relationship Type="http://schemas.openxmlformats.org/officeDocument/2006/relationships/image" Target="/xl/media/image6916.jpg" Id="R5525843376cd41b9" /><Relationship Type="http://schemas.openxmlformats.org/officeDocument/2006/relationships/image" Target="/xl/media/image6917.jpg" Id="R10e52e6e8de14bb7" /><Relationship Type="http://schemas.openxmlformats.org/officeDocument/2006/relationships/image" Target="/xl/media/image6918.jpg" Id="Rd0cacb3249f843b1" /><Relationship Type="http://schemas.openxmlformats.org/officeDocument/2006/relationships/image" Target="/xl/media/image6919.jpg" Id="Ra215e12d98374f01" /><Relationship Type="http://schemas.openxmlformats.org/officeDocument/2006/relationships/image" Target="/xl/media/image6920.jpg" Id="Ra0b5883984c74623" /><Relationship Type="http://schemas.openxmlformats.org/officeDocument/2006/relationships/image" Target="/xl/media/image6921.jpg" Id="R12efecc982534e4e" /><Relationship Type="http://schemas.openxmlformats.org/officeDocument/2006/relationships/image" Target="/xl/media/image6922.jpg" Id="Re32571e810714fb2" /><Relationship Type="http://schemas.openxmlformats.org/officeDocument/2006/relationships/image" Target="/xl/media/image6923.jpg" Id="Rc25fd246372e449a" /><Relationship Type="http://schemas.openxmlformats.org/officeDocument/2006/relationships/image" Target="/xl/media/image6924.jpg" Id="R89aeb1b93c2a47a6" /><Relationship Type="http://schemas.openxmlformats.org/officeDocument/2006/relationships/image" Target="/xl/media/image6925.jpg" Id="Rcc0ff9c1e4f3416e" /><Relationship Type="http://schemas.openxmlformats.org/officeDocument/2006/relationships/image" Target="/xl/media/image6926.jpg" Id="Rc3ad6dbf8d7b4aa4" /><Relationship Type="http://schemas.openxmlformats.org/officeDocument/2006/relationships/image" Target="/xl/media/image6927.jpg" Id="R5cd325fcadd54b90" /><Relationship Type="http://schemas.openxmlformats.org/officeDocument/2006/relationships/image" Target="/xl/media/image6928.jpg" Id="R8c42ab8334a04e40" /><Relationship Type="http://schemas.openxmlformats.org/officeDocument/2006/relationships/image" Target="/xl/media/image6929.jpg" Id="R8187c4309f934791" /><Relationship Type="http://schemas.openxmlformats.org/officeDocument/2006/relationships/image" Target="/xl/media/image6930.jpg" Id="Ra0164887296f4698" /><Relationship Type="http://schemas.openxmlformats.org/officeDocument/2006/relationships/image" Target="/xl/media/image6931.jpg" Id="Rb9d0f8706d2f416f" /><Relationship Type="http://schemas.openxmlformats.org/officeDocument/2006/relationships/image" Target="/xl/media/image6932.jpg" Id="R2bd08aac85144e01" /><Relationship Type="http://schemas.openxmlformats.org/officeDocument/2006/relationships/image" Target="/xl/media/image6933.jpg" Id="R4a01dc2301c14dd3" /><Relationship Type="http://schemas.openxmlformats.org/officeDocument/2006/relationships/image" Target="/xl/media/image6934.jpg" Id="R6153276760f04bbb" /><Relationship Type="http://schemas.openxmlformats.org/officeDocument/2006/relationships/image" Target="/xl/media/image6935.jpg" Id="R1dbe45c0c1654869" /><Relationship Type="http://schemas.openxmlformats.org/officeDocument/2006/relationships/image" Target="/xl/media/image6936.jpg" Id="R38c43c0103a84715" /><Relationship Type="http://schemas.openxmlformats.org/officeDocument/2006/relationships/image" Target="/xl/media/image6937.jpg" Id="R8a2ee5dea88448e0" /><Relationship Type="http://schemas.openxmlformats.org/officeDocument/2006/relationships/image" Target="/xl/media/image6938.jpg" Id="R5f88bfa006d7491d" /><Relationship Type="http://schemas.openxmlformats.org/officeDocument/2006/relationships/image" Target="/xl/media/image6939.jpg" Id="Rc61fbe14c7d84c7e" /><Relationship Type="http://schemas.openxmlformats.org/officeDocument/2006/relationships/image" Target="/xl/media/image6940.jpg" Id="Rca2d0287d2434d8c" /><Relationship Type="http://schemas.openxmlformats.org/officeDocument/2006/relationships/image" Target="/xl/media/image6941.jpg" Id="Rc898a6d5440e4572" /><Relationship Type="http://schemas.openxmlformats.org/officeDocument/2006/relationships/image" Target="/xl/media/image6942.jpg" Id="R429f1a21b1e44cf9" /><Relationship Type="http://schemas.openxmlformats.org/officeDocument/2006/relationships/image" Target="/xl/media/image6943.jpg" Id="R508a0c387c374327" /><Relationship Type="http://schemas.openxmlformats.org/officeDocument/2006/relationships/image" Target="/xl/media/image6944.jpg" Id="Rc8aebe46be28496d" /><Relationship Type="http://schemas.openxmlformats.org/officeDocument/2006/relationships/image" Target="/xl/media/image6945.jpg" Id="R9a374ae9f3e740ca" /><Relationship Type="http://schemas.openxmlformats.org/officeDocument/2006/relationships/image" Target="/xl/media/image6946.jpg" Id="R5b07a5d981214ee5" /><Relationship Type="http://schemas.openxmlformats.org/officeDocument/2006/relationships/image" Target="/xl/media/image6947.jpg" Id="R5fdb6f9b1aea41f3" /><Relationship Type="http://schemas.openxmlformats.org/officeDocument/2006/relationships/image" Target="/xl/media/image6948.jpg" Id="R3d5c4f8da3bb44ff" /><Relationship Type="http://schemas.openxmlformats.org/officeDocument/2006/relationships/image" Target="/xl/media/image6949.jpg" Id="R04b8f9a9c4024557" /><Relationship Type="http://schemas.openxmlformats.org/officeDocument/2006/relationships/image" Target="/xl/media/image6950.jpg" Id="Rfb72bdc909724933" /><Relationship Type="http://schemas.openxmlformats.org/officeDocument/2006/relationships/image" Target="/xl/media/image6951.jpg" Id="R725c094f69634193" /><Relationship Type="http://schemas.openxmlformats.org/officeDocument/2006/relationships/image" Target="/xl/media/image6952.jpg" Id="R36601f6dc594463c" /><Relationship Type="http://schemas.openxmlformats.org/officeDocument/2006/relationships/image" Target="/xl/media/image6953.jpg" Id="R5b098856e386453b" /><Relationship Type="http://schemas.openxmlformats.org/officeDocument/2006/relationships/image" Target="/xl/media/image6954.jpg" Id="R6cf7189e38a5414d" /><Relationship Type="http://schemas.openxmlformats.org/officeDocument/2006/relationships/image" Target="/xl/media/image6955.jpg" Id="Rc4d4ac1c795046da" /><Relationship Type="http://schemas.openxmlformats.org/officeDocument/2006/relationships/image" Target="/xl/media/image6956.jpg" Id="Ra60c2cd8214542bb" /><Relationship Type="http://schemas.openxmlformats.org/officeDocument/2006/relationships/image" Target="/xl/media/image6957.jpg" Id="Ra6bbccba989d41e8" /><Relationship Type="http://schemas.openxmlformats.org/officeDocument/2006/relationships/image" Target="/xl/media/image6958.jpg" Id="R79dae40435aa48fb" /><Relationship Type="http://schemas.openxmlformats.org/officeDocument/2006/relationships/image" Target="/xl/media/image6959.jpg" Id="Ra07bb61198e748d7" /><Relationship Type="http://schemas.openxmlformats.org/officeDocument/2006/relationships/image" Target="/xl/media/image6960.jpg" Id="R6acc1acec2234d7e" /><Relationship Type="http://schemas.openxmlformats.org/officeDocument/2006/relationships/image" Target="/xl/media/image6961.jpg" Id="Re04a68d2d5bc45da" /><Relationship Type="http://schemas.openxmlformats.org/officeDocument/2006/relationships/image" Target="/xl/media/image6962.jpg" Id="R3db3ed0a84b44014" /><Relationship Type="http://schemas.openxmlformats.org/officeDocument/2006/relationships/image" Target="/xl/media/image6963.jpg" Id="R9e3bb05554154c6f" /><Relationship Type="http://schemas.openxmlformats.org/officeDocument/2006/relationships/image" Target="/xl/media/image6964.jpg" Id="R98fa7b063e184b2b" /><Relationship Type="http://schemas.openxmlformats.org/officeDocument/2006/relationships/image" Target="/xl/media/image6965.jpg" Id="R5840cff02b264bd3" /><Relationship Type="http://schemas.openxmlformats.org/officeDocument/2006/relationships/image" Target="/xl/media/image6966.jpg" Id="Rdf3c5c64c29b425e" /><Relationship Type="http://schemas.openxmlformats.org/officeDocument/2006/relationships/image" Target="/xl/media/image6967.jpg" Id="R58c6cfe2b07b46bf" /><Relationship Type="http://schemas.openxmlformats.org/officeDocument/2006/relationships/image" Target="/xl/media/image6968.jpg" Id="R8b8ae685021d4a67" /><Relationship Type="http://schemas.openxmlformats.org/officeDocument/2006/relationships/image" Target="/xl/media/image6969.jpg" Id="R484b105f255f4ce8" /><Relationship Type="http://schemas.openxmlformats.org/officeDocument/2006/relationships/image" Target="/xl/media/image6970.jpg" Id="Rbbdc524247e34686" /><Relationship Type="http://schemas.openxmlformats.org/officeDocument/2006/relationships/image" Target="/xl/media/image6971.jpg" Id="R7d89a12a17b44e3f" /><Relationship Type="http://schemas.openxmlformats.org/officeDocument/2006/relationships/image" Target="/xl/media/image6972.jpg" Id="R9e94fbd83cd34a0e" /><Relationship Type="http://schemas.openxmlformats.org/officeDocument/2006/relationships/image" Target="/xl/media/image6973.jpg" Id="R3fc5013613f345ec" /><Relationship Type="http://schemas.openxmlformats.org/officeDocument/2006/relationships/image" Target="/xl/media/image6974.jpg" Id="R96dd0b92cfb3496d" /><Relationship Type="http://schemas.openxmlformats.org/officeDocument/2006/relationships/image" Target="/xl/media/image6975.jpg" Id="Ra98247ea97f844c4" /><Relationship Type="http://schemas.openxmlformats.org/officeDocument/2006/relationships/image" Target="/xl/media/image6976.jpg" Id="R70fd48fefd134165" /><Relationship Type="http://schemas.openxmlformats.org/officeDocument/2006/relationships/image" Target="/xl/media/image6977.jpg" Id="R3b20924c7ede439d" /><Relationship Type="http://schemas.openxmlformats.org/officeDocument/2006/relationships/image" Target="/xl/media/image6978.jpg" Id="R517020dada8f4e26" /><Relationship Type="http://schemas.openxmlformats.org/officeDocument/2006/relationships/image" Target="/xl/media/image6979.jpg" Id="R547a8e7b14644f85" /><Relationship Type="http://schemas.openxmlformats.org/officeDocument/2006/relationships/image" Target="/xl/media/image6980.jpg" Id="R353cc27854ac4020" /><Relationship Type="http://schemas.openxmlformats.org/officeDocument/2006/relationships/image" Target="/xl/media/image6981.jpg" Id="Ree72eaedbc3b453e" /><Relationship Type="http://schemas.openxmlformats.org/officeDocument/2006/relationships/image" Target="/xl/media/image6982.jpg" Id="R112cb56f1b9545af" /><Relationship Type="http://schemas.openxmlformats.org/officeDocument/2006/relationships/image" Target="/xl/media/image6983.jpg" Id="Rb2c1a830be2d42d6" /><Relationship Type="http://schemas.openxmlformats.org/officeDocument/2006/relationships/image" Target="/xl/media/image6984.jpg" Id="Rdf3f88a656a6446a" /><Relationship Type="http://schemas.openxmlformats.org/officeDocument/2006/relationships/image" Target="/xl/media/image6985.jpg" Id="R71fc81ecb4cb4b80" /><Relationship Type="http://schemas.openxmlformats.org/officeDocument/2006/relationships/image" Target="/xl/media/image6986.jpg" Id="Rfc9bb815aa5a49f1" /><Relationship Type="http://schemas.openxmlformats.org/officeDocument/2006/relationships/image" Target="/xl/media/image6987.jpg" Id="R353aa748d39843ef" /><Relationship Type="http://schemas.openxmlformats.org/officeDocument/2006/relationships/image" Target="/xl/media/image6988.jpg" Id="R4e4f3ab8e5f44e88" /><Relationship Type="http://schemas.openxmlformats.org/officeDocument/2006/relationships/image" Target="/xl/media/image6989.jpg" Id="R2ded21053a624e7c" /><Relationship Type="http://schemas.openxmlformats.org/officeDocument/2006/relationships/image" Target="/xl/media/image6990.jpg" Id="Rbc8b0f97c87b4996" /><Relationship Type="http://schemas.openxmlformats.org/officeDocument/2006/relationships/image" Target="/xl/media/image6991.jpg" Id="R49b5ab05fead4728" /><Relationship Type="http://schemas.openxmlformats.org/officeDocument/2006/relationships/image" Target="/xl/media/image6992.jpg" Id="R785291eb6eb54918" /><Relationship Type="http://schemas.openxmlformats.org/officeDocument/2006/relationships/image" Target="/xl/media/image6993.jpg" Id="Rfc4c06bcff714844" /><Relationship Type="http://schemas.openxmlformats.org/officeDocument/2006/relationships/image" Target="/xl/media/image6994.jpg" Id="R1d97abd47259458f" /><Relationship Type="http://schemas.openxmlformats.org/officeDocument/2006/relationships/image" Target="/xl/media/image6995.jpg" Id="Rc3a768f012904c44" /><Relationship Type="http://schemas.openxmlformats.org/officeDocument/2006/relationships/image" Target="/xl/media/image6996.jpg" Id="R1ece79d78eab4829" /><Relationship Type="http://schemas.openxmlformats.org/officeDocument/2006/relationships/image" Target="/xl/media/image6997.jpg" Id="Rfe8d712f38f14082" /><Relationship Type="http://schemas.openxmlformats.org/officeDocument/2006/relationships/image" Target="/xl/media/image6998.jpg" Id="Rbb0cfbda3f3245da" /><Relationship Type="http://schemas.openxmlformats.org/officeDocument/2006/relationships/image" Target="/xl/media/image6999.jpg" Id="R2049ca75b7484fd9" /><Relationship Type="http://schemas.openxmlformats.org/officeDocument/2006/relationships/image" Target="/xl/media/image7000.jpg" Id="R2f233856195a4bbe" /><Relationship Type="http://schemas.openxmlformats.org/officeDocument/2006/relationships/image" Target="/xl/media/image7001.jpg" Id="Ra409d08a9f974201" /><Relationship Type="http://schemas.openxmlformats.org/officeDocument/2006/relationships/image" Target="/xl/media/image7002.jpg" Id="R1aba73577d314e1a" /><Relationship Type="http://schemas.openxmlformats.org/officeDocument/2006/relationships/image" Target="/xl/media/image7003.jpg" Id="Rb90c54d700d24929" /><Relationship Type="http://schemas.openxmlformats.org/officeDocument/2006/relationships/image" Target="/xl/media/image7004.jpg" Id="Rac83820fa3c64fdc" /><Relationship Type="http://schemas.openxmlformats.org/officeDocument/2006/relationships/image" Target="/xl/media/image7005.jpg" Id="R09633f546e2240ad" /><Relationship Type="http://schemas.openxmlformats.org/officeDocument/2006/relationships/image" Target="/xl/media/image7006.jpg" Id="R87b973a6f2734b60" /><Relationship Type="http://schemas.openxmlformats.org/officeDocument/2006/relationships/image" Target="/xl/media/image7007.jpg" Id="R904a2863b0af40bc" /><Relationship Type="http://schemas.openxmlformats.org/officeDocument/2006/relationships/image" Target="/xl/media/image7008.jpg" Id="R1b5089e78ebd40ab" /><Relationship Type="http://schemas.openxmlformats.org/officeDocument/2006/relationships/image" Target="/xl/media/image7009.jpg" Id="R2c14624c361949f0" /><Relationship Type="http://schemas.openxmlformats.org/officeDocument/2006/relationships/image" Target="/xl/media/image7010.jpg" Id="Rb42e8338737e40b3" /><Relationship Type="http://schemas.openxmlformats.org/officeDocument/2006/relationships/image" Target="/xl/media/image7011.jpg" Id="R1a2ee2b4cbff4e0e" /><Relationship Type="http://schemas.openxmlformats.org/officeDocument/2006/relationships/image" Target="/xl/media/image7012.jpg" Id="R625aece7709e4be3" /><Relationship Type="http://schemas.openxmlformats.org/officeDocument/2006/relationships/image" Target="/xl/media/image7013.jpg" Id="R6cf951ec00124099" /><Relationship Type="http://schemas.openxmlformats.org/officeDocument/2006/relationships/image" Target="/xl/media/image7014.jpg" Id="R74d5b438033a429e" /><Relationship Type="http://schemas.openxmlformats.org/officeDocument/2006/relationships/image" Target="/xl/media/image7015.jpg" Id="Rca298f89f54d4ad6" /><Relationship Type="http://schemas.openxmlformats.org/officeDocument/2006/relationships/image" Target="/xl/media/image7016.jpg" Id="R42b5cf4600484911" /><Relationship Type="http://schemas.openxmlformats.org/officeDocument/2006/relationships/image" Target="/xl/media/image7017.jpg" Id="Rddb8f00f91964266" /><Relationship Type="http://schemas.openxmlformats.org/officeDocument/2006/relationships/image" Target="/xl/media/image7018.jpg" Id="R190995f0125845c6" /><Relationship Type="http://schemas.openxmlformats.org/officeDocument/2006/relationships/image" Target="/xl/media/image7019.jpg" Id="R71249cf16a8f4d34" /><Relationship Type="http://schemas.openxmlformats.org/officeDocument/2006/relationships/image" Target="/xl/media/image7020.jpg" Id="R1ce124c8dbdc43a4" /><Relationship Type="http://schemas.openxmlformats.org/officeDocument/2006/relationships/image" Target="/xl/media/image7021.jpg" Id="R6e027366336243ed" /><Relationship Type="http://schemas.openxmlformats.org/officeDocument/2006/relationships/image" Target="/xl/media/image7022.jpg" Id="R12c352f78ae342ab" /><Relationship Type="http://schemas.openxmlformats.org/officeDocument/2006/relationships/image" Target="/xl/media/image7023.jpg" Id="R5d4a3246015340ba" /><Relationship Type="http://schemas.openxmlformats.org/officeDocument/2006/relationships/image" Target="/xl/media/image7024.jpg" Id="Re9d4bff90dd248bd" /><Relationship Type="http://schemas.openxmlformats.org/officeDocument/2006/relationships/image" Target="/xl/media/image7025.jpg" Id="Rd47097061f2e4fda" /><Relationship Type="http://schemas.openxmlformats.org/officeDocument/2006/relationships/image" Target="/xl/media/image7026.jpg" Id="Rb965d8f325a1442f" /><Relationship Type="http://schemas.openxmlformats.org/officeDocument/2006/relationships/image" Target="/xl/media/image7027.jpg" Id="R386fde27badb4966" /><Relationship Type="http://schemas.openxmlformats.org/officeDocument/2006/relationships/image" Target="/xl/media/image7028.jpg" Id="R0468cdb16b774104" /><Relationship Type="http://schemas.openxmlformats.org/officeDocument/2006/relationships/image" Target="/xl/media/image7029.jpg" Id="R9ec86a47376349e0" /><Relationship Type="http://schemas.openxmlformats.org/officeDocument/2006/relationships/image" Target="/xl/media/image7030.jpg" Id="Rd38bcb7416ef4f25" /><Relationship Type="http://schemas.openxmlformats.org/officeDocument/2006/relationships/image" Target="/xl/media/image7031.jpg" Id="R93ba17349c8d4431" /><Relationship Type="http://schemas.openxmlformats.org/officeDocument/2006/relationships/image" Target="/xl/media/image7032.jpg" Id="R8b7fc085c2484e14" /><Relationship Type="http://schemas.openxmlformats.org/officeDocument/2006/relationships/image" Target="/xl/media/image7033.jpg" Id="R9188c91e9ace4c2a" /><Relationship Type="http://schemas.openxmlformats.org/officeDocument/2006/relationships/image" Target="/xl/media/image7034.jpg" Id="R9b85321b527f41fb" /><Relationship Type="http://schemas.openxmlformats.org/officeDocument/2006/relationships/image" Target="/xl/media/image7035.jpg" Id="R980f1d344f7e4cd9" /><Relationship Type="http://schemas.openxmlformats.org/officeDocument/2006/relationships/image" Target="/xl/media/image7036.jpg" Id="Ra419790aa312460c" /><Relationship Type="http://schemas.openxmlformats.org/officeDocument/2006/relationships/image" Target="/xl/media/image7037.jpg" Id="R84c4d0f6a8244e65" /><Relationship Type="http://schemas.openxmlformats.org/officeDocument/2006/relationships/image" Target="/xl/media/image7038.jpg" Id="Ra96004a766434c58" /><Relationship Type="http://schemas.openxmlformats.org/officeDocument/2006/relationships/image" Target="/xl/media/image7039.jpg" Id="R67eabb46eea74f4e" /><Relationship Type="http://schemas.openxmlformats.org/officeDocument/2006/relationships/image" Target="/xl/media/image7040.jpg" Id="R20bd016dd3c34ad9" /><Relationship Type="http://schemas.openxmlformats.org/officeDocument/2006/relationships/image" Target="/xl/media/image7041.jpg" Id="R582a366883b34776" /><Relationship Type="http://schemas.openxmlformats.org/officeDocument/2006/relationships/image" Target="/xl/media/image7042.jpg" Id="R67d4bc1673eb4f42" /><Relationship Type="http://schemas.openxmlformats.org/officeDocument/2006/relationships/image" Target="/xl/media/image7043.jpg" Id="Ref22faf630544e0e" /><Relationship Type="http://schemas.openxmlformats.org/officeDocument/2006/relationships/image" Target="/xl/media/image7044.jpg" Id="R98c7ae8de33646c7" /><Relationship Type="http://schemas.openxmlformats.org/officeDocument/2006/relationships/image" Target="/xl/media/image7045.jpg" Id="Rbd8b0e961551433c" /><Relationship Type="http://schemas.openxmlformats.org/officeDocument/2006/relationships/image" Target="/xl/media/image7046.jpg" Id="R15dd3ac10d474593" /><Relationship Type="http://schemas.openxmlformats.org/officeDocument/2006/relationships/image" Target="/xl/media/image7047.jpg" Id="Rb0b949ca9a82412c" /><Relationship Type="http://schemas.openxmlformats.org/officeDocument/2006/relationships/image" Target="/xl/media/image7048.jpg" Id="R6b3132bf8d884790" /><Relationship Type="http://schemas.openxmlformats.org/officeDocument/2006/relationships/image" Target="/xl/media/image7049.jpg" Id="Re54d22575a20437d" /><Relationship Type="http://schemas.openxmlformats.org/officeDocument/2006/relationships/image" Target="/xl/media/image7050.jpg" Id="Rd1d0b56c8c94415c" /><Relationship Type="http://schemas.openxmlformats.org/officeDocument/2006/relationships/image" Target="/xl/media/image7051.jpg" Id="Rea2b24e3514543e2" /><Relationship Type="http://schemas.openxmlformats.org/officeDocument/2006/relationships/image" Target="/xl/media/image7052.jpg" Id="Rfa9dbb1cc8214811" /><Relationship Type="http://schemas.openxmlformats.org/officeDocument/2006/relationships/image" Target="/xl/media/image7053.jpg" Id="R5fbb58ef9e364a10" /><Relationship Type="http://schemas.openxmlformats.org/officeDocument/2006/relationships/image" Target="/xl/media/image7054.jpg" Id="Racb7e13c5e694b33" /><Relationship Type="http://schemas.openxmlformats.org/officeDocument/2006/relationships/image" Target="/xl/media/image7055.jpg" Id="R9c8f633c680c49bb" /><Relationship Type="http://schemas.openxmlformats.org/officeDocument/2006/relationships/image" Target="/xl/media/image7056.jpg" Id="R8abe265aa09b498b" /><Relationship Type="http://schemas.openxmlformats.org/officeDocument/2006/relationships/image" Target="/xl/media/image7057.jpg" Id="Re7054e4a51164245" /><Relationship Type="http://schemas.openxmlformats.org/officeDocument/2006/relationships/image" Target="/xl/media/image7058.jpg" Id="R27d719b7091a4fc0" /><Relationship Type="http://schemas.openxmlformats.org/officeDocument/2006/relationships/image" Target="/xl/media/image7059.jpg" Id="R138cee04203848f3" /><Relationship Type="http://schemas.openxmlformats.org/officeDocument/2006/relationships/image" Target="/xl/media/image7060.jpg" Id="R4bd610fc93154c98" /><Relationship Type="http://schemas.openxmlformats.org/officeDocument/2006/relationships/image" Target="/xl/media/image7061.jpg" Id="R25a90abf67784391" /><Relationship Type="http://schemas.openxmlformats.org/officeDocument/2006/relationships/image" Target="/xl/media/image7062.jpg" Id="R4248b46d7141420b" /><Relationship Type="http://schemas.openxmlformats.org/officeDocument/2006/relationships/image" Target="/xl/media/image7063.jpg" Id="R6a46c98ad36b4701" /><Relationship Type="http://schemas.openxmlformats.org/officeDocument/2006/relationships/image" Target="/xl/media/image7064.jpg" Id="R06a2c7be342c4b30" /><Relationship Type="http://schemas.openxmlformats.org/officeDocument/2006/relationships/image" Target="/xl/media/image7065.jpg" Id="Rb5fd408004b443a7" /><Relationship Type="http://schemas.openxmlformats.org/officeDocument/2006/relationships/image" Target="/xl/media/image7066.jpg" Id="Reb2e2cf4b45d4323" /><Relationship Type="http://schemas.openxmlformats.org/officeDocument/2006/relationships/image" Target="/xl/media/image7067.jpg" Id="R2bc1f82a5ca64172" /><Relationship Type="http://schemas.openxmlformats.org/officeDocument/2006/relationships/image" Target="/xl/media/image7068.jpg" Id="R2163ceda608b4d04" /><Relationship Type="http://schemas.openxmlformats.org/officeDocument/2006/relationships/image" Target="/xl/media/image7069.jpg" Id="R6ea9694fff3b4c7b" /><Relationship Type="http://schemas.openxmlformats.org/officeDocument/2006/relationships/image" Target="/xl/media/image7070.jpg" Id="R26de4aea9a664756" /><Relationship Type="http://schemas.openxmlformats.org/officeDocument/2006/relationships/image" Target="/xl/media/image7071.jpg" Id="R8f83e75399ea4221" /><Relationship Type="http://schemas.openxmlformats.org/officeDocument/2006/relationships/image" Target="/xl/media/image7072.jpg" Id="Rd815e222f4d245d2" /><Relationship Type="http://schemas.openxmlformats.org/officeDocument/2006/relationships/image" Target="/xl/media/image7073.jpg" Id="R8a9a4468c1014c16" /><Relationship Type="http://schemas.openxmlformats.org/officeDocument/2006/relationships/image" Target="/xl/media/image7074.jpg" Id="R1b6102491e7942a2" /><Relationship Type="http://schemas.openxmlformats.org/officeDocument/2006/relationships/image" Target="/xl/media/image7075.jpg" Id="Rfdb545fb8389407c" /><Relationship Type="http://schemas.openxmlformats.org/officeDocument/2006/relationships/image" Target="/xl/media/image7076.jpg" Id="R8f37aea901fb497e" /><Relationship Type="http://schemas.openxmlformats.org/officeDocument/2006/relationships/image" Target="/xl/media/image7077.jpg" Id="R7a30f99f68f0453f" /><Relationship Type="http://schemas.openxmlformats.org/officeDocument/2006/relationships/image" Target="/xl/media/image7078.jpg" Id="R350c12e795b84eb9" /><Relationship Type="http://schemas.openxmlformats.org/officeDocument/2006/relationships/image" Target="/xl/media/image7079.jpg" Id="Rc902655ccee441ba" /><Relationship Type="http://schemas.openxmlformats.org/officeDocument/2006/relationships/image" Target="/xl/media/image7080.jpg" Id="R3be5f769eca7422a" /><Relationship Type="http://schemas.openxmlformats.org/officeDocument/2006/relationships/image" Target="/xl/media/image7081.jpg" Id="R9dee9c45afd54832" /><Relationship Type="http://schemas.openxmlformats.org/officeDocument/2006/relationships/image" Target="/xl/media/image7082.jpg" Id="R1d56f798d0ec4793" /><Relationship Type="http://schemas.openxmlformats.org/officeDocument/2006/relationships/image" Target="/xl/media/image7083.jpg" Id="R08a190996431431e" /><Relationship Type="http://schemas.openxmlformats.org/officeDocument/2006/relationships/image" Target="/xl/media/image7084.jpg" Id="R98b1f1e3b1534cbf" /><Relationship Type="http://schemas.openxmlformats.org/officeDocument/2006/relationships/image" Target="/xl/media/image7085.jpg" Id="Rd0d0fbc9500e4e44" /><Relationship Type="http://schemas.openxmlformats.org/officeDocument/2006/relationships/image" Target="/xl/media/image7086.jpg" Id="Rcf1ec91c11984a97" /><Relationship Type="http://schemas.openxmlformats.org/officeDocument/2006/relationships/image" Target="/xl/media/image7087.jpg" Id="R1bed18d66398442a" /><Relationship Type="http://schemas.openxmlformats.org/officeDocument/2006/relationships/image" Target="/xl/media/image7088.jpg" Id="Rc0c66f2202124478" /><Relationship Type="http://schemas.openxmlformats.org/officeDocument/2006/relationships/image" Target="/xl/media/image7089.jpg" Id="Rf1911bc793c94e5c" /><Relationship Type="http://schemas.openxmlformats.org/officeDocument/2006/relationships/image" Target="/xl/media/image7090.jpg" Id="R83ffad4f7e8b478f" /><Relationship Type="http://schemas.openxmlformats.org/officeDocument/2006/relationships/image" Target="/xl/media/image7091.jpg" Id="R086075135978413d" /><Relationship Type="http://schemas.openxmlformats.org/officeDocument/2006/relationships/image" Target="/xl/media/image7092.jpg" Id="Ra5232c05e27a4252" /><Relationship Type="http://schemas.openxmlformats.org/officeDocument/2006/relationships/image" Target="/xl/media/image7093.jpg" Id="Rb94b65d7e03e41f1" /><Relationship Type="http://schemas.openxmlformats.org/officeDocument/2006/relationships/image" Target="/xl/media/image7094.jpg" Id="R3cad3db78487496e" /><Relationship Type="http://schemas.openxmlformats.org/officeDocument/2006/relationships/image" Target="/xl/media/image7095.jpg" Id="R595d9f8c6b344a0d" /><Relationship Type="http://schemas.openxmlformats.org/officeDocument/2006/relationships/image" Target="/xl/media/image7096.jpg" Id="Rb0c46127a96a4fa1" /><Relationship Type="http://schemas.openxmlformats.org/officeDocument/2006/relationships/image" Target="/xl/media/image7097.jpg" Id="R9b0dc1d39a164fd1" /><Relationship Type="http://schemas.openxmlformats.org/officeDocument/2006/relationships/image" Target="/xl/media/image7098.jpg" Id="R7ad5729f75af498d" /><Relationship Type="http://schemas.openxmlformats.org/officeDocument/2006/relationships/image" Target="/xl/media/image7099.jpg" Id="R32fd3ac49a2e4f14" /><Relationship Type="http://schemas.openxmlformats.org/officeDocument/2006/relationships/image" Target="/xl/media/image7100.jpg" Id="R532ebd235a414e1e" /><Relationship Type="http://schemas.openxmlformats.org/officeDocument/2006/relationships/image" Target="/xl/media/image7101.jpg" Id="R36ef91507e9d4090" /><Relationship Type="http://schemas.openxmlformats.org/officeDocument/2006/relationships/image" Target="/xl/media/image7102.jpg" Id="Rdb446abc42504d6a" /><Relationship Type="http://schemas.openxmlformats.org/officeDocument/2006/relationships/image" Target="/xl/media/image7103.jpg" Id="R45122bd5ee8e41ba" /><Relationship Type="http://schemas.openxmlformats.org/officeDocument/2006/relationships/image" Target="/xl/media/image7104.jpg" Id="R8e7874d4c2ea461f" /><Relationship Type="http://schemas.openxmlformats.org/officeDocument/2006/relationships/image" Target="/xl/media/image7105.jpg" Id="Rd2c19446e8544154" /><Relationship Type="http://schemas.openxmlformats.org/officeDocument/2006/relationships/image" Target="/xl/media/image7106.jpg" Id="R5576de867c2948c5" /><Relationship Type="http://schemas.openxmlformats.org/officeDocument/2006/relationships/image" Target="/xl/media/image7107.jpg" Id="R043edb420f204e0b" /><Relationship Type="http://schemas.openxmlformats.org/officeDocument/2006/relationships/image" Target="/xl/media/image7108.jpg" Id="R98613a5ce3fb4d37" /><Relationship Type="http://schemas.openxmlformats.org/officeDocument/2006/relationships/image" Target="/xl/media/image7109.jpg" Id="Rf12bbaa905a54985" /><Relationship Type="http://schemas.openxmlformats.org/officeDocument/2006/relationships/image" Target="/xl/media/image7110.jpg" Id="R479f472f7cc74d90" /><Relationship Type="http://schemas.openxmlformats.org/officeDocument/2006/relationships/image" Target="/xl/media/image7111.jpg" Id="Re6b7f5956931476e" /><Relationship Type="http://schemas.openxmlformats.org/officeDocument/2006/relationships/image" Target="/xl/media/image7112.jpg" Id="Rf75843e1c4674998" /><Relationship Type="http://schemas.openxmlformats.org/officeDocument/2006/relationships/image" Target="/xl/media/image7113.jpg" Id="R71a2bc7ccc544f6d" /><Relationship Type="http://schemas.openxmlformats.org/officeDocument/2006/relationships/image" Target="/xl/media/image7114.jpg" Id="R3d737463f40e4f14" /><Relationship Type="http://schemas.openxmlformats.org/officeDocument/2006/relationships/image" Target="/xl/media/image7115.jpg" Id="R5e5b32286554490b" /><Relationship Type="http://schemas.openxmlformats.org/officeDocument/2006/relationships/image" Target="/xl/media/image7116.jpg" Id="R741fe0256eee428c" /><Relationship Type="http://schemas.openxmlformats.org/officeDocument/2006/relationships/image" Target="/xl/media/image7117.jpg" Id="R464099de1f0c4911" /><Relationship Type="http://schemas.openxmlformats.org/officeDocument/2006/relationships/image" Target="/xl/media/image7118.jpg" Id="R68a6043dfea84698" /><Relationship Type="http://schemas.openxmlformats.org/officeDocument/2006/relationships/image" Target="/xl/media/image7119.jpg" Id="R3ccd6d5ef9004d59" /><Relationship Type="http://schemas.openxmlformats.org/officeDocument/2006/relationships/image" Target="/xl/media/image7120.jpg" Id="R69a1eb23f68543d9" /><Relationship Type="http://schemas.openxmlformats.org/officeDocument/2006/relationships/image" Target="/xl/media/image7121.jpg" Id="R67b8a6013b4a40ed" /><Relationship Type="http://schemas.openxmlformats.org/officeDocument/2006/relationships/image" Target="/xl/media/image7122.jpg" Id="R5228b1e42a0a4e1d" /><Relationship Type="http://schemas.openxmlformats.org/officeDocument/2006/relationships/image" Target="/xl/media/image7123.jpg" Id="R6fd1f1b2d1014cfc" /><Relationship Type="http://schemas.openxmlformats.org/officeDocument/2006/relationships/image" Target="/xl/media/image7124.jpg" Id="Ra89fb0e010bd4007" /><Relationship Type="http://schemas.openxmlformats.org/officeDocument/2006/relationships/image" Target="/xl/media/image7125.jpg" Id="Rdd4576935f994c01" /><Relationship Type="http://schemas.openxmlformats.org/officeDocument/2006/relationships/image" Target="/xl/media/image7126.jpg" Id="R150140749acb4368" /><Relationship Type="http://schemas.openxmlformats.org/officeDocument/2006/relationships/image" Target="/xl/media/image7127.jpg" Id="R1f6e1e7e07eb4b62" /><Relationship Type="http://schemas.openxmlformats.org/officeDocument/2006/relationships/image" Target="/xl/media/image7128.jpg" Id="R037edf43b8244266" /><Relationship Type="http://schemas.openxmlformats.org/officeDocument/2006/relationships/image" Target="/xl/media/image7129.jpg" Id="R5ed59d8483204c54" /><Relationship Type="http://schemas.openxmlformats.org/officeDocument/2006/relationships/image" Target="/xl/media/image7130.jpg" Id="R689f9eb89c1e4bfb" /><Relationship Type="http://schemas.openxmlformats.org/officeDocument/2006/relationships/image" Target="/xl/media/image7131.jpg" Id="Ra8b773f8733e40d3" /><Relationship Type="http://schemas.openxmlformats.org/officeDocument/2006/relationships/image" Target="/xl/media/image7132.jpg" Id="Rce659826363149f1" /><Relationship Type="http://schemas.openxmlformats.org/officeDocument/2006/relationships/image" Target="/xl/media/image7133.jpg" Id="Ra236a5df030d4945" /><Relationship Type="http://schemas.openxmlformats.org/officeDocument/2006/relationships/image" Target="/xl/media/image7134.jpg" Id="Rf01874fc9a6841b1" /><Relationship Type="http://schemas.openxmlformats.org/officeDocument/2006/relationships/image" Target="/xl/media/image7135.jpg" Id="R2967c5c9187741ab" /><Relationship Type="http://schemas.openxmlformats.org/officeDocument/2006/relationships/image" Target="/xl/media/image7136.jpg" Id="R4a5c36c069aa48c8" /><Relationship Type="http://schemas.openxmlformats.org/officeDocument/2006/relationships/image" Target="/xl/media/image7137.jpg" Id="R8c9d9b396f5246ff" /><Relationship Type="http://schemas.openxmlformats.org/officeDocument/2006/relationships/image" Target="/xl/media/image7138.jpg" Id="R4d91ad2ab41c4fdc" /><Relationship Type="http://schemas.openxmlformats.org/officeDocument/2006/relationships/image" Target="/xl/media/image7139.jpg" Id="R2508389f127c4228" /><Relationship Type="http://schemas.openxmlformats.org/officeDocument/2006/relationships/image" Target="/xl/media/image7140.jpg" Id="R43e536054634439f" /><Relationship Type="http://schemas.openxmlformats.org/officeDocument/2006/relationships/image" Target="/xl/media/image7141.jpg" Id="Rffd9a52717584187" /><Relationship Type="http://schemas.openxmlformats.org/officeDocument/2006/relationships/image" Target="/xl/media/image7142.jpg" Id="R4766480de15f4f7f" /><Relationship Type="http://schemas.openxmlformats.org/officeDocument/2006/relationships/image" Target="/xl/media/image7143.jpg" Id="Rc583df75b81842ec" /><Relationship Type="http://schemas.openxmlformats.org/officeDocument/2006/relationships/image" Target="/xl/media/image7144.jpg" Id="R97c81a7a12dd482f" /><Relationship Type="http://schemas.openxmlformats.org/officeDocument/2006/relationships/image" Target="/xl/media/image7145.jpg" Id="R9e7a3cf017434016" /><Relationship Type="http://schemas.openxmlformats.org/officeDocument/2006/relationships/image" Target="/xl/media/image7146.jpg" Id="R721a361b00c34261" /><Relationship Type="http://schemas.openxmlformats.org/officeDocument/2006/relationships/image" Target="/xl/media/image7147.jpg" Id="Rf61765ceacf04908" /><Relationship Type="http://schemas.openxmlformats.org/officeDocument/2006/relationships/image" Target="/xl/media/image7148.jpg" Id="R30864ea99d694aa4" /><Relationship Type="http://schemas.openxmlformats.org/officeDocument/2006/relationships/image" Target="/xl/media/image7149.jpg" Id="R48d80cd3ae724a7d" /><Relationship Type="http://schemas.openxmlformats.org/officeDocument/2006/relationships/image" Target="/xl/media/image7150.jpg" Id="R4123efec49c4458c" /><Relationship Type="http://schemas.openxmlformats.org/officeDocument/2006/relationships/image" Target="/xl/media/image7151.jpg" Id="Rcf7c654dd13a4c8a" /><Relationship Type="http://schemas.openxmlformats.org/officeDocument/2006/relationships/image" Target="/xl/media/image7152.jpg" Id="R3125b8dee58644d6" /><Relationship Type="http://schemas.openxmlformats.org/officeDocument/2006/relationships/image" Target="/xl/media/image7153.jpg" Id="R7ea71700644b481a" /><Relationship Type="http://schemas.openxmlformats.org/officeDocument/2006/relationships/image" Target="/xl/media/image7154.jpg" Id="Rb3b9783f4791496a" /><Relationship Type="http://schemas.openxmlformats.org/officeDocument/2006/relationships/image" Target="/xl/media/image7155.jpg" Id="R96dc3fea03654a0d" /><Relationship Type="http://schemas.openxmlformats.org/officeDocument/2006/relationships/image" Target="/xl/media/image7156.jpg" Id="R7eb9b422450e4ae6" /><Relationship Type="http://schemas.openxmlformats.org/officeDocument/2006/relationships/image" Target="/xl/media/image7157.jpg" Id="R724b3d8df97d4f9b" /><Relationship Type="http://schemas.openxmlformats.org/officeDocument/2006/relationships/image" Target="/xl/media/image7158.jpg" Id="Rc013860544334475" /><Relationship Type="http://schemas.openxmlformats.org/officeDocument/2006/relationships/image" Target="/xl/media/image7159.jpg" Id="Reaa3de8e2ef54455" /><Relationship Type="http://schemas.openxmlformats.org/officeDocument/2006/relationships/image" Target="/xl/media/image7160.jpg" Id="Re7ef85ed14a04432" /><Relationship Type="http://schemas.openxmlformats.org/officeDocument/2006/relationships/image" Target="/xl/media/image7161.jpg" Id="R1f62ab040fdf4d71" /><Relationship Type="http://schemas.openxmlformats.org/officeDocument/2006/relationships/image" Target="/xl/media/image7162.jpg" Id="R386d99ec659a4e22" /><Relationship Type="http://schemas.openxmlformats.org/officeDocument/2006/relationships/image" Target="/xl/media/image7163.jpg" Id="Rdfaa0527cca647f4" /><Relationship Type="http://schemas.openxmlformats.org/officeDocument/2006/relationships/image" Target="/xl/media/image7164.jpg" Id="Rc4e795efa4274b3b" /><Relationship Type="http://schemas.openxmlformats.org/officeDocument/2006/relationships/image" Target="/xl/media/image7165.jpg" Id="Rb89c643c75584a8a" /><Relationship Type="http://schemas.openxmlformats.org/officeDocument/2006/relationships/image" Target="/xl/media/image7166.jpg" Id="Rc0c93511d3a4415c" /><Relationship Type="http://schemas.openxmlformats.org/officeDocument/2006/relationships/image" Target="/xl/media/image7167.jpg" Id="Rc761123ceb214d8a" /><Relationship Type="http://schemas.openxmlformats.org/officeDocument/2006/relationships/image" Target="/xl/media/image7168.jpg" Id="R31a99a701c6945e3" /><Relationship Type="http://schemas.openxmlformats.org/officeDocument/2006/relationships/image" Target="/xl/media/image7169.jpg" Id="R4e6a8f2527a04004" /><Relationship Type="http://schemas.openxmlformats.org/officeDocument/2006/relationships/image" Target="/xl/media/image7170.jpg" Id="R9659bb2c767b4801" /><Relationship Type="http://schemas.openxmlformats.org/officeDocument/2006/relationships/image" Target="/xl/media/image7171.jpg" Id="R12712702086d4e30" /><Relationship Type="http://schemas.openxmlformats.org/officeDocument/2006/relationships/image" Target="/xl/media/image7172.jpg" Id="R3d745371bf9e43b9" /><Relationship Type="http://schemas.openxmlformats.org/officeDocument/2006/relationships/image" Target="/xl/media/image7173.jpg" Id="R9326246941c94189" /><Relationship Type="http://schemas.openxmlformats.org/officeDocument/2006/relationships/image" Target="/xl/media/image7174.jpg" Id="R992a38fb5a894e9c" /><Relationship Type="http://schemas.openxmlformats.org/officeDocument/2006/relationships/image" Target="/xl/media/image7175.jpg" Id="R35ebdfd1b31d4435" /><Relationship Type="http://schemas.openxmlformats.org/officeDocument/2006/relationships/image" Target="/xl/media/image7176.jpg" Id="Rfa63a584f9bd455f" /><Relationship Type="http://schemas.openxmlformats.org/officeDocument/2006/relationships/image" Target="/xl/media/image7177.jpg" Id="R764fc92fbd954ee3" /><Relationship Type="http://schemas.openxmlformats.org/officeDocument/2006/relationships/image" Target="/xl/media/image7178.jpg" Id="R5465023306ec43fb" /><Relationship Type="http://schemas.openxmlformats.org/officeDocument/2006/relationships/image" Target="/xl/media/image7179.jpg" Id="R0aff3d868ac647c3" /><Relationship Type="http://schemas.openxmlformats.org/officeDocument/2006/relationships/image" Target="/xl/media/image7180.jpg" Id="Rc8d918bd970e417b" /><Relationship Type="http://schemas.openxmlformats.org/officeDocument/2006/relationships/image" Target="/xl/media/image7181.jpg" Id="Rde35581ac459453e" /><Relationship Type="http://schemas.openxmlformats.org/officeDocument/2006/relationships/image" Target="/xl/media/image7182.jpg" Id="R39e84b443ed74c83" /><Relationship Type="http://schemas.openxmlformats.org/officeDocument/2006/relationships/image" Target="/xl/media/image7183.jpg" Id="R468de4a640bd4722" /><Relationship Type="http://schemas.openxmlformats.org/officeDocument/2006/relationships/image" Target="/xl/media/image7184.jpg" Id="Rd9b15b71d9de4202" /><Relationship Type="http://schemas.openxmlformats.org/officeDocument/2006/relationships/image" Target="/xl/media/image7185.jpg" Id="R38d66af54abc4ccc" /><Relationship Type="http://schemas.openxmlformats.org/officeDocument/2006/relationships/image" Target="/xl/media/image7186.jpg" Id="Raff8f74eee5541a8" /><Relationship Type="http://schemas.openxmlformats.org/officeDocument/2006/relationships/image" Target="/xl/media/image7187.jpg" Id="R3ad41dfdb0834b3c" /><Relationship Type="http://schemas.openxmlformats.org/officeDocument/2006/relationships/image" Target="/xl/media/image7188.jpg" Id="R5df4419237554ddd" /><Relationship Type="http://schemas.openxmlformats.org/officeDocument/2006/relationships/image" Target="/xl/media/image7189.jpg" Id="R0f55a70d11ec4a4d" /><Relationship Type="http://schemas.openxmlformats.org/officeDocument/2006/relationships/image" Target="/xl/media/image7190.jpg" Id="Re1a37dd9063f4fc6" /><Relationship Type="http://schemas.openxmlformats.org/officeDocument/2006/relationships/image" Target="/xl/media/image7191.jpg" Id="R137491d4fcec4c7b" /><Relationship Type="http://schemas.openxmlformats.org/officeDocument/2006/relationships/image" Target="/xl/media/image7192.jpg" Id="R7663ad03b7d7407a" /><Relationship Type="http://schemas.openxmlformats.org/officeDocument/2006/relationships/image" Target="/xl/media/image7193.jpg" Id="R839f913b532a46b6" /><Relationship Type="http://schemas.openxmlformats.org/officeDocument/2006/relationships/image" Target="/xl/media/image7194.jpg" Id="Rd1e8d326c2694977" /><Relationship Type="http://schemas.openxmlformats.org/officeDocument/2006/relationships/image" Target="/xl/media/image7195.jpg" Id="Rdaa491a2c2294748" /><Relationship Type="http://schemas.openxmlformats.org/officeDocument/2006/relationships/image" Target="/xl/media/image7196.jpg" Id="Rd996c46efdbe415b" /><Relationship Type="http://schemas.openxmlformats.org/officeDocument/2006/relationships/image" Target="/xl/media/image7197.jpg" Id="R6ba2d33474384216" /><Relationship Type="http://schemas.openxmlformats.org/officeDocument/2006/relationships/image" Target="/xl/media/image7198.jpg" Id="R1b670812616c4f2e" /><Relationship Type="http://schemas.openxmlformats.org/officeDocument/2006/relationships/image" Target="/xl/media/image7199.jpg" Id="R30e2b7b6f8a74836" /><Relationship Type="http://schemas.openxmlformats.org/officeDocument/2006/relationships/image" Target="/xl/media/image7200.jpg" Id="R1094444f46c44afa" /><Relationship Type="http://schemas.openxmlformats.org/officeDocument/2006/relationships/image" Target="/xl/media/image7201.jpg" Id="Rca0023cc0ada4237" /><Relationship Type="http://schemas.openxmlformats.org/officeDocument/2006/relationships/image" Target="/xl/media/image7202.jpg" Id="R122d4ce1a0484744" /><Relationship Type="http://schemas.openxmlformats.org/officeDocument/2006/relationships/image" Target="/xl/media/image7203.jpg" Id="R8c330223c7bb4b20" /><Relationship Type="http://schemas.openxmlformats.org/officeDocument/2006/relationships/image" Target="/xl/media/image7204.jpg" Id="R460b0d47f95f412e" /><Relationship Type="http://schemas.openxmlformats.org/officeDocument/2006/relationships/image" Target="/xl/media/image7205.jpg" Id="R03735cc278aa42d8" /><Relationship Type="http://schemas.openxmlformats.org/officeDocument/2006/relationships/image" Target="/xl/media/image7206.jpg" Id="Rd7b364bb954448a6" /><Relationship Type="http://schemas.openxmlformats.org/officeDocument/2006/relationships/image" Target="/xl/media/image7207.jpg" Id="R7135a8a74a754e43" /><Relationship Type="http://schemas.openxmlformats.org/officeDocument/2006/relationships/image" Target="/xl/media/image7208.jpg" Id="Rd92b255db6274ef8" /><Relationship Type="http://schemas.openxmlformats.org/officeDocument/2006/relationships/image" Target="/xl/media/image7209.jpg" Id="R7ff5749eef05433f" /><Relationship Type="http://schemas.openxmlformats.org/officeDocument/2006/relationships/image" Target="/xl/media/image7210.jpg" Id="R41ced64ce754403b" /><Relationship Type="http://schemas.openxmlformats.org/officeDocument/2006/relationships/image" Target="/xl/media/image7211.jpg" Id="R1c48a415d396436a" /><Relationship Type="http://schemas.openxmlformats.org/officeDocument/2006/relationships/image" Target="/xl/media/image7212.jpg" Id="Reacae1c2ae724f2b" /><Relationship Type="http://schemas.openxmlformats.org/officeDocument/2006/relationships/image" Target="/xl/media/image7213.jpg" Id="Rc2cc5dadcf0549df" /><Relationship Type="http://schemas.openxmlformats.org/officeDocument/2006/relationships/image" Target="/xl/media/image7214.jpg" Id="R6b9c157c021541d8" /><Relationship Type="http://schemas.openxmlformats.org/officeDocument/2006/relationships/image" Target="/xl/media/image7215.jpg" Id="R589558e1d7f54663" /><Relationship Type="http://schemas.openxmlformats.org/officeDocument/2006/relationships/image" Target="/xl/media/image7216.jpg" Id="Ra9107452a5f44205" /><Relationship Type="http://schemas.openxmlformats.org/officeDocument/2006/relationships/image" Target="/xl/media/image7217.jpg" Id="R726adbfe86e344e5" /><Relationship Type="http://schemas.openxmlformats.org/officeDocument/2006/relationships/image" Target="/xl/media/image7218.jpg" Id="R29c8e007e9ce4742" /><Relationship Type="http://schemas.openxmlformats.org/officeDocument/2006/relationships/image" Target="/xl/media/image7219.jpg" Id="Re9aee41d8d6d4cb1" /><Relationship Type="http://schemas.openxmlformats.org/officeDocument/2006/relationships/image" Target="/xl/media/image7220.jpg" Id="Rc0e8939370d146da" /><Relationship Type="http://schemas.openxmlformats.org/officeDocument/2006/relationships/image" Target="/xl/media/image7221.jpg" Id="R988832d60c8e4017" /><Relationship Type="http://schemas.openxmlformats.org/officeDocument/2006/relationships/image" Target="/xl/media/image7222.jpg" Id="R152649afafed4d43" /><Relationship Type="http://schemas.openxmlformats.org/officeDocument/2006/relationships/image" Target="/xl/media/image7223.jpg" Id="R0277da53293a41b6" /><Relationship Type="http://schemas.openxmlformats.org/officeDocument/2006/relationships/image" Target="/xl/media/image7224.jpg" Id="R651400f88c264bdb" /><Relationship Type="http://schemas.openxmlformats.org/officeDocument/2006/relationships/image" Target="/xl/media/image7225.jpg" Id="R57ea5815ac794569" /><Relationship Type="http://schemas.openxmlformats.org/officeDocument/2006/relationships/image" Target="/xl/media/image7226.jpg" Id="R2744bb01fd6140f2" /><Relationship Type="http://schemas.openxmlformats.org/officeDocument/2006/relationships/image" Target="/xl/media/image7227.jpg" Id="R53a23fd9c36642a4" /><Relationship Type="http://schemas.openxmlformats.org/officeDocument/2006/relationships/image" Target="/xl/media/image7228.jpg" Id="R92959873a134463a" /><Relationship Type="http://schemas.openxmlformats.org/officeDocument/2006/relationships/image" Target="/xl/media/image7229.jpg" Id="Rbbe26875ead5492d" /><Relationship Type="http://schemas.openxmlformats.org/officeDocument/2006/relationships/image" Target="/xl/media/image7230.jpg" Id="R385f1ce48d694ce4" /><Relationship Type="http://schemas.openxmlformats.org/officeDocument/2006/relationships/image" Target="/xl/media/image7231.jpg" Id="R0657b12c5f0b47cf" /><Relationship Type="http://schemas.openxmlformats.org/officeDocument/2006/relationships/image" Target="/xl/media/image7232.jpg" Id="R3aab1f4792444671" /><Relationship Type="http://schemas.openxmlformats.org/officeDocument/2006/relationships/image" Target="/xl/media/image7233.jpg" Id="R397279ab683547e8" /><Relationship Type="http://schemas.openxmlformats.org/officeDocument/2006/relationships/image" Target="/xl/media/image7234.jpg" Id="R74ec8cd627f44a90" /><Relationship Type="http://schemas.openxmlformats.org/officeDocument/2006/relationships/image" Target="/xl/media/image7235.jpg" Id="Reeffbeede0294423" /><Relationship Type="http://schemas.openxmlformats.org/officeDocument/2006/relationships/image" Target="/xl/media/image7236.jpg" Id="Ra3159d1ead6b4efc" /><Relationship Type="http://schemas.openxmlformats.org/officeDocument/2006/relationships/image" Target="/xl/media/image7237.jpg" Id="Re7f7a682ce1a49a2" /><Relationship Type="http://schemas.openxmlformats.org/officeDocument/2006/relationships/image" Target="/xl/media/image7238.jpg" Id="R2e154b7e4fa44aab" /><Relationship Type="http://schemas.openxmlformats.org/officeDocument/2006/relationships/image" Target="/xl/media/image7239.jpg" Id="R3865097134e94f5d" /><Relationship Type="http://schemas.openxmlformats.org/officeDocument/2006/relationships/image" Target="/xl/media/image7240.jpg" Id="R6c7a64e87d754cd4" /><Relationship Type="http://schemas.openxmlformats.org/officeDocument/2006/relationships/image" Target="/xl/media/image7241.jpg" Id="Re7391c6bc287433b" /><Relationship Type="http://schemas.openxmlformats.org/officeDocument/2006/relationships/image" Target="/xl/media/image7242.jpg" Id="R0f415408e6ed4f50" /><Relationship Type="http://schemas.openxmlformats.org/officeDocument/2006/relationships/image" Target="/xl/media/image7243.jpg" Id="Rad5ca608090840db" /><Relationship Type="http://schemas.openxmlformats.org/officeDocument/2006/relationships/image" Target="/xl/media/image7244.jpg" Id="R89180eaed86d4a73" /><Relationship Type="http://schemas.openxmlformats.org/officeDocument/2006/relationships/image" Target="/xl/media/image7245.jpg" Id="Rf649464ca7314f99" /><Relationship Type="http://schemas.openxmlformats.org/officeDocument/2006/relationships/image" Target="/xl/media/image7246.jpg" Id="Rbc582afa3a244cfd" /><Relationship Type="http://schemas.openxmlformats.org/officeDocument/2006/relationships/image" Target="/xl/media/image7247.jpg" Id="Rd8df8e6c7393433d" /><Relationship Type="http://schemas.openxmlformats.org/officeDocument/2006/relationships/image" Target="/xl/media/image7248.jpg" Id="R2ab6ba5c04cc48af" /><Relationship Type="http://schemas.openxmlformats.org/officeDocument/2006/relationships/image" Target="/xl/media/image7249.jpg" Id="R2d954f0bd6f44cf1" /><Relationship Type="http://schemas.openxmlformats.org/officeDocument/2006/relationships/image" Target="/xl/media/image7250.jpg" Id="R0c39bc4624264b59" /><Relationship Type="http://schemas.openxmlformats.org/officeDocument/2006/relationships/image" Target="/xl/media/image7251.jpg" Id="R6550010b8ca24110" /><Relationship Type="http://schemas.openxmlformats.org/officeDocument/2006/relationships/image" Target="/xl/media/image7252.jpg" Id="R794108cea0f849c7" /><Relationship Type="http://schemas.openxmlformats.org/officeDocument/2006/relationships/image" Target="/xl/media/image7253.jpg" Id="Rf8d9251b64e54f50" /><Relationship Type="http://schemas.openxmlformats.org/officeDocument/2006/relationships/image" Target="/xl/media/image7254.jpg" Id="R68f0ee8ae25642f9" /><Relationship Type="http://schemas.openxmlformats.org/officeDocument/2006/relationships/image" Target="/xl/media/image7255.jpg" Id="R9a293958c15542b4" /><Relationship Type="http://schemas.openxmlformats.org/officeDocument/2006/relationships/image" Target="/xl/media/image7256.jpg" Id="R1ebf3d8343dc48eb" /><Relationship Type="http://schemas.openxmlformats.org/officeDocument/2006/relationships/image" Target="/xl/media/image7257.jpg" Id="Rafafdaaac98b4496" /><Relationship Type="http://schemas.openxmlformats.org/officeDocument/2006/relationships/image" Target="/xl/media/image7258.jpg" Id="R565bf6bfc4834328" /><Relationship Type="http://schemas.openxmlformats.org/officeDocument/2006/relationships/image" Target="/xl/media/image7259.jpg" Id="Ra7ebbc24e90f4181" /><Relationship Type="http://schemas.openxmlformats.org/officeDocument/2006/relationships/image" Target="/xl/media/image7260.jpg" Id="R29392e7b7bd3477d" /><Relationship Type="http://schemas.openxmlformats.org/officeDocument/2006/relationships/image" Target="/xl/media/image7261.jpg" Id="Rbbf1b91068f743c1" /><Relationship Type="http://schemas.openxmlformats.org/officeDocument/2006/relationships/image" Target="/xl/media/image7262.jpg" Id="R10bbbc3b6f09458c" /><Relationship Type="http://schemas.openxmlformats.org/officeDocument/2006/relationships/image" Target="/xl/media/image7263.jpg" Id="R298aaec61bf94355" /><Relationship Type="http://schemas.openxmlformats.org/officeDocument/2006/relationships/image" Target="/xl/media/image7264.jpg" Id="R788eb89645af4a14" /><Relationship Type="http://schemas.openxmlformats.org/officeDocument/2006/relationships/image" Target="/xl/media/image7265.jpg" Id="R2091aa0546e0494a" /><Relationship Type="http://schemas.openxmlformats.org/officeDocument/2006/relationships/image" Target="/xl/media/image7266.jpg" Id="Rddd07b200d134500" /><Relationship Type="http://schemas.openxmlformats.org/officeDocument/2006/relationships/image" Target="/xl/media/image7267.jpg" Id="R6185828917584854" /><Relationship Type="http://schemas.openxmlformats.org/officeDocument/2006/relationships/image" Target="/xl/media/image7268.jpg" Id="Rbb55ac1c8bfd463e" /><Relationship Type="http://schemas.openxmlformats.org/officeDocument/2006/relationships/image" Target="/xl/media/image7269.jpg" Id="R0ab5405c55c34599" /><Relationship Type="http://schemas.openxmlformats.org/officeDocument/2006/relationships/image" Target="/xl/media/image7270.jpg" Id="Rfaadb32ce49e4758" /><Relationship Type="http://schemas.openxmlformats.org/officeDocument/2006/relationships/image" Target="/xl/media/image7271.jpg" Id="R79bfa0fc26ab4b27" /><Relationship Type="http://schemas.openxmlformats.org/officeDocument/2006/relationships/image" Target="/xl/media/image7272.jpg" Id="R32f28d04b81842be" /><Relationship Type="http://schemas.openxmlformats.org/officeDocument/2006/relationships/image" Target="/xl/media/image7273.jpg" Id="R61028fb446e84627" /><Relationship Type="http://schemas.openxmlformats.org/officeDocument/2006/relationships/image" Target="/xl/media/image7274.jpg" Id="R1a20191279d4452d" /><Relationship Type="http://schemas.openxmlformats.org/officeDocument/2006/relationships/image" Target="/xl/media/image7275.jpg" Id="Rd769d23e85cc4e9d" /><Relationship Type="http://schemas.openxmlformats.org/officeDocument/2006/relationships/image" Target="/xl/media/image7276.jpg" Id="Re5800b3965cc446f" /><Relationship Type="http://schemas.openxmlformats.org/officeDocument/2006/relationships/image" Target="/xl/media/image7277.jpg" Id="R541477edd1c149a8" /><Relationship Type="http://schemas.openxmlformats.org/officeDocument/2006/relationships/image" Target="/xl/media/image7278.jpg" Id="R5d270658a3bc4f42" /><Relationship Type="http://schemas.openxmlformats.org/officeDocument/2006/relationships/image" Target="/xl/media/image7279.jpg" Id="Rcf334584aaea4d78" /><Relationship Type="http://schemas.openxmlformats.org/officeDocument/2006/relationships/image" Target="/xl/media/image7280.jpg" Id="Rfd4a922a321e4d05" /><Relationship Type="http://schemas.openxmlformats.org/officeDocument/2006/relationships/image" Target="/xl/media/image7281.jpg" Id="R88da19d99db84498" /><Relationship Type="http://schemas.openxmlformats.org/officeDocument/2006/relationships/image" Target="/xl/media/image7282.jpg" Id="R9b968cb0e855491f" /><Relationship Type="http://schemas.openxmlformats.org/officeDocument/2006/relationships/image" Target="/xl/media/image7283.jpg" Id="Rebf87142fd8d4e2a" /><Relationship Type="http://schemas.openxmlformats.org/officeDocument/2006/relationships/image" Target="/xl/media/image7284.jpg" Id="R68862d6d863340ce" /><Relationship Type="http://schemas.openxmlformats.org/officeDocument/2006/relationships/image" Target="/xl/media/image7285.jpg" Id="Rea7b0b0cd18a4089" /><Relationship Type="http://schemas.openxmlformats.org/officeDocument/2006/relationships/image" Target="/xl/media/image7286.jpg" Id="Rcd1adf4b439349e2" /><Relationship Type="http://schemas.openxmlformats.org/officeDocument/2006/relationships/image" Target="/xl/media/image7287.jpg" Id="Rb881cf70c61f4387" /><Relationship Type="http://schemas.openxmlformats.org/officeDocument/2006/relationships/image" Target="/xl/media/image7288.jpg" Id="Re0beb7f1a4c0484c" /><Relationship Type="http://schemas.openxmlformats.org/officeDocument/2006/relationships/image" Target="/xl/media/image7289.jpg" Id="R70cf25c508bc49c5" /><Relationship Type="http://schemas.openxmlformats.org/officeDocument/2006/relationships/image" Target="/xl/media/image7290.jpg" Id="Rd49c9b0cd6df41d9" /><Relationship Type="http://schemas.openxmlformats.org/officeDocument/2006/relationships/image" Target="/xl/media/image7291.jpg" Id="Re037019244264eea" /><Relationship Type="http://schemas.openxmlformats.org/officeDocument/2006/relationships/image" Target="/xl/media/image7292.jpg" Id="Ra7cf0a32a7c74fe0" /><Relationship Type="http://schemas.openxmlformats.org/officeDocument/2006/relationships/image" Target="/xl/media/image7293.jpg" Id="Raeca5ee403a74291" /><Relationship Type="http://schemas.openxmlformats.org/officeDocument/2006/relationships/image" Target="/xl/media/image7294.jpg" Id="R2012ea7d17e44ba5" /><Relationship Type="http://schemas.openxmlformats.org/officeDocument/2006/relationships/image" Target="/xl/media/image7295.jpg" Id="R695bc7e0db294bc7" /><Relationship Type="http://schemas.openxmlformats.org/officeDocument/2006/relationships/image" Target="/xl/media/image7296.jpg" Id="R431c2c4706564911" /><Relationship Type="http://schemas.openxmlformats.org/officeDocument/2006/relationships/image" Target="/xl/media/image7297.jpg" Id="R0fbef83cfb5b4ba9" /><Relationship Type="http://schemas.openxmlformats.org/officeDocument/2006/relationships/image" Target="/xl/media/image7298.jpg" Id="R1663a1afc1694c70" /><Relationship Type="http://schemas.openxmlformats.org/officeDocument/2006/relationships/image" Target="/xl/media/image7299.jpg" Id="R0945cf957f6c485d" /><Relationship Type="http://schemas.openxmlformats.org/officeDocument/2006/relationships/image" Target="/xl/media/image7300.jpg" Id="R840daf355c704a41" /><Relationship Type="http://schemas.openxmlformats.org/officeDocument/2006/relationships/image" Target="/xl/media/image7301.jpg" Id="Rd423cfb2ec514be1" /><Relationship Type="http://schemas.openxmlformats.org/officeDocument/2006/relationships/image" Target="/xl/media/image7302.jpg" Id="R3ef5a8c268844e51" /><Relationship Type="http://schemas.openxmlformats.org/officeDocument/2006/relationships/image" Target="/xl/media/image7303.jpg" Id="R8176757d63744610" /><Relationship Type="http://schemas.openxmlformats.org/officeDocument/2006/relationships/image" Target="/xl/media/image7304.jpg" Id="R878eef2f80154235" /><Relationship Type="http://schemas.openxmlformats.org/officeDocument/2006/relationships/image" Target="/xl/media/image7305.jpg" Id="R5627dbf6b481408f" /><Relationship Type="http://schemas.openxmlformats.org/officeDocument/2006/relationships/image" Target="/xl/media/image7306.jpg" Id="Re26b1bdec8164134" /><Relationship Type="http://schemas.openxmlformats.org/officeDocument/2006/relationships/image" Target="/xl/media/image7307.jpg" Id="R2b154550c5064425" /><Relationship Type="http://schemas.openxmlformats.org/officeDocument/2006/relationships/image" Target="/xl/media/image7308.jpg" Id="Rc1272935239d4eec" /><Relationship Type="http://schemas.openxmlformats.org/officeDocument/2006/relationships/image" Target="/xl/media/image7309.jpg" Id="R7ff7f6c48f4a4662" /><Relationship Type="http://schemas.openxmlformats.org/officeDocument/2006/relationships/image" Target="/xl/media/image7310.jpg" Id="Rb34e3b7ef7934371" /><Relationship Type="http://schemas.openxmlformats.org/officeDocument/2006/relationships/image" Target="/xl/media/image7311.jpg" Id="R99c0e50437164f76" /><Relationship Type="http://schemas.openxmlformats.org/officeDocument/2006/relationships/image" Target="/xl/media/image7312.jpg" Id="Rd2abd16356b4438f" /><Relationship Type="http://schemas.openxmlformats.org/officeDocument/2006/relationships/image" Target="/xl/media/image7313.jpg" Id="R05a5c228340b4535" /><Relationship Type="http://schemas.openxmlformats.org/officeDocument/2006/relationships/image" Target="/xl/media/image7314.jpg" Id="Rffed04424dce4f77" /><Relationship Type="http://schemas.openxmlformats.org/officeDocument/2006/relationships/image" Target="/xl/media/image7315.jpg" Id="Red8d0c3f032f44c8" /><Relationship Type="http://schemas.openxmlformats.org/officeDocument/2006/relationships/image" Target="/xl/media/image7316.jpg" Id="Rb1e7b3832c984499" /><Relationship Type="http://schemas.openxmlformats.org/officeDocument/2006/relationships/image" Target="/xl/media/image7317.jpg" Id="R1a623df5f1364b8f" /><Relationship Type="http://schemas.openxmlformats.org/officeDocument/2006/relationships/image" Target="/xl/media/image7318.jpg" Id="R3dffedf8baf74ceb" /><Relationship Type="http://schemas.openxmlformats.org/officeDocument/2006/relationships/image" Target="/xl/media/image7319.jpg" Id="Rf23acad3b8f345e2" /><Relationship Type="http://schemas.openxmlformats.org/officeDocument/2006/relationships/image" Target="/xl/media/image7320.jpg" Id="R21dd122361ba42d8" /><Relationship Type="http://schemas.openxmlformats.org/officeDocument/2006/relationships/image" Target="/xl/media/image7321.jpg" Id="R7cab43ced02643e2" /><Relationship Type="http://schemas.openxmlformats.org/officeDocument/2006/relationships/image" Target="/xl/media/image7322.jpg" Id="R13fdd3e71f104c5c" /><Relationship Type="http://schemas.openxmlformats.org/officeDocument/2006/relationships/image" Target="/xl/media/image7323.jpg" Id="R12eb7c74d21a451e" /><Relationship Type="http://schemas.openxmlformats.org/officeDocument/2006/relationships/image" Target="/xl/media/image7324.jpg" Id="Re57b5c58cfcf415d" /><Relationship Type="http://schemas.openxmlformats.org/officeDocument/2006/relationships/image" Target="/xl/media/image7325.jpg" Id="Ra1cd588413764400" /><Relationship Type="http://schemas.openxmlformats.org/officeDocument/2006/relationships/image" Target="/xl/media/image7326.jpg" Id="R647bf25f7fae4576" /><Relationship Type="http://schemas.openxmlformats.org/officeDocument/2006/relationships/image" Target="/xl/media/image7327.jpg" Id="Re11a756d93934c68" /><Relationship Type="http://schemas.openxmlformats.org/officeDocument/2006/relationships/image" Target="/xl/media/image7328.jpg" Id="R01d9811e74704d55" /><Relationship Type="http://schemas.openxmlformats.org/officeDocument/2006/relationships/image" Target="/xl/media/image7329.jpg" Id="R01442a7bdfb048ea" /><Relationship Type="http://schemas.openxmlformats.org/officeDocument/2006/relationships/image" Target="/xl/media/image7330.jpg" Id="Rc0e93ee54a0e46f4" /><Relationship Type="http://schemas.openxmlformats.org/officeDocument/2006/relationships/image" Target="/xl/media/image7331.jpg" Id="R2d96ffb1fe7f4f91" /><Relationship Type="http://schemas.openxmlformats.org/officeDocument/2006/relationships/image" Target="/xl/media/image7332.jpg" Id="Rdfcffb6ab93d43f8" /><Relationship Type="http://schemas.openxmlformats.org/officeDocument/2006/relationships/image" Target="/xl/media/image7333.jpg" Id="R49eaebbc180d4e99" /><Relationship Type="http://schemas.openxmlformats.org/officeDocument/2006/relationships/image" Target="/xl/media/image7334.jpg" Id="R05b02105af384b89" /><Relationship Type="http://schemas.openxmlformats.org/officeDocument/2006/relationships/image" Target="/xl/media/image7335.jpg" Id="R33c8af0af9c24822" /><Relationship Type="http://schemas.openxmlformats.org/officeDocument/2006/relationships/image" Target="/xl/media/image7336.jpg" Id="R8c675f82b8fa4903" /><Relationship Type="http://schemas.openxmlformats.org/officeDocument/2006/relationships/image" Target="/xl/media/image7337.jpg" Id="Re2b3b0c8ea33481c" /><Relationship Type="http://schemas.openxmlformats.org/officeDocument/2006/relationships/image" Target="/xl/media/image7338.jpg" Id="R7e372c971ea14975" /><Relationship Type="http://schemas.openxmlformats.org/officeDocument/2006/relationships/image" Target="/xl/media/image7339.jpg" Id="Re07f17726b904906" /><Relationship Type="http://schemas.openxmlformats.org/officeDocument/2006/relationships/image" Target="/xl/media/image7340.jpg" Id="R7afce8b82594403f" /><Relationship Type="http://schemas.openxmlformats.org/officeDocument/2006/relationships/image" Target="/xl/media/image7341.jpg" Id="Rcf37ffc7f9c44f49" /><Relationship Type="http://schemas.openxmlformats.org/officeDocument/2006/relationships/image" Target="/xl/media/image7342.jpg" Id="R3e1068f29a6a4c28" /><Relationship Type="http://schemas.openxmlformats.org/officeDocument/2006/relationships/image" Target="/xl/media/image7343.jpg" Id="R1139651bd31b4c10" /><Relationship Type="http://schemas.openxmlformats.org/officeDocument/2006/relationships/image" Target="/xl/media/image7344.jpg" Id="Re361c77d0f20451a" /><Relationship Type="http://schemas.openxmlformats.org/officeDocument/2006/relationships/image" Target="/xl/media/image7345.jpg" Id="R6b805eebd79c49b9" /><Relationship Type="http://schemas.openxmlformats.org/officeDocument/2006/relationships/image" Target="/xl/media/image7346.jpg" Id="R58445c57819441bb" /><Relationship Type="http://schemas.openxmlformats.org/officeDocument/2006/relationships/image" Target="/xl/media/image7347.jpg" Id="Rd3dee552ab0c4f9b" /><Relationship Type="http://schemas.openxmlformats.org/officeDocument/2006/relationships/image" Target="/xl/media/image7348.jpg" Id="R1fd4c0c693604f7c" /><Relationship Type="http://schemas.openxmlformats.org/officeDocument/2006/relationships/image" Target="/xl/media/image7349.jpg" Id="R392085cb8a5e4475" /><Relationship Type="http://schemas.openxmlformats.org/officeDocument/2006/relationships/image" Target="/xl/media/image7350.jpg" Id="Ra1a88af0af1349a3" /><Relationship Type="http://schemas.openxmlformats.org/officeDocument/2006/relationships/image" Target="/xl/media/image7351.jpg" Id="R7ccd87007c9746be" /><Relationship Type="http://schemas.openxmlformats.org/officeDocument/2006/relationships/image" Target="/xl/media/image7352.jpg" Id="Rd174f070bc054eb3" /><Relationship Type="http://schemas.openxmlformats.org/officeDocument/2006/relationships/image" Target="/xl/media/image7353.jpg" Id="R92c417aa646f4760" /><Relationship Type="http://schemas.openxmlformats.org/officeDocument/2006/relationships/image" Target="/xl/media/image7354.jpg" Id="Re0ad4dbb1cbc49d0" /><Relationship Type="http://schemas.openxmlformats.org/officeDocument/2006/relationships/image" Target="/xl/media/image7355.jpg" Id="Ref5211596e5849c8" /><Relationship Type="http://schemas.openxmlformats.org/officeDocument/2006/relationships/image" Target="/xl/media/image7356.jpg" Id="R3940a8027ce947cc" /><Relationship Type="http://schemas.openxmlformats.org/officeDocument/2006/relationships/image" Target="/xl/media/image7357.jpg" Id="R9423e6e3d009426e" /><Relationship Type="http://schemas.openxmlformats.org/officeDocument/2006/relationships/image" Target="/xl/media/image7358.jpg" Id="Rebf9e7bd758644f9" /><Relationship Type="http://schemas.openxmlformats.org/officeDocument/2006/relationships/image" Target="/xl/media/image7359.jpg" Id="Rdcf833dceca5427d" /><Relationship Type="http://schemas.openxmlformats.org/officeDocument/2006/relationships/image" Target="/xl/media/image7360.jpg" Id="R867c21a09b9144c5" /><Relationship Type="http://schemas.openxmlformats.org/officeDocument/2006/relationships/image" Target="/xl/media/image7361.jpg" Id="Rcbfab3d716354e8b" /><Relationship Type="http://schemas.openxmlformats.org/officeDocument/2006/relationships/image" Target="/xl/media/image7362.jpg" Id="R2e8351b5a5e34410" /><Relationship Type="http://schemas.openxmlformats.org/officeDocument/2006/relationships/image" Target="/xl/media/image7363.jpg" Id="R1353474ca7be4098" /><Relationship Type="http://schemas.openxmlformats.org/officeDocument/2006/relationships/image" Target="/xl/media/image7364.jpg" Id="Rd268ee601e6541c7" /><Relationship Type="http://schemas.openxmlformats.org/officeDocument/2006/relationships/image" Target="/xl/media/image7365.jpg" Id="R9e4a3b2aa49542cc" /><Relationship Type="http://schemas.openxmlformats.org/officeDocument/2006/relationships/image" Target="/xl/media/image7366.jpg" Id="Rbe156093adc44c1a" /><Relationship Type="http://schemas.openxmlformats.org/officeDocument/2006/relationships/image" Target="/xl/media/image7367.jpg" Id="R55115e5abdbb4207" /><Relationship Type="http://schemas.openxmlformats.org/officeDocument/2006/relationships/image" Target="/xl/media/image7368.jpg" Id="Rfeb510bcc6044915" /><Relationship Type="http://schemas.openxmlformats.org/officeDocument/2006/relationships/image" Target="/xl/media/image7369.jpg" Id="R8f4e60370b6c4e0f" /><Relationship Type="http://schemas.openxmlformats.org/officeDocument/2006/relationships/image" Target="/xl/media/image7370.jpg" Id="R048f382efb284625" /><Relationship Type="http://schemas.openxmlformats.org/officeDocument/2006/relationships/image" Target="/xl/media/image7371.jpg" Id="Re8fdeb0b2ec84393" /><Relationship Type="http://schemas.openxmlformats.org/officeDocument/2006/relationships/image" Target="/xl/media/image7372.jpg" Id="R34e85e17f4664b53" /><Relationship Type="http://schemas.openxmlformats.org/officeDocument/2006/relationships/image" Target="/xl/media/image7373.jpg" Id="R61a805814a42466f" /><Relationship Type="http://schemas.openxmlformats.org/officeDocument/2006/relationships/image" Target="/xl/media/image7374.jpg" Id="R3ff2d18ff0f54093" /><Relationship Type="http://schemas.openxmlformats.org/officeDocument/2006/relationships/image" Target="/xl/media/image7375.jpg" Id="R23794562500649fc" /><Relationship Type="http://schemas.openxmlformats.org/officeDocument/2006/relationships/image" Target="/xl/media/image7376.jpg" Id="R0fa2dfeb70d44a5e" /><Relationship Type="http://schemas.openxmlformats.org/officeDocument/2006/relationships/image" Target="/xl/media/image7377.jpg" Id="R8028402d8ed844b4" /><Relationship Type="http://schemas.openxmlformats.org/officeDocument/2006/relationships/image" Target="/xl/media/image7378.jpg" Id="Rcdd36eb1a3f84553" /><Relationship Type="http://schemas.openxmlformats.org/officeDocument/2006/relationships/image" Target="/xl/media/image7379.jpg" Id="R64d3d5a9cf9f4204" /><Relationship Type="http://schemas.openxmlformats.org/officeDocument/2006/relationships/image" Target="/xl/media/image7380.jpg" Id="R50daaf44eb344d63" /><Relationship Type="http://schemas.openxmlformats.org/officeDocument/2006/relationships/image" Target="/xl/media/image7381.jpg" Id="R960e5eb38c6e4160" /><Relationship Type="http://schemas.openxmlformats.org/officeDocument/2006/relationships/image" Target="/xl/media/image7382.jpg" Id="R4f07a367dc4447eb" /><Relationship Type="http://schemas.openxmlformats.org/officeDocument/2006/relationships/image" Target="/xl/media/image7383.jpg" Id="Ra24569a900b64bd4" /><Relationship Type="http://schemas.openxmlformats.org/officeDocument/2006/relationships/image" Target="/xl/media/image7384.jpg" Id="Ra076bb15478940d4" /><Relationship Type="http://schemas.openxmlformats.org/officeDocument/2006/relationships/image" Target="/xl/media/image7385.jpg" Id="R4fa3dcc1618c4bed" /><Relationship Type="http://schemas.openxmlformats.org/officeDocument/2006/relationships/image" Target="/xl/media/image7386.jpg" Id="R23581bed25ef4095" /><Relationship Type="http://schemas.openxmlformats.org/officeDocument/2006/relationships/image" Target="/xl/media/image7387.jpg" Id="R85e2eef649b94b58" /><Relationship Type="http://schemas.openxmlformats.org/officeDocument/2006/relationships/image" Target="/xl/media/image7388.jpg" Id="Ra50cd16306374f0b" /><Relationship Type="http://schemas.openxmlformats.org/officeDocument/2006/relationships/image" Target="/xl/media/image7389.jpg" Id="R71d56a1adf534adf" /><Relationship Type="http://schemas.openxmlformats.org/officeDocument/2006/relationships/image" Target="/xl/media/image7390.jpg" Id="R93f3933145c946d7" /><Relationship Type="http://schemas.openxmlformats.org/officeDocument/2006/relationships/image" Target="/xl/media/image7391.jpg" Id="R3ad436b5a8a94b55" /><Relationship Type="http://schemas.openxmlformats.org/officeDocument/2006/relationships/image" Target="/xl/media/image7392.jpg" Id="R2b3f7fc217b54fd7" /><Relationship Type="http://schemas.openxmlformats.org/officeDocument/2006/relationships/image" Target="/xl/media/image7393.jpg" Id="Ra0f279e969784568" /><Relationship Type="http://schemas.openxmlformats.org/officeDocument/2006/relationships/image" Target="/xl/media/image7394.jpg" Id="R64dfd83375ab4639" /><Relationship Type="http://schemas.openxmlformats.org/officeDocument/2006/relationships/image" Target="/xl/media/image7395.jpg" Id="R213d3c7145c149f9" /><Relationship Type="http://schemas.openxmlformats.org/officeDocument/2006/relationships/image" Target="/xl/media/image7396.jpg" Id="R4e5ea40d2606419e" /><Relationship Type="http://schemas.openxmlformats.org/officeDocument/2006/relationships/image" Target="/xl/media/image7397.jpg" Id="R7ba93bf8af184242" /><Relationship Type="http://schemas.openxmlformats.org/officeDocument/2006/relationships/image" Target="/xl/media/image7398.jpg" Id="R93d6f57ca5d84668" /><Relationship Type="http://schemas.openxmlformats.org/officeDocument/2006/relationships/image" Target="/xl/media/image7399.jpg" Id="Rd51142d9bda24033" /><Relationship Type="http://schemas.openxmlformats.org/officeDocument/2006/relationships/image" Target="/xl/media/image7400.jpg" Id="Ra4ad1ca412c040f6" /><Relationship Type="http://schemas.openxmlformats.org/officeDocument/2006/relationships/image" Target="/xl/media/image7401.jpg" Id="Red9b2849581b4efc" /><Relationship Type="http://schemas.openxmlformats.org/officeDocument/2006/relationships/image" Target="/xl/media/image7402.jpg" Id="Ra0be4e4ea7114b70" /><Relationship Type="http://schemas.openxmlformats.org/officeDocument/2006/relationships/image" Target="/xl/media/image7403.jpg" Id="R67ccead0d7b4418b" /><Relationship Type="http://schemas.openxmlformats.org/officeDocument/2006/relationships/image" Target="/xl/media/image7404.jpg" Id="R37d40aa0cecc4b51" /><Relationship Type="http://schemas.openxmlformats.org/officeDocument/2006/relationships/image" Target="/xl/media/image7405.jpg" Id="R8be7c35a2a754209" /><Relationship Type="http://schemas.openxmlformats.org/officeDocument/2006/relationships/image" Target="/xl/media/image7406.jpg" Id="Re62416f575e44d04" /><Relationship Type="http://schemas.openxmlformats.org/officeDocument/2006/relationships/image" Target="/xl/media/image7407.jpg" Id="Ra8a1ca70e9ae4786" /><Relationship Type="http://schemas.openxmlformats.org/officeDocument/2006/relationships/image" Target="/xl/media/image7408.jpg" Id="R470b9ea38fbc42ae" /><Relationship Type="http://schemas.openxmlformats.org/officeDocument/2006/relationships/image" Target="/xl/media/image7409.jpg" Id="Rf3bad49f05c9491e" /><Relationship Type="http://schemas.openxmlformats.org/officeDocument/2006/relationships/image" Target="/xl/media/image7410.jpg" Id="Rf8f8291ad01849c5" /><Relationship Type="http://schemas.openxmlformats.org/officeDocument/2006/relationships/image" Target="/xl/media/image7411.jpg" Id="R50614074ebbb49e6" /><Relationship Type="http://schemas.openxmlformats.org/officeDocument/2006/relationships/image" Target="/xl/media/image7412.jpg" Id="R379e85db5b0f48e1" /><Relationship Type="http://schemas.openxmlformats.org/officeDocument/2006/relationships/image" Target="/xl/media/image7413.jpg" Id="Rac96eb8a19d94796" /><Relationship Type="http://schemas.openxmlformats.org/officeDocument/2006/relationships/image" Target="/xl/media/image7414.jpg" Id="Rb872900b9a12454a" /><Relationship Type="http://schemas.openxmlformats.org/officeDocument/2006/relationships/image" Target="/xl/media/image7415.jpg" Id="Rc9b0f468344241c9" /><Relationship Type="http://schemas.openxmlformats.org/officeDocument/2006/relationships/image" Target="/xl/media/image7416.jpg" Id="Racba0186c5594555" /><Relationship Type="http://schemas.openxmlformats.org/officeDocument/2006/relationships/image" Target="/xl/media/image7417.jpg" Id="R1881644be1c34ff2" /><Relationship Type="http://schemas.openxmlformats.org/officeDocument/2006/relationships/image" Target="/xl/media/image7418.jpg" Id="R993d85c436364477" /><Relationship Type="http://schemas.openxmlformats.org/officeDocument/2006/relationships/image" Target="/xl/media/image7419.jpg" Id="R7dbc80f5a590421d" /><Relationship Type="http://schemas.openxmlformats.org/officeDocument/2006/relationships/image" Target="/xl/media/image7420.jpg" Id="R22538ea38bd444f5" /><Relationship Type="http://schemas.openxmlformats.org/officeDocument/2006/relationships/image" Target="/xl/media/image7421.jpg" Id="R0cb197900d7f4081" /><Relationship Type="http://schemas.openxmlformats.org/officeDocument/2006/relationships/image" Target="/xl/media/image7422.jpg" Id="R79754f2901c64451" /><Relationship Type="http://schemas.openxmlformats.org/officeDocument/2006/relationships/image" Target="/xl/media/image7423.jpg" Id="R649bceb5a947400b" /><Relationship Type="http://schemas.openxmlformats.org/officeDocument/2006/relationships/image" Target="/xl/media/image7424.jpg" Id="R4c8e6ae68c094e57" /><Relationship Type="http://schemas.openxmlformats.org/officeDocument/2006/relationships/image" Target="/xl/media/image7425.jpg" Id="R4433a3c703984096" /><Relationship Type="http://schemas.openxmlformats.org/officeDocument/2006/relationships/image" Target="/xl/media/image7426.jpg" Id="R9a8fa764b57a4bf1" /><Relationship Type="http://schemas.openxmlformats.org/officeDocument/2006/relationships/image" Target="/xl/media/image7427.jpg" Id="Rde780cf942ca4d39" /><Relationship Type="http://schemas.openxmlformats.org/officeDocument/2006/relationships/image" Target="/xl/media/image7428.jpg" Id="R67cfb9f23ca44bd8" /><Relationship Type="http://schemas.openxmlformats.org/officeDocument/2006/relationships/image" Target="/xl/media/image7429.jpg" Id="R2a327828716e4e6b" /><Relationship Type="http://schemas.openxmlformats.org/officeDocument/2006/relationships/image" Target="/xl/media/image7430.jpg" Id="Rd0db8fa8da014991" /><Relationship Type="http://schemas.openxmlformats.org/officeDocument/2006/relationships/image" Target="/xl/media/image7431.jpg" Id="R07196d5c71df4277" /><Relationship Type="http://schemas.openxmlformats.org/officeDocument/2006/relationships/image" Target="/xl/media/image7432.jpg" Id="R12414496420e4147" /><Relationship Type="http://schemas.openxmlformats.org/officeDocument/2006/relationships/image" Target="/xl/media/image7433.jpg" Id="Rbc5a031e4e0b412c" /><Relationship Type="http://schemas.openxmlformats.org/officeDocument/2006/relationships/image" Target="/xl/media/image7434.jpg" Id="R1eaccc5ab7e8427e" /><Relationship Type="http://schemas.openxmlformats.org/officeDocument/2006/relationships/image" Target="/xl/media/image7435.jpg" Id="R5c1f7a48ed2e4cf5" /><Relationship Type="http://schemas.openxmlformats.org/officeDocument/2006/relationships/image" Target="/xl/media/image7436.jpg" Id="R6896be95862645d3" /><Relationship Type="http://schemas.openxmlformats.org/officeDocument/2006/relationships/image" Target="/xl/media/image7437.jpg" Id="Re365d31c59744fa8" /><Relationship Type="http://schemas.openxmlformats.org/officeDocument/2006/relationships/image" Target="/xl/media/image7438.jpg" Id="R22cd41ab19c1418b" /><Relationship Type="http://schemas.openxmlformats.org/officeDocument/2006/relationships/image" Target="/xl/media/image7439.jpg" Id="R8a296534d79249c5" /><Relationship Type="http://schemas.openxmlformats.org/officeDocument/2006/relationships/image" Target="/xl/media/image7440.jpg" Id="Rfb67a21b7530411c" /><Relationship Type="http://schemas.openxmlformats.org/officeDocument/2006/relationships/image" Target="/xl/media/image7441.jpg" Id="Rb0b8191247764553" /><Relationship Type="http://schemas.openxmlformats.org/officeDocument/2006/relationships/image" Target="/xl/media/image7442.jpg" Id="R45e04e477ff24e7d" /><Relationship Type="http://schemas.openxmlformats.org/officeDocument/2006/relationships/image" Target="/xl/media/image7443.jpg" Id="R52227399d3384604" /><Relationship Type="http://schemas.openxmlformats.org/officeDocument/2006/relationships/image" Target="/xl/media/image7444.jpg" Id="Rb317f735c8ca4071" /><Relationship Type="http://schemas.openxmlformats.org/officeDocument/2006/relationships/image" Target="/xl/media/image7445.jpg" Id="R4e05c8952e574d8e" /><Relationship Type="http://schemas.openxmlformats.org/officeDocument/2006/relationships/image" Target="/xl/media/image7446.jpg" Id="R2e9aa1bcf4314fa4" /><Relationship Type="http://schemas.openxmlformats.org/officeDocument/2006/relationships/image" Target="/xl/media/image7447.jpg" Id="Re8b93abe37814cb6" /><Relationship Type="http://schemas.openxmlformats.org/officeDocument/2006/relationships/image" Target="/xl/media/image7448.jpg" Id="Rf08a5a07749e4a2e" /><Relationship Type="http://schemas.openxmlformats.org/officeDocument/2006/relationships/image" Target="/xl/media/image7449.jpg" Id="Red653905c0344cc0" /><Relationship Type="http://schemas.openxmlformats.org/officeDocument/2006/relationships/image" Target="/xl/media/image7450.jpg" Id="R97d251ca6f79441b" /><Relationship Type="http://schemas.openxmlformats.org/officeDocument/2006/relationships/image" Target="/xl/media/image7451.jpg" Id="Rabd39e0c50864569" /><Relationship Type="http://schemas.openxmlformats.org/officeDocument/2006/relationships/image" Target="/xl/media/image7452.jpg" Id="R583d0cc4dfaf43a3" /><Relationship Type="http://schemas.openxmlformats.org/officeDocument/2006/relationships/image" Target="/xl/media/image7453.jpg" Id="Reeac2c4cf56f47ea" /><Relationship Type="http://schemas.openxmlformats.org/officeDocument/2006/relationships/image" Target="/xl/media/image7454.jpg" Id="R4ec20383a8af4f93" /><Relationship Type="http://schemas.openxmlformats.org/officeDocument/2006/relationships/image" Target="/xl/media/image7455.jpg" Id="R1779cfd7e02649d0" /><Relationship Type="http://schemas.openxmlformats.org/officeDocument/2006/relationships/image" Target="/xl/media/image7456.jpg" Id="Rce6adc603af3484b" /><Relationship Type="http://schemas.openxmlformats.org/officeDocument/2006/relationships/image" Target="/xl/media/image7457.jpg" Id="R63ba0501432444c1" /><Relationship Type="http://schemas.openxmlformats.org/officeDocument/2006/relationships/image" Target="/xl/media/image7458.jpg" Id="R361423d2516546f4" /><Relationship Type="http://schemas.openxmlformats.org/officeDocument/2006/relationships/image" Target="/xl/media/image7459.jpg" Id="R6d61cb725c8a4d63" /><Relationship Type="http://schemas.openxmlformats.org/officeDocument/2006/relationships/image" Target="/xl/media/image7460.jpg" Id="R08e60cad5585456c" /><Relationship Type="http://schemas.openxmlformats.org/officeDocument/2006/relationships/image" Target="/xl/media/image7461.jpg" Id="R2c628a4721a44829" /><Relationship Type="http://schemas.openxmlformats.org/officeDocument/2006/relationships/image" Target="/xl/media/image7462.jpg" Id="R52a9d0439ddf4dc0" /><Relationship Type="http://schemas.openxmlformats.org/officeDocument/2006/relationships/image" Target="/xl/media/image7463.jpg" Id="R2c1fa6f07f774b52" /><Relationship Type="http://schemas.openxmlformats.org/officeDocument/2006/relationships/image" Target="/xl/media/image7464.jpg" Id="Ra3a61616946d4765" /><Relationship Type="http://schemas.openxmlformats.org/officeDocument/2006/relationships/image" Target="/xl/media/image7465.jpg" Id="R1074203298324be6" /><Relationship Type="http://schemas.openxmlformats.org/officeDocument/2006/relationships/image" Target="/xl/media/image7466.jpg" Id="R0626c122fc714a55" /><Relationship Type="http://schemas.openxmlformats.org/officeDocument/2006/relationships/image" Target="/xl/media/image7467.jpg" Id="R1055412ecb6e4e0a" /><Relationship Type="http://schemas.openxmlformats.org/officeDocument/2006/relationships/image" Target="/xl/media/image7468.jpg" Id="Rbf9a331fc06246f8" /><Relationship Type="http://schemas.openxmlformats.org/officeDocument/2006/relationships/image" Target="/xl/media/image7469.jpg" Id="R6275503312814abb" /><Relationship Type="http://schemas.openxmlformats.org/officeDocument/2006/relationships/image" Target="/xl/media/image7470.jpg" Id="Rbef320a26e2c410a" /><Relationship Type="http://schemas.openxmlformats.org/officeDocument/2006/relationships/image" Target="/xl/media/image7471.jpg" Id="R53b1547ebaee4ec7" /><Relationship Type="http://schemas.openxmlformats.org/officeDocument/2006/relationships/image" Target="/xl/media/image7472.jpg" Id="R4681726d067040bd" /><Relationship Type="http://schemas.openxmlformats.org/officeDocument/2006/relationships/image" Target="/xl/media/image7473.jpg" Id="R6fa38efaa2b546b2" /><Relationship Type="http://schemas.openxmlformats.org/officeDocument/2006/relationships/image" Target="/xl/media/image7474.jpg" Id="R5c1063c8ea0d4574" /><Relationship Type="http://schemas.openxmlformats.org/officeDocument/2006/relationships/image" Target="/xl/media/image7475.jpg" Id="R95c36eaeba464d34" /><Relationship Type="http://schemas.openxmlformats.org/officeDocument/2006/relationships/image" Target="/xl/media/image7476.jpg" Id="Ra32df4096fc94820" /><Relationship Type="http://schemas.openxmlformats.org/officeDocument/2006/relationships/image" Target="/xl/media/image7477.jpg" Id="Rfb40508540d84123" /><Relationship Type="http://schemas.openxmlformats.org/officeDocument/2006/relationships/image" Target="/xl/media/image7478.jpg" Id="R9b844fdd1da843c6" /><Relationship Type="http://schemas.openxmlformats.org/officeDocument/2006/relationships/image" Target="/xl/media/image7479.jpg" Id="R6bf03a440cc04854" /><Relationship Type="http://schemas.openxmlformats.org/officeDocument/2006/relationships/image" Target="/xl/media/image7480.jpg" Id="R04312e0595a54354" /><Relationship Type="http://schemas.openxmlformats.org/officeDocument/2006/relationships/image" Target="/xl/media/image7481.jpg" Id="Raa89dfbc2cde4417" /><Relationship Type="http://schemas.openxmlformats.org/officeDocument/2006/relationships/image" Target="/xl/media/image7482.jpg" Id="R4410fa9e56384ce0" /><Relationship Type="http://schemas.openxmlformats.org/officeDocument/2006/relationships/image" Target="/xl/media/image7483.jpg" Id="Rbac9dddd70634d26" /><Relationship Type="http://schemas.openxmlformats.org/officeDocument/2006/relationships/image" Target="/xl/media/image7484.jpg" Id="R34aac74dadc147e9" /><Relationship Type="http://schemas.openxmlformats.org/officeDocument/2006/relationships/image" Target="/xl/media/image7485.jpg" Id="R777477f1776640a8" /><Relationship Type="http://schemas.openxmlformats.org/officeDocument/2006/relationships/image" Target="/xl/media/image7486.jpg" Id="Ra2f6ab147da842fa" /><Relationship Type="http://schemas.openxmlformats.org/officeDocument/2006/relationships/image" Target="/xl/media/image7487.jpg" Id="Rf1941931ffe44eb0" /><Relationship Type="http://schemas.openxmlformats.org/officeDocument/2006/relationships/image" Target="/xl/media/image7488.jpg" Id="Rdfbe6fd668104103" /><Relationship Type="http://schemas.openxmlformats.org/officeDocument/2006/relationships/image" Target="/xl/media/image7489.jpg" Id="R25897d045d114c3f" /><Relationship Type="http://schemas.openxmlformats.org/officeDocument/2006/relationships/image" Target="/xl/media/image7490.jpg" Id="Ra8e74326f63b42c0" /><Relationship Type="http://schemas.openxmlformats.org/officeDocument/2006/relationships/image" Target="/xl/media/image7491.jpg" Id="Rd40dc04f24194ee3" /><Relationship Type="http://schemas.openxmlformats.org/officeDocument/2006/relationships/image" Target="/xl/media/image7492.jpg" Id="R95e4153e929c4273" /><Relationship Type="http://schemas.openxmlformats.org/officeDocument/2006/relationships/image" Target="/xl/media/image7493.jpg" Id="R1b716ff3f9d74c27" /><Relationship Type="http://schemas.openxmlformats.org/officeDocument/2006/relationships/image" Target="/xl/media/image7494.jpg" Id="Rdd32ac01c1f24dc9" /><Relationship Type="http://schemas.openxmlformats.org/officeDocument/2006/relationships/image" Target="/xl/media/image7495.jpg" Id="Rd4d9cb4482cd4500" /><Relationship Type="http://schemas.openxmlformats.org/officeDocument/2006/relationships/image" Target="/xl/media/image7496.jpg" Id="Ra6100848a4184e03" /><Relationship Type="http://schemas.openxmlformats.org/officeDocument/2006/relationships/image" Target="/xl/media/image7497.jpg" Id="Rdaf0b79f2a9e4f5b" /><Relationship Type="http://schemas.openxmlformats.org/officeDocument/2006/relationships/image" Target="/xl/media/image7498.jpg" Id="R36695f6d115c4b8e" /><Relationship Type="http://schemas.openxmlformats.org/officeDocument/2006/relationships/image" Target="/xl/media/image7499.jpg" Id="R40ed19dbf8874c51" /><Relationship Type="http://schemas.openxmlformats.org/officeDocument/2006/relationships/image" Target="/xl/media/image7500.jpg" Id="Rc88b97a42230473c" /><Relationship Type="http://schemas.openxmlformats.org/officeDocument/2006/relationships/image" Target="/xl/media/image7501.jpg" Id="Rd32c6aa722ba43e6" /><Relationship Type="http://schemas.openxmlformats.org/officeDocument/2006/relationships/image" Target="/xl/media/image7502.jpg" Id="R10927101181a498f" /><Relationship Type="http://schemas.openxmlformats.org/officeDocument/2006/relationships/image" Target="/xl/media/image7503.jpg" Id="R41747ee1891444dc" /><Relationship Type="http://schemas.openxmlformats.org/officeDocument/2006/relationships/image" Target="/xl/media/image7504.jpg" Id="R510458c65b3c4d3e" /><Relationship Type="http://schemas.openxmlformats.org/officeDocument/2006/relationships/image" Target="/xl/media/image7505.jpg" Id="Rac7185ed7cac4147" /><Relationship Type="http://schemas.openxmlformats.org/officeDocument/2006/relationships/image" Target="/xl/media/image7506.jpg" Id="Rdf4a55ee9ec841d6" /><Relationship Type="http://schemas.openxmlformats.org/officeDocument/2006/relationships/image" Target="/xl/media/image7507.jpg" Id="R12004a389d36452f" /><Relationship Type="http://schemas.openxmlformats.org/officeDocument/2006/relationships/image" Target="/xl/media/image7508.jpg" Id="Rf82d4dd7b51d4692" /><Relationship Type="http://schemas.openxmlformats.org/officeDocument/2006/relationships/image" Target="/xl/media/image7509.jpg" Id="R81c878f579ba40e1" /><Relationship Type="http://schemas.openxmlformats.org/officeDocument/2006/relationships/image" Target="/xl/media/image7510.jpg" Id="Rcad22415e3a34138" /><Relationship Type="http://schemas.openxmlformats.org/officeDocument/2006/relationships/image" Target="/xl/media/image7511.jpg" Id="Rd2f49a6435284c8f" /><Relationship Type="http://schemas.openxmlformats.org/officeDocument/2006/relationships/image" Target="/xl/media/image7512.jpg" Id="R5c48b4b1c35a4206" /><Relationship Type="http://schemas.openxmlformats.org/officeDocument/2006/relationships/image" Target="/xl/media/image7513.jpg" Id="Rdb4cf5ea36d1470b" /><Relationship Type="http://schemas.openxmlformats.org/officeDocument/2006/relationships/image" Target="/xl/media/image7514.jpg" Id="R50d1364bb0ef4b19" /><Relationship Type="http://schemas.openxmlformats.org/officeDocument/2006/relationships/image" Target="/xl/media/image7515.jpg" Id="R7a1af45bc03d4443" /><Relationship Type="http://schemas.openxmlformats.org/officeDocument/2006/relationships/image" Target="/xl/media/image7516.jpg" Id="R719d7af53ca64813" /><Relationship Type="http://schemas.openxmlformats.org/officeDocument/2006/relationships/image" Target="/xl/media/image7517.jpg" Id="Reb38704a681b4aea" /><Relationship Type="http://schemas.openxmlformats.org/officeDocument/2006/relationships/image" Target="/xl/media/image7518.jpg" Id="Rce93045444e94657" /><Relationship Type="http://schemas.openxmlformats.org/officeDocument/2006/relationships/image" Target="/xl/media/image7519.jpg" Id="Rac8aa72f9fc94e77" /><Relationship Type="http://schemas.openxmlformats.org/officeDocument/2006/relationships/image" Target="/xl/media/image7520.jpg" Id="Re81d5f133ab44c65" /><Relationship Type="http://schemas.openxmlformats.org/officeDocument/2006/relationships/image" Target="/xl/media/image7521.jpg" Id="Rc0dfc52d888d45f4" /><Relationship Type="http://schemas.openxmlformats.org/officeDocument/2006/relationships/image" Target="/xl/media/image7522.jpg" Id="R8e726b28b4c04946" /><Relationship Type="http://schemas.openxmlformats.org/officeDocument/2006/relationships/image" Target="/xl/media/image7523.jpg" Id="R431e3b48a90e47cb" /><Relationship Type="http://schemas.openxmlformats.org/officeDocument/2006/relationships/image" Target="/xl/media/image7524.jpg" Id="R3f704ed0056b4404" /><Relationship Type="http://schemas.openxmlformats.org/officeDocument/2006/relationships/image" Target="/xl/media/image7525.jpg" Id="Rc544b869c180456b" /><Relationship Type="http://schemas.openxmlformats.org/officeDocument/2006/relationships/image" Target="/xl/media/image7526.jpg" Id="Race494a7a64f40e7" /><Relationship Type="http://schemas.openxmlformats.org/officeDocument/2006/relationships/image" Target="/xl/media/image7527.jpg" Id="R7fa58d0611634bd0" /><Relationship Type="http://schemas.openxmlformats.org/officeDocument/2006/relationships/image" Target="/xl/media/image7528.jpg" Id="R5eab1d73dea245e1" /><Relationship Type="http://schemas.openxmlformats.org/officeDocument/2006/relationships/image" Target="/xl/media/image7529.jpg" Id="R250ff7647a1849cb" /><Relationship Type="http://schemas.openxmlformats.org/officeDocument/2006/relationships/image" Target="/xl/media/image7530.jpg" Id="R9651428cd45c48fd" /><Relationship Type="http://schemas.openxmlformats.org/officeDocument/2006/relationships/image" Target="/xl/media/image7531.jpg" Id="R5ca0e9cd2e5d45b1" /><Relationship Type="http://schemas.openxmlformats.org/officeDocument/2006/relationships/image" Target="/xl/media/image7532.jpg" Id="Rfe699a6f58f14b21" /><Relationship Type="http://schemas.openxmlformats.org/officeDocument/2006/relationships/image" Target="/xl/media/image7533.jpg" Id="R1ff45afc7e244c06" /><Relationship Type="http://schemas.openxmlformats.org/officeDocument/2006/relationships/image" Target="/xl/media/image7534.jpg" Id="R433acba71d144c84" /><Relationship Type="http://schemas.openxmlformats.org/officeDocument/2006/relationships/image" Target="/xl/media/image7535.jpg" Id="Rd320a1b8caf34bee" /><Relationship Type="http://schemas.openxmlformats.org/officeDocument/2006/relationships/image" Target="/xl/media/image7536.jpg" Id="Rbc4cc50b1ef14890" /><Relationship Type="http://schemas.openxmlformats.org/officeDocument/2006/relationships/image" Target="/xl/media/image7537.jpg" Id="R95c7434461da40c1" /><Relationship Type="http://schemas.openxmlformats.org/officeDocument/2006/relationships/image" Target="/xl/media/image7538.jpg" Id="Rbfa4389458354f56" /><Relationship Type="http://schemas.openxmlformats.org/officeDocument/2006/relationships/image" Target="/xl/media/image7539.jpg" Id="Rd4a44aeb6d8e44d7" /><Relationship Type="http://schemas.openxmlformats.org/officeDocument/2006/relationships/image" Target="/xl/media/image7540.jpg" Id="R17ee4dc714014b48" /><Relationship Type="http://schemas.openxmlformats.org/officeDocument/2006/relationships/image" Target="/xl/media/image7541.jpg" Id="Rbab8357944194909" /><Relationship Type="http://schemas.openxmlformats.org/officeDocument/2006/relationships/image" Target="/xl/media/image7542.jpg" Id="R6714c15b09de4aa3" /><Relationship Type="http://schemas.openxmlformats.org/officeDocument/2006/relationships/image" Target="/xl/media/image7543.jpg" Id="R6bff606474b14a22" /><Relationship Type="http://schemas.openxmlformats.org/officeDocument/2006/relationships/image" Target="/xl/media/image7544.jpg" Id="R0f70a877bc3540fd" /><Relationship Type="http://schemas.openxmlformats.org/officeDocument/2006/relationships/image" Target="/xl/media/image7545.jpg" Id="Raa8cc847370d4907" /><Relationship Type="http://schemas.openxmlformats.org/officeDocument/2006/relationships/image" Target="/xl/media/image7546.jpg" Id="R3e41a89e06c54f9a" /><Relationship Type="http://schemas.openxmlformats.org/officeDocument/2006/relationships/image" Target="/xl/media/image7547.jpg" Id="R47a530be74b54a3a" /><Relationship Type="http://schemas.openxmlformats.org/officeDocument/2006/relationships/image" Target="/xl/media/image7548.jpg" Id="Rb675f91923eb493a" /><Relationship Type="http://schemas.openxmlformats.org/officeDocument/2006/relationships/image" Target="/xl/media/image7549.jpg" Id="R1e468f9374544b1d" /><Relationship Type="http://schemas.openxmlformats.org/officeDocument/2006/relationships/image" Target="/xl/media/image7550.jpg" Id="Rcb411aa1b5474d31" /><Relationship Type="http://schemas.openxmlformats.org/officeDocument/2006/relationships/image" Target="/xl/media/image7551.jpg" Id="R479bdffbfb4c4b39" /><Relationship Type="http://schemas.openxmlformats.org/officeDocument/2006/relationships/image" Target="/xl/media/image7552.jpg" Id="R0e5e94403a994e1a" /><Relationship Type="http://schemas.openxmlformats.org/officeDocument/2006/relationships/image" Target="/xl/media/image7553.jpg" Id="R985162dd450a4216" /><Relationship Type="http://schemas.openxmlformats.org/officeDocument/2006/relationships/image" Target="/xl/media/image7554.jpg" Id="R4c7b9a0a17d04ea8" /><Relationship Type="http://schemas.openxmlformats.org/officeDocument/2006/relationships/image" Target="/xl/media/image7555.jpg" Id="Rf2e6d706fc8d4914" /><Relationship Type="http://schemas.openxmlformats.org/officeDocument/2006/relationships/image" Target="/xl/media/image7556.jpg" Id="Re5521eb4c9d24917" /><Relationship Type="http://schemas.openxmlformats.org/officeDocument/2006/relationships/image" Target="/xl/media/image7557.jpg" Id="Rb71065a15a164709" /><Relationship Type="http://schemas.openxmlformats.org/officeDocument/2006/relationships/image" Target="/xl/media/image7558.jpg" Id="R91d41808eabd4373" /><Relationship Type="http://schemas.openxmlformats.org/officeDocument/2006/relationships/image" Target="/xl/media/image7559.jpg" Id="Re14878e0ee7f4589" /><Relationship Type="http://schemas.openxmlformats.org/officeDocument/2006/relationships/image" Target="/xl/media/image7560.jpg" Id="Rfaab46cc16c94281" /><Relationship Type="http://schemas.openxmlformats.org/officeDocument/2006/relationships/image" Target="/xl/media/image7561.jpg" Id="R16c87ca4b03a4516" /><Relationship Type="http://schemas.openxmlformats.org/officeDocument/2006/relationships/image" Target="/xl/media/image7562.jpg" Id="Rb7607f86314d4324" /><Relationship Type="http://schemas.openxmlformats.org/officeDocument/2006/relationships/image" Target="/xl/media/image7563.jpg" Id="R376413945dee4ac2" /><Relationship Type="http://schemas.openxmlformats.org/officeDocument/2006/relationships/image" Target="/xl/media/image7564.jpg" Id="Recc8a90b3163452d" /><Relationship Type="http://schemas.openxmlformats.org/officeDocument/2006/relationships/image" Target="/xl/media/image7565.jpg" Id="R598c766091474f30" /><Relationship Type="http://schemas.openxmlformats.org/officeDocument/2006/relationships/image" Target="/xl/media/image7566.jpg" Id="R3e04571d21d34c80" /><Relationship Type="http://schemas.openxmlformats.org/officeDocument/2006/relationships/image" Target="/xl/media/image7567.jpg" Id="R734e7d171a354c0f" /><Relationship Type="http://schemas.openxmlformats.org/officeDocument/2006/relationships/image" Target="/xl/media/image7568.jpg" Id="Rcdc0161b67d6426f" /><Relationship Type="http://schemas.openxmlformats.org/officeDocument/2006/relationships/image" Target="/xl/media/image7569.jpg" Id="Rc8ad2957371341db" /><Relationship Type="http://schemas.openxmlformats.org/officeDocument/2006/relationships/image" Target="/xl/media/image7570.jpg" Id="R1685cdc339da4665" /><Relationship Type="http://schemas.openxmlformats.org/officeDocument/2006/relationships/image" Target="/xl/media/image7571.jpg" Id="Rd45d4c1cc3844bc1" /><Relationship Type="http://schemas.openxmlformats.org/officeDocument/2006/relationships/image" Target="/xl/media/image7572.jpg" Id="R724a941d69df4d6f" /><Relationship Type="http://schemas.openxmlformats.org/officeDocument/2006/relationships/image" Target="/xl/media/image7573.jpg" Id="R29dbc7c025a94c9b" /><Relationship Type="http://schemas.openxmlformats.org/officeDocument/2006/relationships/image" Target="/xl/media/image7574.jpg" Id="R7026371d4fd64f71" /><Relationship Type="http://schemas.openxmlformats.org/officeDocument/2006/relationships/image" Target="/xl/media/image7575.jpg" Id="R38caa55559144330" /><Relationship Type="http://schemas.openxmlformats.org/officeDocument/2006/relationships/image" Target="/xl/media/image7576.jpg" Id="Ref757fb0ceed4028" /><Relationship Type="http://schemas.openxmlformats.org/officeDocument/2006/relationships/image" Target="/xl/media/image7577.jpg" Id="R1f6e7d49c4fb40d2" /><Relationship Type="http://schemas.openxmlformats.org/officeDocument/2006/relationships/image" Target="/xl/media/image7578.jpg" Id="R6a1f904af6024822" /><Relationship Type="http://schemas.openxmlformats.org/officeDocument/2006/relationships/image" Target="/xl/media/image7579.jpg" Id="R159cecd471ef4dad" /><Relationship Type="http://schemas.openxmlformats.org/officeDocument/2006/relationships/image" Target="/xl/media/image7580.jpg" Id="Rd8feece59aa74444" /><Relationship Type="http://schemas.openxmlformats.org/officeDocument/2006/relationships/image" Target="/xl/media/image7581.jpg" Id="R44f8985fd08e446d" /><Relationship Type="http://schemas.openxmlformats.org/officeDocument/2006/relationships/image" Target="/xl/media/image7582.jpg" Id="R2783a9fec20a4859" /><Relationship Type="http://schemas.openxmlformats.org/officeDocument/2006/relationships/image" Target="/xl/media/image7583.jpg" Id="R9e7fda4f1d5144a7" /><Relationship Type="http://schemas.openxmlformats.org/officeDocument/2006/relationships/image" Target="/xl/media/image7584.jpg" Id="R0957cd674f7846bc" /><Relationship Type="http://schemas.openxmlformats.org/officeDocument/2006/relationships/image" Target="/xl/media/image7585.jpg" Id="R4dd337256cd64fe0" /><Relationship Type="http://schemas.openxmlformats.org/officeDocument/2006/relationships/image" Target="/xl/media/image7586.jpg" Id="R595ca23ea86e4f19" /><Relationship Type="http://schemas.openxmlformats.org/officeDocument/2006/relationships/image" Target="/xl/media/image7587.jpg" Id="Re18c1cb711fe4597" /><Relationship Type="http://schemas.openxmlformats.org/officeDocument/2006/relationships/image" Target="/xl/media/image7588.jpg" Id="R4eae2504cd9a4ca0" /><Relationship Type="http://schemas.openxmlformats.org/officeDocument/2006/relationships/image" Target="/xl/media/image7589.jpg" Id="Rc8c1fc9b77e340f1" /><Relationship Type="http://schemas.openxmlformats.org/officeDocument/2006/relationships/image" Target="/xl/media/image7590.jpg" Id="R34dbe6bc86e04132" /><Relationship Type="http://schemas.openxmlformats.org/officeDocument/2006/relationships/image" Target="/xl/media/image7591.jpg" Id="Rdd91e9d556ab4692" /><Relationship Type="http://schemas.openxmlformats.org/officeDocument/2006/relationships/image" Target="/xl/media/image7592.jpg" Id="R40871f2f3d9a445e" /><Relationship Type="http://schemas.openxmlformats.org/officeDocument/2006/relationships/image" Target="/xl/media/image7593.jpg" Id="R8f866ba895814271" /><Relationship Type="http://schemas.openxmlformats.org/officeDocument/2006/relationships/image" Target="/xl/media/image7594.jpg" Id="Rafc5be8fc7434550" /><Relationship Type="http://schemas.openxmlformats.org/officeDocument/2006/relationships/image" Target="/xl/media/image7595.jpg" Id="Radece87147be48e8" /><Relationship Type="http://schemas.openxmlformats.org/officeDocument/2006/relationships/image" Target="/xl/media/image7596.jpg" Id="R6f5a2d5db809427e" /><Relationship Type="http://schemas.openxmlformats.org/officeDocument/2006/relationships/image" Target="/xl/media/image7597.jpg" Id="Rc779df760c714277" /><Relationship Type="http://schemas.openxmlformats.org/officeDocument/2006/relationships/image" Target="/xl/media/image7598.jpg" Id="R0dcf41d0a48a40d3" /><Relationship Type="http://schemas.openxmlformats.org/officeDocument/2006/relationships/image" Target="/xl/media/image7599.jpg" Id="Ra91b04972687448c" /><Relationship Type="http://schemas.openxmlformats.org/officeDocument/2006/relationships/image" Target="/xl/media/image7600.jpg" Id="Rb44e4fca487445b6" /><Relationship Type="http://schemas.openxmlformats.org/officeDocument/2006/relationships/image" Target="/xl/media/image7601.jpg" Id="R15326486bf2c4ad5" /><Relationship Type="http://schemas.openxmlformats.org/officeDocument/2006/relationships/image" Target="/xl/media/image7602.jpg" Id="R0b0e19d4355e4011" /><Relationship Type="http://schemas.openxmlformats.org/officeDocument/2006/relationships/image" Target="/xl/media/image7603.jpg" Id="R5c1cf408537844ab" /><Relationship Type="http://schemas.openxmlformats.org/officeDocument/2006/relationships/image" Target="/xl/media/image7604.jpg" Id="R411eaa91bc8640a7" /><Relationship Type="http://schemas.openxmlformats.org/officeDocument/2006/relationships/image" Target="/xl/media/image7605.jpg" Id="R379c05926a894dd8" /><Relationship Type="http://schemas.openxmlformats.org/officeDocument/2006/relationships/image" Target="/xl/media/image7606.jpg" Id="Re0b1dffaf28c4140" /><Relationship Type="http://schemas.openxmlformats.org/officeDocument/2006/relationships/image" Target="/xl/media/image7607.jpg" Id="R0366bab3063f4b1d" /><Relationship Type="http://schemas.openxmlformats.org/officeDocument/2006/relationships/image" Target="/xl/media/image7608.jpg" Id="Rab64564c9db94f6f" /><Relationship Type="http://schemas.openxmlformats.org/officeDocument/2006/relationships/image" Target="/xl/media/image7609.jpg" Id="R5b1ec2d94e9249bf" /><Relationship Type="http://schemas.openxmlformats.org/officeDocument/2006/relationships/image" Target="/xl/media/image7610.jpg" Id="Re96694eafb0b40d8" /><Relationship Type="http://schemas.openxmlformats.org/officeDocument/2006/relationships/image" Target="/xl/media/image7611.jpg" Id="R5a0ab783c3a7449e" /><Relationship Type="http://schemas.openxmlformats.org/officeDocument/2006/relationships/image" Target="/xl/media/image7612.jpg" Id="Rac1da20ab4d641a4" /><Relationship Type="http://schemas.openxmlformats.org/officeDocument/2006/relationships/image" Target="/xl/media/image7613.jpg" Id="Rfdbb85c7fe384313" /><Relationship Type="http://schemas.openxmlformats.org/officeDocument/2006/relationships/image" Target="/xl/media/image7614.jpg" Id="R670386d1cc764ef2" /><Relationship Type="http://schemas.openxmlformats.org/officeDocument/2006/relationships/image" Target="/xl/media/image7615.jpg" Id="Re72c4f6bbf934954" /><Relationship Type="http://schemas.openxmlformats.org/officeDocument/2006/relationships/image" Target="/xl/media/image7616.jpg" Id="Re567c36654894bab" /><Relationship Type="http://schemas.openxmlformats.org/officeDocument/2006/relationships/image" Target="/xl/media/image7617.jpg" Id="Rcae78a5f0e2d4096" /><Relationship Type="http://schemas.openxmlformats.org/officeDocument/2006/relationships/image" Target="/xl/media/image7618.jpg" Id="Rae0e21cbf04249da" /><Relationship Type="http://schemas.openxmlformats.org/officeDocument/2006/relationships/image" Target="/xl/media/image7619.jpg" Id="R335c68c65882441a" /><Relationship Type="http://schemas.openxmlformats.org/officeDocument/2006/relationships/image" Target="/xl/media/image7620.jpg" Id="R57ba014a9e354a5d" /><Relationship Type="http://schemas.openxmlformats.org/officeDocument/2006/relationships/image" Target="/xl/media/image7621.jpg" Id="Rb8276d7f4b1a44b0" /><Relationship Type="http://schemas.openxmlformats.org/officeDocument/2006/relationships/image" Target="/xl/media/image7622.jpg" Id="R543aff9503a34333" /><Relationship Type="http://schemas.openxmlformats.org/officeDocument/2006/relationships/image" Target="/xl/media/image7623.jpg" Id="Rbc4d049d97ee4617" /><Relationship Type="http://schemas.openxmlformats.org/officeDocument/2006/relationships/image" Target="/xl/media/image7624.jpg" Id="R40cbcb33bcaa4722" /><Relationship Type="http://schemas.openxmlformats.org/officeDocument/2006/relationships/image" Target="/xl/media/image7625.jpg" Id="R09e24c569ed240e5" /><Relationship Type="http://schemas.openxmlformats.org/officeDocument/2006/relationships/image" Target="/xl/media/image7626.jpg" Id="R3265b7b5a11a44d8" /><Relationship Type="http://schemas.openxmlformats.org/officeDocument/2006/relationships/image" Target="/xl/media/image7627.jpg" Id="R24e683e984e74ee3" /><Relationship Type="http://schemas.openxmlformats.org/officeDocument/2006/relationships/image" Target="/xl/media/image7628.jpg" Id="R7b3e03f03f394bc1" /><Relationship Type="http://schemas.openxmlformats.org/officeDocument/2006/relationships/image" Target="/xl/media/image7629.jpg" Id="Ra3faa0e265534d64" /><Relationship Type="http://schemas.openxmlformats.org/officeDocument/2006/relationships/image" Target="/xl/media/image7630.jpg" Id="R9e6b73af83c3418e" /><Relationship Type="http://schemas.openxmlformats.org/officeDocument/2006/relationships/image" Target="/xl/media/image7631.jpg" Id="R5d136fc28cee4d01" /><Relationship Type="http://schemas.openxmlformats.org/officeDocument/2006/relationships/image" Target="/xl/media/image7632.jpg" Id="R35bb8cac5b394b5c" /><Relationship Type="http://schemas.openxmlformats.org/officeDocument/2006/relationships/image" Target="/xl/media/image7633.jpg" Id="Ra500fcee383947d4" /><Relationship Type="http://schemas.openxmlformats.org/officeDocument/2006/relationships/image" Target="/xl/media/image7634.jpg" Id="R9f4d949507a249e2" /><Relationship Type="http://schemas.openxmlformats.org/officeDocument/2006/relationships/image" Target="/xl/media/image7635.jpg" Id="R10d8ec0d3b1240b1" /><Relationship Type="http://schemas.openxmlformats.org/officeDocument/2006/relationships/image" Target="/xl/media/image7636.jpg" Id="Re2c40d6c38484068" /><Relationship Type="http://schemas.openxmlformats.org/officeDocument/2006/relationships/image" Target="/xl/media/image7637.jpg" Id="Rd8c2100a825b4251" /><Relationship Type="http://schemas.openxmlformats.org/officeDocument/2006/relationships/image" Target="/xl/media/image7638.jpg" Id="Ra9e1407bf5a54e7f" /><Relationship Type="http://schemas.openxmlformats.org/officeDocument/2006/relationships/image" Target="/xl/media/image7639.jpg" Id="R2813241fcf2a4c11" /><Relationship Type="http://schemas.openxmlformats.org/officeDocument/2006/relationships/image" Target="/xl/media/image7640.jpg" Id="Rb5c940eb91cc49aa" /><Relationship Type="http://schemas.openxmlformats.org/officeDocument/2006/relationships/image" Target="/xl/media/image7641.jpg" Id="R31ad5b42d3b54164" /><Relationship Type="http://schemas.openxmlformats.org/officeDocument/2006/relationships/image" Target="/xl/media/image7642.jpg" Id="R76448663452c41b2" /><Relationship Type="http://schemas.openxmlformats.org/officeDocument/2006/relationships/image" Target="/xl/media/image7643.jpg" Id="Rae984609b57b43af" /><Relationship Type="http://schemas.openxmlformats.org/officeDocument/2006/relationships/image" Target="/xl/media/image7644.jpg" Id="Rff33c68c58734428" /><Relationship Type="http://schemas.openxmlformats.org/officeDocument/2006/relationships/image" Target="/xl/media/image7645.jpg" Id="Rb33645939d284396" /><Relationship Type="http://schemas.openxmlformats.org/officeDocument/2006/relationships/image" Target="/xl/media/image7646.jpg" Id="R33e7a3c568134d47" /><Relationship Type="http://schemas.openxmlformats.org/officeDocument/2006/relationships/image" Target="/xl/media/image7647.jpg" Id="Rfda8412c152d4bff" /><Relationship Type="http://schemas.openxmlformats.org/officeDocument/2006/relationships/image" Target="/xl/media/image7648.jpg" Id="R1d37fc78544e4539" /><Relationship Type="http://schemas.openxmlformats.org/officeDocument/2006/relationships/image" Target="/xl/media/image7649.jpg" Id="R5ff7822ae303471f" /><Relationship Type="http://schemas.openxmlformats.org/officeDocument/2006/relationships/image" Target="/xl/media/image7650.jpg" Id="R1af3c88503fa4ff8" /><Relationship Type="http://schemas.openxmlformats.org/officeDocument/2006/relationships/image" Target="/xl/media/image7651.jpg" Id="R0e520d396d0c442e" /><Relationship Type="http://schemas.openxmlformats.org/officeDocument/2006/relationships/image" Target="/xl/media/image7652.jpg" Id="R91e32075b9c24ecd" /><Relationship Type="http://schemas.openxmlformats.org/officeDocument/2006/relationships/image" Target="/xl/media/image7653.jpg" Id="R7d8f3e0c6cb346b6" /><Relationship Type="http://schemas.openxmlformats.org/officeDocument/2006/relationships/image" Target="/xl/media/image7654.jpg" Id="R458de11b530545ee" /><Relationship Type="http://schemas.openxmlformats.org/officeDocument/2006/relationships/image" Target="/xl/media/image7655.jpg" Id="R19944f5f4e834a31" /><Relationship Type="http://schemas.openxmlformats.org/officeDocument/2006/relationships/image" Target="/xl/media/image7656.jpg" Id="R7234f83e39ff41f9" /><Relationship Type="http://schemas.openxmlformats.org/officeDocument/2006/relationships/image" Target="/xl/media/image7657.jpg" Id="R9d83974e7b274be9" /><Relationship Type="http://schemas.openxmlformats.org/officeDocument/2006/relationships/image" Target="/xl/media/image7658.jpg" Id="Rfd8afd8fd5554d72" /><Relationship Type="http://schemas.openxmlformats.org/officeDocument/2006/relationships/image" Target="/xl/media/image7659.jpg" Id="Ra09e6d59c0a44f1d" /><Relationship Type="http://schemas.openxmlformats.org/officeDocument/2006/relationships/image" Target="/xl/media/image7660.jpg" Id="Rd4ef48cc4d2041b0" /><Relationship Type="http://schemas.openxmlformats.org/officeDocument/2006/relationships/image" Target="/xl/media/image7661.jpg" Id="R79e24c20ea664e23" /><Relationship Type="http://schemas.openxmlformats.org/officeDocument/2006/relationships/image" Target="/xl/media/image7662.jpg" Id="R18c57d3f7fed4c85" /><Relationship Type="http://schemas.openxmlformats.org/officeDocument/2006/relationships/image" Target="/xl/media/image7663.jpg" Id="R34bd82225b05432d" /><Relationship Type="http://schemas.openxmlformats.org/officeDocument/2006/relationships/image" Target="/xl/media/image7664.jpg" Id="Rbf736bbc8ed642b8" /><Relationship Type="http://schemas.openxmlformats.org/officeDocument/2006/relationships/image" Target="/xl/media/image7665.jpg" Id="R98c9a50182214858" /><Relationship Type="http://schemas.openxmlformats.org/officeDocument/2006/relationships/image" Target="/xl/media/image7666.jpg" Id="R631ff93f690b452f" /><Relationship Type="http://schemas.openxmlformats.org/officeDocument/2006/relationships/image" Target="/xl/media/image7667.jpg" Id="R55c4e7f47ba1400a" /><Relationship Type="http://schemas.openxmlformats.org/officeDocument/2006/relationships/image" Target="/xl/media/image7668.jpg" Id="R2cc522249c2a4e50" /><Relationship Type="http://schemas.openxmlformats.org/officeDocument/2006/relationships/image" Target="/xl/media/image7669.jpg" Id="R2dd52206cb694b89" /><Relationship Type="http://schemas.openxmlformats.org/officeDocument/2006/relationships/image" Target="/xl/media/image7670.jpg" Id="Rc6a3a6b0628e4464" /><Relationship Type="http://schemas.openxmlformats.org/officeDocument/2006/relationships/image" Target="/xl/media/image7671.jpg" Id="R89b474e5e0194102" /><Relationship Type="http://schemas.openxmlformats.org/officeDocument/2006/relationships/image" Target="/xl/media/image7672.jpg" Id="R90e69d334c0447df" /><Relationship Type="http://schemas.openxmlformats.org/officeDocument/2006/relationships/image" Target="/xl/media/image7673.jpg" Id="Ra688fa5d4047414c" /><Relationship Type="http://schemas.openxmlformats.org/officeDocument/2006/relationships/image" Target="/xl/media/image7674.jpg" Id="Re0ca82baa7554fbf" /><Relationship Type="http://schemas.openxmlformats.org/officeDocument/2006/relationships/image" Target="/xl/media/image7675.jpg" Id="R32f1253c8d4e4792" /><Relationship Type="http://schemas.openxmlformats.org/officeDocument/2006/relationships/image" Target="/xl/media/image7676.jpg" Id="R4eb3d94b7cf242cb" /><Relationship Type="http://schemas.openxmlformats.org/officeDocument/2006/relationships/image" Target="/xl/media/image7677.jpg" Id="R2bedb51139da46cd" /><Relationship Type="http://schemas.openxmlformats.org/officeDocument/2006/relationships/image" Target="/xl/media/image7678.jpg" Id="R48ef53a8bde249e5" /><Relationship Type="http://schemas.openxmlformats.org/officeDocument/2006/relationships/image" Target="/xl/media/image7679.jpg" Id="R711da1247e2a46a3" /><Relationship Type="http://schemas.openxmlformats.org/officeDocument/2006/relationships/image" Target="/xl/media/image7680.jpg" Id="R5802f6d264654a53" /><Relationship Type="http://schemas.openxmlformats.org/officeDocument/2006/relationships/image" Target="/xl/media/image7681.jpg" Id="R722a0a13c0dc43ad" /><Relationship Type="http://schemas.openxmlformats.org/officeDocument/2006/relationships/image" Target="/xl/media/image7682.jpg" Id="R893a213f72404efa" /><Relationship Type="http://schemas.openxmlformats.org/officeDocument/2006/relationships/image" Target="/xl/media/image7683.jpg" Id="Rbcf762407bc4405c" /><Relationship Type="http://schemas.openxmlformats.org/officeDocument/2006/relationships/image" Target="/xl/media/image7684.jpg" Id="R3fb21852b8a54a5c" /><Relationship Type="http://schemas.openxmlformats.org/officeDocument/2006/relationships/image" Target="/xl/media/image7685.jpg" Id="R1207b75657f948ba" /><Relationship Type="http://schemas.openxmlformats.org/officeDocument/2006/relationships/image" Target="/xl/media/image7686.jpg" Id="R7e918345bc074e3b" /><Relationship Type="http://schemas.openxmlformats.org/officeDocument/2006/relationships/image" Target="/xl/media/image7687.jpg" Id="R08d90a0e7d1b4933" /><Relationship Type="http://schemas.openxmlformats.org/officeDocument/2006/relationships/image" Target="/xl/media/image7688.jpg" Id="R47e22c694abd45ee" /><Relationship Type="http://schemas.openxmlformats.org/officeDocument/2006/relationships/image" Target="/xl/media/image7689.jpg" Id="R04b5643a9dd2429d" /><Relationship Type="http://schemas.openxmlformats.org/officeDocument/2006/relationships/image" Target="/xl/media/image7690.jpg" Id="R648f390261cf4bc1" /><Relationship Type="http://schemas.openxmlformats.org/officeDocument/2006/relationships/image" Target="/xl/media/image7691.jpg" Id="Rdc96a5e16f5349f9" /><Relationship Type="http://schemas.openxmlformats.org/officeDocument/2006/relationships/image" Target="/xl/media/image7692.jpg" Id="R003c25fc11b246b0" /><Relationship Type="http://schemas.openxmlformats.org/officeDocument/2006/relationships/image" Target="/xl/media/image7693.jpg" Id="R97f32805ce2d4be6" /><Relationship Type="http://schemas.openxmlformats.org/officeDocument/2006/relationships/image" Target="/xl/media/image7694.jpg" Id="R9e8e896872b44fa1" /><Relationship Type="http://schemas.openxmlformats.org/officeDocument/2006/relationships/image" Target="/xl/media/image7695.jpg" Id="R50fa9ca226f84642" /><Relationship Type="http://schemas.openxmlformats.org/officeDocument/2006/relationships/image" Target="/xl/media/image7696.jpg" Id="R90d6d924ee234931" /><Relationship Type="http://schemas.openxmlformats.org/officeDocument/2006/relationships/image" Target="/xl/media/image7697.jpg" Id="Rf39cc3efcc8449f0" /><Relationship Type="http://schemas.openxmlformats.org/officeDocument/2006/relationships/image" Target="/xl/media/image7698.jpg" Id="R1b55cbed30824951" /><Relationship Type="http://schemas.openxmlformats.org/officeDocument/2006/relationships/image" Target="/xl/media/image7699.jpg" Id="R460fae7fcdeb4bba" /><Relationship Type="http://schemas.openxmlformats.org/officeDocument/2006/relationships/image" Target="/xl/media/image7700.jpg" Id="Rff8fd85d60b24b59" /><Relationship Type="http://schemas.openxmlformats.org/officeDocument/2006/relationships/image" Target="/xl/media/image7701.jpg" Id="Rdb0113dad72f4833" /><Relationship Type="http://schemas.openxmlformats.org/officeDocument/2006/relationships/image" Target="/xl/media/image7702.jpg" Id="R7d86d315eff94f03" /><Relationship Type="http://schemas.openxmlformats.org/officeDocument/2006/relationships/image" Target="/xl/media/image7703.jpg" Id="Rfa6a489cf8394dce" /><Relationship Type="http://schemas.openxmlformats.org/officeDocument/2006/relationships/image" Target="/xl/media/image7704.jpg" Id="R0059b08c5dd84f17" /><Relationship Type="http://schemas.openxmlformats.org/officeDocument/2006/relationships/image" Target="/xl/media/image7705.jpg" Id="Rc62b613e4da24ce9" /><Relationship Type="http://schemas.openxmlformats.org/officeDocument/2006/relationships/image" Target="/xl/media/image7706.jpg" Id="R5783eeba45354f28" /><Relationship Type="http://schemas.openxmlformats.org/officeDocument/2006/relationships/image" Target="/xl/media/image7707.jpg" Id="R541d127db0d9472c" /><Relationship Type="http://schemas.openxmlformats.org/officeDocument/2006/relationships/image" Target="/xl/media/image7708.jpg" Id="R7bdd095ce2b847ac" /><Relationship Type="http://schemas.openxmlformats.org/officeDocument/2006/relationships/image" Target="/xl/media/image7709.jpg" Id="Rc5a6647708924ddb" /><Relationship Type="http://schemas.openxmlformats.org/officeDocument/2006/relationships/image" Target="/xl/media/image7710.jpg" Id="R391e9670538c41d4" /><Relationship Type="http://schemas.openxmlformats.org/officeDocument/2006/relationships/image" Target="/xl/media/image7711.jpg" Id="Rf1b1019d1ca844c6" /><Relationship Type="http://schemas.openxmlformats.org/officeDocument/2006/relationships/image" Target="/xl/media/image7712.jpg" Id="Rdea0a24803dd482c" /><Relationship Type="http://schemas.openxmlformats.org/officeDocument/2006/relationships/image" Target="/xl/media/image7713.jpg" Id="R7d415523ac0b461c" /><Relationship Type="http://schemas.openxmlformats.org/officeDocument/2006/relationships/image" Target="/xl/media/image7714.jpg" Id="Ra51b1566b7b54899" /><Relationship Type="http://schemas.openxmlformats.org/officeDocument/2006/relationships/image" Target="/xl/media/image7715.jpg" Id="R2f080d1815e6453f" /><Relationship Type="http://schemas.openxmlformats.org/officeDocument/2006/relationships/image" Target="/xl/media/image7716.jpg" Id="R5accbf5855434da7" /><Relationship Type="http://schemas.openxmlformats.org/officeDocument/2006/relationships/image" Target="/xl/media/image7717.jpg" Id="R0e2837befadc47da" /><Relationship Type="http://schemas.openxmlformats.org/officeDocument/2006/relationships/image" Target="/xl/media/image7718.jpg" Id="R7375ba355cb845b9" /><Relationship Type="http://schemas.openxmlformats.org/officeDocument/2006/relationships/image" Target="/xl/media/image7719.jpg" Id="R4fd247b565314bde" /><Relationship Type="http://schemas.openxmlformats.org/officeDocument/2006/relationships/image" Target="/xl/media/image7720.jpg" Id="Rf14a476b983642d6" /><Relationship Type="http://schemas.openxmlformats.org/officeDocument/2006/relationships/image" Target="/xl/media/image7721.jpg" Id="R2ba752226ef14921" /><Relationship Type="http://schemas.openxmlformats.org/officeDocument/2006/relationships/image" Target="/xl/media/image7722.jpg" Id="R0f9c8656b5eb42f1" /><Relationship Type="http://schemas.openxmlformats.org/officeDocument/2006/relationships/image" Target="/xl/media/image7723.jpg" Id="Rd4cbc950b1c3405b" /><Relationship Type="http://schemas.openxmlformats.org/officeDocument/2006/relationships/image" Target="/xl/media/image7724.jpg" Id="R37276997e53d44ea" /><Relationship Type="http://schemas.openxmlformats.org/officeDocument/2006/relationships/image" Target="/xl/media/image7725.jpg" Id="R26baa17c5dd04707" /><Relationship Type="http://schemas.openxmlformats.org/officeDocument/2006/relationships/image" Target="/xl/media/image7726.jpg" Id="R5bd664ef0c6c4280" /><Relationship Type="http://schemas.openxmlformats.org/officeDocument/2006/relationships/image" Target="/xl/media/image7727.jpg" Id="Rb75df4f20c344ec3" /><Relationship Type="http://schemas.openxmlformats.org/officeDocument/2006/relationships/image" Target="/xl/media/image7728.jpg" Id="R86d012e90bee4b73" /><Relationship Type="http://schemas.openxmlformats.org/officeDocument/2006/relationships/image" Target="/xl/media/image7729.jpg" Id="R0525931ddc8e4e78" /><Relationship Type="http://schemas.openxmlformats.org/officeDocument/2006/relationships/image" Target="/xl/media/image7730.jpg" Id="Rc0db0172ab654d62" /><Relationship Type="http://schemas.openxmlformats.org/officeDocument/2006/relationships/image" Target="/xl/media/image7731.jpg" Id="R88c3a08bf6c34e41" /><Relationship Type="http://schemas.openxmlformats.org/officeDocument/2006/relationships/image" Target="/xl/media/image7732.jpg" Id="R9c76c8cb79144fe1" /><Relationship Type="http://schemas.openxmlformats.org/officeDocument/2006/relationships/image" Target="/xl/media/image7733.jpg" Id="R007124767da64f63" /><Relationship Type="http://schemas.openxmlformats.org/officeDocument/2006/relationships/image" Target="/xl/media/image7734.jpg" Id="Rdfd44740cefa4f29" /><Relationship Type="http://schemas.openxmlformats.org/officeDocument/2006/relationships/image" Target="/xl/media/image7735.jpg" Id="Rdf79afca3ccf4bc8" /><Relationship Type="http://schemas.openxmlformats.org/officeDocument/2006/relationships/image" Target="/xl/media/image7736.jpg" Id="R0f4925b838024ff0" /><Relationship Type="http://schemas.openxmlformats.org/officeDocument/2006/relationships/image" Target="/xl/media/image7737.jpg" Id="Rd53945e5fef34248" /><Relationship Type="http://schemas.openxmlformats.org/officeDocument/2006/relationships/image" Target="/xl/media/image7738.jpg" Id="Radca7b74f49f45ba" /><Relationship Type="http://schemas.openxmlformats.org/officeDocument/2006/relationships/image" Target="/xl/media/image7739.jpg" Id="Ra4f1539d8ac245a2" /><Relationship Type="http://schemas.openxmlformats.org/officeDocument/2006/relationships/image" Target="/xl/media/image7740.jpg" Id="R6c53c2b5cabd4147" /><Relationship Type="http://schemas.openxmlformats.org/officeDocument/2006/relationships/image" Target="/xl/media/image7741.jpg" Id="R25f201d7239143b5" /><Relationship Type="http://schemas.openxmlformats.org/officeDocument/2006/relationships/image" Target="/xl/media/image7742.jpg" Id="R11d7ac2dd62c4106" /><Relationship Type="http://schemas.openxmlformats.org/officeDocument/2006/relationships/image" Target="/xl/media/image7743.jpg" Id="R089ceb445eae4d3a" /><Relationship Type="http://schemas.openxmlformats.org/officeDocument/2006/relationships/image" Target="/xl/media/image7744.jpg" Id="R2268a4a0c69249ac" /><Relationship Type="http://schemas.openxmlformats.org/officeDocument/2006/relationships/image" Target="/xl/media/image7745.jpg" Id="Rbbf316adce8f473b" /><Relationship Type="http://schemas.openxmlformats.org/officeDocument/2006/relationships/image" Target="/xl/media/image7746.jpg" Id="R0e9b16e2842c43a2" /><Relationship Type="http://schemas.openxmlformats.org/officeDocument/2006/relationships/image" Target="/xl/media/image7747.jpg" Id="R4a7a60cdbe8d405a" /><Relationship Type="http://schemas.openxmlformats.org/officeDocument/2006/relationships/image" Target="/xl/media/image7748.jpg" Id="R38c9f6da20e7481f" /><Relationship Type="http://schemas.openxmlformats.org/officeDocument/2006/relationships/image" Target="/xl/media/image7749.jpg" Id="Rab2dbbb30a7f45d2" /><Relationship Type="http://schemas.openxmlformats.org/officeDocument/2006/relationships/image" Target="/xl/media/image7750.jpg" Id="R455d7a9add8b4971" /><Relationship Type="http://schemas.openxmlformats.org/officeDocument/2006/relationships/image" Target="/xl/media/image7751.jpg" Id="Rc357473fdc1742c7" /><Relationship Type="http://schemas.openxmlformats.org/officeDocument/2006/relationships/image" Target="/xl/media/image7752.jpg" Id="R6a2908e94325490c" /><Relationship Type="http://schemas.openxmlformats.org/officeDocument/2006/relationships/image" Target="/xl/media/image7753.jpg" Id="R6f3e44209d2942ff" /><Relationship Type="http://schemas.openxmlformats.org/officeDocument/2006/relationships/image" Target="/xl/media/image7754.jpg" Id="Rb8d8a5a1f4d84163" /><Relationship Type="http://schemas.openxmlformats.org/officeDocument/2006/relationships/image" Target="/xl/media/image7755.jpg" Id="R601f52e3d2814d0c" /><Relationship Type="http://schemas.openxmlformats.org/officeDocument/2006/relationships/image" Target="/xl/media/image7756.jpg" Id="Rc23e7f2786434b90" /><Relationship Type="http://schemas.openxmlformats.org/officeDocument/2006/relationships/image" Target="/xl/media/image7757.jpg" Id="Rbf6085766bf74e24" /><Relationship Type="http://schemas.openxmlformats.org/officeDocument/2006/relationships/image" Target="/xl/media/image7758.jpg" Id="R3c29b49e5bc24d1d" /><Relationship Type="http://schemas.openxmlformats.org/officeDocument/2006/relationships/image" Target="/xl/media/image7759.jpg" Id="R47dc11be008b426f" /><Relationship Type="http://schemas.openxmlformats.org/officeDocument/2006/relationships/image" Target="/xl/media/image7760.jpg" Id="Rf6abbf732b174622" /><Relationship Type="http://schemas.openxmlformats.org/officeDocument/2006/relationships/image" Target="/xl/media/image7761.jpg" Id="R4c12297a8a8b4ac8" /><Relationship Type="http://schemas.openxmlformats.org/officeDocument/2006/relationships/image" Target="/xl/media/image7762.jpg" Id="R50b48f8c44ca492d" /><Relationship Type="http://schemas.openxmlformats.org/officeDocument/2006/relationships/image" Target="/xl/media/image7763.jpg" Id="R5ccb55ccc9a64f3b" /><Relationship Type="http://schemas.openxmlformats.org/officeDocument/2006/relationships/image" Target="/xl/media/image7764.jpg" Id="R4b42156568d248a6" /><Relationship Type="http://schemas.openxmlformats.org/officeDocument/2006/relationships/image" Target="/xl/media/image7765.jpg" Id="R28f1de63dac44b6d" /><Relationship Type="http://schemas.openxmlformats.org/officeDocument/2006/relationships/image" Target="/xl/media/image7766.jpg" Id="Ra6b21b63c2d547f4" /><Relationship Type="http://schemas.openxmlformats.org/officeDocument/2006/relationships/image" Target="/xl/media/image7767.jpg" Id="Rb687bb5aa51a420a" /><Relationship Type="http://schemas.openxmlformats.org/officeDocument/2006/relationships/image" Target="/xl/media/image7768.jpg" Id="R2e29a9f844ec4965" /><Relationship Type="http://schemas.openxmlformats.org/officeDocument/2006/relationships/image" Target="/xl/media/image7769.jpg" Id="R43f44a7425584aa6" /><Relationship Type="http://schemas.openxmlformats.org/officeDocument/2006/relationships/image" Target="/xl/media/image7770.jpg" Id="Rd85434b7d8f340c2" /><Relationship Type="http://schemas.openxmlformats.org/officeDocument/2006/relationships/image" Target="/xl/media/image7771.jpg" Id="R9fb7b54f023640b0" /><Relationship Type="http://schemas.openxmlformats.org/officeDocument/2006/relationships/image" Target="/xl/media/image7772.jpg" Id="R2b7f020de4764d77" /><Relationship Type="http://schemas.openxmlformats.org/officeDocument/2006/relationships/image" Target="/xl/media/image7773.jpg" Id="R40540108d5cb4fea" /><Relationship Type="http://schemas.openxmlformats.org/officeDocument/2006/relationships/image" Target="/xl/media/image7774.jpg" Id="Rfaa17da068d945a1" /><Relationship Type="http://schemas.openxmlformats.org/officeDocument/2006/relationships/image" Target="/xl/media/image7775.jpg" Id="R2a2a1defd0994b62" /><Relationship Type="http://schemas.openxmlformats.org/officeDocument/2006/relationships/image" Target="/xl/media/image7776.jpg" Id="R150400f86d23498b" /><Relationship Type="http://schemas.openxmlformats.org/officeDocument/2006/relationships/image" Target="/xl/media/image7777.jpg" Id="R2d7f1d52c9aa474c" /><Relationship Type="http://schemas.openxmlformats.org/officeDocument/2006/relationships/image" Target="/xl/media/image7778.jpg" Id="Red29151fa8ac402a" /><Relationship Type="http://schemas.openxmlformats.org/officeDocument/2006/relationships/image" Target="/xl/media/image7779.jpg" Id="R429e6275bacf4cf6" /><Relationship Type="http://schemas.openxmlformats.org/officeDocument/2006/relationships/image" Target="/xl/media/image7780.jpg" Id="R5763b65699a8460b" /><Relationship Type="http://schemas.openxmlformats.org/officeDocument/2006/relationships/image" Target="/xl/media/image7781.jpg" Id="R82a4e9e6a34a4104" /><Relationship Type="http://schemas.openxmlformats.org/officeDocument/2006/relationships/image" Target="/xl/media/image7782.jpg" Id="R655e31ab339b44c1" /><Relationship Type="http://schemas.openxmlformats.org/officeDocument/2006/relationships/image" Target="/xl/media/image7783.jpg" Id="R1c32092a8147405c" /><Relationship Type="http://schemas.openxmlformats.org/officeDocument/2006/relationships/image" Target="/xl/media/image7784.jpg" Id="R3a990cc3cd0f4bcb" /><Relationship Type="http://schemas.openxmlformats.org/officeDocument/2006/relationships/image" Target="/xl/media/image7785.jpg" Id="R07f13116e1414569" /><Relationship Type="http://schemas.openxmlformats.org/officeDocument/2006/relationships/image" Target="/xl/media/image7786.jpg" Id="Rd64170e58ce44ce3" /><Relationship Type="http://schemas.openxmlformats.org/officeDocument/2006/relationships/image" Target="/xl/media/image7787.jpg" Id="Rd6252f8edb794707" /><Relationship Type="http://schemas.openxmlformats.org/officeDocument/2006/relationships/image" Target="/xl/media/image7788.jpg" Id="R25164993331d459d" /><Relationship Type="http://schemas.openxmlformats.org/officeDocument/2006/relationships/image" Target="/xl/media/image7789.jpg" Id="Rd759d69ea355453e" /><Relationship Type="http://schemas.openxmlformats.org/officeDocument/2006/relationships/image" Target="/xl/media/image7790.jpg" Id="R2636b6b6a284412a" /><Relationship Type="http://schemas.openxmlformats.org/officeDocument/2006/relationships/image" Target="/xl/media/image7791.jpg" Id="Ra4077667a08d4c90" /><Relationship Type="http://schemas.openxmlformats.org/officeDocument/2006/relationships/image" Target="/xl/media/image7792.jpg" Id="R0147e7d2a6cf4ff6" /><Relationship Type="http://schemas.openxmlformats.org/officeDocument/2006/relationships/image" Target="/xl/media/image7793.jpg" Id="R4a76cd535cc84d67" /><Relationship Type="http://schemas.openxmlformats.org/officeDocument/2006/relationships/image" Target="/xl/media/image7794.jpg" Id="Rf1f0edc9f1734192" /><Relationship Type="http://schemas.openxmlformats.org/officeDocument/2006/relationships/image" Target="/xl/media/image7795.jpg" Id="R97676387c6e6494c" /><Relationship Type="http://schemas.openxmlformats.org/officeDocument/2006/relationships/image" Target="/xl/media/image7796.jpg" Id="R96aa8c301d8c4822" /><Relationship Type="http://schemas.openxmlformats.org/officeDocument/2006/relationships/image" Target="/xl/media/image7797.jpg" Id="Reb89f72e1f88440a" /><Relationship Type="http://schemas.openxmlformats.org/officeDocument/2006/relationships/image" Target="/xl/media/image7798.jpg" Id="R314379ff413a4763" /><Relationship Type="http://schemas.openxmlformats.org/officeDocument/2006/relationships/image" Target="/xl/media/image7799.jpg" Id="R1a681ddfa8ed4d9b" /><Relationship Type="http://schemas.openxmlformats.org/officeDocument/2006/relationships/image" Target="/xl/media/image7800.jpg" Id="R420f8fa538ea483b" /><Relationship Type="http://schemas.openxmlformats.org/officeDocument/2006/relationships/image" Target="/xl/media/image7801.jpg" Id="R1fe0d687d14c48d7" /><Relationship Type="http://schemas.openxmlformats.org/officeDocument/2006/relationships/image" Target="/xl/media/image7802.jpg" Id="R1dc68b4e5d0a4849" /><Relationship Type="http://schemas.openxmlformats.org/officeDocument/2006/relationships/image" Target="/xl/media/image7803.jpg" Id="R77ac0fa8a14042ff" /><Relationship Type="http://schemas.openxmlformats.org/officeDocument/2006/relationships/image" Target="/xl/media/image7804.jpg" Id="Ree8adba81b884739" /><Relationship Type="http://schemas.openxmlformats.org/officeDocument/2006/relationships/image" Target="/xl/media/image7805.jpg" Id="R23f14af8bc654ebc" /><Relationship Type="http://schemas.openxmlformats.org/officeDocument/2006/relationships/image" Target="/xl/media/image7806.jpg" Id="R1b901ee9ba0b41f1" /><Relationship Type="http://schemas.openxmlformats.org/officeDocument/2006/relationships/image" Target="/xl/media/image7807.jpg" Id="R34aa84ca2d2c4d09" /><Relationship Type="http://schemas.openxmlformats.org/officeDocument/2006/relationships/image" Target="/xl/media/image7808.jpg" Id="Rd56f800e0d204195" /><Relationship Type="http://schemas.openxmlformats.org/officeDocument/2006/relationships/image" Target="/xl/media/image7809.jpg" Id="R9f4bbe5b89e64e06" /><Relationship Type="http://schemas.openxmlformats.org/officeDocument/2006/relationships/image" Target="/xl/media/image7810.jpg" Id="Rf6b66a23e86a4629" /><Relationship Type="http://schemas.openxmlformats.org/officeDocument/2006/relationships/image" Target="/xl/media/image7811.jpg" Id="R9c6700607e954916" /><Relationship Type="http://schemas.openxmlformats.org/officeDocument/2006/relationships/image" Target="/xl/media/image7812.jpg" Id="R81458779cb36401e" /><Relationship Type="http://schemas.openxmlformats.org/officeDocument/2006/relationships/image" Target="/xl/media/image7813.jpg" Id="R36e0ecdeebd547b2" /><Relationship Type="http://schemas.openxmlformats.org/officeDocument/2006/relationships/image" Target="/xl/media/image7814.jpg" Id="Rcc687800206947f2" /><Relationship Type="http://schemas.openxmlformats.org/officeDocument/2006/relationships/image" Target="/xl/media/image7815.jpg" Id="Rd706ca1cf5fe448f" /><Relationship Type="http://schemas.openxmlformats.org/officeDocument/2006/relationships/image" Target="/xl/media/image7816.jpg" Id="R152718b9d75f45b6" /><Relationship Type="http://schemas.openxmlformats.org/officeDocument/2006/relationships/image" Target="/xl/media/image7817.jpg" Id="R33df6d39fc0c4b71" /><Relationship Type="http://schemas.openxmlformats.org/officeDocument/2006/relationships/image" Target="/xl/media/image7818.jpg" Id="Rcffa011d10b44411" /><Relationship Type="http://schemas.openxmlformats.org/officeDocument/2006/relationships/image" Target="/xl/media/image7819.jpg" Id="R65d6b108c7684997" /><Relationship Type="http://schemas.openxmlformats.org/officeDocument/2006/relationships/image" Target="/xl/media/image7820.jpg" Id="Re4ef7432733c4ba1" /><Relationship Type="http://schemas.openxmlformats.org/officeDocument/2006/relationships/image" Target="/xl/media/image7821.jpg" Id="R7317ba5be5644ad6" /><Relationship Type="http://schemas.openxmlformats.org/officeDocument/2006/relationships/image" Target="/xl/media/image7822.jpg" Id="R2787498b2d994755" /><Relationship Type="http://schemas.openxmlformats.org/officeDocument/2006/relationships/image" Target="/xl/media/image7823.jpg" Id="R0bfa8b03e43c4181" /><Relationship Type="http://schemas.openxmlformats.org/officeDocument/2006/relationships/image" Target="/xl/media/image7824.jpg" Id="R230e1f9589054da1" /><Relationship Type="http://schemas.openxmlformats.org/officeDocument/2006/relationships/image" Target="/xl/media/image7825.jpg" Id="R86c5a12920ab423f" /><Relationship Type="http://schemas.openxmlformats.org/officeDocument/2006/relationships/image" Target="/xl/media/image7826.jpg" Id="R54f5288f25a2490a" /><Relationship Type="http://schemas.openxmlformats.org/officeDocument/2006/relationships/image" Target="/xl/media/image7827.jpg" Id="R4dc8c4314de04d82" /><Relationship Type="http://schemas.openxmlformats.org/officeDocument/2006/relationships/image" Target="/xl/media/image7828.jpg" Id="R519b83c1d1c14391" /><Relationship Type="http://schemas.openxmlformats.org/officeDocument/2006/relationships/image" Target="/xl/media/image7829.jpg" Id="R2e3bce1d302a4349" /><Relationship Type="http://schemas.openxmlformats.org/officeDocument/2006/relationships/image" Target="/xl/media/image7830.jpg" Id="Ra813a22787e7477a" /><Relationship Type="http://schemas.openxmlformats.org/officeDocument/2006/relationships/image" Target="/xl/media/image7831.jpg" Id="Rb1b3c4d912974d66" /><Relationship Type="http://schemas.openxmlformats.org/officeDocument/2006/relationships/image" Target="/xl/media/image7832.jpg" Id="Rcdf2909dba644eed" /><Relationship Type="http://schemas.openxmlformats.org/officeDocument/2006/relationships/image" Target="/xl/media/image7833.jpg" Id="Rb4b0ed63139a4dbc" /><Relationship Type="http://schemas.openxmlformats.org/officeDocument/2006/relationships/image" Target="/xl/media/image7834.jpg" Id="Rfde40522525647b1" /><Relationship Type="http://schemas.openxmlformats.org/officeDocument/2006/relationships/image" Target="/xl/media/image7835.jpg" Id="R2eb3166cb6be4fcc" /><Relationship Type="http://schemas.openxmlformats.org/officeDocument/2006/relationships/image" Target="/xl/media/image7836.jpg" Id="Rb5b75374624d42af" /><Relationship Type="http://schemas.openxmlformats.org/officeDocument/2006/relationships/image" Target="/xl/media/image7837.jpg" Id="Rb463813d38b84e58" /><Relationship Type="http://schemas.openxmlformats.org/officeDocument/2006/relationships/image" Target="/xl/media/image7838.jpg" Id="Rc32d8b58aac0491b" /><Relationship Type="http://schemas.openxmlformats.org/officeDocument/2006/relationships/image" Target="/xl/media/image7839.jpg" Id="Rb111ce9cec474066" /><Relationship Type="http://schemas.openxmlformats.org/officeDocument/2006/relationships/image" Target="/xl/media/image7840.jpg" Id="Re9e7823e93614b95" /><Relationship Type="http://schemas.openxmlformats.org/officeDocument/2006/relationships/image" Target="/xl/media/image7841.jpg" Id="Rf5fe580e21784a9b" /><Relationship Type="http://schemas.openxmlformats.org/officeDocument/2006/relationships/image" Target="/xl/media/image7842.jpg" Id="R1d3dfd20a2544864" /><Relationship Type="http://schemas.openxmlformats.org/officeDocument/2006/relationships/image" Target="/xl/media/image7843.jpg" Id="Rf8948547860343ca" /><Relationship Type="http://schemas.openxmlformats.org/officeDocument/2006/relationships/image" Target="/xl/media/image7844.jpg" Id="R2f929b02b7534a97" /><Relationship Type="http://schemas.openxmlformats.org/officeDocument/2006/relationships/image" Target="/xl/media/image7845.jpg" Id="R6bd36cd8c0234ff9" /><Relationship Type="http://schemas.openxmlformats.org/officeDocument/2006/relationships/image" Target="/xl/media/image7846.jpg" Id="R080b3b4f2df74707" /><Relationship Type="http://schemas.openxmlformats.org/officeDocument/2006/relationships/image" Target="/xl/media/image7847.jpg" Id="R343d9e3285f64430" /><Relationship Type="http://schemas.openxmlformats.org/officeDocument/2006/relationships/image" Target="/xl/media/image7848.jpg" Id="Rcaa957b856374e9a" /><Relationship Type="http://schemas.openxmlformats.org/officeDocument/2006/relationships/image" Target="/xl/media/image7849.jpg" Id="R6a75cc976e864972" /><Relationship Type="http://schemas.openxmlformats.org/officeDocument/2006/relationships/image" Target="/xl/media/image7850.jpg" Id="R8ad039a1f4df49d3" /><Relationship Type="http://schemas.openxmlformats.org/officeDocument/2006/relationships/image" Target="/xl/media/image7851.jpg" Id="R5b856847dd5045c1" /><Relationship Type="http://schemas.openxmlformats.org/officeDocument/2006/relationships/image" Target="/xl/media/image7852.jpg" Id="Rc7f7080c70684550" /><Relationship Type="http://schemas.openxmlformats.org/officeDocument/2006/relationships/image" Target="/xl/media/image7853.jpg" Id="R0ae42ec8fb6d44ce" /><Relationship Type="http://schemas.openxmlformats.org/officeDocument/2006/relationships/image" Target="/xl/media/image7854.jpg" Id="R54034396673e46ac" /><Relationship Type="http://schemas.openxmlformats.org/officeDocument/2006/relationships/image" Target="/xl/media/image7855.jpg" Id="Rc71e8e1c96094aa6" /><Relationship Type="http://schemas.openxmlformats.org/officeDocument/2006/relationships/image" Target="/xl/media/image7856.jpg" Id="Rc4c4451555274788" /><Relationship Type="http://schemas.openxmlformats.org/officeDocument/2006/relationships/image" Target="/xl/media/image7857.jpg" Id="R9c2fd6a49e2f4842" /><Relationship Type="http://schemas.openxmlformats.org/officeDocument/2006/relationships/image" Target="/xl/media/image7858.jpg" Id="R8f6f1f0dc32447d3" /><Relationship Type="http://schemas.openxmlformats.org/officeDocument/2006/relationships/image" Target="/xl/media/image7859.jpg" Id="R27ac0fd9020c4106" /><Relationship Type="http://schemas.openxmlformats.org/officeDocument/2006/relationships/image" Target="/xl/media/image7860.jpg" Id="R26056aca8813405c" /><Relationship Type="http://schemas.openxmlformats.org/officeDocument/2006/relationships/image" Target="/xl/media/image7861.jpg" Id="R2cac97a999a34c80" /><Relationship Type="http://schemas.openxmlformats.org/officeDocument/2006/relationships/image" Target="/xl/media/image7862.jpg" Id="R96297cf30d4241e1" /><Relationship Type="http://schemas.openxmlformats.org/officeDocument/2006/relationships/image" Target="/xl/media/image7863.jpg" Id="Re5f4aa081c384562" /><Relationship Type="http://schemas.openxmlformats.org/officeDocument/2006/relationships/image" Target="/xl/media/image7864.jpg" Id="Rcee9257755b14196" /><Relationship Type="http://schemas.openxmlformats.org/officeDocument/2006/relationships/image" Target="/xl/media/image7865.jpg" Id="R9c7093da4d01489e" /><Relationship Type="http://schemas.openxmlformats.org/officeDocument/2006/relationships/image" Target="/xl/media/image7866.jpg" Id="R278f287d78c04583" /><Relationship Type="http://schemas.openxmlformats.org/officeDocument/2006/relationships/image" Target="/xl/media/image7867.jpg" Id="R03db9c16ca074317" /><Relationship Type="http://schemas.openxmlformats.org/officeDocument/2006/relationships/image" Target="/xl/media/image7868.jpg" Id="R3095247884a347cd" /><Relationship Type="http://schemas.openxmlformats.org/officeDocument/2006/relationships/image" Target="/xl/media/image7869.jpg" Id="R0a56a283f5534a4a" /><Relationship Type="http://schemas.openxmlformats.org/officeDocument/2006/relationships/image" Target="/xl/media/image7870.jpg" Id="R9e411548565445df" /><Relationship Type="http://schemas.openxmlformats.org/officeDocument/2006/relationships/image" Target="/xl/media/image7871.jpg" Id="Rd8500aabd36f4cd2" /><Relationship Type="http://schemas.openxmlformats.org/officeDocument/2006/relationships/image" Target="/xl/media/image7872.jpg" Id="R757d116043c34f5f" /><Relationship Type="http://schemas.openxmlformats.org/officeDocument/2006/relationships/image" Target="/xl/media/image7873.jpg" Id="R9f14c9aa65cf49d3" /><Relationship Type="http://schemas.openxmlformats.org/officeDocument/2006/relationships/image" Target="/xl/media/image7874.jpg" Id="R85f2adb9dba94c90" /><Relationship Type="http://schemas.openxmlformats.org/officeDocument/2006/relationships/image" Target="/xl/media/image7875.jpg" Id="R130cabd6636747a2" /><Relationship Type="http://schemas.openxmlformats.org/officeDocument/2006/relationships/image" Target="/xl/media/image7876.jpg" Id="R028a0316877046bd" /><Relationship Type="http://schemas.openxmlformats.org/officeDocument/2006/relationships/image" Target="/xl/media/image7877.jpg" Id="Rb055345efd3e4256" /><Relationship Type="http://schemas.openxmlformats.org/officeDocument/2006/relationships/image" Target="/xl/media/image7878.jpg" Id="Rc915395cbba94c46" /><Relationship Type="http://schemas.openxmlformats.org/officeDocument/2006/relationships/image" Target="/xl/media/image7879.jpg" Id="R03e26bae1cb84434" /><Relationship Type="http://schemas.openxmlformats.org/officeDocument/2006/relationships/image" Target="/xl/media/image7880.jpg" Id="R090b3858c7c54f70" /><Relationship Type="http://schemas.openxmlformats.org/officeDocument/2006/relationships/image" Target="/xl/media/image7881.jpg" Id="Rb0ee8ea10b97473e" /><Relationship Type="http://schemas.openxmlformats.org/officeDocument/2006/relationships/image" Target="/xl/media/image7882.jpg" Id="R04947e6da0d94e76" /><Relationship Type="http://schemas.openxmlformats.org/officeDocument/2006/relationships/image" Target="/xl/media/image7883.jpg" Id="R00d711662b424a56" /><Relationship Type="http://schemas.openxmlformats.org/officeDocument/2006/relationships/image" Target="/xl/media/image7884.jpg" Id="Rc72e96aef35a4d42" /><Relationship Type="http://schemas.openxmlformats.org/officeDocument/2006/relationships/image" Target="/xl/media/image7885.jpg" Id="R47ee473d0c0c47c2" /><Relationship Type="http://schemas.openxmlformats.org/officeDocument/2006/relationships/image" Target="/xl/media/image7886.jpg" Id="R4f53b36ed33e43b2" /><Relationship Type="http://schemas.openxmlformats.org/officeDocument/2006/relationships/image" Target="/xl/media/image7887.jpg" Id="R82edfd3443414d7b" /><Relationship Type="http://schemas.openxmlformats.org/officeDocument/2006/relationships/image" Target="/xl/media/image7888.jpg" Id="Rbefb3e5c14c04444" /><Relationship Type="http://schemas.openxmlformats.org/officeDocument/2006/relationships/image" Target="/xl/media/image7889.jpg" Id="R8bfb130bf711475f" /><Relationship Type="http://schemas.openxmlformats.org/officeDocument/2006/relationships/image" Target="/xl/media/image7890.jpg" Id="R6df13cdc523a4b37" /><Relationship Type="http://schemas.openxmlformats.org/officeDocument/2006/relationships/image" Target="/xl/media/image7891.jpg" Id="R6c037ca90f7743c9" /><Relationship Type="http://schemas.openxmlformats.org/officeDocument/2006/relationships/image" Target="/xl/media/image7892.jpg" Id="Rfadf133a3ef344f9" /><Relationship Type="http://schemas.openxmlformats.org/officeDocument/2006/relationships/image" Target="/xl/media/image7893.jpg" Id="R8b6255af7f12469c" /><Relationship Type="http://schemas.openxmlformats.org/officeDocument/2006/relationships/image" Target="/xl/media/image7894.jpg" Id="R9c578d63a5454a4e" /><Relationship Type="http://schemas.openxmlformats.org/officeDocument/2006/relationships/image" Target="/xl/media/image7895.jpg" Id="R0c49758e26a14e6c" /><Relationship Type="http://schemas.openxmlformats.org/officeDocument/2006/relationships/image" Target="/xl/media/image7896.jpg" Id="R49a9adfe386d4e75" /><Relationship Type="http://schemas.openxmlformats.org/officeDocument/2006/relationships/image" Target="/xl/media/image7897.jpg" Id="Rb7989c69438c459a" /><Relationship Type="http://schemas.openxmlformats.org/officeDocument/2006/relationships/image" Target="/xl/media/image7898.jpg" Id="Rca33f640f8e2482d" /><Relationship Type="http://schemas.openxmlformats.org/officeDocument/2006/relationships/image" Target="/xl/media/image7899.jpg" Id="Rc176631489c54d43" /><Relationship Type="http://schemas.openxmlformats.org/officeDocument/2006/relationships/image" Target="/xl/media/image7900.jpg" Id="R39cea32f17c04089" /><Relationship Type="http://schemas.openxmlformats.org/officeDocument/2006/relationships/image" Target="/xl/media/image7901.jpg" Id="R2705c4a4f5de49d6" /><Relationship Type="http://schemas.openxmlformats.org/officeDocument/2006/relationships/image" Target="/xl/media/image7902.jpg" Id="Rdaa04ace07b54017" /><Relationship Type="http://schemas.openxmlformats.org/officeDocument/2006/relationships/image" Target="/xl/media/image7903.jpg" Id="Rbbb753f2961a4d7e" /><Relationship Type="http://schemas.openxmlformats.org/officeDocument/2006/relationships/image" Target="/xl/media/image7904.jpg" Id="R5454c57376a24e08" /><Relationship Type="http://schemas.openxmlformats.org/officeDocument/2006/relationships/image" Target="/xl/media/image7905.jpg" Id="R0ec7cf80e1b04454" /><Relationship Type="http://schemas.openxmlformats.org/officeDocument/2006/relationships/image" Target="/xl/media/image7906.jpg" Id="R16e22dd45b074e6d" /><Relationship Type="http://schemas.openxmlformats.org/officeDocument/2006/relationships/image" Target="/xl/media/image7907.jpg" Id="R2155fec9f3d04ab3" /><Relationship Type="http://schemas.openxmlformats.org/officeDocument/2006/relationships/image" Target="/xl/media/image7908.jpg" Id="Rea47dbbd24d24f9a" /><Relationship Type="http://schemas.openxmlformats.org/officeDocument/2006/relationships/image" Target="/xl/media/image7909.jpg" Id="R92fa9d91bd584eb8" /><Relationship Type="http://schemas.openxmlformats.org/officeDocument/2006/relationships/image" Target="/xl/media/image7910.jpg" Id="R0bb22972020143e3" /><Relationship Type="http://schemas.openxmlformats.org/officeDocument/2006/relationships/image" Target="/xl/media/image7911.jpg" Id="R2c2fede7c6cf49d7" /><Relationship Type="http://schemas.openxmlformats.org/officeDocument/2006/relationships/image" Target="/xl/media/image7912.jpg" Id="R89519e7276db419d" /><Relationship Type="http://schemas.openxmlformats.org/officeDocument/2006/relationships/image" Target="/xl/media/image7913.jpg" Id="R64a850f72bec428a" /><Relationship Type="http://schemas.openxmlformats.org/officeDocument/2006/relationships/image" Target="/xl/media/image7914.jpg" Id="R8bb71323446b4363" /><Relationship Type="http://schemas.openxmlformats.org/officeDocument/2006/relationships/image" Target="/xl/media/image7915.jpg" Id="R93109083e2b042c4" /><Relationship Type="http://schemas.openxmlformats.org/officeDocument/2006/relationships/image" Target="/xl/media/image7916.jpg" Id="R6be513f010424ca2" /><Relationship Type="http://schemas.openxmlformats.org/officeDocument/2006/relationships/image" Target="/xl/media/image7917.jpg" Id="R66673bf8c9314f0b" /><Relationship Type="http://schemas.openxmlformats.org/officeDocument/2006/relationships/image" Target="/xl/media/image7918.jpg" Id="R430785f041c846d3" /><Relationship Type="http://schemas.openxmlformats.org/officeDocument/2006/relationships/image" Target="/xl/media/image7919.jpg" Id="R5bf439cf91ef4c48" /><Relationship Type="http://schemas.openxmlformats.org/officeDocument/2006/relationships/image" Target="/xl/media/image7920.jpg" Id="R9c7e32672eae4310" /><Relationship Type="http://schemas.openxmlformats.org/officeDocument/2006/relationships/image" Target="/xl/media/image7921.jpg" Id="R578bb530bf0847d5" /><Relationship Type="http://schemas.openxmlformats.org/officeDocument/2006/relationships/image" Target="/xl/media/image7922.jpg" Id="Rfe976d8c2da04297" /><Relationship Type="http://schemas.openxmlformats.org/officeDocument/2006/relationships/image" Target="/xl/media/image7923.jpg" Id="R960d05978b1c4975" /><Relationship Type="http://schemas.openxmlformats.org/officeDocument/2006/relationships/image" Target="/xl/media/image7924.jpg" Id="R1c8a29db0e334f94" /><Relationship Type="http://schemas.openxmlformats.org/officeDocument/2006/relationships/image" Target="/xl/media/image7925.jpg" Id="R8135be919fdb46f7" /><Relationship Type="http://schemas.openxmlformats.org/officeDocument/2006/relationships/image" Target="/xl/media/image7926.jpg" Id="R69f485d4c4b348cd" /><Relationship Type="http://schemas.openxmlformats.org/officeDocument/2006/relationships/image" Target="/xl/media/image7927.jpg" Id="R824eaa01f6164f0f" /><Relationship Type="http://schemas.openxmlformats.org/officeDocument/2006/relationships/image" Target="/xl/media/image7928.jpg" Id="R40478ffe9e404a4b" /><Relationship Type="http://schemas.openxmlformats.org/officeDocument/2006/relationships/image" Target="/xl/media/image7929.jpg" Id="Rf9301a2b7a1d4124" /><Relationship Type="http://schemas.openxmlformats.org/officeDocument/2006/relationships/image" Target="/xl/media/image7930.jpg" Id="R3d079b5d971844a6" /><Relationship Type="http://schemas.openxmlformats.org/officeDocument/2006/relationships/image" Target="/xl/media/image7931.jpg" Id="R39712d8c15374973" /><Relationship Type="http://schemas.openxmlformats.org/officeDocument/2006/relationships/image" Target="/xl/media/image7932.jpg" Id="R6b8b1a1c66a14542" /><Relationship Type="http://schemas.openxmlformats.org/officeDocument/2006/relationships/image" Target="/xl/media/image7933.jpg" Id="Rd9b120c8a7ba4da3" /><Relationship Type="http://schemas.openxmlformats.org/officeDocument/2006/relationships/image" Target="/xl/media/image7934.jpg" Id="R0b875f549a5b4e88" /><Relationship Type="http://schemas.openxmlformats.org/officeDocument/2006/relationships/image" Target="/xl/media/image7935.jpg" Id="R9abc7473c7414243" /><Relationship Type="http://schemas.openxmlformats.org/officeDocument/2006/relationships/image" Target="/xl/media/image7936.jpg" Id="R2682da1885654175" /><Relationship Type="http://schemas.openxmlformats.org/officeDocument/2006/relationships/image" Target="/xl/media/image7937.jpg" Id="Rb3680a02530b4fb5" /><Relationship Type="http://schemas.openxmlformats.org/officeDocument/2006/relationships/image" Target="/xl/media/image7938.jpg" Id="Rc6adb30c0aa64495" /><Relationship Type="http://schemas.openxmlformats.org/officeDocument/2006/relationships/image" Target="/xl/media/image7939.jpg" Id="R2f854e6591f045fd" /><Relationship Type="http://schemas.openxmlformats.org/officeDocument/2006/relationships/image" Target="/xl/media/image7940.jpg" Id="Rbc9eda517f67499e" /><Relationship Type="http://schemas.openxmlformats.org/officeDocument/2006/relationships/image" Target="/xl/media/image7941.jpg" Id="Rf79a7c5a625c4d83" /><Relationship Type="http://schemas.openxmlformats.org/officeDocument/2006/relationships/image" Target="/xl/media/image7942.jpg" Id="R0f684b4cbee8473a" /><Relationship Type="http://schemas.openxmlformats.org/officeDocument/2006/relationships/image" Target="/xl/media/image7943.jpg" Id="R6d3d1ae60bdd4699" /><Relationship Type="http://schemas.openxmlformats.org/officeDocument/2006/relationships/image" Target="/xl/media/image7944.jpg" Id="Rae6ca903f3a049f9" /><Relationship Type="http://schemas.openxmlformats.org/officeDocument/2006/relationships/image" Target="/xl/media/image7945.jpg" Id="R5202d6399ba94d0c" /><Relationship Type="http://schemas.openxmlformats.org/officeDocument/2006/relationships/image" Target="/xl/media/image7946.jpg" Id="Rbf10087019274500" /><Relationship Type="http://schemas.openxmlformats.org/officeDocument/2006/relationships/image" Target="/xl/media/image7947.jpg" Id="R944e7f2fa2fc4c85" /><Relationship Type="http://schemas.openxmlformats.org/officeDocument/2006/relationships/image" Target="/xl/media/image7948.jpg" Id="R37d1bf0b8404454f" /><Relationship Type="http://schemas.openxmlformats.org/officeDocument/2006/relationships/image" Target="/xl/media/image7949.jpg" Id="R7c2e0deb126f4c3c" /><Relationship Type="http://schemas.openxmlformats.org/officeDocument/2006/relationships/image" Target="/xl/media/image7950.jpg" Id="Rc4d1749ba2a048c9" /><Relationship Type="http://schemas.openxmlformats.org/officeDocument/2006/relationships/image" Target="/xl/media/image7951.jpg" Id="R3bc8625aaba74873" /><Relationship Type="http://schemas.openxmlformats.org/officeDocument/2006/relationships/image" Target="/xl/media/image7952.jpg" Id="R552e6bb549a74881" /><Relationship Type="http://schemas.openxmlformats.org/officeDocument/2006/relationships/image" Target="/xl/media/image7953.jpg" Id="R2c3d32eff34340d1" /><Relationship Type="http://schemas.openxmlformats.org/officeDocument/2006/relationships/image" Target="/xl/media/image7954.jpg" Id="R1073b94ae0bb4b6e" /><Relationship Type="http://schemas.openxmlformats.org/officeDocument/2006/relationships/image" Target="/xl/media/image7955.jpg" Id="R9495c862f2384da6" /><Relationship Type="http://schemas.openxmlformats.org/officeDocument/2006/relationships/image" Target="/xl/media/image7956.jpg" Id="R20a672ca09e94858" /><Relationship Type="http://schemas.openxmlformats.org/officeDocument/2006/relationships/image" Target="/xl/media/image7957.jpg" Id="R15160504a90b4bda" /><Relationship Type="http://schemas.openxmlformats.org/officeDocument/2006/relationships/image" Target="/xl/media/image7958.jpg" Id="Rcd0083693b5840f6" /><Relationship Type="http://schemas.openxmlformats.org/officeDocument/2006/relationships/image" Target="/xl/media/image7959.jpg" Id="Raa4381c350b94a6d" /><Relationship Type="http://schemas.openxmlformats.org/officeDocument/2006/relationships/image" Target="/xl/media/image7960.jpg" Id="Rc6e8b110dbf340df" /><Relationship Type="http://schemas.openxmlformats.org/officeDocument/2006/relationships/image" Target="/xl/media/image7961.jpg" Id="R17ed2463feee4785" /><Relationship Type="http://schemas.openxmlformats.org/officeDocument/2006/relationships/image" Target="/xl/media/image7962.jpg" Id="R75070cefd84a49c6" /><Relationship Type="http://schemas.openxmlformats.org/officeDocument/2006/relationships/image" Target="/xl/media/image7963.jpg" Id="Rb11f3381bde546b9" /><Relationship Type="http://schemas.openxmlformats.org/officeDocument/2006/relationships/image" Target="/xl/media/image7964.jpg" Id="R13cb35aabeb64b97" /><Relationship Type="http://schemas.openxmlformats.org/officeDocument/2006/relationships/image" Target="/xl/media/image7965.jpg" Id="R34d7cbd6ac384270" /><Relationship Type="http://schemas.openxmlformats.org/officeDocument/2006/relationships/image" Target="/xl/media/image7966.jpg" Id="Re49b7d9f2f924ebf" /><Relationship Type="http://schemas.openxmlformats.org/officeDocument/2006/relationships/image" Target="/xl/media/image7967.jpg" Id="R0188a8a562274959" /><Relationship Type="http://schemas.openxmlformats.org/officeDocument/2006/relationships/image" Target="/xl/media/image7968.jpg" Id="R3ecf9e9c947e42d9" /><Relationship Type="http://schemas.openxmlformats.org/officeDocument/2006/relationships/image" Target="/xl/media/image7969.jpg" Id="Ra75292d1400b4739" /><Relationship Type="http://schemas.openxmlformats.org/officeDocument/2006/relationships/image" Target="/xl/media/image7970.jpg" Id="R98dd05f9899d4244" /><Relationship Type="http://schemas.openxmlformats.org/officeDocument/2006/relationships/image" Target="/xl/media/image7971.jpg" Id="R1bff8f673fb54a91" /><Relationship Type="http://schemas.openxmlformats.org/officeDocument/2006/relationships/image" Target="/xl/media/image7972.jpg" Id="R5839ba056c9c4c96" /><Relationship Type="http://schemas.openxmlformats.org/officeDocument/2006/relationships/image" Target="/xl/media/image7973.jpg" Id="Reeea6b55625d4521" /><Relationship Type="http://schemas.openxmlformats.org/officeDocument/2006/relationships/image" Target="/xl/media/image7974.jpg" Id="Rc122487c86c644e8" /><Relationship Type="http://schemas.openxmlformats.org/officeDocument/2006/relationships/image" Target="/xl/media/image7975.jpg" Id="Rc8f81f4e923b4fe0" /><Relationship Type="http://schemas.openxmlformats.org/officeDocument/2006/relationships/image" Target="/xl/media/image7976.jpg" Id="Rcbc34b86ce7a4683" /><Relationship Type="http://schemas.openxmlformats.org/officeDocument/2006/relationships/image" Target="/xl/media/image7977.jpg" Id="Re6a276fce2904318" /><Relationship Type="http://schemas.openxmlformats.org/officeDocument/2006/relationships/image" Target="/xl/media/image7978.jpg" Id="R3b9dcff79acd4aa2" /><Relationship Type="http://schemas.openxmlformats.org/officeDocument/2006/relationships/image" Target="/xl/media/image7979.jpg" Id="R58e002f72add466e" /><Relationship Type="http://schemas.openxmlformats.org/officeDocument/2006/relationships/image" Target="/xl/media/image7980.jpg" Id="Ra1914bc3226747eb" /><Relationship Type="http://schemas.openxmlformats.org/officeDocument/2006/relationships/image" Target="/xl/media/image7981.jpg" Id="R04117e8f9ba04596" /><Relationship Type="http://schemas.openxmlformats.org/officeDocument/2006/relationships/image" Target="/xl/media/image7982.jpg" Id="Rdcd18254e9c64033" /><Relationship Type="http://schemas.openxmlformats.org/officeDocument/2006/relationships/image" Target="/xl/media/image7983.jpg" Id="R2001a80345034aed" /><Relationship Type="http://schemas.openxmlformats.org/officeDocument/2006/relationships/image" Target="/xl/media/image7984.jpg" Id="R5e8d0c0262b54382" /><Relationship Type="http://schemas.openxmlformats.org/officeDocument/2006/relationships/image" Target="/xl/media/image7985.jpg" Id="R0553d88b94464426" /><Relationship Type="http://schemas.openxmlformats.org/officeDocument/2006/relationships/image" Target="/xl/media/image7986.jpg" Id="R22d923e3a2424e34" /><Relationship Type="http://schemas.openxmlformats.org/officeDocument/2006/relationships/image" Target="/xl/media/image7987.jpg" Id="Rf72fe5469e604e5d" /><Relationship Type="http://schemas.openxmlformats.org/officeDocument/2006/relationships/image" Target="/xl/media/image7988.jpg" Id="R49a63efce63444dc" /><Relationship Type="http://schemas.openxmlformats.org/officeDocument/2006/relationships/image" Target="/xl/media/image7989.jpg" Id="Ra31e0b5786644d81" /><Relationship Type="http://schemas.openxmlformats.org/officeDocument/2006/relationships/image" Target="/xl/media/image7990.jpg" Id="R6e9be16408344800" /><Relationship Type="http://schemas.openxmlformats.org/officeDocument/2006/relationships/image" Target="/xl/media/image7991.jpg" Id="R07274ef2c38f4b18" /><Relationship Type="http://schemas.openxmlformats.org/officeDocument/2006/relationships/image" Target="/xl/media/image7992.jpg" Id="Rc3a563cd936b4823" /><Relationship Type="http://schemas.openxmlformats.org/officeDocument/2006/relationships/image" Target="/xl/media/image7993.jpg" Id="Re724e03abd894171" /><Relationship Type="http://schemas.openxmlformats.org/officeDocument/2006/relationships/image" Target="/xl/media/image7994.jpg" Id="Rd834cbc7f4424d0c" /><Relationship Type="http://schemas.openxmlformats.org/officeDocument/2006/relationships/image" Target="/xl/media/image7995.jpg" Id="Rdfa7854816da4b3f" /><Relationship Type="http://schemas.openxmlformats.org/officeDocument/2006/relationships/image" Target="/xl/media/image7996.jpg" Id="Rb18ac0dd5baa4a39" /><Relationship Type="http://schemas.openxmlformats.org/officeDocument/2006/relationships/image" Target="/xl/media/image7997.jpg" Id="R3927a975a0114ad6" /><Relationship Type="http://schemas.openxmlformats.org/officeDocument/2006/relationships/image" Target="/xl/media/image7998.jpg" Id="Rebc4c3d1c251495c" /><Relationship Type="http://schemas.openxmlformats.org/officeDocument/2006/relationships/image" Target="/xl/media/image7999.jpg" Id="R3086b76fbbca4f80" /><Relationship Type="http://schemas.openxmlformats.org/officeDocument/2006/relationships/image" Target="/xl/media/image8000.jpg" Id="Rba00329469a645d7" /><Relationship Type="http://schemas.openxmlformats.org/officeDocument/2006/relationships/image" Target="/xl/media/image8001.jpg" Id="R6457e8dcb3ba46f8" /><Relationship Type="http://schemas.openxmlformats.org/officeDocument/2006/relationships/image" Target="/xl/media/image8002.jpg" Id="R410ff819df8f499d" /><Relationship Type="http://schemas.openxmlformats.org/officeDocument/2006/relationships/image" Target="/xl/media/image8003.jpg" Id="R8e3f2811346c4627" /><Relationship Type="http://schemas.openxmlformats.org/officeDocument/2006/relationships/image" Target="/xl/media/image8004.jpg" Id="R997b0a16569743bb" /><Relationship Type="http://schemas.openxmlformats.org/officeDocument/2006/relationships/image" Target="/xl/media/image8005.jpg" Id="R2fd1d29c0b5d42d1" /><Relationship Type="http://schemas.openxmlformats.org/officeDocument/2006/relationships/image" Target="/xl/media/image8006.jpg" Id="R974c52268e374eb7" /><Relationship Type="http://schemas.openxmlformats.org/officeDocument/2006/relationships/image" Target="/xl/media/image8007.jpg" Id="R697be7f869244678" /><Relationship Type="http://schemas.openxmlformats.org/officeDocument/2006/relationships/image" Target="/xl/media/image8008.jpg" Id="Rc8caf0d40eec4786" /><Relationship Type="http://schemas.openxmlformats.org/officeDocument/2006/relationships/image" Target="/xl/media/image8009.jpg" Id="R87e37ef8132042c1" /><Relationship Type="http://schemas.openxmlformats.org/officeDocument/2006/relationships/image" Target="/xl/media/image8010.jpg" Id="R41342f6001ac4e43" /><Relationship Type="http://schemas.openxmlformats.org/officeDocument/2006/relationships/image" Target="/xl/media/image8011.jpg" Id="R3fba7192390c43c1" /><Relationship Type="http://schemas.openxmlformats.org/officeDocument/2006/relationships/image" Target="/xl/media/image8012.jpg" Id="R8ffe48528dfe41b5" /><Relationship Type="http://schemas.openxmlformats.org/officeDocument/2006/relationships/image" Target="/xl/media/image8013.jpg" Id="R7602e10fb8e245f6" /><Relationship Type="http://schemas.openxmlformats.org/officeDocument/2006/relationships/image" Target="/xl/media/image8014.jpg" Id="R3c4e92305dfa4618" /><Relationship Type="http://schemas.openxmlformats.org/officeDocument/2006/relationships/image" Target="/xl/media/image8015.jpg" Id="R3ebcb4fa5ae54134" /><Relationship Type="http://schemas.openxmlformats.org/officeDocument/2006/relationships/image" Target="/xl/media/image8016.jpg" Id="R0970dc1324e94225" /><Relationship Type="http://schemas.openxmlformats.org/officeDocument/2006/relationships/image" Target="/xl/media/image8017.jpg" Id="R22eb18b3e3bf4160" /><Relationship Type="http://schemas.openxmlformats.org/officeDocument/2006/relationships/image" Target="/xl/media/image8018.jpg" Id="Rd77bf85cce404ee2" /><Relationship Type="http://schemas.openxmlformats.org/officeDocument/2006/relationships/image" Target="/xl/media/image8019.jpg" Id="Rbe136cf90bd44386" /><Relationship Type="http://schemas.openxmlformats.org/officeDocument/2006/relationships/image" Target="/xl/media/image8020.jpg" Id="Re1b39cc5a9204d8e" /><Relationship Type="http://schemas.openxmlformats.org/officeDocument/2006/relationships/image" Target="/xl/media/image8021.jpg" Id="R06f7c1bc61d5456b" /><Relationship Type="http://schemas.openxmlformats.org/officeDocument/2006/relationships/image" Target="/xl/media/image8022.jpg" Id="R5b84e8c6b6724398" /><Relationship Type="http://schemas.openxmlformats.org/officeDocument/2006/relationships/image" Target="/xl/media/image8023.jpg" Id="R53756b7feed4435e" /><Relationship Type="http://schemas.openxmlformats.org/officeDocument/2006/relationships/image" Target="/xl/media/image8024.jpg" Id="R107ef8899a984cba" /><Relationship Type="http://schemas.openxmlformats.org/officeDocument/2006/relationships/image" Target="/xl/media/image8025.jpg" Id="R5b6b0eeae7e941f8" /><Relationship Type="http://schemas.openxmlformats.org/officeDocument/2006/relationships/image" Target="/xl/media/image8026.jpg" Id="Rad8f7a07bfd24b7f" /><Relationship Type="http://schemas.openxmlformats.org/officeDocument/2006/relationships/image" Target="/xl/media/image8027.jpg" Id="R60e1843a53cc484e" /><Relationship Type="http://schemas.openxmlformats.org/officeDocument/2006/relationships/image" Target="/xl/media/image8028.jpg" Id="R7a40196233434357" /><Relationship Type="http://schemas.openxmlformats.org/officeDocument/2006/relationships/image" Target="/xl/media/image8029.jpg" Id="Rf3ce0719d2fc4c36" /><Relationship Type="http://schemas.openxmlformats.org/officeDocument/2006/relationships/image" Target="/xl/media/image8030.jpg" Id="R3ab613020cb94f6a" /><Relationship Type="http://schemas.openxmlformats.org/officeDocument/2006/relationships/image" Target="/xl/media/image8031.jpg" Id="Re4074163d55e4ce0" /><Relationship Type="http://schemas.openxmlformats.org/officeDocument/2006/relationships/image" Target="/xl/media/image8032.jpg" Id="Rdf10529be6264c16" /><Relationship Type="http://schemas.openxmlformats.org/officeDocument/2006/relationships/image" Target="/xl/media/image8033.jpg" Id="Re14040395e82406a" /><Relationship Type="http://schemas.openxmlformats.org/officeDocument/2006/relationships/image" Target="/xl/media/image8034.jpg" Id="R50b90904ac8943cc" /><Relationship Type="http://schemas.openxmlformats.org/officeDocument/2006/relationships/image" Target="/xl/media/image8035.jpg" Id="R2ff7bd79d7184245" /><Relationship Type="http://schemas.openxmlformats.org/officeDocument/2006/relationships/image" Target="/xl/media/image8036.jpg" Id="Rad40309ae2f04445" /><Relationship Type="http://schemas.openxmlformats.org/officeDocument/2006/relationships/image" Target="/xl/media/image8037.jpg" Id="Rfd0aac75a13a4053" /><Relationship Type="http://schemas.openxmlformats.org/officeDocument/2006/relationships/image" Target="/xl/media/image8038.jpg" Id="Rf32d7b92bd284fb4" /><Relationship Type="http://schemas.openxmlformats.org/officeDocument/2006/relationships/image" Target="/xl/media/image8039.jpg" Id="Rea2bfb664149413d" /><Relationship Type="http://schemas.openxmlformats.org/officeDocument/2006/relationships/image" Target="/xl/media/image8040.jpg" Id="R8fadb79b3b7d4569" /><Relationship Type="http://schemas.openxmlformats.org/officeDocument/2006/relationships/image" Target="/xl/media/image8041.jpg" Id="R43092958c9ea475b" /><Relationship Type="http://schemas.openxmlformats.org/officeDocument/2006/relationships/image" Target="/xl/media/image8042.jpg" Id="R7dcfb1fa15de4619" /><Relationship Type="http://schemas.openxmlformats.org/officeDocument/2006/relationships/image" Target="/xl/media/image8043.jpg" Id="Rec77d0b8f0524f1d" /><Relationship Type="http://schemas.openxmlformats.org/officeDocument/2006/relationships/image" Target="/xl/media/image8044.jpg" Id="R413ee8ab01134117" /><Relationship Type="http://schemas.openxmlformats.org/officeDocument/2006/relationships/image" Target="/xl/media/image8045.jpg" Id="R1b1c9e758c6c4f2b" /><Relationship Type="http://schemas.openxmlformats.org/officeDocument/2006/relationships/image" Target="/xl/media/image8046.jpg" Id="R6fb64c8113dd4c8c" /><Relationship Type="http://schemas.openxmlformats.org/officeDocument/2006/relationships/image" Target="/xl/media/image8047.jpg" Id="R2daedbc00c4f493e" /><Relationship Type="http://schemas.openxmlformats.org/officeDocument/2006/relationships/image" Target="/xl/media/image8048.jpg" Id="Rdf5fbd186f914865" /><Relationship Type="http://schemas.openxmlformats.org/officeDocument/2006/relationships/image" Target="/xl/media/image8049.jpg" Id="Rfdc00faf9f5a4907" /><Relationship Type="http://schemas.openxmlformats.org/officeDocument/2006/relationships/image" Target="/xl/media/image8050.jpg" Id="R6565df5c833e42f4" /><Relationship Type="http://schemas.openxmlformats.org/officeDocument/2006/relationships/image" Target="/xl/media/image8051.jpg" Id="Rcd2381c486a44387" /><Relationship Type="http://schemas.openxmlformats.org/officeDocument/2006/relationships/image" Target="/xl/media/image8052.jpg" Id="R082dab6692f64a2b" /><Relationship Type="http://schemas.openxmlformats.org/officeDocument/2006/relationships/image" Target="/xl/media/image8053.jpg" Id="Rb46e1881a360434a" /><Relationship Type="http://schemas.openxmlformats.org/officeDocument/2006/relationships/image" Target="/xl/media/image8054.jpg" Id="R3ca8d6381c294b5a" /><Relationship Type="http://schemas.openxmlformats.org/officeDocument/2006/relationships/image" Target="/xl/media/image8055.jpg" Id="Rfb32758ce3344cf1" /><Relationship Type="http://schemas.openxmlformats.org/officeDocument/2006/relationships/image" Target="/xl/media/image8056.jpg" Id="R118d4c39a834475e" /><Relationship Type="http://schemas.openxmlformats.org/officeDocument/2006/relationships/image" Target="/xl/media/image8057.jpg" Id="Rca4bd2422ad94f1f" /><Relationship Type="http://schemas.openxmlformats.org/officeDocument/2006/relationships/image" Target="/xl/media/image8058.jpg" Id="Rceecc17a540e43bd" /><Relationship Type="http://schemas.openxmlformats.org/officeDocument/2006/relationships/image" Target="/xl/media/image8059.jpg" Id="R8c6f0cebda8a49ff" /><Relationship Type="http://schemas.openxmlformats.org/officeDocument/2006/relationships/image" Target="/xl/media/image8060.jpg" Id="R4d6b2d0cb8bb49f5" /><Relationship Type="http://schemas.openxmlformats.org/officeDocument/2006/relationships/image" Target="/xl/media/image8061.jpg" Id="R8be4e9d7a19f46c2" /><Relationship Type="http://schemas.openxmlformats.org/officeDocument/2006/relationships/image" Target="/xl/media/image8062.jpg" Id="Rc985c078f1e04494" /><Relationship Type="http://schemas.openxmlformats.org/officeDocument/2006/relationships/image" Target="/xl/media/image8063.jpg" Id="Rc259acf8b9c64e76" /><Relationship Type="http://schemas.openxmlformats.org/officeDocument/2006/relationships/image" Target="/xl/media/image8064.jpg" Id="R0ba31c535c034766" /><Relationship Type="http://schemas.openxmlformats.org/officeDocument/2006/relationships/image" Target="/xl/media/image8065.jpg" Id="R2fc2b76473a04f6c" /><Relationship Type="http://schemas.openxmlformats.org/officeDocument/2006/relationships/image" Target="/xl/media/image8066.jpg" Id="R8d17a10d45864dd5" /><Relationship Type="http://schemas.openxmlformats.org/officeDocument/2006/relationships/image" Target="/xl/media/image8067.jpg" Id="R61e6a2a4244248b0" /><Relationship Type="http://schemas.openxmlformats.org/officeDocument/2006/relationships/image" Target="/xl/media/image8068.jpg" Id="R081ea6ff58464b0f" /><Relationship Type="http://schemas.openxmlformats.org/officeDocument/2006/relationships/image" Target="/xl/media/image8069.jpg" Id="R7b77620c279d4428" /><Relationship Type="http://schemas.openxmlformats.org/officeDocument/2006/relationships/image" Target="/xl/media/image8070.jpg" Id="R393285b4bcfd48d5" /><Relationship Type="http://schemas.openxmlformats.org/officeDocument/2006/relationships/image" Target="/xl/media/image8071.jpg" Id="Rea7946c53cee4d50" /><Relationship Type="http://schemas.openxmlformats.org/officeDocument/2006/relationships/image" Target="/xl/media/image8072.jpg" Id="R4a590e5885c94a10" /><Relationship Type="http://schemas.openxmlformats.org/officeDocument/2006/relationships/image" Target="/xl/media/image8073.jpg" Id="R721f88a1b8c446cd" /><Relationship Type="http://schemas.openxmlformats.org/officeDocument/2006/relationships/image" Target="/xl/media/image8074.jpg" Id="R7553ffd87d304dce" /><Relationship Type="http://schemas.openxmlformats.org/officeDocument/2006/relationships/image" Target="/xl/media/image8075.jpg" Id="R17a7f9c5644f4d9b" /><Relationship Type="http://schemas.openxmlformats.org/officeDocument/2006/relationships/image" Target="/xl/media/image8076.jpg" Id="R0d12dc919d7245d9" /><Relationship Type="http://schemas.openxmlformats.org/officeDocument/2006/relationships/image" Target="/xl/media/image8077.jpg" Id="R37ee894607914615" /><Relationship Type="http://schemas.openxmlformats.org/officeDocument/2006/relationships/image" Target="/xl/media/image8078.jpg" Id="R3bd6a5e8eedc43b5" /><Relationship Type="http://schemas.openxmlformats.org/officeDocument/2006/relationships/image" Target="/xl/media/image8079.jpg" Id="R8339e8f746fa41c3" /><Relationship Type="http://schemas.openxmlformats.org/officeDocument/2006/relationships/image" Target="/xl/media/image8080.jpg" Id="Rbd9c496e35e54dfb" /><Relationship Type="http://schemas.openxmlformats.org/officeDocument/2006/relationships/image" Target="/xl/media/image8081.jpg" Id="Re36632855ee04823" /><Relationship Type="http://schemas.openxmlformats.org/officeDocument/2006/relationships/image" Target="/xl/media/image8082.jpg" Id="R6604f80d71784067" /><Relationship Type="http://schemas.openxmlformats.org/officeDocument/2006/relationships/image" Target="/xl/media/image8083.jpg" Id="Rfb1ca51020994cbd" /><Relationship Type="http://schemas.openxmlformats.org/officeDocument/2006/relationships/image" Target="/xl/media/image8084.jpg" Id="Rbb7efb086faf4a8e" /><Relationship Type="http://schemas.openxmlformats.org/officeDocument/2006/relationships/image" Target="/xl/media/image8085.jpg" Id="Rc6b85badb2a3441f" /><Relationship Type="http://schemas.openxmlformats.org/officeDocument/2006/relationships/image" Target="/xl/media/image8086.jpg" Id="Ra0e84b7f988b4297" /><Relationship Type="http://schemas.openxmlformats.org/officeDocument/2006/relationships/image" Target="/xl/media/image8087.jpg" Id="R171b0c49ad3240ff" /><Relationship Type="http://schemas.openxmlformats.org/officeDocument/2006/relationships/image" Target="/xl/media/image8088.jpg" Id="Ra62ea1e5d17f4f6f" /><Relationship Type="http://schemas.openxmlformats.org/officeDocument/2006/relationships/image" Target="/xl/media/image8089.jpg" Id="R8f8cc42b5d7641b9" /><Relationship Type="http://schemas.openxmlformats.org/officeDocument/2006/relationships/image" Target="/xl/media/image8090.jpg" Id="Rdf5c130814bb4beb" /><Relationship Type="http://schemas.openxmlformats.org/officeDocument/2006/relationships/image" Target="/xl/media/image8091.jpg" Id="R5a0b31188ad74e20" /><Relationship Type="http://schemas.openxmlformats.org/officeDocument/2006/relationships/image" Target="/xl/media/image8092.jpg" Id="Rc4e0e9c6074e4faf" /><Relationship Type="http://schemas.openxmlformats.org/officeDocument/2006/relationships/image" Target="/xl/media/image8093.jpg" Id="R3a7c7feccd774e60" /><Relationship Type="http://schemas.openxmlformats.org/officeDocument/2006/relationships/image" Target="/xl/media/image8094.jpg" Id="R36601f8c80c0473d" /><Relationship Type="http://schemas.openxmlformats.org/officeDocument/2006/relationships/image" Target="/xl/media/image8095.jpg" Id="R043ddc8a73384110" /><Relationship Type="http://schemas.openxmlformats.org/officeDocument/2006/relationships/image" Target="/xl/media/image8096.jpg" Id="R12b400a31c7c4a6d" /><Relationship Type="http://schemas.openxmlformats.org/officeDocument/2006/relationships/image" Target="/xl/media/image8097.jpg" Id="Rcd18fa9041f74b53" /><Relationship Type="http://schemas.openxmlformats.org/officeDocument/2006/relationships/image" Target="/xl/media/image8098.jpg" Id="R647e1cb9ea744422" /><Relationship Type="http://schemas.openxmlformats.org/officeDocument/2006/relationships/image" Target="/xl/media/image8099.jpg" Id="Rb5b501c8c70a4fbe" /><Relationship Type="http://schemas.openxmlformats.org/officeDocument/2006/relationships/image" Target="/xl/media/image8100.jpg" Id="R0292eddb644e466e" /><Relationship Type="http://schemas.openxmlformats.org/officeDocument/2006/relationships/image" Target="/xl/media/image8101.jpg" Id="R41bb20eb18e943dd" /><Relationship Type="http://schemas.openxmlformats.org/officeDocument/2006/relationships/image" Target="/xl/media/image8102.jpg" Id="Ra5347a26d2a34575" /><Relationship Type="http://schemas.openxmlformats.org/officeDocument/2006/relationships/image" Target="/xl/media/image8103.jpg" Id="R34bb82c78f6a41a5" /><Relationship Type="http://schemas.openxmlformats.org/officeDocument/2006/relationships/image" Target="/xl/media/image8104.jpg" Id="R16cc5aa651bc4c86" /><Relationship Type="http://schemas.openxmlformats.org/officeDocument/2006/relationships/image" Target="/xl/media/image8105.jpg" Id="Rd1ecf6ec33fa4038" /><Relationship Type="http://schemas.openxmlformats.org/officeDocument/2006/relationships/image" Target="/xl/media/image8106.jpg" Id="R83ded652014b47eb" /><Relationship Type="http://schemas.openxmlformats.org/officeDocument/2006/relationships/image" Target="/xl/media/image8107.jpg" Id="Rdbf2c0c9b7bf486e" /><Relationship Type="http://schemas.openxmlformats.org/officeDocument/2006/relationships/image" Target="/xl/media/image8108.jpg" Id="Rd7ad2691f6c94aab" /><Relationship Type="http://schemas.openxmlformats.org/officeDocument/2006/relationships/image" Target="/xl/media/image8109.jpg" Id="R2068529a8bca4b38" /><Relationship Type="http://schemas.openxmlformats.org/officeDocument/2006/relationships/image" Target="/xl/media/image8110.jpg" Id="R14e8349745a744ec" /><Relationship Type="http://schemas.openxmlformats.org/officeDocument/2006/relationships/image" Target="/xl/media/image8111.jpg" Id="R12a303c204a64a6f" /><Relationship Type="http://schemas.openxmlformats.org/officeDocument/2006/relationships/image" Target="/xl/media/image8112.jpg" Id="Rcf31507bb1594a6c" /><Relationship Type="http://schemas.openxmlformats.org/officeDocument/2006/relationships/image" Target="/xl/media/image8113.jpg" Id="Rb2c167cba3184208" /><Relationship Type="http://schemas.openxmlformats.org/officeDocument/2006/relationships/image" Target="/xl/media/image8114.jpg" Id="R094c374c6a384ec6" /><Relationship Type="http://schemas.openxmlformats.org/officeDocument/2006/relationships/image" Target="/xl/media/image8115.jpg" Id="R94badd4572fa4369" /><Relationship Type="http://schemas.openxmlformats.org/officeDocument/2006/relationships/image" Target="/xl/media/image8116.jpg" Id="R099c92f1b7f04006" /><Relationship Type="http://schemas.openxmlformats.org/officeDocument/2006/relationships/image" Target="/xl/media/image8117.jpg" Id="R0bdfbae425d6491a" /><Relationship Type="http://schemas.openxmlformats.org/officeDocument/2006/relationships/image" Target="/xl/media/image8118.jpg" Id="R662e3ab112d34ac7" /><Relationship Type="http://schemas.openxmlformats.org/officeDocument/2006/relationships/image" Target="/xl/media/image8119.jpg" Id="Rd55b17eb9422433a" /><Relationship Type="http://schemas.openxmlformats.org/officeDocument/2006/relationships/image" Target="/xl/media/image8120.jpg" Id="R0aa74a3fd9c445fc" /><Relationship Type="http://schemas.openxmlformats.org/officeDocument/2006/relationships/image" Target="/xl/media/image8121.jpg" Id="R21c062c681924807" /><Relationship Type="http://schemas.openxmlformats.org/officeDocument/2006/relationships/image" Target="/xl/media/image8122.jpg" Id="R8ac804dbeab2446f" /><Relationship Type="http://schemas.openxmlformats.org/officeDocument/2006/relationships/image" Target="/xl/media/image8123.jpg" Id="Ra5e2e2b6f07b41f3" /><Relationship Type="http://schemas.openxmlformats.org/officeDocument/2006/relationships/image" Target="/xl/media/image8124.jpg" Id="R36485790fa594bca" /><Relationship Type="http://schemas.openxmlformats.org/officeDocument/2006/relationships/image" Target="/xl/media/image8125.jpg" Id="R8a440b60cceb45ed" /><Relationship Type="http://schemas.openxmlformats.org/officeDocument/2006/relationships/image" Target="/xl/media/image8126.jpg" Id="R5224b1c543b144ed" /><Relationship Type="http://schemas.openxmlformats.org/officeDocument/2006/relationships/image" Target="/xl/media/image8127.jpg" Id="R85a1e6476085434f" /><Relationship Type="http://schemas.openxmlformats.org/officeDocument/2006/relationships/image" Target="/xl/media/image8128.jpg" Id="Rf805e40af9834047" /><Relationship Type="http://schemas.openxmlformats.org/officeDocument/2006/relationships/image" Target="/xl/media/image8129.jpg" Id="R9390644df88f4672" /><Relationship Type="http://schemas.openxmlformats.org/officeDocument/2006/relationships/image" Target="/xl/media/image8130.jpg" Id="R8a696c8a438d4d79" /><Relationship Type="http://schemas.openxmlformats.org/officeDocument/2006/relationships/image" Target="/xl/media/image8131.jpg" Id="Rb2c8a14eb0d94358" /><Relationship Type="http://schemas.openxmlformats.org/officeDocument/2006/relationships/image" Target="/xl/media/image8132.jpg" Id="R51755c37050947aa" /><Relationship Type="http://schemas.openxmlformats.org/officeDocument/2006/relationships/image" Target="/xl/media/image8133.jpg" Id="R062b7006d5a1443f" /><Relationship Type="http://schemas.openxmlformats.org/officeDocument/2006/relationships/image" Target="/xl/media/image8134.jpg" Id="R678523d5fc3e413d" /><Relationship Type="http://schemas.openxmlformats.org/officeDocument/2006/relationships/image" Target="/xl/media/image8135.jpg" Id="R81a098a65b084d96" /><Relationship Type="http://schemas.openxmlformats.org/officeDocument/2006/relationships/image" Target="/xl/media/image8136.jpg" Id="Rf2b7bf0ee41c4ae2" /><Relationship Type="http://schemas.openxmlformats.org/officeDocument/2006/relationships/image" Target="/xl/media/image8137.jpg" Id="Rd498bd8457804f2a" /><Relationship Type="http://schemas.openxmlformats.org/officeDocument/2006/relationships/image" Target="/xl/media/image8138.jpg" Id="Re6f7635d33fc4579" /><Relationship Type="http://schemas.openxmlformats.org/officeDocument/2006/relationships/image" Target="/xl/media/image8139.jpg" Id="R601e2b3bdc7e4e47" /><Relationship Type="http://schemas.openxmlformats.org/officeDocument/2006/relationships/image" Target="/xl/media/image8140.jpg" Id="R00332d8b5a694ffd" /><Relationship Type="http://schemas.openxmlformats.org/officeDocument/2006/relationships/image" Target="/xl/media/image8141.jpg" Id="R93182cf93dab4c0e" /><Relationship Type="http://schemas.openxmlformats.org/officeDocument/2006/relationships/image" Target="/xl/media/image8142.jpg" Id="Ra874926f40964a08" /><Relationship Type="http://schemas.openxmlformats.org/officeDocument/2006/relationships/image" Target="/xl/media/image8143.jpg" Id="R6d074bace521447d" /><Relationship Type="http://schemas.openxmlformats.org/officeDocument/2006/relationships/image" Target="/xl/media/image8144.jpg" Id="Reb0d403e55b24c95" /><Relationship Type="http://schemas.openxmlformats.org/officeDocument/2006/relationships/image" Target="/xl/media/image8145.jpg" Id="Rc20a5d3a46924ddf" /><Relationship Type="http://schemas.openxmlformats.org/officeDocument/2006/relationships/image" Target="/xl/media/image8146.jpg" Id="R05bdb64bd059441d" /><Relationship Type="http://schemas.openxmlformats.org/officeDocument/2006/relationships/image" Target="/xl/media/image8147.jpg" Id="R355617de8f4344d8" /><Relationship Type="http://schemas.openxmlformats.org/officeDocument/2006/relationships/image" Target="/xl/media/image8148.jpg" Id="Rfb3d3e22398945e9" /><Relationship Type="http://schemas.openxmlformats.org/officeDocument/2006/relationships/image" Target="/xl/media/image8149.jpg" Id="Ra0ef5b0ce4224ad3" /><Relationship Type="http://schemas.openxmlformats.org/officeDocument/2006/relationships/image" Target="/xl/media/image8150.jpg" Id="R714575ae302b4fa6" /><Relationship Type="http://schemas.openxmlformats.org/officeDocument/2006/relationships/image" Target="/xl/media/image8151.jpg" Id="R4946e4a678c0402c" /><Relationship Type="http://schemas.openxmlformats.org/officeDocument/2006/relationships/image" Target="/xl/media/image8152.jpg" Id="R0a87709679f84603" /><Relationship Type="http://schemas.openxmlformats.org/officeDocument/2006/relationships/image" Target="/xl/media/image8153.jpg" Id="Rc9bc350bccf84372" /><Relationship Type="http://schemas.openxmlformats.org/officeDocument/2006/relationships/image" Target="/xl/media/image8154.jpg" Id="Re5e2d4663cd04d6f" /><Relationship Type="http://schemas.openxmlformats.org/officeDocument/2006/relationships/image" Target="/xl/media/image8155.jpg" Id="R1845bc4022604163" /><Relationship Type="http://schemas.openxmlformats.org/officeDocument/2006/relationships/image" Target="/xl/media/image8156.jpg" Id="R57b21c972b814580" /><Relationship Type="http://schemas.openxmlformats.org/officeDocument/2006/relationships/image" Target="/xl/media/image8157.jpg" Id="R00e211501ea74239" /><Relationship Type="http://schemas.openxmlformats.org/officeDocument/2006/relationships/image" Target="/xl/media/image8158.jpg" Id="R68dc6d5e2cb44f5d" /><Relationship Type="http://schemas.openxmlformats.org/officeDocument/2006/relationships/image" Target="/xl/media/image8159.jpg" Id="R8ce0f284fc014fec" /><Relationship Type="http://schemas.openxmlformats.org/officeDocument/2006/relationships/image" Target="/xl/media/image8160.jpg" Id="Ra9bc5cf044084ec2" /><Relationship Type="http://schemas.openxmlformats.org/officeDocument/2006/relationships/image" Target="/xl/media/image8161.jpg" Id="R485c1a0f920b4419" /><Relationship Type="http://schemas.openxmlformats.org/officeDocument/2006/relationships/image" Target="/xl/media/image8162.jpg" Id="Rec660f78320d410f" /><Relationship Type="http://schemas.openxmlformats.org/officeDocument/2006/relationships/image" Target="/xl/media/image8163.jpg" Id="R55bf9abafa074a57" /><Relationship Type="http://schemas.openxmlformats.org/officeDocument/2006/relationships/image" Target="/xl/media/image8164.jpg" Id="Redcbf547390d4d30" /><Relationship Type="http://schemas.openxmlformats.org/officeDocument/2006/relationships/image" Target="/xl/media/image8165.jpg" Id="Rf406a8d621e24255" /><Relationship Type="http://schemas.openxmlformats.org/officeDocument/2006/relationships/image" Target="/xl/media/image8166.jpg" Id="R83497803004a4b2e" /><Relationship Type="http://schemas.openxmlformats.org/officeDocument/2006/relationships/image" Target="/xl/media/image8167.jpg" Id="R1d58ca4e955345d6" /><Relationship Type="http://schemas.openxmlformats.org/officeDocument/2006/relationships/image" Target="/xl/media/image8168.jpg" Id="R5dbbe1af04c948db" /><Relationship Type="http://schemas.openxmlformats.org/officeDocument/2006/relationships/image" Target="/xl/media/image8169.jpg" Id="R439bbe648d3949ce" /><Relationship Type="http://schemas.openxmlformats.org/officeDocument/2006/relationships/image" Target="/xl/media/image8170.jpg" Id="R0962d234c0014120" /><Relationship Type="http://schemas.openxmlformats.org/officeDocument/2006/relationships/image" Target="/xl/media/image8171.jpg" Id="R1b32e9cd3889414d" /><Relationship Type="http://schemas.openxmlformats.org/officeDocument/2006/relationships/image" Target="/xl/media/image8172.jpg" Id="Rb9bd4181dfcf4474" /><Relationship Type="http://schemas.openxmlformats.org/officeDocument/2006/relationships/image" Target="/xl/media/image8173.jpg" Id="Rb6a2d0f9b6b2458e" /><Relationship Type="http://schemas.openxmlformats.org/officeDocument/2006/relationships/image" Target="/xl/media/image8174.jpg" Id="Re773701285044726" /><Relationship Type="http://schemas.openxmlformats.org/officeDocument/2006/relationships/image" Target="/xl/media/image8175.jpg" Id="Rdd4c5761547c4bf2" /><Relationship Type="http://schemas.openxmlformats.org/officeDocument/2006/relationships/image" Target="/xl/media/image8176.jpg" Id="Redaf7e0302544d81" /><Relationship Type="http://schemas.openxmlformats.org/officeDocument/2006/relationships/image" Target="/xl/media/image8177.jpg" Id="R15d84fa5c5fc40fb" /><Relationship Type="http://schemas.openxmlformats.org/officeDocument/2006/relationships/image" Target="/xl/media/image8178.jpg" Id="R9e546e8e172248ab" /><Relationship Type="http://schemas.openxmlformats.org/officeDocument/2006/relationships/image" Target="/xl/media/image8179.jpg" Id="Rf31c57a9c83d455d" /><Relationship Type="http://schemas.openxmlformats.org/officeDocument/2006/relationships/image" Target="/xl/media/image8180.jpg" Id="R209bc563f7394255" /><Relationship Type="http://schemas.openxmlformats.org/officeDocument/2006/relationships/image" Target="/xl/media/image8181.jpg" Id="Rad6850cb3cff4d43" /><Relationship Type="http://schemas.openxmlformats.org/officeDocument/2006/relationships/image" Target="/xl/media/image8182.jpg" Id="Refc94b1d417e43e9" /><Relationship Type="http://schemas.openxmlformats.org/officeDocument/2006/relationships/image" Target="/xl/media/image8183.jpg" Id="Refbf6a270a494c1c" /><Relationship Type="http://schemas.openxmlformats.org/officeDocument/2006/relationships/image" Target="/xl/media/image8184.jpg" Id="R8656622d6a9a454f" /><Relationship Type="http://schemas.openxmlformats.org/officeDocument/2006/relationships/image" Target="/xl/media/image8185.jpg" Id="R89ca998cc4a047f3" /><Relationship Type="http://schemas.openxmlformats.org/officeDocument/2006/relationships/image" Target="/xl/media/image8186.jpg" Id="R8853920bdd614b57" /><Relationship Type="http://schemas.openxmlformats.org/officeDocument/2006/relationships/image" Target="/xl/media/image8187.jpg" Id="R6330740077a94ef8" /><Relationship Type="http://schemas.openxmlformats.org/officeDocument/2006/relationships/image" Target="/xl/media/image8188.jpg" Id="Rdf87f444e7624928" /><Relationship Type="http://schemas.openxmlformats.org/officeDocument/2006/relationships/image" Target="/xl/media/image8189.jpg" Id="Rf7cca76955974304" /><Relationship Type="http://schemas.openxmlformats.org/officeDocument/2006/relationships/image" Target="/xl/media/image8190.jpg" Id="R6a781f3492c841eb" /><Relationship Type="http://schemas.openxmlformats.org/officeDocument/2006/relationships/image" Target="/xl/media/image8191.jpg" Id="R19deecb208cd4351" /><Relationship Type="http://schemas.openxmlformats.org/officeDocument/2006/relationships/image" Target="/xl/media/image8192.jpg" Id="R6d58db3392424c9f" /><Relationship Type="http://schemas.openxmlformats.org/officeDocument/2006/relationships/image" Target="/xl/media/image8193.jpg" Id="R99c1549230304304" /><Relationship Type="http://schemas.openxmlformats.org/officeDocument/2006/relationships/image" Target="/xl/media/image8194.jpg" Id="R365899f0469d44b6" /><Relationship Type="http://schemas.openxmlformats.org/officeDocument/2006/relationships/image" Target="/xl/media/image8195.jpg" Id="R35aba762f7eb4ac0" /><Relationship Type="http://schemas.openxmlformats.org/officeDocument/2006/relationships/image" Target="/xl/media/image8196.jpg" Id="Re6b51086113246b5" /><Relationship Type="http://schemas.openxmlformats.org/officeDocument/2006/relationships/image" Target="/xl/media/image8197.jpg" Id="R118058c00bd843de" /><Relationship Type="http://schemas.openxmlformats.org/officeDocument/2006/relationships/image" Target="/xl/media/image8198.jpg" Id="R99c378f906554c1e" /><Relationship Type="http://schemas.openxmlformats.org/officeDocument/2006/relationships/image" Target="/xl/media/image8199.jpg" Id="R1af4ba13a9b34a94" /><Relationship Type="http://schemas.openxmlformats.org/officeDocument/2006/relationships/image" Target="/xl/media/image8200.jpg" Id="Rd57ada8ffd5c4f1d" /><Relationship Type="http://schemas.openxmlformats.org/officeDocument/2006/relationships/image" Target="/xl/media/image8201.jpg" Id="R3116cc4b775f43ef" /><Relationship Type="http://schemas.openxmlformats.org/officeDocument/2006/relationships/image" Target="/xl/media/image8202.jpg" Id="Rfb5f9c63d3514a82" /><Relationship Type="http://schemas.openxmlformats.org/officeDocument/2006/relationships/image" Target="/xl/media/image8203.jpg" Id="R883b003f89ef4b57" /><Relationship Type="http://schemas.openxmlformats.org/officeDocument/2006/relationships/image" Target="/xl/media/image8204.jpg" Id="R7a7cf75e127346be" /><Relationship Type="http://schemas.openxmlformats.org/officeDocument/2006/relationships/image" Target="/xl/media/image8205.jpg" Id="Rdef54edd3582413e" /><Relationship Type="http://schemas.openxmlformats.org/officeDocument/2006/relationships/image" Target="/xl/media/image8206.jpg" Id="R0d9bafec729d46d3" /><Relationship Type="http://schemas.openxmlformats.org/officeDocument/2006/relationships/image" Target="/xl/media/image8207.jpg" Id="R24c2821fa61f4083" /><Relationship Type="http://schemas.openxmlformats.org/officeDocument/2006/relationships/image" Target="/xl/media/image8208.jpg" Id="R888499e48ef44deb" /><Relationship Type="http://schemas.openxmlformats.org/officeDocument/2006/relationships/image" Target="/xl/media/image8209.jpg" Id="Rc8121d8ccf4e4c77" /><Relationship Type="http://schemas.openxmlformats.org/officeDocument/2006/relationships/image" Target="/xl/media/image8210.jpg" Id="Rffc4425324884453" /><Relationship Type="http://schemas.openxmlformats.org/officeDocument/2006/relationships/image" Target="/xl/media/image8211.jpg" Id="Rfcc0ea1d83c04336" /><Relationship Type="http://schemas.openxmlformats.org/officeDocument/2006/relationships/image" Target="/xl/media/image8212.jpg" Id="R343eabf99c484421" /><Relationship Type="http://schemas.openxmlformats.org/officeDocument/2006/relationships/image" Target="/xl/media/image8213.jpg" Id="R52837658075c4a97" /><Relationship Type="http://schemas.openxmlformats.org/officeDocument/2006/relationships/image" Target="/xl/media/image8214.jpg" Id="R620cf154be54436e" /><Relationship Type="http://schemas.openxmlformats.org/officeDocument/2006/relationships/image" Target="/xl/media/image8215.jpg" Id="R2693927f9a9b45f7" /><Relationship Type="http://schemas.openxmlformats.org/officeDocument/2006/relationships/image" Target="/xl/media/image8216.jpg" Id="Rd016d6e961a44f96" /><Relationship Type="http://schemas.openxmlformats.org/officeDocument/2006/relationships/image" Target="/xl/media/image8217.jpg" Id="Rdca3972a757b45f9" /><Relationship Type="http://schemas.openxmlformats.org/officeDocument/2006/relationships/image" Target="/xl/media/image8218.jpg" Id="R0edfba13191c45ce" /><Relationship Type="http://schemas.openxmlformats.org/officeDocument/2006/relationships/image" Target="/xl/media/image8219.jpg" Id="Rf9478bda60614ff8" /><Relationship Type="http://schemas.openxmlformats.org/officeDocument/2006/relationships/image" Target="/xl/media/image8220.jpg" Id="Racb5b028964a4a19" /><Relationship Type="http://schemas.openxmlformats.org/officeDocument/2006/relationships/image" Target="/xl/media/image8221.jpg" Id="R4799142dcce941df" /><Relationship Type="http://schemas.openxmlformats.org/officeDocument/2006/relationships/image" Target="/xl/media/image8222.jpg" Id="R6805dbf911bf41a8" /><Relationship Type="http://schemas.openxmlformats.org/officeDocument/2006/relationships/image" Target="/xl/media/image8223.jpg" Id="R3ed87add8e44487b" /><Relationship Type="http://schemas.openxmlformats.org/officeDocument/2006/relationships/image" Target="/xl/media/image8224.jpg" Id="Rc18f3263ec294412" /><Relationship Type="http://schemas.openxmlformats.org/officeDocument/2006/relationships/image" Target="/xl/media/image8225.jpg" Id="R10f2b3e6638b4132" /><Relationship Type="http://schemas.openxmlformats.org/officeDocument/2006/relationships/image" Target="/xl/media/image8226.jpg" Id="R378afb49f6b54e05" /><Relationship Type="http://schemas.openxmlformats.org/officeDocument/2006/relationships/image" Target="/xl/media/image8227.jpg" Id="R4325e867cc8c4ebd" /><Relationship Type="http://schemas.openxmlformats.org/officeDocument/2006/relationships/image" Target="/xl/media/image8228.jpg" Id="R3c61d4653078402a" /><Relationship Type="http://schemas.openxmlformats.org/officeDocument/2006/relationships/image" Target="/xl/media/image8229.jpg" Id="Ra507267817494469" /><Relationship Type="http://schemas.openxmlformats.org/officeDocument/2006/relationships/image" Target="/xl/media/image8230.jpg" Id="R4276565027b644e5" /><Relationship Type="http://schemas.openxmlformats.org/officeDocument/2006/relationships/image" Target="/xl/media/image8231.jpg" Id="Rbff791840dad45b6" /><Relationship Type="http://schemas.openxmlformats.org/officeDocument/2006/relationships/image" Target="/xl/media/image8232.jpg" Id="Rb28023c4f9a84ec3" /><Relationship Type="http://schemas.openxmlformats.org/officeDocument/2006/relationships/image" Target="/xl/media/image8233.jpg" Id="R216967378e7e4bec" /><Relationship Type="http://schemas.openxmlformats.org/officeDocument/2006/relationships/image" Target="/xl/media/image8234.jpg" Id="R8e67c98de2d448d6" /><Relationship Type="http://schemas.openxmlformats.org/officeDocument/2006/relationships/image" Target="/xl/media/image8235.jpg" Id="R4711c7f694174996" /><Relationship Type="http://schemas.openxmlformats.org/officeDocument/2006/relationships/image" Target="/xl/media/image8236.jpg" Id="R9c4b63fb68aa40fa" /><Relationship Type="http://schemas.openxmlformats.org/officeDocument/2006/relationships/image" Target="/xl/media/image8237.jpg" Id="R5836d79ce0094be1" /><Relationship Type="http://schemas.openxmlformats.org/officeDocument/2006/relationships/image" Target="/xl/media/image8238.jpg" Id="R495dbeea9f4e4993" /><Relationship Type="http://schemas.openxmlformats.org/officeDocument/2006/relationships/image" Target="/xl/media/image8239.jpg" Id="Ra01860885ffd41f9" /><Relationship Type="http://schemas.openxmlformats.org/officeDocument/2006/relationships/image" Target="/xl/media/image8240.jpg" Id="R086444af3ec84b08" /><Relationship Type="http://schemas.openxmlformats.org/officeDocument/2006/relationships/image" Target="/xl/media/image8241.jpg" Id="R01bb8dce145e450d" /><Relationship Type="http://schemas.openxmlformats.org/officeDocument/2006/relationships/image" Target="/xl/media/image8242.jpg" Id="Rd19d006ccc384fb0" /><Relationship Type="http://schemas.openxmlformats.org/officeDocument/2006/relationships/image" Target="/xl/media/image8243.jpg" Id="R38fdd2c7684b4fdf" /><Relationship Type="http://schemas.openxmlformats.org/officeDocument/2006/relationships/image" Target="/xl/media/image8244.jpg" Id="Rc12bfb642f5c4cad" /><Relationship Type="http://schemas.openxmlformats.org/officeDocument/2006/relationships/image" Target="/xl/media/image8245.jpg" Id="R94afa0a115fc4ad1" /><Relationship Type="http://schemas.openxmlformats.org/officeDocument/2006/relationships/image" Target="/xl/media/image8246.jpg" Id="R535dd2f7e5fc4147" /><Relationship Type="http://schemas.openxmlformats.org/officeDocument/2006/relationships/image" Target="/xl/media/image8247.jpg" Id="R73b6c6f7e0474eea" /><Relationship Type="http://schemas.openxmlformats.org/officeDocument/2006/relationships/image" Target="/xl/media/image8248.jpg" Id="R7871c9755dae4895" /><Relationship Type="http://schemas.openxmlformats.org/officeDocument/2006/relationships/image" Target="/xl/media/image8249.jpg" Id="R2c6621b8627742f2" /><Relationship Type="http://schemas.openxmlformats.org/officeDocument/2006/relationships/image" Target="/xl/media/image8250.jpg" Id="R79ddbc1b912d4822" /><Relationship Type="http://schemas.openxmlformats.org/officeDocument/2006/relationships/image" Target="/xl/media/image8251.jpg" Id="Rc78d88c0992c479f" /><Relationship Type="http://schemas.openxmlformats.org/officeDocument/2006/relationships/image" Target="/xl/media/image8252.jpg" Id="R208acf7271404baf" /><Relationship Type="http://schemas.openxmlformats.org/officeDocument/2006/relationships/image" Target="/xl/media/image8253.jpg" Id="R5540d250ef3a4d67" /><Relationship Type="http://schemas.openxmlformats.org/officeDocument/2006/relationships/image" Target="/xl/media/image8254.jpg" Id="R278f3f5bffbb4482" /><Relationship Type="http://schemas.openxmlformats.org/officeDocument/2006/relationships/image" Target="/xl/media/image8255.jpg" Id="R50baf2d7ac6241b9" /><Relationship Type="http://schemas.openxmlformats.org/officeDocument/2006/relationships/image" Target="/xl/media/image8256.jpg" Id="R25e7ae06fdd2466a" /><Relationship Type="http://schemas.openxmlformats.org/officeDocument/2006/relationships/image" Target="/xl/media/image8257.jpg" Id="R31d99eb7a41b4ab2" /><Relationship Type="http://schemas.openxmlformats.org/officeDocument/2006/relationships/image" Target="/xl/media/image8258.jpg" Id="R302a9586ec7b472a" /><Relationship Type="http://schemas.openxmlformats.org/officeDocument/2006/relationships/image" Target="/xl/media/image8259.jpg" Id="R9338d3c9d53a4c74" /><Relationship Type="http://schemas.openxmlformats.org/officeDocument/2006/relationships/image" Target="/xl/media/image8260.jpg" Id="Rbe27a2a540944990" /><Relationship Type="http://schemas.openxmlformats.org/officeDocument/2006/relationships/image" Target="/xl/media/image8261.jpg" Id="Rd7e9b2b2a1c249a5" /><Relationship Type="http://schemas.openxmlformats.org/officeDocument/2006/relationships/image" Target="/xl/media/image8262.jpg" Id="R9469aef04fb14068" /><Relationship Type="http://schemas.openxmlformats.org/officeDocument/2006/relationships/image" Target="/xl/media/image8263.jpg" Id="Rd8f38f1ad31d4331" /><Relationship Type="http://schemas.openxmlformats.org/officeDocument/2006/relationships/image" Target="/xl/media/image8264.jpg" Id="R353a190b4e044785" /><Relationship Type="http://schemas.openxmlformats.org/officeDocument/2006/relationships/image" Target="/xl/media/image8265.jpg" Id="R9aebc5087e5942f3" /><Relationship Type="http://schemas.openxmlformats.org/officeDocument/2006/relationships/image" Target="/xl/media/image8266.jpg" Id="R4e05a189e3334cdd" /><Relationship Type="http://schemas.openxmlformats.org/officeDocument/2006/relationships/image" Target="/xl/media/image8267.jpg" Id="R0bb0956d70c043f8" /><Relationship Type="http://schemas.openxmlformats.org/officeDocument/2006/relationships/image" Target="/xl/media/image8268.jpg" Id="Rdaf8307b13584b7d" /><Relationship Type="http://schemas.openxmlformats.org/officeDocument/2006/relationships/image" Target="/xl/media/image8269.jpg" Id="R08d241e35fc04b1f" /><Relationship Type="http://schemas.openxmlformats.org/officeDocument/2006/relationships/image" Target="/xl/media/image8270.jpg" Id="Rdef43576bd564046" /><Relationship Type="http://schemas.openxmlformats.org/officeDocument/2006/relationships/image" Target="/xl/media/image8271.jpg" Id="R62f0bd2ffe7743da" /><Relationship Type="http://schemas.openxmlformats.org/officeDocument/2006/relationships/image" Target="/xl/media/image8272.jpg" Id="R7501f42340e549ce" /><Relationship Type="http://schemas.openxmlformats.org/officeDocument/2006/relationships/image" Target="/xl/media/image8273.jpg" Id="R8f12a880145043cd" /><Relationship Type="http://schemas.openxmlformats.org/officeDocument/2006/relationships/image" Target="/xl/media/image8274.jpg" Id="Rd934eedae9244636" /><Relationship Type="http://schemas.openxmlformats.org/officeDocument/2006/relationships/image" Target="/xl/media/image8275.jpg" Id="R7b544553c9534c1c" /><Relationship Type="http://schemas.openxmlformats.org/officeDocument/2006/relationships/image" Target="/xl/media/image8276.jpg" Id="Re02f3d6662954a93" /><Relationship Type="http://schemas.openxmlformats.org/officeDocument/2006/relationships/image" Target="/xl/media/image8277.jpg" Id="R968aab0da6c34ea2" /><Relationship Type="http://schemas.openxmlformats.org/officeDocument/2006/relationships/image" Target="/xl/media/image8278.jpg" Id="R9bac78b6ba294eb4" /><Relationship Type="http://schemas.openxmlformats.org/officeDocument/2006/relationships/image" Target="/xl/media/image8279.jpg" Id="Rfb50ae737a7e4497" /><Relationship Type="http://schemas.openxmlformats.org/officeDocument/2006/relationships/image" Target="/xl/media/image8280.jpg" Id="Rf1b2f28ad5fe4670" /><Relationship Type="http://schemas.openxmlformats.org/officeDocument/2006/relationships/image" Target="/xl/media/image8281.jpg" Id="R57a48fb4cd104870" /><Relationship Type="http://schemas.openxmlformats.org/officeDocument/2006/relationships/image" Target="/xl/media/image8282.jpg" Id="R281a2e1d4fc3489d" /><Relationship Type="http://schemas.openxmlformats.org/officeDocument/2006/relationships/image" Target="/xl/media/image8283.jpg" Id="R47e51032519b434b" /><Relationship Type="http://schemas.openxmlformats.org/officeDocument/2006/relationships/image" Target="/xl/media/image8284.jpg" Id="R87a94dd56c524ba7" /><Relationship Type="http://schemas.openxmlformats.org/officeDocument/2006/relationships/image" Target="/xl/media/image8285.jpg" Id="R481e4557bbfb4c85" /><Relationship Type="http://schemas.openxmlformats.org/officeDocument/2006/relationships/image" Target="/xl/media/image8286.jpg" Id="Rf69cf44779764b5b" /><Relationship Type="http://schemas.openxmlformats.org/officeDocument/2006/relationships/image" Target="/xl/media/image8287.jpg" Id="R26fb54bc3bdf4c45" /><Relationship Type="http://schemas.openxmlformats.org/officeDocument/2006/relationships/image" Target="/xl/media/image8288.jpg" Id="R7e19e15bc4994a59" /><Relationship Type="http://schemas.openxmlformats.org/officeDocument/2006/relationships/image" Target="/xl/media/image8289.jpg" Id="R0cbc6d47895d4580" /><Relationship Type="http://schemas.openxmlformats.org/officeDocument/2006/relationships/image" Target="/xl/media/image8290.jpg" Id="R4ef6c374d9594f8d" /><Relationship Type="http://schemas.openxmlformats.org/officeDocument/2006/relationships/image" Target="/xl/media/image8291.jpg" Id="R057256a7864b4887" /><Relationship Type="http://schemas.openxmlformats.org/officeDocument/2006/relationships/image" Target="/xl/media/image8292.jpg" Id="R4c2d49a7a12840e9" /><Relationship Type="http://schemas.openxmlformats.org/officeDocument/2006/relationships/image" Target="/xl/media/image8293.jpg" Id="R5027ddd8eb5e47da" /><Relationship Type="http://schemas.openxmlformats.org/officeDocument/2006/relationships/image" Target="/xl/media/image8294.jpg" Id="Rcb50413fa37b411b" /><Relationship Type="http://schemas.openxmlformats.org/officeDocument/2006/relationships/image" Target="/xl/media/image8295.jpg" Id="R14b7ce66bbec47b8" /><Relationship Type="http://schemas.openxmlformats.org/officeDocument/2006/relationships/image" Target="/xl/media/image8296.jpg" Id="Rafd54210a9f94afa" /><Relationship Type="http://schemas.openxmlformats.org/officeDocument/2006/relationships/image" Target="/xl/media/image8297.jpg" Id="Rb79babf2c9114c49" /><Relationship Type="http://schemas.openxmlformats.org/officeDocument/2006/relationships/image" Target="/xl/media/image8298.jpg" Id="R6c1866ce77664d23" /><Relationship Type="http://schemas.openxmlformats.org/officeDocument/2006/relationships/image" Target="/xl/media/image8299.jpg" Id="Rd4eb3910ad5f4b71" /><Relationship Type="http://schemas.openxmlformats.org/officeDocument/2006/relationships/image" Target="/xl/media/image8300.jpg" Id="R16196b13638646f4" /><Relationship Type="http://schemas.openxmlformats.org/officeDocument/2006/relationships/image" Target="/xl/media/image8301.jpg" Id="Rec84e4c970cd4baa" /><Relationship Type="http://schemas.openxmlformats.org/officeDocument/2006/relationships/image" Target="/xl/media/image8302.jpg" Id="R87cbb04cbe1a43f0" /><Relationship Type="http://schemas.openxmlformats.org/officeDocument/2006/relationships/image" Target="/xl/media/image8303.jpg" Id="Re33a5cd9fa2e47e0" /><Relationship Type="http://schemas.openxmlformats.org/officeDocument/2006/relationships/image" Target="/xl/media/image8304.jpg" Id="R348deaad43a84c87" /><Relationship Type="http://schemas.openxmlformats.org/officeDocument/2006/relationships/image" Target="/xl/media/image8305.jpg" Id="R40122c068f1543d7" /><Relationship Type="http://schemas.openxmlformats.org/officeDocument/2006/relationships/image" Target="/xl/media/image8306.jpg" Id="R3c5ff2e6effa466b" /><Relationship Type="http://schemas.openxmlformats.org/officeDocument/2006/relationships/image" Target="/xl/media/image8307.jpg" Id="R0a342661c4184d38" /><Relationship Type="http://schemas.openxmlformats.org/officeDocument/2006/relationships/image" Target="/xl/media/image8308.jpg" Id="Rac3367ddcbda4d57" /><Relationship Type="http://schemas.openxmlformats.org/officeDocument/2006/relationships/image" Target="/xl/media/image8309.jpg" Id="R0bf6464574a743f5" /><Relationship Type="http://schemas.openxmlformats.org/officeDocument/2006/relationships/image" Target="/xl/media/image8310.jpg" Id="R2752d5214b3e41a5" /><Relationship Type="http://schemas.openxmlformats.org/officeDocument/2006/relationships/image" Target="/xl/media/image8311.jpg" Id="Rb380e77be8f24b55" /><Relationship Type="http://schemas.openxmlformats.org/officeDocument/2006/relationships/image" Target="/xl/media/image8312.jpg" Id="R7e15448dce764e23" /><Relationship Type="http://schemas.openxmlformats.org/officeDocument/2006/relationships/image" Target="/xl/media/image8313.jpg" Id="R48b53dffb52241a6" /><Relationship Type="http://schemas.openxmlformats.org/officeDocument/2006/relationships/image" Target="/xl/media/image8314.jpg" Id="Re00d7994e5e4448b" /><Relationship Type="http://schemas.openxmlformats.org/officeDocument/2006/relationships/image" Target="/xl/media/image8315.jpg" Id="R0f62f3c2d93a4169" /><Relationship Type="http://schemas.openxmlformats.org/officeDocument/2006/relationships/image" Target="/xl/media/image8316.jpg" Id="R34ac82f489d14826" /><Relationship Type="http://schemas.openxmlformats.org/officeDocument/2006/relationships/image" Target="/xl/media/image8317.jpg" Id="Rdba6dc9295404278" /><Relationship Type="http://schemas.openxmlformats.org/officeDocument/2006/relationships/image" Target="/xl/media/image8318.jpg" Id="Re1bf62d13e09420d" /><Relationship Type="http://schemas.openxmlformats.org/officeDocument/2006/relationships/image" Target="/xl/media/image8319.jpg" Id="R578f672ac5d84254" /><Relationship Type="http://schemas.openxmlformats.org/officeDocument/2006/relationships/image" Target="/xl/media/image8320.jpg" Id="Rd12bc41ab50a4f5c" /><Relationship Type="http://schemas.openxmlformats.org/officeDocument/2006/relationships/image" Target="/xl/media/image8321.jpg" Id="R2f2077c227214792" /><Relationship Type="http://schemas.openxmlformats.org/officeDocument/2006/relationships/image" Target="/xl/media/image8322.jpg" Id="Rebfa5018251b4652" /><Relationship Type="http://schemas.openxmlformats.org/officeDocument/2006/relationships/image" Target="/xl/media/image8323.jpg" Id="Rc1374aa31d6740cc" /><Relationship Type="http://schemas.openxmlformats.org/officeDocument/2006/relationships/image" Target="/xl/media/image8324.jpg" Id="R88f3769eb4c84671" /><Relationship Type="http://schemas.openxmlformats.org/officeDocument/2006/relationships/image" Target="/xl/media/image8325.jpg" Id="R1a4bd683c15946f5" /><Relationship Type="http://schemas.openxmlformats.org/officeDocument/2006/relationships/image" Target="/xl/media/image8326.jpg" Id="Rffab8c38d6b64e0a" /><Relationship Type="http://schemas.openxmlformats.org/officeDocument/2006/relationships/image" Target="/xl/media/image8327.jpg" Id="R7babe7522b8b4658" /><Relationship Type="http://schemas.openxmlformats.org/officeDocument/2006/relationships/image" Target="/xl/media/image8328.jpg" Id="R4b7d286134de4fa0" /><Relationship Type="http://schemas.openxmlformats.org/officeDocument/2006/relationships/image" Target="/xl/media/image8329.jpg" Id="R5182b05289d24350" /><Relationship Type="http://schemas.openxmlformats.org/officeDocument/2006/relationships/image" Target="/xl/media/image8330.jpg" Id="R094071f3e9b845f8" /><Relationship Type="http://schemas.openxmlformats.org/officeDocument/2006/relationships/image" Target="/xl/media/image8331.jpg" Id="Rbbedc9043ef241c1" /><Relationship Type="http://schemas.openxmlformats.org/officeDocument/2006/relationships/image" Target="/xl/media/image8332.jpg" Id="R72557371f53e4d52" /><Relationship Type="http://schemas.openxmlformats.org/officeDocument/2006/relationships/image" Target="/xl/media/image8333.jpg" Id="Ra3c25223012d4ee9" /><Relationship Type="http://schemas.openxmlformats.org/officeDocument/2006/relationships/image" Target="/xl/media/image8334.jpg" Id="R69cce0265f3546f0" /><Relationship Type="http://schemas.openxmlformats.org/officeDocument/2006/relationships/image" Target="/xl/media/image8335.jpg" Id="R1ea9d6e018914ff3" /><Relationship Type="http://schemas.openxmlformats.org/officeDocument/2006/relationships/image" Target="/xl/media/image8336.jpg" Id="R8ed6367fb3934dbe" /><Relationship Type="http://schemas.openxmlformats.org/officeDocument/2006/relationships/image" Target="/xl/media/image8337.jpg" Id="Rd26a54d569184863" /><Relationship Type="http://schemas.openxmlformats.org/officeDocument/2006/relationships/image" Target="/xl/media/image8338.jpg" Id="R37dbbd5513c547c1" /><Relationship Type="http://schemas.openxmlformats.org/officeDocument/2006/relationships/image" Target="/xl/media/image8339.jpg" Id="R236d1ba665ea4825" /><Relationship Type="http://schemas.openxmlformats.org/officeDocument/2006/relationships/image" Target="/xl/media/image8340.jpg" Id="R303cc2e2a3f041cf" /><Relationship Type="http://schemas.openxmlformats.org/officeDocument/2006/relationships/image" Target="/xl/media/image8341.jpg" Id="R7afb131c2c5e48a2" /><Relationship Type="http://schemas.openxmlformats.org/officeDocument/2006/relationships/image" Target="/xl/media/image8342.jpg" Id="R48ae7f3308364174" /><Relationship Type="http://schemas.openxmlformats.org/officeDocument/2006/relationships/image" Target="/xl/media/image8343.jpg" Id="Rde44fbf72d624abc" /><Relationship Type="http://schemas.openxmlformats.org/officeDocument/2006/relationships/image" Target="/xl/media/image8344.jpg" Id="R634425d2bda14de0" /><Relationship Type="http://schemas.openxmlformats.org/officeDocument/2006/relationships/image" Target="/xl/media/image8345.jpg" Id="R4a78f002f872410b" /><Relationship Type="http://schemas.openxmlformats.org/officeDocument/2006/relationships/image" Target="/xl/media/image8346.jpg" Id="R1aa1709c52c54a4f" /><Relationship Type="http://schemas.openxmlformats.org/officeDocument/2006/relationships/image" Target="/xl/media/image8347.jpg" Id="R5ee23155b69e4188" /><Relationship Type="http://schemas.openxmlformats.org/officeDocument/2006/relationships/image" Target="/xl/media/image8348.jpg" Id="R26a0cc057a054559" /><Relationship Type="http://schemas.openxmlformats.org/officeDocument/2006/relationships/image" Target="/xl/media/image8349.jpg" Id="Rdfd1402522f448cf" /><Relationship Type="http://schemas.openxmlformats.org/officeDocument/2006/relationships/image" Target="/xl/media/image8350.jpg" Id="R57b28a5e0a9649eb" /><Relationship Type="http://schemas.openxmlformats.org/officeDocument/2006/relationships/image" Target="/xl/media/image8351.jpg" Id="R795884bdc89347d9" /><Relationship Type="http://schemas.openxmlformats.org/officeDocument/2006/relationships/image" Target="/xl/media/image8352.jpg" Id="R39d0ce1b4ca34f00" /><Relationship Type="http://schemas.openxmlformats.org/officeDocument/2006/relationships/image" Target="/xl/media/image8353.jpg" Id="R40f36ba89aa447a9" /><Relationship Type="http://schemas.openxmlformats.org/officeDocument/2006/relationships/image" Target="/xl/media/image8354.jpg" Id="R96205e9a92844140" /><Relationship Type="http://schemas.openxmlformats.org/officeDocument/2006/relationships/image" Target="/xl/media/image8355.jpg" Id="R525ea0feaa7042b8" /><Relationship Type="http://schemas.openxmlformats.org/officeDocument/2006/relationships/image" Target="/xl/media/image8356.jpg" Id="R46196c234871431f" /><Relationship Type="http://schemas.openxmlformats.org/officeDocument/2006/relationships/image" Target="/xl/media/image8357.jpg" Id="Re3ac8292b67945cb" /><Relationship Type="http://schemas.openxmlformats.org/officeDocument/2006/relationships/image" Target="/xl/media/image8358.jpg" Id="Rafce8858236041da" /><Relationship Type="http://schemas.openxmlformats.org/officeDocument/2006/relationships/image" Target="/xl/media/image8359.jpg" Id="R6a2cb9f1ad704651" /><Relationship Type="http://schemas.openxmlformats.org/officeDocument/2006/relationships/image" Target="/xl/media/image8360.jpg" Id="Rc7e0d031a37445d3" /><Relationship Type="http://schemas.openxmlformats.org/officeDocument/2006/relationships/image" Target="/xl/media/image8361.jpg" Id="R21c4c880da454b9c" /><Relationship Type="http://schemas.openxmlformats.org/officeDocument/2006/relationships/image" Target="/xl/media/image8362.jpg" Id="Rd55b9d6a224944a8" /><Relationship Type="http://schemas.openxmlformats.org/officeDocument/2006/relationships/image" Target="/xl/media/image8363.jpg" Id="R2835ab4957914b11" /><Relationship Type="http://schemas.openxmlformats.org/officeDocument/2006/relationships/image" Target="/xl/media/image8364.jpg" Id="R1ed33eb088334610" /><Relationship Type="http://schemas.openxmlformats.org/officeDocument/2006/relationships/image" Target="/xl/media/image8365.jpg" Id="R3a55ede58f824d0b" /><Relationship Type="http://schemas.openxmlformats.org/officeDocument/2006/relationships/image" Target="/xl/media/image8366.jpg" Id="Re913ef0cab834dd0" /><Relationship Type="http://schemas.openxmlformats.org/officeDocument/2006/relationships/image" Target="/xl/media/image8367.jpg" Id="R9e9d41f984134a89" /><Relationship Type="http://schemas.openxmlformats.org/officeDocument/2006/relationships/image" Target="/xl/media/image8368.jpg" Id="Ra59beeb4ce0e4fe3" /><Relationship Type="http://schemas.openxmlformats.org/officeDocument/2006/relationships/image" Target="/xl/media/image8369.jpg" Id="R63e499b841fe41ab" /><Relationship Type="http://schemas.openxmlformats.org/officeDocument/2006/relationships/image" Target="/xl/media/image8370.jpg" Id="R6cede640ae4348cd" /><Relationship Type="http://schemas.openxmlformats.org/officeDocument/2006/relationships/image" Target="/xl/media/image8371.jpg" Id="Rb21a2de47cf64ef8" /><Relationship Type="http://schemas.openxmlformats.org/officeDocument/2006/relationships/image" Target="/xl/media/image8372.jpg" Id="Re1b245d39a3a4bca" /><Relationship Type="http://schemas.openxmlformats.org/officeDocument/2006/relationships/image" Target="/xl/media/image8373.jpg" Id="R631fb17f1850440d" /><Relationship Type="http://schemas.openxmlformats.org/officeDocument/2006/relationships/image" Target="/xl/media/image8374.jpg" Id="R64095d73e29a4e9b" /><Relationship Type="http://schemas.openxmlformats.org/officeDocument/2006/relationships/image" Target="/xl/media/image8375.jpg" Id="R7ab299e2fc5b44f9" /><Relationship Type="http://schemas.openxmlformats.org/officeDocument/2006/relationships/image" Target="/xl/media/image8376.jpg" Id="Re287d64f979c4672" /><Relationship Type="http://schemas.openxmlformats.org/officeDocument/2006/relationships/image" Target="/xl/media/image8377.jpg" Id="R98ebfc2c283a4231" /><Relationship Type="http://schemas.openxmlformats.org/officeDocument/2006/relationships/image" Target="/xl/media/image8378.jpg" Id="R0a2404154933464a" /><Relationship Type="http://schemas.openxmlformats.org/officeDocument/2006/relationships/image" Target="/xl/media/image8379.jpg" Id="Rea5978601d374a9f" /><Relationship Type="http://schemas.openxmlformats.org/officeDocument/2006/relationships/image" Target="/xl/media/image8380.jpg" Id="R232971444b404b4a" /><Relationship Type="http://schemas.openxmlformats.org/officeDocument/2006/relationships/image" Target="/xl/media/image8381.jpg" Id="R56152429aecc4170" /><Relationship Type="http://schemas.openxmlformats.org/officeDocument/2006/relationships/image" Target="/xl/media/image8382.jpg" Id="Rd4cb3f92b097452a" /><Relationship Type="http://schemas.openxmlformats.org/officeDocument/2006/relationships/image" Target="/xl/media/image8383.jpg" Id="Re74dfc9f52f74a48" /><Relationship Type="http://schemas.openxmlformats.org/officeDocument/2006/relationships/image" Target="/xl/media/image8384.jpg" Id="R96e06c3653654769" /><Relationship Type="http://schemas.openxmlformats.org/officeDocument/2006/relationships/image" Target="/xl/media/image8385.jpg" Id="Re0337fcadfda43a2" /><Relationship Type="http://schemas.openxmlformats.org/officeDocument/2006/relationships/image" Target="/xl/media/image8386.jpg" Id="Rbee075071a9b409a" /><Relationship Type="http://schemas.openxmlformats.org/officeDocument/2006/relationships/image" Target="/xl/media/image8387.jpg" Id="Re88acf9c11c541ad" /><Relationship Type="http://schemas.openxmlformats.org/officeDocument/2006/relationships/image" Target="/xl/media/image8388.jpg" Id="R69182a7771eb465c" /><Relationship Type="http://schemas.openxmlformats.org/officeDocument/2006/relationships/image" Target="/xl/media/image8389.jpg" Id="R391d7dae41a0437c" /><Relationship Type="http://schemas.openxmlformats.org/officeDocument/2006/relationships/image" Target="/xl/media/image8390.jpg" Id="Rea4b8c73b4cd49ef" /><Relationship Type="http://schemas.openxmlformats.org/officeDocument/2006/relationships/image" Target="/xl/media/image8391.jpg" Id="Ra5d916f705914602" /><Relationship Type="http://schemas.openxmlformats.org/officeDocument/2006/relationships/image" Target="/xl/media/image8392.jpg" Id="R35ad133a4dcf40b9" /><Relationship Type="http://schemas.openxmlformats.org/officeDocument/2006/relationships/image" Target="/xl/media/image8393.jpg" Id="R5fc1e22320594a6a" /><Relationship Type="http://schemas.openxmlformats.org/officeDocument/2006/relationships/image" Target="/xl/media/image8394.jpg" Id="R5c2dfff5f0334338" /><Relationship Type="http://schemas.openxmlformats.org/officeDocument/2006/relationships/image" Target="/xl/media/image8395.jpg" Id="R02d3c1f20cdd49c3" /><Relationship Type="http://schemas.openxmlformats.org/officeDocument/2006/relationships/image" Target="/xl/media/image8396.jpg" Id="R7a52c7c9c1704346" /><Relationship Type="http://schemas.openxmlformats.org/officeDocument/2006/relationships/image" Target="/xl/media/image8397.jpg" Id="R14d6083dcab5438d" /><Relationship Type="http://schemas.openxmlformats.org/officeDocument/2006/relationships/image" Target="/xl/media/image8398.jpg" Id="R4c248ea619b44620" /><Relationship Type="http://schemas.openxmlformats.org/officeDocument/2006/relationships/image" Target="/xl/media/image8399.jpg" Id="R0ac6327b6a5b4327" /><Relationship Type="http://schemas.openxmlformats.org/officeDocument/2006/relationships/image" Target="/xl/media/image8400.jpg" Id="Rbb7a4af536894966" /><Relationship Type="http://schemas.openxmlformats.org/officeDocument/2006/relationships/image" Target="/xl/media/image8401.jpg" Id="R5f1813b76d7f4343" /><Relationship Type="http://schemas.openxmlformats.org/officeDocument/2006/relationships/image" Target="/xl/media/image8402.jpg" Id="Rae0734ea45f547a3" /><Relationship Type="http://schemas.openxmlformats.org/officeDocument/2006/relationships/image" Target="/xl/media/image8403.jpg" Id="R569bc0c1377b4147" /><Relationship Type="http://schemas.openxmlformats.org/officeDocument/2006/relationships/image" Target="/xl/media/image8404.jpg" Id="Re5f76178849a4518" /><Relationship Type="http://schemas.openxmlformats.org/officeDocument/2006/relationships/image" Target="/xl/media/image8405.jpg" Id="Rbfb26e527d234940" /><Relationship Type="http://schemas.openxmlformats.org/officeDocument/2006/relationships/image" Target="/xl/media/image8406.jpg" Id="R25d60ce3c2c347ae" /><Relationship Type="http://schemas.openxmlformats.org/officeDocument/2006/relationships/image" Target="/xl/media/image8407.jpg" Id="R9efe6d220ee348d2" /><Relationship Type="http://schemas.openxmlformats.org/officeDocument/2006/relationships/image" Target="/xl/media/image8408.jpg" Id="R77da4e4fe86d41a0" /><Relationship Type="http://schemas.openxmlformats.org/officeDocument/2006/relationships/image" Target="/xl/media/image8409.jpg" Id="R61358da2e9014e38" /><Relationship Type="http://schemas.openxmlformats.org/officeDocument/2006/relationships/image" Target="/xl/media/image8410.jpg" Id="R0da129d76d3d4ece" /><Relationship Type="http://schemas.openxmlformats.org/officeDocument/2006/relationships/image" Target="/xl/media/image8411.jpg" Id="R7af683fe76974cb4" /><Relationship Type="http://schemas.openxmlformats.org/officeDocument/2006/relationships/image" Target="/xl/media/image8412.jpg" Id="R17609ebb4a804ed0" /><Relationship Type="http://schemas.openxmlformats.org/officeDocument/2006/relationships/image" Target="/xl/media/image8413.jpg" Id="Rf30bcecabd824a28" /><Relationship Type="http://schemas.openxmlformats.org/officeDocument/2006/relationships/image" Target="/xl/media/image8414.jpg" Id="R8dee77361ea6484c" /><Relationship Type="http://schemas.openxmlformats.org/officeDocument/2006/relationships/image" Target="/xl/media/image8415.jpg" Id="R3e4a1c1edf1e4581" /><Relationship Type="http://schemas.openxmlformats.org/officeDocument/2006/relationships/image" Target="/xl/media/image8416.jpg" Id="R45c0243af2a94e7f" /><Relationship Type="http://schemas.openxmlformats.org/officeDocument/2006/relationships/image" Target="/xl/media/image8417.jpg" Id="R95c5694a52334b40" /><Relationship Type="http://schemas.openxmlformats.org/officeDocument/2006/relationships/image" Target="/xl/media/image8418.jpg" Id="Rd337f15e0ecb464b" /><Relationship Type="http://schemas.openxmlformats.org/officeDocument/2006/relationships/image" Target="/xl/media/image8419.jpg" Id="R58729e456cc342ed" /><Relationship Type="http://schemas.openxmlformats.org/officeDocument/2006/relationships/image" Target="/xl/media/image8420.jpg" Id="Rb71c97c75b764d80" /><Relationship Type="http://schemas.openxmlformats.org/officeDocument/2006/relationships/image" Target="/xl/media/image8421.jpg" Id="Rc0ff637e793b4106" /><Relationship Type="http://schemas.openxmlformats.org/officeDocument/2006/relationships/image" Target="/xl/media/image8422.jpg" Id="R46fecd39a0454844" /><Relationship Type="http://schemas.openxmlformats.org/officeDocument/2006/relationships/image" Target="/xl/media/image8423.jpg" Id="R85520e6a95db4612" /><Relationship Type="http://schemas.openxmlformats.org/officeDocument/2006/relationships/image" Target="/xl/media/image8424.jpg" Id="Rbf99bf7420bb462d" /><Relationship Type="http://schemas.openxmlformats.org/officeDocument/2006/relationships/image" Target="/xl/media/image8425.jpg" Id="Rcbf22f5079a7468d" /><Relationship Type="http://schemas.openxmlformats.org/officeDocument/2006/relationships/image" Target="/xl/media/image8426.jpg" Id="R89576ea129ba4483" /><Relationship Type="http://schemas.openxmlformats.org/officeDocument/2006/relationships/image" Target="/xl/media/image8427.jpg" Id="Re731281a29f24cd9" /><Relationship Type="http://schemas.openxmlformats.org/officeDocument/2006/relationships/image" Target="/xl/media/image8428.jpg" Id="R51c7c8616e124590" /><Relationship Type="http://schemas.openxmlformats.org/officeDocument/2006/relationships/image" Target="/xl/media/image8429.jpg" Id="R031baf96eab74f93" /><Relationship Type="http://schemas.openxmlformats.org/officeDocument/2006/relationships/image" Target="/xl/media/image8430.jpg" Id="Rd86b98f83ea84872" /><Relationship Type="http://schemas.openxmlformats.org/officeDocument/2006/relationships/image" Target="/xl/media/image8431.jpg" Id="Re7410b08f72d48a5" /><Relationship Type="http://schemas.openxmlformats.org/officeDocument/2006/relationships/image" Target="/xl/media/image8432.jpg" Id="Rae51669749e24325" /><Relationship Type="http://schemas.openxmlformats.org/officeDocument/2006/relationships/image" Target="/xl/media/image8433.jpg" Id="R919b967a16b346cb" /><Relationship Type="http://schemas.openxmlformats.org/officeDocument/2006/relationships/image" Target="/xl/media/image8434.jpg" Id="R29bc1cf8b0974eb4" /><Relationship Type="http://schemas.openxmlformats.org/officeDocument/2006/relationships/image" Target="/xl/media/image8435.jpg" Id="R36fe976537d746dd" /><Relationship Type="http://schemas.openxmlformats.org/officeDocument/2006/relationships/image" Target="/xl/media/image8436.jpg" Id="Rc34ecfaaaa284679" /><Relationship Type="http://schemas.openxmlformats.org/officeDocument/2006/relationships/image" Target="/xl/media/image8437.jpg" Id="Rce019b3e9fdf4ee0" /><Relationship Type="http://schemas.openxmlformats.org/officeDocument/2006/relationships/image" Target="/xl/media/image8438.jpg" Id="Ra063f42a68c04c2f" /><Relationship Type="http://schemas.openxmlformats.org/officeDocument/2006/relationships/image" Target="/xl/media/image8439.jpg" Id="Rb530a67889754be5" /><Relationship Type="http://schemas.openxmlformats.org/officeDocument/2006/relationships/image" Target="/xl/media/image8440.jpg" Id="Raa6a9e3b1a47498c" /><Relationship Type="http://schemas.openxmlformats.org/officeDocument/2006/relationships/image" Target="/xl/media/image8441.jpg" Id="R6ee19ed822c642c7" /><Relationship Type="http://schemas.openxmlformats.org/officeDocument/2006/relationships/image" Target="/xl/media/image8442.jpg" Id="R11617389f09942f6" /><Relationship Type="http://schemas.openxmlformats.org/officeDocument/2006/relationships/image" Target="/xl/media/image8443.jpg" Id="R5c225e5237174540" /><Relationship Type="http://schemas.openxmlformats.org/officeDocument/2006/relationships/image" Target="/xl/media/image8444.jpg" Id="R03c30ac6381e43b7" /><Relationship Type="http://schemas.openxmlformats.org/officeDocument/2006/relationships/image" Target="/xl/media/image8445.jpg" Id="R03ff814eda3146b5" /><Relationship Type="http://schemas.openxmlformats.org/officeDocument/2006/relationships/image" Target="/xl/media/image8446.jpg" Id="R9464dca88e1145fe" /><Relationship Type="http://schemas.openxmlformats.org/officeDocument/2006/relationships/image" Target="/xl/media/image8447.jpg" Id="Rad7b6a9baa374ad6" /><Relationship Type="http://schemas.openxmlformats.org/officeDocument/2006/relationships/image" Target="/xl/media/image8448.jpg" Id="R5b557bce852744c0" /><Relationship Type="http://schemas.openxmlformats.org/officeDocument/2006/relationships/image" Target="/xl/media/image8449.jpg" Id="Rd7692329392f48a1" /><Relationship Type="http://schemas.openxmlformats.org/officeDocument/2006/relationships/image" Target="/xl/media/image8450.jpg" Id="Re094bc96f4cd4c04" /><Relationship Type="http://schemas.openxmlformats.org/officeDocument/2006/relationships/image" Target="/xl/media/image8451.jpg" Id="R5e21493e015642cf" /><Relationship Type="http://schemas.openxmlformats.org/officeDocument/2006/relationships/image" Target="/xl/media/image8452.jpg" Id="Raae22cd9b8b14509" /><Relationship Type="http://schemas.openxmlformats.org/officeDocument/2006/relationships/image" Target="/xl/media/image8453.jpg" Id="R505b76b6b6484c61" /><Relationship Type="http://schemas.openxmlformats.org/officeDocument/2006/relationships/image" Target="/xl/media/image8454.jpg" Id="Rc6151339f51c426b" /><Relationship Type="http://schemas.openxmlformats.org/officeDocument/2006/relationships/image" Target="/xl/media/image8455.jpg" Id="R5ee94e942e144272" /><Relationship Type="http://schemas.openxmlformats.org/officeDocument/2006/relationships/image" Target="/xl/media/image8456.jpg" Id="R9710b076bb0949d9" /><Relationship Type="http://schemas.openxmlformats.org/officeDocument/2006/relationships/image" Target="/xl/media/image8457.jpg" Id="Re86768a5379042dc" /><Relationship Type="http://schemas.openxmlformats.org/officeDocument/2006/relationships/image" Target="/xl/media/image8458.jpg" Id="Rc7dadcc10cd94736" /><Relationship Type="http://schemas.openxmlformats.org/officeDocument/2006/relationships/image" Target="/xl/media/image8459.jpg" Id="R7a61633f5e0d4b4c" /><Relationship Type="http://schemas.openxmlformats.org/officeDocument/2006/relationships/image" Target="/xl/media/image8460.jpg" Id="Rda05661a578c4fbc" /><Relationship Type="http://schemas.openxmlformats.org/officeDocument/2006/relationships/image" Target="/xl/media/image8461.jpg" Id="R251c34248aa54486" /><Relationship Type="http://schemas.openxmlformats.org/officeDocument/2006/relationships/image" Target="/xl/media/image8462.jpg" Id="Rab87807f6b9d4b84" /><Relationship Type="http://schemas.openxmlformats.org/officeDocument/2006/relationships/image" Target="/xl/media/image8463.jpg" Id="R8292ecaa8f2b4bf4" /><Relationship Type="http://schemas.openxmlformats.org/officeDocument/2006/relationships/image" Target="/xl/media/image8464.jpg" Id="Rb33dfadb99ac457e" /><Relationship Type="http://schemas.openxmlformats.org/officeDocument/2006/relationships/image" Target="/xl/media/image8465.jpg" Id="Raa239288b06b4655" /><Relationship Type="http://schemas.openxmlformats.org/officeDocument/2006/relationships/image" Target="/xl/media/image8466.jpg" Id="Ra74ed92972224bd0" /><Relationship Type="http://schemas.openxmlformats.org/officeDocument/2006/relationships/image" Target="/xl/media/image8467.jpg" Id="Rf6ce6801cbfa422b" /><Relationship Type="http://schemas.openxmlformats.org/officeDocument/2006/relationships/image" Target="/xl/media/image8468.jpg" Id="Rd437b8d408ab4f8e" /><Relationship Type="http://schemas.openxmlformats.org/officeDocument/2006/relationships/image" Target="/xl/media/image8469.jpg" Id="Rbc40d03064c24271" /><Relationship Type="http://schemas.openxmlformats.org/officeDocument/2006/relationships/image" Target="/xl/media/image8470.jpg" Id="Redfd49d44851440c" /><Relationship Type="http://schemas.openxmlformats.org/officeDocument/2006/relationships/image" Target="/xl/media/image8471.jpg" Id="Rd55722100cc643cb" /><Relationship Type="http://schemas.openxmlformats.org/officeDocument/2006/relationships/image" Target="/xl/media/image8472.jpg" Id="Ra59b5a2c8a7b44d2" /><Relationship Type="http://schemas.openxmlformats.org/officeDocument/2006/relationships/image" Target="/xl/media/image8473.jpg" Id="R7ebf2fd531404074" /><Relationship Type="http://schemas.openxmlformats.org/officeDocument/2006/relationships/image" Target="/xl/media/image8474.jpg" Id="R645b2d794bbc449a" /><Relationship Type="http://schemas.openxmlformats.org/officeDocument/2006/relationships/image" Target="/xl/media/image8475.jpg" Id="R76e95f6b0b944f85" /><Relationship Type="http://schemas.openxmlformats.org/officeDocument/2006/relationships/image" Target="/xl/media/image8476.jpg" Id="R5602fb3fd8414f2a" /><Relationship Type="http://schemas.openxmlformats.org/officeDocument/2006/relationships/image" Target="/xl/media/image8477.jpg" Id="R86d7cb1bd2a94dfa" /><Relationship Type="http://schemas.openxmlformats.org/officeDocument/2006/relationships/image" Target="/xl/media/image8478.jpg" Id="R0993ca64f53a4ae4" /><Relationship Type="http://schemas.openxmlformats.org/officeDocument/2006/relationships/image" Target="/xl/media/image8479.jpg" Id="R8f491fca902c4cdc" /><Relationship Type="http://schemas.openxmlformats.org/officeDocument/2006/relationships/image" Target="/xl/media/image8480.jpg" Id="R63a9a8b52f9642e4" /><Relationship Type="http://schemas.openxmlformats.org/officeDocument/2006/relationships/image" Target="/xl/media/image8481.jpg" Id="R77536eb5f49f41da" /><Relationship Type="http://schemas.openxmlformats.org/officeDocument/2006/relationships/image" Target="/xl/media/image8482.jpg" Id="R1304410eb7074b72" /><Relationship Type="http://schemas.openxmlformats.org/officeDocument/2006/relationships/image" Target="/xl/media/image8483.jpg" Id="R11d7aee0efa84ab3" /><Relationship Type="http://schemas.openxmlformats.org/officeDocument/2006/relationships/image" Target="/xl/media/image8484.jpg" Id="R3525a93008ee4036" /><Relationship Type="http://schemas.openxmlformats.org/officeDocument/2006/relationships/image" Target="/xl/media/image8485.jpg" Id="Rb3dbc3ed49db4241" /><Relationship Type="http://schemas.openxmlformats.org/officeDocument/2006/relationships/image" Target="/xl/media/image8486.jpg" Id="R2b0cbfda6cf74dac" /><Relationship Type="http://schemas.openxmlformats.org/officeDocument/2006/relationships/image" Target="/xl/media/image8487.jpg" Id="Rc217136d0c8d4c48" /><Relationship Type="http://schemas.openxmlformats.org/officeDocument/2006/relationships/image" Target="/xl/media/image8488.jpg" Id="R766d0e7fcd194dfb" /><Relationship Type="http://schemas.openxmlformats.org/officeDocument/2006/relationships/image" Target="/xl/media/image8489.jpg" Id="R232f3690687440e0" /><Relationship Type="http://schemas.openxmlformats.org/officeDocument/2006/relationships/image" Target="/xl/media/image8490.jpg" Id="Rb3e7dcaa43054ed6" /><Relationship Type="http://schemas.openxmlformats.org/officeDocument/2006/relationships/image" Target="/xl/media/image8491.jpg" Id="R8a02dfbdbc5b41d4" /><Relationship Type="http://schemas.openxmlformats.org/officeDocument/2006/relationships/image" Target="/xl/media/image8492.jpg" Id="R7fed53a0de014736" /><Relationship Type="http://schemas.openxmlformats.org/officeDocument/2006/relationships/image" Target="/xl/media/image8493.jpg" Id="Rfec11517aa2449a9" /><Relationship Type="http://schemas.openxmlformats.org/officeDocument/2006/relationships/image" Target="/xl/media/image8494.jpg" Id="R2649ce11b87f4bd4" /><Relationship Type="http://schemas.openxmlformats.org/officeDocument/2006/relationships/image" Target="/xl/media/image8495.jpg" Id="Ra62bae2042844fbc" /><Relationship Type="http://schemas.openxmlformats.org/officeDocument/2006/relationships/image" Target="/xl/media/image8496.jpg" Id="R5c48b4eadf5348ae" /><Relationship Type="http://schemas.openxmlformats.org/officeDocument/2006/relationships/image" Target="/xl/media/image8497.jpg" Id="R1f9cce39e8544b4e" /><Relationship Type="http://schemas.openxmlformats.org/officeDocument/2006/relationships/image" Target="/xl/media/image8498.jpg" Id="Re09e1343aeea4043" /><Relationship Type="http://schemas.openxmlformats.org/officeDocument/2006/relationships/image" Target="/xl/media/image8499.jpg" Id="Rebb16739e8ab45eb" /><Relationship Type="http://schemas.openxmlformats.org/officeDocument/2006/relationships/image" Target="/xl/media/image8500.jpg" Id="R94031161ff9043bd" /><Relationship Type="http://schemas.openxmlformats.org/officeDocument/2006/relationships/image" Target="/xl/media/image8501.jpg" Id="Rce616b60e6574a7b" /><Relationship Type="http://schemas.openxmlformats.org/officeDocument/2006/relationships/image" Target="/xl/media/image8502.jpg" Id="R0a7532d5a5274a24" /><Relationship Type="http://schemas.openxmlformats.org/officeDocument/2006/relationships/image" Target="/xl/media/image8503.jpg" Id="Rbd9c34a931044abb" /><Relationship Type="http://schemas.openxmlformats.org/officeDocument/2006/relationships/image" Target="/xl/media/image8504.jpg" Id="R20b6d405bd7d4367" /><Relationship Type="http://schemas.openxmlformats.org/officeDocument/2006/relationships/image" Target="/xl/media/image8505.jpg" Id="R089f90152aba462b" /><Relationship Type="http://schemas.openxmlformats.org/officeDocument/2006/relationships/image" Target="/xl/media/image8506.jpg" Id="Rcd2b215800ca4359" /><Relationship Type="http://schemas.openxmlformats.org/officeDocument/2006/relationships/image" Target="/xl/media/image8507.jpg" Id="Red2b062b935b4b0e" /><Relationship Type="http://schemas.openxmlformats.org/officeDocument/2006/relationships/image" Target="/xl/media/image8508.jpg" Id="R3ad2c696572d4767" /><Relationship Type="http://schemas.openxmlformats.org/officeDocument/2006/relationships/image" Target="/xl/media/image8509.jpg" Id="R83476717b9394abe" /><Relationship Type="http://schemas.openxmlformats.org/officeDocument/2006/relationships/image" Target="/xl/media/image8510.jpg" Id="Ra9fdbf0618fa4350" /><Relationship Type="http://schemas.openxmlformats.org/officeDocument/2006/relationships/image" Target="/xl/media/image8511.jpg" Id="Refd247dd534c4349" /><Relationship Type="http://schemas.openxmlformats.org/officeDocument/2006/relationships/image" Target="/xl/media/image8512.jpg" Id="R047b49cdc7c24357" /><Relationship Type="http://schemas.openxmlformats.org/officeDocument/2006/relationships/image" Target="/xl/media/image8513.jpg" Id="R0f1b297242b54fff" /><Relationship Type="http://schemas.openxmlformats.org/officeDocument/2006/relationships/image" Target="/xl/media/image8514.jpg" Id="Rfc6d4e5c0f46409c" /><Relationship Type="http://schemas.openxmlformats.org/officeDocument/2006/relationships/image" Target="/xl/media/image8515.jpg" Id="R1debb3a392d14d91" /><Relationship Type="http://schemas.openxmlformats.org/officeDocument/2006/relationships/image" Target="/xl/media/image8516.jpg" Id="Ra51711d4ad5c44ef" /><Relationship Type="http://schemas.openxmlformats.org/officeDocument/2006/relationships/image" Target="/xl/media/image8517.jpg" Id="R9efc7a42a37a43ac" /><Relationship Type="http://schemas.openxmlformats.org/officeDocument/2006/relationships/image" Target="/xl/media/image8518.jpg" Id="Rd4a53cc87bcf4ddb" /><Relationship Type="http://schemas.openxmlformats.org/officeDocument/2006/relationships/image" Target="/xl/media/image8519.jpg" Id="Rb1118f6e25184c66" /><Relationship Type="http://schemas.openxmlformats.org/officeDocument/2006/relationships/image" Target="/xl/media/image8520.jpg" Id="Rd4f2becc27ee443c" /><Relationship Type="http://schemas.openxmlformats.org/officeDocument/2006/relationships/image" Target="/xl/media/image8521.jpg" Id="R795b202e4b8e490f" /><Relationship Type="http://schemas.openxmlformats.org/officeDocument/2006/relationships/image" Target="/xl/media/image8522.jpg" Id="R8fcced3b50264f71" /><Relationship Type="http://schemas.openxmlformats.org/officeDocument/2006/relationships/image" Target="/xl/media/image8523.jpg" Id="R401bbede29af4052" /><Relationship Type="http://schemas.openxmlformats.org/officeDocument/2006/relationships/image" Target="/xl/media/image8524.jpg" Id="Rd58ddc4669844957" /><Relationship Type="http://schemas.openxmlformats.org/officeDocument/2006/relationships/image" Target="/xl/media/image8525.jpg" Id="Ra29b7c348cd6495d" /><Relationship Type="http://schemas.openxmlformats.org/officeDocument/2006/relationships/image" Target="/xl/media/image8526.jpg" Id="Raaeac17c0c954cf5" /><Relationship Type="http://schemas.openxmlformats.org/officeDocument/2006/relationships/image" Target="/xl/media/image8527.jpg" Id="R3ec607e558a248ee" /><Relationship Type="http://schemas.openxmlformats.org/officeDocument/2006/relationships/image" Target="/xl/media/image8528.jpg" Id="R7ce3aec2afc74216" /><Relationship Type="http://schemas.openxmlformats.org/officeDocument/2006/relationships/image" Target="/xl/media/image8529.jpg" Id="R276f545966fa4967" /><Relationship Type="http://schemas.openxmlformats.org/officeDocument/2006/relationships/image" Target="/xl/media/image8530.jpg" Id="Re6f5b3fd68854025" /><Relationship Type="http://schemas.openxmlformats.org/officeDocument/2006/relationships/image" Target="/xl/media/image8531.jpg" Id="R3509fea387a140e9" /><Relationship Type="http://schemas.openxmlformats.org/officeDocument/2006/relationships/image" Target="/xl/media/image8532.jpg" Id="Rc756e938b338417a" /><Relationship Type="http://schemas.openxmlformats.org/officeDocument/2006/relationships/image" Target="/xl/media/image8533.jpg" Id="R451d6cc7eeac4420" /><Relationship Type="http://schemas.openxmlformats.org/officeDocument/2006/relationships/image" Target="/xl/media/image8534.jpg" Id="R8fc53e88b2e04f30" /><Relationship Type="http://schemas.openxmlformats.org/officeDocument/2006/relationships/image" Target="/xl/media/image8535.jpg" Id="R54e70e406dd54d0b" /><Relationship Type="http://schemas.openxmlformats.org/officeDocument/2006/relationships/image" Target="/xl/media/image8536.jpg" Id="R8a28b8ade7544027" /><Relationship Type="http://schemas.openxmlformats.org/officeDocument/2006/relationships/image" Target="/xl/media/image8537.jpg" Id="Rbd883ef81f1b42a2" /><Relationship Type="http://schemas.openxmlformats.org/officeDocument/2006/relationships/image" Target="/xl/media/image8538.jpg" Id="R1e62a96b7c6d452a" /><Relationship Type="http://schemas.openxmlformats.org/officeDocument/2006/relationships/image" Target="/xl/media/image8539.jpg" Id="R936cfc3d16634684" /><Relationship Type="http://schemas.openxmlformats.org/officeDocument/2006/relationships/image" Target="/xl/media/image8540.jpg" Id="R4677b58afb0445ae" /><Relationship Type="http://schemas.openxmlformats.org/officeDocument/2006/relationships/image" Target="/xl/media/image8541.jpg" Id="Rdda30505e34746d3" /><Relationship Type="http://schemas.openxmlformats.org/officeDocument/2006/relationships/image" Target="/xl/media/image8542.jpg" Id="R1817513a4c874035" /><Relationship Type="http://schemas.openxmlformats.org/officeDocument/2006/relationships/image" Target="/xl/media/image8543.jpg" Id="R2229bafc669741c8" /><Relationship Type="http://schemas.openxmlformats.org/officeDocument/2006/relationships/image" Target="/xl/media/image8544.jpg" Id="R041f41f1290c4c65" /><Relationship Type="http://schemas.openxmlformats.org/officeDocument/2006/relationships/image" Target="/xl/media/image8545.jpg" Id="R11baa6da369c4e85" /><Relationship Type="http://schemas.openxmlformats.org/officeDocument/2006/relationships/image" Target="/xl/media/image8546.jpg" Id="Raba24eb547604af1" /><Relationship Type="http://schemas.openxmlformats.org/officeDocument/2006/relationships/image" Target="/xl/media/image8547.jpg" Id="R0e5673d0537e4189" /><Relationship Type="http://schemas.openxmlformats.org/officeDocument/2006/relationships/image" Target="/xl/media/image8548.jpg" Id="R9185e161c7504566" /><Relationship Type="http://schemas.openxmlformats.org/officeDocument/2006/relationships/image" Target="/xl/media/image8549.jpg" Id="R831e9eccf7314c10" /><Relationship Type="http://schemas.openxmlformats.org/officeDocument/2006/relationships/image" Target="/xl/media/image8550.jpg" Id="R4ad4f9da5d9a4413" /><Relationship Type="http://schemas.openxmlformats.org/officeDocument/2006/relationships/image" Target="/xl/media/image8551.jpg" Id="Rc7cd2eec0c3d41fa" /><Relationship Type="http://schemas.openxmlformats.org/officeDocument/2006/relationships/image" Target="/xl/media/image8552.jpg" Id="R0aa4213c1f6549fa" /><Relationship Type="http://schemas.openxmlformats.org/officeDocument/2006/relationships/image" Target="/xl/media/image8553.jpg" Id="Rf0a29036169a4d91" /><Relationship Type="http://schemas.openxmlformats.org/officeDocument/2006/relationships/image" Target="/xl/media/image8554.jpg" Id="R180f21facfd64fb3" /><Relationship Type="http://schemas.openxmlformats.org/officeDocument/2006/relationships/image" Target="/xl/media/image8555.jpg" Id="R53138b9c317c4c97" /><Relationship Type="http://schemas.openxmlformats.org/officeDocument/2006/relationships/image" Target="/xl/media/image8556.jpg" Id="Re8af7fd6ff104890" /><Relationship Type="http://schemas.openxmlformats.org/officeDocument/2006/relationships/image" Target="/xl/media/image8557.jpg" Id="Rf33b8d096a8f434c" /><Relationship Type="http://schemas.openxmlformats.org/officeDocument/2006/relationships/image" Target="/xl/media/image8558.jpg" Id="R8002fa1cdaa94d7b" /><Relationship Type="http://schemas.openxmlformats.org/officeDocument/2006/relationships/image" Target="/xl/media/image8559.jpg" Id="Ra275e4e9871c4002" /><Relationship Type="http://schemas.openxmlformats.org/officeDocument/2006/relationships/image" Target="/xl/media/image8560.jpg" Id="R7328a063431a4401" /><Relationship Type="http://schemas.openxmlformats.org/officeDocument/2006/relationships/image" Target="/xl/media/image8561.jpg" Id="R919295ecdd2642d5" /><Relationship Type="http://schemas.openxmlformats.org/officeDocument/2006/relationships/image" Target="/xl/media/image8562.jpg" Id="R26d6a51629d84612" /><Relationship Type="http://schemas.openxmlformats.org/officeDocument/2006/relationships/image" Target="/xl/media/image8563.jpg" Id="R37cb5ad94918438d" /><Relationship Type="http://schemas.openxmlformats.org/officeDocument/2006/relationships/image" Target="/xl/media/image8564.jpg" Id="R391b93c10c9f481c" /><Relationship Type="http://schemas.openxmlformats.org/officeDocument/2006/relationships/image" Target="/xl/media/image8565.jpg" Id="R486aea5a761e4fbf" /><Relationship Type="http://schemas.openxmlformats.org/officeDocument/2006/relationships/image" Target="/xl/media/image8566.jpg" Id="Rf1408c0e7fd3456b" /><Relationship Type="http://schemas.openxmlformats.org/officeDocument/2006/relationships/image" Target="/xl/media/image8567.jpg" Id="R8ecc21fdc2694ae3" /><Relationship Type="http://schemas.openxmlformats.org/officeDocument/2006/relationships/image" Target="/xl/media/image8568.jpg" Id="R2acff918ee1b4de2" /><Relationship Type="http://schemas.openxmlformats.org/officeDocument/2006/relationships/image" Target="/xl/media/image8569.jpg" Id="R880f4e2d0b1143ca" /><Relationship Type="http://schemas.openxmlformats.org/officeDocument/2006/relationships/image" Target="/xl/media/image8570.jpg" Id="Rfa8176e4754542d3" /><Relationship Type="http://schemas.openxmlformats.org/officeDocument/2006/relationships/image" Target="/xl/media/image8571.jpg" Id="R641d349183aa48d6" /><Relationship Type="http://schemas.openxmlformats.org/officeDocument/2006/relationships/image" Target="/xl/media/image8572.jpg" Id="Rfbdaf7c5d62740df" /><Relationship Type="http://schemas.openxmlformats.org/officeDocument/2006/relationships/image" Target="/xl/media/image8573.jpg" Id="R4015d9e8d3ef4ed2" /><Relationship Type="http://schemas.openxmlformats.org/officeDocument/2006/relationships/image" Target="/xl/media/image8574.jpg" Id="Rfb8336676e1545e2" /><Relationship Type="http://schemas.openxmlformats.org/officeDocument/2006/relationships/image" Target="/xl/media/image8575.jpg" Id="Rb6871d9425514b59" /><Relationship Type="http://schemas.openxmlformats.org/officeDocument/2006/relationships/image" Target="/xl/media/image8576.jpg" Id="R3f3cc6847256402f" /><Relationship Type="http://schemas.openxmlformats.org/officeDocument/2006/relationships/image" Target="/xl/media/image8577.jpg" Id="R38c16daa0ee94265" /><Relationship Type="http://schemas.openxmlformats.org/officeDocument/2006/relationships/image" Target="/xl/media/image8578.jpg" Id="Rc6d4b1eb9a8f4288" /><Relationship Type="http://schemas.openxmlformats.org/officeDocument/2006/relationships/image" Target="/xl/media/image8579.jpg" Id="Re031afa3bbf34931" /><Relationship Type="http://schemas.openxmlformats.org/officeDocument/2006/relationships/image" Target="/xl/media/image8580.jpg" Id="R03f3b358d6b44482" /><Relationship Type="http://schemas.openxmlformats.org/officeDocument/2006/relationships/image" Target="/xl/media/image8581.jpg" Id="R0ba863e52f894212" /><Relationship Type="http://schemas.openxmlformats.org/officeDocument/2006/relationships/image" Target="/xl/media/image8582.jpg" Id="R7cb56e1fc0dc4a36" /><Relationship Type="http://schemas.openxmlformats.org/officeDocument/2006/relationships/image" Target="/xl/media/image8583.jpg" Id="Ra752ac30acfc49a5" /><Relationship Type="http://schemas.openxmlformats.org/officeDocument/2006/relationships/image" Target="/xl/media/image8584.jpg" Id="Rb8eda0b42c6b4b53" /><Relationship Type="http://schemas.openxmlformats.org/officeDocument/2006/relationships/image" Target="/xl/media/image8585.jpg" Id="Rb472ac49e3334f72" /><Relationship Type="http://schemas.openxmlformats.org/officeDocument/2006/relationships/image" Target="/xl/media/image8586.jpg" Id="Rb5df3a90bcf445a1" /><Relationship Type="http://schemas.openxmlformats.org/officeDocument/2006/relationships/image" Target="/xl/media/image8587.jpg" Id="R8aba3637fa5c4b15" /><Relationship Type="http://schemas.openxmlformats.org/officeDocument/2006/relationships/image" Target="/xl/media/image8588.jpg" Id="R74e09bac787744c7" /><Relationship Type="http://schemas.openxmlformats.org/officeDocument/2006/relationships/image" Target="/xl/media/image8589.jpg" Id="R6b11aff9c40c4ba3" /><Relationship Type="http://schemas.openxmlformats.org/officeDocument/2006/relationships/image" Target="/xl/media/image8590.jpg" Id="R7c754b4a4b324f84" /><Relationship Type="http://schemas.openxmlformats.org/officeDocument/2006/relationships/image" Target="/xl/media/image8591.jpg" Id="Rffe56e0757bc4528" /><Relationship Type="http://schemas.openxmlformats.org/officeDocument/2006/relationships/image" Target="/xl/media/image8592.jpg" Id="R1c40fdc22c7b401d" /><Relationship Type="http://schemas.openxmlformats.org/officeDocument/2006/relationships/image" Target="/xl/media/image8593.jpg" Id="R4f8f7bb8e5a84a50" /><Relationship Type="http://schemas.openxmlformats.org/officeDocument/2006/relationships/image" Target="/xl/media/image8594.jpg" Id="Red833a9f93e54182" /><Relationship Type="http://schemas.openxmlformats.org/officeDocument/2006/relationships/image" Target="/xl/media/image8595.jpg" Id="R1f059c6920834fdc" /><Relationship Type="http://schemas.openxmlformats.org/officeDocument/2006/relationships/image" Target="/xl/media/image8596.jpg" Id="R6feb1c78885349c7" /><Relationship Type="http://schemas.openxmlformats.org/officeDocument/2006/relationships/image" Target="/xl/media/image8597.jpg" Id="R76b143c5f19e4133" /><Relationship Type="http://schemas.openxmlformats.org/officeDocument/2006/relationships/image" Target="/xl/media/image8598.jpg" Id="Ra150a7fa649c439b" /><Relationship Type="http://schemas.openxmlformats.org/officeDocument/2006/relationships/image" Target="/xl/media/image8599.jpg" Id="Rc60df39232224645" /><Relationship Type="http://schemas.openxmlformats.org/officeDocument/2006/relationships/image" Target="/xl/media/image8600.jpg" Id="R294ab944208f48c8" /><Relationship Type="http://schemas.openxmlformats.org/officeDocument/2006/relationships/image" Target="/xl/media/image8601.jpg" Id="Rfa907a7d2bde493d" /><Relationship Type="http://schemas.openxmlformats.org/officeDocument/2006/relationships/image" Target="/xl/media/image8602.jpg" Id="Rfd9f4e144cc64c88" /><Relationship Type="http://schemas.openxmlformats.org/officeDocument/2006/relationships/image" Target="/xl/media/image8603.jpg" Id="R1bf0c50abe1f47dd" /><Relationship Type="http://schemas.openxmlformats.org/officeDocument/2006/relationships/image" Target="/xl/media/image8604.jpg" Id="Rcaf06296bf244a02" /><Relationship Type="http://schemas.openxmlformats.org/officeDocument/2006/relationships/image" Target="/xl/media/image8605.jpg" Id="R5cec0232396049c9" /><Relationship Type="http://schemas.openxmlformats.org/officeDocument/2006/relationships/image" Target="/xl/media/image8606.jpg" Id="Rf204338ee7f64639" /><Relationship Type="http://schemas.openxmlformats.org/officeDocument/2006/relationships/image" Target="/xl/media/image8607.jpg" Id="Rd76d136d8f054142" /><Relationship Type="http://schemas.openxmlformats.org/officeDocument/2006/relationships/image" Target="/xl/media/image8608.jpg" Id="Ra1de89b550d14522" /><Relationship Type="http://schemas.openxmlformats.org/officeDocument/2006/relationships/image" Target="/xl/media/image8609.jpg" Id="Rb7e204ca886a4beb" /><Relationship Type="http://schemas.openxmlformats.org/officeDocument/2006/relationships/image" Target="/xl/media/image8610.jpg" Id="R7daf8f33928f451a" /><Relationship Type="http://schemas.openxmlformats.org/officeDocument/2006/relationships/image" Target="/xl/media/image8611.jpg" Id="R852a6680944340e6" /><Relationship Type="http://schemas.openxmlformats.org/officeDocument/2006/relationships/image" Target="/xl/media/image8612.jpg" Id="Rb005cd79922d433e" /><Relationship Type="http://schemas.openxmlformats.org/officeDocument/2006/relationships/image" Target="/xl/media/image8613.jpg" Id="Rea9331eeb49046ff" /><Relationship Type="http://schemas.openxmlformats.org/officeDocument/2006/relationships/image" Target="/xl/media/image8614.jpg" Id="R4053a07390314091" /><Relationship Type="http://schemas.openxmlformats.org/officeDocument/2006/relationships/image" Target="/xl/media/image8615.jpg" Id="R43149a3a9bf84754" /><Relationship Type="http://schemas.openxmlformats.org/officeDocument/2006/relationships/image" Target="/xl/media/image8616.jpg" Id="R69adff5d5c6c40a2" /><Relationship Type="http://schemas.openxmlformats.org/officeDocument/2006/relationships/image" Target="/xl/media/image8617.jpg" Id="Re262084c749b4116" /><Relationship Type="http://schemas.openxmlformats.org/officeDocument/2006/relationships/image" Target="/xl/media/image8618.jpg" Id="R0ac8677c84e54e35" /><Relationship Type="http://schemas.openxmlformats.org/officeDocument/2006/relationships/image" Target="/xl/media/image8619.jpg" Id="R19d0d2bdfb9640f9" /><Relationship Type="http://schemas.openxmlformats.org/officeDocument/2006/relationships/image" Target="/xl/media/image8620.jpg" Id="R6ce355d34df44222" /><Relationship Type="http://schemas.openxmlformats.org/officeDocument/2006/relationships/image" Target="/xl/media/image8621.jpg" Id="R4ee6c9d425a34cad" /><Relationship Type="http://schemas.openxmlformats.org/officeDocument/2006/relationships/image" Target="/xl/media/image8622.jpg" Id="Rff0b65608f2f4a20" /><Relationship Type="http://schemas.openxmlformats.org/officeDocument/2006/relationships/image" Target="/xl/media/image8623.jpg" Id="Rc934d988fb8f4a4c" /><Relationship Type="http://schemas.openxmlformats.org/officeDocument/2006/relationships/image" Target="/xl/media/image8624.jpg" Id="R0b3da3f484b64fc2" /><Relationship Type="http://schemas.openxmlformats.org/officeDocument/2006/relationships/image" Target="/xl/media/image8625.jpg" Id="Re4256fc283e24712" /><Relationship Type="http://schemas.openxmlformats.org/officeDocument/2006/relationships/image" Target="/xl/media/image8626.jpg" Id="R254f977484dc4ce9" /><Relationship Type="http://schemas.openxmlformats.org/officeDocument/2006/relationships/image" Target="/xl/media/image8627.jpg" Id="R2af1da2e1477438e" /><Relationship Type="http://schemas.openxmlformats.org/officeDocument/2006/relationships/image" Target="/xl/media/image8628.jpg" Id="Rcea7b3e1944b42da" /><Relationship Type="http://schemas.openxmlformats.org/officeDocument/2006/relationships/image" Target="/xl/media/image8629.jpg" Id="Rea04e64afed847c8" /><Relationship Type="http://schemas.openxmlformats.org/officeDocument/2006/relationships/image" Target="/xl/media/image8630.jpg" Id="Rdeea6de72f424829" /><Relationship Type="http://schemas.openxmlformats.org/officeDocument/2006/relationships/image" Target="/xl/media/image8631.jpg" Id="Raa638f7414b34069" /><Relationship Type="http://schemas.openxmlformats.org/officeDocument/2006/relationships/image" Target="/xl/media/image8632.jpg" Id="R8fdd8ff3cc9b4144" /><Relationship Type="http://schemas.openxmlformats.org/officeDocument/2006/relationships/image" Target="/xl/media/image8633.jpg" Id="Rba5c044fc7e24d97" /><Relationship Type="http://schemas.openxmlformats.org/officeDocument/2006/relationships/image" Target="/xl/media/image8634.jpg" Id="Rf70b28b6652a4b56" /><Relationship Type="http://schemas.openxmlformats.org/officeDocument/2006/relationships/image" Target="/xl/media/image8635.jpg" Id="Rc984e3d7c74c4261" /><Relationship Type="http://schemas.openxmlformats.org/officeDocument/2006/relationships/image" Target="/xl/media/image8636.jpg" Id="Red66b6de7bbd4c26" /><Relationship Type="http://schemas.openxmlformats.org/officeDocument/2006/relationships/image" Target="/xl/media/image8637.jpg" Id="Rdfb3e549bbae436a" /><Relationship Type="http://schemas.openxmlformats.org/officeDocument/2006/relationships/image" Target="/xl/media/image8638.jpg" Id="R803b6259e6ee4b1b" /><Relationship Type="http://schemas.openxmlformats.org/officeDocument/2006/relationships/image" Target="/xl/media/image8639.jpg" Id="R54a1caaf5a5c4672" /><Relationship Type="http://schemas.openxmlformats.org/officeDocument/2006/relationships/image" Target="/xl/media/image8640.jpg" Id="Rd938aa626f984f4c" /><Relationship Type="http://schemas.openxmlformats.org/officeDocument/2006/relationships/image" Target="/xl/media/image8641.jpg" Id="Re3194a3ff4994fcb" /><Relationship Type="http://schemas.openxmlformats.org/officeDocument/2006/relationships/image" Target="/xl/media/image8642.jpg" Id="R589f6f4dab3a4865" /><Relationship Type="http://schemas.openxmlformats.org/officeDocument/2006/relationships/image" Target="/xl/media/image8643.jpg" Id="Raa6024f7695d4053" /><Relationship Type="http://schemas.openxmlformats.org/officeDocument/2006/relationships/image" Target="/xl/media/image8644.jpg" Id="R9bbcae0d0d7e4b8c" /><Relationship Type="http://schemas.openxmlformats.org/officeDocument/2006/relationships/image" Target="/xl/media/image8645.jpg" Id="Rc5f0289363394ee4" /><Relationship Type="http://schemas.openxmlformats.org/officeDocument/2006/relationships/image" Target="/xl/media/image8646.jpg" Id="R76c4a3530d394d45" /><Relationship Type="http://schemas.openxmlformats.org/officeDocument/2006/relationships/image" Target="/xl/media/image8647.jpg" Id="R3c2a6bab258e402a" /><Relationship Type="http://schemas.openxmlformats.org/officeDocument/2006/relationships/image" Target="/xl/media/image8648.jpg" Id="R62033befec94409f" /><Relationship Type="http://schemas.openxmlformats.org/officeDocument/2006/relationships/image" Target="/xl/media/image8649.jpg" Id="R5f85219e2fde46a4" /><Relationship Type="http://schemas.openxmlformats.org/officeDocument/2006/relationships/image" Target="/xl/media/image8650.jpg" Id="Re493ad642dea41e5" /><Relationship Type="http://schemas.openxmlformats.org/officeDocument/2006/relationships/image" Target="/xl/media/image8651.jpg" Id="R4f49114ad6d04de1" /><Relationship Type="http://schemas.openxmlformats.org/officeDocument/2006/relationships/image" Target="/xl/media/image8652.jpg" Id="Re2864fda88a949e4" /><Relationship Type="http://schemas.openxmlformats.org/officeDocument/2006/relationships/image" Target="/xl/media/image8653.jpg" Id="Rdaaa3ee9f47d45f4" /><Relationship Type="http://schemas.openxmlformats.org/officeDocument/2006/relationships/image" Target="/xl/media/image8654.jpg" Id="R1e49ac0df4ff4861" /><Relationship Type="http://schemas.openxmlformats.org/officeDocument/2006/relationships/image" Target="/xl/media/image8655.jpg" Id="R849833edeff9441d" /><Relationship Type="http://schemas.openxmlformats.org/officeDocument/2006/relationships/image" Target="/xl/media/image8656.jpg" Id="Rc9822f8821e9470b" /><Relationship Type="http://schemas.openxmlformats.org/officeDocument/2006/relationships/image" Target="/xl/media/image8657.jpg" Id="Ra55cd8f2646449dd" /><Relationship Type="http://schemas.openxmlformats.org/officeDocument/2006/relationships/image" Target="/xl/media/image8658.jpg" Id="R0ab09a62609e4330" /><Relationship Type="http://schemas.openxmlformats.org/officeDocument/2006/relationships/image" Target="/xl/media/image8659.jpg" Id="R1b45583509ee4544" /><Relationship Type="http://schemas.openxmlformats.org/officeDocument/2006/relationships/image" Target="/xl/media/image8660.jpg" Id="Rdc5187b7b9b74071" /><Relationship Type="http://schemas.openxmlformats.org/officeDocument/2006/relationships/image" Target="/xl/media/image8661.jpg" Id="R7cdb1bc041714bff" /><Relationship Type="http://schemas.openxmlformats.org/officeDocument/2006/relationships/image" Target="/xl/media/image8662.jpg" Id="R78df64169c444872" /><Relationship Type="http://schemas.openxmlformats.org/officeDocument/2006/relationships/image" Target="/xl/media/image8663.jpg" Id="Reefa263dc0514c7d" /><Relationship Type="http://schemas.openxmlformats.org/officeDocument/2006/relationships/image" Target="/xl/media/image8664.jpg" Id="R1f88e5d379234c88" /><Relationship Type="http://schemas.openxmlformats.org/officeDocument/2006/relationships/image" Target="/xl/media/image8665.jpg" Id="R052e3bb9dd7648f9" /><Relationship Type="http://schemas.openxmlformats.org/officeDocument/2006/relationships/image" Target="/xl/media/image8666.jpg" Id="Rea17e6ded53a45b6" /><Relationship Type="http://schemas.openxmlformats.org/officeDocument/2006/relationships/image" Target="/xl/media/image8667.jpg" Id="R2de4711983a541db" /><Relationship Type="http://schemas.openxmlformats.org/officeDocument/2006/relationships/image" Target="/xl/media/image8668.jpg" Id="R29f6bb6466f64ed6" /><Relationship Type="http://schemas.openxmlformats.org/officeDocument/2006/relationships/image" Target="/xl/media/image8669.jpg" Id="R661716c53f2544e2" /><Relationship Type="http://schemas.openxmlformats.org/officeDocument/2006/relationships/image" Target="/xl/media/image8670.jpg" Id="R9a60ccf1fba54da3" /><Relationship Type="http://schemas.openxmlformats.org/officeDocument/2006/relationships/image" Target="/xl/media/image8671.jpg" Id="R01edfd5eeea44d43" /><Relationship Type="http://schemas.openxmlformats.org/officeDocument/2006/relationships/image" Target="/xl/media/image8672.jpg" Id="Radee1fde8dc64b6c" /><Relationship Type="http://schemas.openxmlformats.org/officeDocument/2006/relationships/image" Target="/xl/media/image8673.jpg" Id="R142a02c1eec541c0" /><Relationship Type="http://schemas.openxmlformats.org/officeDocument/2006/relationships/image" Target="/xl/media/image8674.jpg" Id="Rf801569a034d4987" /><Relationship Type="http://schemas.openxmlformats.org/officeDocument/2006/relationships/image" Target="/xl/media/image8675.jpg" Id="R68a4a6795f074f30" /><Relationship Type="http://schemas.openxmlformats.org/officeDocument/2006/relationships/image" Target="/xl/media/image8676.jpg" Id="R6074e1c831814a35" /><Relationship Type="http://schemas.openxmlformats.org/officeDocument/2006/relationships/image" Target="/xl/media/image8677.jpg" Id="Rf7c9569e59a440f5" /><Relationship Type="http://schemas.openxmlformats.org/officeDocument/2006/relationships/image" Target="/xl/media/image8678.jpg" Id="R12b2a852bf9b4d36" /><Relationship Type="http://schemas.openxmlformats.org/officeDocument/2006/relationships/image" Target="/xl/media/image8679.jpg" Id="Rd73c536a863b4414" /><Relationship Type="http://schemas.openxmlformats.org/officeDocument/2006/relationships/image" Target="/xl/media/image8680.jpg" Id="R3ee4c0b9252b4ef9" /><Relationship Type="http://schemas.openxmlformats.org/officeDocument/2006/relationships/image" Target="/xl/media/image8681.jpg" Id="Re22af20a42ff4010" /><Relationship Type="http://schemas.openxmlformats.org/officeDocument/2006/relationships/image" Target="/xl/media/image8682.jpg" Id="R97806bec6b0948f3" /><Relationship Type="http://schemas.openxmlformats.org/officeDocument/2006/relationships/image" Target="/xl/media/image8683.jpg" Id="Ra2171361d9954237" /><Relationship Type="http://schemas.openxmlformats.org/officeDocument/2006/relationships/image" Target="/xl/media/image8684.jpg" Id="R462e4724f2544f1c" /><Relationship Type="http://schemas.openxmlformats.org/officeDocument/2006/relationships/image" Target="/xl/media/image8685.jpg" Id="R167700f7ac0843f0" /><Relationship Type="http://schemas.openxmlformats.org/officeDocument/2006/relationships/image" Target="/xl/media/image8686.jpg" Id="Ra120e74cc7c941f8" /><Relationship Type="http://schemas.openxmlformats.org/officeDocument/2006/relationships/image" Target="/xl/media/image8687.jpg" Id="Rf15c8e4a4b384015" /><Relationship Type="http://schemas.openxmlformats.org/officeDocument/2006/relationships/image" Target="/xl/media/image8688.jpg" Id="R5c340d7d0dc24999" /><Relationship Type="http://schemas.openxmlformats.org/officeDocument/2006/relationships/image" Target="/xl/media/image8689.jpg" Id="R93e79fd9eb2041a0" /><Relationship Type="http://schemas.openxmlformats.org/officeDocument/2006/relationships/image" Target="/xl/media/image8690.jpg" Id="R3162bc63c0e34783" /><Relationship Type="http://schemas.openxmlformats.org/officeDocument/2006/relationships/image" Target="/xl/media/image8691.jpg" Id="Rccbea531daba4630" /><Relationship Type="http://schemas.openxmlformats.org/officeDocument/2006/relationships/image" Target="/xl/media/image8692.jpg" Id="R85898a11318c42a7" /><Relationship Type="http://schemas.openxmlformats.org/officeDocument/2006/relationships/image" Target="/xl/media/image8693.jpg" Id="Rf7328023a1934d8e" /><Relationship Type="http://schemas.openxmlformats.org/officeDocument/2006/relationships/image" Target="/xl/media/image8694.jpg" Id="R183638ad04024a6c" /><Relationship Type="http://schemas.openxmlformats.org/officeDocument/2006/relationships/image" Target="/xl/media/image8695.jpg" Id="R5b4a17c7e7614b75" /><Relationship Type="http://schemas.openxmlformats.org/officeDocument/2006/relationships/image" Target="/xl/media/image8696.jpg" Id="R377834a894c64263" /><Relationship Type="http://schemas.openxmlformats.org/officeDocument/2006/relationships/image" Target="/xl/media/image8697.jpg" Id="Rc7a2cdcae9344def" /><Relationship Type="http://schemas.openxmlformats.org/officeDocument/2006/relationships/image" Target="/xl/media/image8698.jpg" Id="Rc4c410b4a250429d" /><Relationship Type="http://schemas.openxmlformats.org/officeDocument/2006/relationships/image" Target="/xl/media/image8699.jpg" Id="Re5f19f4ca9b94167" /><Relationship Type="http://schemas.openxmlformats.org/officeDocument/2006/relationships/image" Target="/xl/media/image8700.jpg" Id="R4291a876d7f84ab0" /><Relationship Type="http://schemas.openxmlformats.org/officeDocument/2006/relationships/image" Target="/xl/media/image8701.jpg" Id="Rc64488ab46cb4a0c" /><Relationship Type="http://schemas.openxmlformats.org/officeDocument/2006/relationships/image" Target="/xl/media/image8702.jpg" Id="R985bb9bd2137498c" /><Relationship Type="http://schemas.openxmlformats.org/officeDocument/2006/relationships/image" Target="/xl/media/image8703.jpg" Id="R0681fc49603e4cc3" /><Relationship Type="http://schemas.openxmlformats.org/officeDocument/2006/relationships/image" Target="/xl/media/image8704.jpg" Id="R77a3041319214e62" /><Relationship Type="http://schemas.openxmlformats.org/officeDocument/2006/relationships/image" Target="/xl/media/image8705.jpg" Id="R13f109ce550e46a1" /><Relationship Type="http://schemas.openxmlformats.org/officeDocument/2006/relationships/image" Target="/xl/media/image8706.jpg" Id="R1ad1a3e5af8f413d" /><Relationship Type="http://schemas.openxmlformats.org/officeDocument/2006/relationships/image" Target="/xl/media/image8707.jpg" Id="R8be5ae512d09484e" /><Relationship Type="http://schemas.openxmlformats.org/officeDocument/2006/relationships/image" Target="/xl/media/image8708.jpg" Id="Reaf13e881b3b49fe" /><Relationship Type="http://schemas.openxmlformats.org/officeDocument/2006/relationships/image" Target="/xl/media/image8709.jpg" Id="R4a05fa3092f5406a" /><Relationship Type="http://schemas.openxmlformats.org/officeDocument/2006/relationships/image" Target="/xl/media/image8710.jpg" Id="R750ea56abc5f4504" /><Relationship Type="http://schemas.openxmlformats.org/officeDocument/2006/relationships/image" Target="/xl/media/image8711.jpg" Id="R7de43a14d6fb4c32" /></Relationships>
</file>

<file path=xl/drawings/drawing1.xml><?xml version="1.0" encoding="utf-8"?>
<xdr:wsDr xmlns:xdr="http://schemas.openxmlformats.org/drawingml/2006/spreadsheetDrawing">
  <xdr:oneCellAnchor>
    <xdr:from>
      <xdr:col>1</xdr:col>
      <xdr:colOff>19050</xdr:colOff>
      <xdr:row>3</xdr:row>
      <xdr:rowOff>19050</xdr:rowOff>
    </xdr:from>
    <xdr:ext cx="1143000" cy="1143000"/>
    <xdr:pic>
      <xdr:nvPicPr>
        <xdr:cNvPr id="1" name="ad0c943b-ed81-4ab7-9d83-a3077458218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219928d7f5942f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</xdr:row>
      <xdr:rowOff>19050</xdr:rowOff>
    </xdr:from>
    <xdr:ext cx="1143000" cy="1143000"/>
    <xdr:pic>
      <xdr:nvPicPr>
        <xdr:cNvPr id="2" name="e829cfa2-40a0-4cd3-8c2a-e9dfe4f9bdb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c0ff26bdde7425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</xdr:row>
      <xdr:rowOff>19050</xdr:rowOff>
    </xdr:from>
    <xdr:ext cx="1143000" cy="1143000"/>
    <xdr:pic>
      <xdr:nvPicPr>
        <xdr:cNvPr id="3" name="0cd08680-3e13-492b-89aa-0fb662bef2c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aa80f35a356439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</xdr:row>
      <xdr:rowOff>19050</xdr:rowOff>
    </xdr:from>
    <xdr:ext cx="1143000" cy="1143000"/>
    <xdr:pic>
      <xdr:nvPicPr>
        <xdr:cNvPr id="4" name="75dc54c3-2bea-4b0f-8b3c-c908ee29aae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4bea7b9c9bc4d8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</xdr:row>
      <xdr:rowOff>19050</xdr:rowOff>
    </xdr:from>
    <xdr:ext cx="1143000" cy="1143000"/>
    <xdr:pic>
      <xdr:nvPicPr>
        <xdr:cNvPr id="5" name="da234aa3-76e3-424f-84f3-440cb64c781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2ca5745aee24d1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</xdr:row>
      <xdr:rowOff>19050</xdr:rowOff>
    </xdr:from>
    <xdr:ext cx="1143000" cy="1143000"/>
    <xdr:pic>
      <xdr:nvPicPr>
        <xdr:cNvPr id="6" name="af5d86e8-e293-4b1e-844b-8c0e8a73932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aea7dd8fa38433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9</xdr:row>
      <xdr:rowOff>19050</xdr:rowOff>
    </xdr:from>
    <xdr:ext cx="1143000" cy="1143000"/>
    <xdr:pic>
      <xdr:nvPicPr>
        <xdr:cNvPr id="7" name="7f301e91-de30-4f78-9aad-984f82431a9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ed026c97fda475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10</xdr:row>
      <xdr:rowOff>19050</xdr:rowOff>
    </xdr:from>
    <xdr:ext cx="1143000" cy="1143000"/>
    <xdr:pic>
      <xdr:nvPicPr>
        <xdr:cNvPr id="8" name="c01675c5-97c7-411d-b00e-bee7fb46d28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d3f52f643c244b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11</xdr:row>
      <xdr:rowOff>19050</xdr:rowOff>
    </xdr:from>
    <xdr:ext cx="1143000" cy="1143000"/>
    <xdr:pic>
      <xdr:nvPicPr>
        <xdr:cNvPr id="9" name="66f249cd-963f-4924-b98a-562f93f1563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9a74e2840ba4e5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12</xdr:row>
      <xdr:rowOff>19050</xdr:rowOff>
    </xdr:from>
    <xdr:ext cx="1143000" cy="1143000"/>
    <xdr:pic>
      <xdr:nvPicPr>
        <xdr:cNvPr id="10" name="2df50dc5-09b1-4ae8-8c11-0dec92663e8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f366ba9235f452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13</xdr:row>
      <xdr:rowOff>19050</xdr:rowOff>
    </xdr:from>
    <xdr:ext cx="1143000" cy="1143000"/>
    <xdr:pic>
      <xdr:nvPicPr>
        <xdr:cNvPr id="11" name="00131aa5-eda9-436c-a738-fc7c4e0cea7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36c60dae8e9475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14</xdr:row>
      <xdr:rowOff>19050</xdr:rowOff>
    </xdr:from>
    <xdr:ext cx="1143000" cy="1143000"/>
    <xdr:pic>
      <xdr:nvPicPr>
        <xdr:cNvPr id="12" name="9d8fc420-6388-434e-8145-08de1b8becb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1104e7c3b9341d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15</xdr:row>
      <xdr:rowOff>19050</xdr:rowOff>
    </xdr:from>
    <xdr:ext cx="1143000" cy="1143000"/>
    <xdr:pic>
      <xdr:nvPicPr>
        <xdr:cNvPr id="13" name="b4e79c5e-0ce3-47b6-af5c-f8b30e3a17e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cfc05a2a868468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16</xdr:row>
      <xdr:rowOff>19050</xdr:rowOff>
    </xdr:from>
    <xdr:ext cx="1143000" cy="1143000"/>
    <xdr:pic>
      <xdr:nvPicPr>
        <xdr:cNvPr id="14" name="69833781-9fd2-4336-8d03-ab55f19d1b5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caadb089b2c4cc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17</xdr:row>
      <xdr:rowOff>19050</xdr:rowOff>
    </xdr:from>
    <xdr:ext cx="1143000" cy="1143000"/>
    <xdr:pic>
      <xdr:nvPicPr>
        <xdr:cNvPr id="15" name="c171b2af-a6a5-4993-ba41-e589eb8c272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df7f6aee8c24bd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18</xdr:row>
      <xdr:rowOff>19050</xdr:rowOff>
    </xdr:from>
    <xdr:ext cx="1143000" cy="1143000"/>
    <xdr:pic>
      <xdr:nvPicPr>
        <xdr:cNvPr id="16" name="ea4e6c3b-b139-4794-9e85-d60f4ffe729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9e5f3635c8e46a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19</xdr:row>
      <xdr:rowOff>19050</xdr:rowOff>
    </xdr:from>
    <xdr:ext cx="1143000" cy="1143000"/>
    <xdr:pic>
      <xdr:nvPicPr>
        <xdr:cNvPr id="17" name="9072af82-2fe1-4afb-8e93-1aecb213ce7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bda95f77cba4ad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20</xdr:row>
      <xdr:rowOff>19050</xdr:rowOff>
    </xdr:from>
    <xdr:ext cx="1143000" cy="1143000"/>
    <xdr:pic>
      <xdr:nvPicPr>
        <xdr:cNvPr id="18" name="3d87c7e0-6d84-41fe-b768-ed8064a1edb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f804787d260481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21</xdr:row>
      <xdr:rowOff>19050</xdr:rowOff>
    </xdr:from>
    <xdr:ext cx="1143000" cy="1143000"/>
    <xdr:pic>
      <xdr:nvPicPr>
        <xdr:cNvPr id="19" name="814d8a47-2e2c-4e9a-b524-e0aa5d0ff3e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2d8598a43484d8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22</xdr:row>
      <xdr:rowOff>19050</xdr:rowOff>
    </xdr:from>
    <xdr:ext cx="1143000" cy="1143000"/>
    <xdr:pic>
      <xdr:nvPicPr>
        <xdr:cNvPr id="20" name="3ef4af5c-3735-4fcd-98c8-13fa600c2b4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51195eee14e46c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23</xdr:row>
      <xdr:rowOff>19050</xdr:rowOff>
    </xdr:from>
    <xdr:ext cx="1143000" cy="1143000"/>
    <xdr:pic>
      <xdr:nvPicPr>
        <xdr:cNvPr id="21" name="222a1aa5-92f1-473e-9c6a-a1cc89005e9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0ed83dde9c64ce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24</xdr:row>
      <xdr:rowOff>19050</xdr:rowOff>
    </xdr:from>
    <xdr:ext cx="1143000" cy="1143000"/>
    <xdr:pic>
      <xdr:nvPicPr>
        <xdr:cNvPr id="22" name="eeaf2dd2-578f-4da0-9bf1-7fe4aa47dc9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e2396e6fd024b7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25</xdr:row>
      <xdr:rowOff>19050</xdr:rowOff>
    </xdr:from>
    <xdr:ext cx="1143000" cy="1143000"/>
    <xdr:pic>
      <xdr:nvPicPr>
        <xdr:cNvPr id="23" name="29b1f7a0-0fde-4be8-b818-e727af82bb3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440b5d65bb54a5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26</xdr:row>
      <xdr:rowOff>19050</xdr:rowOff>
    </xdr:from>
    <xdr:ext cx="1143000" cy="1143000"/>
    <xdr:pic>
      <xdr:nvPicPr>
        <xdr:cNvPr id="24" name="e8d54ee4-55cf-4a77-922c-d7b852a201c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96445182a2a426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27</xdr:row>
      <xdr:rowOff>19050</xdr:rowOff>
    </xdr:from>
    <xdr:ext cx="1143000" cy="1143000"/>
    <xdr:pic>
      <xdr:nvPicPr>
        <xdr:cNvPr id="25" name="f07ff8c9-eaa9-4e49-ba94-9a6862a82f3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a3f7f8259cb4da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28</xdr:row>
      <xdr:rowOff>19050</xdr:rowOff>
    </xdr:from>
    <xdr:ext cx="1143000" cy="1143000"/>
    <xdr:pic>
      <xdr:nvPicPr>
        <xdr:cNvPr id="26" name="5275353a-09e1-4d75-a3c0-54ae59d9465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a6d4058dc5c4d1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29</xdr:row>
      <xdr:rowOff>19050</xdr:rowOff>
    </xdr:from>
    <xdr:ext cx="1143000" cy="1143000"/>
    <xdr:pic>
      <xdr:nvPicPr>
        <xdr:cNvPr id="27" name="2e09640d-cfdf-45b7-a7f4-9f622ad6195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db22638dc0e488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30</xdr:row>
      <xdr:rowOff>19050</xdr:rowOff>
    </xdr:from>
    <xdr:ext cx="1143000" cy="1143000"/>
    <xdr:pic>
      <xdr:nvPicPr>
        <xdr:cNvPr id="28" name="920dfb64-f130-4fbd-a5f1-7654d431446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a2feac243694e7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31</xdr:row>
      <xdr:rowOff>19050</xdr:rowOff>
    </xdr:from>
    <xdr:ext cx="1143000" cy="1143000"/>
    <xdr:pic>
      <xdr:nvPicPr>
        <xdr:cNvPr id="29" name="6948d3ca-7105-47b5-8415-3cf1319f4e5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b86c6519cac46b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32</xdr:row>
      <xdr:rowOff>19050</xdr:rowOff>
    </xdr:from>
    <xdr:ext cx="1143000" cy="1143000"/>
    <xdr:pic>
      <xdr:nvPicPr>
        <xdr:cNvPr id="30" name="18ab21cc-2773-41c8-b8e5-ee7b8cc3482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6a2d7ce98ca4f4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33</xdr:row>
      <xdr:rowOff>19050</xdr:rowOff>
    </xdr:from>
    <xdr:ext cx="1143000" cy="1143000"/>
    <xdr:pic>
      <xdr:nvPicPr>
        <xdr:cNvPr id="31" name="5657656c-9ba6-40f0-8baf-8c21d54b976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365fac7b95e48b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34</xdr:row>
      <xdr:rowOff>19050</xdr:rowOff>
    </xdr:from>
    <xdr:ext cx="1143000" cy="1143000"/>
    <xdr:pic>
      <xdr:nvPicPr>
        <xdr:cNvPr id="32" name="8d56ce76-cec9-4caa-a165-7d411704227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09c736ff0ba48d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35</xdr:row>
      <xdr:rowOff>19050</xdr:rowOff>
    </xdr:from>
    <xdr:ext cx="1143000" cy="1143000"/>
    <xdr:pic>
      <xdr:nvPicPr>
        <xdr:cNvPr id="33" name="47d6d0a6-f9ed-4d34-9c0d-209ac94668f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177e45c27954b6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36</xdr:row>
      <xdr:rowOff>19050</xdr:rowOff>
    </xdr:from>
    <xdr:ext cx="1143000" cy="1143000"/>
    <xdr:pic>
      <xdr:nvPicPr>
        <xdr:cNvPr id="34" name="cf461466-3707-4905-9c96-a2bebe2dec7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eb69a24c8ab48d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37</xdr:row>
      <xdr:rowOff>19050</xdr:rowOff>
    </xdr:from>
    <xdr:ext cx="1143000" cy="1143000"/>
    <xdr:pic>
      <xdr:nvPicPr>
        <xdr:cNvPr id="35" name="ccddfd05-4b3a-482a-8581-b9ad2d0e33b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3c4abb3203d472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38</xdr:row>
      <xdr:rowOff>19050</xdr:rowOff>
    </xdr:from>
    <xdr:ext cx="1143000" cy="1143000"/>
    <xdr:pic>
      <xdr:nvPicPr>
        <xdr:cNvPr id="36" name="9cd44d49-cf82-424c-8643-2eb349d2c9f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b367388e5b74f1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39</xdr:row>
      <xdr:rowOff>19050</xdr:rowOff>
    </xdr:from>
    <xdr:ext cx="1143000" cy="1143000"/>
    <xdr:pic>
      <xdr:nvPicPr>
        <xdr:cNvPr id="37" name="b73e2d4f-6d4e-4492-ad43-33b05553257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d34838eee6546c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40</xdr:row>
      <xdr:rowOff>19050</xdr:rowOff>
    </xdr:from>
    <xdr:ext cx="1143000" cy="1143000"/>
    <xdr:pic>
      <xdr:nvPicPr>
        <xdr:cNvPr id="38" name="5298d95d-c9c8-48b0-a75b-8b9c5e4a20c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029107cc1ec4e1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41</xdr:row>
      <xdr:rowOff>19050</xdr:rowOff>
    </xdr:from>
    <xdr:ext cx="1143000" cy="1143000"/>
    <xdr:pic>
      <xdr:nvPicPr>
        <xdr:cNvPr id="39" name="28186d28-97eb-4674-b03d-fb07b9f0c2f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9dd783b9f02410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42</xdr:row>
      <xdr:rowOff>19050</xdr:rowOff>
    </xdr:from>
    <xdr:ext cx="1143000" cy="1143000"/>
    <xdr:pic>
      <xdr:nvPicPr>
        <xdr:cNvPr id="40" name="a1220d2d-5002-4d26-b60b-4ae2d2dd936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fe54c93a276484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43</xdr:row>
      <xdr:rowOff>19050</xdr:rowOff>
    </xdr:from>
    <xdr:ext cx="1143000" cy="1143000"/>
    <xdr:pic>
      <xdr:nvPicPr>
        <xdr:cNvPr id="41" name="eea9eaf1-8f0f-4e59-ac51-fb955bb71cc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2840e602dc64ee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44</xdr:row>
      <xdr:rowOff>19050</xdr:rowOff>
    </xdr:from>
    <xdr:ext cx="1143000" cy="1143000"/>
    <xdr:pic>
      <xdr:nvPicPr>
        <xdr:cNvPr id="42" name="2bcddbfd-275c-42f5-82d4-076f70c8658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331eeb422b24b8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45</xdr:row>
      <xdr:rowOff>19050</xdr:rowOff>
    </xdr:from>
    <xdr:ext cx="1143000" cy="1143000"/>
    <xdr:pic>
      <xdr:nvPicPr>
        <xdr:cNvPr id="43" name="2892e24a-09a3-43eb-834c-2b6255f962c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069408492af407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46</xdr:row>
      <xdr:rowOff>19050</xdr:rowOff>
    </xdr:from>
    <xdr:ext cx="1143000" cy="1143000"/>
    <xdr:pic>
      <xdr:nvPicPr>
        <xdr:cNvPr id="44" name="8234d755-7ec4-4cd8-a3f2-11a5690c61e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14da30894f5497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47</xdr:row>
      <xdr:rowOff>19050</xdr:rowOff>
    </xdr:from>
    <xdr:ext cx="1143000" cy="1143000"/>
    <xdr:pic>
      <xdr:nvPicPr>
        <xdr:cNvPr id="45" name="5819055a-7cd1-4551-8f4e-1f63b4c45a9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85bc13a9a6741b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48</xdr:row>
      <xdr:rowOff>19050</xdr:rowOff>
    </xdr:from>
    <xdr:ext cx="1143000" cy="1143000"/>
    <xdr:pic>
      <xdr:nvPicPr>
        <xdr:cNvPr id="46" name="b00ad2a8-f76f-47ac-be66-d0936572342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6867fe03d76476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49</xdr:row>
      <xdr:rowOff>19050</xdr:rowOff>
    </xdr:from>
    <xdr:ext cx="1143000" cy="1143000"/>
    <xdr:pic>
      <xdr:nvPicPr>
        <xdr:cNvPr id="47" name="83505ab1-a5d8-4814-a28e-3e06e9b630d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490a9336469498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50</xdr:row>
      <xdr:rowOff>19050</xdr:rowOff>
    </xdr:from>
    <xdr:ext cx="1143000" cy="1143000"/>
    <xdr:pic>
      <xdr:nvPicPr>
        <xdr:cNvPr id="48" name="712bcffc-32dd-4581-b783-e237523f510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23a3ea226ee425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51</xdr:row>
      <xdr:rowOff>19050</xdr:rowOff>
    </xdr:from>
    <xdr:ext cx="1143000" cy="1143000"/>
    <xdr:pic>
      <xdr:nvPicPr>
        <xdr:cNvPr id="49" name="8d1ae084-74a6-48c5-8ace-e0694c62c6e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82a68eb2088459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52</xdr:row>
      <xdr:rowOff>19050</xdr:rowOff>
    </xdr:from>
    <xdr:ext cx="1143000" cy="1143000"/>
    <xdr:pic>
      <xdr:nvPicPr>
        <xdr:cNvPr id="50" name="da69ff3d-2599-4a40-8227-27d4f59f723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68605d3bd68431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53</xdr:row>
      <xdr:rowOff>19050</xdr:rowOff>
    </xdr:from>
    <xdr:ext cx="1143000" cy="1143000"/>
    <xdr:pic>
      <xdr:nvPicPr>
        <xdr:cNvPr id="51" name="5444771d-6662-4848-b4e0-d2fdab7bcaa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a71ff752104415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54</xdr:row>
      <xdr:rowOff>19050</xdr:rowOff>
    </xdr:from>
    <xdr:ext cx="1143000" cy="1143000"/>
    <xdr:pic>
      <xdr:nvPicPr>
        <xdr:cNvPr id="52" name="24e49a81-6563-40ef-a70e-761d726a1a0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26dd377780d475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55</xdr:row>
      <xdr:rowOff>19050</xdr:rowOff>
    </xdr:from>
    <xdr:ext cx="1143000" cy="1143000"/>
    <xdr:pic>
      <xdr:nvPicPr>
        <xdr:cNvPr id="53" name="df7f7c55-8490-4707-8988-219271d1f97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d083c89bf93442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56</xdr:row>
      <xdr:rowOff>19050</xdr:rowOff>
    </xdr:from>
    <xdr:ext cx="1143000" cy="1143000"/>
    <xdr:pic>
      <xdr:nvPicPr>
        <xdr:cNvPr id="54" name="8ba9b9d8-7772-4e29-91af-af3e5c5f9ad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a018c2050444f5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57</xdr:row>
      <xdr:rowOff>19050</xdr:rowOff>
    </xdr:from>
    <xdr:ext cx="1143000" cy="1143000"/>
    <xdr:pic>
      <xdr:nvPicPr>
        <xdr:cNvPr id="55" name="6c86ff49-cf8f-4b45-9032-3eb82d35037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6035cdb557249f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58</xdr:row>
      <xdr:rowOff>19050</xdr:rowOff>
    </xdr:from>
    <xdr:ext cx="1143000" cy="1143000"/>
    <xdr:pic>
      <xdr:nvPicPr>
        <xdr:cNvPr id="56" name="b6d6a108-cbe4-4351-a4ee-18effcc0779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20664a3e98b4a6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59</xdr:row>
      <xdr:rowOff>19050</xdr:rowOff>
    </xdr:from>
    <xdr:ext cx="1143000" cy="1143000"/>
    <xdr:pic>
      <xdr:nvPicPr>
        <xdr:cNvPr id="57" name="8a3b9a90-07f4-4eb3-88cc-0b101e1cf6e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76ebc5b3a5449d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60</xdr:row>
      <xdr:rowOff>19050</xdr:rowOff>
    </xdr:from>
    <xdr:ext cx="1143000" cy="1143000"/>
    <xdr:pic>
      <xdr:nvPicPr>
        <xdr:cNvPr id="58" name="b5451e29-52f5-42e4-b865-90f5bd7545c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5eb79663dd340b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61</xdr:row>
      <xdr:rowOff>19050</xdr:rowOff>
    </xdr:from>
    <xdr:ext cx="1143000" cy="1143000"/>
    <xdr:pic>
      <xdr:nvPicPr>
        <xdr:cNvPr id="59" name="d3b152ce-2b1a-4036-b6e1-6e3df6f3084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92a202b2dd24dd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62</xdr:row>
      <xdr:rowOff>19050</xdr:rowOff>
    </xdr:from>
    <xdr:ext cx="1143000" cy="1143000"/>
    <xdr:pic>
      <xdr:nvPicPr>
        <xdr:cNvPr id="60" name="f8da9d38-12b9-4139-ba85-61ec839589a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d1fe153b6a3464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63</xdr:row>
      <xdr:rowOff>19050</xdr:rowOff>
    </xdr:from>
    <xdr:ext cx="1143000" cy="1143000"/>
    <xdr:pic>
      <xdr:nvPicPr>
        <xdr:cNvPr id="61" name="f338adb1-9910-4af0-ac2c-bb44a24ee9f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9395c7714de44d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64</xdr:row>
      <xdr:rowOff>19050</xdr:rowOff>
    </xdr:from>
    <xdr:ext cx="1143000" cy="1143000"/>
    <xdr:pic>
      <xdr:nvPicPr>
        <xdr:cNvPr id="62" name="ab13aa7b-5908-4251-a1a0-7dc7f1326d9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d1310f7914d410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65</xdr:row>
      <xdr:rowOff>19050</xdr:rowOff>
    </xdr:from>
    <xdr:ext cx="1143000" cy="1143000"/>
    <xdr:pic>
      <xdr:nvPicPr>
        <xdr:cNvPr id="63" name="a8afa9de-54f5-4060-a2bf-4ded2e926cd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465cd5bdbe6486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66</xdr:row>
      <xdr:rowOff>19050</xdr:rowOff>
    </xdr:from>
    <xdr:ext cx="1143000" cy="1143000"/>
    <xdr:pic>
      <xdr:nvPicPr>
        <xdr:cNvPr id="64" name="b0485ad1-c1a9-4ab5-aae2-61a499c658c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719a40d968b474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67</xdr:row>
      <xdr:rowOff>19050</xdr:rowOff>
    </xdr:from>
    <xdr:ext cx="1143000" cy="1143000"/>
    <xdr:pic>
      <xdr:nvPicPr>
        <xdr:cNvPr id="65" name="cdfbd01a-79d8-41c9-b8c2-3def699299e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848f1c8149646d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68</xdr:row>
      <xdr:rowOff>19050</xdr:rowOff>
    </xdr:from>
    <xdr:ext cx="1143000" cy="1143000"/>
    <xdr:pic>
      <xdr:nvPicPr>
        <xdr:cNvPr id="66" name="f3f6d0b0-441f-4d82-9dea-7e61a9ef267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31fbce05b044c1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69</xdr:row>
      <xdr:rowOff>19050</xdr:rowOff>
    </xdr:from>
    <xdr:ext cx="1143000" cy="1143000"/>
    <xdr:pic>
      <xdr:nvPicPr>
        <xdr:cNvPr id="67" name="535a79b1-d0b6-4fdc-bd39-cd700936b6f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dfd94448f0d4e2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70</xdr:row>
      <xdr:rowOff>19050</xdr:rowOff>
    </xdr:from>
    <xdr:ext cx="1143000" cy="1143000"/>
    <xdr:pic>
      <xdr:nvPicPr>
        <xdr:cNvPr id="68" name="b4579499-de54-494c-9ecf-df4481d3887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67878d9677c4ae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71</xdr:row>
      <xdr:rowOff>19050</xdr:rowOff>
    </xdr:from>
    <xdr:ext cx="1143000" cy="1143000"/>
    <xdr:pic>
      <xdr:nvPicPr>
        <xdr:cNvPr id="69" name="f4e7c7bb-4be8-4a12-a6a0-dee24225ca7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4ae51f9f1e1487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72</xdr:row>
      <xdr:rowOff>19050</xdr:rowOff>
    </xdr:from>
    <xdr:ext cx="1143000" cy="1143000"/>
    <xdr:pic>
      <xdr:nvPicPr>
        <xdr:cNvPr id="70" name="ce64849c-909d-42c9-8b4e-83989358e73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2840a46cb5047e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73</xdr:row>
      <xdr:rowOff>19050</xdr:rowOff>
    </xdr:from>
    <xdr:ext cx="1143000" cy="1143000"/>
    <xdr:pic>
      <xdr:nvPicPr>
        <xdr:cNvPr id="71" name="084ae561-c9e3-4ba2-8d99-442254e7198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b2f825e65a448c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74</xdr:row>
      <xdr:rowOff>19050</xdr:rowOff>
    </xdr:from>
    <xdr:ext cx="1143000" cy="1143000"/>
    <xdr:pic>
      <xdr:nvPicPr>
        <xdr:cNvPr id="72" name="e0b70acf-ad81-4c9d-b32a-2c8e2daeef3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32b88b32d5d4b9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75</xdr:row>
      <xdr:rowOff>19050</xdr:rowOff>
    </xdr:from>
    <xdr:ext cx="1143000" cy="1143000"/>
    <xdr:pic>
      <xdr:nvPicPr>
        <xdr:cNvPr id="73" name="8a0b1cb7-2bc9-4fe5-95d0-ddcec82abfd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5ed3545e19744a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76</xdr:row>
      <xdr:rowOff>19050</xdr:rowOff>
    </xdr:from>
    <xdr:ext cx="1143000" cy="1143000"/>
    <xdr:pic>
      <xdr:nvPicPr>
        <xdr:cNvPr id="74" name="0eac972f-97e3-448a-8a94-52aa58c290f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a9806189c1a46d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77</xdr:row>
      <xdr:rowOff>19050</xdr:rowOff>
    </xdr:from>
    <xdr:ext cx="1143000" cy="1143000"/>
    <xdr:pic>
      <xdr:nvPicPr>
        <xdr:cNvPr id="75" name="2be1c906-e24f-4dc9-abd4-e5fcd08cfa7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423947d6fae4a6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78</xdr:row>
      <xdr:rowOff>19050</xdr:rowOff>
    </xdr:from>
    <xdr:ext cx="1143000" cy="1143000"/>
    <xdr:pic>
      <xdr:nvPicPr>
        <xdr:cNvPr id="76" name="12ce6a93-470b-4e63-a8b3-e6700223dc5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db617332c3542d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79</xdr:row>
      <xdr:rowOff>19050</xdr:rowOff>
    </xdr:from>
    <xdr:ext cx="1143000" cy="1143000"/>
    <xdr:pic>
      <xdr:nvPicPr>
        <xdr:cNvPr id="77" name="35538e76-4c25-4f0e-ad86-184969685af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c80508cc43447c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80</xdr:row>
      <xdr:rowOff>19050</xdr:rowOff>
    </xdr:from>
    <xdr:ext cx="1143000" cy="1143000"/>
    <xdr:pic>
      <xdr:nvPicPr>
        <xdr:cNvPr id="78" name="434f882b-fe51-42e5-8811-414e3d24f4b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e69d59fe6a1412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81</xdr:row>
      <xdr:rowOff>19050</xdr:rowOff>
    </xdr:from>
    <xdr:ext cx="1143000" cy="1143000"/>
    <xdr:pic>
      <xdr:nvPicPr>
        <xdr:cNvPr id="79" name="d4bd3740-91f7-44a6-ac10-4382b33f569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7fd36faa40543c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82</xdr:row>
      <xdr:rowOff>19050</xdr:rowOff>
    </xdr:from>
    <xdr:ext cx="1143000" cy="1143000"/>
    <xdr:pic>
      <xdr:nvPicPr>
        <xdr:cNvPr id="80" name="6025dcb3-3137-4e95-889d-db5d90ff360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0cd4624b2ba415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83</xdr:row>
      <xdr:rowOff>19050</xdr:rowOff>
    </xdr:from>
    <xdr:ext cx="1143000" cy="1143000"/>
    <xdr:pic>
      <xdr:nvPicPr>
        <xdr:cNvPr id="81" name="0c4dc2b4-d48a-4a55-9e7b-e6cf7c1d86b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006bf643bd64fb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84</xdr:row>
      <xdr:rowOff>19050</xdr:rowOff>
    </xdr:from>
    <xdr:ext cx="1143000" cy="1143000"/>
    <xdr:pic>
      <xdr:nvPicPr>
        <xdr:cNvPr id="82" name="1aeb779b-e35f-4b6e-8da8-702aa6016d2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2a85539e3ff429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85</xdr:row>
      <xdr:rowOff>19050</xdr:rowOff>
    </xdr:from>
    <xdr:ext cx="1143000" cy="1143000"/>
    <xdr:pic>
      <xdr:nvPicPr>
        <xdr:cNvPr id="83" name="bf4f2121-c55a-4d15-a2c4-a8745811b76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1260f91407847d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86</xdr:row>
      <xdr:rowOff>19050</xdr:rowOff>
    </xdr:from>
    <xdr:ext cx="1143000" cy="1143000"/>
    <xdr:pic>
      <xdr:nvPicPr>
        <xdr:cNvPr id="84" name="311dd955-5657-4be7-ad2a-85f35c62ee7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9de6b13b4c8418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87</xdr:row>
      <xdr:rowOff>19050</xdr:rowOff>
    </xdr:from>
    <xdr:ext cx="1143000" cy="1143000"/>
    <xdr:pic>
      <xdr:nvPicPr>
        <xdr:cNvPr id="85" name="3495f9df-9e9e-4058-84f3-ba9db0bb3fb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a0a56585a1c480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88</xdr:row>
      <xdr:rowOff>19050</xdr:rowOff>
    </xdr:from>
    <xdr:ext cx="1143000" cy="1143000"/>
    <xdr:pic>
      <xdr:nvPicPr>
        <xdr:cNvPr id="86" name="38d19b56-c50d-46ac-b156-1fc1ff2546c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f4726bbe9954a8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89</xdr:row>
      <xdr:rowOff>19050</xdr:rowOff>
    </xdr:from>
    <xdr:ext cx="1143000" cy="1143000"/>
    <xdr:pic>
      <xdr:nvPicPr>
        <xdr:cNvPr id="87" name="005ac7ec-3081-47f1-96d7-4f83ee33fcb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971c8f548d54a1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90</xdr:row>
      <xdr:rowOff>19050</xdr:rowOff>
    </xdr:from>
    <xdr:ext cx="1143000" cy="1143000"/>
    <xdr:pic>
      <xdr:nvPicPr>
        <xdr:cNvPr id="88" name="c84d9b95-e60c-407b-ae99-843a9be813a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c913034b0a34ab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91</xdr:row>
      <xdr:rowOff>19050</xdr:rowOff>
    </xdr:from>
    <xdr:ext cx="1143000" cy="1143000"/>
    <xdr:pic>
      <xdr:nvPicPr>
        <xdr:cNvPr id="89" name="1f154612-0212-48fd-87e1-5e7b3a6e9d1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b6a47884a4a484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92</xdr:row>
      <xdr:rowOff>19050</xdr:rowOff>
    </xdr:from>
    <xdr:ext cx="1143000" cy="1143000"/>
    <xdr:pic>
      <xdr:nvPicPr>
        <xdr:cNvPr id="90" name="3d6d66ac-8b9c-4d7b-aeb7-6589810a427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2cce49b962a49b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93</xdr:row>
      <xdr:rowOff>19050</xdr:rowOff>
    </xdr:from>
    <xdr:ext cx="1143000" cy="1143000"/>
    <xdr:pic>
      <xdr:nvPicPr>
        <xdr:cNvPr id="91" name="412deab9-a1a2-460b-8406-35fffe866e6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c3002a4d5bd4ef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94</xdr:row>
      <xdr:rowOff>19050</xdr:rowOff>
    </xdr:from>
    <xdr:ext cx="1143000" cy="1143000"/>
    <xdr:pic>
      <xdr:nvPicPr>
        <xdr:cNvPr id="92" name="a76044e9-86a9-4b6c-b1e4-9a116514b1e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04264c3c528464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95</xdr:row>
      <xdr:rowOff>19050</xdr:rowOff>
    </xdr:from>
    <xdr:ext cx="1143000" cy="1143000"/>
    <xdr:pic>
      <xdr:nvPicPr>
        <xdr:cNvPr id="93" name="ee208af3-f360-40a1-aea8-baabcf90ee8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3bf5f5a14c24b9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96</xdr:row>
      <xdr:rowOff>19050</xdr:rowOff>
    </xdr:from>
    <xdr:ext cx="1143000" cy="1143000"/>
    <xdr:pic>
      <xdr:nvPicPr>
        <xdr:cNvPr id="94" name="a403b575-c931-4c44-b1e0-5fb3e6b8b47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c991f7ab7a842e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97</xdr:row>
      <xdr:rowOff>19050</xdr:rowOff>
    </xdr:from>
    <xdr:ext cx="1143000" cy="1143000"/>
    <xdr:pic>
      <xdr:nvPicPr>
        <xdr:cNvPr id="95" name="06bc9c98-26a0-4dda-ab50-bbc7644b9e0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46bfccda04a476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98</xdr:row>
      <xdr:rowOff>19050</xdr:rowOff>
    </xdr:from>
    <xdr:ext cx="1143000" cy="1143000"/>
    <xdr:pic>
      <xdr:nvPicPr>
        <xdr:cNvPr id="96" name="4de37d18-62e8-49a6-9a39-d11b244d62c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ca49382b0fa492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99</xdr:row>
      <xdr:rowOff>19050</xdr:rowOff>
    </xdr:from>
    <xdr:ext cx="1143000" cy="1143000"/>
    <xdr:pic>
      <xdr:nvPicPr>
        <xdr:cNvPr id="97" name="c1df16ad-7aa5-45fc-8b38-0892a361198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4beda68dee7495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100</xdr:row>
      <xdr:rowOff>19050</xdr:rowOff>
    </xdr:from>
    <xdr:ext cx="1143000" cy="1143000"/>
    <xdr:pic>
      <xdr:nvPicPr>
        <xdr:cNvPr id="98" name="207ac485-48a0-4d4b-9865-dc2d2f1a032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9b03b458a3942f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101</xdr:row>
      <xdr:rowOff>19050</xdr:rowOff>
    </xdr:from>
    <xdr:ext cx="1143000" cy="1143000"/>
    <xdr:pic>
      <xdr:nvPicPr>
        <xdr:cNvPr id="99" name="9eb2e29b-533a-4170-a2df-5e23fe22a17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d7b9ace7b934e8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102</xdr:row>
      <xdr:rowOff>19050</xdr:rowOff>
    </xdr:from>
    <xdr:ext cx="1143000" cy="1143000"/>
    <xdr:pic>
      <xdr:nvPicPr>
        <xdr:cNvPr id="100" name="517e7a18-30c5-4138-acff-2bfa2830b67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f86298659a3409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103</xdr:row>
      <xdr:rowOff>19050</xdr:rowOff>
    </xdr:from>
    <xdr:ext cx="1143000" cy="1143000"/>
    <xdr:pic>
      <xdr:nvPicPr>
        <xdr:cNvPr id="101" name="ea2faa1d-9f5d-4e2a-8cdd-4d36e375b21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e32ac22c22048b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104</xdr:row>
      <xdr:rowOff>19050</xdr:rowOff>
    </xdr:from>
    <xdr:ext cx="1143000" cy="1143000"/>
    <xdr:pic>
      <xdr:nvPicPr>
        <xdr:cNvPr id="102" name="34522887-b340-4571-af4e-156e206d9d9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e74540c0fe446c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105</xdr:row>
      <xdr:rowOff>19050</xdr:rowOff>
    </xdr:from>
    <xdr:ext cx="1143000" cy="1143000"/>
    <xdr:pic>
      <xdr:nvPicPr>
        <xdr:cNvPr id="103" name="2db46fb8-8c1d-41e3-96e1-cb192f3c76b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6545e89b5fa499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106</xdr:row>
      <xdr:rowOff>19050</xdr:rowOff>
    </xdr:from>
    <xdr:ext cx="1143000" cy="1143000"/>
    <xdr:pic>
      <xdr:nvPicPr>
        <xdr:cNvPr id="104" name="aec18eb6-b7cc-4370-a4fb-82d8a0d95a6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1eea7bd12c24d0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107</xdr:row>
      <xdr:rowOff>19050</xdr:rowOff>
    </xdr:from>
    <xdr:ext cx="1143000" cy="1143000"/>
    <xdr:pic>
      <xdr:nvPicPr>
        <xdr:cNvPr id="105" name="a9a57eec-adda-445f-a813-9b1cb5fbfd7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3e86346ac42468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108</xdr:row>
      <xdr:rowOff>19050</xdr:rowOff>
    </xdr:from>
    <xdr:ext cx="1143000" cy="1143000"/>
    <xdr:pic>
      <xdr:nvPicPr>
        <xdr:cNvPr id="106" name="75a57176-ae44-4cfd-a035-ac15c295016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8e3aacf91ac4c3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109</xdr:row>
      <xdr:rowOff>19050</xdr:rowOff>
    </xdr:from>
    <xdr:ext cx="1143000" cy="1143000"/>
    <xdr:pic>
      <xdr:nvPicPr>
        <xdr:cNvPr id="107" name="5903926a-9722-4d02-abf6-2d7f2d8b916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1e573f8ba3246d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110</xdr:row>
      <xdr:rowOff>19050</xdr:rowOff>
    </xdr:from>
    <xdr:ext cx="1143000" cy="1143000"/>
    <xdr:pic>
      <xdr:nvPicPr>
        <xdr:cNvPr id="108" name="18abc497-36d9-46bb-bf3a-2684f22925e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d720c6666a8484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111</xdr:row>
      <xdr:rowOff>19050</xdr:rowOff>
    </xdr:from>
    <xdr:ext cx="1143000" cy="1143000"/>
    <xdr:pic>
      <xdr:nvPicPr>
        <xdr:cNvPr id="109" name="2b3bd0a7-a91e-4541-a47c-c0fd1896fb9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62a7a904813494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112</xdr:row>
      <xdr:rowOff>19050</xdr:rowOff>
    </xdr:from>
    <xdr:ext cx="1143000" cy="1143000"/>
    <xdr:pic>
      <xdr:nvPicPr>
        <xdr:cNvPr id="110" name="d83857b9-0e84-4841-8516-a97281bfe1f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e1840b72f934af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113</xdr:row>
      <xdr:rowOff>19050</xdr:rowOff>
    </xdr:from>
    <xdr:ext cx="1143000" cy="1143000"/>
    <xdr:pic>
      <xdr:nvPicPr>
        <xdr:cNvPr id="111" name="5f5a0376-d726-460c-995e-7f3dd75837b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b7ffc686253426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114</xdr:row>
      <xdr:rowOff>19050</xdr:rowOff>
    </xdr:from>
    <xdr:ext cx="1143000" cy="1143000"/>
    <xdr:pic>
      <xdr:nvPicPr>
        <xdr:cNvPr id="112" name="16629042-56ae-4c82-acd2-db9d696510d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daeec6472cd42d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115</xdr:row>
      <xdr:rowOff>19050</xdr:rowOff>
    </xdr:from>
    <xdr:ext cx="1143000" cy="1143000"/>
    <xdr:pic>
      <xdr:nvPicPr>
        <xdr:cNvPr id="113" name="608b36a0-6ba5-46f4-9191-31406bfeb4a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bc4888f9c8e4b1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116</xdr:row>
      <xdr:rowOff>19050</xdr:rowOff>
    </xdr:from>
    <xdr:ext cx="1143000" cy="1143000"/>
    <xdr:pic>
      <xdr:nvPicPr>
        <xdr:cNvPr id="114" name="a0ac43f9-2140-47b3-90b4-b2c9a4d08dc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4b96484a69a43a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117</xdr:row>
      <xdr:rowOff>19050</xdr:rowOff>
    </xdr:from>
    <xdr:ext cx="1143000" cy="1143000"/>
    <xdr:pic>
      <xdr:nvPicPr>
        <xdr:cNvPr id="115" name="871470be-89be-4cff-8e27-08be4fcf191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ee743fad3844ae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118</xdr:row>
      <xdr:rowOff>19050</xdr:rowOff>
    </xdr:from>
    <xdr:ext cx="1143000" cy="1143000"/>
    <xdr:pic>
      <xdr:nvPicPr>
        <xdr:cNvPr id="116" name="761dc1db-c68e-4b03-9fac-3b2f7f916b5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dd7f47e95d7483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119</xdr:row>
      <xdr:rowOff>19050</xdr:rowOff>
    </xdr:from>
    <xdr:ext cx="1143000" cy="1143000"/>
    <xdr:pic>
      <xdr:nvPicPr>
        <xdr:cNvPr id="117" name="bf03687a-9931-4152-9ac0-fb807bd9467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816e180933e417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120</xdr:row>
      <xdr:rowOff>19050</xdr:rowOff>
    </xdr:from>
    <xdr:ext cx="1143000" cy="1143000"/>
    <xdr:pic>
      <xdr:nvPicPr>
        <xdr:cNvPr id="118" name="61c16e88-aa4d-4d97-9074-b40044e0780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0861c100f844e8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121</xdr:row>
      <xdr:rowOff>19050</xdr:rowOff>
    </xdr:from>
    <xdr:ext cx="1143000" cy="1143000"/>
    <xdr:pic>
      <xdr:nvPicPr>
        <xdr:cNvPr id="119" name="e0617167-40ca-460b-bc6c-b5c560123b1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4eaed3fd463427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122</xdr:row>
      <xdr:rowOff>19050</xdr:rowOff>
    </xdr:from>
    <xdr:ext cx="1143000" cy="1143000"/>
    <xdr:pic>
      <xdr:nvPicPr>
        <xdr:cNvPr id="120" name="9b834a10-ec4e-4f06-9570-77aa3bf3d59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0757cb3b8614b6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123</xdr:row>
      <xdr:rowOff>19050</xdr:rowOff>
    </xdr:from>
    <xdr:ext cx="1143000" cy="1143000"/>
    <xdr:pic>
      <xdr:nvPicPr>
        <xdr:cNvPr id="121" name="5929186a-a299-409d-bfc0-070593c1f5a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d8ea5df05e6458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124</xdr:row>
      <xdr:rowOff>19050</xdr:rowOff>
    </xdr:from>
    <xdr:ext cx="1143000" cy="1143000"/>
    <xdr:pic>
      <xdr:nvPicPr>
        <xdr:cNvPr id="122" name="6793ae19-d32b-4e41-b427-99316005be3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14001ca9e8147a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125</xdr:row>
      <xdr:rowOff>19050</xdr:rowOff>
    </xdr:from>
    <xdr:ext cx="1143000" cy="1143000"/>
    <xdr:pic>
      <xdr:nvPicPr>
        <xdr:cNvPr id="123" name="ea871d4b-1360-43fc-9a2d-92fc5e6aa8d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b8e782df96441d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126</xdr:row>
      <xdr:rowOff>19050</xdr:rowOff>
    </xdr:from>
    <xdr:ext cx="1143000" cy="1143000"/>
    <xdr:pic>
      <xdr:nvPicPr>
        <xdr:cNvPr id="124" name="dc47ddfa-a179-4dbb-bbae-f35ca237713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5d9c7ef58344d5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127</xdr:row>
      <xdr:rowOff>19050</xdr:rowOff>
    </xdr:from>
    <xdr:ext cx="1143000" cy="1143000"/>
    <xdr:pic>
      <xdr:nvPicPr>
        <xdr:cNvPr id="125" name="2ca3b8ed-295f-4f13-88ee-164134dd8c3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0de37164e774d0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128</xdr:row>
      <xdr:rowOff>19050</xdr:rowOff>
    </xdr:from>
    <xdr:ext cx="1143000" cy="1143000"/>
    <xdr:pic>
      <xdr:nvPicPr>
        <xdr:cNvPr id="126" name="1e9fc440-0cdd-42db-bb83-b82d6764f6b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f1af6741c5d4b5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129</xdr:row>
      <xdr:rowOff>19050</xdr:rowOff>
    </xdr:from>
    <xdr:ext cx="1143000" cy="1143000"/>
    <xdr:pic>
      <xdr:nvPicPr>
        <xdr:cNvPr id="127" name="7efceb12-f835-4584-be45-1cc90e74bcb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ec914cacecd4fe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130</xdr:row>
      <xdr:rowOff>19050</xdr:rowOff>
    </xdr:from>
    <xdr:ext cx="1143000" cy="1143000"/>
    <xdr:pic>
      <xdr:nvPicPr>
        <xdr:cNvPr id="128" name="b49381e2-8a87-43f5-916c-ee15329ba55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e7a3f3affd24b2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131</xdr:row>
      <xdr:rowOff>19050</xdr:rowOff>
    </xdr:from>
    <xdr:ext cx="1143000" cy="1143000"/>
    <xdr:pic>
      <xdr:nvPicPr>
        <xdr:cNvPr id="129" name="280b0671-dcc8-4aee-99f6-0dab4cb00bb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69e2e72a229435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132</xdr:row>
      <xdr:rowOff>19050</xdr:rowOff>
    </xdr:from>
    <xdr:ext cx="1143000" cy="1143000"/>
    <xdr:pic>
      <xdr:nvPicPr>
        <xdr:cNvPr id="130" name="fc13c29a-9d46-4e78-9ecb-24461659f31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8e7f7449a5b4b1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133</xdr:row>
      <xdr:rowOff>19050</xdr:rowOff>
    </xdr:from>
    <xdr:ext cx="1143000" cy="1143000"/>
    <xdr:pic>
      <xdr:nvPicPr>
        <xdr:cNvPr id="131" name="d8162841-2016-47f2-b8ee-4587e24b091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c6d8da46c594c2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134</xdr:row>
      <xdr:rowOff>19050</xdr:rowOff>
    </xdr:from>
    <xdr:ext cx="1143000" cy="1143000"/>
    <xdr:pic>
      <xdr:nvPicPr>
        <xdr:cNvPr id="132" name="1d6f100a-227b-4f47-be33-1b011a68d32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02e11a96a8b457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135</xdr:row>
      <xdr:rowOff>19050</xdr:rowOff>
    </xdr:from>
    <xdr:ext cx="1143000" cy="1143000"/>
    <xdr:pic>
      <xdr:nvPicPr>
        <xdr:cNvPr id="133" name="2cda0913-201e-4a61-ab1c-9b3217f72d0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172ebc78f9a499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136</xdr:row>
      <xdr:rowOff>19050</xdr:rowOff>
    </xdr:from>
    <xdr:ext cx="1143000" cy="1143000"/>
    <xdr:pic>
      <xdr:nvPicPr>
        <xdr:cNvPr id="134" name="be75dacd-a955-4185-a9a7-4e7c90ee40d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5620509335a47b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137</xdr:row>
      <xdr:rowOff>19050</xdr:rowOff>
    </xdr:from>
    <xdr:ext cx="1143000" cy="1143000"/>
    <xdr:pic>
      <xdr:nvPicPr>
        <xdr:cNvPr id="135" name="54dd9391-fd00-4665-8699-dc9523f6141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aebb8beea46407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138</xdr:row>
      <xdr:rowOff>19050</xdr:rowOff>
    </xdr:from>
    <xdr:ext cx="1143000" cy="1143000"/>
    <xdr:pic>
      <xdr:nvPicPr>
        <xdr:cNvPr id="136" name="1dac87bd-19d7-44e1-be6d-976f54f5eff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95a79d2e4c743d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139</xdr:row>
      <xdr:rowOff>19050</xdr:rowOff>
    </xdr:from>
    <xdr:ext cx="1143000" cy="1143000"/>
    <xdr:pic>
      <xdr:nvPicPr>
        <xdr:cNvPr id="137" name="cfaf322a-7ccf-43bd-bfdc-fc3973afa52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667834e6278446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140</xdr:row>
      <xdr:rowOff>19050</xdr:rowOff>
    </xdr:from>
    <xdr:ext cx="1143000" cy="1143000"/>
    <xdr:pic>
      <xdr:nvPicPr>
        <xdr:cNvPr id="138" name="eace8c3d-9b27-4b42-b686-e559456308c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82bd499066c48c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141</xdr:row>
      <xdr:rowOff>19050</xdr:rowOff>
    </xdr:from>
    <xdr:ext cx="1143000" cy="1143000"/>
    <xdr:pic>
      <xdr:nvPicPr>
        <xdr:cNvPr id="139" name="d8527fda-cbc3-44e7-a00a-10f4062cff1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4fcc121b012466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142</xdr:row>
      <xdr:rowOff>19050</xdr:rowOff>
    </xdr:from>
    <xdr:ext cx="1143000" cy="1143000"/>
    <xdr:pic>
      <xdr:nvPicPr>
        <xdr:cNvPr id="140" name="70f2f4a0-d2d7-4b6f-a1cc-120d25de08b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c0c141ad7014d8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143</xdr:row>
      <xdr:rowOff>19050</xdr:rowOff>
    </xdr:from>
    <xdr:ext cx="1143000" cy="1143000"/>
    <xdr:pic>
      <xdr:nvPicPr>
        <xdr:cNvPr id="141" name="e7d80b01-c690-4365-9006-d8685c56597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7978663de26495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144</xdr:row>
      <xdr:rowOff>19050</xdr:rowOff>
    </xdr:from>
    <xdr:ext cx="1143000" cy="1143000"/>
    <xdr:pic>
      <xdr:nvPicPr>
        <xdr:cNvPr id="142" name="582d1569-8582-42a4-96b6-675aeddce04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757c75a1a234b9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145</xdr:row>
      <xdr:rowOff>19050</xdr:rowOff>
    </xdr:from>
    <xdr:ext cx="1143000" cy="1143000"/>
    <xdr:pic>
      <xdr:nvPicPr>
        <xdr:cNvPr id="143" name="5c4f841c-adbd-4531-8aab-8dc6188a176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9e5d4ce728f494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146</xdr:row>
      <xdr:rowOff>19050</xdr:rowOff>
    </xdr:from>
    <xdr:ext cx="1143000" cy="1143000"/>
    <xdr:pic>
      <xdr:nvPicPr>
        <xdr:cNvPr id="144" name="2506ba73-6894-439e-9d31-08a71305b8d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2b2835c8e5b4c2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147</xdr:row>
      <xdr:rowOff>19050</xdr:rowOff>
    </xdr:from>
    <xdr:ext cx="1143000" cy="1143000"/>
    <xdr:pic>
      <xdr:nvPicPr>
        <xdr:cNvPr id="145" name="e5c64599-0d68-42a6-9966-a202117349e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f99300860c348d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148</xdr:row>
      <xdr:rowOff>19050</xdr:rowOff>
    </xdr:from>
    <xdr:ext cx="1143000" cy="1143000"/>
    <xdr:pic>
      <xdr:nvPicPr>
        <xdr:cNvPr id="146" name="fbcfc1ff-8b33-4546-b937-5ed1cb53656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a6d255f31e4423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149</xdr:row>
      <xdr:rowOff>19050</xdr:rowOff>
    </xdr:from>
    <xdr:ext cx="1143000" cy="1143000"/>
    <xdr:pic>
      <xdr:nvPicPr>
        <xdr:cNvPr id="147" name="02c5a8c7-01de-49a0-98a1-f7518d4ecd5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33b19db63a44d7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150</xdr:row>
      <xdr:rowOff>19050</xdr:rowOff>
    </xdr:from>
    <xdr:ext cx="1143000" cy="1143000"/>
    <xdr:pic>
      <xdr:nvPicPr>
        <xdr:cNvPr id="148" name="370b78aa-8e48-44b0-bdd8-a5a6d800d69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ff0d6ae710a4f5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151</xdr:row>
      <xdr:rowOff>19050</xdr:rowOff>
    </xdr:from>
    <xdr:ext cx="1143000" cy="1143000"/>
    <xdr:pic>
      <xdr:nvPicPr>
        <xdr:cNvPr id="149" name="25d07f56-1ee2-47a0-a6b5-c39baff7dbf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521ce784897466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152</xdr:row>
      <xdr:rowOff>19050</xdr:rowOff>
    </xdr:from>
    <xdr:ext cx="1143000" cy="1143000"/>
    <xdr:pic>
      <xdr:nvPicPr>
        <xdr:cNvPr id="150" name="5d81c047-29c2-42d0-8d52-4a54eaeb04a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4aba3864f4b4dc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153</xdr:row>
      <xdr:rowOff>19050</xdr:rowOff>
    </xdr:from>
    <xdr:ext cx="1143000" cy="1143000"/>
    <xdr:pic>
      <xdr:nvPicPr>
        <xdr:cNvPr id="151" name="e54fd9c0-62b9-44f0-a42f-b5848aecbb5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783e607f7df46f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154</xdr:row>
      <xdr:rowOff>19050</xdr:rowOff>
    </xdr:from>
    <xdr:ext cx="1143000" cy="1143000"/>
    <xdr:pic>
      <xdr:nvPicPr>
        <xdr:cNvPr id="152" name="ed369236-004f-497b-b2d7-024b0497155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9eeea96b078401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155</xdr:row>
      <xdr:rowOff>19050</xdr:rowOff>
    </xdr:from>
    <xdr:ext cx="1143000" cy="1143000"/>
    <xdr:pic>
      <xdr:nvPicPr>
        <xdr:cNvPr id="153" name="03cbdb44-4628-4938-97c5-1630c1f1a59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065f831626e438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156</xdr:row>
      <xdr:rowOff>19050</xdr:rowOff>
    </xdr:from>
    <xdr:ext cx="1143000" cy="1143000"/>
    <xdr:pic>
      <xdr:nvPicPr>
        <xdr:cNvPr id="154" name="412000f1-3a91-4a81-a75d-51cd843d3b5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887c6f4c5f7435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157</xdr:row>
      <xdr:rowOff>19050</xdr:rowOff>
    </xdr:from>
    <xdr:ext cx="1143000" cy="1143000"/>
    <xdr:pic>
      <xdr:nvPicPr>
        <xdr:cNvPr id="155" name="c853ef50-81c2-43a2-b331-eeacbdb3e40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fb0cbc94ea74d8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158</xdr:row>
      <xdr:rowOff>19050</xdr:rowOff>
    </xdr:from>
    <xdr:ext cx="1143000" cy="1143000"/>
    <xdr:pic>
      <xdr:nvPicPr>
        <xdr:cNvPr id="156" name="3142beb3-725c-4c48-ac87-721ac5a7ae1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31ff5df3a7b4e3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159</xdr:row>
      <xdr:rowOff>19050</xdr:rowOff>
    </xdr:from>
    <xdr:ext cx="1143000" cy="1143000"/>
    <xdr:pic>
      <xdr:nvPicPr>
        <xdr:cNvPr id="157" name="265ac152-c421-4b98-9f94-696a696f0a9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3bafd26c40f4d5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160</xdr:row>
      <xdr:rowOff>19050</xdr:rowOff>
    </xdr:from>
    <xdr:ext cx="1143000" cy="1143000"/>
    <xdr:pic>
      <xdr:nvPicPr>
        <xdr:cNvPr id="158" name="3ee35923-329b-41d8-9866-3ac4810b83d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e98751cea8d443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161</xdr:row>
      <xdr:rowOff>19050</xdr:rowOff>
    </xdr:from>
    <xdr:ext cx="1143000" cy="1143000"/>
    <xdr:pic>
      <xdr:nvPicPr>
        <xdr:cNvPr id="159" name="e95b7e15-71e4-46a1-a889-f1b25a8ca24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1a33cf6f86b467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162</xdr:row>
      <xdr:rowOff>19050</xdr:rowOff>
    </xdr:from>
    <xdr:ext cx="1143000" cy="1143000"/>
    <xdr:pic>
      <xdr:nvPicPr>
        <xdr:cNvPr id="160" name="a7325c80-932d-4da6-a5c2-678e14d8b69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9839ab2521647c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163</xdr:row>
      <xdr:rowOff>19050</xdr:rowOff>
    </xdr:from>
    <xdr:ext cx="1143000" cy="1143000"/>
    <xdr:pic>
      <xdr:nvPicPr>
        <xdr:cNvPr id="161" name="77685b46-adb7-44f7-bd60-9b5ff488388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797067c12314ba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164</xdr:row>
      <xdr:rowOff>19050</xdr:rowOff>
    </xdr:from>
    <xdr:ext cx="1143000" cy="1143000"/>
    <xdr:pic>
      <xdr:nvPicPr>
        <xdr:cNvPr id="162" name="442001b6-639f-4719-be46-1a032a1b8b3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7a458e8edb043c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165</xdr:row>
      <xdr:rowOff>19050</xdr:rowOff>
    </xdr:from>
    <xdr:ext cx="1143000" cy="1143000"/>
    <xdr:pic>
      <xdr:nvPicPr>
        <xdr:cNvPr id="163" name="5e605793-9567-46a4-8fe5-8165ee2a8c6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5f3983e781c41b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166</xdr:row>
      <xdr:rowOff>19050</xdr:rowOff>
    </xdr:from>
    <xdr:ext cx="1143000" cy="1143000"/>
    <xdr:pic>
      <xdr:nvPicPr>
        <xdr:cNvPr id="164" name="e3301831-38ad-45cf-833e-d5e179585a6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ecbd81c4eb242b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167</xdr:row>
      <xdr:rowOff>19050</xdr:rowOff>
    </xdr:from>
    <xdr:ext cx="1143000" cy="1143000"/>
    <xdr:pic>
      <xdr:nvPicPr>
        <xdr:cNvPr id="165" name="e37e77ec-2c1d-4ad2-aa62-bae4cef4829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eec41a95c7b4a4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168</xdr:row>
      <xdr:rowOff>19050</xdr:rowOff>
    </xdr:from>
    <xdr:ext cx="1143000" cy="1143000"/>
    <xdr:pic>
      <xdr:nvPicPr>
        <xdr:cNvPr id="166" name="4df320fe-b3a4-450d-a8af-92f3772a3a0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c3187e4063f400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169</xdr:row>
      <xdr:rowOff>19050</xdr:rowOff>
    </xdr:from>
    <xdr:ext cx="1143000" cy="1143000"/>
    <xdr:pic>
      <xdr:nvPicPr>
        <xdr:cNvPr id="167" name="f178f51b-4600-4d56-b3f8-8abf4e7f048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53f2866043e4fe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170</xdr:row>
      <xdr:rowOff>19050</xdr:rowOff>
    </xdr:from>
    <xdr:ext cx="1143000" cy="1143000"/>
    <xdr:pic>
      <xdr:nvPicPr>
        <xdr:cNvPr id="168" name="237deebd-2bb5-47fe-ace2-466c2241f77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446ae63cb9e443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171</xdr:row>
      <xdr:rowOff>19050</xdr:rowOff>
    </xdr:from>
    <xdr:ext cx="1143000" cy="1143000"/>
    <xdr:pic>
      <xdr:nvPicPr>
        <xdr:cNvPr id="169" name="943af2ea-cc32-4ba2-935d-021fb752c7a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8775252965243f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172</xdr:row>
      <xdr:rowOff>19050</xdr:rowOff>
    </xdr:from>
    <xdr:ext cx="1143000" cy="1143000"/>
    <xdr:pic>
      <xdr:nvPicPr>
        <xdr:cNvPr id="170" name="adf4de3e-c929-4686-9a1b-cb8c3b060de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7b53a9b699f41e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173</xdr:row>
      <xdr:rowOff>19050</xdr:rowOff>
    </xdr:from>
    <xdr:ext cx="1143000" cy="1143000"/>
    <xdr:pic>
      <xdr:nvPicPr>
        <xdr:cNvPr id="171" name="1dd8db5a-abe0-4f10-aef6-493058eabc0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98de9429a644f1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174</xdr:row>
      <xdr:rowOff>19050</xdr:rowOff>
    </xdr:from>
    <xdr:ext cx="1143000" cy="1143000"/>
    <xdr:pic>
      <xdr:nvPicPr>
        <xdr:cNvPr id="172" name="3b3f1901-d054-453d-a143-9a90bd281d1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b96a59d44c1400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175</xdr:row>
      <xdr:rowOff>19050</xdr:rowOff>
    </xdr:from>
    <xdr:ext cx="1143000" cy="1143000"/>
    <xdr:pic>
      <xdr:nvPicPr>
        <xdr:cNvPr id="173" name="4be943c8-0176-46dc-92af-34ec31091b9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794740f87754ae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176</xdr:row>
      <xdr:rowOff>19050</xdr:rowOff>
    </xdr:from>
    <xdr:ext cx="1143000" cy="1143000"/>
    <xdr:pic>
      <xdr:nvPicPr>
        <xdr:cNvPr id="174" name="579401d9-a8ff-4408-a030-69d54719e67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ef39c9c711c4d5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177</xdr:row>
      <xdr:rowOff>19050</xdr:rowOff>
    </xdr:from>
    <xdr:ext cx="1143000" cy="1143000"/>
    <xdr:pic>
      <xdr:nvPicPr>
        <xdr:cNvPr id="175" name="2dd5019c-a871-4d26-b8d6-4b72d004200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3786a00bc64444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178</xdr:row>
      <xdr:rowOff>19050</xdr:rowOff>
    </xdr:from>
    <xdr:ext cx="1143000" cy="1143000"/>
    <xdr:pic>
      <xdr:nvPicPr>
        <xdr:cNvPr id="176" name="a8bf3bda-cbf3-4547-870e-cfa3b30bdbe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568067889a24af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179</xdr:row>
      <xdr:rowOff>19050</xdr:rowOff>
    </xdr:from>
    <xdr:ext cx="1143000" cy="1143000"/>
    <xdr:pic>
      <xdr:nvPicPr>
        <xdr:cNvPr id="177" name="99b4bb90-7a98-4836-a858-802adb4bf27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0503a8747b14af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180</xdr:row>
      <xdr:rowOff>19050</xdr:rowOff>
    </xdr:from>
    <xdr:ext cx="1143000" cy="1143000"/>
    <xdr:pic>
      <xdr:nvPicPr>
        <xdr:cNvPr id="178" name="b56ea95c-fa7a-4d4e-b4a3-bd42db98190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aea2a130b66404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181</xdr:row>
      <xdr:rowOff>19050</xdr:rowOff>
    </xdr:from>
    <xdr:ext cx="1143000" cy="1143000"/>
    <xdr:pic>
      <xdr:nvPicPr>
        <xdr:cNvPr id="179" name="420d68b1-a855-4113-a606-10664f3fdf2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68f3b36d4944bd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182</xdr:row>
      <xdr:rowOff>19050</xdr:rowOff>
    </xdr:from>
    <xdr:ext cx="1143000" cy="1143000"/>
    <xdr:pic>
      <xdr:nvPicPr>
        <xdr:cNvPr id="180" name="ac274dac-12d9-400e-b275-623f33c6485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701ae7cff80499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183</xdr:row>
      <xdr:rowOff>19050</xdr:rowOff>
    </xdr:from>
    <xdr:ext cx="1143000" cy="1143000"/>
    <xdr:pic>
      <xdr:nvPicPr>
        <xdr:cNvPr id="181" name="2125f7ba-fad9-4667-ba47-8b52f718ebf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c846b11c54242d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184</xdr:row>
      <xdr:rowOff>19050</xdr:rowOff>
    </xdr:from>
    <xdr:ext cx="1143000" cy="1143000"/>
    <xdr:pic>
      <xdr:nvPicPr>
        <xdr:cNvPr id="182" name="fc1d8189-54d9-4957-8e8a-819acf13510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7f9f319244e451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185</xdr:row>
      <xdr:rowOff>19050</xdr:rowOff>
    </xdr:from>
    <xdr:ext cx="1143000" cy="1143000"/>
    <xdr:pic>
      <xdr:nvPicPr>
        <xdr:cNvPr id="183" name="cbbe96e9-1879-49fb-ac55-18cdb35c474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64fc02cc803490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186</xdr:row>
      <xdr:rowOff>19050</xdr:rowOff>
    </xdr:from>
    <xdr:ext cx="1143000" cy="1143000"/>
    <xdr:pic>
      <xdr:nvPicPr>
        <xdr:cNvPr id="184" name="af09ac5e-0f42-4fc8-8204-b91de411fa1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8138332b86d437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187</xdr:row>
      <xdr:rowOff>19050</xdr:rowOff>
    </xdr:from>
    <xdr:ext cx="1143000" cy="1143000"/>
    <xdr:pic>
      <xdr:nvPicPr>
        <xdr:cNvPr id="185" name="419cf2df-db8c-4a42-87e1-ce3d5efeab9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48159d34bdf4c9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188</xdr:row>
      <xdr:rowOff>19050</xdr:rowOff>
    </xdr:from>
    <xdr:ext cx="1143000" cy="1143000"/>
    <xdr:pic>
      <xdr:nvPicPr>
        <xdr:cNvPr id="186" name="5e1b4736-5160-4ea4-b7f0-8e5fb286563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83ec8dd35ea4fe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189</xdr:row>
      <xdr:rowOff>19050</xdr:rowOff>
    </xdr:from>
    <xdr:ext cx="1143000" cy="1143000"/>
    <xdr:pic>
      <xdr:nvPicPr>
        <xdr:cNvPr id="187" name="56b2db9a-8df7-4b30-a1e3-72ef245161f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776e6ba137c4fb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190</xdr:row>
      <xdr:rowOff>19050</xdr:rowOff>
    </xdr:from>
    <xdr:ext cx="1143000" cy="1143000"/>
    <xdr:pic>
      <xdr:nvPicPr>
        <xdr:cNvPr id="188" name="1652e532-9066-4e13-8b4e-0cdf41bc356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bd9939d9d9f4da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191</xdr:row>
      <xdr:rowOff>19050</xdr:rowOff>
    </xdr:from>
    <xdr:ext cx="1143000" cy="1143000"/>
    <xdr:pic>
      <xdr:nvPicPr>
        <xdr:cNvPr id="189" name="3ea4eda4-b65d-48cc-b710-cce81b68507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5121916951441e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192</xdr:row>
      <xdr:rowOff>19050</xdr:rowOff>
    </xdr:from>
    <xdr:ext cx="1143000" cy="1143000"/>
    <xdr:pic>
      <xdr:nvPicPr>
        <xdr:cNvPr id="190" name="964f6a53-13b0-4025-b70d-a7e7038c62a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de5819a0ab8455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193</xdr:row>
      <xdr:rowOff>19050</xdr:rowOff>
    </xdr:from>
    <xdr:ext cx="1143000" cy="1143000"/>
    <xdr:pic>
      <xdr:nvPicPr>
        <xdr:cNvPr id="191" name="e0772d8b-40de-48b9-b2c9-1919fe35205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13a40e73794430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194</xdr:row>
      <xdr:rowOff>19050</xdr:rowOff>
    </xdr:from>
    <xdr:ext cx="1143000" cy="1143000"/>
    <xdr:pic>
      <xdr:nvPicPr>
        <xdr:cNvPr id="192" name="f7bc163d-b0ca-49c1-8039-7cae94eaa2e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7690b2dea5b4ad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195</xdr:row>
      <xdr:rowOff>19050</xdr:rowOff>
    </xdr:from>
    <xdr:ext cx="1143000" cy="1143000"/>
    <xdr:pic>
      <xdr:nvPicPr>
        <xdr:cNvPr id="193" name="be2eaeaa-836d-4190-8577-7c7253703c8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b634307dcfe402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196</xdr:row>
      <xdr:rowOff>19050</xdr:rowOff>
    </xdr:from>
    <xdr:ext cx="1143000" cy="1143000"/>
    <xdr:pic>
      <xdr:nvPicPr>
        <xdr:cNvPr id="194" name="aa08a850-15ca-4f88-a55e-95b03042ba1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dcff63ae3e948e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197</xdr:row>
      <xdr:rowOff>19050</xdr:rowOff>
    </xdr:from>
    <xdr:ext cx="1143000" cy="1143000"/>
    <xdr:pic>
      <xdr:nvPicPr>
        <xdr:cNvPr id="195" name="297d5449-1895-485f-8813-61e657fc52b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86a5804b824479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198</xdr:row>
      <xdr:rowOff>19050</xdr:rowOff>
    </xdr:from>
    <xdr:ext cx="1143000" cy="1143000"/>
    <xdr:pic>
      <xdr:nvPicPr>
        <xdr:cNvPr id="196" name="6bc433fe-9a8f-4e18-9806-aeb48d0c5a9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3b9b540b61b488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199</xdr:row>
      <xdr:rowOff>19050</xdr:rowOff>
    </xdr:from>
    <xdr:ext cx="1143000" cy="1143000"/>
    <xdr:pic>
      <xdr:nvPicPr>
        <xdr:cNvPr id="197" name="f6b2610c-2e83-4ee5-884d-b9d1bc6088e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0be3237f9e3453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200</xdr:row>
      <xdr:rowOff>19050</xdr:rowOff>
    </xdr:from>
    <xdr:ext cx="1143000" cy="1143000"/>
    <xdr:pic>
      <xdr:nvPicPr>
        <xdr:cNvPr id="198" name="0ca43155-1bda-42a6-bb60-b8ce0ad3c43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9a9048c4d404d3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201</xdr:row>
      <xdr:rowOff>19050</xdr:rowOff>
    </xdr:from>
    <xdr:ext cx="1143000" cy="1143000"/>
    <xdr:pic>
      <xdr:nvPicPr>
        <xdr:cNvPr id="199" name="75e4ac74-3002-4fbb-a3a3-0b8008d4570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9ba6fd1941b4b5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202</xdr:row>
      <xdr:rowOff>19050</xdr:rowOff>
    </xdr:from>
    <xdr:ext cx="1143000" cy="1143000"/>
    <xdr:pic>
      <xdr:nvPicPr>
        <xdr:cNvPr id="200" name="d2f6f05b-9119-4e1b-a88c-7b659bcc3ec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7362f1109e34af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203</xdr:row>
      <xdr:rowOff>19050</xdr:rowOff>
    </xdr:from>
    <xdr:ext cx="1143000" cy="1143000"/>
    <xdr:pic>
      <xdr:nvPicPr>
        <xdr:cNvPr id="201" name="7f28a3a4-0b3b-415d-aa03-b5887128749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5ffeacd298d443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204</xdr:row>
      <xdr:rowOff>19050</xdr:rowOff>
    </xdr:from>
    <xdr:ext cx="1143000" cy="1143000"/>
    <xdr:pic>
      <xdr:nvPicPr>
        <xdr:cNvPr id="202" name="75d9ecea-c7ec-4ff3-95c6-34b6bd12081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12c4f65b8ae45d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205</xdr:row>
      <xdr:rowOff>19050</xdr:rowOff>
    </xdr:from>
    <xdr:ext cx="1143000" cy="1143000"/>
    <xdr:pic>
      <xdr:nvPicPr>
        <xdr:cNvPr id="203" name="a24cf5b1-8aa6-4591-a797-7122ce7d6da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7a7c6cafeab419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206</xdr:row>
      <xdr:rowOff>19050</xdr:rowOff>
    </xdr:from>
    <xdr:ext cx="1143000" cy="1143000"/>
    <xdr:pic>
      <xdr:nvPicPr>
        <xdr:cNvPr id="204" name="ab3a542b-3735-4bda-9c39-acd5828a753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800c3c30e414c2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207</xdr:row>
      <xdr:rowOff>19050</xdr:rowOff>
    </xdr:from>
    <xdr:ext cx="1143000" cy="1143000"/>
    <xdr:pic>
      <xdr:nvPicPr>
        <xdr:cNvPr id="205" name="0ff77b88-e638-4dd9-aa17-445af810880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8eceb3b59c14d2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208</xdr:row>
      <xdr:rowOff>19050</xdr:rowOff>
    </xdr:from>
    <xdr:ext cx="1143000" cy="1143000"/>
    <xdr:pic>
      <xdr:nvPicPr>
        <xdr:cNvPr id="206" name="830569cf-1589-4e38-87cd-1f4f7f94199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b4e2b4e691f478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209</xdr:row>
      <xdr:rowOff>19050</xdr:rowOff>
    </xdr:from>
    <xdr:ext cx="1143000" cy="1143000"/>
    <xdr:pic>
      <xdr:nvPicPr>
        <xdr:cNvPr id="207" name="1233b745-a4a8-4717-908e-f774fb1e281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2e3a5ce23ed4d3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210</xdr:row>
      <xdr:rowOff>19050</xdr:rowOff>
    </xdr:from>
    <xdr:ext cx="1143000" cy="1143000"/>
    <xdr:pic>
      <xdr:nvPicPr>
        <xdr:cNvPr id="208" name="6bb46484-9e25-420f-90c1-4ad59a16df7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5e56a9b2c5744a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211</xdr:row>
      <xdr:rowOff>19050</xdr:rowOff>
    </xdr:from>
    <xdr:ext cx="1143000" cy="1143000"/>
    <xdr:pic>
      <xdr:nvPicPr>
        <xdr:cNvPr id="209" name="02345d0a-fbb8-4e07-9a0d-228339d8b50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1370fc323e94e5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212</xdr:row>
      <xdr:rowOff>19050</xdr:rowOff>
    </xdr:from>
    <xdr:ext cx="1143000" cy="1143000"/>
    <xdr:pic>
      <xdr:nvPicPr>
        <xdr:cNvPr id="210" name="4816a2b9-0fe4-49f3-b895-98b31d091d9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838a2dfb209441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213</xdr:row>
      <xdr:rowOff>19050</xdr:rowOff>
    </xdr:from>
    <xdr:ext cx="1143000" cy="1143000"/>
    <xdr:pic>
      <xdr:nvPicPr>
        <xdr:cNvPr id="211" name="6301b146-80b8-4682-bac0-817365c7987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f4396276bd3460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214</xdr:row>
      <xdr:rowOff>19050</xdr:rowOff>
    </xdr:from>
    <xdr:ext cx="1143000" cy="1143000"/>
    <xdr:pic>
      <xdr:nvPicPr>
        <xdr:cNvPr id="212" name="943a8e01-2c5e-4b0c-ace2-d8d424880fd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23de68a3d8d423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215</xdr:row>
      <xdr:rowOff>19050</xdr:rowOff>
    </xdr:from>
    <xdr:ext cx="1143000" cy="1143000"/>
    <xdr:pic>
      <xdr:nvPicPr>
        <xdr:cNvPr id="213" name="e6ef6c44-b6ce-460c-a697-1472f2e3b88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d6f70eadf5347c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216</xdr:row>
      <xdr:rowOff>19050</xdr:rowOff>
    </xdr:from>
    <xdr:ext cx="1143000" cy="1143000"/>
    <xdr:pic>
      <xdr:nvPicPr>
        <xdr:cNvPr id="214" name="365a3218-40bb-48fc-89e4-9f4166df502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b4f51db2ca9438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217</xdr:row>
      <xdr:rowOff>19050</xdr:rowOff>
    </xdr:from>
    <xdr:ext cx="1143000" cy="1143000"/>
    <xdr:pic>
      <xdr:nvPicPr>
        <xdr:cNvPr id="215" name="84c33214-01c0-49d4-a2af-39ef06df05c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0041c05578b44c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218</xdr:row>
      <xdr:rowOff>19050</xdr:rowOff>
    </xdr:from>
    <xdr:ext cx="1143000" cy="1143000"/>
    <xdr:pic>
      <xdr:nvPicPr>
        <xdr:cNvPr id="216" name="1fc3b66c-7b2f-4c3c-92be-468a4a5cb1c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560369bfefe438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219</xdr:row>
      <xdr:rowOff>19050</xdr:rowOff>
    </xdr:from>
    <xdr:ext cx="1143000" cy="1143000"/>
    <xdr:pic>
      <xdr:nvPicPr>
        <xdr:cNvPr id="217" name="912b7b2f-9f68-4805-9687-7c93d7658e9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ff71a451f0d495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220</xdr:row>
      <xdr:rowOff>19050</xdr:rowOff>
    </xdr:from>
    <xdr:ext cx="1143000" cy="1143000"/>
    <xdr:pic>
      <xdr:nvPicPr>
        <xdr:cNvPr id="218" name="c8fee53c-382c-4bb6-beb0-3e71e9c294a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373e4510ca4489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221</xdr:row>
      <xdr:rowOff>19050</xdr:rowOff>
    </xdr:from>
    <xdr:ext cx="1143000" cy="1143000"/>
    <xdr:pic>
      <xdr:nvPicPr>
        <xdr:cNvPr id="219" name="f8ee0b38-7cb1-4f60-a98a-313174e658c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e5e4f3ba6284ba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222</xdr:row>
      <xdr:rowOff>19050</xdr:rowOff>
    </xdr:from>
    <xdr:ext cx="1143000" cy="1143000"/>
    <xdr:pic>
      <xdr:nvPicPr>
        <xdr:cNvPr id="220" name="0b6b9a76-b1a2-435e-b5da-05706667c95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21e7bfef8654fa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223</xdr:row>
      <xdr:rowOff>19050</xdr:rowOff>
    </xdr:from>
    <xdr:ext cx="1143000" cy="1143000"/>
    <xdr:pic>
      <xdr:nvPicPr>
        <xdr:cNvPr id="221" name="f7e33f17-36d9-4f9f-9cc9-21cde092c62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45e0acba3ca4f1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224</xdr:row>
      <xdr:rowOff>19050</xdr:rowOff>
    </xdr:from>
    <xdr:ext cx="1143000" cy="1143000"/>
    <xdr:pic>
      <xdr:nvPicPr>
        <xdr:cNvPr id="222" name="7cfed0ba-9173-4249-9ed1-30551599ff7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b409893152045a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225</xdr:row>
      <xdr:rowOff>19050</xdr:rowOff>
    </xdr:from>
    <xdr:ext cx="1143000" cy="1143000"/>
    <xdr:pic>
      <xdr:nvPicPr>
        <xdr:cNvPr id="223" name="30329591-7f24-45d8-97cc-cbcf2ceb6cb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74477c8686c472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226</xdr:row>
      <xdr:rowOff>19050</xdr:rowOff>
    </xdr:from>
    <xdr:ext cx="1143000" cy="1143000"/>
    <xdr:pic>
      <xdr:nvPicPr>
        <xdr:cNvPr id="224" name="41ac3be5-7d57-42ac-a93e-dc0ab34b857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26f19681789467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227</xdr:row>
      <xdr:rowOff>19050</xdr:rowOff>
    </xdr:from>
    <xdr:ext cx="1143000" cy="1143000"/>
    <xdr:pic>
      <xdr:nvPicPr>
        <xdr:cNvPr id="225" name="e76bda95-69b5-414d-8c7f-77da367c834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e66598d4d6b43f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228</xdr:row>
      <xdr:rowOff>19050</xdr:rowOff>
    </xdr:from>
    <xdr:ext cx="1143000" cy="1143000"/>
    <xdr:pic>
      <xdr:nvPicPr>
        <xdr:cNvPr id="226" name="e791e0cc-8e7b-4132-b2fd-a04ebd53eb0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22ff97d71b44d4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229</xdr:row>
      <xdr:rowOff>19050</xdr:rowOff>
    </xdr:from>
    <xdr:ext cx="1143000" cy="1143000"/>
    <xdr:pic>
      <xdr:nvPicPr>
        <xdr:cNvPr id="227" name="4b0be0d0-cbd7-42bd-a33a-ad2b34708da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153b6606d9c41b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230</xdr:row>
      <xdr:rowOff>19050</xdr:rowOff>
    </xdr:from>
    <xdr:ext cx="1143000" cy="1143000"/>
    <xdr:pic>
      <xdr:nvPicPr>
        <xdr:cNvPr id="228" name="ff556591-38c1-4569-9265-33df86b0df5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e744fd7749e444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231</xdr:row>
      <xdr:rowOff>19050</xdr:rowOff>
    </xdr:from>
    <xdr:ext cx="1143000" cy="1143000"/>
    <xdr:pic>
      <xdr:nvPicPr>
        <xdr:cNvPr id="229" name="99ee15c0-ad88-4936-bb7a-9e2e8871d99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4f4113c00fd4bb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232</xdr:row>
      <xdr:rowOff>19050</xdr:rowOff>
    </xdr:from>
    <xdr:ext cx="1143000" cy="1143000"/>
    <xdr:pic>
      <xdr:nvPicPr>
        <xdr:cNvPr id="230" name="c8c4754a-ea9c-4712-acf6-668c491df41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1e9d8ebaf4e44a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233</xdr:row>
      <xdr:rowOff>19050</xdr:rowOff>
    </xdr:from>
    <xdr:ext cx="1143000" cy="1143000"/>
    <xdr:pic>
      <xdr:nvPicPr>
        <xdr:cNvPr id="231" name="8dff8347-bcc4-4054-9a40-64a6f83552c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42fa4648f8d454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234</xdr:row>
      <xdr:rowOff>19050</xdr:rowOff>
    </xdr:from>
    <xdr:ext cx="1143000" cy="1143000"/>
    <xdr:pic>
      <xdr:nvPicPr>
        <xdr:cNvPr id="232" name="80c3dc9c-71c8-46b0-a618-b2417c2a48f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97660623d064e1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235</xdr:row>
      <xdr:rowOff>19050</xdr:rowOff>
    </xdr:from>
    <xdr:ext cx="1143000" cy="1143000"/>
    <xdr:pic>
      <xdr:nvPicPr>
        <xdr:cNvPr id="233" name="5712762f-65cc-422e-8174-8a0dc2bc924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7d013f1961c432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236</xdr:row>
      <xdr:rowOff>19050</xdr:rowOff>
    </xdr:from>
    <xdr:ext cx="1143000" cy="1143000"/>
    <xdr:pic>
      <xdr:nvPicPr>
        <xdr:cNvPr id="234" name="fb1b5260-2ed9-448f-9cdc-fb45d24d995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42a422d28bf46c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237</xdr:row>
      <xdr:rowOff>19050</xdr:rowOff>
    </xdr:from>
    <xdr:ext cx="1143000" cy="1143000"/>
    <xdr:pic>
      <xdr:nvPicPr>
        <xdr:cNvPr id="235" name="dde318af-4c59-4710-800f-401b396c8ed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db9a258b0b747d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238</xdr:row>
      <xdr:rowOff>19050</xdr:rowOff>
    </xdr:from>
    <xdr:ext cx="1143000" cy="1143000"/>
    <xdr:pic>
      <xdr:nvPicPr>
        <xdr:cNvPr id="236" name="9c69b2c8-8011-4fbc-ac44-a9266382b48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7a19e9af4a6467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239</xdr:row>
      <xdr:rowOff>19050</xdr:rowOff>
    </xdr:from>
    <xdr:ext cx="1143000" cy="1143000"/>
    <xdr:pic>
      <xdr:nvPicPr>
        <xdr:cNvPr id="237" name="76ea8958-b0fa-4bcf-a26a-f6bae248389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ab64746f0a44c9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240</xdr:row>
      <xdr:rowOff>19050</xdr:rowOff>
    </xdr:from>
    <xdr:ext cx="1143000" cy="1143000"/>
    <xdr:pic>
      <xdr:nvPicPr>
        <xdr:cNvPr id="238" name="339ace79-f651-45f5-9bd6-77eca4b8ca0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fc08487dd1e4e0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241</xdr:row>
      <xdr:rowOff>19050</xdr:rowOff>
    </xdr:from>
    <xdr:ext cx="1143000" cy="1143000"/>
    <xdr:pic>
      <xdr:nvPicPr>
        <xdr:cNvPr id="239" name="cdbab005-319b-4d30-8f57-0e1dea27935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d78d0aa4687432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242</xdr:row>
      <xdr:rowOff>19050</xdr:rowOff>
    </xdr:from>
    <xdr:ext cx="1143000" cy="1143000"/>
    <xdr:pic>
      <xdr:nvPicPr>
        <xdr:cNvPr id="240" name="105c4e2a-9462-4e01-aa0b-b7750503ad1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8a2216b0a2a4b9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243</xdr:row>
      <xdr:rowOff>19050</xdr:rowOff>
    </xdr:from>
    <xdr:ext cx="1143000" cy="1143000"/>
    <xdr:pic>
      <xdr:nvPicPr>
        <xdr:cNvPr id="241" name="12eb0363-9541-453b-90cc-62b4a58558a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59075df26c3407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244</xdr:row>
      <xdr:rowOff>19050</xdr:rowOff>
    </xdr:from>
    <xdr:ext cx="1143000" cy="1143000"/>
    <xdr:pic>
      <xdr:nvPicPr>
        <xdr:cNvPr id="242" name="bd60ad19-fafa-42af-b8ef-8361936f5be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fb689ec4d77465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245</xdr:row>
      <xdr:rowOff>19050</xdr:rowOff>
    </xdr:from>
    <xdr:ext cx="1143000" cy="1143000"/>
    <xdr:pic>
      <xdr:nvPicPr>
        <xdr:cNvPr id="243" name="e82d5030-69ba-4a11-ad4b-0814fdee8af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59a2fbe620f496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246</xdr:row>
      <xdr:rowOff>19050</xdr:rowOff>
    </xdr:from>
    <xdr:ext cx="1143000" cy="1143000"/>
    <xdr:pic>
      <xdr:nvPicPr>
        <xdr:cNvPr id="244" name="61641ec7-8df6-4103-9809-958c28037ba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aa5c3a626704f0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247</xdr:row>
      <xdr:rowOff>19050</xdr:rowOff>
    </xdr:from>
    <xdr:ext cx="1143000" cy="1143000"/>
    <xdr:pic>
      <xdr:nvPicPr>
        <xdr:cNvPr id="245" name="097371a1-6cf3-4ccb-82d2-508da515b18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3f24448970d40e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248</xdr:row>
      <xdr:rowOff>19050</xdr:rowOff>
    </xdr:from>
    <xdr:ext cx="1143000" cy="1143000"/>
    <xdr:pic>
      <xdr:nvPicPr>
        <xdr:cNvPr id="246" name="36a7d747-1b84-4b2b-a06c-77d2de9e803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b6108b5f80946b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249</xdr:row>
      <xdr:rowOff>19050</xdr:rowOff>
    </xdr:from>
    <xdr:ext cx="1143000" cy="1143000"/>
    <xdr:pic>
      <xdr:nvPicPr>
        <xdr:cNvPr id="247" name="9b609991-32aa-4617-b49f-42c54c3ee71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d52a979f9c94ef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250</xdr:row>
      <xdr:rowOff>19050</xdr:rowOff>
    </xdr:from>
    <xdr:ext cx="1143000" cy="1143000"/>
    <xdr:pic>
      <xdr:nvPicPr>
        <xdr:cNvPr id="248" name="4246b09d-4a91-4c42-913c-d75a6563488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bc0dc958aa7486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251</xdr:row>
      <xdr:rowOff>19050</xdr:rowOff>
    </xdr:from>
    <xdr:ext cx="1143000" cy="1143000"/>
    <xdr:pic>
      <xdr:nvPicPr>
        <xdr:cNvPr id="249" name="796eb030-95bc-4959-9165-b80a9b3eb83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1db177c9db047b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252</xdr:row>
      <xdr:rowOff>19050</xdr:rowOff>
    </xdr:from>
    <xdr:ext cx="1143000" cy="1143000"/>
    <xdr:pic>
      <xdr:nvPicPr>
        <xdr:cNvPr id="250" name="69004810-46ce-46cc-9b07-82d13dad58a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ad19bf239df409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253</xdr:row>
      <xdr:rowOff>19050</xdr:rowOff>
    </xdr:from>
    <xdr:ext cx="1143000" cy="1143000"/>
    <xdr:pic>
      <xdr:nvPicPr>
        <xdr:cNvPr id="251" name="4cb47d07-643c-4a7e-b7b4-032acc69a66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58ba4e9851e4af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254</xdr:row>
      <xdr:rowOff>19050</xdr:rowOff>
    </xdr:from>
    <xdr:ext cx="1143000" cy="1143000"/>
    <xdr:pic>
      <xdr:nvPicPr>
        <xdr:cNvPr id="252" name="55a6976e-46b3-4389-961f-9f4be750e24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9d54a32c81d453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255</xdr:row>
      <xdr:rowOff>19050</xdr:rowOff>
    </xdr:from>
    <xdr:ext cx="1143000" cy="1143000"/>
    <xdr:pic>
      <xdr:nvPicPr>
        <xdr:cNvPr id="253" name="3a9fbe53-0794-43e5-9287-7851a81f49a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22d214ea2a742d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256</xdr:row>
      <xdr:rowOff>19050</xdr:rowOff>
    </xdr:from>
    <xdr:ext cx="1143000" cy="1143000"/>
    <xdr:pic>
      <xdr:nvPicPr>
        <xdr:cNvPr id="254" name="2992e4b0-a7a3-4621-9ae1-41eb07757b2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9ed47056462485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257</xdr:row>
      <xdr:rowOff>19050</xdr:rowOff>
    </xdr:from>
    <xdr:ext cx="1143000" cy="1143000"/>
    <xdr:pic>
      <xdr:nvPicPr>
        <xdr:cNvPr id="255" name="128a70b0-36a9-43e8-9072-fdde1d0f8f4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c22146042b5423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258</xdr:row>
      <xdr:rowOff>19050</xdr:rowOff>
    </xdr:from>
    <xdr:ext cx="1143000" cy="1143000"/>
    <xdr:pic>
      <xdr:nvPicPr>
        <xdr:cNvPr id="256" name="c12b2874-60eb-497a-823b-269aa2853db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76e5c33fedb421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259</xdr:row>
      <xdr:rowOff>19050</xdr:rowOff>
    </xdr:from>
    <xdr:ext cx="1143000" cy="1143000"/>
    <xdr:pic>
      <xdr:nvPicPr>
        <xdr:cNvPr id="257" name="11f99cd3-e734-414c-8c33-8beb2aa67d3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2329b64a099491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260</xdr:row>
      <xdr:rowOff>19050</xdr:rowOff>
    </xdr:from>
    <xdr:ext cx="1143000" cy="1143000"/>
    <xdr:pic>
      <xdr:nvPicPr>
        <xdr:cNvPr id="258" name="1ef7fcaa-8919-46b2-ae83-d3c839adae6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2507560affb48b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261</xdr:row>
      <xdr:rowOff>19050</xdr:rowOff>
    </xdr:from>
    <xdr:ext cx="1143000" cy="1143000"/>
    <xdr:pic>
      <xdr:nvPicPr>
        <xdr:cNvPr id="259" name="18eae5f0-d181-4170-b91b-2a149ea7ea5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6436d7fc4d04b4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262</xdr:row>
      <xdr:rowOff>19050</xdr:rowOff>
    </xdr:from>
    <xdr:ext cx="1143000" cy="1143000"/>
    <xdr:pic>
      <xdr:nvPicPr>
        <xdr:cNvPr id="260" name="d070fdbb-9317-476f-bc1a-a7400b31b54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f88000c42aa407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263</xdr:row>
      <xdr:rowOff>19050</xdr:rowOff>
    </xdr:from>
    <xdr:ext cx="1143000" cy="1143000"/>
    <xdr:pic>
      <xdr:nvPicPr>
        <xdr:cNvPr id="261" name="15553805-12ab-4338-9b49-91005f9199f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d5d0fc80beb45c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264</xdr:row>
      <xdr:rowOff>19050</xdr:rowOff>
    </xdr:from>
    <xdr:ext cx="1143000" cy="1143000"/>
    <xdr:pic>
      <xdr:nvPicPr>
        <xdr:cNvPr id="262" name="e0af3c3d-bbe0-459b-a961-143c8bd4ff6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700637119a44a7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265</xdr:row>
      <xdr:rowOff>19050</xdr:rowOff>
    </xdr:from>
    <xdr:ext cx="1143000" cy="1143000"/>
    <xdr:pic>
      <xdr:nvPicPr>
        <xdr:cNvPr id="263" name="be643348-0fdb-44b2-8096-9d9217a57f1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b32eb00916f496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266</xdr:row>
      <xdr:rowOff>19050</xdr:rowOff>
    </xdr:from>
    <xdr:ext cx="1143000" cy="1143000"/>
    <xdr:pic>
      <xdr:nvPicPr>
        <xdr:cNvPr id="264" name="5c61ded7-0483-4c40-b7e7-8a730fb0fa2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079e7e20189470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267</xdr:row>
      <xdr:rowOff>19050</xdr:rowOff>
    </xdr:from>
    <xdr:ext cx="1143000" cy="1143000"/>
    <xdr:pic>
      <xdr:nvPicPr>
        <xdr:cNvPr id="265" name="5d5724e3-4cb2-46c5-b9ab-45b242c5f38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74721a171024d9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268</xdr:row>
      <xdr:rowOff>19050</xdr:rowOff>
    </xdr:from>
    <xdr:ext cx="1143000" cy="1143000"/>
    <xdr:pic>
      <xdr:nvPicPr>
        <xdr:cNvPr id="266" name="ad01f330-f4b5-43f3-b3fc-cf2b21852a7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fda8c87c7e94b1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269</xdr:row>
      <xdr:rowOff>19050</xdr:rowOff>
    </xdr:from>
    <xdr:ext cx="1143000" cy="1143000"/>
    <xdr:pic>
      <xdr:nvPicPr>
        <xdr:cNvPr id="267" name="bc149df2-41f0-43db-affb-e5214c4ce49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295caa7d8d84eb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270</xdr:row>
      <xdr:rowOff>19050</xdr:rowOff>
    </xdr:from>
    <xdr:ext cx="1143000" cy="1143000"/>
    <xdr:pic>
      <xdr:nvPicPr>
        <xdr:cNvPr id="268" name="002cbe72-7d11-44fc-8675-883b0abe58a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5b36ee98eba4c8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271</xdr:row>
      <xdr:rowOff>19050</xdr:rowOff>
    </xdr:from>
    <xdr:ext cx="1143000" cy="1143000"/>
    <xdr:pic>
      <xdr:nvPicPr>
        <xdr:cNvPr id="269" name="d6a9becb-90fc-4664-98c8-4f535538fba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20e06a3117e436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272</xdr:row>
      <xdr:rowOff>19050</xdr:rowOff>
    </xdr:from>
    <xdr:ext cx="1143000" cy="1143000"/>
    <xdr:pic>
      <xdr:nvPicPr>
        <xdr:cNvPr id="270" name="1a96cd45-11c3-4d1b-81ea-1beacd24331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c9fd34c9e0943b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273</xdr:row>
      <xdr:rowOff>19050</xdr:rowOff>
    </xdr:from>
    <xdr:ext cx="1143000" cy="1143000"/>
    <xdr:pic>
      <xdr:nvPicPr>
        <xdr:cNvPr id="271" name="8ac514db-0b74-469c-a48c-85b8d29674e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c4cb49231624dc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274</xdr:row>
      <xdr:rowOff>19050</xdr:rowOff>
    </xdr:from>
    <xdr:ext cx="1143000" cy="1143000"/>
    <xdr:pic>
      <xdr:nvPicPr>
        <xdr:cNvPr id="272" name="90e369ed-f4b6-4582-80d3-46b2a801725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deb8573bbd1429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275</xdr:row>
      <xdr:rowOff>19050</xdr:rowOff>
    </xdr:from>
    <xdr:ext cx="1143000" cy="1143000"/>
    <xdr:pic>
      <xdr:nvPicPr>
        <xdr:cNvPr id="273" name="94f6de69-13b2-413f-ae98-0e2fdebfc53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0513029728f4da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276</xdr:row>
      <xdr:rowOff>19050</xdr:rowOff>
    </xdr:from>
    <xdr:ext cx="1143000" cy="1143000"/>
    <xdr:pic>
      <xdr:nvPicPr>
        <xdr:cNvPr id="274" name="c2976de5-f258-497b-87ea-cc143f78108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79b4e1aafa84ec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277</xdr:row>
      <xdr:rowOff>19050</xdr:rowOff>
    </xdr:from>
    <xdr:ext cx="1143000" cy="1143000"/>
    <xdr:pic>
      <xdr:nvPicPr>
        <xdr:cNvPr id="275" name="b827f1d9-9bb6-4800-8f0b-81413ec7e2a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f5170689fa249f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278</xdr:row>
      <xdr:rowOff>19050</xdr:rowOff>
    </xdr:from>
    <xdr:ext cx="1143000" cy="1143000"/>
    <xdr:pic>
      <xdr:nvPicPr>
        <xdr:cNvPr id="276" name="b84fc2ff-df84-4fd9-9d80-285ffb70b52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0abef212388477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279</xdr:row>
      <xdr:rowOff>19050</xdr:rowOff>
    </xdr:from>
    <xdr:ext cx="1143000" cy="1143000"/>
    <xdr:pic>
      <xdr:nvPicPr>
        <xdr:cNvPr id="277" name="3f1848c2-cd6f-4bb3-8fa6-768449f1b15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e2d499bec5b493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280</xdr:row>
      <xdr:rowOff>19050</xdr:rowOff>
    </xdr:from>
    <xdr:ext cx="1143000" cy="1143000"/>
    <xdr:pic>
      <xdr:nvPicPr>
        <xdr:cNvPr id="278" name="0b37c21b-d6fb-438a-a4ec-017b69e3bd8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d9008a148644ee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281</xdr:row>
      <xdr:rowOff>19050</xdr:rowOff>
    </xdr:from>
    <xdr:ext cx="1143000" cy="1143000"/>
    <xdr:pic>
      <xdr:nvPicPr>
        <xdr:cNvPr id="279" name="2675ceb8-38ea-429d-9539-9370c01725d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988dc11948542b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282</xdr:row>
      <xdr:rowOff>19050</xdr:rowOff>
    </xdr:from>
    <xdr:ext cx="1143000" cy="1143000"/>
    <xdr:pic>
      <xdr:nvPicPr>
        <xdr:cNvPr id="280" name="ff4b3e18-02bc-4976-aa01-79fefa033cf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4aae66cc77c463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283</xdr:row>
      <xdr:rowOff>19050</xdr:rowOff>
    </xdr:from>
    <xdr:ext cx="1143000" cy="1143000"/>
    <xdr:pic>
      <xdr:nvPicPr>
        <xdr:cNvPr id="281" name="f7c0c844-d8de-4518-9578-9f02a3880ba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99d68a3c2b0429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284</xdr:row>
      <xdr:rowOff>19050</xdr:rowOff>
    </xdr:from>
    <xdr:ext cx="1143000" cy="1143000"/>
    <xdr:pic>
      <xdr:nvPicPr>
        <xdr:cNvPr id="282" name="83f48365-3a04-4975-9e25-6ea3bb08af1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5eb2d8cd4f64af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285</xdr:row>
      <xdr:rowOff>19050</xdr:rowOff>
    </xdr:from>
    <xdr:ext cx="1143000" cy="1143000"/>
    <xdr:pic>
      <xdr:nvPicPr>
        <xdr:cNvPr id="283" name="b62fed58-24b4-4422-ba5b-b56e13c95cb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30de0fbcc494ea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286</xdr:row>
      <xdr:rowOff>19050</xdr:rowOff>
    </xdr:from>
    <xdr:ext cx="1143000" cy="1143000"/>
    <xdr:pic>
      <xdr:nvPicPr>
        <xdr:cNvPr id="284" name="3e2c7c97-0e4f-4d4b-b9ba-3c359d911eb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740bd76e568460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287</xdr:row>
      <xdr:rowOff>19050</xdr:rowOff>
    </xdr:from>
    <xdr:ext cx="1143000" cy="1143000"/>
    <xdr:pic>
      <xdr:nvPicPr>
        <xdr:cNvPr id="285" name="b76bc2f7-7f65-412a-8edd-5781cdd7084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e4987766f0e4e7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288</xdr:row>
      <xdr:rowOff>19050</xdr:rowOff>
    </xdr:from>
    <xdr:ext cx="1143000" cy="1143000"/>
    <xdr:pic>
      <xdr:nvPicPr>
        <xdr:cNvPr id="286" name="9bcf7906-695a-40b3-873e-179295379de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e845ab371b743c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289</xdr:row>
      <xdr:rowOff>19050</xdr:rowOff>
    </xdr:from>
    <xdr:ext cx="1143000" cy="1143000"/>
    <xdr:pic>
      <xdr:nvPicPr>
        <xdr:cNvPr id="287" name="b158b2fb-b8ba-4184-aa46-3db017e6258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ac407747ede4e1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290</xdr:row>
      <xdr:rowOff>19050</xdr:rowOff>
    </xdr:from>
    <xdr:ext cx="1143000" cy="1143000"/>
    <xdr:pic>
      <xdr:nvPicPr>
        <xdr:cNvPr id="288" name="12f4ab1b-8b59-4420-bb66-994b73df32a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2a2e210458e4ff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291</xdr:row>
      <xdr:rowOff>19050</xdr:rowOff>
    </xdr:from>
    <xdr:ext cx="1143000" cy="1143000"/>
    <xdr:pic>
      <xdr:nvPicPr>
        <xdr:cNvPr id="289" name="dded5767-7528-40df-b720-fdfada9cf3a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9de099d5cf6457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292</xdr:row>
      <xdr:rowOff>19050</xdr:rowOff>
    </xdr:from>
    <xdr:ext cx="1143000" cy="1143000"/>
    <xdr:pic>
      <xdr:nvPicPr>
        <xdr:cNvPr id="290" name="e313389e-4497-4837-a791-0c272f29a01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9586180407c446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293</xdr:row>
      <xdr:rowOff>19050</xdr:rowOff>
    </xdr:from>
    <xdr:ext cx="1143000" cy="1143000"/>
    <xdr:pic>
      <xdr:nvPicPr>
        <xdr:cNvPr id="291" name="a4e63b21-6311-4468-90e5-2a4f49e0ced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490790d4729452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294</xdr:row>
      <xdr:rowOff>19050</xdr:rowOff>
    </xdr:from>
    <xdr:ext cx="1143000" cy="1143000"/>
    <xdr:pic>
      <xdr:nvPicPr>
        <xdr:cNvPr id="292" name="55f44a8b-c3c2-4d20-9cf8-cf7d62d442f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58b02c7d15f4ac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295</xdr:row>
      <xdr:rowOff>19050</xdr:rowOff>
    </xdr:from>
    <xdr:ext cx="1143000" cy="1143000"/>
    <xdr:pic>
      <xdr:nvPicPr>
        <xdr:cNvPr id="293" name="e99bd214-333b-4756-b818-e330771a223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e82f82745a04ec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296</xdr:row>
      <xdr:rowOff>19050</xdr:rowOff>
    </xdr:from>
    <xdr:ext cx="1143000" cy="1143000"/>
    <xdr:pic>
      <xdr:nvPicPr>
        <xdr:cNvPr id="294" name="594c1496-4d75-47b0-a2d4-43a37674147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904a5a941944f9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297</xdr:row>
      <xdr:rowOff>19050</xdr:rowOff>
    </xdr:from>
    <xdr:ext cx="1143000" cy="1143000"/>
    <xdr:pic>
      <xdr:nvPicPr>
        <xdr:cNvPr id="295" name="b84a0c1b-630d-4db6-a262-0ca96dea1bf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f484f342b7c4fc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298</xdr:row>
      <xdr:rowOff>19050</xdr:rowOff>
    </xdr:from>
    <xdr:ext cx="1143000" cy="1143000"/>
    <xdr:pic>
      <xdr:nvPicPr>
        <xdr:cNvPr id="296" name="6be28c31-c8a9-47aa-b5c3-f57ccb8b8e9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229ec66233b43a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299</xdr:row>
      <xdr:rowOff>19050</xdr:rowOff>
    </xdr:from>
    <xdr:ext cx="1143000" cy="1143000"/>
    <xdr:pic>
      <xdr:nvPicPr>
        <xdr:cNvPr id="297" name="7d1c148b-c62a-4008-8e2f-212bb06daba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f1dbbaa0261427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300</xdr:row>
      <xdr:rowOff>19050</xdr:rowOff>
    </xdr:from>
    <xdr:ext cx="1143000" cy="1143000"/>
    <xdr:pic>
      <xdr:nvPicPr>
        <xdr:cNvPr id="298" name="d0e435b2-3b9d-4194-a2e3-9ad813d02c0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a10c9682798488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301</xdr:row>
      <xdr:rowOff>19050</xdr:rowOff>
    </xdr:from>
    <xdr:ext cx="1143000" cy="1143000"/>
    <xdr:pic>
      <xdr:nvPicPr>
        <xdr:cNvPr id="299" name="5ccb08ee-1cdc-4ddd-bd9d-a4f6a375c54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7f410bbcd84492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302</xdr:row>
      <xdr:rowOff>19050</xdr:rowOff>
    </xdr:from>
    <xdr:ext cx="1143000" cy="1143000"/>
    <xdr:pic>
      <xdr:nvPicPr>
        <xdr:cNvPr id="300" name="da11c4d0-2cae-4c28-9639-7c0f717bf54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868bfb0ffa8464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303</xdr:row>
      <xdr:rowOff>19050</xdr:rowOff>
    </xdr:from>
    <xdr:ext cx="1143000" cy="1143000"/>
    <xdr:pic>
      <xdr:nvPicPr>
        <xdr:cNvPr id="301" name="ca52195e-9423-4a26-b416-d92cd28b3b1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c9936c61744465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304</xdr:row>
      <xdr:rowOff>19050</xdr:rowOff>
    </xdr:from>
    <xdr:ext cx="1143000" cy="1143000"/>
    <xdr:pic>
      <xdr:nvPicPr>
        <xdr:cNvPr id="302" name="7be376cb-b318-4d64-be2b-0c9b3cbcd1c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b54961014724ba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305</xdr:row>
      <xdr:rowOff>19050</xdr:rowOff>
    </xdr:from>
    <xdr:ext cx="1143000" cy="1143000"/>
    <xdr:pic>
      <xdr:nvPicPr>
        <xdr:cNvPr id="303" name="eef21512-3d4c-4051-a829-d8b2410a589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1e112cc4a2847c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306</xdr:row>
      <xdr:rowOff>19050</xdr:rowOff>
    </xdr:from>
    <xdr:ext cx="1143000" cy="1143000"/>
    <xdr:pic>
      <xdr:nvPicPr>
        <xdr:cNvPr id="304" name="5a5d0885-65bd-46ed-9d77-e6d2b95fe39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2dcba02a095486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307</xdr:row>
      <xdr:rowOff>19050</xdr:rowOff>
    </xdr:from>
    <xdr:ext cx="1143000" cy="1143000"/>
    <xdr:pic>
      <xdr:nvPicPr>
        <xdr:cNvPr id="305" name="92b11676-bf30-44ca-8694-fc8e8e922c5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20fbb28d327431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308</xdr:row>
      <xdr:rowOff>19050</xdr:rowOff>
    </xdr:from>
    <xdr:ext cx="1143000" cy="1143000"/>
    <xdr:pic>
      <xdr:nvPicPr>
        <xdr:cNvPr id="306" name="80a03a96-679c-4108-8ee0-4c2240e0dd9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798e2d4de44454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309</xdr:row>
      <xdr:rowOff>19050</xdr:rowOff>
    </xdr:from>
    <xdr:ext cx="1143000" cy="1143000"/>
    <xdr:pic>
      <xdr:nvPicPr>
        <xdr:cNvPr id="307" name="f4fe55fc-dae4-4a52-a40e-8aa9d1efba5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d3d3926310b4ba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310</xdr:row>
      <xdr:rowOff>19050</xdr:rowOff>
    </xdr:from>
    <xdr:ext cx="1143000" cy="1143000"/>
    <xdr:pic>
      <xdr:nvPicPr>
        <xdr:cNvPr id="308" name="580eea17-ef51-44b5-ad8e-7f790815dfb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72f381033294d0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311</xdr:row>
      <xdr:rowOff>19050</xdr:rowOff>
    </xdr:from>
    <xdr:ext cx="1143000" cy="1143000"/>
    <xdr:pic>
      <xdr:nvPicPr>
        <xdr:cNvPr id="309" name="22f7c4f9-5e86-47f5-810a-aa109c81cc6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c0815f369cf417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312</xdr:row>
      <xdr:rowOff>19050</xdr:rowOff>
    </xdr:from>
    <xdr:ext cx="1143000" cy="1143000"/>
    <xdr:pic>
      <xdr:nvPicPr>
        <xdr:cNvPr id="310" name="05f1a1f3-160c-4d03-a2fd-0263c717f1b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99da93f10474a6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313</xdr:row>
      <xdr:rowOff>19050</xdr:rowOff>
    </xdr:from>
    <xdr:ext cx="1143000" cy="1143000"/>
    <xdr:pic>
      <xdr:nvPicPr>
        <xdr:cNvPr id="311" name="2f8d85ce-2169-40a8-8c4d-7a5e3e62f57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c51a20fa2cc4b2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314</xdr:row>
      <xdr:rowOff>19050</xdr:rowOff>
    </xdr:from>
    <xdr:ext cx="1143000" cy="1143000"/>
    <xdr:pic>
      <xdr:nvPicPr>
        <xdr:cNvPr id="312" name="190dc162-0003-47ec-9607-b6051cfdbad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6750ef02a414ae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315</xdr:row>
      <xdr:rowOff>19050</xdr:rowOff>
    </xdr:from>
    <xdr:ext cx="1143000" cy="1143000"/>
    <xdr:pic>
      <xdr:nvPicPr>
        <xdr:cNvPr id="313" name="c9339fd4-0565-45f1-9d8a-479959e6b94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b34a410d4ed4ac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316</xdr:row>
      <xdr:rowOff>19050</xdr:rowOff>
    </xdr:from>
    <xdr:ext cx="1143000" cy="1143000"/>
    <xdr:pic>
      <xdr:nvPicPr>
        <xdr:cNvPr id="314" name="8693cb89-3a07-4472-b6ab-9cdf92594a4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23212fe924e46a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317</xdr:row>
      <xdr:rowOff>19050</xdr:rowOff>
    </xdr:from>
    <xdr:ext cx="1143000" cy="1143000"/>
    <xdr:pic>
      <xdr:nvPicPr>
        <xdr:cNvPr id="315" name="92658d51-2c25-43cf-b345-665dcd7c041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d4811c3837343a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318</xdr:row>
      <xdr:rowOff>19050</xdr:rowOff>
    </xdr:from>
    <xdr:ext cx="1143000" cy="1143000"/>
    <xdr:pic>
      <xdr:nvPicPr>
        <xdr:cNvPr id="316" name="f451e4dd-9f31-4370-95c9-34ee581e7bb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2a80da5942e4a6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319</xdr:row>
      <xdr:rowOff>19050</xdr:rowOff>
    </xdr:from>
    <xdr:ext cx="1143000" cy="1143000"/>
    <xdr:pic>
      <xdr:nvPicPr>
        <xdr:cNvPr id="317" name="cb160c60-a8f8-4dfa-abf9-7db3f8a91db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c3529f4efd94c9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320</xdr:row>
      <xdr:rowOff>19050</xdr:rowOff>
    </xdr:from>
    <xdr:ext cx="1143000" cy="1143000"/>
    <xdr:pic>
      <xdr:nvPicPr>
        <xdr:cNvPr id="318" name="5779b0a5-728e-4c83-9f22-275c5f096cb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d0368e28ddb484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321</xdr:row>
      <xdr:rowOff>19050</xdr:rowOff>
    </xdr:from>
    <xdr:ext cx="1143000" cy="1143000"/>
    <xdr:pic>
      <xdr:nvPicPr>
        <xdr:cNvPr id="319" name="c8a05c7d-d5dc-4895-b71e-e67c4e505bb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5c4762cbafb4ce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322</xdr:row>
      <xdr:rowOff>19050</xdr:rowOff>
    </xdr:from>
    <xdr:ext cx="1143000" cy="1143000"/>
    <xdr:pic>
      <xdr:nvPicPr>
        <xdr:cNvPr id="320" name="ad9b8e65-6a72-4ce3-8425-c28e0644bcc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4729457e77b46a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323</xdr:row>
      <xdr:rowOff>19050</xdr:rowOff>
    </xdr:from>
    <xdr:ext cx="1143000" cy="1143000"/>
    <xdr:pic>
      <xdr:nvPicPr>
        <xdr:cNvPr id="321" name="d387358f-f13c-466d-94b2-4509797f3cd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935529c83e34f1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324</xdr:row>
      <xdr:rowOff>19050</xdr:rowOff>
    </xdr:from>
    <xdr:ext cx="1143000" cy="1143000"/>
    <xdr:pic>
      <xdr:nvPicPr>
        <xdr:cNvPr id="322" name="00e97fb4-cf55-45f9-8228-77e8c3493c2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7c745e2ffd644f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325</xdr:row>
      <xdr:rowOff>19050</xdr:rowOff>
    </xdr:from>
    <xdr:ext cx="1143000" cy="1143000"/>
    <xdr:pic>
      <xdr:nvPicPr>
        <xdr:cNvPr id="323" name="d21ad2cb-5b6e-4f3c-845f-77c1de12c8d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deac9d79f464d6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326</xdr:row>
      <xdr:rowOff>19050</xdr:rowOff>
    </xdr:from>
    <xdr:ext cx="1143000" cy="1143000"/>
    <xdr:pic>
      <xdr:nvPicPr>
        <xdr:cNvPr id="324" name="be6f9858-2bc5-4046-a9b0-b6b74d199eb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8f73831a3b9447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327</xdr:row>
      <xdr:rowOff>19050</xdr:rowOff>
    </xdr:from>
    <xdr:ext cx="1143000" cy="1143000"/>
    <xdr:pic>
      <xdr:nvPicPr>
        <xdr:cNvPr id="325" name="b96e7625-7afc-43f4-8dfc-dee14367369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9f9e7ba17224ff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328</xdr:row>
      <xdr:rowOff>19050</xdr:rowOff>
    </xdr:from>
    <xdr:ext cx="1143000" cy="1143000"/>
    <xdr:pic>
      <xdr:nvPicPr>
        <xdr:cNvPr id="326" name="83c20d3e-4c04-4ec2-9ac1-3b527942d32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de7af1ffa724e0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329</xdr:row>
      <xdr:rowOff>19050</xdr:rowOff>
    </xdr:from>
    <xdr:ext cx="1143000" cy="1143000"/>
    <xdr:pic>
      <xdr:nvPicPr>
        <xdr:cNvPr id="327" name="9f0368c4-0c80-49e6-8895-6c8cb0696f5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c679257194c48b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330</xdr:row>
      <xdr:rowOff>19050</xdr:rowOff>
    </xdr:from>
    <xdr:ext cx="1143000" cy="1143000"/>
    <xdr:pic>
      <xdr:nvPicPr>
        <xdr:cNvPr id="328" name="17e208a6-eab6-447b-bc95-6377bb040ba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ba0a93d15d44c6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331</xdr:row>
      <xdr:rowOff>19050</xdr:rowOff>
    </xdr:from>
    <xdr:ext cx="1143000" cy="1143000"/>
    <xdr:pic>
      <xdr:nvPicPr>
        <xdr:cNvPr id="329" name="da986fbd-3a61-4bdf-839b-51ced5d6f07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48292a485a04c3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332</xdr:row>
      <xdr:rowOff>19050</xdr:rowOff>
    </xdr:from>
    <xdr:ext cx="1143000" cy="1143000"/>
    <xdr:pic>
      <xdr:nvPicPr>
        <xdr:cNvPr id="330" name="6f0c75ec-4f9e-46d6-bdb9-330210b830f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f50893d8dbb492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333</xdr:row>
      <xdr:rowOff>19050</xdr:rowOff>
    </xdr:from>
    <xdr:ext cx="1143000" cy="1143000"/>
    <xdr:pic>
      <xdr:nvPicPr>
        <xdr:cNvPr id="331" name="e22c3caa-9bf3-43bb-8087-e1b81f99a0c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99fbb58fe894f6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334</xdr:row>
      <xdr:rowOff>19050</xdr:rowOff>
    </xdr:from>
    <xdr:ext cx="1143000" cy="1143000"/>
    <xdr:pic>
      <xdr:nvPicPr>
        <xdr:cNvPr id="332" name="c65a1b02-3a17-45df-b739-a47fe5d5799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efb2b2c287948d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335</xdr:row>
      <xdr:rowOff>19050</xdr:rowOff>
    </xdr:from>
    <xdr:ext cx="1143000" cy="1143000"/>
    <xdr:pic>
      <xdr:nvPicPr>
        <xdr:cNvPr id="333" name="c1d6ef2e-31e7-4ba5-b090-997a174f935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37842ab7f69420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336</xdr:row>
      <xdr:rowOff>19050</xdr:rowOff>
    </xdr:from>
    <xdr:ext cx="1143000" cy="1143000"/>
    <xdr:pic>
      <xdr:nvPicPr>
        <xdr:cNvPr id="334" name="5972a12a-aa8a-42ab-adf6-61b2b6ec3bc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d523e3436574f1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337</xdr:row>
      <xdr:rowOff>19050</xdr:rowOff>
    </xdr:from>
    <xdr:ext cx="1143000" cy="1143000"/>
    <xdr:pic>
      <xdr:nvPicPr>
        <xdr:cNvPr id="335" name="dfda8745-be9e-4315-95ec-1934632277c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d5e63c79b3b4c2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338</xdr:row>
      <xdr:rowOff>19050</xdr:rowOff>
    </xdr:from>
    <xdr:ext cx="1143000" cy="1143000"/>
    <xdr:pic>
      <xdr:nvPicPr>
        <xdr:cNvPr id="336" name="d5ce6a43-2aad-4051-a7b9-3a2d558064e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c2a25895c6f4de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339</xdr:row>
      <xdr:rowOff>19050</xdr:rowOff>
    </xdr:from>
    <xdr:ext cx="1143000" cy="1143000"/>
    <xdr:pic>
      <xdr:nvPicPr>
        <xdr:cNvPr id="337" name="f422443e-f449-4b0c-8711-6699eb2ab45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7a49fffd4f143f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340</xdr:row>
      <xdr:rowOff>19050</xdr:rowOff>
    </xdr:from>
    <xdr:ext cx="1143000" cy="1143000"/>
    <xdr:pic>
      <xdr:nvPicPr>
        <xdr:cNvPr id="338" name="554ba5ab-18a0-4cb0-9ba8-d22a02932ca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b4e26671a4046b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341</xdr:row>
      <xdr:rowOff>19050</xdr:rowOff>
    </xdr:from>
    <xdr:ext cx="1143000" cy="1143000"/>
    <xdr:pic>
      <xdr:nvPicPr>
        <xdr:cNvPr id="339" name="daae4fa9-dd95-4733-a5c0-17ff7be1e24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a44b27aab9341e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342</xdr:row>
      <xdr:rowOff>19050</xdr:rowOff>
    </xdr:from>
    <xdr:ext cx="1143000" cy="1143000"/>
    <xdr:pic>
      <xdr:nvPicPr>
        <xdr:cNvPr id="340" name="cfef8ba1-19e0-414e-b678-d4503224abe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ddf49b56c0d42f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343</xdr:row>
      <xdr:rowOff>19050</xdr:rowOff>
    </xdr:from>
    <xdr:ext cx="1143000" cy="1143000"/>
    <xdr:pic>
      <xdr:nvPicPr>
        <xdr:cNvPr id="341" name="a74c60a7-6c18-4b2d-851e-31cc8a378c7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8800e2139dd487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344</xdr:row>
      <xdr:rowOff>19050</xdr:rowOff>
    </xdr:from>
    <xdr:ext cx="1143000" cy="1143000"/>
    <xdr:pic>
      <xdr:nvPicPr>
        <xdr:cNvPr id="342" name="4e81b483-e624-458d-adc2-343b098c604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b1df53f2f174d0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345</xdr:row>
      <xdr:rowOff>19050</xdr:rowOff>
    </xdr:from>
    <xdr:ext cx="1143000" cy="1143000"/>
    <xdr:pic>
      <xdr:nvPicPr>
        <xdr:cNvPr id="343" name="a618c760-d158-40e2-a6c8-9b10cf90b2c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a112911e41b4b3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346</xdr:row>
      <xdr:rowOff>19050</xdr:rowOff>
    </xdr:from>
    <xdr:ext cx="1143000" cy="1143000"/>
    <xdr:pic>
      <xdr:nvPicPr>
        <xdr:cNvPr id="344" name="a94e496c-5e4b-4b88-9ec5-1bebdc1ae41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7632793d7c948c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347</xdr:row>
      <xdr:rowOff>19050</xdr:rowOff>
    </xdr:from>
    <xdr:ext cx="1143000" cy="1143000"/>
    <xdr:pic>
      <xdr:nvPicPr>
        <xdr:cNvPr id="345" name="65c389c7-b7f4-4baf-bc9e-7ee5af86588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725d20cfc994d8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348</xdr:row>
      <xdr:rowOff>19050</xdr:rowOff>
    </xdr:from>
    <xdr:ext cx="1143000" cy="1143000"/>
    <xdr:pic>
      <xdr:nvPicPr>
        <xdr:cNvPr id="346" name="4156801d-b626-45a4-9c73-a5b2ffdad50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15045bcf0804c9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349</xdr:row>
      <xdr:rowOff>19050</xdr:rowOff>
    </xdr:from>
    <xdr:ext cx="1143000" cy="1143000"/>
    <xdr:pic>
      <xdr:nvPicPr>
        <xdr:cNvPr id="347" name="1486bb89-a06b-458e-b1ab-37fbc34f3b9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4737a882204486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350</xdr:row>
      <xdr:rowOff>19050</xdr:rowOff>
    </xdr:from>
    <xdr:ext cx="1143000" cy="1143000"/>
    <xdr:pic>
      <xdr:nvPicPr>
        <xdr:cNvPr id="348" name="08b184c6-11e1-44c5-8a5f-bda71b0af78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3dfec44007f402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351</xdr:row>
      <xdr:rowOff>19050</xdr:rowOff>
    </xdr:from>
    <xdr:ext cx="1143000" cy="1143000"/>
    <xdr:pic>
      <xdr:nvPicPr>
        <xdr:cNvPr id="349" name="5943cda9-be30-4e7d-b121-b54aa897dc3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e1ac736175649b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352</xdr:row>
      <xdr:rowOff>19050</xdr:rowOff>
    </xdr:from>
    <xdr:ext cx="1143000" cy="1143000"/>
    <xdr:pic>
      <xdr:nvPicPr>
        <xdr:cNvPr id="350" name="8457341a-6d8a-4dcf-ab13-814d9fede2b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7a5720bd1c14ea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353</xdr:row>
      <xdr:rowOff>19050</xdr:rowOff>
    </xdr:from>
    <xdr:ext cx="1143000" cy="1143000"/>
    <xdr:pic>
      <xdr:nvPicPr>
        <xdr:cNvPr id="351" name="a8f2da3a-2057-486d-a213-dcece839158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209c42afff14ce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354</xdr:row>
      <xdr:rowOff>19050</xdr:rowOff>
    </xdr:from>
    <xdr:ext cx="1143000" cy="1143000"/>
    <xdr:pic>
      <xdr:nvPicPr>
        <xdr:cNvPr id="352" name="bf8770e6-5137-4427-acbd-01d123bcbb6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962521ba87644c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355</xdr:row>
      <xdr:rowOff>19050</xdr:rowOff>
    </xdr:from>
    <xdr:ext cx="1143000" cy="1143000"/>
    <xdr:pic>
      <xdr:nvPicPr>
        <xdr:cNvPr id="353" name="b18c2ff4-e23f-49b4-85c9-d34002a9fc9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b9d8096d0bf4e6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356</xdr:row>
      <xdr:rowOff>19050</xdr:rowOff>
    </xdr:from>
    <xdr:ext cx="1143000" cy="1143000"/>
    <xdr:pic>
      <xdr:nvPicPr>
        <xdr:cNvPr id="354" name="86ac0089-54a9-4f6d-bf2b-6425760cd8d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cc0abd6c16b424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357</xdr:row>
      <xdr:rowOff>19050</xdr:rowOff>
    </xdr:from>
    <xdr:ext cx="1143000" cy="1143000"/>
    <xdr:pic>
      <xdr:nvPicPr>
        <xdr:cNvPr id="355" name="d8e8c04b-19b0-46de-826f-f66cbdff964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b4e77ff59b5473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358</xdr:row>
      <xdr:rowOff>19050</xdr:rowOff>
    </xdr:from>
    <xdr:ext cx="1143000" cy="1143000"/>
    <xdr:pic>
      <xdr:nvPicPr>
        <xdr:cNvPr id="356" name="0e0f49b8-5333-456d-a64a-ced88028552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a2ea8d27d9b48d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359</xdr:row>
      <xdr:rowOff>19050</xdr:rowOff>
    </xdr:from>
    <xdr:ext cx="1143000" cy="1143000"/>
    <xdr:pic>
      <xdr:nvPicPr>
        <xdr:cNvPr id="357" name="9ec432d5-2b15-4234-8a14-93964310331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48b7ac48e1e471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360</xdr:row>
      <xdr:rowOff>19050</xdr:rowOff>
    </xdr:from>
    <xdr:ext cx="1143000" cy="1143000"/>
    <xdr:pic>
      <xdr:nvPicPr>
        <xdr:cNvPr id="358" name="e711f694-0639-4364-a675-2a1d6fa2489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c269fd86970455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361</xdr:row>
      <xdr:rowOff>19050</xdr:rowOff>
    </xdr:from>
    <xdr:ext cx="1143000" cy="1143000"/>
    <xdr:pic>
      <xdr:nvPicPr>
        <xdr:cNvPr id="359" name="5d5af01e-0995-45b6-aedd-bac56ed6415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56fa1590c09433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362</xdr:row>
      <xdr:rowOff>19050</xdr:rowOff>
    </xdr:from>
    <xdr:ext cx="1143000" cy="1143000"/>
    <xdr:pic>
      <xdr:nvPicPr>
        <xdr:cNvPr id="360" name="c47a582d-f4f3-417d-b9d0-f0470594603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3b2543846244d2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363</xdr:row>
      <xdr:rowOff>19050</xdr:rowOff>
    </xdr:from>
    <xdr:ext cx="1143000" cy="1143000"/>
    <xdr:pic>
      <xdr:nvPicPr>
        <xdr:cNvPr id="361" name="324bd01b-65db-4e7e-895b-3afea86e769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3a55e3f1611443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364</xdr:row>
      <xdr:rowOff>19050</xdr:rowOff>
    </xdr:from>
    <xdr:ext cx="1143000" cy="1143000"/>
    <xdr:pic>
      <xdr:nvPicPr>
        <xdr:cNvPr id="362" name="a3a713d5-85ce-44f3-b931-49082a1eac5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c29541e21cb49b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365</xdr:row>
      <xdr:rowOff>19050</xdr:rowOff>
    </xdr:from>
    <xdr:ext cx="1143000" cy="1143000"/>
    <xdr:pic>
      <xdr:nvPicPr>
        <xdr:cNvPr id="363" name="d4b81b43-3d7c-44ca-9517-a38296bdb44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01d9db09cf74b5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366</xdr:row>
      <xdr:rowOff>19050</xdr:rowOff>
    </xdr:from>
    <xdr:ext cx="1143000" cy="1143000"/>
    <xdr:pic>
      <xdr:nvPicPr>
        <xdr:cNvPr id="364" name="db0e7c49-6413-4577-80a2-d6a51afeb84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a37fd0f96a24aa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367</xdr:row>
      <xdr:rowOff>19050</xdr:rowOff>
    </xdr:from>
    <xdr:ext cx="1143000" cy="1143000"/>
    <xdr:pic>
      <xdr:nvPicPr>
        <xdr:cNvPr id="365" name="c9e4c659-8909-4f0a-b6b6-e93a50affa3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4aeb377b295421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368</xdr:row>
      <xdr:rowOff>19050</xdr:rowOff>
    </xdr:from>
    <xdr:ext cx="1143000" cy="1143000"/>
    <xdr:pic>
      <xdr:nvPicPr>
        <xdr:cNvPr id="366" name="99f323db-78f7-434b-8f0c-d1c2ea8e9fc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3ff86ef88534be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369</xdr:row>
      <xdr:rowOff>19050</xdr:rowOff>
    </xdr:from>
    <xdr:ext cx="1143000" cy="1143000"/>
    <xdr:pic>
      <xdr:nvPicPr>
        <xdr:cNvPr id="367" name="8c77d9e9-e9a4-4e9f-8ffb-139f3ca1bac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68809b874be466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370</xdr:row>
      <xdr:rowOff>19050</xdr:rowOff>
    </xdr:from>
    <xdr:ext cx="1143000" cy="1143000"/>
    <xdr:pic>
      <xdr:nvPicPr>
        <xdr:cNvPr id="368" name="3adec49d-c586-41de-a227-356dd566401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59ee9325020472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371</xdr:row>
      <xdr:rowOff>19050</xdr:rowOff>
    </xdr:from>
    <xdr:ext cx="1143000" cy="1143000"/>
    <xdr:pic>
      <xdr:nvPicPr>
        <xdr:cNvPr id="369" name="d4c265b7-cc3c-4305-be51-3f5b9176bb9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c6834fa91e04b7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372</xdr:row>
      <xdr:rowOff>19050</xdr:rowOff>
    </xdr:from>
    <xdr:ext cx="1143000" cy="1143000"/>
    <xdr:pic>
      <xdr:nvPicPr>
        <xdr:cNvPr id="370" name="0bfaa463-32e2-43e5-8be1-12521717bc0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a621c57ce5a478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373</xdr:row>
      <xdr:rowOff>19050</xdr:rowOff>
    </xdr:from>
    <xdr:ext cx="1143000" cy="1143000"/>
    <xdr:pic>
      <xdr:nvPicPr>
        <xdr:cNvPr id="371" name="d9dc2872-b0d1-41bf-8de4-a190e7b35ab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9ed041de3b447a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374</xdr:row>
      <xdr:rowOff>19050</xdr:rowOff>
    </xdr:from>
    <xdr:ext cx="1143000" cy="1143000"/>
    <xdr:pic>
      <xdr:nvPicPr>
        <xdr:cNvPr id="372" name="572a5fda-c9e1-4b14-914f-84575effa40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2eff41ed0de40e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375</xdr:row>
      <xdr:rowOff>19050</xdr:rowOff>
    </xdr:from>
    <xdr:ext cx="1143000" cy="1143000"/>
    <xdr:pic>
      <xdr:nvPicPr>
        <xdr:cNvPr id="373" name="7455d831-f708-41d0-8c2b-deeb7ca2df8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13901a0a9744ed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376</xdr:row>
      <xdr:rowOff>19050</xdr:rowOff>
    </xdr:from>
    <xdr:ext cx="1143000" cy="1143000"/>
    <xdr:pic>
      <xdr:nvPicPr>
        <xdr:cNvPr id="374" name="665d0858-822d-428f-8eb9-8d41597b323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aebcb1b589d47f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377</xdr:row>
      <xdr:rowOff>19050</xdr:rowOff>
    </xdr:from>
    <xdr:ext cx="1143000" cy="1143000"/>
    <xdr:pic>
      <xdr:nvPicPr>
        <xdr:cNvPr id="375" name="5514df70-6421-41f9-8fbb-ec6c6119639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50e835aaec9448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378</xdr:row>
      <xdr:rowOff>19050</xdr:rowOff>
    </xdr:from>
    <xdr:ext cx="1143000" cy="1143000"/>
    <xdr:pic>
      <xdr:nvPicPr>
        <xdr:cNvPr id="376" name="7eed772f-9ceb-4a58-ae16-cfc5c01969a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e0f8b20f049433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379</xdr:row>
      <xdr:rowOff>19050</xdr:rowOff>
    </xdr:from>
    <xdr:ext cx="1143000" cy="1143000"/>
    <xdr:pic>
      <xdr:nvPicPr>
        <xdr:cNvPr id="377" name="72332440-0857-4f2b-8f8c-2642c68ca49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a00fd6300fe400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380</xdr:row>
      <xdr:rowOff>19050</xdr:rowOff>
    </xdr:from>
    <xdr:ext cx="1143000" cy="1143000"/>
    <xdr:pic>
      <xdr:nvPicPr>
        <xdr:cNvPr id="378" name="20b63d46-3ec7-4c85-ad2b-e4b8bf9859f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a407cdb5ff6454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381</xdr:row>
      <xdr:rowOff>19050</xdr:rowOff>
    </xdr:from>
    <xdr:ext cx="1143000" cy="1143000"/>
    <xdr:pic>
      <xdr:nvPicPr>
        <xdr:cNvPr id="379" name="4c52b791-a228-40ed-bc51-ee6677ce517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7f8849cc3cc456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382</xdr:row>
      <xdr:rowOff>19050</xdr:rowOff>
    </xdr:from>
    <xdr:ext cx="1143000" cy="1143000"/>
    <xdr:pic>
      <xdr:nvPicPr>
        <xdr:cNvPr id="380" name="82e12277-446e-4177-84ad-44eb6f5f2ad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95eb72b5fe145e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383</xdr:row>
      <xdr:rowOff>19050</xdr:rowOff>
    </xdr:from>
    <xdr:ext cx="1143000" cy="1143000"/>
    <xdr:pic>
      <xdr:nvPicPr>
        <xdr:cNvPr id="381" name="b66ba332-432d-4536-a9d0-10445c98ca5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8db0a005af54eb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384</xdr:row>
      <xdr:rowOff>19050</xdr:rowOff>
    </xdr:from>
    <xdr:ext cx="1143000" cy="1143000"/>
    <xdr:pic>
      <xdr:nvPicPr>
        <xdr:cNvPr id="382" name="46c90b99-7c27-4e6b-a372-d068e7bbd59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54032812d4841d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385</xdr:row>
      <xdr:rowOff>19050</xdr:rowOff>
    </xdr:from>
    <xdr:ext cx="1143000" cy="1143000"/>
    <xdr:pic>
      <xdr:nvPicPr>
        <xdr:cNvPr id="383" name="86a3d6a2-f78f-453c-a09c-5879bf154ec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7e5be32f640448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386</xdr:row>
      <xdr:rowOff>19050</xdr:rowOff>
    </xdr:from>
    <xdr:ext cx="1143000" cy="1143000"/>
    <xdr:pic>
      <xdr:nvPicPr>
        <xdr:cNvPr id="384" name="794aabbb-c16b-4726-9e0c-8f428bfd7a1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1e67e837d7849d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387</xdr:row>
      <xdr:rowOff>19050</xdr:rowOff>
    </xdr:from>
    <xdr:ext cx="1143000" cy="1143000"/>
    <xdr:pic>
      <xdr:nvPicPr>
        <xdr:cNvPr id="385" name="23805a96-421e-4ab7-b975-c6d93ac4972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c02d6d57dfa4fd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388</xdr:row>
      <xdr:rowOff>19050</xdr:rowOff>
    </xdr:from>
    <xdr:ext cx="1143000" cy="1143000"/>
    <xdr:pic>
      <xdr:nvPicPr>
        <xdr:cNvPr id="386" name="723f0b38-4384-4c02-8eef-28647092e2e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41720ee5ac94b0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389</xdr:row>
      <xdr:rowOff>19050</xdr:rowOff>
    </xdr:from>
    <xdr:ext cx="1143000" cy="1143000"/>
    <xdr:pic>
      <xdr:nvPicPr>
        <xdr:cNvPr id="387" name="b9af8af4-cd1b-4c04-9217-064acc13b70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fc1ae8f12e744e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390</xdr:row>
      <xdr:rowOff>19050</xdr:rowOff>
    </xdr:from>
    <xdr:ext cx="1143000" cy="1143000"/>
    <xdr:pic>
      <xdr:nvPicPr>
        <xdr:cNvPr id="388" name="faa00556-ab9a-4961-8ed1-86d0e913999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49de1c6401f41e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391</xdr:row>
      <xdr:rowOff>19050</xdr:rowOff>
    </xdr:from>
    <xdr:ext cx="1143000" cy="1143000"/>
    <xdr:pic>
      <xdr:nvPicPr>
        <xdr:cNvPr id="389" name="37059a9b-6473-49bc-9164-0bd3e21ac8f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dee9108f5034af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392</xdr:row>
      <xdr:rowOff>19050</xdr:rowOff>
    </xdr:from>
    <xdr:ext cx="1143000" cy="1143000"/>
    <xdr:pic>
      <xdr:nvPicPr>
        <xdr:cNvPr id="390" name="4be25c4d-3088-4c21-a8f5-a1cd49d67ef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b1de9e6b99f4ba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393</xdr:row>
      <xdr:rowOff>19050</xdr:rowOff>
    </xdr:from>
    <xdr:ext cx="1143000" cy="1143000"/>
    <xdr:pic>
      <xdr:nvPicPr>
        <xdr:cNvPr id="391" name="d2c81bd2-ed77-4c18-954c-248c05c83ca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d8aae46e264465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394</xdr:row>
      <xdr:rowOff>19050</xdr:rowOff>
    </xdr:from>
    <xdr:ext cx="1143000" cy="1143000"/>
    <xdr:pic>
      <xdr:nvPicPr>
        <xdr:cNvPr id="392" name="cb628f68-c55b-43dc-8543-11ee5170177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0a706646d884dd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395</xdr:row>
      <xdr:rowOff>19050</xdr:rowOff>
    </xdr:from>
    <xdr:ext cx="1143000" cy="1143000"/>
    <xdr:pic>
      <xdr:nvPicPr>
        <xdr:cNvPr id="393" name="d95e76da-21b9-4569-8b39-7bc64ca4fd5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626d503c069400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396</xdr:row>
      <xdr:rowOff>19050</xdr:rowOff>
    </xdr:from>
    <xdr:ext cx="1143000" cy="1143000"/>
    <xdr:pic>
      <xdr:nvPicPr>
        <xdr:cNvPr id="394" name="ef78e91e-6266-4117-a742-84b8936e27e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a78913705f4404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397</xdr:row>
      <xdr:rowOff>19050</xdr:rowOff>
    </xdr:from>
    <xdr:ext cx="1143000" cy="1143000"/>
    <xdr:pic>
      <xdr:nvPicPr>
        <xdr:cNvPr id="395" name="93d1dc06-b444-4932-a9cd-906148ee619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e4beb4e2dfb41e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398</xdr:row>
      <xdr:rowOff>19050</xdr:rowOff>
    </xdr:from>
    <xdr:ext cx="1143000" cy="1143000"/>
    <xdr:pic>
      <xdr:nvPicPr>
        <xdr:cNvPr id="396" name="bd325f59-5960-49e4-82e7-c4bf8ca034d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97e75bc0bba4ff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399</xdr:row>
      <xdr:rowOff>19050</xdr:rowOff>
    </xdr:from>
    <xdr:ext cx="1143000" cy="1143000"/>
    <xdr:pic>
      <xdr:nvPicPr>
        <xdr:cNvPr id="397" name="c7198a10-b952-4ef7-8eae-24227e84de4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4d170d78c324a6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400</xdr:row>
      <xdr:rowOff>19050</xdr:rowOff>
    </xdr:from>
    <xdr:ext cx="1143000" cy="1143000"/>
    <xdr:pic>
      <xdr:nvPicPr>
        <xdr:cNvPr id="398" name="6751a899-3d96-413e-ae01-4b69e31aada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86f29138c6e45c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401</xdr:row>
      <xdr:rowOff>19050</xdr:rowOff>
    </xdr:from>
    <xdr:ext cx="1143000" cy="1143000"/>
    <xdr:pic>
      <xdr:nvPicPr>
        <xdr:cNvPr id="399" name="7fc205da-bc70-4f47-b2de-1f11e6c0dbb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b9f21dc57d74ce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402</xdr:row>
      <xdr:rowOff>19050</xdr:rowOff>
    </xdr:from>
    <xdr:ext cx="1143000" cy="1143000"/>
    <xdr:pic>
      <xdr:nvPicPr>
        <xdr:cNvPr id="400" name="4ae0fcc5-1924-440e-846f-22f4cca1e97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c021dd33b5449f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403</xdr:row>
      <xdr:rowOff>19050</xdr:rowOff>
    </xdr:from>
    <xdr:ext cx="1143000" cy="1143000"/>
    <xdr:pic>
      <xdr:nvPicPr>
        <xdr:cNvPr id="401" name="bef19aa8-cde6-4283-a81e-e544ef01416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cd15f5039924b2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404</xdr:row>
      <xdr:rowOff>19050</xdr:rowOff>
    </xdr:from>
    <xdr:ext cx="1143000" cy="1143000"/>
    <xdr:pic>
      <xdr:nvPicPr>
        <xdr:cNvPr id="402" name="25b775f7-bdd7-43c3-8b53-776c774505f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dad41d80c764b7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405</xdr:row>
      <xdr:rowOff>19050</xdr:rowOff>
    </xdr:from>
    <xdr:ext cx="1143000" cy="1143000"/>
    <xdr:pic>
      <xdr:nvPicPr>
        <xdr:cNvPr id="403" name="fb487a65-4938-477f-929d-a730301efdd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9a12d6b965041f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406</xdr:row>
      <xdr:rowOff>19050</xdr:rowOff>
    </xdr:from>
    <xdr:ext cx="1143000" cy="1143000"/>
    <xdr:pic>
      <xdr:nvPicPr>
        <xdr:cNvPr id="404" name="ab3aade4-f28d-40bb-a362-7a8b0c35fd6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1dadb0b42984c7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407</xdr:row>
      <xdr:rowOff>19050</xdr:rowOff>
    </xdr:from>
    <xdr:ext cx="1143000" cy="1143000"/>
    <xdr:pic>
      <xdr:nvPicPr>
        <xdr:cNvPr id="405" name="47541052-dd2e-480d-9619-fffbaf1b771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944c4bf85a74e3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408</xdr:row>
      <xdr:rowOff>19050</xdr:rowOff>
    </xdr:from>
    <xdr:ext cx="1143000" cy="1143000"/>
    <xdr:pic>
      <xdr:nvPicPr>
        <xdr:cNvPr id="406" name="f483c0a7-5b03-4b33-8b87-9f7979e0177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bd52293f61a4ad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409</xdr:row>
      <xdr:rowOff>19050</xdr:rowOff>
    </xdr:from>
    <xdr:ext cx="1143000" cy="1143000"/>
    <xdr:pic>
      <xdr:nvPicPr>
        <xdr:cNvPr id="407" name="d54063a1-5b6f-4433-b460-99df6888914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ee380de19314eb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410</xdr:row>
      <xdr:rowOff>19050</xdr:rowOff>
    </xdr:from>
    <xdr:ext cx="1143000" cy="1143000"/>
    <xdr:pic>
      <xdr:nvPicPr>
        <xdr:cNvPr id="408" name="16e05ef6-5228-4381-80cf-7db773db0d9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7db36f979a245f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411</xdr:row>
      <xdr:rowOff>19050</xdr:rowOff>
    </xdr:from>
    <xdr:ext cx="1143000" cy="1143000"/>
    <xdr:pic>
      <xdr:nvPicPr>
        <xdr:cNvPr id="409" name="2ce52863-7274-4d85-a6a1-7c895be77a2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7d408cf4635453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412</xdr:row>
      <xdr:rowOff>19050</xdr:rowOff>
    </xdr:from>
    <xdr:ext cx="1143000" cy="1143000"/>
    <xdr:pic>
      <xdr:nvPicPr>
        <xdr:cNvPr id="410" name="a681d1e5-da98-4467-8693-01e6829e73f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dfe27066bdf4f0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413</xdr:row>
      <xdr:rowOff>19050</xdr:rowOff>
    </xdr:from>
    <xdr:ext cx="1143000" cy="1143000"/>
    <xdr:pic>
      <xdr:nvPicPr>
        <xdr:cNvPr id="411" name="da260af2-3501-48be-8fa6-44fcb366abc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04e9d6c98c64aa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414</xdr:row>
      <xdr:rowOff>19050</xdr:rowOff>
    </xdr:from>
    <xdr:ext cx="1143000" cy="1143000"/>
    <xdr:pic>
      <xdr:nvPicPr>
        <xdr:cNvPr id="412" name="d730ce6a-d409-437b-928c-c33f1dbb5d2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f3337af1dee40f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415</xdr:row>
      <xdr:rowOff>19050</xdr:rowOff>
    </xdr:from>
    <xdr:ext cx="1143000" cy="1143000"/>
    <xdr:pic>
      <xdr:nvPicPr>
        <xdr:cNvPr id="413" name="35636fb8-9c1a-4fba-a8c7-6f8fad29cf6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1f79a9068484df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416</xdr:row>
      <xdr:rowOff>19050</xdr:rowOff>
    </xdr:from>
    <xdr:ext cx="1143000" cy="1143000"/>
    <xdr:pic>
      <xdr:nvPicPr>
        <xdr:cNvPr id="414" name="fe7f67f1-386e-40c4-9ddd-257e41251d7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eabfb24fea9418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417</xdr:row>
      <xdr:rowOff>19050</xdr:rowOff>
    </xdr:from>
    <xdr:ext cx="1143000" cy="1143000"/>
    <xdr:pic>
      <xdr:nvPicPr>
        <xdr:cNvPr id="415" name="039d1417-5259-4994-a4ed-b3b19d68923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3766e74e303407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418</xdr:row>
      <xdr:rowOff>19050</xdr:rowOff>
    </xdr:from>
    <xdr:ext cx="1143000" cy="1143000"/>
    <xdr:pic>
      <xdr:nvPicPr>
        <xdr:cNvPr id="416" name="f15944bb-dabf-4004-b152-50e4276d763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6ef46542e2c426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419</xdr:row>
      <xdr:rowOff>19050</xdr:rowOff>
    </xdr:from>
    <xdr:ext cx="1143000" cy="1143000"/>
    <xdr:pic>
      <xdr:nvPicPr>
        <xdr:cNvPr id="417" name="6eb848aa-a0b9-4552-b320-7761527c692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13a7bc1b4aa427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420</xdr:row>
      <xdr:rowOff>19050</xdr:rowOff>
    </xdr:from>
    <xdr:ext cx="1143000" cy="1143000"/>
    <xdr:pic>
      <xdr:nvPicPr>
        <xdr:cNvPr id="418" name="1e3448e7-3469-4f98-a675-147ebae6faa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10c67c10a89445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421</xdr:row>
      <xdr:rowOff>19050</xdr:rowOff>
    </xdr:from>
    <xdr:ext cx="1143000" cy="1143000"/>
    <xdr:pic>
      <xdr:nvPicPr>
        <xdr:cNvPr id="419" name="b47bfd6b-e9fd-4f01-94a7-cfb450a889f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8052af30dc943b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422</xdr:row>
      <xdr:rowOff>19050</xdr:rowOff>
    </xdr:from>
    <xdr:ext cx="1143000" cy="1143000"/>
    <xdr:pic>
      <xdr:nvPicPr>
        <xdr:cNvPr id="420" name="b5e136de-7e1d-44f5-a3fa-43c48c742c6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958ca4d7027438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423</xdr:row>
      <xdr:rowOff>19050</xdr:rowOff>
    </xdr:from>
    <xdr:ext cx="1143000" cy="1143000"/>
    <xdr:pic>
      <xdr:nvPicPr>
        <xdr:cNvPr id="421" name="285c0edd-9442-40ca-a549-b5889ed2138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f2b7ebfc6db4f5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424</xdr:row>
      <xdr:rowOff>19050</xdr:rowOff>
    </xdr:from>
    <xdr:ext cx="1143000" cy="1143000"/>
    <xdr:pic>
      <xdr:nvPicPr>
        <xdr:cNvPr id="422" name="7394896c-45b4-49d6-8ab5-c1fd073b1f5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4f28214f0eb41a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425</xdr:row>
      <xdr:rowOff>19050</xdr:rowOff>
    </xdr:from>
    <xdr:ext cx="1143000" cy="1143000"/>
    <xdr:pic>
      <xdr:nvPicPr>
        <xdr:cNvPr id="423" name="3fbb5f29-df9a-4fac-870e-b6c60982468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82aeed5413948f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426</xdr:row>
      <xdr:rowOff>19050</xdr:rowOff>
    </xdr:from>
    <xdr:ext cx="1143000" cy="1143000"/>
    <xdr:pic>
      <xdr:nvPicPr>
        <xdr:cNvPr id="424" name="3b1aa340-a559-4f1e-ac04-29f2f673a3b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a5f7eb3e69746f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427</xdr:row>
      <xdr:rowOff>19050</xdr:rowOff>
    </xdr:from>
    <xdr:ext cx="1143000" cy="1143000"/>
    <xdr:pic>
      <xdr:nvPicPr>
        <xdr:cNvPr id="425" name="f50db64e-83a7-466f-9431-22919b68eac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d84a0661be2499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428</xdr:row>
      <xdr:rowOff>19050</xdr:rowOff>
    </xdr:from>
    <xdr:ext cx="1143000" cy="1143000"/>
    <xdr:pic>
      <xdr:nvPicPr>
        <xdr:cNvPr id="426" name="cbd43b5a-0aa3-408d-9bc3-4328920fed6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0e6d28d0b984b8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429</xdr:row>
      <xdr:rowOff>19050</xdr:rowOff>
    </xdr:from>
    <xdr:ext cx="1143000" cy="1143000"/>
    <xdr:pic>
      <xdr:nvPicPr>
        <xdr:cNvPr id="427" name="af9196c9-e929-4468-8192-def7e840849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b203c05bf0b499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430</xdr:row>
      <xdr:rowOff>19050</xdr:rowOff>
    </xdr:from>
    <xdr:ext cx="1143000" cy="1143000"/>
    <xdr:pic>
      <xdr:nvPicPr>
        <xdr:cNvPr id="428" name="10585a9b-dd83-4d0d-8bfe-25bfee9146b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04024ebc6ae4fb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431</xdr:row>
      <xdr:rowOff>19050</xdr:rowOff>
    </xdr:from>
    <xdr:ext cx="1143000" cy="1143000"/>
    <xdr:pic>
      <xdr:nvPicPr>
        <xdr:cNvPr id="429" name="efc309d7-8fd4-4be1-8648-8855c516365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e82d81ed07c4d1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432</xdr:row>
      <xdr:rowOff>19050</xdr:rowOff>
    </xdr:from>
    <xdr:ext cx="1143000" cy="1143000"/>
    <xdr:pic>
      <xdr:nvPicPr>
        <xdr:cNvPr id="430" name="3f571439-25b0-4ea0-b747-0ff15a1da39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b3c060c66504ea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433</xdr:row>
      <xdr:rowOff>19050</xdr:rowOff>
    </xdr:from>
    <xdr:ext cx="1143000" cy="1143000"/>
    <xdr:pic>
      <xdr:nvPicPr>
        <xdr:cNvPr id="431" name="b4b7cfd9-d7fc-4a6a-96a0-5fb4ad021bc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59cee1735454e5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434</xdr:row>
      <xdr:rowOff>19050</xdr:rowOff>
    </xdr:from>
    <xdr:ext cx="1143000" cy="1143000"/>
    <xdr:pic>
      <xdr:nvPicPr>
        <xdr:cNvPr id="432" name="8e495f98-6342-4d7e-be06-d86a95791b2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e5bfa2a2f64496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435</xdr:row>
      <xdr:rowOff>19050</xdr:rowOff>
    </xdr:from>
    <xdr:ext cx="1143000" cy="1143000"/>
    <xdr:pic>
      <xdr:nvPicPr>
        <xdr:cNvPr id="433" name="00d602d9-d83b-41b1-8b52-3894dbb588c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0e1f5719ee842d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436</xdr:row>
      <xdr:rowOff>19050</xdr:rowOff>
    </xdr:from>
    <xdr:ext cx="1143000" cy="1143000"/>
    <xdr:pic>
      <xdr:nvPicPr>
        <xdr:cNvPr id="434" name="3bd7832b-7648-4b8e-9071-399c4dc9ea1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23fd4a335544fc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437</xdr:row>
      <xdr:rowOff>19050</xdr:rowOff>
    </xdr:from>
    <xdr:ext cx="1143000" cy="1143000"/>
    <xdr:pic>
      <xdr:nvPicPr>
        <xdr:cNvPr id="435" name="0f0dd0b6-ea6a-4149-9e62-98c532c1831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7acf30fbf904ff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438</xdr:row>
      <xdr:rowOff>19050</xdr:rowOff>
    </xdr:from>
    <xdr:ext cx="1143000" cy="1143000"/>
    <xdr:pic>
      <xdr:nvPicPr>
        <xdr:cNvPr id="436" name="8dd1c236-a0ef-40bd-9793-9242087359d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0b772e85ab4436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439</xdr:row>
      <xdr:rowOff>19050</xdr:rowOff>
    </xdr:from>
    <xdr:ext cx="1143000" cy="1143000"/>
    <xdr:pic>
      <xdr:nvPicPr>
        <xdr:cNvPr id="437" name="6e692299-9941-4bfc-83dc-a32000bc778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30a2fa60302452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440</xdr:row>
      <xdr:rowOff>19050</xdr:rowOff>
    </xdr:from>
    <xdr:ext cx="1143000" cy="1143000"/>
    <xdr:pic>
      <xdr:nvPicPr>
        <xdr:cNvPr id="438" name="e5212e02-0f80-43d4-b903-7e872bf4aa5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c02063e910e418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441</xdr:row>
      <xdr:rowOff>19050</xdr:rowOff>
    </xdr:from>
    <xdr:ext cx="1143000" cy="1143000"/>
    <xdr:pic>
      <xdr:nvPicPr>
        <xdr:cNvPr id="439" name="47380b3e-9df4-4ad7-8c77-1adeb529ce3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679f918531f456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442</xdr:row>
      <xdr:rowOff>19050</xdr:rowOff>
    </xdr:from>
    <xdr:ext cx="1143000" cy="1143000"/>
    <xdr:pic>
      <xdr:nvPicPr>
        <xdr:cNvPr id="440" name="e1c0a2c1-128d-4473-ae4c-5b1518a7a92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2c7247994c2444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443</xdr:row>
      <xdr:rowOff>19050</xdr:rowOff>
    </xdr:from>
    <xdr:ext cx="1143000" cy="1143000"/>
    <xdr:pic>
      <xdr:nvPicPr>
        <xdr:cNvPr id="441" name="0560d9cf-dfb8-4cd9-bf6c-df240a72dee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24c19f684954f5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444</xdr:row>
      <xdr:rowOff>19050</xdr:rowOff>
    </xdr:from>
    <xdr:ext cx="1143000" cy="1143000"/>
    <xdr:pic>
      <xdr:nvPicPr>
        <xdr:cNvPr id="442" name="31cdd4da-b9c7-4d13-99de-93aff5f237f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caf2346409e4bb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445</xdr:row>
      <xdr:rowOff>19050</xdr:rowOff>
    </xdr:from>
    <xdr:ext cx="1143000" cy="1143000"/>
    <xdr:pic>
      <xdr:nvPicPr>
        <xdr:cNvPr id="443" name="3bf12b85-72d8-4cae-9689-c0418891a97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e705f2608b6476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446</xdr:row>
      <xdr:rowOff>19050</xdr:rowOff>
    </xdr:from>
    <xdr:ext cx="1143000" cy="1143000"/>
    <xdr:pic>
      <xdr:nvPicPr>
        <xdr:cNvPr id="444" name="5f8d779a-f9b9-426f-8264-5daa837992b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1060014f2d84f9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447</xdr:row>
      <xdr:rowOff>19050</xdr:rowOff>
    </xdr:from>
    <xdr:ext cx="1143000" cy="1143000"/>
    <xdr:pic>
      <xdr:nvPicPr>
        <xdr:cNvPr id="445" name="96df39a3-f3aa-4ff1-9c77-d6fb8d22ae7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88d952e374b43e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448</xdr:row>
      <xdr:rowOff>19050</xdr:rowOff>
    </xdr:from>
    <xdr:ext cx="1143000" cy="1143000"/>
    <xdr:pic>
      <xdr:nvPicPr>
        <xdr:cNvPr id="446" name="fed996bd-eda6-4e75-988b-ab61cd3b997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cb7bc53c3a0467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449</xdr:row>
      <xdr:rowOff>19050</xdr:rowOff>
    </xdr:from>
    <xdr:ext cx="1143000" cy="1143000"/>
    <xdr:pic>
      <xdr:nvPicPr>
        <xdr:cNvPr id="447" name="49164148-1280-4b3b-8613-5960e9d5edc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3024226fd534be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450</xdr:row>
      <xdr:rowOff>19050</xdr:rowOff>
    </xdr:from>
    <xdr:ext cx="1143000" cy="1143000"/>
    <xdr:pic>
      <xdr:nvPicPr>
        <xdr:cNvPr id="448" name="f555fb05-638a-4282-acc0-4afbf26f23b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346f860cfeb430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451</xdr:row>
      <xdr:rowOff>19050</xdr:rowOff>
    </xdr:from>
    <xdr:ext cx="1143000" cy="1143000"/>
    <xdr:pic>
      <xdr:nvPicPr>
        <xdr:cNvPr id="449" name="721c7dd7-7601-4353-9a1b-bd082544537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c778b4cb0a141b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452</xdr:row>
      <xdr:rowOff>19050</xdr:rowOff>
    </xdr:from>
    <xdr:ext cx="1143000" cy="1143000"/>
    <xdr:pic>
      <xdr:nvPicPr>
        <xdr:cNvPr id="450" name="048d7935-48c8-49a7-a060-76629bcb2b9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f8b288d2bcd44d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453</xdr:row>
      <xdr:rowOff>19050</xdr:rowOff>
    </xdr:from>
    <xdr:ext cx="1143000" cy="1143000"/>
    <xdr:pic>
      <xdr:nvPicPr>
        <xdr:cNvPr id="451" name="19d30417-f916-404f-8814-3d2e59da7ae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104525eb2724d7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454</xdr:row>
      <xdr:rowOff>19050</xdr:rowOff>
    </xdr:from>
    <xdr:ext cx="1143000" cy="1143000"/>
    <xdr:pic>
      <xdr:nvPicPr>
        <xdr:cNvPr id="452" name="d4367dcb-5981-4cbe-9963-b486f92ce5f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42f2ce866564aa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455</xdr:row>
      <xdr:rowOff>19050</xdr:rowOff>
    </xdr:from>
    <xdr:ext cx="1143000" cy="1143000"/>
    <xdr:pic>
      <xdr:nvPicPr>
        <xdr:cNvPr id="453" name="f30de300-27e5-46f8-b08f-b304e79c73d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89eb2e0d636495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456</xdr:row>
      <xdr:rowOff>19050</xdr:rowOff>
    </xdr:from>
    <xdr:ext cx="1143000" cy="1143000"/>
    <xdr:pic>
      <xdr:nvPicPr>
        <xdr:cNvPr id="454" name="f9e49c04-ffbf-4c1d-ba51-4d35e220b51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67106ce86af437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457</xdr:row>
      <xdr:rowOff>19050</xdr:rowOff>
    </xdr:from>
    <xdr:ext cx="1143000" cy="1143000"/>
    <xdr:pic>
      <xdr:nvPicPr>
        <xdr:cNvPr id="455" name="95d65f38-0b74-473c-bc0a-618f429f67e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c7fd47d6dda4ee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458</xdr:row>
      <xdr:rowOff>19050</xdr:rowOff>
    </xdr:from>
    <xdr:ext cx="1143000" cy="1143000"/>
    <xdr:pic>
      <xdr:nvPicPr>
        <xdr:cNvPr id="456" name="e04e23d6-e708-48f4-a795-6c77f727fb8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790cd4cea7c4a0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459</xdr:row>
      <xdr:rowOff>19050</xdr:rowOff>
    </xdr:from>
    <xdr:ext cx="1143000" cy="1143000"/>
    <xdr:pic>
      <xdr:nvPicPr>
        <xdr:cNvPr id="457" name="0db8f184-3601-407d-887d-cf8ef0c37ca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3107b27e92849a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460</xdr:row>
      <xdr:rowOff>19050</xdr:rowOff>
    </xdr:from>
    <xdr:ext cx="1143000" cy="1143000"/>
    <xdr:pic>
      <xdr:nvPicPr>
        <xdr:cNvPr id="458" name="97948924-7326-46ff-a0a1-c6ba2f1ba6c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afb27df8273415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461</xdr:row>
      <xdr:rowOff>19050</xdr:rowOff>
    </xdr:from>
    <xdr:ext cx="1143000" cy="1143000"/>
    <xdr:pic>
      <xdr:nvPicPr>
        <xdr:cNvPr id="459" name="effa8fee-a86c-47e6-95b1-8f136f6f52a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90c044af1b3404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462</xdr:row>
      <xdr:rowOff>19050</xdr:rowOff>
    </xdr:from>
    <xdr:ext cx="1143000" cy="1143000"/>
    <xdr:pic>
      <xdr:nvPicPr>
        <xdr:cNvPr id="460" name="7b7b1d2a-c598-4d56-b97a-e0177928957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5c0ae4d7795485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463</xdr:row>
      <xdr:rowOff>19050</xdr:rowOff>
    </xdr:from>
    <xdr:ext cx="1143000" cy="1143000"/>
    <xdr:pic>
      <xdr:nvPicPr>
        <xdr:cNvPr id="461" name="08620fde-a83d-4943-a352-f437e1469c3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a4aa8d9b9c6410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464</xdr:row>
      <xdr:rowOff>19050</xdr:rowOff>
    </xdr:from>
    <xdr:ext cx="1143000" cy="1143000"/>
    <xdr:pic>
      <xdr:nvPicPr>
        <xdr:cNvPr id="462" name="5f1105ee-5534-47b1-b497-6acd4117259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9c87a170f9e49f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465</xdr:row>
      <xdr:rowOff>19050</xdr:rowOff>
    </xdr:from>
    <xdr:ext cx="1143000" cy="1143000"/>
    <xdr:pic>
      <xdr:nvPicPr>
        <xdr:cNvPr id="463" name="b3590bb8-c622-4604-9f25-d9503f351c7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251e3f7762f4ee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466</xdr:row>
      <xdr:rowOff>19050</xdr:rowOff>
    </xdr:from>
    <xdr:ext cx="1143000" cy="1143000"/>
    <xdr:pic>
      <xdr:nvPicPr>
        <xdr:cNvPr id="464" name="d204a555-abbf-45b0-9b7c-c722cc41620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e4c66d6dfd04fb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467</xdr:row>
      <xdr:rowOff>19050</xdr:rowOff>
    </xdr:from>
    <xdr:ext cx="1143000" cy="1143000"/>
    <xdr:pic>
      <xdr:nvPicPr>
        <xdr:cNvPr id="465" name="7e068181-7781-45b8-b01c-67e7725070d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c852ddc49474ec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468</xdr:row>
      <xdr:rowOff>19050</xdr:rowOff>
    </xdr:from>
    <xdr:ext cx="1143000" cy="1143000"/>
    <xdr:pic>
      <xdr:nvPicPr>
        <xdr:cNvPr id="466" name="34949cfb-041a-4e0c-baa2-f4f03bad655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a30417953db43f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469</xdr:row>
      <xdr:rowOff>19050</xdr:rowOff>
    </xdr:from>
    <xdr:ext cx="1143000" cy="1143000"/>
    <xdr:pic>
      <xdr:nvPicPr>
        <xdr:cNvPr id="467" name="8ab60f51-64bc-4bbb-ac86-ffd6fcb5c9f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ec5a6cf2b334cc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470</xdr:row>
      <xdr:rowOff>19050</xdr:rowOff>
    </xdr:from>
    <xdr:ext cx="1143000" cy="1143000"/>
    <xdr:pic>
      <xdr:nvPicPr>
        <xdr:cNvPr id="468" name="a38e5b00-2be5-4d78-8ffb-df28f644045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4f85a679e884c4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471</xdr:row>
      <xdr:rowOff>19050</xdr:rowOff>
    </xdr:from>
    <xdr:ext cx="1143000" cy="1143000"/>
    <xdr:pic>
      <xdr:nvPicPr>
        <xdr:cNvPr id="469" name="c3c7e1e5-f868-4ec5-84d6-4973fb40599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a0234cf96714bb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472</xdr:row>
      <xdr:rowOff>19050</xdr:rowOff>
    </xdr:from>
    <xdr:ext cx="1143000" cy="1143000"/>
    <xdr:pic>
      <xdr:nvPicPr>
        <xdr:cNvPr id="470" name="8474ff26-0a97-490c-871b-ee35543601a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fbc56dd3cce4a3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473</xdr:row>
      <xdr:rowOff>19050</xdr:rowOff>
    </xdr:from>
    <xdr:ext cx="1143000" cy="1143000"/>
    <xdr:pic>
      <xdr:nvPicPr>
        <xdr:cNvPr id="471" name="569b970f-9d00-4c3e-8ae3-751181630ad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f13af92487c41a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474</xdr:row>
      <xdr:rowOff>19050</xdr:rowOff>
    </xdr:from>
    <xdr:ext cx="1143000" cy="1143000"/>
    <xdr:pic>
      <xdr:nvPicPr>
        <xdr:cNvPr id="472" name="9e000412-843c-4df8-9df0-e94180ddecb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18ca2f9fef64fb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475</xdr:row>
      <xdr:rowOff>19050</xdr:rowOff>
    </xdr:from>
    <xdr:ext cx="1143000" cy="1143000"/>
    <xdr:pic>
      <xdr:nvPicPr>
        <xdr:cNvPr id="473" name="287e6a17-274a-4835-9e47-5e0c732e1c6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8a9d02101884a5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476</xdr:row>
      <xdr:rowOff>19050</xdr:rowOff>
    </xdr:from>
    <xdr:ext cx="1143000" cy="1143000"/>
    <xdr:pic>
      <xdr:nvPicPr>
        <xdr:cNvPr id="474" name="524e99a0-8393-4a5d-b992-757d4a3c3e9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c30590e8cbf4f2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477</xdr:row>
      <xdr:rowOff>19050</xdr:rowOff>
    </xdr:from>
    <xdr:ext cx="1143000" cy="1143000"/>
    <xdr:pic>
      <xdr:nvPicPr>
        <xdr:cNvPr id="475" name="d62910bc-8232-4d7d-bfbd-72ccbb75bd6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c63fc7e2260488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478</xdr:row>
      <xdr:rowOff>19050</xdr:rowOff>
    </xdr:from>
    <xdr:ext cx="1143000" cy="1143000"/>
    <xdr:pic>
      <xdr:nvPicPr>
        <xdr:cNvPr id="476" name="c9ab2acf-5353-42dd-99af-ee35d34a65d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00eaedaf959404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479</xdr:row>
      <xdr:rowOff>19050</xdr:rowOff>
    </xdr:from>
    <xdr:ext cx="1143000" cy="1143000"/>
    <xdr:pic>
      <xdr:nvPicPr>
        <xdr:cNvPr id="477" name="7fe5b7bb-8b28-4d7f-b34e-9e57b60a46c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ec7f2ed339e424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480</xdr:row>
      <xdr:rowOff>19050</xdr:rowOff>
    </xdr:from>
    <xdr:ext cx="1143000" cy="1143000"/>
    <xdr:pic>
      <xdr:nvPicPr>
        <xdr:cNvPr id="478" name="745a75ef-116f-4fd3-977e-934c2639c91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7b3f7e2da8345d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481</xdr:row>
      <xdr:rowOff>19050</xdr:rowOff>
    </xdr:from>
    <xdr:ext cx="1143000" cy="1143000"/>
    <xdr:pic>
      <xdr:nvPicPr>
        <xdr:cNvPr id="479" name="c318fd54-6688-46d1-970b-56953545eb8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53ab6c80e28454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482</xdr:row>
      <xdr:rowOff>19050</xdr:rowOff>
    </xdr:from>
    <xdr:ext cx="1143000" cy="1143000"/>
    <xdr:pic>
      <xdr:nvPicPr>
        <xdr:cNvPr id="480" name="415c011c-5aec-499f-ba27-a3a06469fd4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001f4190f464cc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483</xdr:row>
      <xdr:rowOff>19050</xdr:rowOff>
    </xdr:from>
    <xdr:ext cx="1143000" cy="1143000"/>
    <xdr:pic>
      <xdr:nvPicPr>
        <xdr:cNvPr id="481" name="ffc3b2f9-23d7-4f81-bc61-7f81e21e1f4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ffa9bdd468c4a2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484</xdr:row>
      <xdr:rowOff>19050</xdr:rowOff>
    </xdr:from>
    <xdr:ext cx="1143000" cy="1143000"/>
    <xdr:pic>
      <xdr:nvPicPr>
        <xdr:cNvPr id="482" name="2aca9307-cc16-4afc-a830-aeb93cc1f49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bf1a2f0e0664a4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485</xdr:row>
      <xdr:rowOff>19050</xdr:rowOff>
    </xdr:from>
    <xdr:ext cx="1143000" cy="1143000"/>
    <xdr:pic>
      <xdr:nvPicPr>
        <xdr:cNvPr id="483" name="b73810b5-ff80-4d34-8c4a-2c7dc583662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2791f30279b433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486</xdr:row>
      <xdr:rowOff>19050</xdr:rowOff>
    </xdr:from>
    <xdr:ext cx="1143000" cy="1143000"/>
    <xdr:pic>
      <xdr:nvPicPr>
        <xdr:cNvPr id="484" name="becd74b4-b725-45e6-8495-9ba6831944f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ba584b43f514cf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487</xdr:row>
      <xdr:rowOff>19050</xdr:rowOff>
    </xdr:from>
    <xdr:ext cx="1143000" cy="1143000"/>
    <xdr:pic>
      <xdr:nvPicPr>
        <xdr:cNvPr id="485" name="8618f89a-9d51-4dca-989a-115cce81c8d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c87d9ef0ee44de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488</xdr:row>
      <xdr:rowOff>19050</xdr:rowOff>
    </xdr:from>
    <xdr:ext cx="1143000" cy="1143000"/>
    <xdr:pic>
      <xdr:nvPicPr>
        <xdr:cNvPr id="486" name="8f160388-d21e-4c1f-9586-79c9ecd44d5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fd970cde81f40b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489</xdr:row>
      <xdr:rowOff>19050</xdr:rowOff>
    </xdr:from>
    <xdr:ext cx="1143000" cy="1143000"/>
    <xdr:pic>
      <xdr:nvPicPr>
        <xdr:cNvPr id="487" name="5a4caf25-d1ba-45b1-8f71-2aaf91ad505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6842595423c404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490</xdr:row>
      <xdr:rowOff>19050</xdr:rowOff>
    </xdr:from>
    <xdr:ext cx="1143000" cy="1143000"/>
    <xdr:pic>
      <xdr:nvPicPr>
        <xdr:cNvPr id="488" name="e67cd0d6-ae08-49a7-8639-9e0714b0262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6389c11abb4413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491</xdr:row>
      <xdr:rowOff>19050</xdr:rowOff>
    </xdr:from>
    <xdr:ext cx="1143000" cy="1143000"/>
    <xdr:pic>
      <xdr:nvPicPr>
        <xdr:cNvPr id="489" name="bbf99203-3154-46c3-9eac-9cd262a73c6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24a02fab9304c1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492</xdr:row>
      <xdr:rowOff>19050</xdr:rowOff>
    </xdr:from>
    <xdr:ext cx="1143000" cy="1143000"/>
    <xdr:pic>
      <xdr:nvPicPr>
        <xdr:cNvPr id="490" name="61214274-06be-4824-8691-6bdc4a8a864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021560ac198472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493</xdr:row>
      <xdr:rowOff>19050</xdr:rowOff>
    </xdr:from>
    <xdr:ext cx="1143000" cy="1143000"/>
    <xdr:pic>
      <xdr:nvPicPr>
        <xdr:cNvPr id="491" name="d7c04dff-0480-4e6e-a788-511f51aa5d6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c8082b2c633458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494</xdr:row>
      <xdr:rowOff>19050</xdr:rowOff>
    </xdr:from>
    <xdr:ext cx="1143000" cy="1143000"/>
    <xdr:pic>
      <xdr:nvPicPr>
        <xdr:cNvPr id="492" name="17b877d5-7467-4efa-a31a-d6416aef1f8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24efd700a264c9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495</xdr:row>
      <xdr:rowOff>19050</xdr:rowOff>
    </xdr:from>
    <xdr:ext cx="1143000" cy="1143000"/>
    <xdr:pic>
      <xdr:nvPicPr>
        <xdr:cNvPr id="493" name="56859787-f5b6-4303-a97a-559b3c2ac7c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7f43f372e604c2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496</xdr:row>
      <xdr:rowOff>19050</xdr:rowOff>
    </xdr:from>
    <xdr:ext cx="1143000" cy="1143000"/>
    <xdr:pic>
      <xdr:nvPicPr>
        <xdr:cNvPr id="494" name="85dc31bb-29e7-49bb-82b8-8db5a00560b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04a9c77606d4a7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497</xdr:row>
      <xdr:rowOff>19050</xdr:rowOff>
    </xdr:from>
    <xdr:ext cx="1143000" cy="1143000"/>
    <xdr:pic>
      <xdr:nvPicPr>
        <xdr:cNvPr id="495" name="2aea2dbe-d40e-4ca1-951c-ea3cf45bc2e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5546a1d69fd4d5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498</xdr:row>
      <xdr:rowOff>19050</xdr:rowOff>
    </xdr:from>
    <xdr:ext cx="1143000" cy="1143000"/>
    <xdr:pic>
      <xdr:nvPicPr>
        <xdr:cNvPr id="496" name="d4062cb3-0f07-48b8-a373-734c4a53395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3c0cc1471e247b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499</xdr:row>
      <xdr:rowOff>19050</xdr:rowOff>
    </xdr:from>
    <xdr:ext cx="1143000" cy="1143000"/>
    <xdr:pic>
      <xdr:nvPicPr>
        <xdr:cNvPr id="497" name="0df9c703-7ea2-4709-a612-72c16c12409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2a1292cd05d462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500</xdr:row>
      <xdr:rowOff>19050</xdr:rowOff>
    </xdr:from>
    <xdr:ext cx="1143000" cy="1143000"/>
    <xdr:pic>
      <xdr:nvPicPr>
        <xdr:cNvPr id="498" name="e1f874ef-22f3-43ba-be15-cbbb6cc0c64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61451c2b4614b9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501</xdr:row>
      <xdr:rowOff>19050</xdr:rowOff>
    </xdr:from>
    <xdr:ext cx="1143000" cy="1143000"/>
    <xdr:pic>
      <xdr:nvPicPr>
        <xdr:cNvPr id="499" name="1da14d84-6353-4dea-949f-82b5d0ca121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10e46e97ce74c1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502</xdr:row>
      <xdr:rowOff>19050</xdr:rowOff>
    </xdr:from>
    <xdr:ext cx="1143000" cy="1143000"/>
    <xdr:pic>
      <xdr:nvPicPr>
        <xdr:cNvPr id="500" name="1e022cc2-2a3c-402c-8e1f-cd58867b5f6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292f741714d434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503</xdr:row>
      <xdr:rowOff>19050</xdr:rowOff>
    </xdr:from>
    <xdr:ext cx="1143000" cy="1143000"/>
    <xdr:pic>
      <xdr:nvPicPr>
        <xdr:cNvPr id="501" name="722a9592-1393-489a-ab88-d546349137b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dd4ac7756a942a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504</xdr:row>
      <xdr:rowOff>19050</xdr:rowOff>
    </xdr:from>
    <xdr:ext cx="1143000" cy="1143000"/>
    <xdr:pic>
      <xdr:nvPicPr>
        <xdr:cNvPr id="502" name="4ca2ff80-3620-4dcb-bff9-2b2b3c16db1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8cfb944fe5847c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505</xdr:row>
      <xdr:rowOff>19050</xdr:rowOff>
    </xdr:from>
    <xdr:ext cx="1143000" cy="1143000"/>
    <xdr:pic>
      <xdr:nvPicPr>
        <xdr:cNvPr id="503" name="0d89a49e-002c-4a87-a206-d90a3fbc138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5c2d763fcd8472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506</xdr:row>
      <xdr:rowOff>19050</xdr:rowOff>
    </xdr:from>
    <xdr:ext cx="1143000" cy="1143000"/>
    <xdr:pic>
      <xdr:nvPicPr>
        <xdr:cNvPr id="504" name="0a41bc7c-6627-440b-bd5f-7d2391c9446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ed4ba6233a0490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507</xdr:row>
      <xdr:rowOff>19050</xdr:rowOff>
    </xdr:from>
    <xdr:ext cx="1143000" cy="1143000"/>
    <xdr:pic>
      <xdr:nvPicPr>
        <xdr:cNvPr id="505" name="6db307d8-d527-44c6-aec7-4adee313357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fef9a8022ca44c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508</xdr:row>
      <xdr:rowOff>19050</xdr:rowOff>
    </xdr:from>
    <xdr:ext cx="1143000" cy="1143000"/>
    <xdr:pic>
      <xdr:nvPicPr>
        <xdr:cNvPr id="506" name="77ddc1ed-e603-4452-8a5b-a9e04d2abca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93bf1eac01a41a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509</xdr:row>
      <xdr:rowOff>19050</xdr:rowOff>
    </xdr:from>
    <xdr:ext cx="1143000" cy="1143000"/>
    <xdr:pic>
      <xdr:nvPicPr>
        <xdr:cNvPr id="507" name="d2491272-0453-415d-9836-d477739ecb0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b901246a5ab4f8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510</xdr:row>
      <xdr:rowOff>19050</xdr:rowOff>
    </xdr:from>
    <xdr:ext cx="1143000" cy="1143000"/>
    <xdr:pic>
      <xdr:nvPicPr>
        <xdr:cNvPr id="508" name="8660713f-d3d4-489d-a880-1765fb62893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dae3de81c7e436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511</xdr:row>
      <xdr:rowOff>19050</xdr:rowOff>
    </xdr:from>
    <xdr:ext cx="1143000" cy="1143000"/>
    <xdr:pic>
      <xdr:nvPicPr>
        <xdr:cNvPr id="509" name="d8324574-3e54-43f9-b15d-52e591ec02f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05d2c381b9845f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512</xdr:row>
      <xdr:rowOff>19050</xdr:rowOff>
    </xdr:from>
    <xdr:ext cx="1143000" cy="1143000"/>
    <xdr:pic>
      <xdr:nvPicPr>
        <xdr:cNvPr id="510" name="a531e48d-ba69-474c-9dac-1572a298386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26e17a70b52402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513</xdr:row>
      <xdr:rowOff>19050</xdr:rowOff>
    </xdr:from>
    <xdr:ext cx="1143000" cy="1143000"/>
    <xdr:pic>
      <xdr:nvPicPr>
        <xdr:cNvPr id="511" name="37386244-62af-45b9-9eb4-7234056fcfd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5855dbdaf564b9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514</xdr:row>
      <xdr:rowOff>19050</xdr:rowOff>
    </xdr:from>
    <xdr:ext cx="1143000" cy="1143000"/>
    <xdr:pic>
      <xdr:nvPicPr>
        <xdr:cNvPr id="512" name="3ccc32de-ec3a-4c6c-8175-08c8fb7d0bd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3e17c63b26b4cf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515</xdr:row>
      <xdr:rowOff>19050</xdr:rowOff>
    </xdr:from>
    <xdr:ext cx="1143000" cy="1143000"/>
    <xdr:pic>
      <xdr:nvPicPr>
        <xdr:cNvPr id="513" name="50382dbf-7473-48cc-ae54-c8e19d699bf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fd1bc11a7a44d2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516</xdr:row>
      <xdr:rowOff>19050</xdr:rowOff>
    </xdr:from>
    <xdr:ext cx="1143000" cy="1143000"/>
    <xdr:pic>
      <xdr:nvPicPr>
        <xdr:cNvPr id="514" name="68d49603-7c64-4e09-ba9e-589096620f2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34aa0b695ed4fd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517</xdr:row>
      <xdr:rowOff>19050</xdr:rowOff>
    </xdr:from>
    <xdr:ext cx="1143000" cy="1143000"/>
    <xdr:pic>
      <xdr:nvPicPr>
        <xdr:cNvPr id="515" name="484efe2e-bbf0-4a76-bbad-27c7c28843e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c3a189c6219400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518</xdr:row>
      <xdr:rowOff>19050</xdr:rowOff>
    </xdr:from>
    <xdr:ext cx="1143000" cy="1143000"/>
    <xdr:pic>
      <xdr:nvPicPr>
        <xdr:cNvPr id="516" name="45743828-0574-446f-8f46-d5085086f89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dda2f15b1f74b9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519</xdr:row>
      <xdr:rowOff>19050</xdr:rowOff>
    </xdr:from>
    <xdr:ext cx="1143000" cy="1143000"/>
    <xdr:pic>
      <xdr:nvPicPr>
        <xdr:cNvPr id="517" name="1e7f1c6d-822f-4343-b887-d0b6ec91b20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f15010e728c482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520</xdr:row>
      <xdr:rowOff>19050</xdr:rowOff>
    </xdr:from>
    <xdr:ext cx="1143000" cy="1143000"/>
    <xdr:pic>
      <xdr:nvPicPr>
        <xdr:cNvPr id="518" name="69b90a2d-912c-4bd4-874e-4da950de6f7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4228cd5cd8e46c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521</xdr:row>
      <xdr:rowOff>19050</xdr:rowOff>
    </xdr:from>
    <xdr:ext cx="1143000" cy="1143000"/>
    <xdr:pic>
      <xdr:nvPicPr>
        <xdr:cNvPr id="519" name="100592c7-e8c3-4483-99e7-d89b7644d89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8e94277c2ce416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522</xdr:row>
      <xdr:rowOff>19050</xdr:rowOff>
    </xdr:from>
    <xdr:ext cx="1143000" cy="1143000"/>
    <xdr:pic>
      <xdr:nvPicPr>
        <xdr:cNvPr id="520" name="3f45dd97-5e93-4c1b-849d-c1a4799da00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057976cc9434e4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523</xdr:row>
      <xdr:rowOff>19050</xdr:rowOff>
    </xdr:from>
    <xdr:ext cx="1143000" cy="1143000"/>
    <xdr:pic>
      <xdr:nvPicPr>
        <xdr:cNvPr id="521" name="d8cf5025-5d2c-4e5e-a21f-fbaa570e584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58a40ec2ec14db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524</xdr:row>
      <xdr:rowOff>19050</xdr:rowOff>
    </xdr:from>
    <xdr:ext cx="1143000" cy="1143000"/>
    <xdr:pic>
      <xdr:nvPicPr>
        <xdr:cNvPr id="522" name="37e537c8-984c-4cdf-a370-ac1961c5a2a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8d1970d5bdc4be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525</xdr:row>
      <xdr:rowOff>19050</xdr:rowOff>
    </xdr:from>
    <xdr:ext cx="1143000" cy="1143000"/>
    <xdr:pic>
      <xdr:nvPicPr>
        <xdr:cNvPr id="523" name="74401cd4-27e0-4eb8-a691-8762ca37663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8d526725e36461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526</xdr:row>
      <xdr:rowOff>19050</xdr:rowOff>
    </xdr:from>
    <xdr:ext cx="1143000" cy="1143000"/>
    <xdr:pic>
      <xdr:nvPicPr>
        <xdr:cNvPr id="524" name="8e43e828-ab6a-45f7-9556-5153c85de1c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fca1b9ab3db4cf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527</xdr:row>
      <xdr:rowOff>19050</xdr:rowOff>
    </xdr:from>
    <xdr:ext cx="1143000" cy="1143000"/>
    <xdr:pic>
      <xdr:nvPicPr>
        <xdr:cNvPr id="525" name="d0bd15b9-6ac5-4ce3-8a96-07f500fa383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4753de78302472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528</xdr:row>
      <xdr:rowOff>19050</xdr:rowOff>
    </xdr:from>
    <xdr:ext cx="1143000" cy="1143000"/>
    <xdr:pic>
      <xdr:nvPicPr>
        <xdr:cNvPr id="526" name="92a9c52e-d9c0-4a07-a340-385bdbd5444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ec5f45db290427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529</xdr:row>
      <xdr:rowOff>19050</xdr:rowOff>
    </xdr:from>
    <xdr:ext cx="1143000" cy="1143000"/>
    <xdr:pic>
      <xdr:nvPicPr>
        <xdr:cNvPr id="527" name="2b10888e-a5b2-476d-9ed7-7e6b3622a70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8beee42458f432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530</xdr:row>
      <xdr:rowOff>19050</xdr:rowOff>
    </xdr:from>
    <xdr:ext cx="1143000" cy="1143000"/>
    <xdr:pic>
      <xdr:nvPicPr>
        <xdr:cNvPr id="528" name="c33b3b2d-262e-4a44-a82f-2251ef78eec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ceab658c4a24de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531</xdr:row>
      <xdr:rowOff>19050</xdr:rowOff>
    </xdr:from>
    <xdr:ext cx="1143000" cy="1143000"/>
    <xdr:pic>
      <xdr:nvPicPr>
        <xdr:cNvPr id="529" name="318c11f8-a7f3-4e8f-83bd-48329a6ccc2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df0e8fcec21403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532</xdr:row>
      <xdr:rowOff>19050</xdr:rowOff>
    </xdr:from>
    <xdr:ext cx="1143000" cy="1143000"/>
    <xdr:pic>
      <xdr:nvPicPr>
        <xdr:cNvPr id="530" name="143219a1-2679-491c-ae8a-cb51d20b41e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72ec659ff664ec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533</xdr:row>
      <xdr:rowOff>19050</xdr:rowOff>
    </xdr:from>
    <xdr:ext cx="1143000" cy="1143000"/>
    <xdr:pic>
      <xdr:nvPicPr>
        <xdr:cNvPr id="531" name="e4b61d2f-efaa-4b0d-b5b4-883b3c6da43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89d4901d492477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534</xdr:row>
      <xdr:rowOff>19050</xdr:rowOff>
    </xdr:from>
    <xdr:ext cx="1143000" cy="1143000"/>
    <xdr:pic>
      <xdr:nvPicPr>
        <xdr:cNvPr id="532" name="1f02807b-c83b-4028-bef6-08445e6a8c4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46d6dc5459146d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535</xdr:row>
      <xdr:rowOff>19050</xdr:rowOff>
    </xdr:from>
    <xdr:ext cx="1143000" cy="1143000"/>
    <xdr:pic>
      <xdr:nvPicPr>
        <xdr:cNvPr id="533" name="56ee29bb-d2cd-46f0-94d5-c2724423af1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4e044ba19894ee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536</xdr:row>
      <xdr:rowOff>19050</xdr:rowOff>
    </xdr:from>
    <xdr:ext cx="1143000" cy="1143000"/>
    <xdr:pic>
      <xdr:nvPicPr>
        <xdr:cNvPr id="534" name="28b5b07c-c8b5-4928-b29c-c6489b3f0ad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5a075df688d4f3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537</xdr:row>
      <xdr:rowOff>19050</xdr:rowOff>
    </xdr:from>
    <xdr:ext cx="1143000" cy="1143000"/>
    <xdr:pic>
      <xdr:nvPicPr>
        <xdr:cNvPr id="535" name="f45884ef-5ed2-48eb-9e33-45f73b78298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bb8748908e047a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538</xdr:row>
      <xdr:rowOff>19050</xdr:rowOff>
    </xdr:from>
    <xdr:ext cx="1143000" cy="1143000"/>
    <xdr:pic>
      <xdr:nvPicPr>
        <xdr:cNvPr id="536" name="29b47ab7-d4f7-4543-9d65-9a5b725af10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e94ef29de684a1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539</xdr:row>
      <xdr:rowOff>19050</xdr:rowOff>
    </xdr:from>
    <xdr:ext cx="1143000" cy="1143000"/>
    <xdr:pic>
      <xdr:nvPicPr>
        <xdr:cNvPr id="537" name="a3c6cee2-5cf1-46d8-b55d-d160c377c6e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9cc024a059f444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540</xdr:row>
      <xdr:rowOff>19050</xdr:rowOff>
    </xdr:from>
    <xdr:ext cx="1143000" cy="1143000"/>
    <xdr:pic>
      <xdr:nvPicPr>
        <xdr:cNvPr id="538" name="98052699-83b5-4995-965f-a1c0b739f57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bd8e3ac845044b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541</xdr:row>
      <xdr:rowOff>19050</xdr:rowOff>
    </xdr:from>
    <xdr:ext cx="1143000" cy="1143000"/>
    <xdr:pic>
      <xdr:nvPicPr>
        <xdr:cNvPr id="539" name="0161af1e-7206-4097-ac42-c7fde7b64af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78908db69d2447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542</xdr:row>
      <xdr:rowOff>19050</xdr:rowOff>
    </xdr:from>
    <xdr:ext cx="1143000" cy="1143000"/>
    <xdr:pic>
      <xdr:nvPicPr>
        <xdr:cNvPr id="540" name="16bb5800-5b95-4169-8b74-9f873b5d282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2a942df78524a4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543</xdr:row>
      <xdr:rowOff>19050</xdr:rowOff>
    </xdr:from>
    <xdr:ext cx="1143000" cy="1143000"/>
    <xdr:pic>
      <xdr:nvPicPr>
        <xdr:cNvPr id="541" name="71e7d2f8-4dd8-4500-adee-818df089c51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ca49dd5509f4e6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544</xdr:row>
      <xdr:rowOff>19050</xdr:rowOff>
    </xdr:from>
    <xdr:ext cx="1143000" cy="1143000"/>
    <xdr:pic>
      <xdr:nvPicPr>
        <xdr:cNvPr id="542" name="52e92ebf-1c4f-4f37-9199-ddcdacf7e22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7c8c1dcd3a445f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545</xdr:row>
      <xdr:rowOff>19050</xdr:rowOff>
    </xdr:from>
    <xdr:ext cx="1143000" cy="1143000"/>
    <xdr:pic>
      <xdr:nvPicPr>
        <xdr:cNvPr id="543" name="add4ba1f-84cd-450b-94a2-b5a5c03077e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47dc8251aeb4e5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546</xdr:row>
      <xdr:rowOff>19050</xdr:rowOff>
    </xdr:from>
    <xdr:ext cx="1143000" cy="1143000"/>
    <xdr:pic>
      <xdr:nvPicPr>
        <xdr:cNvPr id="544" name="b9cdbbd8-b61e-4488-b1e9-0d7280cb197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4ba059a86be47a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547</xdr:row>
      <xdr:rowOff>19050</xdr:rowOff>
    </xdr:from>
    <xdr:ext cx="1143000" cy="1143000"/>
    <xdr:pic>
      <xdr:nvPicPr>
        <xdr:cNvPr id="545" name="1c95c6ff-2e63-4089-bd67-e5b818c6a0a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40795e4dfed426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548</xdr:row>
      <xdr:rowOff>19050</xdr:rowOff>
    </xdr:from>
    <xdr:ext cx="1143000" cy="1143000"/>
    <xdr:pic>
      <xdr:nvPicPr>
        <xdr:cNvPr id="546" name="26e1fe3b-fccc-4096-8935-9361269ece8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9ae92417134447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549</xdr:row>
      <xdr:rowOff>19050</xdr:rowOff>
    </xdr:from>
    <xdr:ext cx="1143000" cy="1143000"/>
    <xdr:pic>
      <xdr:nvPicPr>
        <xdr:cNvPr id="547" name="1fc21673-66a6-42c1-bc21-22e28fff813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8cc432a4d8241e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550</xdr:row>
      <xdr:rowOff>19050</xdr:rowOff>
    </xdr:from>
    <xdr:ext cx="1143000" cy="1143000"/>
    <xdr:pic>
      <xdr:nvPicPr>
        <xdr:cNvPr id="548" name="8cf9d094-33b1-4586-8660-fdefa2f638b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4c581e7a64a4ae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551</xdr:row>
      <xdr:rowOff>19050</xdr:rowOff>
    </xdr:from>
    <xdr:ext cx="1143000" cy="1143000"/>
    <xdr:pic>
      <xdr:nvPicPr>
        <xdr:cNvPr id="549" name="dac869aa-7391-4639-9e48-7de15ae8a4a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102f35c33ae42f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552</xdr:row>
      <xdr:rowOff>19050</xdr:rowOff>
    </xdr:from>
    <xdr:ext cx="1143000" cy="1143000"/>
    <xdr:pic>
      <xdr:nvPicPr>
        <xdr:cNvPr id="550" name="52f7a430-e5b6-4e24-a5fe-c93425dd7f6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83d6865543c4ed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553</xdr:row>
      <xdr:rowOff>19050</xdr:rowOff>
    </xdr:from>
    <xdr:ext cx="1143000" cy="1143000"/>
    <xdr:pic>
      <xdr:nvPicPr>
        <xdr:cNvPr id="551" name="d55ac399-94a5-40ec-8a8a-77cc6f81357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b0edfc6b1ed4aa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554</xdr:row>
      <xdr:rowOff>19050</xdr:rowOff>
    </xdr:from>
    <xdr:ext cx="1143000" cy="1143000"/>
    <xdr:pic>
      <xdr:nvPicPr>
        <xdr:cNvPr id="552" name="ab8faace-3b74-42bc-9246-194710fb05d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585aef44c194ff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555</xdr:row>
      <xdr:rowOff>19050</xdr:rowOff>
    </xdr:from>
    <xdr:ext cx="1143000" cy="1143000"/>
    <xdr:pic>
      <xdr:nvPicPr>
        <xdr:cNvPr id="553" name="ab5a852a-17c3-4dbc-b7d1-0110aebfaa3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df40103910343e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556</xdr:row>
      <xdr:rowOff>19050</xdr:rowOff>
    </xdr:from>
    <xdr:ext cx="1143000" cy="1143000"/>
    <xdr:pic>
      <xdr:nvPicPr>
        <xdr:cNvPr id="554" name="6bb8b79c-7b73-4d3e-a4f5-0e6caa20cce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2d06781c4014bd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557</xdr:row>
      <xdr:rowOff>19050</xdr:rowOff>
    </xdr:from>
    <xdr:ext cx="1143000" cy="1143000"/>
    <xdr:pic>
      <xdr:nvPicPr>
        <xdr:cNvPr id="555" name="faf3de70-7d3d-4b27-9391-c0f803bb687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8369621fa52490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558</xdr:row>
      <xdr:rowOff>19050</xdr:rowOff>
    </xdr:from>
    <xdr:ext cx="1143000" cy="1143000"/>
    <xdr:pic>
      <xdr:nvPicPr>
        <xdr:cNvPr id="556" name="974f11ce-235a-47a5-9df4-45631b5c4ed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b2c3875ee3c485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559</xdr:row>
      <xdr:rowOff>19050</xdr:rowOff>
    </xdr:from>
    <xdr:ext cx="1143000" cy="1143000"/>
    <xdr:pic>
      <xdr:nvPicPr>
        <xdr:cNvPr id="557" name="8c5a5cb1-4d9a-40c2-a20b-a3fdedca841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6368429f5774af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560</xdr:row>
      <xdr:rowOff>19050</xdr:rowOff>
    </xdr:from>
    <xdr:ext cx="1143000" cy="1143000"/>
    <xdr:pic>
      <xdr:nvPicPr>
        <xdr:cNvPr id="558" name="d1507d37-2abf-43d5-a741-aee945cee20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b14b759401d4d9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561</xdr:row>
      <xdr:rowOff>19050</xdr:rowOff>
    </xdr:from>
    <xdr:ext cx="1143000" cy="1143000"/>
    <xdr:pic>
      <xdr:nvPicPr>
        <xdr:cNvPr id="559" name="e01ff5c7-3ecd-4891-8700-079b537172f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4ebfe024008486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562</xdr:row>
      <xdr:rowOff>19050</xdr:rowOff>
    </xdr:from>
    <xdr:ext cx="1143000" cy="1143000"/>
    <xdr:pic>
      <xdr:nvPicPr>
        <xdr:cNvPr id="560" name="11171a0a-0660-4ed4-b7d7-9224a4d1bfc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dcbb5896046453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563</xdr:row>
      <xdr:rowOff>19050</xdr:rowOff>
    </xdr:from>
    <xdr:ext cx="1143000" cy="1143000"/>
    <xdr:pic>
      <xdr:nvPicPr>
        <xdr:cNvPr id="561" name="189349ea-cefe-43f2-9437-6462e3feb0f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83d8624569743d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564</xdr:row>
      <xdr:rowOff>19050</xdr:rowOff>
    </xdr:from>
    <xdr:ext cx="1143000" cy="1143000"/>
    <xdr:pic>
      <xdr:nvPicPr>
        <xdr:cNvPr id="562" name="f06d3383-644d-4af5-8ddf-50f58e33202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fd4818b294f447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565</xdr:row>
      <xdr:rowOff>19050</xdr:rowOff>
    </xdr:from>
    <xdr:ext cx="1143000" cy="1143000"/>
    <xdr:pic>
      <xdr:nvPicPr>
        <xdr:cNvPr id="563" name="f526dc71-a9d7-4af3-8989-91d58e408f3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460b40d8a294e8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566</xdr:row>
      <xdr:rowOff>19050</xdr:rowOff>
    </xdr:from>
    <xdr:ext cx="1143000" cy="1143000"/>
    <xdr:pic>
      <xdr:nvPicPr>
        <xdr:cNvPr id="564" name="f0e6d872-932c-47d4-b53d-8dcca05fe9e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292ef294a564e8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567</xdr:row>
      <xdr:rowOff>19050</xdr:rowOff>
    </xdr:from>
    <xdr:ext cx="1143000" cy="1143000"/>
    <xdr:pic>
      <xdr:nvPicPr>
        <xdr:cNvPr id="565" name="6a6bde2e-01f0-46dc-8a8d-986a6ab3d4c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a50d1d30f3740a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568</xdr:row>
      <xdr:rowOff>19050</xdr:rowOff>
    </xdr:from>
    <xdr:ext cx="1143000" cy="1143000"/>
    <xdr:pic>
      <xdr:nvPicPr>
        <xdr:cNvPr id="566" name="b089740c-11dd-45fa-93a1-1f4da858071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01a1efb06af48f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569</xdr:row>
      <xdr:rowOff>19050</xdr:rowOff>
    </xdr:from>
    <xdr:ext cx="1143000" cy="1143000"/>
    <xdr:pic>
      <xdr:nvPicPr>
        <xdr:cNvPr id="567" name="a696c616-4e45-4acc-9c05-e10d52b4126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802264240d5429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570</xdr:row>
      <xdr:rowOff>19050</xdr:rowOff>
    </xdr:from>
    <xdr:ext cx="1143000" cy="1143000"/>
    <xdr:pic>
      <xdr:nvPicPr>
        <xdr:cNvPr id="568" name="9aa6b3c8-c2d2-4b8c-a460-df5628daced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1cfe631ec124d7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571</xdr:row>
      <xdr:rowOff>19050</xdr:rowOff>
    </xdr:from>
    <xdr:ext cx="1143000" cy="1143000"/>
    <xdr:pic>
      <xdr:nvPicPr>
        <xdr:cNvPr id="569" name="045f04cd-61ce-4fd0-8939-94718d8431b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19df97c18c94a3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572</xdr:row>
      <xdr:rowOff>19050</xdr:rowOff>
    </xdr:from>
    <xdr:ext cx="1143000" cy="1143000"/>
    <xdr:pic>
      <xdr:nvPicPr>
        <xdr:cNvPr id="570" name="45c4b391-a53d-438c-9384-9efff972b84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fc37e8017804ce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573</xdr:row>
      <xdr:rowOff>19050</xdr:rowOff>
    </xdr:from>
    <xdr:ext cx="1143000" cy="1143000"/>
    <xdr:pic>
      <xdr:nvPicPr>
        <xdr:cNvPr id="571" name="782b339f-2831-44bf-9f70-54fcfd0c137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7c66dabeeb2491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574</xdr:row>
      <xdr:rowOff>19050</xdr:rowOff>
    </xdr:from>
    <xdr:ext cx="1143000" cy="1143000"/>
    <xdr:pic>
      <xdr:nvPicPr>
        <xdr:cNvPr id="572" name="387e7bb7-c5f2-44dd-bb8c-9bae751c9a2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76dca3ab7ef40c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575</xdr:row>
      <xdr:rowOff>19050</xdr:rowOff>
    </xdr:from>
    <xdr:ext cx="1143000" cy="1143000"/>
    <xdr:pic>
      <xdr:nvPicPr>
        <xdr:cNvPr id="573" name="d45a1ac5-9cc2-46b4-9e3c-ef789a88eea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0c36f74210c496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576</xdr:row>
      <xdr:rowOff>19050</xdr:rowOff>
    </xdr:from>
    <xdr:ext cx="1143000" cy="1143000"/>
    <xdr:pic>
      <xdr:nvPicPr>
        <xdr:cNvPr id="574" name="fb6f25c9-5de6-40b4-a61d-fa38a21def7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f19fc581eab422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577</xdr:row>
      <xdr:rowOff>19050</xdr:rowOff>
    </xdr:from>
    <xdr:ext cx="1143000" cy="1143000"/>
    <xdr:pic>
      <xdr:nvPicPr>
        <xdr:cNvPr id="575" name="845adb95-ea37-4ff3-a0b8-dd7b007cd36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d17b03c0ec249a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578</xdr:row>
      <xdr:rowOff>19050</xdr:rowOff>
    </xdr:from>
    <xdr:ext cx="1143000" cy="1143000"/>
    <xdr:pic>
      <xdr:nvPicPr>
        <xdr:cNvPr id="576" name="c593ad8d-02a5-48a3-b54f-5c5bb00dd53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5ccbbd267cc403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579</xdr:row>
      <xdr:rowOff>19050</xdr:rowOff>
    </xdr:from>
    <xdr:ext cx="1143000" cy="1143000"/>
    <xdr:pic>
      <xdr:nvPicPr>
        <xdr:cNvPr id="577" name="51e122f5-eb90-4ae4-9ffd-e7438a2d0b2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314cfe25a0a4a6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580</xdr:row>
      <xdr:rowOff>19050</xdr:rowOff>
    </xdr:from>
    <xdr:ext cx="1143000" cy="1143000"/>
    <xdr:pic>
      <xdr:nvPicPr>
        <xdr:cNvPr id="578" name="f748dc92-4231-4d4f-bdca-977bf1fa68a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bb8b52fd96344f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581</xdr:row>
      <xdr:rowOff>19050</xdr:rowOff>
    </xdr:from>
    <xdr:ext cx="1143000" cy="1143000"/>
    <xdr:pic>
      <xdr:nvPicPr>
        <xdr:cNvPr id="579" name="d6f5b178-7630-429a-8fbd-7bd52bbc425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d2ffe02182b440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582</xdr:row>
      <xdr:rowOff>19050</xdr:rowOff>
    </xdr:from>
    <xdr:ext cx="1143000" cy="1143000"/>
    <xdr:pic>
      <xdr:nvPicPr>
        <xdr:cNvPr id="580" name="1d154b49-0048-425e-be67-f05683f45ec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c117490a9864c2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583</xdr:row>
      <xdr:rowOff>19050</xdr:rowOff>
    </xdr:from>
    <xdr:ext cx="1143000" cy="1143000"/>
    <xdr:pic>
      <xdr:nvPicPr>
        <xdr:cNvPr id="581" name="43792b9f-eb7a-42ed-b651-b2412fd1eeb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4c4cfb889cb4b7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584</xdr:row>
      <xdr:rowOff>19050</xdr:rowOff>
    </xdr:from>
    <xdr:ext cx="1143000" cy="1143000"/>
    <xdr:pic>
      <xdr:nvPicPr>
        <xdr:cNvPr id="582" name="6f89af17-4f55-4124-a477-77789883559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4ee16a6387c4a0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585</xdr:row>
      <xdr:rowOff>19050</xdr:rowOff>
    </xdr:from>
    <xdr:ext cx="1143000" cy="1143000"/>
    <xdr:pic>
      <xdr:nvPicPr>
        <xdr:cNvPr id="583" name="05dbfdf4-4417-4543-9d35-aa6f65cd4d5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b8611ba2626414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586</xdr:row>
      <xdr:rowOff>19050</xdr:rowOff>
    </xdr:from>
    <xdr:ext cx="1143000" cy="1143000"/>
    <xdr:pic>
      <xdr:nvPicPr>
        <xdr:cNvPr id="584" name="94590d45-ecda-45b0-bb44-388c0b8c5de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5d0192bb40e4db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587</xdr:row>
      <xdr:rowOff>19050</xdr:rowOff>
    </xdr:from>
    <xdr:ext cx="1143000" cy="1143000"/>
    <xdr:pic>
      <xdr:nvPicPr>
        <xdr:cNvPr id="585" name="dbdbbc47-5fed-45ab-b1e5-be613107d01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dd5345ffd0c470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588</xdr:row>
      <xdr:rowOff>19050</xdr:rowOff>
    </xdr:from>
    <xdr:ext cx="1143000" cy="1143000"/>
    <xdr:pic>
      <xdr:nvPicPr>
        <xdr:cNvPr id="586" name="6dc44e3b-5a3e-4a65-9c97-444ea8c25e4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03062f77e45409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589</xdr:row>
      <xdr:rowOff>19050</xdr:rowOff>
    </xdr:from>
    <xdr:ext cx="1143000" cy="1143000"/>
    <xdr:pic>
      <xdr:nvPicPr>
        <xdr:cNvPr id="587" name="dc52b6e9-fbb8-4a47-b97f-f346a5f7680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40a2fde862d4e9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590</xdr:row>
      <xdr:rowOff>19050</xdr:rowOff>
    </xdr:from>
    <xdr:ext cx="1143000" cy="1143000"/>
    <xdr:pic>
      <xdr:nvPicPr>
        <xdr:cNvPr id="588" name="69e0353b-aa53-4942-9faf-8698bdc58f5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f7f0ffc874c401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591</xdr:row>
      <xdr:rowOff>19050</xdr:rowOff>
    </xdr:from>
    <xdr:ext cx="1143000" cy="1143000"/>
    <xdr:pic>
      <xdr:nvPicPr>
        <xdr:cNvPr id="589" name="db0fa213-eed2-481f-b73f-7d4510b8517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e00d04570784f6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592</xdr:row>
      <xdr:rowOff>19050</xdr:rowOff>
    </xdr:from>
    <xdr:ext cx="1143000" cy="1143000"/>
    <xdr:pic>
      <xdr:nvPicPr>
        <xdr:cNvPr id="590" name="cfac324c-d267-4bbd-b83e-19e9484e52e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5ac384314e549e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593</xdr:row>
      <xdr:rowOff>19050</xdr:rowOff>
    </xdr:from>
    <xdr:ext cx="1143000" cy="1143000"/>
    <xdr:pic>
      <xdr:nvPicPr>
        <xdr:cNvPr id="591" name="615a1d0e-841e-4d4b-ad47-dc350fa9fc2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5b4b2e2b862480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594</xdr:row>
      <xdr:rowOff>19050</xdr:rowOff>
    </xdr:from>
    <xdr:ext cx="1143000" cy="1143000"/>
    <xdr:pic>
      <xdr:nvPicPr>
        <xdr:cNvPr id="592" name="0e5957c5-baac-40bb-a3d3-a237fea1411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8a1cb78116a429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595</xdr:row>
      <xdr:rowOff>19050</xdr:rowOff>
    </xdr:from>
    <xdr:ext cx="1143000" cy="1143000"/>
    <xdr:pic>
      <xdr:nvPicPr>
        <xdr:cNvPr id="593" name="88b533fd-065e-4c1b-a778-b2f7672e981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49081f4ae144e9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596</xdr:row>
      <xdr:rowOff>19050</xdr:rowOff>
    </xdr:from>
    <xdr:ext cx="1143000" cy="1143000"/>
    <xdr:pic>
      <xdr:nvPicPr>
        <xdr:cNvPr id="594" name="df9411e0-78a2-41d4-b962-a4b2243d86d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7eeca93edcf471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597</xdr:row>
      <xdr:rowOff>19050</xdr:rowOff>
    </xdr:from>
    <xdr:ext cx="1143000" cy="1143000"/>
    <xdr:pic>
      <xdr:nvPicPr>
        <xdr:cNvPr id="595" name="a5991f09-6600-4a7b-ab4e-6328fc35bef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65ea737d38f4dc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598</xdr:row>
      <xdr:rowOff>19050</xdr:rowOff>
    </xdr:from>
    <xdr:ext cx="1143000" cy="1143000"/>
    <xdr:pic>
      <xdr:nvPicPr>
        <xdr:cNvPr id="596" name="3e71dab2-eae1-4e3b-a45d-a2f8b76cf35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161b9b504344dd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599</xdr:row>
      <xdr:rowOff>19050</xdr:rowOff>
    </xdr:from>
    <xdr:ext cx="1143000" cy="1143000"/>
    <xdr:pic>
      <xdr:nvPicPr>
        <xdr:cNvPr id="597" name="37af5dcf-bc57-4621-8a3f-b0c0131c97e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478fcd7c3fe417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600</xdr:row>
      <xdr:rowOff>19050</xdr:rowOff>
    </xdr:from>
    <xdr:ext cx="1143000" cy="1143000"/>
    <xdr:pic>
      <xdr:nvPicPr>
        <xdr:cNvPr id="598" name="54ed9e81-d085-4754-a394-3a4db49066f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eb01c6443fd4a1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601</xdr:row>
      <xdr:rowOff>19050</xdr:rowOff>
    </xdr:from>
    <xdr:ext cx="1143000" cy="1143000"/>
    <xdr:pic>
      <xdr:nvPicPr>
        <xdr:cNvPr id="599" name="6e9342ba-d0bd-457e-ba61-6ca14a23c78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63d14dea66a439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602</xdr:row>
      <xdr:rowOff>19050</xdr:rowOff>
    </xdr:from>
    <xdr:ext cx="1143000" cy="1143000"/>
    <xdr:pic>
      <xdr:nvPicPr>
        <xdr:cNvPr id="600" name="47707063-9e38-4f9c-ba13-e04ba96dc86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edca33faaf6459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603</xdr:row>
      <xdr:rowOff>19050</xdr:rowOff>
    </xdr:from>
    <xdr:ext cx="1143000" cy="1143000"/>
    <xdr:pic>
      <xdr:nvPicPr>
        <xdr:cNvPr id="601" name="e1216a9c-a848-416c-ab0d-0c2e66a0ba6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774031c64ff4e5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604</xdr:row>
      <xdr:rowOff>19050</xdr:rowOff>
    </xdr:from>
    <xdr:ext cx="1143000" cy="1143000"/>
    <xdr:pic>
      <xdr:nvPicPr>
        <xdr:cNvPr id="602" name="d50ed96b-68e9-4184-8442-d486a6f39d2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a1dabe8bb494af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605</xdr:row>
      <xdr:rowOff>19050</xdr:rowOff>
    </xdr:from>
    <xdr:ext cx="1143000" cy="1143000"/>
    <xdr:pic>
      <xdr:nvPicPr>
        <xdr:cNvPr id="603" name="907c445a-82d9-4ccf-a1fe-eaabcab8d83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ce6d6cc6ba94de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606</xdr:row>
      <xdr:rowOff>19050</xdr:rowOff>
    </xdr:from>
    <xdr:ext cx="1143000" cy="1143000"/>
    <xdr:pic>
      <xdr:nvPicPr>
        <xdr:cNvPr id="604" name="ebfa2235-90cb-4890-8ad2-af1f2aad73d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fa98c315d9642f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607</xdr:row>
      <xdr:rowOff>19050</xdr:rowOff>
    </xdr:from>
    <xdr:ext cx="1143000" cy="1143000"/>
    <xdr:pic>
      <xdr:nvPicPr>
        <xdr:cNvPr id="605" name="30d504d3-0866-4024-904f-177c79fb1df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7c71a82745d4fd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608</xdr:row>
      <xdr:rowOff>19050</xdr:rowOff>
    </xdr:from>
    <xdr:ext cx="1143000" cy="1143000"/>
    <xdr:pic>
      <xdr:nvPicPr>
        <xdr:cNvPr id="606" name="1d129f2d-8b11-4d10-9260-a6b94867a98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faca7f9a6e14dc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609</xdr:row>
      <xdr:rowOff>19050</xdr:rowOff>
    </xdr:from>
    <xdr:ext cx="1143000" cy="1143000"/>
    <xdr:pic>
      <xdr:nvPicPr>
        <xdr:cNvPr id="607" name="2ea377e2-35d0-4603-a9fa-366ae1ca591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cd1704bc5164c3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610</xdr:row>
      <xdr:rowOff>19050</xdr:rowOff>
    </xdr:from>
    <xdr:ext cx="1143000" cy="1143000"/>
    <xdr:pic>
      <xdr:nvPicPr>
        <xdr:cNvPr id="608" name="8efd8de7-2b1e-4393-9a1a-90079867b0b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a8114e2304242b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611</xdr:row>
      <xdr:rowOff>19050</xdr:rowOff>
    </xdr:from>
    <xdr:ext cx="1143000" cy="1143000"/>
    <xdr:pic>
      <xdr:nvPicPr>
        <xdr:cNvPr id="609" name="c1430b42-8df0-4da2-bfff-4c939bd44cb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23039be64f9406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612</xdr:row>
      <xdr:rowOff>19050</xdr:rowOff>
    </xdr:from>
    <xdr:ext cx="1143000" cy="1143000"/>
    <xdr:pic>
      <xdr:nvPicPr>
        <xdr:cNvPr id="610" name="2afb8c73-6afe-49a6-9b08-ae2ae924917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0f65ca4f8344eb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613</xdr:row>
      <xdr:rowOff>19050</xdr:rowOff>
    </xdr:from>
    <xdr:ext cx="1143000" cy="1143000"/>
    <xdr:pic>
      <xdr:nvPicPr>
        <xdr:cNvPr id="611" name="6d0f3b79-2508-492b-9458-5ee3ef1343a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4fc823702bb404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614</xdr:row>
      <xdr:rowOff>19050</xdr:rowOff>
    </xdr:from>
    <xdr:ext cx="1143000" cy="1143000"/>
    <xdr:pic>
      <xdr:nvPicPr>
        <xdr:cNvPr id="612" name="dee98737-da3e-486e-98e3-a0ebc595ff2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f7367ff23c54cf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615</xdr:row>
      <xdr:rowOff>19050</xdr:rowOff>
    </xdr:from>
    <xdr:ext cx="1143000" cy="1143000"/>
    <xdr:pic>
      <xdr:nvPicPr>
        <xdr:cNvPr id="613" name="128bdb3b-7654-4738-b6fa-ea29f00aa5c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933274556af491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616</xdr:row>
      <xdr:rowOff>19050</xdr:rowOff>
    </xdr:from>
    <xdr:ext cx="1143000" cy="1143000"/>
    <xdr:pic>
      <xdr:nvPicPr>
        <xdr:cNvPr id="614" name="380416d6-f443-4149-8318-45d3fed80bf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c2ad1d2b586488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617</xdr:row>
      <xdr:rowOff>19050</xdr:rowOff>
    </xdr:from>
    <xdr:ext cx="1143000" cy="1143000"/>
    <xdr:pic>
      <xdr:nvPicPr>
        <xdr:cNvPr id="615" name="ba5eacc5-5d43-4617-b81b-40ee1518c01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d8de51c1525412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618</xdr:row>
      <xdr:rowOff>19050</xdr:rowOff>
    </xdr:from>
    <xdr:ext cx="1143000" cy="1143000"/>
    <xdr:pic>
      <xdr:nvPicPr>
        <xdr:cNvPr id="616" name="da240cfe-71c4-4a4d-9b02-75e3a34b827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681c69736f74f6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619</xdr:row>
      <xdr:rowOff>19050</xdr:rowOff>
    </xdr:from>
    <xdr:ext cx="1143000" cy="1143000"/>
    <xdr:pic>
      <xdr:nvPicPr>
        <xdr:cNvPr id="617" name="fec4e76b-75d0-445b-8f48-0e04e694895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b871d14985c459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620</xdr:row>
      <xdr:rowOff>19050</xdr:rowOff>
    </xdr:from>
    <xdr:ext cx="1143000" cy="1143000"/>
    <xdr:pic>
      <xdr:nvPicPr>
        <xdr:cNvPr id="618" name="8198f45d-2254-4ed6-883c-459bef10f29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432345048d6407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621</xdr:row>
      <xdr:rowOff>19050</xdr:rowOff>
    </xdr:from>
    <xdr:ext cx="1143000" cy="1143000"/>
    <xdr:pic>
      <xdr:nvPicPr>
        <xdr:cNvPr id="619" name="2a523f62-df7e-4c10-9cfa-cc13d630412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cfc080674c746c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622</xdr:row>
      <xdr:rowOff>19050</xdr:rowOff>
    </xdr:from>
    <xdr:ext cx="1143000" cy="1143000"/>
    <xdr:pic>
      <xdr:nvPicPr>
        <xdr:cNvPr id="620" name="4d70b70a-1021-4e03-ad10-570bbeac761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1d86b2316704ac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623</xdr:row>
      <xdr:rowOff>19050</xdr:rowOff>
    </xdr:from>
    <xdr:ext cx="1143000" cy="1143000"/>
    <xdr:pic>
      <xdr:nvPicPr>
        <xdr:cNvPr id="621" name="c981276d-8d35-4cd2-9192-625a08af323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7701f7b7230484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624</xdr:row>
      <xdr:rowOff>19050</xdr:rowOff>
    </xdr:from>
    <xdr:ext cx="1143000" cy="1143000"/>
    <xdr:pic>
      <xdr:nvPicPr>
        <xdr:cNvPr id="622" name="8c9fe591-f858-4fc6-ad37-08ce13275e0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fc74a67f8ae43d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625</xdr:row>
      <xdr:rowOff>19050</xdr:rowOff>
    </xdr:from>
    <xdr:ext cx="1143000" cy="1143000"/>
    <xdr:pic>
      <xdr:nvPicPr>
        <xdr:cNvPr id="623" name="802860e9-924b-4aa3-9862-316407173ea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9793d95d48f4b1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626</xdr:row>
      <xdr:rowOff>19050</xdr:rowOff>
    </xdr:from>
    <xdr:ext cx="1143000" cy="1143000"/>
    <xdr:pic>
      <xdr:nvPicPr>
        <xdr:cNvPr id="624" name="06ed3f53-8e2f-4b81-b72d-daa3c2e8cb5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9c1e7b90705424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627</xdr:row>
      <xdr:rowOff>19050</xdr:rowOff>
    </xdr:from>
    <xdr:ext cx="1143000" cy="1143000"/>
    <xdr:pic>
      <xdr:nvPicPr>
        <xdr:cNvPr id="625" name="32b96f37-8767-4e95-93d3-18cb9b4da42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1681d83f34546b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628</xdr:row>
      <xdr:rowOff>19050</xdr:rowOff>
    </xdr:from>
    <xdr:ext cx="1143000" cy="1143000"/>
    <xdr:pic>
      <xdr:nvPicPr>
        <xdr:cNvPr id="626" name="d4624eab-f860-4b4f-8444-f0302061412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5e931571a46438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629</xdr:row>
      <xdr:rowOff>19050</xdr:rowOff>
    </xdr:from>
    <xdr:ext cx="1143000" cy="1143000"/>
    <xdr:pic>
      <xdr:nvPicPr>
        <xdr:cNvPr id="627" name="79c1a1fc-412c-4d83-9426-d281e1729d8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a9e79bd6c8144b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630</xdr:row>
      <xdr:rowOff>19050</xdr:rowOff>
    </xdr:from>
    <xdr:ext cx="1143000" cy="1143000"/>
    <xdr:pic>
      <xdr:nvPicPr>
        <xdr:cNvPr id="628" name="ed2d2dc1-8656-4576-b053-3fb59057891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0f1f266ee5643a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631</xdr:row>
      <xdr:rowOff>19050</xdr:rowOff>
    </xdr:from>
    <xdr:ext cx="1143000" cy="1143000"/>
    <xdr:pic>
      <xdr:nvPicPr>
        <xdr:cNvPr id="629" name="907ef873-3334-45e6-ab9d-f09a5917fcf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6a01b21cd0448a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632</xdr:row>
      <xdr:rowOff>19050</xdr:rowOff>
    </xdr:from>
    <xdr:ext cx="1143000" cy="1143000"/>
    <xdr:pic>
      <xdr:nvPicPr>
        <xdr:cNvPr id="630" name="ffb811da-73fb-47b9-bb85-aa3a7cef98a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11f37773c8b4a3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633</xdr:row>
      <xdr:rowOff>19050</xdr:rowOff>
    </xdr:from>
    <xdr:ext cx="1143000" cy="1143000"/>
    <xdr:pic>
      <xdr:nvPicPr>
        <xdr:cNvPr id="631" name="2f49c855-2383-4d81-b206-c7c1e2d8b42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acb1bb0ca3e4be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634</xdr:row>
      <xdr:rowOff>19050</xdr:rowOff>
    </xdr:from>
    <xdr:ext cx="1143000" cy="1143000"/>
    <xdr:pic>
      <xdr:nvPicPr>
        <xdr:cNvPr id="632" name="bd5c2133-c60a-4026-8b10-bb77871c757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80ea52bc6b8455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635</xdr:row>
      <xdr:rowOff>19050</xdr:rowOff>
    </xdr:from>
    <xdr:ext cx="1143000" cy="1143000"/>
    <xdr:pic>
      <xdr:nvPicPr>
        <xdr:cNvPr id="633" name="69f9cbd9-c8ec-44f8-9c97-c1bdb30a4a6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648901a96994fd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636</xdr:row>
      <xdr:rowOff>19050</xdr:rowOff>
    </xdr:from>
    <xdr:ext cx="1143000" cy="1143000"/>
    <xdr:pic>
      <xdr:nvPicPr>
        <xdr:cNvPr id="634" name="1d068a92-bb73-49aa-a303-8b2536fb77a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f6c508fcf3a42f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637</xdr:row>
      <xdr:rowOff>19050</xdr:rowOff>
    </xdr:from>
    <xdr:ext cx="1143000" cy="1143000"/>
    <xdr:pic>
      <xdr:nvPicPr>
        <xdr:cNvPr id="635" name="99c6a267-dd69-41c7-96a3-1bc2c955a7b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66961aacc7943a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638</xdr:row>
      <xdr:rowOff>19050</xdr:rowOff>
    </xdr:from>
    <xdr:ext cx="1143000" cy="1143000"/>
    <xdr:pic>
      <xdr:nvPicPr>
        <xdr:cNvPr id="636" name="428df155-023b-4395-a00d-87933ab63d0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f8a6f25a9c246d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639</xdr:row>
      <xdr:rowOff>19050</xdr:rowOff>
    </xdr:from>
    <xdr:ext cx="1143000" cy="1143000"/>
    <xdr:pic>
      <xdr:nvPicPr>
        <xdr:cNvPr id="637" name="1a1fa429-cc81-4f0f-98ce-4e23cdcbf47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e1231e3c2ae49f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640</xdr:row>
      <xdr:rowOff>19050</xdr:rowOff>
    </xdr:from>
    <xdr:ext cx="1143000" cy="1143000"/>
    <xdr:pic>
      <xdr:nvPicPr>
        <xdr:cNvPr id="638" name="3760a805-0c88-428b-8581-c6a3746bf1e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ffdb0dabd694b9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641</xdr:row>
      <xdr:rowOff>19050</xdr:rowOff>
    </xdr:from>
    <xdr:ext cx="1143000" cy="1143000"/>
    <xdr:pic>
      <xdr:nvPicPr>
        <xdr:cNvPr id="639" name="7f894c3f-f048-4c64-ae95-b0eab09c7b1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bc01c91e5b140c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642</xdr:row>
      <xdr:rowOff>19050</xdr:rowOff>
    </xdr:from>
    <xdr:ext cx="1143000" cy="1143000"/>
    <xdr:pic>
      <xdr:nvPicPr>
        <xdr:cNvPr id="640" name="3ab5416a-d802-46b1-be1e-5e651c33e43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c08defe24e8409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643</xdr:row>
      <xdr:rowOff>19050</xdr:rowOff>
    </xdr:from>
    <xdr:ext cx="1143000" cy="1143000"/>
    <xdr:pic>
      <xdr:nvPicPr>
        <xdr:cNvPr id="641" name="f205db4e-3991-4aff-a2fa-b8a856ce4fc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9888b9dba89467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644</xdr:row>
      <xdr:rowOff>19050</xdr:rowOff>
    </xdr:from>
    <xdr:ext cx="1143000" cy="1143000"/>
    <xdr:pic>
      <xdr:nvPicPr>
        <xdr:cNvPr id="642" name="556c3c7b-bc65-4175-812e-dd7f422e028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27e99f1b59c4d4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645</xdr:row>
      <xdr:rowOff>19050</xdr:rowOff>
    </xdr:from>
    <xdr:ext cx="1143000" cy="1143000"/>
    <xdr:pic>
      <xdr:nvPicPr>
        <xdr:cNvPr id="643" name="493abc4a-c6dc-435a-b571-61aee5d0f2f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6cf783b86e140b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646</xdr:row>
      <xdr:rowOff>19050</xdr:rowOff>
    </xdr:from>
    <xdr:ext cx="1143000" cy="1143000"/>
    <xdr:pic>
      <xdr:nvPicPr>
        <xdr:cNvPr id="644" name="4432f063-0b4c-4159-8e15-f4999621e03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0ab2e86dfb9449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647</xdr:row>
      <xdr:rowOff>19050</xdr:rowOff>
    </xdr:from>
    <xdr:ext cx="1143000" cy="1143000"/>
    <xdr:pic>
      <xdr:nvPicPr>
        <xdr:cNvPr id="645" name="ad22925e-8c7d-4298-a0d2-6ec96f5ebdb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6bece696a654c7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648</xdr:row>
      <xdr:rowOff>19050</xdr:rowOff>
    </xdr:from>
    <xdr:ext cx="1143000" cy="1143000"/>
    <xdr:pic>
      <xdr:nvPicPr>
        <xdr:cNvPr id="646" name="ac4714a4-0e1f-402b-b88c-f77f2372ca3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d63244433de4a9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649</xdr:row>
      <xdr:rowOff>19050</xdr:rowOff>
    </xdr:from>
    <xdr:ext cx="1143000" cy="1143000"/>
    <xdr:pic>
      <xdr:nvPicPr>
        <xdr:cNvPr id="647" name="0b59f868-e2da-4025-8b27-7b900b6ae4c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3b52c0773d5482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650</xdr:row>
      <xdr:rowOff>19050</xdr:rowOff>
    </xdr:from>
    <xdr:ext cx="1143000" cy="1143000"/>
    <xdr:pic>
      <xdr:nvPicPr>
        <xdr:cNvPr id="648" name="697de214-5bab-46ed-9619-c968685bcd8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bc3d8af5dcd468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651</xdr:row>
      <xdr:rowOff>19050</xdr:rowOff>
    </xdr:from>
    <xdr:ext cx="1143000" cy="1143000"/>
    <xdr:pic>
      <xdr:nvPicPr>
        <xdr:cNvPr id="649" name="69a30c5b-9249-4908-a586-0899415a319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f6365c8ae3c4fa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652</xdr:row>
      <xdr:rowOff>19050</xdr:rowOff>
    </xdr:from>
    <xdr:ext cx="1143000" cy="1143000"/>
    <xdr:pic>
      <xdr:nvPicPr>
        <xdr:cNvPr id="650" name="1830faa6-b390-4030-9130-c142dabd993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e16cd40c5a94f1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653</xdr:row>
      <xdr:rowOff>19050</xdr:rowOff>
    </xdr:from>
    <xdr:ext cx="1143000" cy="1143000"/>
    <xdr:pic>
      <xdr:nvPicPr>
        <xdr:cNvPr id="651" name="ba1882cc-eae5-48c8-80b6-aa3051c0bef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d7ea087ddd540b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654</xdr:row>
      <xdr:rowOff>19050</xdr:rowOff>
    </xdr:from>
    <xdr:ext cx="1143000" cy="1143000"/>
    <xdr:pic>
      <xdr:nvPicPr>
        <xdr:cNvPr id="652" name="3136e3dd-e037-46e2-8d01-127591b575c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b9edf7053ae49f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655</xdr:row>
      <xdr:rowOff>19050</xdr:rowOff>
    </xdr:from>
    <xdr:ext cx="1143000" cy="1143000"/>
    <xdr:pic>
      <xdr:nvPicPr>
        <xdr:cNvPr id="653" name="e1ce6f0b-23c7-45c1-bcab-f4c9dc95e18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7f1f8a15286409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656</xdr:row>
      <xdr:rowOff>19050</xdr:rowOff>
    </xdr:from>
    <xdr:ext cx="1143000" cy="1143000"/>
    <xdr:pic>
      <xdr:nvPicPr>
        <xdr:cNvPr id="654" name="421887d2-0604-4df7-a230-c8fb7620225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513e1c9fc954d5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657</xdr:row>
      <xdr:rowOff>19050</xdr:rowOff>
    </xdr:from>
    <xdr:ext cx="1143000" cy="1143000"/>
    <xdr:pic>
      <xdr:nvPicPr>
        <xdr:cNvPr id="655" name="5d29dded-ebf1-46e9-b4f3-e97124617ab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48796b6f6214bd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658</xdr:row>
      <xdr:rowOff>19050</xdr:rowOff>
    </xdr:from>
    <xdr:ext cx="1143000" cy="1143000"/>
    <xdr:pic>
      <xdr:nvPicPr>
        <xdr:cNvPr id="656" name="3c91a732-dd73-4472-b5ee-c4221c6d5db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58bbc919d1e4c2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659</xdr:row>
      <xdr:rowOff>19050</xdr:rowOff>
    </xdr:from>
    <xdr:ext cx="1143000" cy="1143000"/>
    <xdr:pic>
      <xdr:nvPicPr>
        <xdr:cNvPr id="657" name="e443e7d4-fadc-440b-b247-e7bbad0ecd0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019946e7ef6457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660</xdr:row>
      <xdr:rowOff>19050</xdr:rowOff>
    </xdr:from>
    <xdr:ext cx="1143000" cy="1143000"/>
    <xdr:pic>
      <xdr:nvPicPr>
        <xdr:cNvPr id="658" name="408e9d06-3f19-4988-b83f-9cca5504813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b603247894b44b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661</xdr:row>
      <xdr:rowOff>19050</xdr:rowOff>
    </xdr:from>
    <xdr:ext cx="1143000" cy="1143000"/>
    <xdr:pic>
      <xdr:nvPicPr>
        <xdr:cNvPr id="659" name="f8c79804-b813-4248-9e30-4ecd9a49fe6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8a108b19fec413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662</xdr:row>
      <xdr:rowOff>19050</xdr:rowOff>
    </xdr:from>
    <xdr:ext cx="1143000" cy="1143000"/>
    <xdr:pic>
      <xdr:nvPicPr>
        <xdr:cNvPr id="660" name="3e6ca51f-ab24-44f6-8e2f-dffffd9572a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a3a9ad215484e7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663</xdr:row>
      <xdr:rowOff>19050</xdr:rowOff>
    </xdr:from>
    <xdr:ext cx="1143000" cy="1143000"/>
    <xdr:pic>
      <xdr:nvPicPr>
        <xdr:cNvPr id="661" name="82c9d337-8fa4-4cea-8372-319f737319b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b7634e951c54af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664</xdr:row>
      <xdr:rowOff>19050</xdr:rowOff>
    </xdr:from>
    <xdr:ext cx="1143000" cy="1143000"/>
    <xdr:pic>
      <xdr:nvPicPr>
        <xdr:cNvPr id="662" name="22dfc791-a913-4567-974a-4704a076392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6eb5d3089c9422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665</xdr:row>
      <xdr:rowOff>19050</xdr:rowOff>
    </xdr:from>
    <xdr:ext cx="1143000" cy="1143000"/>
    <xdr:pic>
      <xdr:nvPicPr>
        <xdr:cNvPr id="663" name="f6a338d7-2914-43eb-ba26-d8f400b307f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e96a8b0c7a540b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666</xdr:row>
      <xdr:rowOff>19050</xdr:rowOff>
    </xdr:from>
    <xdr:ext cx="1143000" cy="1143000"/>
    <xdr:pic>
      <xdr:nvPicPr>
        <xdr:cNvPr id="664" name="585bc143-4997-40b7-bd91-1cbc8de11e9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5366d16d24544f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667</xdr:row>
      <xdr:rowOff>19050</xdr:rowOff>
    </xdr:from>
    <xdr:ext cx="1143000" cy="1143000"/>
    <xdr:pic>
      <xdr:nvPicPr>
        <xdr:cNvPr id="665" name="ca11249e-f269-486c-9ff4-ba63237d057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27fa1878ac6458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668</xdr:row>
      <xdr:rowOff>19050</xdr:rowOff>
    </xdr:from>
    <xdr:ext cx="1143000" cy="1143000"/>
    <xdr:pic>
      <xdr:nvPicPr>
        <xdr:cNvPr id="666" name="ddeee654-f0e6-4983-bbdc-af9ce245b13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9408b3d9f964e9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669</xdr:row>
      <xdr:rowOff>19050</xdr:rowOff>
    </xdr:from>
    <xdr:ext cx="1143000" cy="1143000"/>
    <xdr:pic>
      <xdr:nvPicPr>
        <xdr:cNvPr id="667" name="938e6e05-2b7e-4bb3-ade8-72090b8ef05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07c2682d42f42e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670</xdr:row>
      <xdr:rowOff>19050</xdr:rowOff>
    </xdr:from>
    <xdr:ext cx="1143000" cy="1143000"/>
    <xdr:pic>
      <xdr:nvPicPr>
        <xdr:cNvPr id="668" name="a5704066-4732-4827-b37d-ad7a5a116ff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5794287415a4b4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671</xdr:row>
      <xdr:rowOff>19050</xdr:rowOff>
    </xdr:from>
    <xdr:ext cx="1143000" cy="1143000"/>
    <xdr:pic>
      <xdr:nvPicPr>
        <xdr:cNvPr id="669" name="e0d35ea6-cdeb-4c9e-b6b0-44905a75b24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e6334c36c11483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672</xdr:row>
      <xdr:rowOff>19050</xdr:rowOff>
    </xdr:from>
    <xdr:ext cx="1143000" cy="1143000"/>
    <xdr:pic>
      <xdr:nvPicPr>
        <xdr:cNvPr id="670" name="0087b3a9-267c-4942-8621-d519d98a5e3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fee1ecb6954485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673</xdr:row>
      <xdr:rowOff>19050</xdr:rowOff>
    </xdr:from>
    <xdr:ext cx="1143000" cy="1143000"/>
    <xdr:pic>
      <xdr:nvPicPr>
        <xdr:cNvPr id="671" name="e0fc56a6-0e22-4a7c-b317-4cc9d118eb6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04f9a273b0a43d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674</xdr:row>
      <xdr:rowOff>19050</xdr:rowOff>
    </xdr:from>
    <xdr:ext cx="1143000" cy="1143000"/>
    <xdr:pic>
      <xdr:nvPicPr>
        <xdr:cNvPr id="672" name="4322dd4b-b4d0-43f4-bed0-27373b913ba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fdffdb8eb864d0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675</xdr:row>
      <xdr:rowOff>19050</xdr:rowOff>
    </xdr:from>
    <xdr:ext cx="1143000" cy="1143000"/>
    <xdr:pic>
      <xdr:nvPicPr>
        <xdr:cNvPr id="673" name="4c891955-ab1c-40e3-b0ec-38c46a0d959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da9f8a3c6fc463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676</xdr:row>
      <xdr:rowOff>19050</xdr:rowOff>
    </xdr:from>
    <xdr:ext cx="1143000" cy="1143000"/>
    <xdr:pic>
      <xdr:nvPicPr>
        <xdr:cNvPr id="674" name="e0ecf861-ede0-43a9-a6b8-2c8671228c3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408152e5c98447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677</xdr:row>
      <xdr:rowOff>19050</xdr:rowOff>
    </xdr:from>
    <xdr:ext cx="1143000" cy="1143000"/>
    <xdr:pic>
      <xdr:nvPicPr>
        <xdr:cNvPr id="675" name="1dff3079-3b52-4163-8c04-7c5f54232c6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cba9e70bab7450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678</xdr:row>
      <xdr:rowOff>19050</xdr:rowOff>
    </xdr:from>
    <xdr:ext cx="1143000" cy="1143000"/>
    <xdr:pic>
      <xdr:nvPicPr>
        <xdr:cNvPr id="676" name="5bc929aa-6117-400a-ba80-8967c373484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7ccf7eba51d43e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679</xdr:row>
      <xdr:rowOff>19050</xdr:rowOff>
    </xdr:from>
    <xdr:ext cx="1143000" cy="1143000"/>
    <xdr:pic>
      <xdr:nvPicPr>
        <xdr:cNvPr id="677" name="65bd93b6-010d-4e59-88e7-3580482d723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795317ec095435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680</xdr:row>
      <xdr:rowOff>19050</xdr:rowOff>
    </xdr:from>
    <xdr:ext cx="1143000" cy="1143000"/>
    <xdr:pic>
      <xdr:nvPicPr>
        <xdr:cNvPr id="678" name="80177842-bf83-4d53-84bc-3615596d6e3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58e2e04d8da4ac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681</xdr:row>
      <xdr:rowOff>19050</xdr:rowOff>
    </xdr:from>
    <xdr:ext cx="1143000" cy="1143000"/>
    <xdr:pic>
      <xdr:nvPicPr>
        <xdr:cNvPr id="679" name="5c8ff683-a7ca-4e06-8d18-8f1c1903c45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b59bd5169944d8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682</xdr:row>
      <xdr:rowOff>19050</xdr:rowOff>
    </xdr:from>
    <xdr:ext cx="1143000" cy="1143000"/>
    <xdr:pic>
      <xdr:nvPicPr>
        <xdr:cNvPr id="680" name="dad6dee5-e9c2-43d4-a260-40b8297424c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be7268000d244f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683</xdr:row>
      <xdr:rowOff>19050</xdr:rowOff>
    </xdr:from>
    <xdr:ext cx="1143000" cy="1143000"/>
    <xdr:pic>
      <xdr:nvPicPr>
        <xdr:cNvPr id="681" name="d1255ca2-bc75-4409-98cd-89d1c4e0b4f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c5f5ddcebb54c7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684</xdr:row>
      <xdr:rowOff>19050</xdr:rowOff>
    </xdr:from>
    <xdr:ext cx="1143000" cy="1143000"/>
    <xdr:pic>
      <xdr:nvPicPr>
        <xdr:cNvPr id="682" name="43543cc5-1071-462c-a70c-fe1fb3adb5d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3a8b3c8e13f4de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685</xdr:row>
      <xdr:rowOff>19050</xdr:rowOff>
    </xdr:from>
    <xdr:ext cx="1143000" cy="1143000"/>
    <xdr:pic>
      <xdr:nvPicPr>
        <xdr:cNvPr id="683" name="c93369bd-0d2a-46b2-a51c-a1267bce032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f7dbf186e63419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686</xdr:row>
      <xdr:rowOff>19050</xdr:rowOff>
    </xdr:from>
    <xdr:ext cx="1143000" cy="1143000"/>
    <xdr:pic>
      <xdr:nvPicPr>
        <xdr:cNvPr id="684" name="9ab1e2fa-364b-455b-b824-407601af69d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9528f11bd3e42e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687</xdr:row>
      <xdr:rowOff>19050</xdr:rowOff>
    </xdr:from>
    <xdr:ext cx="1143000" cy="1143000"/>
    <xdr:pic>
      <xdr:nvPicPr>
        <xdr:cNvPr id="685" name="b5a9c671-ef82-421f-8e85-493fed77a40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6d12ab2e8ea4b2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688</xdr:row>
      <xdr:rowOff>19050</xdr:rowOff>
    </xdr:from>
    <xdr:ext cx="1143000" cy="1143000"/>
    <xdr:pic>
      <xdr:nvPicPr>
        <xdr:cNvPr id="686" name="902081b1-3776-449e-a63d-27240ed4857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9e9ea1c10bd479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689</xdr:row>
      <xdr:rowOff>19050</xdr:rowOff>
    </xdr:from>
    <xdr:ext cx="1143000" cy="1143000"/>
    <xdr:pic>
      <xdr:nvPicPr>
        <xdr:cNvPr id="687" name="a9706498-4fd3-43ac-9373-9e79035c28b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6f962fe34324b7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690</xdr:row>
      <xdr:rowOff>19050</xdr:rowOff>
    </xdr:from>
    <xdr:ext cx="1143000" cy="1143000"/>
    <xdr:pic>
      <xdr:nvPicPr>
        <xdr:cNvPr id="688" name="0236a8f5-9604-4031-ae77-5ea4337a454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5b843482b7940a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691</xdr:row>
      <xdr:rowOff>19050</xdr:rowOff>
    </xdr:from>
    <xdr:ext cx="1143000" cy="1143000"/>
    <xdr:pic>
      <xdr:nvPicPr>
        <xdr:cNvPr id="689" name="ea835ffc-028f-4694-a94c-d1879954ce5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062edef596e4a4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692</xdr:row>
      <xdr:rowOff>19050</xdr:rowOff>
    </xdr:from>
    <xdr:ext cx="1143000" cy="1143000"/>
    <xdr:pic>
      <xdr:nvPicPr>
        <xdr:cNvPr id="690" name="74294bdd-ce38-440a-8a28-a4984738c24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9d3104f69d249a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693</xdr:row>
      <xdr:rowOff>19050</xdr:rowOff>
    </xdr:from>
    <xdr:ext cx="1143000" cy="1143000"/>
    <xdr:pic>
      <xdr:nvPicPr>
        <xdr:cNvPr id="691" name="4cdca461-3eaf-4d0b-bb60-e0ba001eccc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55776d646e74e7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694</xdr:row>
      <xdr:rowOff>19050</xdr:rowOff>
    </xdr:from>
    <xdr:ext cx="1143000" cy="1143000"/>
    <xdr:pic>
      <xdr:nvPicPr>
        <xdr:cNvPr id="692" name="27a46173-c9ea-4d1c-a0c5-19e8e2382eb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ef05561cfaf464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695</xdr:row>
      <xdr:rowOff>19050</xdr:rowOff>
    </xdr:from>
    <xdr:ext cx="1143000" cy="1143000"/>
    <xdr:pic>
      <xdr:nvPicPr>
        <xdr:cNvPr id="693" name="613b1421-33b3-47b6-9c10-a6d968be9c7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7e736bc2662498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696</xdr:row>
      <xdr:rowOff>19050</xdr:rowOff>
    </xdr:from>
    <xdr:ext cx="1143000" cy="1143000"/>
    <xdr:pic>
      <xdr:nvPicPr>
        <xdr:cNvPr id="694" name="3b296606-693a-499c-885d-5f8b0b6746c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4bb63445f164d0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697</xdr:row>
      <xdr:rowOff>19050</xdr:rowOff>
    </xdr:from>
    <xdr:ext cx="1143000" cy="1143000"/>
    <xdr:pic>
      <xdr:nvPicPr>
        <xdr:cNvPr id="695" name="dcd0250b-ed28-4989-82ed-049a6bfb5e5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0b44b2eaf7647b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698</xdr:row>
      <xdr:rowOff>19050</xdr:rowOff>
    </xdr:from>
    <xdr:ext cx="1143000" cy="1143000"/>
    <xdr:pic>
      <xdr:nvPicPr>
        <xdr:cNvPr id="696" name="43471661-fc50-4d28-a09a-826704d1bb6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ab5ed5e3dea4f7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699</xdr:row>
      <xdr:rowOff>19050</xdr:rowOff>
    </xdr:from>
    <xdr:ext cx="1143000" cy="1143000"/>
    <xdr:pic>
      <xdr:nvPicPr>
        <xdr:cNvPr id="697" name="414b36eb-f67d-4258-8dcd-07a38f4181e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c8a7d467d3a4f7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700</xdr:row>
      <xdr:rowOff>19050</xdr:rowOff>
    </xdr:from>
    <xdr:ext cx="1143000" cy="1143000"/>
    <xdr:pic>
      <xdr:nvPicPr>
        <xdr:cNvPr id="698" name="3c0aaf4a-87ed-484b-9263-708427312f9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9fb03a57fd246d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701</xdr:row>
      <xdr:rowOff>19050</xdr:rowOff>
    </xdr:from>
    <xdr:ext cx="1143000" cy="1143000"/>
    <xdr:pic>
      <xdr:nvPicPr>
        <xdr:cNvPr id="699" name="61a10e26-3aa3-4e8e-aa9c-2b765321fa1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7bdb9e07bb24bb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702</xdr:row>
      <xdr:rowOff>19050</xdr:rowOff>
    </xdr:from>
    <xdr:ext cx="1143000" cy="1143000"/>
    <xdr:pic>
      <xdr:nvPicPr>
        <xdr:cNvPr id="700" name="7a9c2028-5f53-401b-9402-d7823f96343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03820993a4e431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703</xdr:row>
      <xdr:rowOff>19050</xdr:rowOff>
    </xdr:from>
    <xdr:ext cx="1143000" cy="1143000"/>
    <xdr:pic>
      <xdr:nvPicPr>
        <xdr:cNvPr id="701" name="ce407321-f536-4a53-8b38-dfbc29bf864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c10b6ed78374d8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704</xdr:row>
      <xdr:rowOff>19050</xdr:rowOff>
    </xdr:from>
    <xdr:ext cx="1143000" cy="1143000"/>
    <xdr:pic>
      <xdr:nvPicPr>
        <xdr:cNvPr id="702" name="7c000be5-c394-4c95-b2ec-03babccef68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7c66e75ff734eb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705</xdr:row>
      <xdr:rowOff>19050</xdr:rowOff>
    </xdr:from>
    <xdr:ext cx="1143000" cy="1143000"/>
    <xdr:pic>
      <xdr:nvPicPr>
        <xdr:cNvPr id="703" name="c93462e8-fe21-4dc0-8727-5745a2ebe36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b9d276f61d14f4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706</xdr:row>
      <xdr:rowOff>19050</xdr:rowOff>
    </xdr:from>
    <xdr:ext cx="1143000" cy="1143000"/>
    <xdr:pic>
      <xdr:nvPicPr>
        <xdr:cNvPr id="704" name="a7e133a0-60dd-4ec4-b69e-594d88051ef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f18fb4d90a84e4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707</xdr:row>
      <xdr:rowOff>19050</xdr:rowOff>
    </xdr:from>
    <xdr:ext cx="1143000" cy="1143000"/>
    <xdr:pic>
      <xdr:nvPicPr>
        <xdr:cNvPr id="705" name="1cacb990-d9a8-4a6f-b92b-6a126984e4c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600ccc135454c7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708</xdr:row>
      <xdr:rowOff>19050</xdr:rowOff>
    </xdr:from>
    <xdr:ext cx="1143000" cy="1143000"/>
    <xdr:pic>
      <xdr:nvPicPr>
        <xdr:cNvPr id="706" name="e7cb2bf1-508d-434d-9690-630784805cd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1a88c6ee211479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709</xdr:row>
      <xdr:rowOff>19050</xdr:rowOff>
    </xdr:from>
    <xdr:ext cx="1143000" cy="1143000"/>
    <xdr:pic>
      <xdr:nvPicPr>
        <xdr:cNvPr id="707" name="57bf6c30-60ea-4709-b19f-b549bf27514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f8ed6ad21de429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710</xdr:row>
      <xdr:rowOff>19050</xdr:rowOff>
    </xdr:from>
    <xdr:ext cx="1143000" cy="1143000"/>
    <xdr:pic>
      <xdr:nvPicPr>
        <xdr:cNvPr id="708" name="6601a32e-3210-4512-9192-e0d82f830c2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a6e6e4d6fd045f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711</xdr:row>
      <xdr:rowOff>19050</xdr:rowOff>
    </xdr:from>
    <xdr:ext cx="1143000" cy="1143000"/>
    <xdr:pic>
      <xdr:nvPicPr>
        <xdr:cNvPr id="709" name="784d8220-1009-45de-8176-7e7a35acb75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294a1c8837b446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712</xdr:row>
      <xdr:rowOff>19050</xdr:rowOff>
    </xdr:from>
    <xdr:ext cx="1143000" cy="1143000"/>
    <xdr:pic>
      <xdr:nvPicPr>
        <xdr:cNvPr id="710" name="5084228c-1a91-4723-818f-5f36099a30a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b583f79d4e84fd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713</xdr:row>
      <xdr:rowOff>19050</xdr:rowOff>
    </xdr:from>
    <xdr:ext cx="1143000" cy="1143000"/>
    <xdr:pic>
      <xdr:nvPicPr>
        <xdr:cNvPr id="711" name="6ac936e4-2177-4d6a-8fd0-f4ecc9bbea4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137b5550ad440d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714</xdr:row>
      <xdr:rowOff>19050</xdr:rowOff>
    </xdr:from>
    <xdr:ext cx="1143000" cy="1143000"/>
    <xdr:pic>
      <xdr:nvPicPr>
        <xdr:cNvPr id="712" name="8f27436f-a825-44f0-9f66-a71e7e69959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016ac9d53cf486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715</xdr:row>
      <xdr:rowOff>19050</xdr:rowOff>
    </xdr:from>
    <xdr:ext cx="1143000" cy="1143000"/>
    <xdr:pic>
      <xdr:nvPicPr>
        <xdr:cNvPr id="713" name="10d91020-942d-42a3-8ab3-66d658c978b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4a2e0a2d1134f5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716</xdr:row>
      <xdr:rowOff>19050</xdr:rowOff>
    </xdr:from>
    <xdr:ext cx="1143000" cy="1143000"/>
    <xdr:pic>
      <xdr:nvPicPr>
        <xdr:cNvPr id="714" name="4ec34b81-6fb8-46cd-af40-96e449d3dc4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21c5f92f2794f5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717</xdr:row>
      <xdr:rowOff>19050</xdr:rowOff>
    </xdr:from>
    <xdr:ext cx="1143000" cy="1143000"/>
    <xdr:pic>
      <xdr:nvPicPr>
        <xdr:cNvPr id="715" name="a3c66e88-c396-4979-b4fb-d58f5dc3443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18bd3444ae644e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718</xdr:row>
      <xdr:rowOff>19050</xdr:rowOff>
    </xdr:from>
    <xdr:ext cx="1143000" cy="1143000"/>
    <xdr:pic>
      <xdr:nvPicPr>
        <xdr:cNvPr id="716" name="7d1d0a2e-a809-4b6e-841a-f5dd1edce14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5047bd3f6c34f7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719</xdr:row>
      <xdr:rowOff>19050</xdr:rowOff>
    </xdr:from>
    <xdr:ext cx="1143000" cy="1143000"/>
    <xdr:pic>
      <xdr:nvPicPr>
        <xdr:cNvPr id="717" name="cbb86157-d916-4a03-af76-dd89b169b78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a2c266db5a6468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720</xdr:row>
      <xdr:rowOff>19050</xdr:rowOff>
    </xdr:from>
    <xdr:ext cx="1143000" cy="1143000"/>
    <xdr:pic>
      <xdr:nvPicPr>
        <xdr:cNvPr id="718" name="824d13a6-cf30-476e-82b6-81d02f7bcda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ebd19eda4b8481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721</xdr:row>
      <xdr:rowOff>19050</xdr:rowOff>
    </xdr:from>
    <xdr:ext cx="1143000" cy="1143000"/>
    <xdr:pic>
      <xdr:nvPicPr>
        <xdr:cNvPr id="719" name="1152965e-3af4-4497-8206-21bb28e3910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ff86f1d905d4b4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722</xdr:row>
      <xdr:rowOff>19050</xdr:rowOff>
    </xdr:from>
    <xdr:ext cx="1143000" cy="1143000"/>
    <xdr:pic>
      <xdr:nvPicPr>
        <xdr:cNvPr id="720" name="7fc489ff-9d86-4935-82ef-5d83f4d422b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98d0832d0d4447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723</xdr:row>
      <xdr:rowOff>19050</xdr:rowOff>
    </xdr:from>
    <xdr:ext cx="1143000" cy="1143000"/>
    <xdr:pic>
      <xdr:nvPicPr>
        <xdr:cNvPr id="721" name="6f84ef95-7679-4041-99f6-55bd12cb369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ebfebf9810e494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724</xdr:row>
      <xdr:rowOff>19050</xdr:rowOff>
    </xdr:from>
    <xdr:ext cx="1143000" cy="1143000"/>
    <xdr:pic>
      <xdr:nvPicPr>
        <xdr:cNvPr id="722" name="320c778c-e292-413c-872f-c6db2097f4f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b16140d05d54f4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725</xdr:row>
      <xdr:rowOff>19050</xdr:rowOff>
    </xdr:from>
    <xdr:ext cx="1143000" cy="1143000"/>
    <xdr:pic>
      <xdr:nvPicPr>
        <xdr:cNvPr id="723" name="f7f5f088-e6ea-4c55-8993-24b72a62c5c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16e353d58e74e4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726</xdr:row>
      <xdr:rowOff>19050</xdr:rowOff>
    </xdr:from>
    <xdr:ext cx="1143000" cy="1143000"/>
    <xdr:pic>
      <xdr:nvPicPr>
        <xdr:cNvPr id="724" name="51b3cbf1-46af-4508-b7ad-4b055d9cb42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a7a2d81b45748f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727</xdr:row>
      <xdr:rowOff>19050</xdr:rowOff>
    </xdr:from>
    <xdr:ext cx="1143000" cy="1143000"/>
    <xdr:pic>
      <xdr:nvPicPr>
        <xdr:cNvPr id="725" name="04d843a1-b85f-4f31-9dfb-257a99ed098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728e54d9581499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728</xdr:row>
      <xdr:rowOff>19050</xdr:rowOff>
    </xdr:from>
    <xdr:ext cx="1143000" cy="1143000"/>
    <xdr:pic>
      <xdr:nvPicPr>
        <xdr:cNvPr id="726" name="e6211c8f-df30-47b9-94cd-e6e39e4f891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2cef94fa4d743f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729</xdr:row>
      <xdr:rowOff>19050</xdr:rowOff>
    </xdr:from>
    <xdr:ext cx="1143000" cy="1143000"/>
    <xdr:pic>
      <xdr:nvPicPr>
        <xdr:cNvPr id="727" name="bebb96ad-8a41-4027-b597-927ab2233a5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b1892decb824d6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730</xdr:row>
      <xdr:rowOff>19050</xdr:rowOff>
    </xdr:from>
    <xdr:ext cx="1143000" cy="1143000"/>
    <xdr:pic>
      <xdr:nvPicPr>
        <xdr:cNvPr id="728" name="d4f75e06-a9f2-4747-8ab1-35c8120b1f3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87fc5b39be74e7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731</xdr:row>
      <xdr:rowOff>19050</xdr:rowOff>
    </xdr:from>
    <xdr:ext cx="1143000" cy="1143000"/>
    <xdr:pic>
      <xdr:nvPicPr>
        <xdr:cNvPr id="729" name="6b4ab9a1-da76-4d3f-b6ad-1b4c2d92d14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50ce64dce504cc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732</xdr:row>
      <xdr:rowOff>19050</xdr:rowOff>
    </xdr:from>
    <xdr:ext cx="1143000" cy="1143000"/>
    <xdr:pic>
      <xdr:nvPicPr>
        <xdr:cNvPr id="730" name="5d1c6ba0-e7d2-4af1-8f74-aa545b1b7ff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51efb2811634a7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733</xdr:row>
      <xdr:rowOff>19050</xdr:rowOff>
    </xdr:from>
    <xdr:ext cx="1143000" cy="1143000"/>
    <xdr:pic>
      <xdr:nvPicPr>
        <xdr:cNvPr id="731" name="dafd8764-008f-40e5-a680-e10f8cf090e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16fa5b63d63471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734</xdr:row>
      <xdr:rowOff>19050</xdr:rowOff>
    </xdr:from>
    <xdr:ext cx="1143000" cy="1143000"/>
    <xdr:pic>
      <xdr:nvPicPr>
        <xdr:cNvPr id="732" name="78c74b4d-daf7-4470-9c76-29cf1ece4c0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790fb6dad394ec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735</xdr:row>
      <xdr:rowOff>19050</xdr:rowOff>
    </xdr:from>
    <xdr:ext cx="1143000" cy="1143000"/>
    <xdr:pic>
      <xdr:nvPicPr>
        <xdr:cNvPr id="733" name="ed1b2c16-2f9b-492c-aa14-ba23dde85f4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7ee8d75e1ca496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736</xdr:row>
      <xdr:rowOff>19050</xdr:rowOff>
    </xdr:from>
    <xdr:ext cx="1143000" cy="1143000"/>
    <xdr:pic>
      <xdr:nvPicPr>
        <xdr:cNvPr id="734" name="ae6317ab-b88e-4577-9b67-67230b39e51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b8ebe10775447a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737</xdr:row>
      <xdr:rowOff>19050</xdr:rowOff>
    </xdr:from>
    <xdr:ext cx="1143000" cy="1143000"/>
    <xdr:pic>
      <xdr:nvPicPr>
        <xdr:cNvPr id="735" name="ad8beb49-75af-420c-aa4b-6fb698f9b1a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4c20b887f77498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738</xdr:row>
      <xdr:rowOff>19050</xdr:rowOff>
    </xdr:from>
    <xdr:ext cx="1143000" cy="1143000"/>
    <xdr:pic>
      <xdr:nvPicPr>
        <xdr:cNvPr id="736" name="1510c149-d714-44ec-985a-95c98a1abfc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d5492395ba04f8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739</xdr:row>
      <xdr:rowOff>19050</xdr:rowOff>
    </xdr:from>
    <xdr:ext cx="1143000" cy="1143000"/>
    <xdr:pic>
      <xdr:nvPicPr>
        <xdr:cNvPr id="737" name="ca6bbeec-b869-42d1-b220-67efd1e932d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095c5064abc457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740</xdr:row>
      <xdr:rowOff>19050</xdr:rowOff>
    </xdr:from>
    <xdr:ext cx="1143000" cy="1143000"/>
    <xdr:pic>
      <xdr:nvPicPr>
        <xdr:cNvPr id="738" name="1933df39-d2d3-49ca-a15f-e793dde8e38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00f502d88334fe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741</xdr:row>
      <xdr:rowOff>19050</xdr:rowOff>
    </xdr:from>
    <xdr:ext cx="1143000" cy="1143000"/>
    <xdr:pic>
      <xdr:nvPicPr>
        <xdr:cNvPr id="739" name="7b9ff25d-955d-43ab-8ae3-c4bd689e3ab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fed01b78ea4477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742</xdr:row>
      <xdr:rowOff>19050</xdr:rowOff>
    </xdr:from>
    <xdr:ext cx="1143000" cy="1143000"/>
    <xdr:pic>
      <xdr:nvPicPr>
        <xdr:cNvPr id="740" name="af785953-0b23-4c12-be8f-262db33cd1c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9ac6bed8f1f482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743</xdr:row>
      <xdr:rowOff>19050</xdr:rowOff>
    </xdr:from>
    <xdr:ext cx="1143000" cy="1143000"/>
    <xdr:pic>
      <xdr:nvPicPr>
        <xdr:cNvPr id="741" name="b376884c-b987-43ee-81c0-e122129875a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94d143eb49f4ae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744</xdr:row>
      <xdr:rowOff>19050</xdr:rowOff>
    </xdr:from>
    <xdr:ext cx="1143000" cy="1143000"/>
    <xdr:pic>
      <xdr:nvPicPr>
        <xdr:cNvPr id="742" name="b2af4457-9d75-4444-ba40-b3a4c9dc81a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c3439e999684c7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745</xdr:row>
      <xdr:rowOff>19050</xdr:rowOff>
    </xdr:from>
    <xdr:ext cx="1143000" cy="1143000"/>
    <xdr:pic>
      <xdr:nvPicPr>
        <xdr:cNvPr id="743" name="241d7266-9342-45ba-9e04-58bbe54fb0f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3ebf4d2baca42f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746</xdr:row>
      <xdr:rowOff>19050</xdr:rowOff>
    </xdr:from>
    <xdr:ext cx="1143000" cy="1143000"/>
    <xdr:pic>
      <xdr:nvPicPr>
        <xdr:cNvPr id="744" name="ec407713-3a72-441c-ad8a-2eb159cb6fe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8cbe836f12e4d3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747</xdr:row>
      <xdr:rowOff>19050</xdr:rowOff>
    </xdr:from>
    <xdr:ext cx="1143000" cy="1143000"/>
    <xdr:pic>
      <xdr:nvPicPr>
        <xdr:cNvPr id="745" name="b02ff657-11a5-4b77-a374-6ddff9b7883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dd06b324ddc48c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748</xdr:row>
      <xdr:rowOff>19050</xdr:rowOff>
    </xdr:from>
    <xdr:ext cx="1143000" cy="1143000"/>
    <xdr:pic>
      <xdr:nvPicPr>
        <xdr:cNvPr id="746" name="874fe812-93ae-4642-b262-4e456eeacee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ec369a15d944ee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749</xdr:row>
      <xdr:rowOff>19050</xdr:rowOff>
    </xdr:from>
    <xdr:ext cx="1143000" cy="1143000"/>
    <xdr:pic>
      <xdr:nvPicPr>
        <xdr:cNvPr id="747" name="333d3ae5-ac63-4381-b284-887757fdb60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049162f77474f6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750</xdr:row>
      <xdr:rowOff>19050</xdr:rowOff>
    </xdr:from>
    <xdr:ext cx="1143000" cy="1143000"/>
    <xdr:pic>
      <xdr:nvPicPr>
        <xdr:cNvPr id="748" name="cdad3c58-6142-4a72-ac17-47e4dfe62ce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2fcbfcbccc64d2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751</xdr:row>
      <xdr:rowOff>19050</xdr:rowOff>
    </xdr:from>
    <xdr:ext cx="1143000" cy="1143000"/>
    <xdr:pic>
      <xdr:nvPicPr>
        <xdr:cNvPr id="749" name="dc247ec4-1a40-4496-bf6e-1ca29c1ba1d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1c03fc7ca9141c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752</xdr:row>
      <xdr:rowOff>19050</xdr:rowOff>
    </xdr:from>
    <xdr:ext cx="1143000" cy="1143000"/>
    <xdr:pic>
      <xdr:nvPicPr>
        <xdr:cNvPr id="750" name="c0f5ddd7-b56b-4491-8bd6-053c460a5f1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859b5ecf941420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753</xdr:row>
      <xdr:rowOff>19050</xdr:rowOff>
    </xdr:from>
    <xdr:ext cx="1143000" cy="1143000"/>
    <xdr:pic>
      <xdr:nvPicPr>
        <xdr:cNvPr id="751" name="b9d15da8-7811-4d99-8b4c-0501eec7916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023fb752fc4425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754</xdr:row>
      <xdr:rowOff>19050</xdr:rowOff>
    </xdr:from>
    <xdr:ext cx="1143000" cy="1143000"/>
    <xdr:pic>
      <xdr:nvPicPr>
        <xdr:cNvPr id="752" name="6cf78117-7030-4c39-95da-6e6628166af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dfee861ea4c495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755</xdr:row>
      <xdr:rowOff>19050</xdr:rowOff>
    </xdr:from>
    <xdr:ext cx="1143000" cy="1143000"/>
    <xdr:pic>
      <xdr:nvPicPr>
        <xdr:cNvPr id="753" name="b4ef05b6-54f0-41a7-bbc3-493afd605c2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717c314982d4f4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756</xdr:row>
      <xdr:rowOff>19050</xdr:rowOff>
    </xdr:from>
    <xdr:ext cx="1143000" cy="1143000"/>
    <xdr:pic>
      <xdr:nvPicPr>
        <xdr:cNvPr id="754" name="6982bc05-6620-4581-adcc-f0bde40173f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718f3cc1e7b45d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757</xdr:row>
      <xdr:rowOff>19050</xdr:rowOff>
    </xdr:from>
    <xdr:ext cx="1143000" cy="1143000"/>
    <xdr:pic>
      <xdr:nvPicPr>
        <xdr:cNvPr id="755" name="c86fa48f-e3e4-4b44-945a-fc85503138f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d09a17c9cfa436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758</xdr:row>
      <xdr:rowOff>19050</xdr:rowOff>
    </xdr:from>
    <xdr:ext cx="1143000" cy="1143000"/>
    <xdr:pic>
      <xdr:nvPicPr>
        <xdr:cNvPr id="756" name="170de1a4-2145-45f6-8c3f-d2ff41c959a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4836ed757584e2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759</xdr:row>
      <xdr:rowOff>19050</xdr:rowOff>
    </xdr:from>
    <xdr:ext cx="1143000" cy="1143000"/>
    <xdr:pic>
      <xdr:nvPicPr>
        <xdr:cNvPr id="757" name="f422279a-d18f-40c2-94bb-df982865759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a2e6fc8034c464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760</xdr:row>
      <xdr:rowOff>19050</xdr:rowOff>
    </xdr:from>
    <xdr:ext cx="1143000" cy="1143000"/>
    <xdr:pic>
      <xdr:nvPicPr>
        <xdr:cNvPr id="758" name="fc59201b-6edf-4354-9834-14304f76217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ae9d509516c49f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761</xdr:row>
      <xdr:rowOff>19050</xdr:rowOff>
    </xdr:from>
    <xdr:ext cx="1143000" cy="1143000"/>
    <xdr:pic>
      <xdr:nvPicPr>
        <xdr:cNvPr id="759" name="cbbc2249-a0a7-4c71-8baa-5e6c04f85e0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3883a750a7348a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762</xdr:row>
      <xdr:rowOff>19050</xdr:rowOff>
    </xdr:from>
    <xdr:ext cx="1143000" cy="1143000"/>
    <xdr:pic>
      <xdr:nvPicPr>
        <xdr:cNvPr id="760" name="ee1d1e54-0bad-4746-8107-939e548570c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bd0e3404eec4d5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763</xdr:row>
      <xdr:rowOff>19050</xdr:rowOff>
    </xdr:from>
    <xdr:ext cx="1143000" cy="1143000"/>
    <xdr:pic>
      <xdr:nvPicPr>
        <xdr:cNvPr id="761" name="9cf76d86-1978-4310-89f4-b03bb444ce6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081cebedcb8423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764</xdr:row>
      <xdr:rowOff>19050</xdr:rowOff>
    </xdr:from>
    <xdr:ext cx="1143000" cy="1143000"/>
    <xdr:pic>
      <xdr:nvPicPr>
        <xdr:cNvPr id="762" name="209cf647-aad5-47b8-a16e-3b448f1a6b3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cc11f5bad66402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765</xdr:row>
      <xdr:rowOff>19050</xdr:rowOff>
    </xdr:from>
    <xdr:ext cx="1143000" cy="1143000"/>
    <xdr:pic>
      <xdr:nvPicPr>
        <xdr:cNvPr id="763" name="8584f7b9-39e4-4fd1-a691-b02b0a1466d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34d2a4c304240a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766</xdr:row>
      <xdr:rowOff>19050</xdr:rowOff>
    </xdr:from>
    <xdr:ext cx="1143000" cy="1143000"/>
    <xdr:pic>
      <xdr:nvPicPr>
        <xdr:cNvPr id="764" name="6904f33c-9a4c-499d-97e2-44c808c63be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f58787ed44e4aa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767</xdr:row>
      <xdr:rowOff>19050</xdr:rowOff>
    </xdr:from>
    <xdr:ext cx="1143000" cy="1143000"/>
    <xdr:pic>
      <xdr:nvPicPr>
        <xdr:cNvPr id="765" name="f2619874-6f05-4d29-8723-3941ee60334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1c8700e7dbe4ad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768</xdr:row>
      <xdr:rowOff>19050</xdr:rowOff>
    </xdr:from>
    <xdr:ext cx="1143000" cy="1143000"/>
    <xdr:pic>
      <xdr:nvPicPr>
        <xdr:cNvPr id="766" name="b6edfe88-d237-488f-b2d3-ec32d1abbab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3de05a9459248f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769</xdr:row>
      <xdr:rowOff>19050</xdr:rowOff>
    </xdr:from>
    <xdr:ext cx="1143000" cy="1143000"/>
    <xdr:pic>
      <xdr:nvPicPr>
        <xdr:cNvPr id="767" name="2ba3b61d-07fc-4a55-a4cf-77af148e01e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d5471eb851a4eb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770</xdr:row>
      <xdr:rowOff>19050</xdr:rowOff>
    </xdr:from>
    <xdr:ext cx="1143000" cy="1143000"/>
    <xdr:pic>
      <xdr:nvPicPr>
        <xdr:cNvPr id="768" name="6acd45fe-31ba-4e8b-9b10-73d4c36e440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6c3cd69ba05425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771</xdr:row>
      <xdr:rowOff>19050</xdr:rowOff>
    </xdr:from>
    <xdr:ext cx="1143000" cy="1143000"/>
    <xdr:pic>
      <xdr:nvPicPr>
        <xdr:cNvPr id="769" name="45e64926-7899-4d07-8fed-79c944c9f6d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f3662e50d044c0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772</xdr:row>
      <xdr:rowOff>19050</xdr:rowOff>
    </xdr:from>
    <xdr:ext cx="1143000" cy="1143000"/>
    <xdr:pic>
      <xdr:nvPicPr>
        <xdr:cNvPr id="770" name="82b56bd7-414a-42b5-af11-0cf7ed1a2c2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13ac2403cf7489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773</xdr:row>
      <xdr:rowOff>19050</xdr:rowOff>
    </xdr:from>
    <xdr:ext cx="1143000" cy="1143000"/>
    <xdr:pic>
      <xdr:nvPicPr>
        <xdr:cNvPr id="771" name="4b5b05bd-4eec-4f62-859f-7966301df04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db704e79c7e48e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774</xdr:row>
      <xdr:rowOff>19050</xdr:rowOff>
    </xdr:from>
    <xdr:ext cx="1143000" cy="1143000"/>
    <xdr:pic>
      <xdr:nvPicPr>
        <xdr:cNvPr id="772" name="e4c8542d-d399-48db-92d5-b5a9529afc2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6c7de4d6d72401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775</xdr:row>
      <xdr:rowOff>19050</xdr:rowOff>
    </xdr:from>
    <xdr:ext cx="1143000" cy="1143000"/>
    <xdr:pic>
      <xdr:nvPicPr>
        <xdr:cNvPr id="773" name="ea2b8714-002a-4af1-b3db-549d41c234d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56528d59d334e5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776</xdr:row>
      <xdr:rowOff>19050</xdr:rowOff>
    </xdr:from>
    <xdr:ext cx="1143000" cy="1143000"/>
    <xdr:pic>
      <xdr:nvPicPr>
        <xdr:cNvPr id="774" name="f32f0ef1-65ed-4226-93a8-69b6a148aa5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efa1663042d4e0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777</xdr:row>
      <xdr:rowOff>19050</xdr:rowOff>
    </xdr:from>
    <xdr:ext cx="1143000" cy="1143000"/>
    <xdr:pic>
      <xdr:nvPicPr>
        <xdr:cNvPr id="775" name="98673352-e618-4d16-a068-50cd7a012bc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0bc8bba7d97404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778</xdr:row>
      <xdr:rowOff>19050</xdr:rowOff>
    </xdr:from>
    <xdr:ext cx="1143000" cy="1143000"/>
    <xdr:pic>
      <xdr:nvPicPr>
        <xdr:cNvPr id="776" name="791883b9-f599-424d-a19d-af6c736d834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f2d72329a03470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779</xdr:row>
      <xdr:rowOff>19050</xdr:rowOff>
    </xdr:from>
    <xdr:ext cx="1143000" cy="1143000"/>
    <xdr:pic>
      <xdr:nvPicPr>
        <xdr:cNvPr id="777" name="5d88e464-7994-4d9d-a1ec-95147f86357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4b2e0915d7d40e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780</xdr:row>
      <xdr:rowOff>19050</xdr:rowOff>
    </xdr:from>
    <xdr:ext cx="1143000" cy="1143000"/>
    <xdr:pic>
      <xdr:nvPicPr>
        <xdr:cNvPr id="778" name="f7eb9a55-61c0-4438-9308-a9c1d85d51b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f32170174dc4a5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781</xdr:row>
      <xdr:rowOff>19050</xdr:rowOff>
    </xdr:from>
    <xdr:ext cx="1143000" cy="1143000"/>
    <xdr:pic>
      <xdr:nvPicPr>
        <xdr:cNvPr id="779" name="db7ccc4b-cd0d-4e3c-a743-7ea6d0d9f1b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464ce97a1c8483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782</xdr:row>
      <xdr:rowOff>19050</xdr:rowOff>
    </xdr:from>
    <xdr:ext cx="1143000" cy="1143000"/>
    <xdr:pic>
      <xdr:nvPicPr>
        <xdr:cNvPr id="780" name="3d4b0ddd-5d65-4c8b-979b-5124f8863be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9c89faf6bb4451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783</xdr:row>
      <xdr:rowOff>19050</xdr:rowOff>
    </xdr:from>
    <xdr:ext cx="1143000" cy="1143000"/>
    <xdr:pic>
      <xdr:nvPicPr>
        <xdr:cNvPr id="781" name="d1003298-8d74-402f-ac62-ed1c0af7902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4d488f6f6084c3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784</xdr:row>
      <xdr:rowOff>19050</xdr:rowOff>
    </xdr:from>
    <xdr:ext cx="1143000" cy="1143000"/>
    <xdr:pic>
      <xdr:nvPicPr>
        <xdr:cNvPr id="782" name="9ceb6833-ab93-4a62-abde-8108a71758f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9de895a3dbb4eb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785</xdr:row>
      <xdr:rowOff>19050</xdr:rowOff>
    </xdr:from>
    <xdr:ext cx="1143000" cy="1143000"/>
    <xdr:pic>
      <xdr:nvPicPr>
        <xdr:cNvPr id="783" name="eaaf9661-8335-47c4-af3d-b2269a66d62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c88b676a333467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786</xdr:row>
      <xdr:rowOff>19050</xdr:rowOff>
    </xdr:from>
    <xdr:ext cx="1143000" cy="1143000"/>
    <xdr:pic>
      <xdr:nvPicPr>
        <xdr:cNvPr id="784" name="63392566-f43d-43b6-a41a-7c054e58c74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6cf66f5459d427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787</xdr:row>
      <xdr:rowOff>19050</xdr:rowOff>
    </xdr:from>
    <xdr:ext cx="1143000" cy="1143000"/>
    <xdr:pic>
      <xdr:nvPicPr>
        <xdr:cNvPr id="785" name="fa789342-012f-49df-8588-b11ff837b73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830c3db76b040a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788</xdr:row>
      <xdr:rowOff>19050</xdr:rowOff>
    </xdr:from>
    <xdr:ext cx="1143000" cy="1143000"/>
    <xdr:pic>
      <xdr:nvPicPr>
        <xdr:cNvPr id="786" name="5bca6a83-1959-47c6-b1a7-702134fa119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fd107dd576e48c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789</xdr:row>
      <xdr:rowOff>19050</xdr:rowOff>
    </xdr:from>
    <xdr:ext cx="1143000" cy="1143000"/>
    <xdr:pic>
      <xdr:nvPicPr>
        <xdr:cNvPr id="787" name="a903ecc4-1a68-4569-bc5e-69bb338cda1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ccc7b17010a4c7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790</xdr:row>
      <xdr:rowOff>19050</xdr:rowOff>
    </xdr:from>
    <xdr:ext cx="1143000" cy="1143000"/>
    <xdr:pic>
      <xdr:nvPicPr>
        <xdr:cNvPr id="788" name="5f8f5a55-458a-449f-a453-c5554aff1ef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bf75e62f24e46c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791</xdr:row>
      <xdr:rowOff>19050</xdr:rowOff>
    </xdr:from>
    <xdr:ext cx="1143000" cy="1143000"/>
    <xdr:pic>
      <xdr:nvPicPr>
        <xdr:cNvPr id="789" name="9691de03-f048-4f94-b698-d2d5ead85fe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439952de20a4b1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792</xdr:row>
      <xdr:rowOff>19050</xdr:rowOff>
    </xdr:from>
    <xdr:ext cx="1143000" cy="1143000"/>
    <xdr:pic>
      <xdr:nvPicPr>
        <xdr:cNvPr id="790" name="127c0510-9f93-404d-9a67-e4dcc56b4f0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6814e4d731446d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793</xdr:row>
      <xdr:rowOff>19050</xdr:rowOff>
    </xdr:from>
    <xdr:ext cx="1143000" cy="1143000"/>
    <xdr:pic>
      <xdr:nvPicPr>
        <xdr:cNvPr id="791" name="83b540e1-7fa0-4b4a-aad0-7a07e0a754d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79628c7140f47a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794</xdr:row>
      <xdr:rowOff>19050</xdr:rowOff>
    </xdr:from>
    <xdr:ext cx="1143000" cy="1143000"/>
    <xdr:pic>
      <xdr:nvPicPr>
        <xdr:cNvPr id="792" name="4f588c4f-15fe-4f8e-ace0-dc9e1896182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0dbade26424425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795</xdr:row>
      <xdr:rowOff>19050</xdr:rowOff>
    </xdr:from>
    <xdr:ext cx="1143000" cy="1143000"/>
    <xdr:pic>
      <xdr:nvPicPr>
        <xdr:cNvPr id="793" name="b9cfaa25-121e-4232-8a18-ee33131afe2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7b2fcec224743e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796</xdr:row>
      <xdr:rowOff>19050</xdr:rowOff>
    </xdr:from>
    <xdr:ext cx="1143000" cy="1143000"/>
    <xdr:pic>
      <xdr:nvPicPr>
        <xdr:cNvPr id="794" name="5d892f98-93ec-41b9-9d71-f8633836c10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65b4ba106f14cc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797</xdr:row>
      <xdr:rowOff>19050</xdr:rowOff>
    </xdr:from>
    <xdr:ext cx="1143000" cy="1143000"/>
    <xdr:pic>
      <xdr:nvPicPr>
        <xdr:cNvPr id="795" name="528b89ae-9c8d-41fc-8065-e29d4250b30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84df6168489461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798</xdr:row>
      <xdr:rowOff>19050</xdr:rowOff>
    </xdr:from>
    <xdr:ext cx="1143000" cy="1143000"/>
    <xdr:pic>
      <xdr:nvPicPr>
        <xdr:cNvPr id="796" name="e1ff1002-018d-4e6f-bfcb-763dc5ea863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bd6682675b14f8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799</xdr:row>
      <xdr:rowOff>19050</xdr:rowOff>
    </xdr:from>
    <xdr:ext cx="1143000" cy="1143000"/>
    <xdr:pic>
      <xdr:nvPicPr>
        <xdr:cNvPr id="797" name="e129b502-0a65-43e9-94fb-ea7919c1b7e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0d2daa095da416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800</xdr:row>
      <xdr:rowOff>19050</xdr:rowOff>
    </xdr:from>
    <xdr:ext cx="1143000" cy="1143000"/>
    <xdr:pic>
      <xdr:nvPicPr>
        <xdr:cNvPr id="798" name="f195e547-7ef8-48ea-8743-e9efd04886d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79be76187c14c6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801</xdr:row>
      <xdr:rowOff>19050</xdr:rowOff>
    </xdr:from>
    <xdr:ext cx="1143000" cy="1143000"/>
    <xdr:pic>
      <xdr:nvPicPr>
        <xdr:cNvPr id="799" name="61b56455-73d5-4abc-b78a-4799a6386e4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ddaccdd7edf477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802</xdr:row>
      <xdr:rowOff>19050</xdr:rowOff>
    </xdr:from>
    <xdr:ext cx="1143000" cy="1143000"/>
    <xdr:pic>
      <xdr:nvPicPr>
        <xdr:cNvPr id="800" name="6cdaedc5-b03e-43e9-9e0f-bae92a0300e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0f91f8c8445480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803</xdr:row>
      <xdr:rowOff>19050</xdr:rowOff>
    </xdr:from>
    <xdr:ext cx="1143000" cy="1143000"/>
    <xdr:pic>
      <xdr:nvPicPr>
        <xdr:cNvPr id="801" name="8333ba10-cc7b-46b9-975f-6b1c96c223c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9bab2146d6f450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804</xdr:row>
      <xdr:rowOff>19050</xdr:rowOff>
    </xdr:from>
    <xdr:ext cx="1143000" cy="1143000"/>
    <xdr:pic>
      <xdr:nvPicPr>
        <xdr:cNvPr id="802" name="52c5df21-df51-4bae-82b3-6ac9a7074b1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10ee4a12566418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805</xdr:row>
      <xdr:rowOff>19050</xdr:rowOff>
    </xdr:from>
    <xdr:ext cx="1143000" cy="1143000"/>
    <xdr:pic>
      <xdr:nvPicPr>
        <xdr:cNvPr id="803" name="f96122d4-791a-4bbb-81fe-a82cd90f15c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baf3cbeb127433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806</xdr:row>
      <xdr:rowOff>19050</xdr:rowOff>
    </xdr:from>
    <xdr:ext cx="1143000" cy="1143000"/>
    <xdr:pic>
      <xdr:nvPicPr>
        <xdr:cNvPr id="804" name="594589d2-ce4e-44ac-8b43-2f1f282588a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c2fcdee9fd2456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807</xdr:row>
      <xdr:rowOff>19050</xdr:rowOff>
    </xdr:from>
    <xdr:ext cx="1143000" cy="1143000"/>
    <xdr:pic>
      <xdr:nvPicPr>
        <xdr:cNvPr id="805" name="1ee9c6cc-e895-43f0-ad10-dfc5ca7eacd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7f3e5dd4add42e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808</xdr:row>
      <xdr:rowOff>19050</xdr:rowOff>
    </xdr:from>
    <xdr:ext cx="1143000" cy="1143000"/>
    <xdr:pic>
      <xdr:nvPicPr>
        <xdr:cNvPr id="806" name="ec2b8492-f866-4f67-866a-11eba727f42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088c3f61ef747f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809</xdr:row>
      <xdr:rowOff>19050</xdr:rowOff>
    </xdr:from>
    <xdr:ext cx="1143000" cy="1143000"/>
    <xdr:pic>
      <xdr:nvPicPr>
        <xdr:cNvPr id="807" name="99e363dd-0f67-47bf-a454-c4b01ac7c84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88cae11a7fe461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810</xdr:row>
      <xdr:rowOff>19050</xdr:rowOff>
    </xdr:from>
    <xdr:ext cx="1143000" cy="1143000"/>
    <xdr:pic>
      <xdr:nvPicPr>
        <xdr:cNvPr id="808" name="c277b22c-3bbb-4a05-9bab-ef5b0d78da5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c2cb6ccf0cb427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811</xdr:row>
      <xdr:rowOff>19050</xdr:rowOff>
    </xdr:from>
    <xdr:ext cx="1143000" cy="1143000"/>
    <xdr:pic>
      <xdr:nvPicPr>
        <xdr:cNvPr id="809" name="fc77d520-cd8c-481d-89c2-f704645062f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f4907acd47a4cd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812</xdr:row>
      <xdr:rowOff>19050</xdr:rowOff>
    </xdr:from>
    <xdr:ext cx="1143000" cy="1143000"/>
    <xdr:pic>
      <xdr:nvPicPr>
        <xdr:cNvPr id="810" name="7b3a7470-1d2b-4050-ae18-3f68cdb1c54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2843207b8264a9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813</xdr:row>
      <xdr:rowOff>19050</xdr:rowOff>
    </xdr:from>
    <xdr:ext cx="1143000" cy="1143000"/>
    <xdr:pic>
      <xdr:nvPicPr>
        <xdr:cNvPr id="811" name="cc4485c4-2adf-4569-95ca-b4d3b0a7448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0303685c413473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814</xdr:row>
      <xdr:rowOff>19050</xdr:rowOff>
    </xdr:from>
    <xdr:ext cx="1143000" cy="1143000"/>
    <xdr:pic>
      <xdr:nvPicPr>
        <xdr:cNvPr id="812" name="dc2596b4-23d8-4338-8924-0260443ff56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44883b2fba3414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815</xdr:row>
      <xdr:rowOff>19050</xdr:rowOff>
    </xdr:from>
    <xdr:ext cx="1143000" cy="1143000"/>
    <xdr:pic>
      <xdr:nvPicPr>
        <xdr:cNvPr id="813" name="1779a8af-a551-4723-90f2-0e4082ab470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9a3964a361c401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816</xdr:row>
      <xdr:rowOff>19050</xdr:rowOff>
    </xdr:from>
    <xdr:ext cx="1143000" cy="1143000"/>
    <xdr:pic>
      <xdr:nvPicPr>
        <xdr:cNvPr id="814" name="d71f904b-4625-4d20-af38-cecb146e2c5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cd3a4d28bf6460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817</xdr:row>
      <xdr:rowOff>19050</xdr:rowOff>
    </xdr:from>
    <xdr:ext cx="1143000" cy="1143000"/>
    <xdr:pic>
      <xdr:nvPicPr>
        <xdr:cNvPr id="815" name="58b31b9b-e295-4851-aee2-22565c248c9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277d787a8e549e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818</xdr:row>
      <xdr:rowOff>19050</xdr:rowOff>
    </xdr:from>
    <xdr:ext cx="1143000" cy="1143000"/>
    <xdr:pic>
      <xdr:nvPicPr>
        <xdr:cNvPr id="816" name="24995099-e9c6-4581-8afd-4352eef5140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0c672c03e6e49f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819</xdr:row>
      <xdr:rowOff>19050</xdr:rowOff>
    </xdr:from>
    <xdr:ext cx="1143000" cy="1143000"/>
    <xdr:pic>
      <xdr:nvPicPr>
        <xdr:cNvPr id="817" name="656b6a7d-889f-49a7-996a-ce8fa0a55d5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0019508e547498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820</xdr:row>
      <xdr:rowOff>19050</xdr:rowOff>
    </xdr:from>
    <xdr:ext cx="1143000" cy="1143000"/>
    <xdr:pic>
      <xdr:nvPicPr>
        <xdr:cNvPr id="818" name="172694f5-aea5-49e5-afd3-40544414022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eb5bff9dabe4cd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821</xdr:row>
      <xdr:rowOff>19050</xdr:rowOff>
    </xdr:from>
    <xdr:ext cx="1143000" cy="1143000"/>
    <xdr:pic>
      <xdr:nvPicPr>
        <xdr:cNvPr id="819" name="3f30280a-5e60-45e2-b7fb-c9dfac34de8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6e658b7be4e438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822</xdr:row>
      <xdr:rowOff>19050</xdr:rowOff>
    </xdr:from>
    <xdr:ext cx="1143000" cy="1143000"/>
    <xdr:pic>
      <xdr:nvPicPr>
        <xdr:cNvPr id="820" name="c38dfafe-acc1-4eb5-8692-b7e46b0281b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db84ed7126f46b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823</xdr:row>
      <xdr:rowOff>19050</xdr:rowOff>
    </xdr:from>
    <xdr:ext cx="1143000" cy="1143000"/>
    <xdr:pic>
      <xdr:nvPicPr>
        <xdr:cNvPr id="821" name="cb2fb3c0-a744-497c-a595-d71e5c1f9a4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13d8aec93f7448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824</xdr:row>
      <xdr:rowOff>19050</xdr:rowOff>
    </xdr:from>
    <xdr:ext cx="1143000" cy="1143000"/>
    <xdr:pic>
      <xdr:nvPicPr>
        <xdr:cNvPr id="822" name="86198fb8-a73f-40d6-9b2b-8f34f3e9820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dc7160fbef142f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825</xdr:row>
      <xdr:rowOff>19050</xdr:rowOff>
    </xdr:from>
    <xdr:ext cx="1143000" cy="1143000"/>
    <xdr:pic>
      <xdr:nvPicPr>
        <xdr:cNvPr id="823" name="d928890d-42f0-4149-8ea1-21a8ef1b393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0469150e9db474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826</xdr:row>
      <xdr:rowOff>19050</xdr:rowOff>
    </xdr:from>
    <xdr:ext cx="1143000" cy="1143000"/>
    <xdr:pic>
      <xdr:nvPicPr>
        <xdr:cNvPr id="824" name="c9288947-40c0-4041-9cce-9a5abb996b9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25977880d724fc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827</xdr:row>
      <xdr:rowOff>19050</xdr:rowOff>
    </xdr:from>
    <xdr:ext cx="1143000" cy="1143000"/>
    <xdr:pic>
      <xdr:nvPicPr>
        <xdr:cNvPr id="825" name="59e4c0ad-ccc0-47e6-b71b-0d265197a93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fb837e72f9346b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828</xdr:row>
      <xdr:rowOff>19050</xdr:rowOff>
    </xdr:from>
    <xdr:ext cx="1143000" cy="1143000"/>
    <xdr:pic>
      <xdr:nvPicPr>
        <xdr:cNvPr id="826" name="5cd6eea8-e0e2-4670-b4c4-c83a50f594f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44d4f50eb0e4a5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829</xdr:row>
      <xdr:rowOff>19050</xdr:rowOff>
    </xdr:from>
    <xdr:ext cx="1143000" cy="1143000"/>
    <xdr:pic>
      <xdr:nvPicPr>
        <xdr:cNvPr id="827" name="3c3e1475-1740-451e-968b-51fe355d615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fa66bec1fff4f7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830</xdr:row>
      <xdr:rowOff>19050</xdr:rowOff>
    </xdr:from>
    <xdr:ext cx="1143000" cy="1143000"/>
    <xdr:pic>
      <xdr:nvPicPr>
        <xdr:cNvPr id="828" name="d0e18704-6428-4b54-ac71-d4411bcff86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c49139cd8f145f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831</xdr:row>
      <xdr:rowOff>19050</xdr:rowOff>
    </xdr:from>
    <xdr:ext cx="1143000" cy="1143000"/>
    <xdr:pic>
      <xdr:nvPicPr>
        <xdr:cNvPr id="829" name="4b79d5bd-4025-4dc4-aba4-66a413efa36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82a8c7ff8f047a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832</xdr:row>
      <xdr:rowOff>19050</xdr:rowOff>
    </xdr:from>
    <xdr:ext cx="1143000" cy="1143000"/>
    <xdr:pic>
      <xdr:nvPicPr>
        <xdr:cNvPr id="830" name="591acfb7-bdca-492e-b3ef-994c2a60708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abe0f4ead3c451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833</xdr:row>
      <xdr:rowOff>19050</xdr:rowOff>
    </xdr:from>
    <xdr:ext cx="1143000" cy="1143000"/>
    <xdr:pic>
      <xdr:nvPicPr>
        <xdr:cNvPr id="831" name="544c37a1-0824-4760-a662-77d852504f1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28ba0a865c7453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834</xdr:row>
      <xdr:rowOff>19050</xdr:rowOff>
    </xdr:from>
    <xdr:ext cx="1143000" cy="1143000"/>
    <xdr:pic>
      <xdr:nvPicPr>
        <xdr:cNvPr id="832" name="847d5c8c-3e2d-41ac-857b-a09729e28f6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9a3519c7e6d45b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835</xdr:row>
      <xdr:rowOff>19050</xdr:rowOff>
    </xdr:from>
    <xdr:ext cx="1143000" cy="1143000"/>
    <xdr:pic>
      <xdr:nvPicPr>
        <xdr:cNvPr id="833" name="78ef5d30-3c6e-4e20-b1eb-2fb013d35c7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855829cb25a47e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836</xdr:row>
      <xdr:rowOff>19050</xdr:rowOff>
    </xdr:from>
    <xdr:ext cx="1143000" cy="1143000"/>
    <xdr:pic>
      <xdr:nvPicPr>
        <xdr:cNvPr id="834" name="431e331f-a6b3-492d-adba-a477851d6bf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36c89d33b4c48e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837</xdr:row>
      <xdr:rowOff>19050</xdr:rowOff>
    </xdr:from>
    <xdr:ext cx="1143000" cy="1143000"/>
    <xdr:pic>
      <xdr:nvPicPr>
        <xdr:cNvPr id="835" name="9a631e0d-fd6a-4f3a-9d90-42b7f78a711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8795a76f1504ec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838</xdr:row>
      <xdr:rowOff>19050</xdr:rowOff>
    </xdr:from>
    <xdr:ext cx="1143000" cy="1143000"/>
    <xdr:pic>
      <xdr:nvPicPr>
        <xdr:cNvPr id="836" name="a5d058b9-0fe6-43f0-a9f7-64dbc4e8578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8a40e5292ff425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839</xdr:row>
      <xdr:rowOff>19050</xdr:rowOff>
    </xdr:from>
    <xdr:ext cx="1143000" cy="1143000"/>
    <xdr:pic>
      <xdr:nvPicPr>
        <xdr:cNvPr id="837" name="358e5472-2e50-4bd1-97f0-7c26d618b5a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5125c6a3d2c4ca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840</xdr:row>
      <xdr:rowOff>19050</xdr:rowOff>
    </xdr:from>
    <xdr:ext cx="1143000" cy="1143000"/>
    <xdr:pic>
      <xdr:nvPicPr>
        <xdr:cNvPr id="838" name="bd2aeda9-ef4c-4141-9c35-081717afd83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55ba694f25d4e6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841</xdr:row>
      <xdr:rowOff>19050</xdr:rowOff>
    </xdr:from>
    <xdr:ext cx="1143000" cy="1143000"/>
    <xdr:pic>
      <xdr:nvPicPr>
        <xdr:cNvPr id="839" name="b53f8e1d-34ee-4332-9786-30363ce4db2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1159e34b67a470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842</xdr:row>
      <xdr:rowOff>19050</xdr:rowOff>
    </xdr:from>
    <xdr:ext cx="1143000" cy="1143000"/>
    <xdr:pic>
      <xdr:nvPicPr>
        <xdr:cNvPr id="840" name="2ea550a5-45de-42f3-8540-ab080176461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9ca1d3da87048b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843</xdr:row>
      <xdr:rowOff>19050</xdr:rowOff>
    </xdr:from>
    <xdr:ext cx="1143000" cy="1143000"/>
    <xdr:pic>
      <xdr:nvPicPr>
        <xdr:cNvPr id="841" name="a9cd6824-4af3-4cea-bd63-82825bd3c26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cb41c98f9eb490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844</xdr:row>
      <xdr:rowOff>19050</xdr:rowOff>
    </xdr:from>
    <xdr:ext cx="1143000" cy="1143000"/>
    <xdr:pic>
      <xdr:nvPicPr>
        <xdr:cNvPr id="842" name="af665ca0-d00c-4eae-b11e-4ecd8165316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9101882ca8640f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845</xdr:row>
      <xdr:rowOff>19050</xdr:rowOff>
    </xdr:from>
    <xdr:ext cx="1143000" cy="1143000"/>
    <xdr:pic>
      <xdr:nvPicPr>
        <xdr:cNvPr id="843" name="8cfe6f8b-f7ed-4935-9e0f-6112f4bdb94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cac393d88e6485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846</xdr:row>
      <xdr:rowOff>19050</xdr:rowOff>
    </xdr:from>
    <xdr:ext cx="1143000" cy="1143000"/>
    <xdr:pic>
      <xdr:nvPicPr>
        <xdr:cNvPr id="844" name="2f3fb897-8169-409e-8b9a-a7e85a42732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d837563c71543c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847</xdr:row>
      <xdr:rowOff>19050</xdr:rowOff>
    </xdr:from>
    <xdr:ext cx="1143000" cy="1143000"/>
    <xdr:pic>
      <xdr:nvPicPr>
        <xdr:cNvPr id="845" name="2fa43d18-a472-4657-a7c9-710307afe62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73c0e5003d24b0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848</xdr:row>
      <xdr:rowOff>19050</xdr:rowOff>
    </xdr:from>
    <xdr:ext cx="1143000" cy="1143000"/>
    <xdr:pic>
      <xdr:nvPicPr>
        <xdr:cNvPr id="846" name="aaffbdbd-e129-4154-b017-8b24a3536db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f66f2ba281e49e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849</xdr:row>
      <xdr:rowOff>19050</xdr:rowOff>
    </xdr:from>
    <xdr:ext cx="1143000" cy="1143000"/>
    <xdr:pic>
      <xdr:nvPicPr>
        <xdr:cNvPr id="847" name="1581611a-351b-4f24-9af2-9342798aebe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17b004313a14a0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850</xdr:row>
      <xdr:rowOff>19050</xdr:rowOff>
    </xdr:from>
    <xdr:ext cx="1143000" cy="1143000"/>
    <xdr:pic>
      <xdr:nvPicPr>
        <xdr:cNvPr id="848" name="9146aa6d-e81c-450d-b402-f50d724a663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d1643fac4164ec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851</xdr:row>
      <xdr:rowOff>19050</xdr:rowOff>
    </xdr:from>
    <xdr:ext cx="1143000" cy="1143000"/>
    <xdr:pic>
      <xdr:nvPicPr>
        <xdr:cNvPr id="849" name="4e56af19-4c8d-4cca-8138-748843f3861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81d26de384b488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852</xdr:row>
      <xdr:rowOff>19050</xdr:rowOff>
    </xdr:from>
    <xdr:ext cx="1143000" cy="1143000"/>
    <xdr:pic>
      <xdr:nvPicPr>
        <xdr:cNvPr id="850" name="963bd083-3986-4870-95c9-9e6b1cad884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dfc4f2b3d0c458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853</xdr:row>
      <xdr:rowOff>19050</xdr:rowOff>
    </xdr:from>
    <xdr:ext cx="1143000" cy="1143000"/>
    <xdr:pic>
      <xdr:nvPicPr>
        <xdr:cNvPr id="851" name="d2de95df-6bf1-402b-8c07-a299a9b37ed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5f11e82be4749e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854</xdr:row>
      <xdr:rowOff>19050</xdr:rowOff>
    </xdr:from>
    <xdr:ext cx="1143000" cy="1143000"/>
    <xdr:pic>
      <xdr:nvPicPr>
        <xdr:cNvPr id="852" name="742a896d-168d-414a-9d45-123d203bb62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cf43c410d1d4e4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855</xdr:row>
      <xdr:rowOff>19050</xdr:rowOff>
    </xdr:from>
    <xdr:ext cx="1143000" cy="1143000"/>
    <xdr:pic>
      <xdr:nvPicPr>
        <xdr:cNvPr id="853" name="fb135423-4e06-4281-a63a-dfb4e28f15a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0be855c3aac480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856</xdr:row>
      <xdr:rowOff>19050</xdr:rowOff>
    </xdr:from>
    <xdr:ext cx="1143000" cy="1143000"/>
    <xdr:pic>
      <xdr:nvPicPr>
        <xdr:cNvPr id="854" name="71519555-a297-487f-8659-413e49cdab3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5f526cc82e8441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857</xdr:row>
      <xdr:rowOff>19050</xdr:rowOff>
    </xdr:from>
    <xdr:ext cx="1143000" cy="1143000"/>
    <xdr:pic>
      <xdr:nvPicPr>
        <xdr:cNvPr id="855" name="5209085d-d7b0-4329-81a1-7b0465b54ed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07f96a88c36405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858</xdr:row>
      <xdr:rowOff>19050</xdr:rowOff>
    </xdr:from>
    <xdr:ext cx="1143000" cy="1143000"/>
    <xdr:pic>
      <xdr:nvPicPr>
        <xdr:cNvPr id="856" name="7d0f0598-468f-4d6e-9cc8-21c12f584e5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437dbcea0744f4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859</xdr:row>
      <xdr:rowOff>19050</xdr:rowOff>
    </xdr:from>
    <xdr:ext cx="1143000" cy="1143000"/>
    <xdr:pic>
      <xdr:nvPicPr>
        <xdr:cNvPr id="857" name="c086061b-9dc3-4436-8f0d-4a3fbe57fd4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dfe77f5a0cb482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860</xdr:row>
      <xdr:rowOff>19050</xdr:rowOff>
    </xdr:from>
    <xdr:ext cx="1143000" cy="1143000"/>
    <xdr:pic>
      <xdr:nvPicPr>
        <xdr:cNvPr id="858" name="019860c5-4012-43c7-9f00-7a4fbe442b2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99b9ae851974e4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861</xdr:row>
      <xdr:rowOff>19050</xdr:rowOff>
    </xdr:from>
    <xdr:ext cx="1143000" cy="1143000"/>
    <xdr:pic>
      <xdr:nvPicPr>
        <xdr:cNvPr id="859" name="850df4bb-b0df-4dfc-abf1-9fc1120dc99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0071b6fc0cf4a3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862</xdr:row>
      <xdr:rowOff>19050</xdr:rowOff>
    </xdr:from>
    <xdr:ext cx="1143000" cy="1143000"/>
    <xdr:pic>
      <xdr:nvPicPr>
        <xdr:cNvPr id="860" name="ad52a967-f237-483b-8156-8389768346f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ab249721c8a4ed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863</xdr:row>
      <xdr:rowOff>19050</xdr:rowOff>
    </xdr:from>
    <xdr:ext cx="1143000" cy="1143000"/>
    <xdr:pic>
      <xdr:nvPicPr>
        <xdr:cNvPr id="861" name="6ec5efb7-c763-4626-af49-51cede8ec84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eaf57cb979e414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864</xdr:row>
      <xdr:rowOff>19050</xdr:rowOff>
    </xdr:from>
    <xdr:ext cx="1143000" cy="1143000"/>
    <xdr:pic>
      <xdr:nvPicPr>
        <xdr:cNvPr id="862" name="29ea4e5d-00aa-42f5-9b07-84dd6673698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204a6bff4684fa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865</xdr:row>
      <xdr:rowOff>19050</xdr:rowOff>
    </xdr:from>
    <xdr:ext cx="1143000" cy="1143000"/>
    <xdr:pic>
      <xdr:nvPicPr>
        <xdr:cNvPr id="863" name="a9c81e52-b659-42d7-b089-eb417aef367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90891960c84417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866</xdr:row>
      <xdr:rowOff>19050</xdr:rowOff>
    </xdr:from>
    <xdr:ext cx="1143000" cy="1143000"/>
    <xdr:pic>
      <xdr:nvPicPr>
        <xdr:cNvPr id="864" name="28af126c-e205-4bb4-97d7-c1555a28796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e84b2a8623d4b3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867</xdr:row>
      <xdr:rowOff>19050</xdr:rowOff>
    </xdr:from>
    <xdr:ext cx="1143000" cy="1143000"/>
    <xdr:pic>
      <xdr:nvPicPr>
        <xdr:cNvPr id="865" name="02125ea3-0be7-485b-a2e4-3e438dc6cd6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80b31b638a74d6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868</xdr:row>
      <xdr:rowOff>19050</xdr:rowOff>
    </xdr:from>
    <xdr:ext cx="1143000" cy="1143000"/>
    <xdr:pic>
      <xdr:nvPicPr>
        <xdr:cNvPr id="866" name="d737565e-aa2d-49c3-a85f-e3410dc62b2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7762c558ac5461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869</xdr:row>
      <xdr:rowOff>19050</xdr:rowOff>
    </xdr:from>
    <xdr:ext cx="1143000" cy="1143000"/>
    <xdr:pic>
      <xdr:nvPicPr>
        <xdr:cNvPr id="867" name="caf461ed-a5a7-4592-a489-c06599a2edd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1d91fb620a3482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870</xdr:row>
      <xdr:rowOff>19050</xdr:rowOff>
    </xdr:from>
    <xdr:ext cx="1143000" cy="1143000"/>
    <xdr:pic>
      <xdr:nvPicPr>
        <xdr:cNvPr id="868" name="f505bb88-dac9-4126-a4c2-df6577d5181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dd6a908e6bd4a3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871</xdr:row>
      <xdr:rowOff>19050</xdr:rowOff>
    </xdr:from>
    <xdr:ext cx="1143000" cy="1143000"/>
    <xdr:pic>
      <xdr:nvPicPr>
        <xdr:cNvPr id="869" name="05fd4d4a-c91e-47ce-93da-05d6d0c8d98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f71416e9afc4f3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872</xdr:row>
      <xdr:rowOff>19050</xdr:rowOff>
    </xdr:from>
    <xdr:ext cx="1143000" cy="1143000"/>
    <xdr:pic>
      <xdr:nvPicPr>
        <xdr:cNvPr id="870" name="325b4d29-fed0-45be-bac4-01535d0f716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b81f22ec271423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873</xdr:row>
      <xdr:rowOff>19050</xdr:rowOff>
    </xdr:from>
    <xdr:ext cx="1143000" cy="1143000"/>
    <xdr:pic>
      <xdr:nvPicPr>
        <xdr:cNvPr id="871" name="e958b886-07e7-41fa-b769-dfae52fb705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c9536c2d580436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874</xdr:row>
      <xdr:rowOff>19050</xdr:rowOff>
    </xdr:from>
    <xdr:ext cx="1143000" cy="1143000"/>
    <xdr:pic>
      <xdr:nvPicPr>
        <xdr:cNvPr id="872" name="bf1fe65e-c9c1-4e4b-9a46-7bcd41e88a5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55242e47c8e478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875</xdr:row>
      <xdr:rowOff>19050</xdr:rowOff>
    </xdr:from>
    <xdr:ext cx="1143000" cy="1143000"/>
    <xdr:pic>
      <xdr:nvPicPr>
        <xdr:cNvPr id="873" name="de3275a5-82a2-4944-9c94-ec2f39bb6f0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28cc30c1c09453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876</xdr:row>
      <xdr:rowOff>19050</xdr:rowOff>
    </xdr:from>
    <xdr:ext cx="1143000" cy="1143000"/>
    <xdr:pic>
      <xdr:nvPicPr>
        <xdr:cNvPr id="874" name="846d6274-51d4-4425-80fb-34559d77203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989b633387c477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877</xdr:row>
      <xdr:rowOff>19050</xdr:rowOff>
    </xdr:from>
    <xdr:ext cx="1143000" cy="1143000"/>
    <xdr:pic>
      <xdr:nvPicPr>
        <xdr:cNvPr id="875" name="1922f9bd-9347-479c-ac1f-d72cdcee5fe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2fd16f027e7471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878</xdr:row>
      <xdr:rowOff>19050</xdr:rowOff>
    </xdr:from>
    <xdr:ext cx="1143000" cy="1143000"/>
    <xdr:pic>
      <xdr:nvPicPr>
        <xdr:cNvPr id="876" name="355d985e-a054-4341-abfb-63b90ea3d3d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5599efe3ee647b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879</xdr:row>
      <xdr:rowOff>19050</xdr:rowOff>
    </xdr:from>
    <xdr:ext cx="1143000" cy="1143000"/>
    <xdr:pic>
      <xdr:nvPicPr>
        <xdr:cNvPr id="877" name="6899fe38-8e40-45c4-80a6-2bc0a5659a4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b38bb4556834cf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880</xdr:row>
      <xdr:rowOff>19050</xdr:rowOff>
    </xdr:from>
    <xdr:ext cx="1143000" cy="1143000"/>
    <xdr:pic>
      <xdr:nvPicPr>
        <xdr:cNvPr id="878" name="2e25c8ca-4393-4c39-98aa-0802ca5029c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468af6e788c4fc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881</xdr:row>
      <xdr:rowOff>19050</xdr:rowOff>
    </xdr:from>
    <xdr:ext cx="1143000" cy="1143000"/>
    <xdr:pic>
      <xdr:nvPicPr>
        <xdr:cNvPr id="879" name="ae86e38b-370e-4188-ba1d-9448fa2d625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f199f2edfe34d8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882</xdr:row>
      <xdr:rowOff>19050</xdr:rowOff>
    </xdr:from>
    <xdr:ext cx="1143000" cy="1143000"/>
    <xdr:pic>
      <xdr:nvPicPr>
        <xdr:cNvPr id="880" name="db08c781-3ee8-4899-86de-060b611b7d3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e39052e8822432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883</xdr:row>
      <xdr:rowOff>19050</xdr:rowOff>
    </xdr:from>
    <xdr:ext cx="1143000" cy="1143000"/>
    <xdr:pic>
      <xdr:nvPicPr>
        <xdr:cNvPr id="881" name="7311f390-f86e-4d81-a846-45fe979653b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065226cd808457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884</xdr:row>
      <xdr:rowOff>19050</xdr:rowOff>
    </xdr:from>
    <xdr:ext cx="1143000" cy="1143000"/>
    <xdr:pic>
      <xdr:nvPicPr>
        <xdr:cNvPr id="882" name="04082f85-87d4-4221-b4bc-bca9a20c661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0e183757e384a8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885</xdr:row>
      <xdr:rowOff>19050</xdr:rowOff>
    </xdr:from>
    <xdr:ext cx="1143000" cy="1143000"/>
    <xdr:pic>
      <xdr:nvPicPr>
        <xdr:cNvPr id="883" name="f3d76590-0d8c-4218-8680-24453f8e4e6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9c55e415c7d42c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886</xdr:row>
      <xdr:rowOff>19050</xdr:rowOff>
    </xdr:from>
    <xdr:ext cx="1143000" cy="1143000"/>
    <xdr:pic>
      <xdr:nvPicPr>
        <xdr:cNvPr id="884" name="b4dd2b58-2aa9-49ee-9dbf-a8d03278b91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7e63aed58314fb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887</xdr:row>
      <xdr:rowOff>19050</xdr:rowOff>
    </xdr:from>
    <xdr:ext cx="1143000" cy="1143000"/>
    <xdr:pic>
      <xdr:nvPicPr>
        <xdr:cNvPr id="885" name="5eef2f17-acd2-420a-9791-e01aba488f1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d9cfdc2bdd0486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888</xdr:row>
      <xdr:rowOff>19050</xdr:rowOff>
    </xdr:from>
    <xdr:ext cx="1143000" cy="1143000"/>
    <xdr:pic>
      <xdr:nvPicPr>
        <xdr:cNvPr id="886" name="ae289583-4dda-40e8-afb9-30bce2ba22e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ee76e84622841c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889</xdr:row>
      <xdr:rowOff>19050</xdr:rowOff>
    </xdr:from>
    <xdr:ext cx="1143000" cy="1143000"/>
    <xdr:pic>
      <xdr:nvPicPr>
        <xdr:cNvPr id="887" name="bd305d96-4ad2-4b14-b8d5-063e2554940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ec2745d31644ba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890</xdr:row>
      <xdr:rowOff>19050</xdr:rowOff>
    </xdr:from>
    <xdr:ext cx="1143000" cy="1143000"/>
    <xdr:pic>
      <xdr:nvPicPr>
        <xdr:cNvPr id="888" name="218660ad-428c-41e2-ab6e-cdacc8793af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69b9228a9ad4fa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891</xdr:row>
      <xdr:rowOff>19050</xdr:rowOff>
    </xdr:from>
    <xdr:ext cx="1143000" cy="1143000"/>
    <xdr:pic>
      <xdr:nvPicPr>
        <xdr:cNvPr id="889" name="be804e4b-49ea-47cc-8842-1381d1318f0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1ee9d3d2859476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892</xdr:row>
      <xdr:rowOff>19050</xdr:rowOff>
    </xdr:from>
    <xdr:ext cx="1143000" cy="1143000"/>
    <xdr:pic>
      <xdr:nvPicPr>
        <xdr:cNvPr id="890" name="96264466-2f8b-4bab-b97a-aeb8cf2494a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fada7e261a6461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893</xdr:row>
      <xdr:rowOff>19050</xdr:rowOff>
    </xdr:from>
    <xdr:ext cx="1143000" cy="1143000"/>
    <xdr:pic>
      <xdr:nvPicPr>
        <xdr:cNvPr id="891" name="ae7d09da-5afa-4f96-96a6-082cb29fa12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564594e2b04407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894</xdr:row>
      <xdr:rowOff>19050</xdr:rowOff>
    </xdr:from>
    <xdr:ext cx="1143000" cy="1143000"/>
    <xdr:pic>
      <xdr:nvPicPr>
        <xdr:cNvPr id="892" name="d3e834aa-292d-4840-ab3c-9d32aceb82a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af4f7ee58664f2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895</xdr:row>
      <xdr:rowOff>19050</xdr:rowOff>
    </xdr:from>
    <xdr:ext cx="1143000" cy="1143000"/>
    <xdr:pic>
      <xdr:nvPicPr>
        <xdr:cNvPr id="893" name="b1d3b68d-9eb0-4a8f-8022-bf7ce340d55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be17063565745f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896</xdr:row>
      <xdr:rowOff>19050</xdr:rowOff>
    </xdr:from>
    <xdr:ext cx="1143000" cy="1143000"/>
    <xdr:pic>
      <xdr:nvPicPr>
        <xdr:cNvPr id="894" name="8cb1e262-b091-4578-93f4-f798a7a9ded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dbced0c381a4c8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897</xdr:row>
      <xdr:rowOff>19050</xdr:rowOff>
    </xdr:from>
    <xdr:ext cx="1143000" cy="1143000"/>
    <xdr:pic>
      <xdr:nvPicPr>
        <xdr:cNvPr id="895" name="31582086-05f8-4d46-8a94-8e6b3996ae0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c10a566bb864a8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898</xdr:row>
      <xdr:rowOff>19050</xdr:rowOff>
    </xdr:from>
    <xdr:ext cx="1143000" cy="1143000"/>
    <xdr:pic>
      <xdr:nvPicPr>
        <xdr:cNvPr id="896" name="0502988a-ad7b-4353-a62b-185c82287a1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c670361ebdf444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899</xdr:row>
      <xdr:rowOff>19050</xdr:rowOff>
    </xdr:from>
    <xdr:ext cx="1143000" cy="1143000"/>
    <xdr:pic>
      <xdr:nvPicPr>
        <xdr:cNvPr id="897" name="f9739c19-f099-46e2-a88e-7be091daa93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28c22336aa54cc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900</xdr:row>
      <xdr:rowOff>19050</xdr:rowOff>
    </xdr:from>
    <xdr:ext cx="1143000" cy="1143000"/>
    <xdr:pic>
      <xdr:nvPicPr>
        <xdr:cNvPr id="898" name="bfd8daae-0b2c-4bfa-af5f-a24c4e85e5c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4e41f40ddef4ca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901</xdr:row>
      <xdr:rowOff>19050</xdr:rowOff>
    </xdr:from>
    <xdr:ext cx="1143000" cy="1143000"/>
    <xdr:pic>
      <xdr:nvPicPr>
        <xdr:cNvPr id="899" name="491f2fa9-b59b-4e84-8ca9-d899d00d83c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80b183accae4d6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902</xdr:row>
      <xdr:rowOff>19050</xdr:rowOff>
    </xdr:from>
    <xdr:ext cx="1143000" cy="1143000"/>
    <xdr:pic>
      <xdr:nvPicPr>
        <xdr:cNvPr id="900" name="4efdc86a-f647-4e2a-b45b-abba7e4b283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ad06bcc3c2045b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903</xdr:row>
      <xdr:rowOff>19050</xdr:rowOff>
    </xdr:from>
    <xdr:ext cx="1143000" cy="1143000"/>
    <xdr:pic>
      <xdr:nvPicPr>
        <xdr:cNvPr id="901" name="adef861c-b3f6-4db0-b41c-79a5d71dd20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2b4b27ec0a64f8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904</xdr:row>
      <xdr:rowOff>19050</xdr:rowOff>
    </xdr:from>
    <xdr:ext cx="1143000" cy="1143000"/>
    <xdr:pic>
      <xdr:nvPicPr>
        <xdr:cNvPr id="902" name="4236495b-0c35-4fc6-8905-d64af56ad5c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e81abd3b3114bd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905</xdr:row>
      <xdr:rowOff>19050</xdr:rowOff>
    </xdr:from>
    <xdr:ext cx="1143000" cy="1143000"/>
    <xdr:pic>
      <xdr:nvPicPr>
        <xdr:cNvPr id="903" name="a46a65a8-9357-4ea2-9a6b-7531f3bf451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7f7f83e57d0417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906</xdr:row>
      <xdr:rowOff>19050</xdr:rowOff>
    </xdr:from>
    <xdr:ext cx="1143000" cy="1143000"/>
    <xdr:pic>
      <xdr:nvPicPr>
        <xdr:cNvPr id="904" name="f11a2e49-1e9c-47b7-8ee2-01f5faa62c0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0d4c11a011945d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907</xdr:row>
      <xdr:rowOff>19050</xdr:rowOff>
    </xdr:from>
    <xdr:ext cx="1143000" cy="1143000"/>
    <xdr:pic>
      <xdr:nvPicPr>
        <xdr:cNvPr id="905" name="5ba0b9b1-e94b-49ee-b1ac-6c371cb50fe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c646c2490cb40e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908</xdr:row>
      <xdr:rowOff>19050</xdr:rowOff>
    </xdr:from>
    <xdr:ext cx="1143000" cy="1143000"/>
    <xdr:pic>
      <xdr:nvPicPr>
        <xdr:cNvPr id="906" name="a32c0ef8-90c6-461c-bf0f-4cd1b107e34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a4b57f540c44c5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909</xdr:row>
      <xdr:rowOff>19050</xdr:rowOff>
    </xdr:from>
    <xdr:ext cx="1143000" cy="1143000"/>
    <xdr:pic>
      <xdr:nvPicPr>
        <xdr:cNvPr id="907" name="b4a18394-bda6-4ec4-aefb-f819112455b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062929021e84ef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910</xdr:row>
      <xdr:rowOff>19050</xdr:rowOff>
    </xdr:from>
    <xdr:ext cx="1143000" cy="1143000"/>
    <xdr:pic>
      <xdr:nvPicPr>
        <xdr:cNvPr id="908" name="5aebeae2-c763-45c0-a3c0-80699e46bf6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7c24388d8c240d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911</xdr:row>
      <xdr:rowOff>19050</xdr:rowOff>
    </xdr:from>
    <xdr:ext cx="1143000" cy="1143000"/>
    <xdr:pic>
      <xdr:nvPicPr>
        <xdr:cNvPr id="909" name="a02399d6-7e32-43d7-b8ea-258aad0104b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566b6a6e21947d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912</xdr:row>
      <xdr:rowOff>19050</xdr:rowOff>
    </xdr:from>
    <xdr:ext cx="1143000" cy="1143000"/>
    <xdr:pic>
      <xdr:nvPicPr>
        <xdr:cNvPr id="910" name="a739713e-560e-4211-b014-aa0ef6881d3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029d494f57747a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913</xdr:row>
      <xdr:rowOff>19050</xdr:rowOff>
    </xdr:from>
    <xdr:ext cx="1143000" cy="1143000"/>
    <xdr:pic>
      <xdr:nvPicPr>
        <xdr:cNvPr id="911" name="efa7f1c9-425c-4b2a-b4e1-0abfb956437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684293b62a043b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914</xdr:row>
      <xdr:rowOff>19050</xdr:rowOff>
    </xdr:from>
    <xdr:ext cx="1143000" cy="1143000"/>
    <xdr:pic>
      <xdr:nvPicPr>
        <xdr:cNvPr id="912" name="4f47197b-2ba0-4164-895b-2e2dc0d93d8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9293484cac1492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915</xdr:row>
      <xdr:rowOff>19050</xdr:rowOff>
    </xdr:from>
    <xdr:ext cx="1143000" cy="1143000"/>
    <xdr:pic>
      <xdr:nvPicPr>
        <xdr:cNvPr id="913" name="2b8bf4fa-8e56-42fc-bb00-3092c3c4e20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aca4b87fb1a47c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916</xdr:row>
      <xdr:rowOff>19050</xdr:rowOff>
    </xdr:from>
    <xdr:ext cx="1143000" cy="1143000"/>
    <xdr:pic>
      <xdr:nvPicPr>
        <xdr:cNvPr id="914" name="695bb32c-99a7-4a69-a77d-418e60a4451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ae7ccdf733741e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917</xdr:row>
      <xdr:rowOff>19050</xdr:rowOff>
    </xdr:from>
    <xdr:ext cx="1143000" cy="1143000"/>
    <xdr:pic>
      <xdr:nvPicPr>
        <xdr:cNvPr id="915" name="59f8a290-fe68-4668-a3de-52f2cd24dea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18bcde585d544f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918</xdr:row>
      <xdr:rowOff>19050</xdr:rowOff>
    </xdr:from>
    <xdr:ext cx="1143000" cy="1143000"/>
    <xdr:pic>
      <xdr:nvPicPr>
        <xdr:cNvPr id="916" name="0b87d013-13e7-479d-ba27-438d8acbca2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14cb62347ad4ae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919</xdr:row>
      <xdr:rowOff>19050</xdr:rowOff>
    </xdr:from>
    <xdr:ext cx="1143000" cy="1143000"/>
    <xdr:pic>
      <xdr:nvPicPr>
        <xdr:cNvPr id="917" name="d7919140-8682-4aaa-97cc-2665859d270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d3e02e7a5e64b8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920</xdr:row>
      <xdr:rowOff>19050</xdr:rowOff>
    </xdr:from>
    <xdr:ext cx="1143000" cy="1143000"/>
    <xdr:pic>
      <xdr:nvPicPr>
        <xdr:cNvPr id="918" name="1b4fbcc9-2876-4610-b6d1-de9688b7b17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0a6382cfaa14ef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921</xdr:row>
      <xdr:rowOff>19050</xdr:rowOff>
    </xdr:from>
    <xdr:ext cx="1143000" cy="1143000"/>
    <xdr:pic>
      <xdr:nvPicPr>
        <xdr:cNvPr id="919" name="41ac6c5b-9e2a-4d84-a96b-151ceaa453e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52da712437e40b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922</xdr:row>
      <xdr:rowOff>19050</xdr:rowOff>
    </xdr:from>
    <xdr:ext cx="1143000" cy="1143000"/>
    <xdr:pic>
      <xdr:nvPicPr>
        <xdr:cNvPr id="920" name="cde3bf42-329e-4dbd-aba0-42ba12fc5aa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7156c1250754ef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923</xdr:row>
      <xdr:rowOff>19050</xdr:rowOff>
    </xdr:from>
    <xdr:ext cx="1143000" cy="1143000"/>
    <xdr:pic>
      <xdr:nvPicPr>
        <xdr:cNvPr id="921" name="9e35240b-719e-41b3-b71f-539971a4ac5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6362285ef124dd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924</xdr:row>
      <xdr:rowOff>19050</xdr:rowOff>
    </xdr:from>
    <xdr:ext cx="1143000" cy="1143000"/>
    <xdr:pic>
      <xdr:nvPicPr>
        <xdr:cNvPr id="922" name="68be32b3-88f0-44c3-a0b4-46e412da15f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1130a7f0d624a6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925</xdr:row>
      <xdr:rowOff>19050</xdr:rowOff>
    </xdr:from>
    <xdr:ext cx="1143000" cy="1143000"/>
    <xdr:pic>
      <xdr:nvPicPr>
        <xdr:cNvPr id="923" name="cbfd519b-d674-4163-94c2-d9a9069d95d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73b13a835cd410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926</xdr:row>
      <xdr:rowOff>19050</xdr:rowOff>
    </xdr:from>
    <xdr:ext cx="1143000" cy="1143000"/>
    <xdr:pic>
      <xdr:nvPicPr>
        <xdr:cNvPr id="924" name="f0f92cd6-e242-4c85-adc2-ae0b43fe38d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b6605527cf94c9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927</xdr:row>
      <xdr:rowOff>19050</xdr:rowOff>
    </xdr:from>
    <xdr:ext cx="1143000" cy="1143000"/>
    <xdr:pic>
      <xdr:nvPicPr>
        <xdr:cNvPr id="925" name="d26710db-8059-4615-8118-14de3a544ab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5b1d13b7db4401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928</xdr:row>
      <xdr:rowOff>19050</xdr:rowOff>
    </xdr:from>
    <xdr:ext cx="1143000" cy="1143000"/>
    <xdr:pic>
      <xdr:nvPicPr>
        <xdr:cNvPr id="926" name="a977b02f-71df-462e-a5eb-5996734001a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4885919d7a44c9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929</xdr:row>
      <xdr:rowOff>19050</xdr:rowOff>
    </xdr:from>
    <xdr:ext cx="1143000" cy="1143000"/>
    <xdr:pic>
      <xdr:nvPicPr>
        <xdr:cNvPr id="927" name="e161b014-75f5-435f-89ff-d7b223f436f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bedc0a77250487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930</xdr:row>
      <xdr:rowOff>19050</xdr:rowOff>
    </xdr:from>
    <xdr:ext cx="1143000" cy="1143000"/>
    <xdr:pic>
      <xdr:nvPicPr>
        <xdr:cNvPr id="928" name="a3460f07-6548-4871-bd3f-7c881e59bd2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2cf8b919c7f43d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931</xdr:row>
      <xdr:rowOff>19050</xdr:rowOff>
    </xdr:from>
    <xdr:ext cx="1143000" cy="1143000"/>
    <xdr:pic>
      <xdr:nvPicPr>
        <xdr:cNvPr id="929" name="df0710d0-1c42-4b9c-bdaf-3afd12c77c8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accf91fe0154cb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932</xdr:row>
      <xdr:rowOff>19050</xdr:rowOff>
    </xdr:from>
    <xdr:ext cx="1143000" cy="1143000"/>
    <xdr:pic>
      <xdr:nvPicPr>
        <xdr:cNvPr id="930" name="48ff9d3f-89ed-4476-831e-ae4e6190e53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dd71f7569a6416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933</xdr:row>
      <xdr:rowOff>19050</xdr:rowOff>
    </xdr:from>
    <xdr:ext cx="1143000" cy="1143000"/>
    <xdr:pic>
      <xdr:nvPicPr>
        <xdr:cNvPr id="931" name="b4e8b4e5-71c3-4fcc-bbe6-b35d7917f45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85ed6fdf50b48a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934</xdr:row>
      <xdr:rowOff>19050</xdr:rowOff>
    </xdr:from>
    <xdr:ext cx="1143000" cy="1143000"/>
    <xdr:pic>
      <xdr:nvPicPr>
        <xdr:cNvPr id="932" name="53e0fb63-f088-48ae-a727-2884b32da97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1a9c5fd71b14e4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935</xdr:row>
      <xdr:rowOff>19050</xdr:rowOff>
    </xdr:from>
    <xdr:ext cx="1143000" cy="1143000"/>
    <xdr:pic>
      <xdr:nvPicPr>
        <xdr:cNvPr id="933" name="301e8142-981b-400d-a093-75b41efb6e9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4f254014e7b490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936</xdr:row>
      <xdr:rowOff>19050</xdr:rowOff>
    </xdr:from>
    <xdr:ext cx="1143000" cy="1143000"/>
    <xdr:pic>
      <xdr:nvPicPr>
        <xdr:cNvPr id="934" name="d1c218a6-3d39-4d6f-815e-b036f33cf9c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ebff60d0e094d6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937</xdr:row>
      <xdr:rowOff>19050</xdr:rowOff>
    </xdr:from>
    <xdr:ext cx="1143000" cy="1143000"/>
    <xdr:pic>
      <xdr:nvPicPr>
        <xdr:cNvPr id="935" name="97b4c5b3-9e4a-4fe7-90ad-d8a876620a7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f449b1150ef42e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938</xdr:row>
      <xdr:rowOff>19050</xdr:rowOff>
    </xdr:from>
    <xdr:ext cx="1143000" cy="1143000"/>
    <xdr:pic>
      <xdr:nvPicPr>
        <xdr:cNvPr id="936" name="e66695b6-0dbd-46af-9d3e-776cdfe6f54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838d82c4a71472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939</xdr:row>
      <xdr:rowOff>19050</xdr:rowOff>
    </xdr:from>
    <xdr:ext cx="1143000" cy="1143000"/>
    <xdr:pic>
      <xdr:nvPicPr>
        <xdr:cNvPr id="937" name="6780aae3-27c4-46f2-9268-9d89750c49b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8a0f1dd47074da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940</xdr:row>
      <xdr:rowOff>19050</xdr:rowOff>
    </xdr:from>
    <xdr:ext cx="1143000" cy="1143000"/>
    <xdr:pic>
      <xdr:nvPicPr>
        <xdr:cNvPr id="938" name="df9ae5a7-23b0-4fbf-88ed-210ba736eeb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3ce1ce0b9d84c7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941</xdr:row>
      <xdr:rowOff>19050</xdr:rowOff>
    </xdr:from>
    <xdr:ext cx="1143000" cy="1143000"/>
    <xdr:pic>
      <xdr:nvPicPr>
        <xdr:cNvPr id="939" name="e54f0f9e-4442-4e59-8ab1-73257b79df3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f1cd4bac894494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942</xdr:row>
      <xdr:rowOff>19050</xdr:rowOff>
    </xdr:from>
    <xdr:ext cx="1143000" cy="1143000"/>
    <xdr:pic>
      <xdr:nvPicPr>
        <xdr:cNvPr id="940" name="25258c50-708d-4f67-b934-b5b14333352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e3bc06da6564c7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943</xdr:row>
      <xdr:rowOff>19050</xdr:rowOff>
    </xdr:from>
    <xdr:ext cx="1143000" cy="1143000"/>
    <xdr:pic>
      <xdr:nvPicPr>
        <xdr:cNvPr id="941" name="f28e3c89-d1c3-4de1-a920-9638924d03c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0709f96ba1f463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944</xdr:row>
      <xdr:rowOff>19050</xdr:rowOff>
    </xdr:from>
    <xdr:ext cx="1143000" cy="1143000"/>
    <xdr:pic>
      <xdr:nvPicPr>
        <xdr:cNvPr id="942" name="12f8613d-489e-4e1c-ba5b-70152a35a9e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ce1e68d2292462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945</xdr:row>
      <xdr:rowOff>19050</xdr:rowOff>
    </xdr:from>
    <xdr:ext cx="1143000" cy="1143000"/>
    <xdr:pic>
      <xdr:nvPicPr>
        <xdr:cNvPr id="943" name="1b0a40b7-f57e-4bce-bbde-925b3b1b2c4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96f94b982ea42c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946</xdr:row>
      <xdr:rowOff>19050</xdr:rowOff>
    </xdr:from>
    <xdr:ext cx="1143000" cy="1143000"/>
    <xdr:pic>
      <xdr:nvPicPr>
        <xdr:cNvPr id="944" name="94ac1990-cf09-4b1a-9111-ba421f28b90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fc23b3a93814d3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947</xdr:row>
      <xdr:rowOff>19050</xdr:rowOff>
    </xdr:from>
    <xdr:ext cx="1143000" cy="1143000"/>
    <xdr:pic>
      <xdr:nvPicPr>
        <xdr:cNvPr id="945" name="5eb04ccd-79cd-4d2d-b7a0-2278698003b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3bfd634e5c1460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948</xdr:row>
      <xdr:rowOff>19050</xdr:rowOff>
    </xdr:from>
    <xdr:ext cx="1143000" cy="1143000"/>
    <xdr:pic>
      <xdr:nvPicPr>
        <xdr:cNvPr id="946" name="daeb9c31-ccce-4336-979e-65b7d2d42ba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84460396748417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949</xdr:row>
      <xdr:rowOff>19050</xdr:rowOff>
    </xdr:from>
    <xdr:ext cx="1143000" cy="1143000"/>
    <xdr:pic>
      <xdr:nvPicPr>
        <xdr:cNvPr id="947" name="3648ea9b-037e-422d-a3ae-52c05e56ab6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1b8ebd6cd514e3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950</xdr:row>
      <xdr:rowOff>19050</xdr:rowOff>
    </xdr:from>
    <xdr:ext cx="1143000" cy="1143000"/>
    <xdr:pic>
      <xdr:nvPicPr>
        <xdr:cNvPr id="948" name="6f42f75f-9707-44a6-a2e1-f539f427104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798bf737ebd4ac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951</xdr:row>
      <xdr:rowOff>19050</xdr:rowOff>
    </xdr:from>
    <xdr:ext cx="1143000" cy="1143000"/>
    <xdr:pic>
      <xdr:nvPicPr>
        <xdr:cNvPr id="949" name="4c6c8491-7e77-4e5d-88fc-b88eb3c9d8a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579fc823a5c4ac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952</xdr:row>
      <xdr:rowOff>19050</xdr:rowOff>
    </xdr:from>
    <xdr:ext cx="1143000" cy="1143000"/>
    <xdr:pic>
      <xdr:nvPicPr>
        <xdr:cNvPr id="950" name="09bd0e12-01f0-40de-8840-df50b45c7c3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e0b4c25292b4fc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953</xdr:row>
      <xdr:rowOff>19050</xdr:rowOff>
    </xdr:from>
    <xdr:ext cx="1143000" cy="1143000"/>
    <xdr:pic>
      <xdr:nvPicPr>
        <xdr:cNvPr id="951" name="f5224f01-c9e1-4177-b361-b96856a33e5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597409f002c47c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954</xdr:row>
      <xdr:rowOff>19050</xdr:rowOff>
    </xdr:from>
    <xdr:ext cx="1143000" cy="1143000"/>
    <xdr:pic>
      <xdr:nvPicPr>
        <xdr:cNvPr id="952" name="fb9b20e3-ff61-404c-9529-c2ca5e6b1d1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24b66db13144ab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955</xdr:row>
      <xdr:rowOff>19050</xdr:rowOff>
    </xdr:from>
    <xdr:ext cx="1143000" cy="1143000"/>
    <xdr:pic>
      <xdr:nvPicPr>
        <xdr:cNvPr id="953" name="ab676647-3302-48dd-bb65-1a5c219856f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42d137be238429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956</xdr:row>
      <xdr:rowOff>19050</xdr:rowOff>
    </xdr:from>
    <xdr:ext cx="1143000" cy="1143000"/>
    <xdr:pic>
      <xdr:nvPicPr>
        <xdr:cNvPr id="954" name="885778fe-6918-48ef-9098-65d6a68333b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b4f177c4b37423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957</xdr:row>
      <xdr:rowOff>19050</xdr:rowOff>
    </xdr:from>
    <xdr:ext cx="1143000" cy="1143000"/>
    <xdr:pic>
      <xdr:nvPicPr>
        <xdr:cNvPr id="955" name="8fd3b765-2626-4e1f-83a8-e69e99476a9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323c4cadb6d445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958</xdr:row>
      <xdr:rowOff>19050</xdr:rowOff>
    </xdr:from>
    <xdr:ext cx="1143000" cy="1143000"/>
    <xdr:pic>
      <xdr:nvPicPr>
        <xdr:cNvPr id="956" name="b8b6a385-c114-4fa4-a3ba-732732007ba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1e79af5fad341c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959</xdr:row>
      <xdr:rowOff>19050</xdr:rowOff>
    </xdr:from>
    <xdr:ext cx="1143000" cy="1143000"/>
    <xdr:pic>
      <xdr:nvPicPr>
        <xdr:cNvPr id="957" name="ebc161e3-09b5-4263-916a-3af6289185d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5b44a1bbfab431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960</xdr:row>
      <xdr:rowOff>19050</xdr:rowOff>
    </xdr:from>
    <xdr:ext cx="1143000" cy="1143000"/>
    <xdr:pic>
      <xdr:nvPicPr>
        <xdr:cNvPr id="958" name="2ea070d1-e6ce-44ab-92e3-592cf18a37b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6e70beed3f9408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961</xdr:row>
      <xdr:rowOff>19050</xdr:rowOff>
    </xdr:from>
    <xdr:ext cx="1143000" cy="1143000"/>
    <xdr:pic>
      <xdr:nvPicPr>
        <xdr:cNvPr id="959" name="1ec8077d-1f4a-42bb-94d5-374e447efe2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f69cf6f6a154d9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962</xdr:row>
      <xdr:rowOff>19050</xdr:rowOff>
    </xdr:from>
    <xdr:ext cx="1143000" cy="1143000"/>
    <xdr:pic>
      <xdr:nvPicPr>
        <xdr:cNvPr id="960" name="49fbe75f-99c1-40c0-a31c-bdd1459fc0d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4035cbcb67e400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963</xdr:row>
      <xdr:rowOff>19050</xdr:rowOff>
    </xdr:from>
    <xdr:ext cx="1143000" cy="1143000"/>
    <xdr:pic>
      <xdr:nvPicPr>
        <xdr:cNvPr id="961" name="b05e9c1f-659e-4126-8f54-7c2f20a21ad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f545e31a11d437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964</xdr:row>
      <xdr:rowOff>19050</xdr:rowOff>
    </xdr:from>
    <xdr:ext cx="1143000" cy="1143000"/>
    <xdr:pic>
      <xdr:nvPicPr>
        <xdr:cNvPr id="962" name="3fca46fb-4230-4ccf-ac9a-e3a4ffccc29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32791c511a047a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965</xdr:row>
      <xdr:rowOff>19050</xdr:rowOff>
    </xdr:from>
    <xdr:ext cx="1143000" cy="1143000"/>
    <xdr:pic>
      <xdr:nvPicPr>
        <xdr:cNvPr id="963" name="7683ebbc-64ed-4885-a817-5f5d8f0974b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b37f62f4d12459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966</xdr:row>
      <xdr:rowOff>19050</xdr:rowOff>
    </xdr:from>
    <xdr:ext cx="1143000" cy="1143000"/>
    <xdr:pic>
      <xdr:nvPicPr>
        <xdr:cNvPr id="964" name="3ba89e3d-7b8e-4706-b8ef-130e7ae2955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c6647c2b0874f0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967</xdr:row>
      <xdr:rowOff>19050</xdr:rowOff>
    </xdr:from>
    <xdr:ext cx="1143000" cy="1143000"/>
    <xdr:pic>
      <xdr:nvPicPr>
        <xdr:cNvPr id="965" name="044364aa-e0b8-4409-9ebf-fbcc7d3999d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ef9ff70f6e34db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968</xdr:row>
      <xdr:rowOff>19050</xdr:rowOff>
    </xdr:from>
    <xdr:ext cx="1143000" cy="1143000"/>
    <xdr:pic>
      <xdr:nvPicPr>
        <xdr:cNvPr id="966" name="da40d8ad-2709-4517-9452-d3715135579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e707af65e44410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969</xdr:row>
      <xdr:rowOff>19050</xdr:rowOff>
    </xdr:from>
    <xdr:ext cx="1143000" cy="1143000"/>
    <xdr:pic>
      <xdr:nvPicPr>
        <xdr:cNvPr id="967" name="9a9ce0c3-a27c-4cb8-8675-fc7b8a65476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9cf964674784f5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970</xdr:row>
      <xdr:rowOff>19050</xdr:rowOff>
    </xdr:from>
    <xdr:ext cx="1143000" cy="1143000"/>
    <xdr:pic>
      <xdr:nvPicPr>
        <xdr:cNvPr id="968" name="13829116-3f54-45e4-8509-a1a41514616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761fbff831943a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971</xdr:row>
      <xdr:rowOff>19050</xdr:rowOff>
    </xdr:from>
    <xdr:ext cx="1143000" cy="1143000"/>
    <xdr:pic>
      <xdr:nvPicPr>
        <xdr:cNvPr id="969" name="7483f910-2074-47fb-b8ef-14e5442419a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ea0620885fb47e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972</xdr:row>
      <xdr:rowOff>19050</xdr:rowOff>
    </xdr:from>
    <xdr:ext cx="1143000" cy="1143000"/>
    <xdr:pic>
      <xdr:nvPicPr>
        <xdr:cNvPr id="970" name="a16b0cc4-b4af-4d5e-b387-7144b84b0e9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5fb62036ca94a6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973</xdr:row>
      <xdr:rowOff>19050</xdr:rowOff>
    </xdr:from>
    <xdr:ext cx="1143000" cy="1143000"/>
    <xdr:pic>
      <xdr:nvPicPr>
        <xdr:cNvPr id="971" name="2a3ed2b3-25c3-4004-9ab3-f2e0fdda6c8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a9e4bd5d9fc445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974</xdr:row>
      <xdr:rowOff>19050</xdr:rowOff>
    </xdr:from>
    <xdr:ext cx="1143000" cy="1143000"/>
    <xdr:pic>
      <xdr:nvPicPr>
        <xdr:cNvPr id="972" name="ffe3f08a-298e-46f6-8a77-fa2659da563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c74f6293f254db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975</xdr:row>
      <xdr:rowOff>19050</xdr:rowOff>
    </xdr:from>
    <xdr:ext cx="1143000" cy="1143000"/>
    <xdr:pic>
      <xdr:nvPicPr>
        <xdr:cNvPr id="973" name="7ebf1ef8-2b41-4e82-9a19-8d060716cc1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06015fd36594e9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976</xdr:row>
      <xdr:rowOff>19050</xdr:rowOff>
    </xdr:from>
    <xdr:ext cx="1143000" cy="1143000"/>
    <xdr:pic>
      <xdr:nvPicPr>
        <xdr:cNvPr id="974" name="83e90563-1ba9-4b32-a2f3-084ac4a4096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4a182bbdf034a7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977</xdr:row>
      <xdr:rowOff>19050</xdr:rowOff>
    </xdr:from>
    <xdr:ext cx="1143000" cy="1143000"/>
    <xdr:pic>
      <xdr:nvPicPr>
        <xdr:cNvPr id="975" name="98177793-fba5-45bc-a9df-0cd74149298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72f535d4af1487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978</xdr:row>
      <xdr:rowOff>19050</xdr:rowOff>
    </xdr:from>
    <xdr:ext cx="1143000" cy="1143000"/>
    <xdr:pic>
      <xdr:nvPicPr>
        <xdr:cNvPr id="976" name="76399fcb-3b88-4d9f-8ddd-57b8cb4fc29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3f472ceea59449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979</xdr:row>
      <xdr:rowOff>19050</xdr:rowOff>
    </xdr:from>
    <xdr:ext cx="1143000" cy="1143000"/>
    <xdr:pic>
      <xdr:nvPicPr>
        <xdr:cNvPr id="977" name="5cd18a56-83ca-4dbc-ad55-e8a2cb21430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414263be09a48b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980</xdr:row>
      <xdr:rowOff>19050</xdr:rowOff>
    </xdr:from>
    <xdr:ext cx="1143000" cy="1143000"/>
    <xdr:pic>
      <xdr:nvPicPr>
        <xdr:cNvPr id="978" name="e1cc6d96-e643-4d68-aef7-2e15261ec81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d9afd11f4eb41e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981</xdr:row>
      <xdr:rowOff>19050</xdr:rowOff>
    </xdr:from>
    <xdr:ext cx="1143000" cy="1143000"/>
    <xdr:pic>
      <xdr:nvPicPr>
        <xdr:cNvPr id="979" name="f91575ec-122b-4678-b281-38cd9471952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58e90c8d31846d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982</xdr:row>
      <xdr:rowOff>19050</xdr:rowOff>
    </xdr:from>
    <xdr:ext cx="1143000" cy="1143000"/>
    <xdr:pic>
      <xdr:nvPicPr>
        <xdr:cNvPr id="980" name="34a188b1-8e08-4832-9263-c5443ddf5e6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1ab2c903f084ad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983</xdr:row>
      <xdr:rowOff>19050</xdr:rowOff>
    </xdr:from>
    <xdr:ext cx="1143000" cy="1143000"/>
    <xdr:pic>
      <xdr:nvPicPr>
        <xdr:cNvPr id="981" name="1bd79a5b-445b-4b9a-9ff7-e9526185508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9d032bd8068438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984</xdr:row>
      <xdr:rowOff>19050</xdr:rowOff>
    </xdr:from>
    <xdr:ext cx="1143000" cy="1143000"/>
    <xdr:pic>
      <xdr:nvPicPr>
        <xdr:cNvPr id="982" name="70b947f4-439e-48d5-946a-2439a11b6c7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4dc66b87574423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985</xdr:row>
      <xdr:rowOff>19050</xdr:rowOff>
    </xdr:from>
    <xdr:ext cx="1143000" cy="1143000"/>
    <xdr:pic>
      <xdr:nvPicPr>
        <xdr:cNvPr id="983" name="06ab1ae9-2d45-415e-ab54-6c808d5ff8b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32bc27a058d4fd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986</xdr:row>
      <xdr:rowOff>19050</xdr:rowOff>
    </xdr:from>
    <xdr:ext cx="1143000" cy="1143000"/>
    <xdr:pic>
      <xdr:nvPicPr>
        <xdr:cNvPr id="984" name="a083ec6e-f0ab-4302-8c07-828579cc131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9e022724461498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987</xdr:row>
      <xdr:rowOff>19050</xdr:rowOff>
    </xdr:from>
    <xdr:ext cx="1143000" cy="1143000"/>
    <xdr:pic>
      <xdr:nvPicPr>
        <xdr:cNvPr id="985" name="8383ae86-6f70-4a6c-90cf-b93f93a5e23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caa78d7c6a6423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988</xdr:row>
      <xdr:rowOff>19050</xdr:rowOff>
    </xdr:from>
    <xdr:ext cx="1143000" cy="1143000"/>
    <xdr:pic>
      <xdr:nvPicPr>
        <xdr:cNvPr id="986" name="97abaa62-368e-4079-b9d2-073b43a82ae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bc1b3c1173244d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989</xdr:row>
      <xdr:rowOff>19050</xdr:rowOff>
    </xdr:from>
    <xdr:ext cx="1143000" cy="1143000"/>
    <xdr:pic>
      <xdr:nvPicPr>
        <xdr:cNvPr id="987" name="548df681-ea51-4d88-861f-ee2d517147e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89e217305544b4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990</xdr:row>
      <xdr:rowOff>19050</xdr:rowOff>
    </xdr:from>
    <xdr:ext cx="1143000" cy="1143000"/>
    <xdr:pic>
      <xdr:nvPicPr>
        <xdr:cNvPr id="988" name="4907e4b9-6d53-4ea9-ba60-7d763ad48bb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d2fe9dccc5f484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991</xdr:row>
      <xdr:rowOff>19050</xdr:rowOff>
    </xdr:from>
    <xdr:ext cx="1143000" cy="1143000"/>
    <xdr:pic>
      <xdr:nvPicPr>
        <xdr:cNvPr id="989" name="2da1ed77-9833-44b7-b497-86ba68fa270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3ca208bead84c0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992</xdr:row>
      <xdr:rowOff>19050</xdr:rowOff>
    </xdr:from>
    <xdr:ext cx="1143000" cy="1143000"/>
    <xdr:pic>
      <xdr:nvPicPr>
        <xdr:cNvPr id="990" name="375cffa5-6c14-4659-8229-8d95e0529b7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1b9a82fa2fc48a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993</xdr:row>
      <xdr:rowOff>19050</xdr:rowOff>
    </xdr:from>
    <xdr:ext cx="1143000" cy="1143000"/>
    <xdr:pic>
      <xdr:nvPicPr>
        <xdr:cNvPr id="991" name="da12e83d-cce9-42a5-a266-05be85de5cc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c7b382c30a04ed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994</xdr:row>
      <xdr:rowOff>19050</xdr:rowOff>
    </xdr:from>
    <xdr:ext cx="1143000" cy="1143000"/>
    <xdr:pic>
      <xdr:nvPicPr>
        <xdr:cNvPr id="992" name="913a61cf-e77e-4f55-84b4-aa9a8dab7b8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66e8639ef5140e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995</xdr:row>
      <xdr:rowOff>19050</xdr:rowOff>
    </xdr:from>
    <xdr:ext cx="1143000" cy="1143000"/>
    <xdr:pic>
      <xdr:nvPicPr>
        <xdr:cNvPr id="993" name="c4f7cf42-5aca-4b6a-a649-1edfdda330a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37b43e03c7644f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996</xdr:row>
      <xdr:rowOff>19050</xdr:rowOff>
    </xdr:from>
    <xdr:ext cx="1143000" cy="1143000"/>
    <xdr:pic>
      <xdr:nvPicPr>
        <xdr:cNvPr id="994" name="68c697c1-4729-4b09-883c-c6dcb126197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b38528450b541d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997</xdr:row>
      <xdr:rowOff>19050</xdr:rowOff>
    </xdr:from>
    <xdr:ext cx="1143000" cy="1143000"/>
    <xdr:pic>
      <xdr:nvPicPr>
        <xdr:cNvPr id="995" name="1686ceb0-62ed-4a7d-a092-811aa95952c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ab1dc33ef204b5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998</xdr:row>
      <xdr:rowOff>19050</xdr:rowOff>
    </xdr:from>
    <xdr:ext cx="1143000" cy="1143000"/>
    <xdr:pic>
      <xdr:nvPicPr>
        <xdr:cNvPr id="996" name="c7604966-40d9-4a38-ae8f-8a0c3f9669e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4b743f5a839422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999</xdr:row>
      <xdr:rowOff>19050</xdr:rowOff>
    </xdr:from>
    <xdr:ext cx="1143000" cy="1143000"/>
    <xdr:pic>
      <xdr:nvPicPr>
        <xdr:cNvPr id="997" name="5db12b5f-29f6-4e09-8a9a-f2027f7b603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549f2eb67c8479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1000</xdr:row>
      <xdr:rowOff>19050</xdr:rowOff>
    </xdr:from>
    <xdr:ext cx="1143000" cy="1143000"/>
    <xdr:pic>
      <xdr:nvPicPr>
        <xdr:cNvPr id="998" name="e56461b0-2dbb-40cd-b618-db7e8c4fd2f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29751f2e2dd437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1001</xdr:row>
      <xdr:rowOff>19050</xdr:rowOff>
    </xdr:from>
    <xdr:ext cx="1143000" cy="1143000"/>
    <xdr:pic>
      <xdr:nvPicPr>
        <xdr:cNvPr id="999" name="b4988de3-2332-4bb2-878d-d31b207b454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80f5b627bd7487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1002</xdr:row>
      <xdr:rowOff>19050</xdr:rowOff>
    </xdr:from>
    <xdr:ext cx="1143000" cy="1143000"/>
    <xdr:pic>
      <xdr:nvPicPr>
        <xdr:cNvPr id="1000" name="d1d52d88-a90e-433c-b31a-e052faf6bff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db586a4b0094aa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1003</xdr:row>
      <xdr:rowOff>19050</xdr:rowOff>
    </xdr:from>
    <xdr:ext cx="1143000" cy="1143000"/>
    <xdr:pic>
      <xdr:nvPicPr>
        <xdr:cNvPr id="1001" name="916a42d5-c970-4ef9-a29b-11d9c0c6d7e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f432173c1634ae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1004</xdr:row>
      <xdr:rowOff>19050</xdr:rowOff>
    </xdr:from>
    <xdr:ext cx="1143000" cy="1143000"/>
    <xdr:pic>
      <xdr:nvPicPr>
        <xdr:cNvPr id="1002" name="199c1d1a-0026-4c5a-a62a-b80bec961ec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be2ebe2e7344b6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1005</xdr:row>
      <xdr:rowOff>19050</xdr:rowOff>
    </xdr:from>
    <xdr:ext cx="1143000" cy="1143000"/>
    <xdr:pic>
      <xdr:nvPicPr>
        <xdr:cNvPr id="1003" name="e816930e-37f6-41d7-b522-e590a5c1ef2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a002b84d96840c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1006</xdr:row>
      <xdr:rowOff>19050</xdr:rowOff>
    </xdr:from>
    <xdr:ext cx="1143000" cy="1143000"/>
    <xdr:pic>
      <xdr:nvPicPr>
        <xdr:cNvPr id="1004" name="811beee9-4829-4228-8b2a-d03f2c07abe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aef677f273b47c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1007</xdr:row>
      <xdr:rowOff>19050</xdr:rowOff>
    </xdr:from>
    <xdr:ext cx="1143000" cy="1143000"/>
    <xdr:pic>
      <xdr:nvPicPr>
        <xdr:cNvPr id="1005" name="f6944ceb-d382-4c31-9e4b-09646237f0e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00d9033912f4b9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1008</xdr:row>
      <xdr:rowOff>19050</xdr:rowOff>
    </xdr:from>
    <xdr:ext cx="1143000" cy="1143000"/>
    <xdr:pic>
      <xdr:nvPicPr>
        <xdr:cNvPr id="1006" name="d695f71a-0fdb-4680-aec0-8f710d69a5b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75e783cd542498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1009</xdr:row>
      <xdr:rowOff>19050</xdr:rowOff>
    </xdr:from>
    <xdr:ext cx="1143000" cy="1143000"/>
    <xdr:pic>
      <xdr:nvPicPr>
        <xdr:cNvPr id="1007" name="e20b1c5d-430a-403a-bc90-643981c01da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1c26c01e4a840d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1010</xdr:row>
      <xdr:rowOff>19050</xdr:rowOff>
    </xdr:from>
    <xdr:ext cx="1143000" cy="1143000"/>
    <xdr:pic>
      <xdr:nvPicPr>
        <xdr:cNvPr id="1008" name="b21b01a7-8578-4912-8552-51e31362f03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b918f702ece4aa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1011</xdr:row>
      <xdr:rowOff>19050</xdr:rowOff>
    </xdr:from>
    <xdr:ext cx="1143000" cy="1143000"/>
    <xdr:pic>
      <xdr:nvPicPr>
        <xdr:cNvPr id="1009" name="f81c11ce-37a8-4394-8141-8f82cf8e90a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984ee8aadf943e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1012</xdr:row>
      <xdr:rowOff>19050</xdr:rowOff>
    </xdr:from>
    <xdr:ext cx="1143000" cy="1143000"/>
    <xdr:pic>
      <xdr:nvPicPr>
        <xdr:cNvPr id="1010" name="8a5bc255-c55c-4d77-a1e8-87b1ac6642d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4ddd7759bf9409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1013</xdr:row>
      <xdr:rowOff>19050</xdr:rowOff>
    </xdr:from>
    <xdr:ext cx="1143000" cy="1143000"/>
    <xdr:pic>
      <xdr:nvPicPr>
        <xdr:cNvPr id="1011" name="c305b57d-d3dd-48f3-a115-67e188ab52a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5020980bb36421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1014</xdr:row>
      <xdr:rowOff>19050</xdr:rowOff>
    </xdr:from>
    <xdr:ext cx="1143000" cy="1143000"/>
    <xdr:pic>
      <xdr:nvPicPr>
        <xdr:cNvPr id="1012" name="b057b4fa-5acf-4c8f-beff-46d054524af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27a649a0ae74cc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1015</xdr:row>
      <xdr:rowOff>19050</xdr:rowOff>
    </xdr:from>
    <xdr:ext cx="1143000" cy="1143000"/>
    <xdr:pic>
      <xdr:nvPicPr>
        <xdr:cNvPr id="1013" name="dd39b6d5-061f-4a64-b930-29555c31506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d7a832ef1344b2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1016</xdr:row>
      <xdr:rowOff>19050</xdr:rowOff>
    </xdr:from>
    <xdr:ext cx="1143000" cy="1143000"/>
    <xdr:pic>
      <xdr:nvPicPr>
        <xdr:cNvPr id="1014" name="1d9aa661-0555-4f31-897b-7cc5e8b0ba8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e8aae80c90249c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1017</xdr:row>
      <xdr:rowOff>19050</xdr:rowOff>
    </xdr:from>
    <xdr:ext cx="1143000" cy="1143000"/>
    <xdr:pic>
      <xdr:nvPicPr>
        <xdr:cNvPr id="1015" name="1d4fdd1b-5618-4edc-8ff4-a86780a8a61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3151780345f4bc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1018</xdr:row>
      <xdr:rowOff>19050</xdr:rowOff>
    </xdr:from>
    <xdr:ext cx="1143000" cy="1143000"/>
    <xdr:pic>
      <xdr:nvPicPr>
        <xdr:cNvPr id="1016" name="0c20eaea-d11d-4a1d-96ff-1d06bf5ca54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7d570deb8bd44b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1019</xdr:row>
      <xdr:rowOff>19050</xdr:rowOff>
    </xdr:from>
    <xdr:ext cx="1143000" cy="1143000"/>
    <xdr:pic>
      <xdr:nvPicPr>
        <xdr:cNvPr id="1017" name="e42501a7-6329-4820-8363-3798174796a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4b5c6640f6841d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1020</xdr:row>
      <xdr:rowOff>19050</xdr:rowOff>
    </xdr:from>
    <xdr:ext cx="1143000" cy="1143000"/>
    <xdr:pic>
      <xdr:nvPicPr>
        <xdr:cNvPr id="1018" name="bea9059a-9a6a-44b1-8d2f-050e1b2d71c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202d66570cb4c8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1021</xdr:row>
      <xdr:rowOff>19050</xdr:rowOff>
    </xdr:from>
    <xdr:ext cx="1143000" cy="1143000"/>
    <xdr:pic>
      <xdr:nvPicPr>
        <xdr:cNvPr id="1019" name="736501bb-7cbe-498d-a9ee-fffa651337c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87e91360e6349b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1022</xdr:row>
      <xdr:rowOff>19050</xdr:rowOff>
    </xdr:from>
    <xdr:ext cx="1143000" cy="1143000"/>
    <xdr:pic>
      <xdr:nvPicPr>
        <xdr:cNvPr id="1020" name="95eee5a5-1682-4827-9654-88e58bb7b88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2d301664765447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1023</xdr:row>
      <xdr:rowOff>19050</xdr:rowOff>
    </xdr:from>
    <xdr:ext cx="1143000" cy="1143000"/>
    <xdr:pic>
      <xdr:nvPicPr>
        <xdr:cNvPr id="1021" name="e56db1bb-b47a-4d2c-be28-a5e596c7d36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38f4a64f1d3483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1024</xdr:row>
      <xdr:rowOff>19050</xdr:rowOff>
    </xdr:from>
    <xdr:ext cx="1143000" cy="1143000"/>
    <xdr:pic>
      <xdr:nvPicPr>
        <xdr:cNvPr id="1022" name="2eb76cf7-4f91-4ad7-b880-36ba294332d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8329d8879af40b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1025</xdr:row>
      <xdr:rowOff>19050</xdr:rowOff>
    </xdr:from>
    <xdr:ext cx="1143000" cy="1143000"/>
    <xdr:pic>
      <xdr:nvPicPr>
        <xdr:cNvPr id="1023" name="1b7657e8-68e8-4ec7-b630-0e77f8caae3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4890d1519af4a5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1026</xdr:row>
      <xdr:rowOff>19050</xdr:rowOff>
    </xdr:from>
    <xdr:ext cx="1143000" cy="1143000"/>
    <xdr:pic>
      <xdr:nvPicPr>
        <xdr:cNvPr id="1024" name="f69c2ff9-4fc9-4203-a018-54394d94dc0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f8451ad1f6f471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1027</xdr:row>
      <xdr:rowOff>19050</xdr:rowOff>
    </xdr:from>
    <xdr:ext cx="1143000" cy="1143000"/>
    <xdr:pic>
      <xdr:nvPicPr>
        <xdr:cNvPr id="1025" name="34facb2e-6328-4b95-9a0b-cc240641367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713391edcf04f3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1028</xdr:row>
      <xdr:rowOff>19050</xdr:rowOff>
    </xdr:from>
    <xdr:ext cx="1143000" cy="1143000"/>
    <xdr:pic>
      <xdr:nvPicPr>
        <xdr:cNvPr id="1026" name="26c50b54-8872-427c-852e-13fc36a62cf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d9f3540949748d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1029</xdr:row>
      <xdr:rowOff>19050</xdr:rowOff>
    </xdr:from>
    <xdr:ext cx="1143000" cy="1143000"/>
    <xdr:pic>
      <xdr:nvPicPr>
        <xdr:cNvPr id="1027" name="8cc7f78d-5312-4f06-b0a9-1028d92637a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a5798ade1ff478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1030</xdr:row>
      <xdr:rowOff>19050</xdr:rowOff>
    </xdr:from>
    <xdr:ext cx="1143000" cy="1143000"/>
    <xdr:pic>
      <xdr:nvPicPr>
        <xdr:cNvPr id="1028" name="2a420f28-4af5-4e2b-9317-18bc8ccf1e1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20767d527cc424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1031</xdr:row>
      <xdr:rowOff>19050</xdr:rowOff>
    </xdr:from>
    <xdr:ext cx="1143000" cy="1143000"/>
    <xdr:pic>
      <xdr:nvPicPr>
        <xdr:cNvPr id="1029" name="a5bdc713-7b7f-42aa-85ae-098572f94c1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8cef2e4dd304ef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1032</xdr:row>
      <xdr:rowOff>19050</xdr:rowOff>
    </xdr:from>
    <xdr:ext cx="1143000" cy="1143000"/>
    <xdr:pic>
      <xdr:nvPicPr>
        <xdr:cNvPr id="1030" name="e61eb142-d0d4-41ad-a70a-7e67a8316c1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c0d0a22e4e746c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1033</xdr:row>
      <xdr:rowOff>19050</xdr:rowOff>
    </xdr:from>
    <xdr:ext cx="1143000" cy="1143000"/>
    <xdr:pic>
      <xdr:nvPicPr>
        <xdr:cNvPr id="1031" name="88d767ff-704e-4011-bf40-5a906057433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b9b7b875dac4e1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1034</xdr:row>
      <xdr:rowOff>19050</xdr:rowOff>
    </xdr:from>
    <xdr:ext cx="1143000" cy="1143000"/>
    <xdr:pic>
      <xdr:nvPicPr>
        <xdr:cNvPr id="1032" name="d2f800a8-7a32-4d68-88ac-6575463a207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1afbe178ba8400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1035</xdr:row>
      <xdr:rowOff>19050</xdr:rowOff>
    </xdr:from>
    <xdr:ext cx="1143000" cy="1143000"/>
    <xdr:pic>
      <xdr:nvPicPr>
        <xdr:cNvPr id="1033" name="da169781-6925-48f0-b1ef-f811f24385a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3b209ca7d214a0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1036</xdr:row>
      <xdr:rowOff>19050</xdr:rowOff>
    </xdr:from>
    <xdr:ext cx="1143000" cy="1143000"/>
    <xdr:pic>
      <xdr:nvPicPr>
        <xdr:cNvPr id="1034" name="a6ebff37-e0be-47bd-8e77-c668bc0ce6e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590f54c72b141e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1037</xdr:row>
      <xdr:rowOff>19050</xdr:rowOff>
    </xdr:from>
    <xdr:ext cx="1143000" cy="1143000"/>
    <xdr:pic>
      <xdr:nvPicPr>
        <xdr:cNvPr id="1035" name="0bd94cdd-3a05-4ca5-82ee-5080cc92d91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1daaecbdb6f460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1038</xdr:row>
      <xdr:rowOff>19050</xdr:rowOff>
    </xdr:from>
    <xdr:ext cx="1143000" cy="1143000"/>
    <xdr:pic>
      <xdr:nvPicPr>
        <xdr:cNvPr id="1036" name="0ea538b7-c45d-4c98-972e-855906f7c65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9ca739f238d4b7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1039</xdr:row>
      <xdr:rowOff>19050</xdr:rowOff>
    </xdr:from>
    <xdr:ext cx="1143000" cy="1143000"/>
    <xdr:pic>
      <xdr:nvPicPr>
        <xdr:cNvPr id="1037" name="ba816365-423b-4ed7-a8c7-68f8d2a86ab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e0c2b3d21ba46f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1040</xdr:row>
      <xdr:rowOff>19050</xdr:rowOff>
    </xdr:from>
    <xdr:ext cx="1143000" cy="1143000"/>
    <xdr:pic>
      <xdr:nvPicPr>
        <xdr:cNvPr id="1038" name="91ee2038-b733-452a-8bbe-c2a6df11f85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625b7b63a0d42a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1041</xdr:row>
      <xdr:rowOff>19050</xdr:rowOff>
    </xdr:from>
    <xdr:ext cx="1143000" cy="1143000"/>
    <xdr:pic>
      <xdr:nvPicPr>
        <xdr:cNvPr id="1039" name="0e9b60d1-a01c-410b-a16f-c35650ec6e9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bccdf71d3614a3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1042</xdr:row>
      <xdr:rowOff>19050</xdr:rowOff>
    </xdr:from>
    <xdr:ext cx="1143000" cy="1143000"/>
    <xdr:pic>
      <xdr:nvPicPr>
        <xdr:cNvPr id="1040" name="03ce1f23-752a-40b3-acb0-169a2e9c2e5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73f7c62dcfd4e2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1043</xdr:row>
      <xdr:rowOff>19050</xdr:rowOff>
    </xdr:from>
    <xdr:ext cx="1143000" cy="1143000"/>
    <xdr:pic>
      <xdr:nvPicPr>
        <xdr:cNvPr id="1041" name="f11dea58-2fb5-41f3-8185-0d993386bdf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9811c8a2f214e5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1044</xdr:row>
      <xdr:rowOff>19050</xdr:rowOff>
    </xdr:from>
    <xdr:ext cx="1143000" cy="1143000"/>
    <xdr:pic>
      <xdr:nvPicPr>
        <xdr:cNvPr id="1042" name="0ef1f4f6-83f0-4387-a5c4-4f600797733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150bb8e81fe495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1045</xdr:row>
      <xdr:rowOff>19050</xdr:rowOff>
    </xdr:from>
    <xdr:ext cx="1143000" cy="1143000"/>
    <xdr:pic>
      <xdr:nvPicPr>
        <xdr:cNvPr id="1043" name="df9b0f33-59e3-4f82-aed1-d11cb756a75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caece5bf202442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1046</xdr:row>
      <xdr:rowOff>19050</xdr:rowOff>
    </xdr:from>
    <xdr:ext cx="1143000" cy="1143000"/>
    <xdr:pic>
      <xdr:nvPicPr>
        <xdr:cNvPr id="1044" name="d52c810a-d9e1-4204-a878-56549586fda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09968f1fd5549d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1047</xdr:row>
      <xdr:rowOff>19050</xdr:rowOff>
    </xdr:from>
    <xdr:ext cx="1143000" cy="1143000"/>
    <xdr:pic>
      <xdr:nvPicPr>
        <xdr:cNvPr id="1045" name="d0cfdc12-05c7-4963-ad13-1e30b6dbe8d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d78e89cf94a4aa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1048</xdr:row>
      <xdr:rowOff>19050</xdr:rowOff>
    </xdr:from>
    <xdr:ext cx="1143000" cy="1143000"/>
    <xdr:pic>
      <xdr:nvPicPr>
        <xdr:cNvPr id="1046" name="158df414-fb34-4fb1-93b3-df132b92469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6f8426e468d417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1049</xdr:row>
      <xdr:rowOff>19050</xdr:rowOff>
    </xdr:from>
    <xdr:ext cx="1143000" cy="1143000"/>
    <xdr:pic>
      <xdr:nvPicPr>
        <xdr:cNvPr id="1047" name="8663d39e-749f-46db-9768-213254bb572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42d4e2d2847463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1050</xdr:row>
      <xdr:rowOff>19050</xdr:rowOff>
    </xdr:from>
    <xdr:ext cx="1143000" cy="1143000"/>
    <xdr:pic>
      <xdr:nvPicPr>
        <xdr:cNvPr id="1048" name="3a3ffde3-a74b-4707-a108-d6d3a4e601a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8d3832242254cf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1051</xdr:row>
      <xdr:rowOff>19050</xdr:rowOff>
    </xdr:from>
    <xdr:ext cx="1143000" cy="1143000"/>
    <xdr:pic>
      <xdr:nvPicPr>
        <xdr:cNvPr id="1049" name="bbe306f0-0ff0-4373-92b1-9117899b0eb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df436525682470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1052</xdr:row>
      <xdr:rowOff>19050</xdr:rowOff>
    </xdr:from>
    <xdr:ext cx="1143000" cy="1143000"/>
    <xdr:pic>
      <xdr:nvPicPr>
        <xdr:cNvPr id="1050" name="c28ba9d7-cfe0-43db-8bb8-2b836ac9d9d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38bd9c70099425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1053</xdr:row>
      <xdr:rowOff>19050</xdr:rowOff>
    </xdr:from>
    <xdr:ext cx="1143000" cy="1143000"/>
    <xdr:pic>
      <xdr:nvPicPr>
        <xdr:cNvPr id="1051" name="b40d66b7-5bc8-4a08-91a6-711bb57e22e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41ca0834b09422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1054</xdr:row>
      <xdr:rowOff>19050</xdr:rowOff>
    </xdr:from>
    <xdr:ext cx="1143000" cy="1143000"/>
    <xdr:pic>
      <xdr:nvPicPr>
        <xdr:cNvPr id="1052" name="93aefb9d-33ac-4aa4-93ae-26e1f013dab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747d12c22a142f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1055</xdr:row>
      <xdr:rowOff>19050</xdr:rowOff>
    </xdr:from>
    <xdr:ext cx="1143000" cy="1143000"/>
    <xdr:pic>
      <xdr:nvPicPr>
        <xdr:cNvPr id="1053" name="2a3074d1-49db-4f3a-aece-1259c6471f6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a1eea932d1f4be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1056</xdr:row>
      <xdr:rowOff>19050</xdr:rowOff>
    </xdr:from>
    <xdr:ext cx="1143000" cy="1143000"/>
    <xdr:pic>
      <xdr:nvPicPr>
        <xdr:cNvPr id="1054" name="5f4536be-3397-473c-84bb-73870c2e556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e5a759517f747d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1057</xdr:row>
      <xdr:rowOff>19050</xdr:rowOff>
    </xdr:from>
    <xdr:ext cx="1143000" cy="1143000"/>
    <xdr:pic>
      <xdr:nvPicPr>
        <xdr:cNvPr id="1055" name="b58163c6-5e00-41db-a4c1-f204527633b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742a6d6567f48e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1058</xdr:row>
      <xdr:rowOff>19050</xdr:rowOff>
    </xdr:from>
    <xdr:ext cx="1143000" cy="1143000"/>
    <xdr:pic>
      <xdr:nvPicPr>
        <xdr:cNvPr id="1056" name="89f7ac31-d09b-4984-be3c-6b0f2db8e01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85cfbc1577940f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1059</xdr:row>
      <xdr:rowOff>19050</xdr:rowOff>
    </xdr:from>
    <xdr:ext cx="1143000" cy="1143000"/>
    <xdr:pic>
      <xdr:nvPicPr>
        <xdr:cNvPr id="1057" name="f76f944f-dd65-41fc-a50b-8a698589e5a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22d9ae61f59455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1060</xdr:row>
      <xdr:rowOff>19050</xdr:rowOff>
    </xdr:from>
    <xdr:ext cx="1143000" cy="1143000"/>
    <xdr:pic>
      <xdr:nvPicPr>
        <xdr:cNvPr id="1058" name="7b2861e8-d150-4f74-9ed7-fcfeef363e5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d49a1f1822c453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1061</xdr:row>
      <xdr:rowOff>19050</xdr:rowOff>
    </xdr:from>
    <xdr:ext cx="1143000" cy="1143000"/>
    <xdr:pic>
      <xdr:nvPicPr>
        <xdr:cNvPr id="1059" name="28679768-3fae-47ac-b6c5-cdf0192c030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7c4499d54314a9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1062</xdr:row>
      <xdr:rowOff>19050</xdr:rowOff>
    </xdr:from>
    <xdr:ext cx="1143000" cy="1143000"/>
    <xdr:pic>
      <xdr:nvPicPr>
        <xdr:cNvPr id="1060" name="5e7c822f-4126-4c49-8409-04f5a84a72d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1705951c6354d7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1063</xdr:row>
      <xdr:rowOff>19050</xdr:rowOff>
    </xdr:from>
    <xdr:ext cx="1143000" cy="1143000"/>
    <xdr:pic>
      <xdr:nvPicPr>
        <xdr:cNvPr id="1061" name="e3e00663-6604-4542-846e-0c7bc406e0b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53e53346ca8400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1064</xdr:row>
      <xdr:rowOff>19050</xdr:rowOff>
    </xdr:from>
    <xdr:ext cx="1143000" cy="1143000"/>
    <xdr:pic>
      <xdr:nvPicPr>
        <xdr:cNvPr id="1062" name="56dd2c02-b77c-4ebc-83f3-df96f69777a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3b80e2c0ec34dc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1065</xdr:row>
      <xdr:rowOff>19050</xdr:rowOff>
    </xdr:from>
    <xdr:ext cx="1143000" cy="1143000"/>
    <xdr:pic>
      <xdr:nvPicPr>
        <xdr:cNvPr id="1063" name="c94ec934-c89f-4d69-8ec3-7516d40748b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96f588f3517480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1066</xdr:row>
      <xdr:rowOff>19050</xdr:rowOff>
    </xdr:from>
    <xdr:ext cx="1143000" cy="1143000"/>
    <xdr:pic>
      <xdr:nvPicPr>
        <xdr:cNvPr id="1064" name="ca043536-32f0-45b9-90b1-1315d62d743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8372286dfab472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1067</xdr:row>
      <xdr:rowOff>19050</xdr:rowOff>
    </xdr:from>
    <xdr:ext cx="1143000" cy="1143000"/>
    <xdr:pic>
      <xdr:nvPicPr>
        <xdr:cNvPr id="1065" name="e4690c43-4f28-4496-8bfa-53684132c2d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aee2955246a4ca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1068</xdr:row>
      <xdr:rowOff>19050</xdr:rowOff>
    </xdr:from>
    <xdr:ext cx="1143000" cy="1143000"/>
    <xdr:pic>
      <xdr:nvPicPr>
        <xdr:cNvPr id="1066" name="e262b46f-3d08-4b1b-bce8-d6f10340fae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091bd0a6da340c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1069</xdr:row>
      <xdr:rowOff>19050</xdr:rowOff>
    </xdr:from>
    <xdr:ext cx="1143000" cy="1143000"/>
    <xdr:pic>
      <xdr:nvPicPr>
        <xdr:cNvPr id="1067" name="3cc63cf7-ed75-42f4-b524-87aa63881c1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7645592b8fa46c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1070</xdr:row>
      <xdr:rowOff>19050</xdr:rowOff>
    </xdr:from>
    <xdr:ext cx="1143000" cy="1143000"/>
    <xdr:pic>
      <xdr:nvPicPr>
        <xdr:cNvPr id="1068" name="47fc2647-059c-4032-acff-b490e22e6ff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39bc02e47434a5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1071</xdr:row>
      <xdr:rowOff>19050</xdr:rowOff>
    </xdr:from>
    <xdr:ext cx="1143000" cy="1143000"/>
    <xdr:pic>
      <xdr:nvPicPr>
        <xdr:cNvPr id="1069" name="4518b12a-b234-4652-8d0c-f3a8300f0a4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94d8965300e470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1072</xdr:row>
      <xdr:rowOff>19050</xdr:rowOff>
    </xdr:from>
    <xdr:ext cx="1143000" cy="1143000"/>
    <xdr:pic>
      <xdr:nvPicPr>
        <xdr:cNvPr id="1070" name="c55fdfde-6747-4bb1-a4b6-b87e9b843a0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38b11c49bd44b9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1073</xdr:row>
      <xdr:rowOff>19050</xdr:rowOff>
    </xdr:from>
    <xdr:ext cx="1143000" cy="1143000"/>
    <xdr:pic>
      <xdr:nvPicPr>
        <xdr:cNvPr id="1071" name="42a3c9fd-730b-4c4d-9e9d-70ac66878d2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249c1026e0c476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1074</xdr:row>
      <xdr:rowOff>19050</xdr:rowOff>
    </xdr:from>
    <xdr:ext cx="1143000" cy="1143000"/>
    <xdr:pic>
      <xdr:nvPicPr>
        <xdr:cNvPr id="1072" name="d48e95ed-556a-4679-a489-fffabec6248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2b56a40e48f4a0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1075</xdr:row>
      <xdr:rowOff>19050</xdr:rowOff>
    </xdr:from>
    <xdr:ext cx="1143000" cy="1143000"/>
    <xdr:pic>
      <xdr:nvPicPr>
        <xdr:cNvPr id="1073" name="a4bdd875-96a2-49b0-8f8a-2a3dbb55789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3611cc44bf1493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1076</xdr:row>
      <xdr:rowOff>19050</xdr:rowOff>
    </xdr:from>
    <xdr:ext cx="1143000" cy="1143000"/>
    <xdr:pic>
      <xdr:nvPicPr>
        <xdr:cNvPr id="1074" name="178bb913-a006-4f61-9dd7-902d451d7bb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a9f8086585d453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1077</xdr:row>
      <xdr:rowOff>19050</xdr:rowOff>
    </xdr:from>
    <xdr:ext cx="1143000" cy="1143000"/>
    <xdr:pic>
      <xdr:nvPicPr>
        <xdr:cNvPr id="1075" name="3ee1c156-fc08-4b7d-93f7-c386fd9109a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7a92e38a4de4aa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1078</xdr:row>
      <xdr:rowOff>19050</xdr:rowOff>
    </xdr:from>
    <xdr:ext cx="1143000" cy="1143000"/>
    <xdr:pic>
      <xdr:nvPicPr>
        <xdr:cNvPr id="1076" name="217edcf4-2a7c-4a5b-b915-a83617642cf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d3d2dd42e68431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1079</xdr:row>
      <xdr:rowOff>19050</xdr:rowOff>
    </xdr:from>
    <xdr:ext cx="1143000" cy="1143000"/>
    <xdr:pic>
      <xdr:nvPicPr>
        <xdr:cNvPr id="1077" name="3d62b98a-f7ed-4574-86ce-a4fd7aeb8db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c4b32ddff81465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1080</xdr:row>
      <xdr:rowOff>19050</xdr:rowOff>
    </xdr:from>
    <xdr:ext cx="1143000" cy="1143000"/>
    <xdr:pic>
      <xdr:nvPicPr>
        <xdr:cNvPr id="1078" name="fa7180d5-b1ad-447a-91e1-fcee4273c97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f76b1345d97441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1081</xdr:row>
      <xdr:rowOff>19050</xdr:rowOff>
    </xdr:from>
    <xdr:ext cx="1143000" cy="1143000"/>
    <xdr:pic>
      <xdr:nvPicPr>
        <xdr:cNvPr id="1079" name="2e73c0f1-2316-4b15-88b5-8a7208312e9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48a69ddd6f94a6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1082</xdr:row>
      <xdr:rowOff>19050</xdr:rowOff>
    </xdr:from>
    <xdr:ext cx="1143000" cy="1143000"/>
    <xdr:pic>
      <xdr:nvPicPr>
        <xdr:cNvPr id="1080" name="6b22c7ec-16b4-425f-9185-513b15d2a78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49b85bc86d0432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1083</xdr:row>
      <xdr:rowOff>19050</xdr:rowOff>
    </xdr:from>
    <xdr:ext cx="1143000" cy="1143000"/>
    <xdr:pic>
      <xdr:nvPicPr>
        <xdr:cNvPr id="1081" name="76ae8756-c811-4078-b464-47134a721d3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904dd59f5914a4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1084</xdr:row>
      <xdr:rowOff>19050</xdr:rowOff>
    </xdr:from>
    <xdr:ext cx="1143000" cy="1143000"/>
    <xdr:pic>
      <xdr:nvPicPr>
        <xdr:cNvPr id="1082" name="e1360c29-bf04-430a-8222-af6a4d17381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37cf968b54c472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1085</xdr:row>
      <xdr:rowOff>19050</xdr:rowOff>
    </xdr:from>
    <xdr:ext cx="1143000" cy="1143000"/>
    <xdr:pic>
      <xdr:nvPicPr>
        <xdr:cNvPr id="1083" name="fba7177b-fd6f-42f3-bde4-69ba57ec422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0ff78a8a0324ca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1086</xdr:row>
      <xdr:rowOff>19050</xdr:rowOff>
    </xdr:from>
    <xdr:ext cx="1143000" cy="1143000"/>
    <xdr:pic>
      <xdr:nvPicPr>
        <xdr:cNvPr id="1084" name="52accd60-4a86-4f4b-994a-f275cd8cae6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b97a02d0aca44d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1087</xdr:row>
      <xdr:rowOff>19050</xdr:rowOff>
    </xdr:from>
    <xdr:ext cx="1143000" cy="1143000"/>
    <xdr:pic>
      <xdr:nvPicPr>
        <xdr:cNvPr id="1085" name="0633e777-d1ec-4034-bdd5-eb8786c1dbe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d52e7f53e0e49c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1088</xdr:row>
      <xdr:rowOff>19050</xdr:rowOff>
    </xdr:from>
    <xdr:ext cx="1143000" cy="1143000"/>
    <xdr:pic>
      <xdr:nvPicPr>
        <xdr:cNvPr id="1086" name="c5fb1f0f-185a-4806-8416-37990cca64c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ac4844024a1411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1089</xdr:row>
      <xdr:rowOff>19050</xdr:rowOff>
    </xdr:from>
    <xdr:ext cx="1143000" cy="1143000"/>
    <xdr:pic>
      <xdr:nvPicPr>
        <xdr:cNvPr id="1087" name="39c2106c-0242-4025-a949-ba84fdd5f87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eabfa69ca424c6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1090</xdr:row>
      <xdr:rowOff>19050</xdr:rowOff>
    </xdr:from>
    <xdr:ext cx="1143000" cy="1143000"/>
    <xdr:pic>
      <xdr:nvPicPr>
        <xdr:cNvPr id="1088" name="1a7fd309-a4ea-40a9-b1c3-157fc9bb8e6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c35e9e97ab84dc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1091</xdr:row>
      <xdr:rowOff>19050</xdr:rowOff>
    </xdr:from>
    <xdr:ext cx="1143000" cy="1143000"/>
    <xdr:pic>
      <xdr:nvPicPr>
        <xdr:cNvPr id="1089" name="1c3462ae-9b9f-4e87-b618-a082a0e8309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a4b35de0e6a48d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1092</xdr:row>
      <xdr:rowOff>19050</xdr:rowOff>
    </xdr:from>
    <xdr:ext cx="1143000" cy="1143000"/>
    <xdr:pic>
      <xdr:nvPicPr>
        <xdr:cNvPr id="1090" name="3fc42ef3-d113-458e-8e6a-0898d22add1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56b7b966771434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1093</xdr:row>
      <xdr:rowOff>19050</xdr:rowOff>
    </xdr:from>
    <xdr:ext cx="1143000" cy="1143000"/>
    <xdr:pic>
      <xdr:nvPicPr>
        <xdr:cNvPr id="1091" name="141a7a7f-8001-4cd6-bfd1-ce72ca419b0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5ad8f6d4515498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1094</xdr:row>
      <xdr:rowOff>19050</xdr:rowOff>
    </xdr:from>
    <xdr:ext cx="1143000" cy="1143000"/>
    <xdr:pic>
      <xdr:nvPicPr>
        <xdr:cNvPr id="1092" name="ca988880-f43a-4410-ad53-06ca3c57d87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70c77267ccd46a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1095</xdr:row>
      <xdr:rowOff>19050</xdr:rowOff>
    </xdr:from>
    <xdr:ext cx="1143000" cy="1143000"/>
    <xdr:pic>
      <xdr:nvPicPr>
        <xdr:cNvPr id="1093" name="fad32d6c-a0fd-4cf9-a861-b89e68d6475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be54a36458943c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1096</xdr:row>
      <xdr:rowOff>19050</xdr:rowOff>
    </xdr:from>
    <xdr:ext cx="1143000" cy="1143000"/>
    <xdr:pic>
      <xdr:nvPicPr>
        <xdr:cNvPr id="1094" name="439da049-299b-4d4c-8743-ee21a0a002f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2b0837224e64a7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1097</xdr:row>
      <xdr:rowOff>19050</xdr:rowOff>
    </xdr:from>
    <xdr:ext cx="1143000" cy="1143000"/>
    <xdr:pic>
      <xdr:nvPicPr>
        <xdr:cNvPr id="1095" name="e8718683-ee12-49ac-91ba-a14ec48d757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01fb402796441b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1098</xdr:row>
      <xdr:rowOff>19050</xdr:rowOff>
    </xdr:from>
    <xdr:ext cx="1143000" cy="1143000"/>
    <xdr:pic>
      <xdr:nvPicPr>
        <xdr:cNvPr id="1096" name="8a0f2965-b34e-449d-99ea-d7f7a96b5e2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5b4ac6d74e2448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1099</xdr:row>
      <xdr:rowOff>19050</xdr:rowOff>
    </xdr:from>
    <xdr:ext cx="1143000" cy="1143000"/>
    <xdr:pic>
      <xdr:nvPicPr>
        <xdr:cNvPr id="1097" name="a558f74a-9a9a-420b-a04e-395fff69370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1e7c4461f5046b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1100</xdr:row>
      <xdr:rowOff>19050</xdr:rowOff>
    </xdr:from>
    <xdr:ext cx="1143000" cy="1143000"/>
    <xdr:pic>
      <xdr:nvPicPr>
        <xdr:cNvPr id="1098" name="826d2f26-a9a5-4991-a2bb-3d1d95295a3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ddc8a2b49bf4b2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1101</xdr:row>
      <xdr:rowOff>19050</xdr:rowOff>
    </xdr:from>
    <xdr:ext cx="1143000" cy="1143000"/>
    <xdr:pic>
      <xdr:nvPicPr>
        <xdr:cNvPr id="1099" name="c6152eaa-cab6-43ca-ac97-2310a1dbbd3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dd9f18d4a644ad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1102</xdr:row>
      <xdr:rowOff>19050</xdr:rowOff>
    </xdr:from>
    <xdr:ext cx="1143000" cy="1143000"/>
    <xdr:pic>
      <xdr:nvPicPr>
        <xdr:cNvPr id="1100" name="40dde1c5-dd01-455c-a5ff-6519b70bfb7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20fd9298724441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1103</xdr:row>
      <xdr:rowOff>19050</xdr:rowOff>
    </xdr:from>
    <xdr:ext cx="1143000" cy="1143000"/>
    <xdr:pic>
      <xdr:nvPicPr>
        <xdr:cNvPr id="1101" name="cd5c455b-138c-4ded-b364-dad38132cf7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387111075de414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1104</xdr:row>
      <xdr:rowOff>19050</xdr:rowOff>
    </xdr:from>
    <xdr:ext cx="1143000" cy="1143000"/>
    <xdr:pic>
      <xdr:nvPicPr>
        <xdr:cNvPr id="1102" name="0ab95660-e4b3-4ab8-a23b-59e14369127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188b7fbb33540c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1105</xdr:row>
      <xdr:rowOff>19050</xdr:rowOff>
    </xdr:from>
    <xdr:ext cx="1143000" cy="1143000"/>
    <xdr:pic>
      <xdr:nvPicPr>
        <xdr:cNvPr id="1103" name="777aaa0e-806d-49cc-8e0e-f3f79577ee7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fdbd908a8bc4da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1106</xdr:row>
      <xdr:rowOff>19050</xdr:rowOff>
    </xdr:from>
    <xdr:ext cx="1143000" cy="1143000"/>
    <xdr:pic>
      <xdr:nvPicPr>
        <xdr:cNvPr id="1104" name="4935790c-5e79-49bb-9e37-8c4d20960c6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caf12286ca74bd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1107</xdr:row>
      <xdr:rowOff>19050</xdr:rowOff>
    </xdr:from>
    <xdr:ext cx="1143000" cy="1143000"/>
    <xdr:pic>
      <xdr:nvPicPr>
        <xdr:cNvPr id="1105" name="a2254028-ee88-4827-9793-50246a7a973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9284fbba39d437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1108</xdr:row>
      <xdr:rowOff>19050</xdr:rowOff>
    </xdr:from>
    <xdr:ext cx="1143000" cy="1143000"/>
    <xdr:pic>
      <xdr:nvPicPr>
        <xdr:cNvPr id="1106" name="cda86d1c-5064-4179-9a43-2f7ff596290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fcf856b431843a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1109</xdr:row>
      <xdr:rowOff>19050</xdr:rowOff>
    </xdr:from>
    <xdr:ext cx="1143000" cy="1143000"/>
    <xdr:pic>
      <xdr:nvPicPr>
        <xdr:cNvPr id="1107" name="54de6704-52f7-4aa1-a059-a2242266389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dee48659f4a472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1110</xdr:row>
      <xdr:rowOff>19050</xdr:rowOff>
    </xdr:from>
    <xdr:ext cx="1143000" cy="1143000"/>
    <xdr:pic>
      <xdr:nvPicPr>
        <xdr:cNvPr id="1108" name="eb7ae9cd-8c95-471f-ae39-9b2fe4222e3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23e5f256dca4bc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1111</xdr:row>
      <xdr:rowOff>19050</xdr:rowOff>
    </xdr:from>
    <xdr:ext cx="1143000" cy="1143000"/>
    <xdr:pic>
      <xdr:nvPicPr>
        <xdr:cNvPr id="1109" name="31c2acea-f762-4cfd-a279-fbb4ccb6f30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2b890736ccf464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1112</xdr:row>
      <xdr:rowOff>19050</xdr:rowOff>
    </xdr:from>
    <xdr:ext cx="1143000" cy="1143000"/>
    <xdr:pic>
      <xdr:nvPicPr>
        <xdr:cNvPr id="1110" name="f1ea6ed6-922d-4126-80e9-d99a7c4349f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5fdce72b27f411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1113</xdr:row>
      <xdr:rowOff>19050</xdr:rowOff>
    </xdr:from>
    <xdr:ext cx="1143000" cy="1143000"/>
    <xdr:pic>
      <xdr:nvPicPr>
        <xdr:cNvPr id="1111" name="02e4bd9a-7d2b-4881-88a4-ad11590a48b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7146ad385cf4ed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1114</xdr:row>
      <xdr:rowOff>19050</xdr:rowOff>
    </xdr:from>
    <xdr:ext cx="1143000" cy="1143000"/>
    <xdr:pic>
      <xdr:nvPicPr>
        <xdr:cNvPr id="1112" name="5de744f9-42f1-4fb6-9bfa-b855b9fd28c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ce823db1dae4de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1115</xdr:row>
      <xdr:rowOff>19050</xdr:rowOff>
    </xdr:from>
    <xdr:ext cx="1143000" cy="1143000"/>
    <xdr:pic>
      <xdr:nvPicPr>
        <xdr:cNvPr id="1113" name="692007d9-63ca-4e15-9cc9-3a579330abf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ab995b550f14cf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1116</xdr:row>
      <xdr:rowOff>19050</xdr:rowOff>
    </xdr:from>
    <xdr:ext cx="1143000" cy="1143000"/>
    <xdr:pic>
      <xdr:nvPicPr>
        <xdr:cNvPr id="1114" name="52588542-785d-4e71-b302-4e4e7753a80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ea6787215aa4f2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1117</xdr:row>
      <xdr:rowOff>19050</xdr:rowOff>
    </xdr:from>
    <xdr:ext cx="1143000" cy="1143000"/>
    <xdr:pic>
      <xdr:nvPicPr>
        <xdr:cNvPr id="1115" name="5067e911-bc08-47a5-b0a6-2cf18601966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0fe0e95532f407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1118</xdr:row>
      <xdr:rowOff>19050</xdr:rowOff>
    </xdr:from>
    <xdr:ext cx="1143000" cy="1143000"/>
    <xdr:pic>
      <xdr:nvPicPr>
        <xdr:cNvPr id="1116" name="165d1257-b5a8-412c-99fd-31da231abd9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9d5ce5199f5496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1119</xdr:row>
      <xdr:rowOff>19050</xdr:rowOff>
    </xdr:from>
    <xdr:ext cx="1143000" cy="1143000"/>
    <xdr:pic>
      <xdr:nvPicPr>
        <xdr:cNvPr id="1117" name="18020563-8b96-4ecf-b09c-68f81471371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bf46a252b804b5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1120</xdr:row>
      <xdr:rowOff>19050</xdr:rowOff>
    </xdr:from>
    <xdr:ext cx="1143000" cy="1143000"/>
    <xdr:pic>
      <xdr:nvPicPr>
        <xdr:cNvPr id="1118" name="723b1d38-7a04-4b7b-8acb-632213bd48a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20e30d433fe449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1121</xdr:row>
      <xdr:rowOff>19050</xdr:rowOff>
    </xdr:from>
    <xdr:ext cx="1143000" cy="1143000"/>
    <xdr:pic>
      <xdr:nvPicPr>
        <xdr:cNvPr id="1119" name="7c9a3c45-9f06-4a3b-956a-3d4965b69c4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ce406eca4f14ea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1122</xdr:row>
      <xdr:rowOff>19050</xdr:rowOff>
    </xdr:from>
    <xdr:ext cx="1143000" cy="1143000"/>
    <xdr:pic>
      <xdr:nvPicPr>
        <xdr:cNvPr id="1120" name="3dbe6936-fab6-41b5-ba0c-a6ad9af307c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b3c33396659441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1123</xdr:row>
      <xdr:rowOff>19050</xdr:rowOff>
    </xdr:from>
    <xdr:ext cx="1143000" cy="1143000"/>
    <xdr:pic>
      <xdr:nvPicPr>
        <xdr:cNvPr id="1121" name="d323c34b-8c67-469c-bb08-763ca137fb7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91ecd403cd54ca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1124</xdr:row>
      <xdr:rowOff>19050</xdr:rowOff>
    </xdr:from>
    <xdr:ext cx="1143000" cy="1143000"/>
    <xdr:pic>
      <xdr:nvPicPr>
        <xdr:cNvPr id="1122" name="a5459376-3772-45bb-ae96-e43d7504c68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395648e8eb74e7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1125</xdr:row>
      <xdr:rowOff>19050</xdr:rowOff>
    </xdr:from>
    <xdr:ext cx="1143000" cy="1143000"/>
    <xdr:pic>
      <xdr:nvPicPr>
        <xdr:cNvPr id="1123" name="d4dba369-a9f4-4e81-9baf-4e4cf3d1a48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9fbad33db9047a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1126</xdr:row>
      <xdr:rowOff>19050</xdr:rowOff>
    </xdr:from>
    <xdr:ext cx="1143000" cy="1143000"/>
    <xdr:pic>
      <xdr:nvPicPr>
        <xdr:cNvPr id="1124" name="c5cd2b0e-008e-4490-ab42-3e10ac2b36d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338c9ba546b4cd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1127</xdr:row>
      <xdr:rowOff>19050</xdr:rowOff>
    </xdr:from>
    <xdr:ext cx="1143000" cy="1143000"/>
    <xdr:pic>
      <xdr:nvPicPr>
        <xdr:cNvPr id="1125" name="849eb994-47d6-40ef-828b-027a2332eba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c617828c58044b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1128</xdr:row>
      <xdr:rowOff>19050</xdr:rowOff>
    </xdr:from>
    <xdr:ext cx="1143000" cy="1143000"/>
    <xdr:pic>
      <xdr:nvPicPr>
        <xdr:cNvPr id="1126" name="09658e1c-af80-4aa8-b240-f254be27462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edd4dc7a17b4b8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1129</xdr:row>
      <xdr:rowOff>19050</xdr:rowOff>
    </xdr:from>
    <xdr:ext cx="1143000" cy="1143000"/>
    <xdr:pic>
      <xdr:nvPicPr>
        <xdr:cNvPr id="1127" name="55201c2a-89cd-4751-a224-e26a57ad811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a99418a797949c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1130</xdr:row>
      <xdr:rowOff>19050</xdr:rowOff>
    </xdr:from>
    <xdr:ext cx="1143000" cy="1143000"/>
    <xdr:pic>
      <xdr:nvPicPr>
        <xdr:cNvPr id="1128" name="329cf0a0-9a05-4cb9-baeb-5af1111576c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831440d9ea14ba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1131</xdr:row>
      <xdr:rowOff>19050</xdr:rowOff>
    </xdr:from>
    <xdr:ext cx="1143000" cy="1143000"/>
    <xdr:pic>
      <xdr:nvPicPr>
        <xdr:cNvPr id="1129" name="3b0d71ed-f14b-46d8-8178-81b8bc3e93d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c8dcf796ba3415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1132</xdr:row>
      <xdr:rowOff>19050</xdr:rowOff>
    </xdr:from>
    <xdr:ext cx="1143000" cy="1143000"/>
    <xdr:pic>
      <xdr:nvPicPr>
        <xdr:cNvPr id="1130" name="e3956281-b7bf-48a0-87de-e0b8599db11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c651c986259486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1133</xdr:row>
      <xdr:rowOff>19050</xdr:rowOff>
    </xdr:from>
    <xdr:ext cx="1143000" cy="1143000"/>
    <xdr:pic>
      <xdr:nvPicPr>
        <xdr:cNvPr id="1131" name="2e282275-ca96-4198-bf8e-60195bb4da6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3ddd1a504594af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1134</xdr:row>
      <xdr:rowOff>19050</xdr:rowOff>
    </xdr:from>
    <xdr:ext cx="1143000" cy="1143000"/>
    <xdr:pic>
      <xdr:nvPicPr>
        <xdr:cNvPr id="1132" name="265836a6-5ddd-43b9-9126-b66bb3772f2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8779390888c47b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1135</xdr:row>
      <xdr:rowOff>19050</xdr:rowOff>
    </xdr:from>
    <xdr:ext cx="1143000" cy="1143000"/>
    <xdr:pic>
      <xdr:nvPicPr>
        <xdr:cNvPr id="1133" name="9284cbc4-ad09-453d-8a9a-59817628766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fe324abc5fa4cd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1136</xdr:row>
      <xdr:rowOff>19050</xdr:rowOff>
    </xdr:from>
    <xdr:ext cx="1143000" cy="1143000"/>
    <xdr:pic>
      <xdr:nvPicPr>
        <xdr:cNvPr id="1134" name="aae81285-8f78-45af-80ec-bc85d7467ee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cb61b29a2de425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1137</xdr:row>
      <xdr:rowOff>19050</xdr:rowOff>
    </xdr:from>
    <xdr:ext cx="1143000" cy="1143000"/>
    <xdr:pic>
      <xdr:nvPicPr>
        <xdr:cNvPr id="1135" name="757919fc-5e97-40e1-a8f1-f285e057586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70b6b80b8bd470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1138</xdr:row>
      <xdr:rowOff>19050</xdr:rowOff>
    </xdr:from>
    <xdr:ext cx="1143000" cy="1143000"/>
    <xdr:pic>
      <xdr:nvPicPr>
        <xdr:cNvPr id="1136" name="52ca464c-0f2b-4f9e-94af-50dff170917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907d7e99c5d43e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1139</xdr:row>
      <xdr:rowOff>19050</xdr:rowOff>
    </xdr:from>
    <xdr:ext cx="1143000" cy="1143000"/>
    <xdr:pic>
      <xdr:nvPicPr>
        <xdr:cNvPr id="1137" name="b37ce67e-24a9-4c3a-a0ff-8208d285526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1e1232bdc01483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1140</xdr:row>
      <xdr:rowOff>19050</xdr:rowOff>
    </xdr:from>
    <xdr:ext cx="1143000" cy="1143000"/>
    <xdr:pic>
      <xdr:nvPicPr>
        <xdr:cNvPr id="1138" name="583b547d-8de7-447b-bb38-0710b7d3192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1850cfd0d8b493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1141</xdr:row>
      <xdr:rowOff>19050</xdr:rowOff>
    </xdr:from>
    <xdr:ext cx="1143000" cy="1143000"/>
    <xdr:pic>
      <xdr:nvPicPr>
        <xdr:cNvPr id="1139" name="6ead82a5-a00b-4a17-a5ad-b65ea7acc49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99bfe70a605419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1142</xdr:row>
      <xdr:rowOff>19050</xdr:rowOff>
    </xdr:from>
    <xdr:ext cx="1143000" cy="1143000"/>
    <xdr:pic>
      <xdr:nvPicPr>
        <xdr:cNvPr id="1140" name="5eadbd8d-4666-45da-aa8b-f684efac9d0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daf3a1c5120456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1143</xdr:row>
      <xdr:rowOff>19050</xdr:rowOff>
    </xdr:from>
    <xdr:ext cx="1143000" cy="1143000"/>
    <xdr:pic>
      <xdr:nvPicPr>
        <xdr:cNvPr id="1141" name="c14486cc-97c5-4268-b7bd-7be23aa16ea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1f5ddac52414a3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1144</xdr:row>
      <xdr:rowOff>19050</xdr:rowOff>
    </xdr:from>
    <xdr:ext cx="1143000" cy="1143000"/>
    <xdr:pic>
      <xdr:nvPicPr>
        <xdr:cNvPr id="1142" name="29b57878-eff4-4eee-a252-b83ce65071c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f593675bf0e48b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1145</xdr:row>
      <xdr:rowOff>19050</xdr:rowOff>
    </xdr:from>
    <xdr:ext cx="1143000" cy="1143000"/>
    <xdr:pic>
      <xdr:nvPicPr>
        <xdr:cNvPr id="1143" name="d0628b06-ea2c-47a6-b894-8e52a7c3199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f2080a5a281494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1146</xdr:row>
      <xdr:rowOff>19050</xdr:rowOff>
    </xdr:from>
    <xdr:ext cx="1143000" cy="1143000"/>
    <xdr:pic>
      <xdr:nvPicPr>
        <xdr:cNvPr id="1144" name="5f8e84f5-29e1-4f67-aa30-953ca4c0b14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b5edc37e451409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1147</xdr:row>
      <xdr:rowOff>19050</xdr:rowOff>
    </xdr:from>
    <xdr:ext cx="1143000" cy="1143000"/>
    <xdr:pic>
      <xdr:nvPicPr>
        <xdr:cNvPr id="1145" name="8f019d7e-a3c0-4a1b-80ef-bcd1b4927ca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7c83d76df5e45b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1148</xdr:row>
      <xdr:rowOff>19050</xdr:rowOff>
    </xdr:from>
    <xdr:ext cx="1143000" cy="1143000"/>
    <xdr:pic>
      <xdr:nvPicPr>
        <xdr:cNvPr id="1146" name="2546eb8b-dfe4-4a8c-aba0-73b4fbcd431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2b2f3670a8c462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1149</xdr:row>
      <xdr:rowOff>19050</xdr:rowOff>
    </xdr:from>
    <xdr:ext cx="1143000" cy="1143000"/>
    <xdr:pic>
      <xdr:nvPicPr>
        <xdr:cNvPr id="1147" name="fbbaee03-a46f-402e-9c9c-72c351c8cb4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7295aeea434404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1150</xdr:row>
      <xdr:rowOff>19050</xdr:rowOff>
    </xdr:from>
    <xdr:ext cx="1143000" cy="1143000"/>
    <xdr:pic>
      <xdr:nvPicPr>
        <xdr:cNvPr id="1148" name="c4780c8b-b0ce-45e9-894b-280d7511668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df23566fb0e423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1151</xdr:row>
      <xdr:rowOff>19050</xdr:rowOff>
    </xdr:from>
    <xdr:ext cx="1143000" cy="1143000"/>
    <xdr:pic>
      <xdr:nvPicPr>
        <xdr:cNvPr id="1149" name="f3c990df-615c-4b5b-bb36-f9a8b111c14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7f7fa424f3c4f9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1152</xdr:row>
      <xdr:rowOff>19050</xdr:rowOff>
    </xdr:from>
    <xdr:ext cx="1143000" cy="1143000"/>
    <xdr:pic>
      <xdr:nvPicPr>
        <xdr:cNvPr id="1150" name="2d903628-a45d-4a81-84c0-410bb6837e1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147b33082cf467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1153</xdr:row>
      <xdr:rowOff>19050</xdr:rowOff>
    </xdr:from>
    <xdr:ext cx="1143000" cy="1143000"/>
    <xdr:pic>
      <xdr:nvPicPr>
        <xdr:cNvPr id="1151" name="cc9d8318-7161-4f53-9ec3-ce3a9c0aa83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d8ecc4a3bae458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1154</xdr:row>
      <xdr:rowOff>19050</xdr:rowOff>
    </xdr:from>
    <xdr:ext cx="1143000" cy="1143000"/>
    <xdr:pic>
      <xdr:nvPicPr>
        <xdr:cNvPr id="1152" name="b8ec3067-0367-4e57-80cd-f5a1b44e244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0e8f7571cbe4d5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1155</xdr:row>
      <xdr:rowOff>19050</xdr:rowOff>
    </xdr:from>
    <xdr:ext cx="1143000" cy="1143000"/>
    <xdr:pic>
      <xdr:nvPicPr>
        <xdr:cNvPr id="1153" name="3ce59fa1-6637-46f9-b241-acb9ad07dd6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c555dc2ead341a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1156</xdr:row>
      <xdr:rowOff>19050</xdr:rowOff>
    </xdr:from>
    <xdr:ext cx="1143000" cy="1143000"/>
    <xdr:pic>
      <xdr:nvPicPr>
        <xdr:cNvPr id="1154" name="6183fd3c-beed-4e6e-ae9c-17a254548d3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d28c808de27432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1157</xdr:row>
      <xdr:rowOff>19050</xdr:rowOff>
    </xdr:from>
    <xdr:ext cx="1143000" cy="1143000"/>
    <xdr:pic>
      <xdr:nvPicPr>
        <xdr:cNvPr id="1155" name="ff18a004-c79a-402a-aabd-9b3d0873c5f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567a6f3e22b4dc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1158</xdr:row>
      <xdr:rowOff>19050</xdr:rowOff>
    </xdr:from>
    <xdr:ext cx="1143000" cy="1143000"/>
    <xdr:pic>
      <xdr:nvPicPr>
        <xdr:cNvPr id="1156" name="ceacfe8a-9c4f-497a-b334-e8da9a7cbda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690b5a764cb445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1159</xdr:row>
      <xdr:rowOff>19050</xdr:rowOff>
    </xdr:from>
    <xdr:ext cx="1143000" cy="1143000"/>
    <xdr:pic>
      <xdr:nvPicPr>
        <xdr:cNvPr id="1157" name="9c0c7c8e-fe51-42e7-b98d-cac980b9ebb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039a3a3ea6c429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1160</xdr:row>
      <xdr:rowOff>19050</xdr:rowOff>
    </xdr:from>
    <xdr:ext cx="1143000" cy="1143000"/>
    <xdr:pic>
      <xdr:nvPicPr>
        <xdr:cNvPr id="1158" name="f7b45563-eed2-4aaa-92e7-80b44bc35e3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a55959e9fb74a0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1161</xdr:row>
      <xdr:rowOff>19050</xdr:rowOff>
    </xdr:from>
    <xdr:ext cx="1143000" cy="1143000"/>
    <xdr:pic>
      <xdr:nvPicPr>
        <xdr:cNvPr id="1159" name="43e43d70-e759-4834-ae4b-daddc0f65fc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1f0868ee18845b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1162</xdr:row>
      <xdr:rowOff>19050</xdr:rowOff>
    </xdr:from>
    <xdr:ext cx="1143000" cy="1143000"/>
    <xdr:pic>
      <xdr:nvPicPr>
        <xdr:cNvPr id="1160" name="47e863d0-9b4b-4c5b-9605-9a037288b0d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202b00aadf74f2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1163</xdr:row>
      <xdr:rowOff>19050</xdr:rowOff>
    </xdr:from>
    <xdr:ext cx="1143000" cy="1143000"/>
    <xdr:pic>
      <xdr:nvPicPr>
        <xdr:cNvPr id="1161" name="6400f943-9e5c-4599-b112-c2310e5dbb8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5160635b58742c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1164</xdr:row>
      <xdr:rowOff>19050</xdr:rowOff>
    </xdr:from>
    <xdr:ext cx="1143000" cy="1143000"/>
    <xdr:pic>
      <xdr:nvPicPr>
        <xdr:cNvPr id="1162" name="4aad175b-f2e5-4583-a08f-2e0c7521f16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645bcc5b0054e8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1165</xdr:row>
      <xdr:rowOff>19050</xdr:rowOff>
    </xdr:from>
    <xdr:ext cx="1143000" cy="1143000"/>
    <xdr:pic>
      <xdr:nvPicPr>
        <xdr:cNvPr id="1163" name="9ba94713-e26e-4925-ac3c-5252f9d7b89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229ec3fd03e4c0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1166</xdr:row>
      <xdr:rowOff>19050</xdr:rowOff>
    </xdr:from>
    <xdr:ext cx="1143000" cy="1143000"/>
    <xdr:pic>
      <xdr:nvPicPr>
        <xdr:cNvPr id="1164" name="512ad537-17fe-4465-9533-f23588cc37b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a94c91c271d44b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1167</xdr:row>
      <xdr:rowOff>19050</xdr:rowOff>
    </xdr:from>
    <xdr:ext cx="1143000" cy="1143000"/>
    <xdr:pic>
      <xdr:nvPicPr>
        <xdr:cNvPr id="1165" name="af7d7cf5-4f7e-4786-ad3d-382cd2c928e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accd6c262864d3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1168</xdr:row>
      <xdr:rowOff>19050</xdr:rowOff>
    </xdr:from>
    <xdr:ext cx="1143000" cy="1143000"/>
    <xdr:pic>
      <xdr:nvPicPr>
        <xdr:cNvPr id="1166" name="4fd0cd0b-698a-4ba2-a419-a83739f5754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67f8af6e28f477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1169</xdr:row>
      <xdr:rowOff>19050</xdr:rowOff>
    </xdr:from>
    <xdr:ext cx="1143000" cy="1143000"/>
    <xdr:pic>
      <xdr:nvPicPr>
        <xdr:cNvPr id="1167" name="89afd15b-a970-4535-a35a-c7949188e4a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143cde591fa47c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1170</xdr:row>
      <xdr:rowOff>19050</xdr:rowOff>
    </xdr:from>
    <xdr:ext cx="1143000" cy="1143000"/>
    <xdr:pic>
      <xdr:nvPicPr>
        <xdr:cNvPr id="1168" name="d99b4b6d-61a6-4be6-b770-dab4fde9190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eeae27efda941a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1171</xdr:row>
      <xdr:rowOff>19050</xdr:rowOff>
    </xdr:from>
    <xdr:ext cx="1143000" cy="1143000"/>
    <xdr:pic>
      <xdr:nvPicPr>
        <xdr:cNvPr id="1169" name="bcbf247b-7408-4c6d-ad3d-fb513a1f2bd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94ad91d738940c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1172</xdr:row>
      <xdr:rowOff>19050</xdr:rowOff>
    </xdr:from>
    <xdr:ext cx="1143000" cy="1143000"/>
    <xdr:pic>
      <xdr:nvPicPr>
        <xdr:cNvPr id="1170" name="e7bdb7dc-b32c-4964-af1c-75ff114536d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271f715a3c14f4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1173</xdr:row>
      <xdr:rowOff>19050</xdr:rowOff>
    </xdr:from>
    <xdr:ext cx="1143000" cy="1143000"/>
    <xdr:pic>
      <xdr:nvPicPr>
        <xdr:cNvPr id="1171" name="f51625b4-4fd0-48e5-b771-fed92036bae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2ea190bafa94e2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1174</xdr:row>
      <xdr:rowOff>19050</xdr:rowOff>
    </xdr:from>
    <xdr:ext cx="1143000" cy="1143000"/>
    <xdr:pic>
      <xdr:nvPicPr>
        <xdr:cNvPr id="1172" name="631c7666-3634-48e7-b600-831f6db1322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eec9dbc81714f8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1175</xdr:row>
      <xdr:rowOff>19050</xdr:rowOff>
    </xdr:from>
    <xdr:ext cx="1143000" cy="1143000"/>
    <xdr:pic>
      <xdr:nvPicPr>
        <xdr:cNvPr id="1173" name="708fb364-9a0e-4a2f-896b-8b9230b6bb7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b73f6bfc13643b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1176</xdr:row>
      <xdr:rowOff>19050</xdr:rowOff>
    </xdr:from>
    <xdr:ext cx="1143000" cy="1143000"/>
    <xdr:pic>
      <xdr:nvPicPr>
        <xdr:cNvPr id="1174" name="6876c49a-7152-4942-9e0f-9bd0debc958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6b98573da1a448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1177</xdr:row>
      <xdr:rowOff>19050</xdr:rowOff>
    </xdr:from>
    <xdr:ext cx="1143000" cy="1143000"/>
    <xdr:pic>
      <xdr:nvPicPr>
        <xdr:cNvPr id="1175" name="3af29aff-23a9-4dc6-b895-c928027e8fd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3c6883fc52c454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1178</xdr:row>
      <xdr:rowOff>19050</xdr:rowOff>
    </xdr:from>
    <xdr:ext cx="1143000" cy="1143000"/>
    <xdr:pic>
      <xdr:nvPicPr>
        <xdr:cNvPr id="1176" name="0f10e4a8-b06a-4230-bd3e-c047c7f5483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ac46f3a50af4a5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1179</xdr:row>
      <xdr:rowOff>19050</xdr:rowOff>
    </xdr:from>
    <xdr:ext cx="1143000" cy="1143000"/>
    <xdr:pic>
      <xdr:nvPicPr>
        <xdr:cNvPr id="1177" name="53e50913-47f8-4c87-9fb0-6c72168287b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b35086280af48f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1180</xdr:row>
      <xdr:rowOff>19050</xdr:rowOff>
    </xdr:from>
    <xdr:ext cx="1143000" cy="1143000"/>
    <xdr:pic>
      <xdr:nvPicPr>
        <xdr:cNvPr id="1178" name="081d712f-12f0-433c-a3c3-8d1b5c9d1b0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8b0ed8432f141a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1181</xdr:row>
      <xdr:rowOff>19050</xdr:rowOff>
    </xdr:from>
    <xdr:ext cx="1143000" cy="1143000"/>
    <xdr:pic>
      <xdr:nvPicPr>
        <xdr:cNvPr id="1179" name="184085f1-326f-4477-a133-94118bcfd8d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eea818213504af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1182</xdr:row>
      <xdr:rowOff>19050</xdr:rowOff>
    </xdr:from>
    <xdr:ext cx="1143000" cy="1143000"/>
    <xdr:pic>
      <xdr:nvPicPr>
        <xdr:cNvPr id="1180" name="1187f085-4047-495b-b3f5-f70f2322692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7f9059e2e4f468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1183</xdr:row>
      <xdr:rowOff>19050</xdr:rowOff>
    </xdr:from>
    <xdr:ext cx="1143000" cy="1143000"/>
    <xdr:pic>
      <xdr:nvPicPr>
        <xdr:cNvPr id="1181" name="3fae035a-3564-4303-8042-f54e191b1a5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afbd8bc9446473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1184</xdr:row>
      <xdr:rowOff>19050</xdr:rowOff>
    </xdr:from>
    <xdr:ext cx="1143000" cy="1143000"/>
    <xdr:pic>
      <xdr:nvPicPr>
        <xdr:cNvPr id="1182" name="47c71280-c921-449d-98df-871043d462f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6c16cbc46ef40c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1185</xdr:row>
      <xdr:rowOff>19050</xdr:rowOff>
    </xdr:from>
    <xdr:ext cx="1143000" cy="1143000"/>
    <xdr:pic>
      <xdr:nvPicPr>
        <xdr:cNvPr id="1183" name="218e3994-1edc-4585-be30-5f3f00e9b21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37bbc26a3514e7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1186</xdr:row>
      <xdr:rowOff>19050</xdr:rowOff>
    </xdr:from>
    <xdr:ext cx="1143000" cy="1143000"/>
    <xdr:pic>
      <xdr:nvPicPr>
        <xdr:cNvPr id="1184" name="ec55b25a-6cd2-43c6-a78b-1517dd207df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93c8ff0a3bb47d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1187</xdr:row>
      <xdr:rowOff>19050</xdr:rowOff>
    </xdr:from>
    <xdr:ext cx="1143000" cy="1143000"/>
    <xdr:pic>
      <xdr:nvPicPr>
        <xdr:cNvPr id="1185" name="d126a070-bb1b-4bf2-a004-94fe083619d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b6dd7cbb5cd49e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1188</xdr:row>
      <xdr:rowOff>19050</xdr:rowOff>
    </xdr:from>
    <xdr:ext cx="1143000" cy="1143000"/>
    <xdr:pic>
      <xdr:nvPicPr>
        <xdr:cNvPr id="1186" name="999b2ef4-adae-47ca-bce3-b9355421830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279d0a4a8e3437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1189</xdr:row>
      <xdr:rowOff>19050</xdr:rowOff>
    </xdr:from>
    <xdr:ext cx="1143000" cy="1143000"/>
    <xdr:pic>
      <xdr:nvPicPr>
        <xdr:cNvPr id="1187" name="c9a4fc07-6c5a-44c0-a429-c8313b9788c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4c887eac560492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1190</xdr:row>
      <xdr:rowOff>19050</xdr:rowOff>
    </xdr:from>
    <xdr:ext cx="1143000" cy="1143000"/>
    <xdr:pic>
      <xdr:nvPicPr>
        <xdr:cNvPr id="1188" name="3c2200ab-6510-4df2-a702-5d74315224a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3f126d1761e4af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1191</xdr:row>
      <xdr:rowOff>19050</xdr:rowOff>
    </xdr:from>
    <xdr:ext cx="1143000" cy="1143000"/>
    <xdr:pic>
      <xdr:nvPicPr>
        <xdr:cNvPr id="1189" name="59691f28-712a-495c-b0b6-40333f5ce44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2b2b68643ff447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1192</xdr:row>
      <xdr:rowOff>19050</xdr:rowOff>
    </xdr:from>
    <xdr:ext cx="1143000" cy="1143000"/>
    <xdr:pic>
      <xdr:nvPicPr>
        <xdr:cNvPr id="1190" name="35d54c31-f1e6-47a1-bfca-6f68b7a961a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bb045cb08be405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1193</xdr:row>
      <xdr:rowOff>19050</xdr:rowOff>
    </xdr:from>
    <xdr:ext cx="1143000" cy="1143000"/>
    <xdr:pic>
      <xdr:nvPicPr>
        <xdr:cNvPr id="1191" name="5db662c5-043a-4c3f-8504-8e28a49b0d5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df62137652f416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1194</xdr:row>
      <xdr:rowOff>19050</xdr:rowOff>
    </xdr:from>
    <xdr:ext cx="1143000" cy="1143000"/>
    <xdr:pic>
      <xdr:nvPicPr>
        <xdr:cNvPr id="1192" name="b13cd2ec-91e5-4c26-9646-1fc78797a90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f0721f9c1d045c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1195</xdr:row>
      <xdr:rowOff>19050</xdr:rowOff>
    </xdr:from>
    <xdr:ext cx="1143000" cy="1143000"/>
    <xdr:pic>
      <xdr:nvPicPr>
        <xdr:cNvPr id="1193" name="ea93964b-76df-4af6-91f7-e05b92c4cf0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6131ec44117491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1196</xdr:row>
      <xdr:rowOff>19050</xdr:rowOff>
    </xdr:from>
    <xdr:ext cx="1143000" cy="1143000"/>
    <xdr:pic>
      <xdr:nvPicPr>
        <xdr:cNvPr id="1194" name="ea604991-9de9-46f3-9858-d656d14ef1b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53c5c7e7cd34c5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1197</xdr:row>
      <xdr:rowOff>19050</xdr:rowOff>
    </xdr:from>
    <xdr:ext cx="1143000" cy="1143000"/>
    <xdr:pic>
      <xdr:nvPicPr>
        <xdr:cNvPr id="1195" name="fc8e71a8-1106-4cee-bd8f-bd128ef3a8a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106027f9b074d8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1198</xdr:row>
      <xdr:rowOff>19050</xdr:rowOff>
    </xdr:from>
    <xdr:ext cx="1143000" cy="1143000"/>
    <xdr:pic>
      <xdr:nvPicPr>
        <xdr:cNvPr id="1196" name="bb8f93df-5a6d-4c3e-896a-23663f3226e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977301960eb4ba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1199</xdr:row>
      <xdr:rowOff>19050</xdr:rowOff>
    </xdr:from>
    <xdr:ext cx="1143000" cy="1143000"/>
    <xdr:pic>
      <xdr:nvPicPr>
        <xdr:cNvPr id="1197" name="53890d06-cb57-4db3-9d0a-a34adf28612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3bac0ae752344a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1200</xdr:row>
      <xdr:rowOff>19050</xdr:rowOff>
    </xdr:from>
    <xdr:ext cx="1143000" cy="1143000"/>
    <xdr:pic>
      <xdr:nvPicPr>
        <xdr:cNvPr id="1198" name="fec00b2d-67f5-4c23-a505-a95fd6d5dc0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973df77565a469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1201</xdr:row>
      <xdr:rowOff>19050</xdr:rowOff>
    </xdr:from>
    <xdr:ext cx="1143000" cy="1143000"/>
    <xdr:pic>
      <xdr:nvPicPr>
        <xdr:cNvPr id="1199" name="d8394268-a4e4-45ed-9ace-a8d93a782bd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c0cd267fdd5424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1202</xdr:row>
      <xdr:rowOff>19050</xdr:rowOff>
    </xdr:from>
    <xdr:ext cx="1143000" cy="1143000"/>
    <xdr:pic>
      <xdr:nvPicPr>
        <xdr:cNvPr id="1200" name="6b13a8ec-20b0-4971-a8db-a191ad2eed4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0d1c57d97464bc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1203</xdr:row>
      <xdr:rowOff>19050</xdr:rowOff>
    </xdr:from>
    <xdr:ext cx="1143000" cy="1143000"/>
    <xdr:pic>
      <xdr:nvPicPr>
        <xdr:cNvPr id="1201" name="052bc791-9ba8-4d26-abb2-1f22c70c3e5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4e7dd9c612943a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1204</xdr:row>
      <xdr:rowOff>19050</xdr:rowOff>
    </xdr:from>
    <xdr:ext cx="1143000" cy="1143000"/>
    <xdr:pic>
      <xdr:nvPicPr>
        <xdr:cNvPr id="1202" name="3f338d3e-f4e1-4635-a270-117ff56e5e5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89df4aad44f4bb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1205</xdr:row>
      <xdr:rowOff>19050</xdr:rowOff>
    </xdr:from>
    <xdr:ext cx="1143000" cy="1143000"/>
    <xdr:pic>
      <xdr:nvPicPr>
        <xdr:cNvPr id="1203" name="48a4678f-8a9d-42cc-870f-24aa6599cd8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416cc029f0d404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1206</xdr:row>
      <xdr:rowOff>19050</xdr:rowOff>
    </xdr:from>
    <xdr:ext cx="1143000" cy="1143000"/>
    <xdr:pic>
      <xdr:nvPicPr>
        <xdr:cNvPr id="1204" name="83d578c6-f7c6-4767-8d3d-281b265fd40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4fb5e005fd3485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1207</xdr:row>
      <xdr:rowOff>19050</xdr:rowOff>
    </xdr:from>
    <xdr:ext cx="1143000" cy="1143000"/>
    <xdr:pic>
      <xdr:nvPicPr>
        <xdr:cNvPr id="1205" name="1dac3441-5184-42a8-aa05-beedc3dc2d3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a0c795d61f143d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1208</xdr:row>
      <xdr:rowOff>19050</xdr:rowOff>
    </xdr:from>
    <xdr:ext cx="1143000" cy="1143000"/>
    <xdr:pic>
      <xdr:nvPicPr>
        <xdr:cNvPr id="1206" name="c6668acd-0521-4e03-8d1b-dea39428845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011433acb284b1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1209</xdr:row>
      <xdr:rowOff>19050</xdr:rowOff>
    </xdr:from>
    <xdr:ext cx="1143000" cy="1143000"/>
    <xdr:pic>
      <xdr:nvPicPr>
        <xdr:cNvPr id="1207" name="7137b4b0-8f96-43c3-893e-a6d0710df78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18f068d11d1463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1210</xdr:row>
      <xdr:rowOff>19050</xdr:rowOff>
    </xdr:from>
    <xdr:ext cx="1143000" cy="1143000"/>
    <xdr:pic>
      <xdr:nvPicPr>
        <xdr:cNvPr id="1208" name="c96e1a02-9d05-4ca1-a927-783b64d8a6d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1ad4a856927437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1211</xdr:row>
      <xdr:rowOff>19050</xdr:rowOff>
    </xdr:from>
    <xdr:ext cx="1143000" cy="1143000"/>
    <xdr:pic>
      <xdr:nvPicPr>
        <xdr:cNvPr id="1209" name="b38094d1-008d-43b9-b336-94027909387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a734c366df54db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1212</xdr:row>
      <xdr:rowOff>19050</xdr:rowOff>
    </xdr:from>
    <xdr:ext cx="1143000" cy="1143000"/>
    <xdr:pic>
      <xdr:nvPicPr>
        <xdr:cNvPr id="1210" name="66709866-0aaf-460e-940e-25678fdb5ec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344df9b1256408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1213</xdr:row>
      <xdr:rowOff>19050</xdr:rowOff>
    </xdr:from>
    <xdr:ext cx="1143000" cy="1143000"/>
    <xdr:pic>
      <xdr:nvPicPr>
        <xdr:cNvPr id="1211" name="68e71b5d-8aab-4b0b-94c1-2920e7bd76f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74a5af24445410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1214</xdr:row>
      <xdr:rowOff>19050</xdr:rowOff>
    </xdr:from>
    <xdr:ext cx="1143000" cy="1143000"/>
    <xdr:pic>
      <xdr:nvPicPr>
        <xdr:cNvPr id="1212" name="9ea6e10a-4125-4557-b6de-04dae23c47d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8d4bc26e98f464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1215</xdr:row>
      <xdr:rowOff>19050</xdr:rowOff>
    </xdr:from>
    <xdr:ext cx="1143000" cy="1143000"/>
    <xdr:pic>
      <xdr:nvPicPr>
        <xdr:cNvPr id="1213" name="8ab8e146-3ad6-4700-a947-6a98474fc7a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9dc0a69762249d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1216</xdr:row>
      <xdr:rowOff>19050</xdr:rowOff>
    </xdr:from>
    <xdr:ext cx="1143000" cy="1143000"/>
    <xdr:pic>
      <xdr:nvPicPr>
        <xdr:cNvPr id="1214" name="2288efdd-b075-4694-8fec-07c9df4b4a3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d89f151d8d84b6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1217</xdr:row>
      <xdr:rowOff>19050</xdr:rowOff>
    </xdr:from>
    <xdr:ext cx="1143000" cy="1143000"/>
    <xdr:pic>
      <xdr:nvPicPr>
        <xdr:cNvPr id="1215" name="b1c6a1f2-26b9-4887-be3e-59c48f63019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7827cd164f0465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1218</xdr:row>
      <xdr:rowOff>19050</xdr:rowOff>
    </xdr:from>
    <xdr:ext cx="1143000" cy="1143000"/>
    <xdr:pic>
      <xdr:nvPicPr>
        <xdr:cNvPr id="1216" name="d2c143a2-3c0f-4845-a629-c93b95e84d0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5126d1b803e498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1219</xdr:row>
      <xdr:rowOff>19050</xdr:rowOff>
    </xdr:from>
    <xdr:ext cx="1143000" cy="1143000"/>
    <xdr:pic>
      <xdr:nvPicPr>
        <xdr:cNvPr id="1217" name="4b5aab91-048b-4348-943a-c45949a9d89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6f9c26d4a0041a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1220</xdr:row>
      <xdr:rowOff>19050</xdr:rowOff>
    </xdr:from>
    <xdr:ext cx="1143000" cy="1143000"/>
    <xdr:pic>
      <xdr:nvPicPr>
        <xdr:cNvPr id="1218" name="a2185195-017d-461d-9894-76189eb308c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003baa374d84e8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1221</xdr:row>
      <xdr:rowOff>19050</xdr:rowOff>
    </xdr:from>
    <xdr:ext cx="1143000" cy="1143000"/>
    <xdr:pic>
      <xdr:nvPicPr>
        <xdr:cNvPr id="1219" name="7c31dc08-f1d8-4bfb-b271-c441354a633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789f17c1f9f4b1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1222</xdr:row>
      <xdr:rowOff>19050</xdr:rowOff>
    </xdr:from>
    <xdr:ext cx="1143000" cy="1143000"/>
    <xdr:pic>
      <xdr:nvPicPr>
        <xdr:cNvPr id="1220" name="74ca22c6-4294-4b70-9cca-a2c4494779b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0ef3b41055d4b1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1223</xdr:row>
      <xdr:rowOff>19050</xdr:rowOff>
    </xdr:from>
    <xdr:ext cx="1143000" cy="1143000"/>
    <xdr:pic>
      <xdr:nvPicPr>
        <xdr:cNvPr id="1221" name="6174ed79-23db-4384-bdd0-b4c209172ff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35bbcedf45648d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1224</xdr:row>
      <xdr:rowOff>19050</xdr:rowOff>
    </xdr:from>
    <xdr:ext cx="1143000" cy="1143000"/>
    <xdr:pic>
      <xdr:nvPicPr>
        <xdr:cNvPr id="1222" name="dda0f4b7-6157-46c8-804d-f55984c42e7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5fd3cbf637b4db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1225</xdr:row>
      <xdr:rowOff>19050</xdr:rowOff>
    </xdr:from>
    <xdr:ext cx="1143000" cy="1143000"/>
    <xdr:pic>
      <xdr:nvPicPr>
        <xdr:cNvPr id="1223" name="f043c44e-3d05-491e-aee7-5021d22d6e8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0d128021c0347a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1226</xdr:row>
      <xdr:rowOff>19050</xdr:rowOff>
    </xdr:from>
    <xdr:ext cx="1143000" cy="1143000"/>
    <xdr:pic>
      <xdr:nvPicPr>
        <xdr:cNvPr id="1224" name="29e28774-690c-4c8f-9c70-f1684ed7e87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e8a1a83c6754f7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1227</xdr:row>
      <xdr:rowOff>19050</xdr:rowOff>
    </xdr:from>
    <xdr:ext cx="1143000" cy="1143000"/>
    <xdr:pic>
      <xdr:nvPicPr>
        <xdr:cNvPr id="1225" name="bab55b69-13f2-49af-be65-f58992a9c39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cf8ca6252e6458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1228</xdr:row>
      <xdr:rowOff>19050</xdr:rowOff>
    </xdr:from>
    <xdr:ext cx="1143000" cy="1143000"/>
    <xdr:pic>
      <xdr:nvPicPr>
        <xdr:cNvPr id="1226" name="9b5d450d-b75c-4086-a361-91baaf9ff49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7dedc75f6424e4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1229</xdr:row>
      <xdr:rowOff>19050</xdr:rowOff>
    </xdr:from>
    <xdr:ext cx="1143000" cy="1143000"/>
    <xdr:pic>
      <xdr:nvPicPr>
        <xdr:cNvPr id="1227" name="8f1fa228-c7f6-4614-a8f8-fd458ec7fd2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d7ccb9a0b104c8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1230</xdr:row>
      <xdr:rowOff>19050</xdr:rowOff>
    </xdr:from>
    <xdr:ext cx="1143000" cy="1143000"/>
    <xdr:pic>
      <xdr:nvPicPr>
        <xdr:cNvPr id="1228" name="3ea2c301-2ee5-456e-81bf-ffc9df00e7d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2177012a7b0456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1231</xdr:row>
      <xdr:rowOff>19050</xdr:rowOff>
    </xdr:from>
    <xdr:ext cx="1143000" cy="1143000"/>
    <xdr:pic>
      <xdr:nvPicPr>
        <xdr:cNvPr id="1229" name="337ab810-51fb-4029-8c4b-ae8b086973f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d3f8f4de3d1470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1232</xdr:row>
      <xdr:rowOff>19050</xdr:rowOff>
    </xdr:from>
    <xdr:ext cx="1143000" cy="1143000"/>
    <xdr:pic>
      <xdr:nvPicPr>
        <xdr:cNvPr id="1230" name="bead8fb1-0e99-4b64-a380-efe5243d808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8545d924635414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1233</xdr:row>
      <xdr:rowOff>19050</xdr:rowOff>
    </xdr:from>
    <xdr:ext cx="1143000" cy="1143000"/>
    <xdr:pic>
      <xdr:nvPicPr>
        <xdr:cNvPr id="1231" name="b399b80f-35c1-43f5-8c7e-5b7d7e26a6a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a87334bd60d400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1234</xdr:row>
      <xdr:rowOff>19050</xdr:rowOff>
    </xdr:from>
    <xdr:ext cx="1143000" cy="1143000"/>
    <xdr:pic>
      <xdr:nvPicPr>
        <xdr:cNvPr id="1232" name="bbeb9fa3-a827-4463-bc95-5ed561b452a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c08ed98b771437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1235</xdr:row>
      <xdr:rowOff>19050</xdr:rowOff>
    </xdr:from>
    <xdr:ext cx="1143000" cy="1143000"/>
    <xdr:pic>
      <xdr:nvPicPr>
        <xdr:cNvPr id="1233" name="4cc57ba4-4118-488e-a647-1d85bc1e8fd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c6cb1811f0040f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1236</xdr:row>
      <xdr:rowOff>19050</xdr:rowOff>
    </xdr:from>
    <xdr:ext cx="1143000" cy="1143000"/>
    <xdr:pic>
      <xdr:nvPicPr>
        <xdr:cNvPr id="1234" name="45dfa1ed-7284-453a-834d-0b77f70dc28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6f1c7792800445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1237</xdr:row>
      <xdr:rowOff>19050</xdr:rowOff>
    </xdr:from>
    <xdr:ext cx="1143000" cy="1143000"/>
    <xdr:pic>
      <xdr:nvPicPr>
        <xdr:cNvPr id="1235" name="6a0c458d-e817-4d0c-9f0d-c3ad8c40627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cb6b2f1657746b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1238</xdr:row>
      <xdr:rowOff>19050</xdr:rowOff>
    </xdr:from>
    <xdr:ext cx="1143000" cy="1143000"/>
    <xdr:pic>
      <xdr:nvPicPr>
        <xdr:cNvPr id="1236" name="843c2bf4-1175-44e2-aa28-010777936c3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afbf6641144431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1239</xdr:row>
      <xdr:rowOff>19050</xdr:rowOff>
    </xdr:from>
    <xdr:ext cx="1143000" cy="1143000"/>
    <xdr:pic>
      <xdr:nvPicPr>
        <xdr:cNvPr id="1237" name="8f2fab8f-3be1-46de-9de9-8952d97f199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9ff803b8c7f40a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1240</xdr:row>
      <xdr:rowOff>19050</xdr:rowOff>
    </xdr:from>
    <xdr:ext cx="1143000" cy="1143000"/>
    <xdr:pic>
      <xdr:nvPicPr>
        <xdr:cNvPr id="1238" name="fa26326d-9c25-47f0-846c-72782644b01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8ee09641acb4c5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1241</xdr:row>
      <xdr:rowOff>19050</xdr:rowOff>
    </xdr:from>
    <xdr:ext cx="1143000" cy="1143000"/>
    <xdr:pic>
      <xdr:nvPicPr>
        <xdr:cNvPr id="1239" name="87dd45bb-28ae-43d1-a426-665e425c92e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eb5c8eeb94b46e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1242</xdr:row>
      <xdr:rowOff>19050</xdr:rowOff>
    </xdr:from>
    <xdr:ext cx="1143000" cy="1143000"/>
    <xdr:pic>
      <xdr:nvPicPr>
        <xdr:cNvPr id="1240" name="1196b66c-8e38-44f3-8796-0a34ceb412d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055330068b44c5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1243</xdr:row>
      <xdr:rowOff>19050</xdr:rowOff>
    </xdr:from>
    <xdr:ext cx="1143000" cy="1143000"/>
    <xdr:pic>
      <xdr:nvPicPr>
        <xdr:cNvPr id="1241" name="862925ba-ca4e-4fd8-b307-988e1f8ae38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b048cb1d73c414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1244</xdr:row>
      <xdr:rowOff>19050</xdr:rowOff>
    </xdr:from>
    <xdr:ext cx="1143000" cy="1143000"/>
    <xdr:pic>
      <xdr:nvPicPr>
        <xdr:cNvPr id="1242" name="d428030e-962a-4fe7-90ad-105360c6011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cb80f6d1916455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1245</xdr:row>
      <xdr:rowOff>19050</xdr:rowOff>
    </xdr:from>
    <xdr:ext cx="1143000" cy="1143000"/>
    <xdr:pic>
      <xdr:nvPicPr>
        <xdr:cNvPr id="1243" name="b3bee4e5-22e3-4f73-aad5-ba889dbcc59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acfb1b9fa03447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1246</xdr:row>
      <xdr:rowOff>19050</xdr:rowOff>
    </xdr:from>
    <xdr:ext cx="1143000" cy="1143000"/>
    <xdr:pic>
      <xdr:nvPicPr>
        <xdr:cNvPr id="1244" name="142a32b5-1e05-4626-a8a0-e5369adc6a0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e420161e0b74f7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1247</xdr:row>
      <xdr:rowOff>19050</xdr:rowOff>
    </xdr:from>
    <xdr:ext cx="1143000" cy="1143000"/>
    <xdr:pic>
      <xdr:nvPicPr>
        <xdr:cNvPr id="1245" name="4613df77-b61e-4c0c-9ad8-1778c6e6f47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57b2f72f2b7430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1248</xdr:row>
      <xdr:rowOff>19050</xdr:rowOff>
    </xdr:from>
    <xdr:ext cx="1143000" cy="1143000"/>
    <xdr:pic>
      <xdr:nvPicPr>
        <xdr:cNvPr id="1246" name="4495c154-a2c9-4826-9d40-8c2ef2b2057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70f36921784408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1249</xdr:row>
      <xdr:rowOff>19050</xdr:rowOff>
    </xdr:from>
    <xdr:ext cx="1143000" cy="1143000"/>
    <xdr:pic>
      <xdr:nvPicPr>
        <xdr:cNvPr id="1247" name="1fa29b06-4aed-472a-ab64-a29f5fd02c9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c3c6bb0605e47a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1250</xdr:row>
      <xdr:rowOff>19050</xdr:rowOff>
    </xdr:from>
    <xdr:ext cx="1143000" cy="1143000"/>
    <xdr:pic>
      <xdr:nvPicPr>
        <xdr:cNvPr id="1248" name="8328bbc1-4d44-437a-a565-0ccb1043772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57bbee417b7430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1251</xdr:row>
      <xdr:rowOff>19050</xdr:rowOff>
    </xdr:from>
    <xdr:ext cx="1143000" cy="1143000"/>
    <xdr:pic>
      <xdr:nvPicPr>
        <xdr:cNvPr id="1249" name="350c3203-34c4-42d3-b3e8-fea2762e2da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25922d3152940d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1252</xdr:row>
      <xdr:rowOff>19050</xdr:rowOff>
    </xdr:from>
    <xdr:ext cx="1143000" cy="1143000"/>
    <xdr:pic>
      <xdr:nvPicPr>
        <xdr:cNvPr id="1250" name="40dac985-62e9-4e10-9095-eea3c2723c6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effd0569109452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1253</xdr:row>
      <xdr:rowOff>19050</xdr:rowOff>
    </xdr:from>
    <xdr:ext cx="1143000" cy="1143000"/>
    <xdr:pic>
      <xdr:nvPicPr>
        <xdr:cNvPr id="1251" name="b998fd53-55c0-4be3-a153-0ff6f4ba0a2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07f4c66b006483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1254</xdr:row>
      <xdr:rowOff>19050</xdr:rowOff>
    </xdr:from>
    <xdr:ext cx="1143000" cy="1143000"/>
    <xdr:pic>
      <xdr:nvPicPr>
        <xdr:cNvPr id="1252" name="30d720d8-f891-4334-b91e-c3a52bc641c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177e2fb5d7b46b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1255</xdr:row>
      <xdr:rowOff>19050</xdr:rowOff>
    </xdr:from>
    <xdr:ext cx="1143000" cy="1143000"/>
    <xdr:pic>
      <xdr:nvPicPr>
        <xdr:cNvPr id="1253" name="41153aa6-24b5-4887-b15f-0c75e434401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96165deba3f49d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1256</xdr:row>
      <xdr:rowOff>19050</xdr:rowOff>
    </xdr:from>
    <xdr:ext cx="1143000" cy="1143000"/>
    <xdr:pic>
      <xdr:nvPicPr>
        <xdr:cNvPr id="1254" name="f1566e77-9293-44ce-8104-a84f6e8ad8d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35df621825946e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1257</xdr:row>
      <xdr:rowOff>19050</xdr:rowOff>
    </xdr:from>
    <xdr:ext cx="1143000" cy="1143000"/>
    <xdr:pic>
      <xdr:nvPicPr>
        <xdr:cNvPr id="1255" name="5542dba2-6952-427e-bd3c-5087b5e99a9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d9dcf403a6a4fd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1258</xdr:row>
      <xdr:rowOff>19050</xdr:rowOff>
    </xdr:from>
    <xdr:ext cx="1143000" cy="1143000"/>
    <xdr:pic>
      <xdr:nvPicPr>
        <xdr:cNvPr id="1256" name="90094a9e-4c82-4bd8-907d-a8a48a7a243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493e833418a4a9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1259</xdr:row>
      <xdr:rowOff>19050</xdr:rowOff>
    </xdr:from>
    <xdr:ext cx="1143000" cy="1143000"/>
    <xdr:pic>
      <xdr:nvPicPr>
        <xdr:cNvPr id="1257" name="a72aac7c-43fa-4d39-b5f7-b025810d745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516f7920ffe42d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1260</xdr:row>
      <xdr:rowOff>19050</xdr:rowOff>
    </xdr:from>
    <xdr:ext cx="1143000" cy="1143000"/>
    <xdr:pic>
      <xdr:nvPicPr>
        <xdr:cNvPr id="1258" name="6baf1bd1-1629-4e7e-9fcf-1d261b41ffc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897d14a66d84dc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1261</xdr:row>
      <xdr:rowOff>19050</xdr:rowOff>
    </xdr:from>
    <xdr:ext cx="1143000" cy="1143000"/>
    <xdr:pic>
      <xdr:nvPicPr>
        <xdr:cNvPr id="1259" name="67ef603c-f566-4de3-9159-bc71ac2eb97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d4851fad2e040d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1262</xdr:row>
      <xdr:rowOff>19050</xdr:rowOff>
    </xdr:from>
    <xdr:ext cx="1143000" cy="1143000"/>
    <xdr:pic>
      <xdr:nvPicPr>
        <xdr:cNvPr id="1260" name="4c0438b9-2c25-4cd7-b1a0-8fae4c7a1f8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9afdd857798494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1263</xdr:row>
      <xdr:rowOff>19050</xdr:rowOff>
    </xdr:from>
    <xdr:ext cx="1143000" cy="1143000"/>
    <xdr:pic>
      <xdr:nvPicPr>
        <xdr:cNvPr id="1261" name="b00cd78f-884c-496a-9cd9-e8d8da71a6a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640fb000156400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1264</xdr:row>
      <xdr:rowOff>19050</xdr:rowOff>
    </xdr:from>
    <xdr:ext cx="1143000" cy="1143000"/>
    <xdr:pic>
      <xdr:nvPicPr>
        <xdr:cNvPr id="1262" name="7056bbaa-e5cf-49b8-a69f-4c7d440188c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b41378b5b2c43c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1265</xdr:row>
      <xdr:rowOff>19050</xdr:rowOff>
    </xdr:from>
    <xdr:ext cx="1143000" cy="1143000"/>
    <xdr:pic>
      <xdr:nvPicPr>
        <xdr:cNvPr id="1263" name="ff8d9a08-2376-4c65-94f3-87bb5850b2f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f0af79b99f747e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1266</xdr:row>
      <xdr:rowOff>19050</xdr:rowOff>
    </xdr:from>
    <xdr:ext cx="1143000" cy="1143000"/>
    <xdr:pic>
      <xdr:nvPicPr>
        <xdr:cNvPr id="1264" name="5b785c34-6028-4f39-84b9-c7d25f77395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d160b13b9fd4aa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1267</xdr:row>
      <xdr:rowOff>19050</xdr:rowOff>
    </xdr:from>
    <xdr:ext cx="1143000" cy="1143000"/>
    <xdr:pic>
      <xdr:nvPicPr>
        <xdr:cNvPr id="1265" name="1b537418-f853-4acb-bd5e-c90757ff74c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92282477b51421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1268</xdr:row>
      <xdr:rowOff>19050</xdr:rowOff>
    </xdr:from>
    <xdr:ext cx="1143000" cy="1143000"/>
    <xdr:pic>
      <xdr:nvPicPr>
        <xdr:cNvPr id="1266" name="9e344f25-e02f-4185-ace5-33a02eb9826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45c4bcf66e1405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1269</xdr:row>
      <xdr:rowOff>19050</xdr:rowOff>
    </xdr:from>
    <xdr:ext cx="1143000" cy="1143000"/>
    <xdr:pic>
      <xdr:nvPicPr>
        <xdr:cNvPr id="1267" name="eae2a818-4f60-4cf0-8e5d-4f1fd1d86f8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cb421b46a0a41e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1270</xdr:row>
      <xdr:rowOff>19050</xdr:rowOff>
    </xdr:from>
    <xdr:ext cx="1143000" cy="1143000"/>
    <xdr:pic>
      <xdr:nvPicPr>
        <xdr:cNvPr id="1268" name="b2ecad11-280d-4be2-b63b-705dc3b0615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8a6732785e248a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1271</xdr:row>
      <xdr:rowOff>19050</xdr:rowOff>
    </xdr:from>
    <xdr:ext cx="1143000" cy="1143000"/>
    <xdr:pic>
      <xdr:nvPicPr>
        <xdr:cNvPr id="1269" name="b6cf849e-d239-47e6-896e-a984e64cfe7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9a91b47b29a420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1272</xdr:row>
      <xdr:rowOff>19050</xdr:rowOff>
    </xdr:from>
    <xdr:ext cx="1143000" cy="1143000"/>
    <xdr:pic>
      <xdr:nvPicPr>
        <xdr:cNvPr id="1270" name="741f4023-31ef-43da-9581-f90404471e7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7ce7656cf4649b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1273</xdr:row>
      <xdr:rowOff>19050</xdr:rowOff>
    </xdr:from>
    <xdr:ext cx="1143000" cy="1143000"/>
    <xdr:pic>
      <xdr:nvPicPr>
        <xdr:cNvPr id="1271" name="6040d89d-d132-40bc-82c7-a7ff8e5ff71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4870db05d7f41f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1274</xdr:row>
      <xdr:rowOff>19050</xdr:rowOff>
    </xdr:from>
    <xdr:ext cx="1143000" cy="1143000"/>
    <xdr:pic>
      <xdr:nvPicPr>
        <xdr:cNvPr id="1272" name="6c37304c-64b8-4f33-8f24-e33a7b2f5aa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ac47f622cff490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1275</xdr:row>
      <xdr:rowOff>19050</xdr:rowOff>
    </xdr:from>
    <xdr:ext cx="1143000" cy="1143000"/>
    <xdr:pic>
      <xdr:nvPicPr>
        <xdr:cNvPr id="1273" name="9403251a-fb8c-4d3d-8aad-d3113790a20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e3701055dc642f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1276</xdr:row>
      <xdr:rowOff>19050</xdr:rowOff>
    </xdr:from>
    <xdr:ext cx="1143000" cy="1143000"/>
    <xdr:pic>
      <xdr:nvPicPr>
        <xdr:cNvPr id="1274" name="8c17f2c5-5d79-4cd8-afee-48930021bd8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725216641524ea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1277</xdr:row>
      <xdr:rowOff>19050</xdr:rowOff>
    </xdr:from>
    <xdr:ext cx="1143000" cy="1143000"/>
    <xdr:pic>
      <xdr:nvPicPr>
        <xdr:cNvPr id="1275" name="b8456643-0e97-4e22-9798-cbb692d2ea5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d4de3ad938542a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1278</xdr:row>
      <xdr:rowOff>19050</xdr:rowOff>
    </xdr:from>
    <xdr:ext cx="1143000" cy="1143000"/>
    <xdr:pic>
      <xdr:nvPicPr>
        <xdr:cNvPr id="1276" name="ed0f1dd4-2526-402f-b725-b198a177bd8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3288d9bf92f400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1279</xdr:row>
      <xdr:rowOff>19050</xdr:rowOff>
    </xdr:from>
    <xdr:ext cx="1143000" cy="1143000"/>
    <xdr:pic>
      <xdr:nvPicPr>
        <xdr:cNvPr id="1277" name="bafd3a3b-d5ff-49c7-aed9-8cfd7f7c53c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55b8aedb79e44b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1280</xdr:row>
      <xdr:rowOff>19050</xdr:rowOff>
    </xdr:from>
    <xdr:ext cx="1143000" cy="1143000"/>
    <xdr:pic>
      <xdr:nvPicPr>
        <xdr:cNvPr id="1278" name="cad89a6e-f4af-4f79-b403-a4c844fb39c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1173174f3fc453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1281</xdr:row>
      <xdr:rowOff>19050</xdr:rowOff>
    </xdr:from>
    <xdr:ext cx="1143000" cy="1143000"/>
    <xdr:pic>
      <xdr:nvPicPr>
        <xdr:cNvPr id="1279" name="36482fcf-8648-41ae-a4aa-b448d13730a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9b3c4b8b2a94dc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1282</xdr:row>
      <xdr:rowOff>19050</xdr:rowOff>
    </xdr:from>
    <xdr:ext cx="1143000" cy="1143000"/>
    <xdr:pic>
      <xdr:nvPicPr>
        <xdr:cNvPr id="1280" name="e6544916-093c-459f-ba47-4bfca3331e2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8878a33c7c44eb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1283</xdr:row>
      <xdr:rowOff>19050</xdr:rowOff>
    </xdr:from>
    <xdr:ext cx="1143000" cy="1143000"/>
    <xdr:pic>
      <xdr:nvPicPr>
        <xdr:cNvPr id="1281" name="0d0bb6ca-42ed-438e-9e88-d854d099f50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39ab0b6547c4f1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1284</xdr:row>
      <xdr:rowOff>19050</xdr:rowOff>
    </xdr:from>
    <xdr:ext cx="1143000" cy="1143000"/>
    <xdr:pic>
      <xdr:nvPicPr>
        <xdr:cNvPr id="1282" name="8e7072c0-97fb-45dd-b9f4-0cdb5f38079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5132c8da7b142a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1285</xdr:row>
      <xdr:rowOff>19050</xdr:rowOff>
    </xdr:from>
    <xdr:ext cx="1143000" cy="1143000"/>
    <xdr:pic>
      <xdr:nvPicPr>
        <xdr:cNvPr id="1283" name="c1336493-c7ef-4160-8e59-e9fe3aa087c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a3fb28474704fc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1286</xdr:row>
      <xdr:rowOff>19050</xdr:rowOff>
    </xdr:from>
    <xdr:ext cx="1143000" cy="1143000"/>
    <xdr:pic>
      <xdr:nvPicPr>
        <xdr:cNvPr id="1284" name="6922d636-871e-4826-8313-2fd7e4d2ed9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6115d7d9b9d4ee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1287</xdr:row>
      <xdr:rowOff>19050</xdr:rowOff>
    </xdr:from>
    <xdr:ext cx="1143000" cy="1143000"/>
    <xdr:pic>
      <xdr:nvPicPr>
        <xdr:cNvPr id="1285" name="012e039a-6917-4e08-abaa-cadfd006681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0d35cb9b00f475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1288</xdr:row>
      <xdr:rowOff>19050</xdr:rowOff>
    </xdr:from>
    <xdr:ext cx="1143000" cy="1143000"/>
    <xdr:pic>
      <xdr:nvPicPr>
        <xdr:cNvPr id="1286" name="c298a3e6-2a25-46b9-aabb-ba57d6d660e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78eaaf18edd41c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1289</xdr:row>
      <xdr:rowOff>19050</xdr:rowOff>
    </xdr:from>
    <xdr:ext cx="1143000" cy="1143000"/>
    <xdr:pic>
      <xdr:nvPicPr>
        <xdr:cNvPr id="1287" name="25cdad67-6004-47dc-a90e-60ed604fea4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3e47a8d07f043b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1290</xdr:row>
      <xdr:rowOff>19050</xdr:rowOff>
    </xdr:from>
    <xdr:ext cx="1143000" cy="1143000"/>
    <xdr:pic>
      <xdr:nvPicPr>
        <xdr:cNvPr id="1288" name="4d8b8524-0196-4fb8-8e8d-cdd8d8ac994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2efb1b789694ba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1291</xdr:row>
      <xdr:rowOff>19050</xdr:rowOff>
    </xdr:from>
    <xdr:ext cx="1143000" cy="1143000"/>
    <xdr:pic>
      <xdr:nvPicPr>
        <xdr:cNvPr id="1289" name="c12d5e66-831d-4577-a5ee-f8b4d7b8aa8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eac5455c38348e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1292</xdr:row>
      <xdr:rowOff>19050</xdr:rowOff>
    </xdr:from>
    <xdr:ext cx="1143000" cy="1143000"/>
    <xdr:pic>
      <xdr:nvPicPr>
        <xdr:cNvPr id="1290" name="2caa74c3-ba12-4348-b631-c7eb82f50bd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dd4a94714a9466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1293</xdr:row>
      <xdr:rowOff>19050</xdr:rowOff>
    </xdr:from>
    <xdr:ext cx="1143000" cy="1143000"/>
    <xdr:pic>
      <xdr:nvPicPr>
        <xdr:cNvPr id="1291" name="91d7d0b0-c8c6-4b60-a08b-275afaa7fd4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90cfc6f44b74a8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1294</xdr:row>
      <xdr:rowOff>19050</xdr:rowOff>
    </xdr:from>
    <xdr:ext cx="1143000" cy="1143000"/>
    <xdr:pic>
      <xdr:nvPicPr>
        <xdr:cNvPr id="1292" name="f1f08ae9-edc6-4ee2-b80d-bda42f3ffba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f0f1768a656488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1295</xdr:row>
      <xdr:rowOff>19050</xdr:rowOff>
    </xdr:from>
    <xdr:ext cx="1143000" cy="1143000"/>
    <xdr:pic>
      <xdr:nvPicPr>
        <xdr:cNvPr id="1293" name="2ab143f9-113d-4584-b372-adaf7615919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20262f9f66840d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1296</xdr:row>
      <xdr:rowOff>19050</xdr:rowOff>
    </xdr:from>
    <xdr:ext cx="1143000" cy="1143000"/>
    <xdr:pic>
      <xdr:nvPicPr>
        <xdr:cNvPr id="1294" name="ef93b39f-99cb-4681-9e68-7385e9cc8b0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f3c7b915ff543b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1297</xdr:row>
      <xdr:rowOff>19050</xdr:rowOff>
    </xdr:from>
    <xdr:ext cx="1143000" cy="1143000"/>
    <xdr:pic>
      <xdr:nvPicPr>
        <xdr:cNvPr id="1295" name="d3f2005d-f387-482b-826e-42dc969c319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f2803de0eea4cd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1298</xdr:row>
      <xdr:rowOff>19050</xdr:rowOff>
    </xdr:from>
    <xdr:ext cx="1143000" cy="1143000"/>
    <xdr:pic>
      <xdr:nvPicPr>
        <xdr:cNvPr id="1296" name="0a6a4f3b-6507-4db3-94d2-b6f4ad590fe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42010d4bd254d5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1299</xdr:row>
      <xdr:rowOff>19050</xdr:rowOff>
    </xdr:from>
    <xdr:ext cx="1143000" cy="1143000"/>
    <xdr:pic>
      <xdr:nvPicPr>
        <xdr:cNvPr id="1297" name="e066b17f-daba-40f3-9869-0ae3f982ae5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560aa3a879c4cc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1300</xdr:row>
      <xdr:rowOff>19050</xdr:rowOff>
    </xdr:from>
    <xdr:ext cx="1143000" cy="1143000"/>
    <xdr:pic>
      <xdr:nvPicPr>
        <xdr:cNvPr id="1298" name="d7e4b690-0f7c-4cd7-bb3d-2af28d1e8a4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5c5a9495cce4ed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1301</xdr:row>
      <xdr:rowOff>19050</xdr:rowOff>
    </xdr:from>
    <xdr:ext cx="1143000" cy="1143000"/>
    <xdr:pic>
      <xdr:nvPicPr>
        <xdr:cNvPr id="1299" name="ae2a940b-3897-448a-a1c6-ff3c3e78fed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055efa437c3462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1302</xdr:row>
      <xdr:rowOff>19050</xdr:rowOff>
    </xdr:from>
    <xdr:ext cx="1143000" cy="1143000"/>
    <xdr:pic>
      <xdr:nvPicPr>
        <xdr:cNvPr id="1300" name="9b633140-d9bf-4317-9cdb-996de96399c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3ced7d1a1d949c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1303</xdr:row>
      <xdr:rowOff>19050</xdr:rowOff>
    </xdr:from>
    <xdr:ext cx="1143000" cy="1143000"/>
    <xdr:pic>
      <xdr:nvPicPr>
        <xdr:cNvPr id="1301" name="5df497cb-81fb-4da1-8729-7f4d393d605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d07f9ec4d1441b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1304</xdr:row>
      <xdr:rowOff>19050</xdr:rowOff>
    </xdr:from>
    <xdr:ext cx="1143000" cy="1143000"/>
    <xdr:pic>
      <xdr:nvPicPr>
        <xdr:cNvPr id="1302" name="6bcd67d1-cf74-411b-a94e-cb1a5e96f84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b23e437e6d3478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1305</xdr:row>
      <xdr:rowOff>19050</xdr:rowOff>
    </xdr:from>
    <xdr:ext cx="1143000" cy="1143000"/>
    <xdr:pic>
      <xdr:nvPicPr>
        <xdr:cNvPr id="1303" name="fe110cc8-c406-4fed-94c2-c6dfcc8435f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4f52fa2d8a745d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1306</xdr:row>
      <xdr:rowOff>19050</xdr:rowOff>
    </xdr:from>
    <xdr:ext cx="1143000" cy="1143000"/>
    <xdr:pic>
      <xdr:nvPicPr>
        <xdr:cNvPr id="1304" name="c2a1dbaf-0d48-42d6-a8b8-b0204dec462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1acab0cc514478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1307</xdr:row>
      <xdr:rowOff>19050</xdr:rowOff>
    </xdr:from>
    <xdr:ext cx="1143000" cy="1143000"/>
    <xdr:pic>
      <xdr:nvPicPr>
        <xdr:cNvPr id="1305" name="892ef5a4-d9d9-4578-ba61-3b1b8d613d3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ea18d274c934aa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1308</xdr:row>
      <xdr:rowOff>19050</xdr:rowOff>
    </xdr:from>
    <xdr:ext cx="1143000" cy="1143000"/>
    <xdr:pic>
      <xdr:nvPicPr>
        <xdr:cNvPr id="1306" name="13877124-aafb-4e3c-885a-fc837e6509a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26226e69791428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1309</xdr:row>
      <xdr:rowOff>19050</xdr:rowOff>
    </xdr:from>
    <xdr:ext cx="1143000" cy="1143000"/>
    <xdr:pic>
      <xdr:nvPicPr>
        <xdr:cNvPr id="1307" name="b72741be-6156-44c4-851e-19fb2e13b5d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fafe79a27d54e1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1310</xdr:row>
      <xdr:rowOff>19050</xdr:rowOff>
    </xdr:from>
    <xdr:ext cx="1143000" cy="1143000"/>
    <xdr:pic>
      <xdr:nvPicPr>
        <xdr:cNvPr id="1308" name="a973ff40-245f-4059-984b-eda63705945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613ab1ef9f94f6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1311</xdr:row>
      <xdr:rowOff>19050</xdr:rowOff>
    </xdr:from>
    <xdr:ext cx="1143000" cy="1143000"/>
    <xdr:pic>
      <xdr:nvPicPr>
        <xdr:cNvPr id="1309" name="3acf2449-fbc4-4c5b-9458-1e4b46ba039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851e417191a414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1312</xdr:row>
      <xdr:rowOff>19050</xdr:rowOff>
    </xdr:from>
    <xdr:ext cx="1143000" cy="1143000"/>
    <xdr:pic>
      <xdr:nvPicPr>
        <xdr:cNvPr id="1310" name="ffb98cf8-4cce-4f01-b100-4efcdaeb8d8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a3d184f5d5f4f9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1313</xdr:row>
      <xdr:rowOff>19050</xdr:rowOff>
    </xdr:from>
    <xdr:ext cx="1143000" cy="1143000"/>
    <xdr:pic>
      <xdr:nvPicPr>
        <xdr:cNvPr id="1311" name="6ec98d0b-de6b-4a2b-ab82-d6c7bd96e4e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df4c162c29a46f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1314</xdr:row>
      <xdr:rowOff>19050</xdr:rowOff>
    </xdr:from>
    <xdr:ext cx="1143000" cy="1143000"/>
    <xdr:pic>
      <xdr:nvPicPr>
        <xdr:cNvPr id="1312" name="6f48eeb5-979b-48b2-a0d1-71cf0ada96f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3cac6d0a6ee4a2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1315</xdr:row>
      <xdr:rowOff>19050</xdr:rowOff>
    </xdr:from>
    <xdr:ext cx="1143000" cy="1143000"/>
    <xdr:pic>
      <xdr:nvPicPr>
        <xdr:cNvPr id="1313" name="239990b6-5847-44d8-a141-eb3ff52dce2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67c5c1b9a79406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1316</xdr:row>
      <xdr:rowOff>19050</xdr:rowOff>
    </xdr:from>
    <xdr:ext cx="1143000" cy="1143000"/>
    <xdr:pic>
      <xdr:nvPicPr>
        <xdr:cNvPr id="1314" name="68a0f713-3067-4868-bba1-2e6061f50d7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5c2c25ec1be4e4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1317</xdr:row>
      <xdr:rowOff>19050</xdr:rowOff>
    </xdr:from>
    <xdr:ext cx="1143000" cy="1143000"/>
    <xdr:pic>
      <xdr:nvPicPr>
        <xdr:cNvPr id="1315" name="64b08a01-7499-4e6f-befe-cb12331e446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d1311dffb984de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1318</xdr:row>
      <xdr:rowOff>19050</xdr:rowOff>
    </xdr:from>
    <xdr:ext cx="1143000" cy="1143000"/>
    <xdr:pic>
      <xdr:nvPicPr>
        <xdr:cNvPr id="1316" name="9ba5d4c7-a85c-4487-b015-739b36b0e50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b71b741ef4b4a0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1319</xdr:row>
      <xdr:rowOff>19050</xdr:rowOff>
    </xdr:from>
    <xdr:ext cx="1143000" cy="1143000"/>
    <xdr:pic>
      <xdr:nvPicPr>
        <xdr:cNvPr id="1317" name="218e2698-70d3-428b-80cf-8609ea9d632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1b63211c8634db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1320</xdr:row>
      <xdr:rowOff>19050</xdr:rowOff>
    </xdr:from>
    <xdr:ext cx="1143000" cy="1143000"/>
    <xdr:pic>
      <xdr:nvPicPr>
        <xdr:cNvPr id="1318" name="08b05321-8167-4901-8aea-44479a1b81e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8b72280f8df4d8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1321</xdr:row>
      <xdr:rowOff>19050</xdr:rowOff>
    </xdr:from>
    <xdr:ext cx="1143000" cy="1143000"/>
    <xdr:pic>
      <xdr:nvPicPr>
        <xdr:cNvPr id="1319" name="e8592a14-93ef-417d-9025-ac509cec4fb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84179a240774de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1322</xdr:row>
      <xdr:rowOff>19050</xdr:rowOff>
    </xdr:from>
    <xdr:ext cx="1143000" cy="1143000"/>
    <xdr:pic>
      <xdr:nvPicPr>
        <xdr:cNvPr id="1320" name="6310a768-800d-40cb-bde5-c364a9b0d7c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bc9a2d912874d4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1323</xdr:row>
      <xdr:rowOff>19050</xdr:rowOff>
    </xdr:from>
    <xdr:ext cx="1143000" cy="1143000"/>
    <xdr:pic>
      <xdr:nvPicPr>
        <xdr:cNvPr id="1321" name="e4b213e0-b1fd-40f5-9c04-ae329e5d4cd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6daa93ce3f349e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1324</xdr:row>
      <xdr:rowOff>19050</xdr:rowOff>
    </xdr:from>
    <xdr:ext cx="1143000" cy="1143000"/>
    <xdr:pic>
      <xdr:nvPicPr>
        <xdr:cNvPr id="1322" name="31d38544-df9f-41a5-b174-583b0ad862c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160eaf78909436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1325</xdr:row>
      <xdr:rowOff>19050</xdr:rowOff>
    </xdr:from>
    <xdr:ext cx="1143000" cy="1143000"/>
    <xdr:pic>
      <xdr:nvPicPr>
        <xdr:cNvPr id="1323" name="4c689408-961e-42b8-8aa9-199757aea91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9543bb770494ec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1326</xdr:row>
      <xdr:rowOff>19050</xdr:rowOff>
    </xdr:from>
    <xdr:ext cx="1143000" cy="1143000"/>
    <xdr:pic>
      <xdr:nvPicPr>
        <xdr:cNvPr id="1324" name="ab2b2bee-b170-4aec-a60e-bf82cf4d8b2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a3cd1f772f5431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1327</xdr:row>
      <xdr:rowOff>19050</xdr:rowOff>
    </xdr:from>
    <xdr:ext cx="1143000" cy="1143000"/>
    <xdr:pic>
      <xdr:nvPicPr>
        <xdr:cNvPr id="1325" name="56bdf407-673e-4792-93ea-0127e9fce19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fc5294dc31f4b4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1328</xdr:row>
      <xdr:rowOff>19050</xdr:rowOff>
    </xdr:from>
    <xdr:ext cx="1143000" cy="1143000"/>
    <xdr:pic>
      <xdr:nvPicPr>
        <xdr:cNvPr id="1326" name="c98886a9-84c9-4f15-b322-d7d5df57ef1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828a7a662774ea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1329</xdr:row>
      <xdr:rowOff>19050</xdr:rowOff>
    </xdr:from>
    <xdr:ext cx="1143000" cy="1143000"/>
    <xdr:pic>
      <xdr:nvPicPr>
        <xdr:cNvPr id="1327" name="9d748886-aa59-4af9-8465-ddbffc74bdd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cfefe027c464ac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1330</xdr:row>
      <xdr:rowOff>19050</xdr:rowOff>
    </xdr:from>
    <xdr:ext cx="1143000" cy="1143000"/>
    <xdr:pic>
      <xdr:nvPicPr>
        <xdr:cNvPr id="1328" name="b0b3d8e9-531d-4991-a037-c6a3a5c29df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d5d9f6b984d4a8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1331</xdr:row>
      <xdr:rowOff>19050</xdr:rowOff>
    </xdr:from>
    <xdr:ext cx="1143000" cy="1143000"/>
    <xdr:pic>
      <xdr:nvPicPr>
        <xdr:cNvPr id="1329" name="d5b90f07-71c9-4d23-8406-81067eb6faf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34efcc71fd643e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1332</xdr:row>
      <xdr:rowOff>19050</xdr:rowOff>
    </xdr:from>
    <xdr:ext cx="1143000" cy="1143000"/>
    <xdr:pic>
      <xdr:nvPicPr>
        <xdr:cNvPr id="1330" name="f043495c-2270-4f30-98c7-231d3f9843d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c4a59850f2b438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1333</xdr:row>
      <xdr:rowOff>19050</xdr:rowOff>
    </xdr:from>
    <xdr:ext cx="1143000" cy="1143000"/>
    <xdr:pic>
      <xdr:nvPicPr>
        <xdr:cNvPr id="1331" name="198411d7-8a8d-4b57-b79b-c58bc15be80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2e74d17065a48a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1334</xdr:row>
      <xdr:rowOff>19050</xdr:rowOff>
    </xdr:from>
    <xdr:ext cx="1143000" cy="1143000"/>
    <xdr:pic>
      <xdr:nvPicPr>
        <xdr:cNvPr id="1332" name="53e33e9c-749e-40af-90de-4d25251bee2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ed3438f51f8416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1335</xdr:row>
      <xdr:rowOff>19050</xdr:rowOff>
    </xdr:from>
    <xdr:ext cx="1143000" cy="1143000"/>
    <xdr:pic>
      <xdr:nvPicPr>
        <xdr:cNvPr id="1333" name="28ead249-e1f0-4f2a-a897-a7cff99cb8c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6e88ce37a134b8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1336</xdr:row>
      <xdr:rowOff>19050</xdr:rowOff>
    </xdr:from>
    <xdr:ext cx="1143000" cy="1143000"/>
    <xdr:pic>
      <xdr:nvPicPr>
        <xdr:cNvPr id="1334" name="4b57c345-49d5-4154-b206-142c6592994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0cd261517224a6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1337</xdr:row>
      <xdr:rowOff>19050</xdr:rowOff>
    </xdr:from>
    <xdr:ext cx="1143000" cy="1143000"/>
    <xdr:pic>
      <xdr:nvPicPr>
        <xdr:cNvPr id="1335" name="d5d6ff5c-0242-4591-833b-e34f2127d19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6d3a77825fa4d8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1338</xdr:row>
      <xdr:rowOff>19050</xdr:rowOff>
    </xdr:from>
    <xdr:ext cx="1143000" cy="1143000"/>
    <xdr:pic>
      <xdr:nvPicPr>
        <xdr:cNvPr id="1336" name="8aaa26ca-8e93-4981-9416-945d8eb7645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6d4b30316784da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1339</xdr:row>
      <xdr:rowOff>19050</xdr:rowOff>
    </xdr:from>
    <xdr:ext cx="1143000" cy="1143000"/>
    <xdr:pic>
      <xdr:nvPicPr>
        <xdr:cNvPr id="1337" name="b6f62e2d-6df2-44cb-aaab-4af1ab0741c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88ddee6bb0a410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1340</xdr:row>
      <xdr:rowOff>19050</xdr:rowOff>
    </xdr:from>
    <xdr:ext cx="1143000" cy="1143000"/>
    <xdr:pic>
      <xdr:nvPicPr>
        <xdr:cNvPr id="1338" name="040278b8-b607-433e-8e23-e55ca564ba3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0a47bc4b36347d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1341</xdr:row>
      <xdr:rowOff>19050</xdr:rowOff>
    </xdr:from>
    <xdr:ext cx="1143000" cy="1143000"/>
    <xdr:pic>
      <xdr:nvPicPr>
        <xdr:cNvPr id="1339" name="10e50077-41fe-45bb-a61c-303eb1f8b6f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e208a2738bc4fa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1342</xdr:row>
      <xdr:rowOff>19050</xdr:rowOff>
    </xdr:from>
    <xdr:ext cx="1143000" cy="1143000"/>
    <xdr:pic>
      <xdr:nvPicPr>
        <xdr:cNvPr id="1340" name="fd8d2f06-6d3d-445f-8f15-e5503122ddb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2157993336a422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1343</xdr:row>
      <xdr:rowOff>19050</xdr:rowOff>
    </xdr:from>
    <xdr:ext cx="1143000" cy="1143000"/>
    <xdr:pic>
      <xdr:nvPicPr>
        <xdr:cNvPr id="1341" name="20a10145-ae6b-4d9a-b184-f65b04e59f7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31d525ec7ce419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1344</xdr:row>
      <xdr:rowOff>19050</xdr:rowOff>
    </xdr:from>
    <xdr:ext cx="1143000" cy="1143000"/>
    <xdr:pic>
      <xdr:nvPicPr>
        <xdr:cNvPr id="1342" name="3e3fe5f8-1e54-49b4-a521-5e62f6f1dd2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a24009e181a4ab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1345</xdr:row>
      <xdr:rowOff>19050</xdr:rowOff>
    </xdr:from>
    <xdr:ext cx="1143000" cy="1143000"/>
    <xdr:pic>
      <xdr:nvPicPr>
        <xdr:cNvPr id="1343" name="4fee0116-fec5-4937-b1c5-71c71d9e793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d715b20339b412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1346</xdr:row>
      <xdr:rowOff>19050</xdr:rowOff>
    </xdr:from>
    <xdr:ext cx="1143000" cy="1143000"/>
    <xdr:pic>
      <xdr:nvPicPr>
        <xdr:cNvPr id="1344" name="38ebfc53-52dd-459c-8516-27f15d7c8d4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c10ae3ee76d4e8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1347</xdr:row>
      <xdr:rowOff>19050</xdr:rowOff>
    </xdr:from>
    <xdr:ext cx="1143000" cy="1143000"/>
    <xdr:pic>
      <xdr:nvPicPr>
        <xdr:cNvPr id="1345" name="85731962-c550-4a29-bafe-3773d62daef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fe1cb99b10e4fc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1348</xdr:row>
      <xdr:rowOff>19050</xdr:rowOff>
    </xdr:from>
    <xdr:ext cx="1143000" cy="1143000"/>
    <xdr:pic>
      <xdr:nvPicPr>
        <xdr:cNvPr id="1346" name="b1798968-dbe7-43a6-affa-3bd6df54d66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8b0f88ada0c445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1349</xdr:row>
      <xdr:rowOff>19050</xdr:rowOff>
    </xdr:from>
    <xdr:ext cx="1143000" cy="1143000"/>
    <xdr:pic>
      <xdr:nvPicPr>
        <xdr:cNvPr id="1347" name="5d6452d3-6826-4b9f-bcde-12b135addd9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c87010a3bb04b6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1350</xdr:row>
      <xdr:rowOff>19050</xdr:rowOff>
    </xdr:from>
    <xdr:ext cx="1143000" cy="1143000"/>
    <xdr:pic>
      <xdr:nvPicPr>
        <xdr:cNvPr id="1348" name="72bbf005-33d1-4e7a-a5ce-3add58bd790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087341fff80491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1351</xdr:row>
      <xdr:rowOff>19050</xdr:rowOff>
    </xdr:from>
    <xdr:ext cx="1143000" cy="1143000"/>
    <xdr:pic>
      <xdr:nvPicPr>
        <xdr:cNvPr id="1349" name="60ca2bcf-d50a-4f50-a28a-d04776aa0e3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1903570df974a1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1352</xdr:row>
      <xdr:rowOff>19050</xdr:rowOff>
    </xdr:from>
    <xdr:ext cx="1143000" cy="1143000"/>
    <xdr:pic>
      <xdr:nvPicPr>
        <xdr:cNvPr id="1350" name="7e1f0bb1-9557-468d-9a76-b69b4dbf340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36e88a252a24fb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1353</xdr:row>
      <xdr:rowOff>19050</xdr:rowOff>
    </xdr:from>
    <xdr:ext cx="1143000" cy="1143000"/>
    <xdr:pic>
      <xdr:nvPicPr>
        <xdr:cNvPr id="1351" name="c8599066-9be4-4779-8cab-ed583886e89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3de2df5d8e547c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1354</xdr:row>
      <xdr:rowOff>19050</xdr:rowOff>
    </xdr:from>
    <xdr:ext cx="1143000" cy="1143000"/>
    <xdr:pic>
      <xdr:nvPicPr>
        <xdr:cNvPr id="1352" name="242737e2-1dc5-44b5-bd0a-a17396a4619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7d3c2697ac1435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1355</xdr:row>
      <xdr:rowOff>19050</xdr:rowOff>
    </xdr:from>
    <xdr:ext cx="1143000" cy="1143000"/>
    <xdr:pic>
      <xdr:nvPicPr>
        <xdr:cNvPr id="1353" name="38a2359a-f7ed-40aa-be90-b7de064e275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31519bc170247c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1356</xdr:row>
      <xdr:rowOff>19050</xdr:rowOff>
    </xdr:from>
    <xdr:ext cx="1143000" cy="1143000"/>
    <xdr:pic>
      <xdr:nvPicPr>
        <xdr:cNvPr id="1354" name="d02def1e-c546-47e2-acf2-5498fdda9b5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4eeb30d4157478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1357</xdr:row>
      <xdr:rowOff>19050</xdr:rowOff>
    </xdr:from>
    <xdr:ext cx="1143000" cy="1143000"/>
    <xdr:pic>
      <xdr:nvPicPr>
        <xdr:cNvPr id="1355" name="c90e2bec-bdc7-4e27-a5eb-f26272cef83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2ee5b05d1004c1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1358</xdr:row>
      <xdr:rowOff>19050</xdr:rowOff>
    </xdr:from>
    <xdr:ext cx="1143000" cy="1143000"/>
    <xdr:pic>
      <xdr:nvPicPr>
        <xdr:cNvPr id="1356" name="112a1617-cc96-44c5-b8ee-87027e7a63f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ab2e405bd6a40c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1359</xdr:row>
      <xdr:rowOff>19050</xdr:rowOff>
    </xdr:from>
    <xdr:ext cx="1143000" cy="1143000"/>
    <xdr:pic>
      <xdr:nvPicPr>
        <xdr:cNvPr id="1357" name="3e46746b-cd7a-455a-a73a-20258e5d0f1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b035a678822449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1360</xdr:row>
      <xdr:rowOff>19050</xdr:rowOff>
    </xdr:from>
    <xdr:ext cx="1143000" cy="1143000"/>
    <xdr:pic>
      <xdr:nvPicPr>
        <xdr:cNvPr id="1358" name="11d94433-ed1e-4fca-8ea2-6dad85371d9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745bd5980de4c6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1361</xdr:row>
      <xdr:rowOff>19050</xdr:rowOff>
    </xdr:from>
    <xdr:ext cx="1143000" cy="1143000"/>
    <xdr:pic>
      <xdr:nvPicPr>
        <xdr:cNvPr id="1359" name="044e2988-73d5-4b69-b9aa-c97aaadf733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a34514aa988438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1362</xdr:row>
      <xdr:rowOff>19050</xdr:rowOff>
    </xdr:from>
    <xdr:ext cx="1143000" cy="1143000"/>
    <xdr:pic>
      <xdr:nvPicPr>
        <xdr:cNvPr id="1360" name="1149a4e2-fc32-4a12-93ad-6beb8d8426d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bb2c28200da498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1363</xdr:row>
      <xdr:rowOff>19050</xdr:rowOff>
    </xdr:from>
    <xdr:ext cx="1143000" cy="1143000"/>
    <xdr:pic>
      <xdr:nvPicPr>
        <xdr:cNvPr id="1361" name="6730fb0e-6973-4a8a-9f10-0eba374a1f1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520f676598f44b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1364</xdr:row>
      <xdr:rowOff>19050</xdr:rowOff>
    </xdr:from>
    <xdr:ext cx="1143000" cy="1143000"/>
    <xdr:pic>
      <xdr:nvPicPr>
        <xdr:cNvPr id="1362" name="d7ca27b0-accc-4a78-ab9a-35f08607a9f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cdf429dd433401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1365</xdr:row>
      <xdr:rowOff>19050</xdr:rowOff>
    </xdr:from>
    <xdr:ext cx="1143000" cy="1143000"/>
    <xdr:pic>
      <xdr:nvPicPr>
        <xdr:cNvPr id="1363" name="9f1017ed-41ca-4eb5-8b75-c2c496c9eae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3a9b05b11f54e8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1366</xdr:row>
      <xdr:rowOff>19050</xdr:rowOff>
    </xdr:from>
    <xdr:ext cx="1143000" cy="1143000"/>
    <xdr:pic>
      <xdr:nvPicPr>
        <xdr:cNvPr id="1364" name="75a3ac56-3485-4b4a-a98e-fd57a466b40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d05fe23c0b147b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1367</xdr:row>
      <xdr:rowOff>19050</xdr:rowOff>
    </xdr:from>
    <xdr:ext cx="1143000" cy="1143000"/>
    <xdr:pic>
      <xdr:nvPicPr>
        <xdr:cNvPr id="1365" name="a068eb8c-d6ff-4be5-8a3f-3dd632fb0d0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a65ca77edb846f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1368</xdr:row>
      <xdr:rowOff>19050</xdr:rowOff>
    </xdr:from>
    <xdr:ext cx="1143000" cy="1143000"/>
    <xdr:pic>
      <xdr:nvPicPr>
        <xdr:cNvPr id="1366" name="adba422e-d43d-4ead-9e8d-177940dc17a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7b65b6232fd4df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1369</xdr:row>
      <xdr:rowOff>19050</xdr:rowOff>
    </xdr:from>
    <xdr:ext cx="1143000" cy="1143000"/>
    <xdr:pic>
      <xdr:nvPicPr>
        <xdr:cNvPr id="1367" name="b55c31c0-50f6-4a27-a31c-c8434a75cad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b5fc3c934064f6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1370</xdr:row>
      <xdr:rowOff>19050</xdr:rowOff>
    </xdr:from>
    <xdr:ext cx="1143000" cy="1143000"/>
    <xdr:pic>
      <xdr:nvPicPr>
        <xdr:cNvPr id="1368" name="73a0dd63-16a0-4f80-9aef-b0380a2790a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a7c1f5f38394ab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1371</xdr:row>
      <xdr:rowOff>19050</xdr:rowOff>
    </xdr:from>
    <xdr:ext cx="1143000" cy="1143000"/>
    <xdr:pic>
      <xdr:nvPicPr>
        <xdr:cNvPr id="1369" name="b8de4b71-8b14-4b60-83c6-09716b00c40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2c2bfcd27a742c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1372</xdr:row>
      <xdr:rowOff>19050</xdr:rowOff>
    </xdr:from>
    <xdr:ext cx="1143000" cy="1143000"/>
    <xdr:pic>
      <xdr:nvPicPr>
        <xdr:cNvPr id="1370" name="ffd3048d-a4ad-4835-9075-a66bd36dc64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bb4ad836e1349f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1373</xdr:row>
      <xdr:rowOff>19050</xdr:rowOff>
    </xdr:from>
    <xdr:ext cx="1143000" cy="1143000"/>
    <xdr:pic>
      <xdr:nvPicPr>
        <xdr:cNvPr id="1371" name="81d056b8-feeb-4dc0-93c6-8acfd10438a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9cbfc96666a48d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1374</xdr:row>
      <xdr:rowOff>19050</xdr:rowOff>
    </xdr:from>
    <xdr:ext cx="1143000" cy="1143000"/>
    <xdr:pic>
      <xdr:nvPicPr>
        <xdr:cNvPr id="1372" name="802274d3-1394-405e-8145-5809c19dfb4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77804ac845f49f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1375</xdr:row>
      <xdr:rowOff>19050</xdr:rowOff>
    </xdr:from>
    <xdr:ext cx="1143000" cy="1143000"/>
    <xdr:pic>
      <xdr:nvPicPr>
        <xdr:cNvPr id="1373" name="ad294e79-8ac5-4606-9802-0effc45d161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624e8fbb0c143d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1376</xdr:row>
      <xdr:rowOff>19050</xdr:rowOff>
    </xdr:from>
    <xdr:ext cx="1143000" cy="1143000"/>
    <xdr:pic>
      <xdr:nvPicPr>
        <xdr:cNvPr id="1374" name="a770992e-6e73-45e7-aa1a-ba817ab709c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1e414451d9b4c9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1377</xdr:row>
      <xdr:rowOff>19050</xdr:rowOff>
    </xdr:from>
    <xdr:ext cx="1143000" cy="1143000"/>
    <xdr:pic>
      <xdr:nvPicPr>
        <xdr:cNvPr id="1375" name="abd04f5a-e101-4c4e-aace-bd9dab08535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aded84e6dec4af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1378</xdr:row>
      <xdr:rowOff>19050</xdr:rowOff>
    </xdr:from>
    <xdr:ext cx="1143000" cy="1143000"/>
    <xdr:pic>
      <xdr:nvPicPr>
        <xdr:cNvPr id="1376" name="c54e3ee2-91a0-4641-9959-1f4e3288f83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fbef6f5afbd4b9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1379</xdr:row>
      <xdr:rowOff>19050</xdr:rowOff>
    </xdr:from>
    <xdr:ext cx="1143000" cy="1143000"/>
    <xdr:pic>
      <xdr:nvPicPr>
        <xdr:cNvPr id="1377" name="83f84df0-22b3-4b3b-a569-5a93c65c2b9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d9bea29610a4b0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1380</xdr:row>
      <xdr:rowOff>19050</xdr:rowOff>
    </xdr:from>
    <xdr:ext cx="1143000" cy="1143000"/>
    <xdr:pic>
      <xdr:nvPicPr>
        <xdr:cNvPr id="1378" name="c7cfe13d-f0f9-42ae-a776-16e004bbb3f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e887e984a2b4e8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1381</xdr:row>
      <xdr:rowOff>19050</xdr:rowOff>
    </xdr:from>
    <xdr:ext cx="1143000" cy="1143000"/>
    <xdr:pic>
      <xdr:nvPicPr>
        <xdr:cNvPr id="1379" name="b28c50fa-827e-4dc6-99c0-56c0940a45c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108289980be4ec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1382</xdr:row>
      <xdr:rowOff>19050</xdr:rowOff>
    </xdr:from>
    <xdr:ext cx="1143000" cy="1143000"/>
    <xdr:pic>
      <xdr:nvPicPr>
        <xdr:cNvPr id="1380" name="0d59c780-b81b-4a3b-aff7-e06daa1d116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dc1a3eae4f74bd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1383</xdr:row>
      <xdr:rowOff>19050</xdr:rowOff>
    </xdr:from>
    <xdr:ext cx="1143000" cy="1143000"/>
    <xdr:pic>
      <xdr:nvPicPr>
        <xdr:cNvPr id="1381" name="fc2a65f0-838f-4655-aff7-7d0e9e3de91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2be6e6aa7c0408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1384</xdr:row>
      <xdr:rowOff>19050</xdr:rowOff>
    </xdr:from>
    <xdr:ext cx="1143000" cy="1143000"/>
    <xdr:pic>
      <xdr:nvPicPr>
        <xdr:cNvPr id="1382" name="bd175010-d402-46e7-baad-655ca064017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e0173ec988544d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1385</xdr:row>
      <xdr:rowOff>19050</xdr:rowOff>
    </xdr:from>
    <xdr:ext cx="1143000" cy="1143000"/>
    <xdr:pic>
      <xdr:nvPicPr>
        <xdr:cNvPr id="1383" name="14c639ed-cd04-4b91-b2db-cc2c28d5654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9bc536dd0bb47a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1386</xdr:row>
      <xdr:rowOff>19050</xdr:rowOff>
    </xdr:from>
    <xdr:ext cx="1143000" cy="1143000"/>
    <xdr:pic>
      <xdr:nvPicPr>
        <xdr:cNvPr id="1384" name="02ac8e12-b813-4dc0-a276-a7982d8b9b3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68ad83a709d4ee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1387</xdr:row>
      <xdr:rowOff>19050</xdr:rowOff>
    </xdr:from>
    <xdr:ext cx="1143000" cy="1143000"/>
    <xdr:pic>
      <xdr:nvPicPr>
        <xdr:cNvPr id="1385" name="13866051-c6d8-466a-8904-265adf375c0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db527c78a0e457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1388</xdr:row>
      <xdr:rowOff>19050</xdr:rowOff>
    </xdr:from>
    <xdr:ext cx="1143000" cy="1143000"/>
    <xdr:pic>
      <xdr:nvPicPr>
        <xdr:cNvPr id="1386" name="be61cb69-a569-41f3-b705-c4fea094082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3ac6f252e0e447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1389</xdr:row>
      <xdr:rowOff>19050</xdr:rowOff>
    </xdr:from>
    <xdr:ext cx="1143000" cy="1143000"/>
    <xdr:pic>
      <xdr:nvPicPr>
        <xdr:cNvPr id="1387" name="1f1b5d15-47cc-4650-be54-8239e454fa3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2c1eb87e486441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1390</xdr:row>
      <xdr:rowOff>19050</xdr:rowOff>
    </xdr:from>
    <xdr:ext cx="1143000" cy="1143000"/>
    <xdr:pic>
      <xdr:nvPicPr>
        <xdr:cNvPr id="1388" name="7d191bd3-bfce-42b4-8c67-8d12b42c97f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5e2b48fd506485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1391</xdr:row>
      <xdr:rowOff>19050</xdr:rowOff>
    </xdr:from>
    <xdr:ext cx="1143000" cy="1143000"/>
    <xdr:pic>
      <xdr:nvPicPr>
        <xdr:cNvPr id="1389" name="8d1974c6-847c-4946-9961-57a894e0aab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b29bf7e16834b5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1392</xdr:row>
      <xdr:rowOff>19050</xdr:rowOff>
    </xdr:from>
    <xdr:ext cx="1143000" cy="1143000"/>
    <xdr:pic>
      <xdr:nvPicPr>
        <xdr:cNvPr id="1390" name="7df45c30-83e2-4f16-97b1-9cd72d95ff6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463be0c8a2e4cd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1393</xdr:row>
      <xdr:rowOff>19050</xdr:rowOff>
    </xdr:from>
    <xdr:ext cx="1143000" cy="1143000"/>
    <xdr:pic>
      <xdr:nvPicPr>
        <xdr:cNvPr id="1391" name="688272e0-e069-4125-b4e4-1d47fadc458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30ae736660e495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1394</xdr:row>
      <xdr:rowOff>19050</xdr:rowOff>
    </xdr:from>
    <xdr:ext cx="1143000" cy="1143000"/>
    <xdr:pic>
      <xdr:nvPicPr>
        <xdr:cNvPr id="1392" name="086779d3-d8d4-4101-b484-616b6b3d189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8560708f8264d6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1395</xdr:row>
      <xdr:rowOff>19050</xdr:rowOff>
    </xdr:from>
    <xdr:ext cx="1143000" cy="1143000"/>
    <xdr:pic>
      <xdr:nvPicPr>
        <xdr:cNvPr id="1393" name="881e084f-9b51-4f79-87ec-79f8cb57e0b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e410c0625f545f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1396</xdr:row>
      <xdr:rowOff>19050</xdr:rowOff>
    </xdr:from>
    <xdr:ext cx="1143000" cy="1143000"/>
    <xdr:pic>
      <xdr:nvPicPr>
        <xdr:cNvPr id="1394" name="754f18f9-76b1-4145-8aae-09482d77877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a9db03c36b2439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1397</xdr:row>
      <xdr:rowOff>19050</xdr:rowOff>
    </xdr:from>
    <xdr:ext cx="1143000" cy="1143000"/>
    <xdr:pic>
      <xdr:nvPicPr>
        <xdr:cNvPr id="1395" name="eff3dcf8-0284-41da-bfea-d93e1be832e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5e8fdc4bd654b8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1398</xdr:row>
      <xdr:rowOff>19050</xdr:rowOff>
    </xdr:from>
    <xdr:ext cx="1143000" cy="1143000"/>
    <xdr:pic>
      <xdr:nvPicPr>
        <xdr:cNvPr id="1396" name="9eda1f7f-784f-438f-8812-759eca3249c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64c1b1a35f14eb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1399</xdr:row>
      <xdr:rowOff>19050</xdr:rowOff>
    </xdr:from>
    <xdr:ext cx="1143000" cy="1143000"/>
    <xdr:pic>
      <xdr:nvPicPr>
        <xdr:cNvPr id="1397" name="ebf49d81-c2ee-41e9-b555-a0d66bdd2a2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5f9d528abd14f8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1400</xdr:row>
      <xdr:rowOff>19050</xdr:rowOff>
    </xdr:from>
    <xdr:ext cx="1143000" cy="1143000"/>
    <xdr:pic>
      <xdr:nvPicPr>
        <xdr:cNvPr id="1398" name="a558f49a-ca01-46fe-8f61-1926d2a6e39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e382e4924ac47d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1401</xdr:row>
      <xdr:rowOff>19050</xdr:rowOff>
    </xdr:from>
    <xdr:ext cx="1143000" cy="1143000"/>
    <xdr:pic>
      <xdr:nvPicPr>
        <xdr:cNvPr id="1399" name="433ba7d5-021f-4cf8-a1a0-5822e3fa509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532027f912d4a8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1402</xdr:row>
      <xdr:rowOff>19050</xdr:rowOff>
    </xdr:from>
    <xdr:ext cx="1143000" cy="1143000"/>
    <xdr:pic>
      <xdr:nvPicPr>
        <xdr:cNvPr id="1400" name="460a9d9b-c33f-4e0e-99fb-b83cdfe2f47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cd3859cd51d4fc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1403</xdr:row>
      <xdr:rowOff>19050</xdr:rowOff>
    </xdr:from>
    <xdr:ext cx="1143000" cy="1143000"/>
    <xdr:pic>
      <xdr:nvPicPr>
        <xdr:cNvPr id="1401" name="90d805d7-d5f9-4aaf-bfd4-dcd955ac3ee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72d46d278fa464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1404</xdr:row>
      <xdr:rowOff>19050</xdr:rowOff>
    </xdr:from>
    <xdr:ext cx="1143000" cy="1143000"/>
    <xdr:pic>
      <xdr:nvPicPr>
        <xdr:cNvPr id="1402" name="2176d92e-f874-402b-8fbe-0a68d25ba2f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dfee84611fd44b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1405</xdr:row>
      <xdr:rowOff>19050</xdr:rowOff>
    </xdr:from>
    <xdr:ext cx="1143000" cy="1143000"/>
    <xdr:pic>
      <xdr:nvPicPr>
        <xdr:cNvPr id="1403" name="5c3792e1-54e9-4527-8d97-48e96614f64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58f95c9679c442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1406</xdr:row>
      <xdr:rowOff>19050</xdr:rowOff>
    </xdr:from>
    <xdr:ext cx="1143000" cy="1143000"/>
    <xdr:pic>
      <xdr:nvPicPr>
        <xdr:cNvPr id="1404" name="35cc7c20-81e3-4e05-b793-7859e23cdeb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369327dd25c470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1407</xdr:row>
      <xdr:rowOff>19050</xdr:rowOff>
    </xdr:from>
    <xdr:ext cx="1143000" cy="1143000"/>
    <xdr:pic>
      <xdr:nvPicPr>
        <xdr:cNvPr id="1405" name="462d74e2-6cab-49f7-8e05-cf1749120dc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9ec782d95684db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1408</xdr:row>
      <xdr:rowOff>19050</xdr:rowOff>
    </xdr:from>
    <xdr:ext cx="1143000" cy="1143000"/>
    <xdr:pic>
      <xdr:nvPicPr>
        <xdr:cNvPr id="1406" name="89a07488-8056-4bf3-bacf-e349873d034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1e4969d47e849d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1409</xdr:row>
      <xdr:rowOff>19050</xdr:rowOff>
    </xdr:from>
    <xdr:ext cx="1143000" cy="1143000"/>
    <xdr:pic>
      <xdr:nvPicPr>
        <xdr:cNvPr id="1407" name="0dc06b15-c8ad-4abf-874f-774d907ca4a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a4e10a804cb4c2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1410</xdr:row>
      <xdr:rowOff>19050</xdr:rowOff>
    </xdr:from>
    <xdr:ext cx="1143000" cy="1143000"/>
    <xdr:pic>
      <xdr:nvPicPr>
        <xdr:cNvPr id="1408" name="442f7aaf-c547-445f-b093-d85d6ad0aac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8881ccdffa0479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1411</xdr:row>
      <xdr:rowOff>19050</xdr:rowOff>
    </xdr:from>
    <xdr:ext cx="1143000" cy="1143000"/>
    <xdr:pic>
      <xdr:nvPicPr>
        <xdr:cNvPr id="1409" name="39f118af-6122-47a3-b2bd-d5a8cc3e7a0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f015b379bec482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1412</xdr:row>
      <xdr:rowOff>19050</xdr:rowOff>
    </xdr:from>
    <xdr:ext cx="1143000" cy="1143000"/>
    <xdr:pic>
      <xdr:nvPicPr>
        <xdr:cNvPr id="1410" name="e38ca2a7-2d6a-484d-913b-067fad481dd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f55a5e0d50440d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1413</xdr:row>
      <xdr:rowOff>19050</xdr:rowOff>
    </xdr:from>
    <xdr:ext cx="1143000" cy="1143000"/>
    <xdr:pic>
      <xdr:nvPicPr>
        <xdr:cNvPr id="1411" name="857d3a43-1068-4820-93e4-d3e28df6d66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cce12ae4ca5454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1414</xdr:row>
      <xdr:rowOff>19050</xdr:rowOff>
    </xdr:from>
    <xdr:ext cx="1143000" cy="1143000"/>
    <xdr:pic>
      <xdr:nvPicPr>
        <xdr:cNvPr id="1412" name="e0da9418-39ba-4c32-8195-7306027de06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b6ade5efc15455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1415</xdr:row>
      <xdr:rowOff>19050</xdr:rowOff>
    </xdr:from>
    <xdr:ext cx="1143000" cy="1143000"/>
    <xdr:pic>
      <xdr:nvPicPr>
        <xdr:cNvPr id="1413" name="8f4f6207-2432-4aa0-adc3-aa5f3a7bfca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7475e2f146649d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1416</xdr:row>
      <xdr:rowOff>19050</xdr:rowOff>
    </xdr:from>
    <xdr:ext cx="1143000" cy="1143000"/>
    <xdr:pic>
      <xdr:nvPicPr>
        <xdr:cNvPr id="1414" name="bd85f316-13dc-4c9a-b8f7-79d92285a7f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6b40b7c200b426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1417</xdr:row>
      <xdr:rowOff>19050</xdr:rowOff>
    </xdr:from>
    <xdr:ext cx="1143000" cy="1143000"/>
    <xdr:pic>
      <xdr:nvPicPr>
        <xdr:cNvPr id="1415" name="3749ad77-45ee-4cc9-abeb-253fd01e3b0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af8573e99d44f6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1418</xdr:row>
      <xdr:rowOff>19050</xdr:rowOff>
    </xdr:from>
    <xdr:ext cx="1143000" cy="1143000"/>
    <xdr:pic>
      <xdr:nvPicPr>
        <xdr:cNvPr id="1416" name="e0228209-4c0f-4289-adc2-4acc6e7fafb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27d823730864d5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1419</xdr:row>
      <xdr:rowOff>19050</xdr:rowOff>
    </xdr:from>
    <xdr:ext cx="1143000" cy="1143000"/>
    <xdr:pic>
      <xdr:nvPicPr>
        <xdr:cNvPr id="1417" name="0d01bf87-5142-4d35-8547-63f665e4a5a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ba0e99169f3445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1420</xdr:row>
      <xdr:rowOff>19050</xdr:rowOff>
    </xdr:from>
    <xdr:ext cx="1143000" cy="1143000"/>
    <xdr:pic>
      <xdr:nvPicPr>
        <xdr:cNvPr id="1418" name="36bdf186-1b58-4510-8ce5-62e2e622b7b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aaa8f4314914aa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1421</xdr:row>
      <xdr:rowOff>19050</xdr:rowOff>
    </xdr:from>
    <xdr:ext cx="1143000" cy="1143000"/>
    <xdr:pic>
      <xdr:nvPicPr>
        <xdr:cNvPr id="1419" name="c14e136e-422f-46ff-bbc7-74db6478d13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56c26108cf44c9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1422</xdr:row>
      <xdr:rowOff>19050</xdr:rowOff>
    </xdr:from>
    <xdr:ext cx="1143000" cy="1143000"/>
    <xdr:pic>
      <xdr:nvPicPr>
        <xdr:cNvPr id="1420" name="b7019485-5ae9-4f1a-b343-f24f0625543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6d679af3981439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1423</xdr:row>
      <xdr:rowOff>19050</xdr:rowOff>
    </xdr:from>
    <xdr:ext cx="1143000" cy="1143000"/>
    <xdr:pic>
      <xdr:nvPicPr>
        <xdr:cNvPr id="1421" name="75ee9a24-4b45-484a-b9f7-fbb602076b8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c8cb996bff5497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1424</xdr:row>
      <xdr:rowOff>19050</xdr:rowOff>
    </xdr:from>
    <xdr:ext cx="1143000" cy="1143000"/>
    <xdr:pic>
      <xdr:nvPicPr>
        <xdr:cNvPr id="1422" name="6451184e-24ab-4054-89a9-b926c38d9a4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ab61d61c2b14d9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1425</xdr:row>
      <xdr:rowOff>19050</xdr:rowOff>
    </xdr:from>
    <xdr:ext cx="1143000" cy="1143000"/>
    <xdr:pic>
      <xdr:nvPicPr>
        <xdr:cNvPr id="1423" name="09211ce2-5ab3-4c3f-886b-170c5d9023d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eb75f46345e40e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1426</xdr:row>
      <xdr:rowOff>19050</xdr:rowOff>
    </xdr:from>
    <xdr:ext cx="1143000" cy="1143000"/>
    <xdr:pic>
      <xdr:nvPicPr>
        <xdr:cNvPr id="1424" name="531cf8b7-9b41-4dce-b997-51c31549e6e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bcd1dd9e9a64a0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1427</xdr:row>
      <xdr:rowOff>19050</xdr:rowOff>
    </xdr:from>
    <xdr:ext cx="1143000" cy="1143000"/>
    <xdr:pic>
      <xdr:nvPicPr>
        <xdr:cNvPr id="1425" name="59385c97-e9f7-4de9-bbd3-87afbb5901e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edf9e75b7f941d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1428</xdr:row>
      <xdr:rowOff>19050</xdr:rowOff>
    </xdr:from>
    <xdr:ext cx="1143000" cy="1143000"/>
    <xdr:pic>
      <xdr:nvPicPr>
        <xdr:cNvPr id="1426" name="ea426a82-be89-4502-aeff-c882ed90e08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0ab72003558473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1429</xdr:row>
      <xdr:rowOff>19050</xdr:rowOff>
    </xdr:from>
    <xdr:ext cx="1143000" cy="1143000"/>
    <xdr:pic>
      <xdr:nvPicPr>
        <xdr:cNvPr id="1427" name="f0005984-314b-4833-8245-bc896a1f70d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eeaa5ebc5d94f2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1430</xdr:row>
      <xdr:rowOff>19050</xdr:rowOff>
    </xdr:from>
    <xdr:ext cx="1143000" cy="1143000"/>
    <xdr:pic>
      <xdr:nvPicPr>
        <xdr:cNvPr id="1428" name="18f122b8-5f1e-496e-be99-06d1f1b588b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f29bbc9869a486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1431</xdr:row>
      <xdr:rowOff>19050</xdr:rowOff>
    </xdr:from>
    <xdr:ext cx="1143000" cy="1143000"/>
    <xdr:pic>
      <xdr:nvPicPr>
        <xdr:cNvPr id="1429" name="9093ee44-0bae-4a4d-8a5e-34d67d433b8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dd51f835306407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1432</xdr:row>
      <xdr:rowOff>19050</xdr:rowOff>
    </xdr:from>
    <xdr:ext cx="1143000" cy="1143000"/>
    <xdr:pic>
      <xdr:nvPicPr>
        <xdr:cNvPr id="1430" name="dedae22c-effc-45a4-b391-cf4150f6f88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55f6f41f7bf48e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1433</xdr:row>
      <xdr:rowOff>19050</xdr:rowOff>
    </xdr:from>
    <xdr:ext cx="1143000" cy="1143000"/>
    <xdr:pic>
      <xdr:nvPicPr>
        <xdr:cNvPr id="1431" name="bb01cab9-efe4-471b-95bf-bdb9ace784d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2b21951cb054e9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1434</xdr:row>
      <xdr:rowOff>19050</xdr:rowOff>
    </xdr:from>
    <xdr:ext cx="1143000" cy="1143000"/>
    <xdr:pic>
      <xdr:nvPicPr>
        <xdr:cNvPr id="1432" name="8dd110b2-486d-49f1-8fef-ccb1fff1c9e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cfaf041446646b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1435</xdr:row>
      <xdr:rowOff>19050</xdr:rowOff>
    </xdr:from>
    <xdr:ext cx="1143000" cy="1143000"/>
    <xdr:pic>
      <xdr:nvPicPr>
        <xdr:cNvPr id="1433" name="d261272f-69d4-4ed2-a181-38b489beef3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19c566f2d6d430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1436</xdr:row>
      <xdr:rowOff>19050</xdr:rowOff>
    </xdr:from>
    <xdr:ext cx="1143000" cy="1143000"/>
    <xdr:pic>
      <xdr:nvPicPr>
        <xdr:cNvPr id="1434" name="26478718-ea5c-4823-9bac-ca20d48d99f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885e6a510e940c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1437</xdr:row>
      <xdr:rowOff>19050</xdr:rowOff>
    </xdr:from>
    <xdr:ext cx="1143000" cy="1143000"/>
    <xdr:pic>
      <xdr:nvPicPr>
        <xdr:cNvPr id="1435" name="516ae3a4-d618-4dda-94d9-d86fe6a81d1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426c476a9f8463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1438</xdr:row>
      <xdr:rowOff>19050</xdr:rowOff>
    </xdr:from>
    <xdr:ext cx="1143000" cy="1143000"/>
    <xdr:pic>
      <xdr:nvPicPr>
        <xdr:cNvPr id="1436" name="a52955e3-b46d-435f-84f0-5fdf41903cb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c4e05e217d3461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1439</xdr:row>
      <xdr:rowOff>19050</xdr:rowOff>
    </xdr:from>
    <xdr:ext cx="1143000" cy="1143000"/>
    <xdr:pic>
      <xdr:nvPicPr>
        <xdr:cNvPr id="1437" name="256c34eb-6bd6-4568-8654-9e4eb645c83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4d0902b8d16443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1440</xdr:row>
      <xdr:rowOff>19050</xdr:rowOff>
    </xdr:from>
    <xdr:ext cx="1143000" cy="1143000"/>
    <xdr:pic>
      <xdr:nvPicPr>
        <xdr:cNvPr id="1438" name="4479a93c-9c0f-47f3-9db4-37858a174a6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edc1ef8ae7d4fa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1441</xdr:row>
      <xdr:rowOff>19050</xdr:rowOff>
    </xdr:from>
    <xdr:ext cx="1143000" cy="1143000"/>
    <xdr:pic>
      <xdr:nvPicPr>
        <xdr:cNvPr id="1439" name="fda2bef9-6b73-4395-ad72-175cec28b7e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f4fb569e439440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1442</xdr:row>
      <xdr:rowOff>19050</xdr:rowOff>
    </xdr:from>
    <xdr:ext cx="1143000" cy="1143000"/>
    <xdr:pic>
      <xdr:nvPicPr>
        <xdr:cNvPr id="1440" name="77e459cc-c318-443f-89f8-869d975bb20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7d508e3b708481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1443</xdr:row>
      <xdr:rowOff>19050</xdr:rowOff>
    </xdr:from>
    <xdr:ext cx="1143000" cy="1143000"/>
    <xdr:pic>
      <xdr:nvPicPr>
        <xdr:cNvPr id="1441" name="a591bd5c-8d0d-4720-b174-56495ac7451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7a265d4940641c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1444</xdr:row>
      <xdr:rowOff>19050</xdr:rowOff>
    </xdr:from>
    <xdr:ext cx="1143000" cy="1143000"/>
    <xdr:pic>
      <xdr:nvPicPr>
        <xdr:cNvPr id="1442" name="4669299b-54cc-4a24-b84e-7264afe60e8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aae069b9fe8473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1445</xdr:row>
      <xdr:rowOff>19050</xdr:rowOff>
    </xdr:from>
    <xdr:ext cx="1143000" cy="1143000"/>
    <xdr:pic>
      <xdr:nvPicPr>
        <xdr:cNvPr id="1443" name="815894a9-baf5-491c-938b-cc815cc3f4e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a30fe48769640e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1446</xdr:row>
      <xdr:rowOff>19050</xdr:rowOff>
    </xdr:from>
    <xdr:ext cx="1143000" cy="1143000"/>
    <xdr:pic>
      <xdr:nvPicPr>
        <xdr:cNvPr id="1444" name="af1b6108-3f77-4d80-b62a-b0ab538896e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91c4d83641d451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1447</xdr:row>
      <xdr:rowOff>19050</xdr:rowOff>
    </xdr:from>
    <xdr:ext cx="1143000" cy="1143000"/>
    <xdr:pic>
      <xdr:nvPicPr>
        <xdr:cNvPr id="1445" name="0f454809-b735-4d2b-961c-ea85b75df80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a31d20ab7e84ae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1448</xdr:row>
      <xdr:rowOff>19050</xdr:rowOff>
    </xdr:from>
    <xdr:ext cx="1143000" cy="1143000"/>
    <xdr:pic>
      <xdr:nvPicPr>
        <xdr:cNvPr id="1446" name="aeac1a64-9a8d-40eb-868b-b126311fbcd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50e63775b25476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1449</xdr:row>
      <xdr:rowOff>19050</xdr:rowOff>
    </xdr:from>
    <xdr:ext cx="1143000" cy="1143000"/>
    <xdr:pic>
      <xdr:nvPicPr>
        <xdr:cNvPr id="1447" name="34b761d3-1450-4215-ad74-fb2a6fa5c9c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d30578f442547a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1450</xdr:row>
      <xdr:rowOff>19050</xdr:rowOff>
    </xdr:from>
    <xdr:ext cx="1143000" cy="1143000"/>
    <xdr:pic>
      <xdr:nvPicPr>
        <xdr:cNvPr id="1448" name="ce25eacd-193c-40e4-a81c-24640a2828a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9c2544c938a421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1451</xdr:row>
      <xdr:rowOff>19050</xdr:rowOff>
    </xdr:from>
    <xdr:ext cx="1143000" cy="1143000"/>
    <xdr:pic>
      <xdr:nvPicPr>
        <xdr:cNvPr id="1449" name="d25a9edc-1155-4332-8885-8c4c808a370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460b510cb72410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1452</xdr:row>
      <xdr:rowOff>19050</xdr:rowOff>
    </xdr:from>
    <xdr:ext cx="1143000" cy="1143000"/>
    <xdr:pic>
      <xdr:nvPicPr>
        <xdr:cNvPr id="1450" name="6200a0e0-eff9-4521-bf0a-62880507347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c734de7c84f45c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1453</xdr:row>
      <xdr:rowOff>19050</xdr:rowOff>
    </xdr:from>
    <xdr:ext cx="1143000" cy="1143000"/>
    <xdr:pic>
      <xdr:nvPicPr>
        <xdr:cNvPr id="1451" name="7e526c8f-3980-4241-a036-d9bb9d94b42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463d7b0f73f47e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1454</xdr:row>
      <xdr:rowOff>19050</xdr:rowOff>
    </xdr:from>
    <xdr:ext cx="1143000" cy="1143000"/>
    <xdr:pic>
      <xdr:nvPicPr>
        <xdr:cNvPr id="1452" name="bb818f6c-0a66-457a-8643-4c20f5f6994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7ee6247a7214d7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1455</xdr:row>
      <xdr:rowOff>19050</xdr:rowOff>
    </xdr:from>
    <xdr:ext cx="1143000" cy="1143000"/>
    <xdr:pic>
      <xdr:nvPicPr>
        <xdr:cNvPr id="1453" name="7a3db4c7-28d2-4ad7-a675-a4876e74b88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e9c3a3c52534a9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1456</xdr:row>
      <xdr:rowOff>19050</xdr:rowOff>
    </xdr:from>
    <xdr:ext cx="1143000" cy="1143000"/>
    <xdr:pic>
      <xdr:nvPicPr>
        <xdr:cNvPr id="1454" name="38e43634-1ad2-48dc-909e-b8f3b8c7161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c677ddfd688429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1457</xdr:row>
      <xdr:rowOff>19050</xdr:rowOff>
    </xdr:from>
    <xdr:ext cx="1143000" cy="1143000"/>
    <xdr:pic>
      <xdr:nvPicPr>
        <xdr:cNvPr id="1455" name="957a9698-da14-4e2b-a503-03ae929f7bf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5ede74f42b64af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1458</xdr:row>
      <xdr:rowOff>19050</xdr:rowOff>
    </xdr:from>
    <xdr:ext cx="1143000" cy="1143000"/>
    <xdr:pic>
      <xdr:nvPicPr>
        <xdr:cNvPr id="1456" name="b2b779a0-d7f6-42a7-85f4-516c1c90a30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b7d0d24eef54bd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1459</xdr:row>
      <xdr:rowOff>19050</xdr:rowOff>
    </xdr:from>
    <xdr:ext cx="1143000" cy="1143000"/>
    <xdr:pic>
      <xdr:nvPicPr>
        <xdr:cNvPr id="1457" name="b553908f-276c-4a32-8a76-04b05b28c56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8b73136c3a04aa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1460</xdr:row>
      <xdr:rowOff>19050</xdr:rowOff>
    </xdr:from>
    <xdr:ext cx="1143000" cy="1143000"/>
    <xdr:pic>
      <xdr:nvPicPr>
        <xdr:cNvPr id="1458" name="b0af3823-0f3b-4e83-81e1-e1adaa768c1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63813b4fd314f8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1461</xdr:row>
      <xdr:rowOff>19050</xdr:rowOff>
    </xdr:from>
    <xdr:ext cx="1143000" cy="1143000"/>
    <xdr:pic>
      <xdr:nvPicPr>
        <xdr:cNvPr id="1459" name="1df1668a-ceec-43b1-ae22-3a2eb21b147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f35593b135f416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1462</xdr:row>
      <xdr:rowOff>19050</xdr:rowOff>
    </xdr:from>
    <xdr:ext cx="1143000" cy="1143000"/>
    <xdr:pic>
      <xdr:nvPicPr>
        <xdr:cNvPr id="1460" name="738101ae-26bd-4fda-a877-eac84ec8e5e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3ae05e66e7d44c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1463</xdr:row>
      <xdr:rowOff>19050</xdr:rowOff>
    </xdr:from>
    <xdr:ext cx="1143000" cy="1143000"/>
    <xdr:pic>
      <xdr:nvPicPr>
        <xdr:cNvPr id="1461" name="6c52b2e4-4505-4f49-adac-922dce67640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7ddddafc53140d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1464</xdr:row>
      <xdr:rowOff>19050</xdr:rowOff>
    </xdr:from>
    <xdr:ext cx="1143000" cy="1143000"/>
    <xdr:pic>
      <xdr:nvPicPr>
        <xdr:cNvPr id="1462" name="b6454a8c-ba7c-4533-a969-0e74292c523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35bce50fc1c422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1465</xdr:row>
      <xdr:rowOff>19050</xdr:rowOff>
    </xdr:from>
    <xdr:ext cx="1143000" cy="1143000"/>
    <xdr:pic>
      <xdr:nvPicPr>
        <xdr:cNvPr id="1463" name="748565a4-1fb4-43ae-a771-7bb00349f2c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ee46f8e8c8d440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1466</xdr:row>
      <xdr:rowOff>19050</xdr:rowOff>
    </xdr:from>
    <xdr:ext cx="1143000" cy="1143000"/>
    <xdr:pic>
      <xdr:nvPicPr>
        <xdr:cNvPr id="1464" name="16452171-5719-4fc9-a162-5788b660673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1e897aeacce40d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1467</xdr:row>
      <xdr:rowOff>19050</xdr:rowOff>
    </xdr:from>
    <xdr:ext cx="1143000" cy="1143000"/>
    <xdr:pic>
      <xdr:nvPicPr>
        <xdr:cNvPr id="1465" name="0166691c-a594-44fe-acec-633db5576a2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d9e94a8d8cd416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1468</xdr:row>
      <xdr:rowOff>19050</xdr:rowOff>
    </xdr:from>
    <xdr:ext cx="1143000" cy="1143000"/>
    <xdr:pic>
      <xdr:nvPicPr>
        <xdr:cNvPr id="1466" name="e4f4f6f0-a580-48a2-8c73-ac22ff49b79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ce35aa91ded4eb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1469</xdr:row>
      <xdr:rowOff>19050</xdr:rowOff>
    </xdr:from>
    <xdr:ext cx="1143000" cy="1143000"/>
    <xdr:pic>
      <xdr:nvPicPr>
        <xdr:cNvPr id="1467" name="138c4071-0b76-44a2-9e25-2244fe5b2b9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ec499a018f3418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1470</xdr:row>
      <xdr:rowOff>19050</xdr:rowOff>
    </xdr:from>
    <xdr:ext cx="1143000" cy="1143000"/>
    <xdr:pic>
      <xdr:nvPicPr>
        <xdr:cNvPr id="1468" name="5b9abdea-7103-4938-b429-69ecbcc54d9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86c6cfff8bc431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1471</xdr:row>
      <xdr:rowOff>19050</xdr:rowOff>
    </xdr:from>
    <xdr:ext cx="1143000" cy="1143000"/>
    <xdr:pic>
      <xdr:nvPicPr>
        <xdr:cNvPr id="1469" name="540fb8e1-bae5-43fe-aa81-07fc0cb9484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ca2ce4de459492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1472</xdr:row>
      <xdr:rowOff>19050</xdr:rowOff>
    </xdr:from>
    <xdr:ext cx="1143000" cy="1143000"/>
    <xdr:pic>
      <xdr:nvPicPr>
        <xdr:cNvPr id="1470" name="825cffb2-b85b-4cac-8e1b-07900eccb55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15181a95057413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1473</xdr:row>
      <xdr:rowOff>19050</xdr:rowOff>
    </xdr:from>
    <xdr:ext cx="1143000" cy="1143000"/>
    <xdr:pic>
      <xdr:nvPicPr>
        <xdr:cNvPr id="1471" name="a31a8076-6149-4800-8817-a7ff76a9b1a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63cc7cd96cf45d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1474</xdr:row>
      <xdr:rowOff>19050</xdr:rowOff>
    </xdr:from>
    <xdr:ext cx="1143000" cy="1143000"/>
    <xdr:pic>
      <xdr:nvPicPr>
        <xdr:cNvPr id="1472" name="21e3cd00-59e4-465e-9b14-e8b5366825a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c373732098a4e4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1475</xdr:row>
      <xdr:rowOff>19050</xdr:rowOff>
    </xdr:from>
    <xdr:ext cx="1143000" cy="1143000"/>
    <xdr:pic>
      <xdr:nvPicPr>
        <xdr:cNvPr id="1473" name="4d94915b-3747-49d9-b386-b924c6ce34a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74863a94c9f4a2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1476</xdr:row>
      <xdr:rowOff>19050</xdr:rowOff>
    </xdr:from>
    <xdr:ext cx="1143000" cy="1143000"/>
    <xdr:pic>
      <xdr:nvPicPr>
        <xdr:cNvPr id="1474" name="3ace089d-cff5-438e-ad81-b3e1dda8f89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27e6f57724d40b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1477</xdr:row>
      <xdr:rowOff>19050</xdr:rowOff>
    </xdr:from>
    <xdr:ext cx="1143000" cy="1143000"/>
    <xdr:pic>
      <xdr:nvPicPr>
        <xdr:cNvPr id="1475" name="2458355b-c4e0-4708-b87a-195a8c04d84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2df762902404f3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1478</xdr:row>
      <xdr:rowOff>19050</xdr:rowOff>
    </xdr:from>
    <xdr:ext cx="1143000" cy="1143000"/>
    <xdr:pic>
      <xdr:nvPicPr>
        <xdr:cNvPr id="1476" name="f0ebf295-71da-497b-9d73-9a33e3645c5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ec44c9d1fa44d6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1479</xdr:row>
      <xdr:rowOff>19050</xdr:rowOff>
    </xdr:from>
    <xdr:ext cx="1143000" cy="1143000"/>
    <xdr:pic>
      <xdr:nvPicPr>
        <xdr:cNvPr id="1477" name="e21b3b8c-84ac-4992-adc4-da2dddcde3f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61f7d67714a4b1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1480</xdr:row>
      <xdr:rowOff>19050</xdr:rowOff>
    </xdr:from>
    <xdr:ext cx="1143000" cy="1143000"/>
    <xdr:pic>
      <xdr:nvPicPr>
        <xdr:cNvPr id="1478" name="7172d6e9-8bb0-4321-94fe-79fc57adf00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79a272ca39346f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1481</xdr:row>
      <xdr:rowOff>19050</xdr:rowOff>
    </xdr:from>
    <xdr:ext cx="1143000" cy="1143000"/>
    <xdr:pic>
      <xdr:nvPicPr>
        <xdr:cNvPr id="1479" name="e9336095-a8a3-47e2-97ae-724b36d408e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e9ad52d85ee4c1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1482</xdr:row>
      <xdr:rowOff>19050</xdr:rowOff>
    </xdr:from>
    <xdr:ext cx="1143000" cy="1143000"/>
    <xdr:pic>
      <xdr:nvPicPr>
        <xdr:cNvPr id="1480" name="e39e4b20-b522-439e-a127-2310a505b0f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4cb21f873db49b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1483</xdr:row>
      <xdr:rowOff>19050</xdr:rowOff>
    </xdr:from>
    <xdr:ext cx="1143000" cy="1143000"/>
    <xdr:pic>
      <xdr:nvPicPr>
        <xdr:cNvPr id="1481" name="55a9fb13-5702-4201-9807-3d5b2398eb3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0554159cbea4bb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1484</xdr:row>
      <xdr:rowOff>19050</xdr:rowOff>
    </xdr:from>
    <xdr:ext cx="1143000" cy="1143000"/>
    <xdr:pic>
      <xdr:nvPicPr>
        <xdr:cNvPr id="1482" name="85471e97-10e7-4fd9-9532-d10c7650d56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511511f0b4d424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1485</xdr:row>
      <xdr:rowOff>19050</xdr:rowOff>
    </xdr:from>
    <xdr:ext cx="1143000" cy="1143000"/>
    <xdr:pic>
      <xdr:nvPicPr>
        <xdr:cNvPr id="1483" name="cb61aa3b-2e91-4c7d-91fd-a696f8cf39b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359a4a7c18b458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1486</xdr:row>
      <xdr:rowOff>19050</xdr:rowOff>
    </xdr:from>
    <xdr:ext cx="1143000" cy="1143000"/>
    <xdr:pic>
      <xdr:nvPicPr>
        <xdr:cNvPr id="1484" name="11b0d8c3-ae6c-4caf-9a11-d9f1c53f15a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7d700e96b404a6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1487</xdr:row>
      <xdr:rowOff>19050</xdr:rowOff>
    </xdr:from>
    <xdr:ext cx="1143000" cy="1143000"/>
    <xdr:pic>
      <xdr:nvPicPr>
        <xdr:cNvPr id="1485" name="c00410db-212e-4abf-83bc-99477212207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7a82e44748b4ea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1488</xdr:row>
      <xdr:rowOff>19050</xdr:rowOff>
    </xdr:from>
    <xdr:ext cx="1143000" cy="1143000"/>
    <xdr:pic>
      <xdr:nvPicPr>
        <xdr:cNvPr id="1486" name="3f755947-feee-48e9-9174-5a81046664a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1f71ad02e37497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1489</xdr:row>
      <xdr:rowOff>19050</xdr:rowOff>
    </xdr:from>
    <xdr:ext cx="1143000" cy="1143000"/>
    <xdr:pic>
      <xdr:nvPicPr>
        <xdr:cNvPr id="1487" name="492777dd-a94d-4d4b-885c-9198dff4b67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cd2ad748d344e2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1490</xdr:row>
      <xdr:rowOff>19050</xdr:rowOff>
    </xdr:from>
    <xdr:ext cx="1143000" cy="1143000"/>
    <xdr:pic>
      <xdr:nvPicPr>
        <xdr:cNvPr id="1488" name="ac197413-035c-4de3-b753-8a5256d86e2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d96ae77acd047a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1491</xdr:row>
      <xdr:rowOff>19050</xdr:rowOff>
    </xdr:from>
    <xdr:ext cx="1143000" cy="1143000"/>
    <xdr:pic>
      <xdr:nvPicPr>
        <xdr:cNvPr id="1489" name="bb27245f-2fa0-4493-af66-0c8f10fbd3d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6fe00d56ad54f0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1492</xdr:row>
      <xdr:rowOff>19050</xdr:rowOff>
    </xdr:from>
    <xdr:ext cx="1143000" cy="1143000"/>
    <xdr:pic>
      <xdr:nvPicPr>
        <xdr:cNvPr id="1490" name="9aec1898-001f-4abe-b522-d72a85e6cef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c2a1f8e3a52477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1493</xdr:row>
      <xdr:rowOff>19050</xdr:rowOff>
    </xdr:from>
    <xdr:ext cx="1143000" cy="1143000"/>
    <xdr:pic>
      <xdr:nvPicPr>
        <xdr:cNvPr id="1491" name="81d2d02e-bce8-4edf-a317-1538e40a987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8de853b681f422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1494</xdr:row>
      <xdr:rowOff>19050</xdr:rowOff>
    </xdr:from>
    <xdr:ext cx="1143000" cy="1143000"/>
    <xdr:pic>
      <xdr:nvPicPr>
        <xdr:cNvPr id="1492" name="8170096f-5582-464e-8295-80267dda0a8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ba5034ffb234b0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1495</xdr:row>
      <xdr:rowOff>19050</xdr:rowOff>
    </xdr:from>
    <xdr:ext cx="1143000" cy="1143000"/>
    <xdr:pic>
      <xdr:nvPicPr>
        <xdr:cNvPr id="1493" name="53c214e6-5a79-4fd9-9e6a-d6241c31dc5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4271a21ab5443e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1496</xdr:row>
      <xdr:rowOff>19050</xdr:rowOff>
    </xdr:from>
    <xdr:ext cx="1143000" cy="1143000"/>
    <xdr:pic>
      <xdr:nvPicPr>
        <xdr:cNvPr id="1494" name="74b9dbd3-9155-41e0-9439-2968f8913c8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1a2349473874ef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1497</xdr:row>
      <xdr:rowOff>19050</xdr:rowOff>
    </xdr:from>
    <xdr:ext cx="1143000" cy="1143000"/>
    <xdr:pic>
      <xdr:nvPicPr>
        <xdr:cNvPr id="1495" name="0b641b7f-18d8-4625-8d51-edc7c9126fb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f4b73fe78eb461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1498</xdr:row>
      <xdr:rowOff>19050</xdr:rowOff>
    </xdr:from>
    <xdr:ext cx="1143000" cy="1143000"/>
    <xdr:pic>
      <xdr:nvPicPr>
        <xdr:cNvPr id="1496" name="dca08070-17e0-4ae0-a41e-cd9f62b80d9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187357cb5bc481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1499</xdr:row>
      <xdr:rowOff>19050</xdr:rowOff>
    </xdr:from>
    <xdr:ext cx="1143000" cy="1143000"/>
    <xdr:pic>
      <xdr:nvPicPr>
        <xdr:cNvPr id="1497" name="6114ad2e-5bc5-47d1-b7b2-abf3822c0b6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0eb40d64391427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1500</xdr:row>
      <xdr:rowOff>19050</xdr:rowOff>
    </xdr:from>
    <xdr:ext cx="1143000" cy="1143000"/>
    <xdr:pic>
      <xdr:nvPicPr>
        <xdr:cNvPr id="1498" name="cacde7c8-f42b-41c6-95ac-e104dd1b713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5e7b42ca3714d4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1501</xdr:row>
      <xdr:rowOff>19050</xdr:rowOff>
    </xdr:from>
    <xdr:ext cx="1143000" cy="1143000"/>
    <xdr:pic>
      <xdr:nvPicPr>
        <xdr:cNvPr id="1499" name="20ab8ee3-a7a7-4552-9280-a85e9fc9636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00c15fe70d9427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1502</xdr:row>
      <xdr:rowOff>19050</xdr:rowOff>
    </xdr:from>
    <xdr:ext cx="1143000" cy="1143000"/>
    <xdr:pic>
      <xdr:nvPicPr>
        <xdr:cNvPr id="1500" name="9a42f3b6-011e-4d8d-b8ff-2f08e3645d6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c971f81f15d4ae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1503</xdr:row>
      <xdr:rowOff>19050</xdr:rowOff>
    </xdr:from>
    <xdr:ext cx="1143000" cy="1143000"/>
    <xdr:pic>
      <xdr:nvPicPr>
        <xdr:cNvPr id="1501" name="2c37be1c-f0a3-4d36-9507-1b6609e9917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2cf94ef950b43c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1504</xdr:row>
      <xdr:rowOff>19050</xdr:rowOff>
    </xdr:from>
    <xdr:ext cx="1143000" cy="1143000"/>
    <xdr:pic>
      <xdr:nvPicPr>
        <xdr:cNvPr id="1502" name="9ba642e4-dbb8-415d-864d-6cb2222dd5e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afbf37d6d874a1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1505</xdr:row>
      <xdr:rowOff>19050</xdr:rowOff>
    </xdr:from>
    <xdr:ext cx="1143000" cy="1143000"/>
    <xdr:pic>
      <xdr:nvPicPr>
        <xdr:cNvPr id="1503" name="591a6b17-b5fa-4679-82db-9fa43076ec5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e372d6213fa469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1506</xdr:row>
      <xdr:rowOff>19050</xdr:rowOff>
    </xdr:from>
    <xdr:ext cx="1143000" cy="1143000"/>
    <xdr:pic>
      <xdr:nvPicPr>
        <xdr:cNvPr id="1504" name="5ff32f6f-6f32-4c2b-af6e-3041318677f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ba1994ed4a6440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1507</xdr:row>
      <xdr:rowOff>19050</xdr:rowOff>
    </xdr:from>
    <xdr:ext cx="1143000" cy="1143000"/>
    <xdr:pic>
      <xdr:nvPicPr>
        <xdr:cNvPr id="1505" name="8ef9e2b3-deef-4ea8-8e7b-37a9b023986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69ad04cfdc1465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1508</xdr:row>
      <xdr:rowOff>19050</xdr:rowOff>
    </xdr:from>
    <xdr:ext cx="1143000" cy="1143000"/>
    <xdr:pic>
      <xdr:nvPicPr>
        <xdr:cNvPr id="1506" name="d1895d4c-7197-4915-91ef-6d26950d84e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38a37419bbd4b8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1509</xdr:row>
      <xdr:rowOff>19050</xdr:rowOff>
    </xdr:from>
    <xdr:ext cx="1143000" cy="1143000"/>
    <xdr:pic>
      <xdr:nvPicPr>
        <xdr:cNvPr id="1507" name="9ba03c17-a450-498d-b67d-aa0a0070428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944a1bc933445f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1510</xdr:row>
      <xdr:rowOff>19050</xdr:rowOff>
    </xdr:from>
    <xdr:ext cx="1143000" cy="1143000"/>
    <xdr:pic>
      <xdr:nvPicPr>
        <xdr:cNvPr id="1508" name="28bfca70-ecc0-48f9-bb2d-8ed631b53b0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999508fb3df453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1511</xdr:row>
      <xdr:rowOff>19050</xdr:rowOff>
    </xdr:from>
    <xdr:ext cx="1143000" cy="1143000"/>
    <xdr:pic>
      <xdr:nvPicPr>
        <xdr:cNvPr id="1509" name="08bb9100-faad-49ee-a2ed-0f61f4861f8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ed4209c2541442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1512</xdr:row>
      <xdr:rowOff>19050</xdr:rowOff>
    </xdr:from>
    <xdr:ext cx="1143000" cy="1143000"/>
    <xdr:pic>
      <xdr:nvPicPr>
        <xdr:cNvPr id="1510" name="a89bdabf-7dc1-43c1-a808-6a40b08efac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78f7f365f374ba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1513</xdr:row>
      <xdr:rowOff>19050</xdr:rowOff>
    </xdr:from>
    <xdr:ext cx="1143000" cy="1143000"/>
    <xdr:pic>
      <xdr:nvPicPr>
        <xdr:cNvPr id="1511" name="e5292e8b-ec1f-4c03-b61a-90b7e6a7b28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aa12ce048e04fa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1514</xdr:row>
      <xdr:rowOff>19050</xdr:rowOff>
    </xdr:from>
    <xdr:ext cx="1143000" cy="1143000"/>
    <xdr:pic>
      <xdr:nvPicPr>
        <xdr:cNvPr id="1512" name="a4c045bf-e138-4d8e-9ca9-8547b2adb98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cf5562357b5439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1515</xdr:row>
      <xdr:rowOff>19050</xdr:rowOff>
    </xdr:from>
    <xdr:ext cx="1143000" cy="1143000"/>
    <xdr:pic>
      <xdr:nvPicPr>
        <xdr:cNvPr id="1513" name="2d8a34ed-3359-4423-8abf-2c5c07c5b27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7602d7bc82c44a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1516</xdr:row>
      <xdr:rowOff>19050</xdr:rowOff>
    </xdr:from>
    <xdr:ext cx="1143000" cy="1143000"/>
    <xdr:pic>
      <xdr:nvPicPr>
        <xdr:cNvPr id="1514" name="4a0fef15-8b03-45e3-b260-bb199d1444c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8db97477f55475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1517</xdr:row>
      <xdr:rowOff>19050</xdr:rowOff>
    </xdr:from>
    <xdr:ext cx="1143000" cy="1143000"/>
    <xdr:pic>
      <xdr:nvPicPr>
        <xdr:cNvPr id="1515" name="1cb54018-1ae9-4518-8320-a1dbd6fdd43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7b8a289c59044b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1518</xdr:row>
      <xdr:rowOff>19050</xdr:rowOff>
    </xdr:from>
    <xdr:ext cx="1143000" cy="1143000"/>
    <xdr:pic>
      <xdr:nvPicPr>
        <xdr:cNvPr id="1516" name="7e68fbdc-c9d1-4fec-9853-d5c74db658d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b52838f93164d6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1519</xdr:row>
      <xdr:rowOff>19050</xdr:rowOff>
    </xdr:from>
    <xdr:ext cx="1143000" cy="1143000"/>
    <xdr:pic>
      <xdr:nvPicPr>
        <xdr:cNvPr id="1517" name="595f1cbc-2c7a-4b3a-992b-a6fde2d4d80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13039e6fa76489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1520</xdr:row>
      <xdr:rowOff>19050</xdr:rowOff>
    </xdr:from>
    <xdr:ext cx="1143000" cy="1143000"/>
    <xdr:pic>
      <xdr:nvPicPr>
        <xdr:cNvPr id="1518" name="cd8efb78-486e-4494-9621-2c44567f640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88cb45691664e9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1521</xdr:row>
      <xdr:rowOff>19050</xdr:rowOff>
    </xdr:from>
    <xdr:ext cx="1143000" cy="1143000"/>
    <xdr:pic>
      <xdr:nvPicPr>
        <xdr:cNvPr id="1519" name="5efee567-26df-48aa-b76e-3b9bf86ede2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8e12ea5075a488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1522</xdr:row>
      <xdr:rowOff>19050</xdr:rowOff>
    </xdr:from>
    <xdr:ext cx="1143000" cy="1143000"/>
    <xdr:pic>
      <xdr:nvPicPr>
        <xdr:cNvPr id="1520" name="7820612c-e552-495e-9133-720aab5d6d3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23f746796bc4bb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1523</xdr:row>
      <xdr:rowOff>19050</xdr:rowOff>
    </xdr:from>
    <xdr:ext cx="1143000" cy="1143000"/>
    <xdr:pic>
      <xdr:nvPicPr>
        <xdr:cNvPr id="1521" name="69c56651-edc5-49c8-bcfa-4737402cd62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59e8a57d5f84cd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1524</xdr:row>
      <xdr:rowOff>19050</xdr:rowOff>
    </xdr:from>
    <xdr:ext cx="1143000" cy="1143000"/>
    <xdr:pic>
      <xdr:nvPicPr>
        <xdr:cNvPr id="1522" name="461e5925-f62d-4fe4-9978-123c1fdf90e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431f25101d84db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1525</xdr:row>
      <xdr:rowOff>19050</xdr:rowOff>
    </xdr:from>
    <xdr:ext cx="1143000" cy="1143000"/>
    <xdr:pic>
      <xdr:nvPicPr>
        <xdr:cNvPr id="1523" name="9f7e9719-42f9-4f5c-aa9c-a434e27aa22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37949849b744cf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1526</xdr:row>
      <xdr:rowOff>19050</xdr:rowOff>
    </xdr:from>
    <xdr:ext cx="1143000" cy="1143000"/>
    <xdr:pic>
      <xdr:nvPicPr>
        <xdr:cNvPr id="1524" name="8291b130-794f-463c-809f-701b3c41f90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eb59e1cda1b4a6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1527</xdr:row>
      <xdr:rowOff>19050</xdr:rowOff>
    </xdr:from>
    <xdr:ext cx="1143000" cy="1143000"/>
    <xdr:pic>
      <xdr:nvPicPr>
        <xdr:cNvPr id="1525" name="fdfe449b-efcb-44d3-b115-23c89b05ac6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6355a9d86ea427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1528</xdr:row>
      <xdr:rowOff>19050</xdr:rowOff>
    </xdr:from>
    <xdr:ext cx="1143000" cy="1143000"/>
    <xdr:pic>
      <xdr:nvPicPr>
        <xdr:cNvPr id="1526" name="ea13c030-c662-47ef-95be-fe0de322984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d5f104cb174495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1529</xdr:row>
      <xdr:rowOff>19050</xdr:rowOff>
    </xdr:from>
    <xdr:ext cx="1143000" cy="1143000"/>
    <xdr:pic>
      <xdr:nvPicPr>
        <xdr:cNvPr id="1527" name="81415994-2b22-4122-8e3c-a77b0a5dcbf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5c0ca2aaa5e4a4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1530</xdr:row>
      <xdr:rowOff>19050</xdr:rowOff>
    </xdr:from>
    <xdr:ext cx="1143000" cy="1143000"/>
    <xdr:pic>
      <xdr:nvPicPr>
        <xdr:cNvPr id="1528" name="cd195e5a-6e65-4b98-83db-39fbd422680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940278e6a41479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1531</xdr:row>
      <xdr:rowOff>19050</xdr:rowOff>
    </xdr:from>
    <xdr:ext cx="1143000" cy="1143000"/>
    <xdr:pic>
      <xdr:nvPicPr>
        <xdr:cNvPr id="1529" name="237457a0-1bb3-4a47-a9d1-21e6c27c378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cf63a26d8e04da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1532</xdr:row>
      <xdr:rowOff>19050</xdr:rowOff>
    </xdr:from>
    <xdr:ext cx="1143000" cy="1143000"/>
    <xdr:pic>
      <xdr:nvPicPr>
        <xdr:cNvPr id="1530" name="8c30ecf4-9c67-4928-b3fd-aae4ba4a478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39c06cdf118415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1533</xdr:row>
      <xdr:rowOff>19050</xdr:rowOff>
    </xdr:from>
    <xdr:ext cx="1143000" cy="1143000"/>
    <xdr:pic>
      <xdr:nvPicPr>
        <xdr:cNvPr id="1531" name="450c4207-defc-4597-bcfd-08fe97778ea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a2122caf8df441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1534</xdr:row>
      <xdr:rowOff>19050</xdr:rowOff>
    </xdr:from>
    <xdr:ext cx="1143000" cy="1143000"/>
    <xdr:pic>
      <xdr:nvPicPr>
        <xdr:cNvPr id="1532" name="63730b62-defb-4b9a-8158-e9ef447929e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002808b0b6343f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1535</xdr:row>
      <xdr:rowOff>19050</xdr:rowOff>
    </xdr:from>
    <xdr:ext cx="1143000" cy="1143000"/>
    <xdr:pic>
      <xdr:nvPicPr>
        <xdr:cNvPr id="1533" name="ea4c6d7d-fe6d-49ef-b527-216f6c5fb80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70a4f01d70a4bf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1536</xdr:row>
      <xdr:rowOff>19050</xdr:rowOff>
    </xdr:from>
    <xdr:ext cx="1143000" cy="1143000"/>
    <xdr:pic>
      <xdr:nvPicPr>
        <xdr:cNvPr id="1534" name="da382661-c5e0-4341-a4aa-719d63b01dd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f5ac9e94e9a40a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1537</xdr:row>
      <xdr:rowOff>19050</xdr:rowOff>
    </xdr:from>
    <xdr:ext cx="1143000" cy="1143000"/>
    <xdr:pic>
      <xdr:nvPicPr>
        <xdr:cNvPr id="1535" name="3fa63785-8cde-44cc-9e6c-8e0bd45d746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884b23cbcc3418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1538</xdr:row>
      <xdr:rowOff>19050</xdr:rowOff>
    </xdr:from>
    <xdr:ext cx="1143000" cy="1143000"/>
    <xdr:pic>
      <xdr:nvPicPr>
        <xdr:cNvPr id="1536" name="384001e0-468e-4499-b052-eba5fbf1bc7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b6f8db3b5a8409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1539</xdr:row>
      <xdr:rowOff>19050</xdr:rowOff>
    </xdr:from>
    <xdr:ext cx="1143000" cy="1143000"/>
    <xdr:pic>
      <xdr:nvPicPr>
        <xdr:cNvPr id="1537" name="a4b6c841-8a2e-4b01-8a80-9839b7847ac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590fee358f4477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1540</xdr:row>
      <xdr:rowOff>19050</xdr:rowOff>
    </xdr:from>
    <xdr:ext cx="1143000" cy="1143000"/>
    <xdr:pic>
      <xdr:nvPicPr>
        <xdr:cNvPr id="1538" name="b55e8222-7eee-41ff-8efe-e534e779109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a64324e07cb420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1541</xdr:row>
      <xdr:rowOff>19050</xdr:rowOff>
    </xdr:from>
    <xdr:ext cx="1143000" cy="1143000"/>
    <xdr:pic>
      <xdr:nvPicPr>
        <xdr:cNvPr id="1539" name="5fd082c8-0737-41f5-b4da-63811685338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b8aff35cc1043f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1542</xdr:row>
      <xdr:rowOff>19050</xdr:rowOff>
    </xdr:from>
    <xdr:ext cx="1143000" cy="1143000"/>
    <xdr:pic>
      <xdr:nvPicPr>
        <xdr:cNvPr id="1540" name="3baf48fe-087b-44a2-92cd-624a902e072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d945514d277457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1543</xdr:row>
      <xdr:rowOff>19050</xdr:rowOff>
    </xdr:from>
    <xdr:ext cx="1143000" cy="1143000"/>
    <xdr:pic>
      <xdr:nvPicPr>
        <xdr:cNvPr id="1541" name="be87bc09-a273-49a9-a052-68da5bf315f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53760c9f38a44c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1544</xdr:row>
      <xdr:rowOff>19050</xdr:rowOff>
    </xdr:from>
    <xdr:ext cx="1143000" cy="1143000"/>
    <xdr:pic>
      <xdr:nvPicPr>
        <xdr:cNvPr id="1542" name="62fa9e69-3c76-419a-bb4b-181a4720d4e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84c8500ac31435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1545</xdr:row>
      <xdr:rowOff>19050</xdr:rowOff>
    </xdr:from>
    <xdr:ext cx="1143000" cy="1143000"/>
    <xdr:pic>
      <xdr:nvPicPr>
        <xdr:cNvPr id="1543" name="8f5cd85b-b95c-490e-ac5e-9db304e786b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65cd48b04124df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1546</xdr:row>
      <xdr:rowOff>19050</xdr:rowOff>
    </xdr:from>
    <xdr:ext cx="1143000" cy="1143000"/>
    <xdr:pic>
      <xdr:nvPicPr>
        <xdr:cNvPr id="1544" name="462dd5e1-6c4f-4c4a-a24c-604967e4c37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8c16ee9b926411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1547</xdr:row>
      <xdr:rowOff>19050</xdr:rowOff>
    </xdr:from>
    <xdr:ext cx="1143000" cy="1143000"/>
    <xdr:pic>
      <xdr:nvPicPr>
        <xdr:cNvPr id="1545" name="9b8000bd-d0ce-4171-b271-ca7519657c3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936336f4b024a7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1548</xdr:row>
      <xdr:rowOff>19050</xdr:rowOff>
    </xdr:from>
    <xdr:ext cx="1143000" cy="1143000"/>
    <xdr:pic>
      <xdr:nvPicPr>
        <xdr:cNvPr id="1546" name="1747e212-6932-4ab9-8e8a-cf94b736373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57d5cbcc81a417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1549</xdr:row>
      <xdr:rowOff>19050</xdr:rowOff>
    </xdr:from>
    <xdr:ext cx="1143000" cy="1143000"/>
    <xdr:pic>
      <xdr:nvPicPr>
        <xdr:cNvPr id="1547" name="3da6162b-c725-40a8-a1aa-0209d491473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bbb1fae0a094a5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1550</xdr:row>
      <xdr:rowOff>19050</xdr:rowOff>
    </xdr:from>
    <xdr:ext cx="1143000" cy="1143000"/>
    <xdr:pic>
      <xdr:nvPicPr>
        <xdr:cNvPr id="1548" name="ccbba697-2d39-4b54-80d2-81ecaa5ae4a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5a46d15561d4bd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1551</xdr:row>
      <xdr:rowOff>19050</xdr:rowOff>
    </xdr:from>
    <xdr:ext cx="1143000" cy="1143000"/>
    <xdr:pic>
      <xdr:nvPicPr>
        <xdr:cNvPr id="1549" name="6e169ba5-ba2c-4acc-a970-75418a16428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54dc33e2b46413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1552</xdr:row>
      <xdr:rowOff>19050</xdr:rowOff>
    </xdr:from>
    <xdr:ext cx="1143000" cy="1143000"/>
    <xdr:pic>
      <xdr:nvPicPr>
        <xdr:cNvPr id="1550" name="4dc3b7f2-0811-4a92-8f6b-18712d4a96c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5ecb426c2ff473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1553</xdr:row>
      <xdr:rowOff>19050</xdr:rowOff>
    </xdr:from>
    <xdr:ext cx="1143000" cy="1143000"/>
    <xdr:pic>
      <xdr:nvPicPr>
        <xdr:cNvPr id="1551" name="e3070d05-5de2-4cc4-91a6-d465036987c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5a14ee2e245479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1554</xdr:row>
      <xdr:rowOff>19050</xdr:rowOff>
    </xdr:from>
    <xdr:ext cx="1143000" cy="1143000"/>
    <xdr:pic>
      <xdr:nvPicPr>
        <xdr:cNvPr id="1552" name="f2600f44-5d37-41b9-b316-d598581dd50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617950e43ab401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1555</xdr:row>
      <xdr:rowOff>19050</xdr:rowOff>
    </xdr:from>
    <xdr:ext cx="1143000" cy="1143000"/>
    <xdr:pic>
      <xdr:nvPicPr>
        <xdr:cNvPr id="1553" name="fdc7f719-8089-487a-a774-295fd6f7063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21418f777fd4b9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1556</xdr:row>
      <xdr:rowOff>19050</xdr:rowOff>
    </xdr:from>
    <xdr:ext cx="1143000" cy="1143000"/>
    <xdr:pic>
      <xdr:nvPicPr>
        <xdr:cNvPr id="1554" name="e9eef4a8-86ec-41e8-a1c2-5cbf1f9fc94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7cce7f33f55400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1557</xdr:row>
      <xdr:rowOff>19050</xdr:rowOff>
    </xdr:from>
    <xdr:ext cx="1143000" cy="1143000"/>
    <xdr:pic>
      <xdr:nvPicPr>
        <xdr:cNvPr id="1555" name="585aca2a-7a26-4323-b347-9d02f4087d7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43a587f9bd543c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1558</xdr:row>
      <xdr:rowOff>19050</xdr:rowOff>
    </xdr:from>
    <xdr:ext cx="1143000" cy="1143000"/>
    <xdr:pic>
      <xdr:nvPicPr>
        <xdr:cNvPr id="1556" name="c069b71f-e5bb-4778-b038-b82a152f6be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508bc673ad9426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1559</xdr:row>
      <xdr:rowOff>19050</xdr:rowOff>
    </xdr:from>
    <xdr:ext cx="1143000" cy="1143000"/>
    <xdr:pic>
      <xdr:nvPicPr>
        <xdr:cNvPr id="1557" name="6d6bcc39-48cc-4ec1-8807-121b804deae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49afeda3ba6489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1560</xdr:row>
      <xdr:rowOff>19050</xdr:rowOff>
    </xdr:from>
    <xdr:ext cx="1143000" cy="1143000"/>
    <xdr:pic>
      <xdr:nvPicPr>
        <xdr:cNvPr id="1558" name="9cad044f-0472-4b8d-8414-a603560499c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d82078b60d042b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1561</xdr:row>
      <xdr:rowOff>19050</xdr:rowOff>
    </xdr:from>
    <xdr:ext cx="1143000" cy="1143000"/>
    <xdr:pic>
      <xdr:nvPicPr>
        <xdr:cNvPr id="1559" name="393218f2-3934-4b54-a08f-3881a92ecfb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c5ad1d3ee4e4b5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1562</xdr:row>
      <xdr:rowOff>19050</xdr:rowOff>
    </xdr:from>
    <xdr:ext cx="1143000" cy="1143000"/>
    <xdr:pic>
      <xdr:nvPicPr>
        <xdr:cNvPr id="1560" name="1bec5b5f-2c5c-4aff-ba8b-0234775142d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f33538de9414d8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1563</xdr:row>
      <xdr:rowOff>19050</xdr:rowOff>
    </xdr:from>
    <xdr:ext cx="1143000" cy="1143000"/>
    <xdr:pic>
      <xdr:nvPicPr>
        <xdr:cNvPr id="1561" name="185ae4d6-63af-4d8d-adc4-03769a655d5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6b768ba468444d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1564</xdr:row>
      <xdr:rowOff>19050</xdr:rowOff>
    </xdr:from>
    <xdr:ext cx="1143000" cy="1143000"/>
    <xdr:pic>
      <xdr:nvPicPr>
        <xdr:cNvPr id="1562" name="7ac9fae3-372a-49ff-82eb-37ce57e287c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e3085c2e928461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1565</xdr:row>
      <xdr:rowOff>19050</xdr:rowOff>
    </xdr:from>
    <xdr:ext cx="1143000" cy="1143000"/>
    <xdr:pic>
      <xdr:nvPicPr>
        <xdr:cNvPr id="1563" name="ac7863d8-9b8e-4695-8f77-e26946542b2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e4a73628b7c4a0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1566</xdr:row>
      <xdr:rowOff>19050</xdr:rowOff>
    </xdr:from>
    <xdr:ext cx="1143000" cy="1143000"/>
    <xdr:pic>
      <xdr:nvPicPr>
        <xdr:cNvPr id="1564" name="c0c95e32-fef9-4eab-91da-df625e448d5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4850c40f21043b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1567</xdr:row>
      <xdr:rowOff>19050</xdr:rowOff>
    </xdr:from>
    <xdr:ext cx="1143000" cy="1143000"/>
    <xdr:pic>
      <xdr:nvPicPr>
        <xdr:cNvPr id="1565" name="5e2be404-8dad-4131-80e1-a20eef303db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ae52b42b9c8487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1568</xdr:row>
      <xdr:rowOff>19050</xdr:rowOff>
    </xdr:from>
    <xdr:ext cx="1143000" cy="1143000"/>
    <xdr:pic>
      <xdr:nvPicPr>
        <xdr:cNvPr id="1566" name="d41a1492-1868-464f-b028-b88021cc229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a776a76c96c45c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1569</xdr:row>
      <xdr:rowOff>19050</xdr:rowOff>
    </xdr:from>
    <xdr:ext cx="1143000" cy="1143000"/>
    <xdr:pic>
      <xdr:nvPicPr>
        <xdr:cNvPr id="1567" name="b5454fff-89cc-43e0-a0c3-bba7c8e7874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54a496f93b945e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1570</xdr:row>
      <xdr:rowOff>19050</xdr:rowOff>
    </xdr:from>
    <xdr:ext cx="1143000" cy="1143000"/>
    <xdr:pic>
      <xdr:nvPicPr>
        <xdr:cNvPr id="1568" name="24862d30-bb2c-491c-9549-87d53454069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f823cebed75429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1571</xdr:row>
      <xdr:rowOff>19050</xdr:rowOff>
    </xdr:from>
    <xdr:ext cx="1143000" cy="1143000"/>
    <xdr:pic>
      <xdr:nvPicPr>
        <xdr:cNvPr id="1569" name="72b7b02c-570e-42e4-9acd-836004eb064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ba9c2edda9d46b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1572</xdr:row>
      <xdr:rowOff>19050</xdr:rowOff>
    </xdr:from>
    <xdr:ext cx="1143000" cy="1143000"/>
    <xdr:pic>
      <xdr:nvPicPr>
        <xdr:cNvPr id="1570" name="92304353-559f-43f0-9404-ec6f4328bf6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2c8b53bdd0747d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1573</xdr:row>
      <xdr:rowOff>19050</xdr:rowOff>
    </xdr:from>
    <xdr:ext cx="1143000" cy="1143000"/>
    <xdr:pic>
      <xdr:nvPicPr>
        <xdr:cNvPr id="1571" name="61b5083c-b0cb-42c1-a08e-75d648363d7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fad89fe3edd4b7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1574</xdr:row>
      <xdr:rowOff>19050</xdr:rowOff>
    </xdr:from>
    <xdr:ext cx="1143000" cy="1143000"/>
    <xdr:pic>
      <xdr:nvPicPr>
        <xdr:cNvPr id="1572" name="2bca4d64-b869-41fa-abce-8c806c64dd8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f3178408b77432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1575</xdr:row>
      <xdr:rowOff>19050</xdr:rowOff>
    </xdr:from>
    <xdr:ext cx="1143000" cy="1143000"/>
    <xdr:pic>
      <xdr:nvPicPr>
        <xdr:cNvPr id="1573" name="be6086be-a8e4-452a-a5ce-0632a673199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f0d5514bbdf42a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1576</xdr:row>
      <xdr:rowOff>19050</xdr:rowOff>
    </xdr:from>
    <xdr:ext cx="1143000" cy="1143000"/>
    <xdr:pic>
      <xdr:nvPicPr>
        <xdr:cNvPr id="1574" name="c9d71203-f622-4ca3-bcbf-ee18fb0d989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79da1ae71df491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1577</xdr:row>
      <xdr:rowOff>19050</xdr:rowOff>
    </xdr:from>
    <xdr:ext cx="1143000" cy="1143000"/>
    <xdr:pic>
      <xdr:nvPicPr>
        <xdr:cNvPr id="1575" name="5ceef2ff-cddb-44bd-bc52-81b95f17590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c24b5aa1d874cc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1578</xdr:row>
      <xdr:rowOff>19050</xdr:rowOff>
    </xdr:from>
    <xdr:ext cx="1143000" cy="1143000"/>
    <xdr:pic>
      <xdr:nvPicPr>
        <xdr:cNvPr id="1576" name="911c885a-423d-421d-b8f0-048c9b83ffa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fc9de96acbf44a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1579</xdr:row>
      <xdr:rowOff>19050</xdr:rowOff>
    </xdr:from>
    <xdr:ext cx="1143000" cy="1143000"/>
    <xdr:pic>
      <xdr:nvPicPr>
        <xdr:cNvPr id="1577" name="37861ad6-4387-4e95-b27d-4662fa78311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d01f742ecbd425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1580</xdr:row>
      <xdr:rowOff>19050</xdr:rowOff>
    </xdr:from>
    <xdr:ext cx="1143000" cy="1143000"/>
    <xdr:pic>
      <xdr:nvPicPr>
        <xdr:cNvPr id="1578" name="25da592e-0747-48f1-9e86-bb8e0d3ef84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f04cb40fc5a470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1581</xdr:row>
      <xdr:rowOff>19050</xdr:rowOff>
    </xdr:from>
    <xdr:ext cx="1143000" cy="1143000"/>
    <xdr:pic>
      <xdr:nvPicPr>
        <xdr:cNvPr id="1579" name="ab885f30-d15a-4d24-84ee-88a51816a4d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8809e1142d84d4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1582</xdr:row>
      <xdr:rowOff>19050</xdr:rowOff>
    </xdr:from>
    <xdr:ext cx="1143000" cy="1143000"/>
    <xdr:pic>
      <xdr:nvPicPr>
        <xdr:cNvPr id="1580" name="60d3387e-b9a2-4dbd-b9be-31111a549af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9dcffd18b2946e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1583</xdr:row>
      <xdr:rowOff>19050</xdr:rowOff>
    </xdr:from>
    <xdr:ext cx="1143000" cy="1143000"/>
    <xdr:pic>
      <xdr:nvPicPr>
        <xdr:cNvPr id="1581" name="25ec4d22-0423-4a96-97b3-0017083b2a9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aef60f4084b496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1584</xdr:row>
      <xdr:rowOff>19050</xdr:rowOff>
    </xdr:from>
    <xdr:ext cx="1143000" cy="1143000"/>
    <xdr:pic>
      <xdr:nvPicPr>
        <xdr:cNvPr id="1582" name="e68d2281-c21c-49e1-a735-5ce5199b256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bd6ed8f87854e2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1585</xdr:row>
      <xdr:rowOff>19050</xdr:rowOff>
    </xdr:from>
    <xdr:ext cx="1143000" cy="1143000"/>
    <xdr:pic>
      <xdr:nvPicPr>
        <xdr:cNvPr id="1583" name="a283d648-7d90-41bc-830f-02809db2adf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0e389b95585491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1586</xdr:row>
      <xdr:rowOff>19050</xdr:rowOff>
    </xdr:from>
    <xdr:ext cx="1143000" cy="1143000"/>
    <xdr:pic>
      <xdr:nvPicPr>
        <xdr:cNvPr id="1584" name="b6c07c42-f379-4307-8d8d-e290be66477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a571cb528014e2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1587</xdr:row>
      <xdr:rowOff>19050</xdr:rowOff>
    </xdr:from>
    <xdr:ext cx="1143000" cy="1143000"/>
    <xdr:pic>
      <xdr:nvPicPr>
        <xdr:cNvPr id="1585" name="f8f84802-0623-4edb-89b9-fd2734a7bce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8216b308a06454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1588</xdr:row>
      <xdr:rowOff>19050</xdr:rowOff>
    </xdr:from>
    <xdr:ext cx="1143000" cy="1143000"/>
    <xdr:pic>
      <xdr:nvPicPr>
        <xdr:cNvPr id="1586" name="0f84f0ee-2a7b-4d13-876d-ececff99d54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f70f7cd9a444a4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1589</xdr:row>
      <xdr:rowOff>19050</xdr:rowOff>
    </xdr:from>
    <xdr:ext cx="1143000" cy="1143000"/>
    <xdr:pic>
      <xdr:nvPicPr>
        <xdr:cNvPr id="1587" name="00212db5-d72f-4a80-be28-0c72000e3d3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4d51b98ccca4d7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1590</xdr:row>
      <xdr:rowOff>19050</xdr:rowOff>
    </xdr:from>
    <xdr:ext cx="1143000" cy="1143000"/>
    <xdr:pic>
      <xdr:nvPicPr>
        <xdr:cNvPr id="1588" name="9419c4f5-b9ea-4b36-a04b-c7dde4cb395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0b65f78e981488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1591</xdr:row>
      <xdr:rowOff>19050</xdr:rowOff>
    </xdr:from>
    <xdr:ext cx="1143000" cy="1143000"/>
    <xdr:pic>
      <xdr:nvPicPr>
        <xdr:cNvPr id="1589" name="75c97dcd-1882-4860-8f23-076d91d1256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52aee9babe041b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1592</xdr:row>
      <xdr:rowOff>19050</xdr:rowOff>
    </xdr:from>
    <xdr:ext cx="1143000" cy="1143000"/>
    <xdr:pic>
      <xdr:nvPicPr>
        <xdr:cNvPr id="1590" name="2159a292-a8b4-4791-9560-b089e6c408a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af57727063c494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1593</xdr:row>
      <xdr:rowOff>19050</xdr:rowOff>
    </xdr:from>
    <xdr:ext cx="1143000" cy="1143000"/>
    <xdr:pic>
      <xdr:nvPicPr>
        <xdr:cNvPr id="1591" name="ca631ae5-eba3-4736-b6bc-54db8dffc56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de5c647f6fd46e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1594</xdr:row>
      <xdr:rowOff>19050</xdr:rowOff>
    </xdr:from>
    <xdr:ext cx="1143000" cy="1143000"/>
    <xdr:pic>
      <xdr:nvPicPr>
        <xdr:cNvPr id="1592" name="fd91b3c8-ceed-4e28-b667-58c9aeaf14e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2e54de0c55c437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1595</xdr:row>
      <xdr:rowOff>19050</xdr:rowOff>
    </xdr:from>
    <xdr:ext cx="1143000" cy="1143000"/>
    <xdr:pic>
      <xdr:nvPicPr>
        <xdr:cNvPr id="1593" name="0054b5b0-9cb7-4e57-9e3a-dce4ac3c997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8d3cb5d2b7e4d8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1596</xdr:row>
      <xdr:rowOff>19050</xdr:rowOff>
    </xdr:from>
    <xdr:ext cx="1143000" cy="1143000"/>
    <xdr:pic>
      <xdr:nvPicPr>
        <xdr:cNvPr id="1594" name="fcc9dad3-ae75-4ae1-a687-84dcbbcce63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fd0ec48df644dd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1597</xdr:row>
      <xdr:rowOff>19050</xdr:rowOff>
    </xdr:from>
    <xdr:ext cx="1143000" cy="1143000"/>
    <xdr:pic>
      <xdr:nvPicPr>
        <xdr:cNvPr id="1595" name="eb5afcdd-644e-443d-830a-66acedb277c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b39487789e2404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1598</xdr:row>
      <xdr:rowOff>19050</xdr:rowOff>
    </xdr:from>
    <xdr:ext cx="1143000" cy="1143000"/>
    <xdr:pic>
      <xdr:nvPicPr>
        <xdr:cNvPr id="1596" name="02e6ff29-34d2-4a6b-ae59-fa2f9e48da3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396d268a9004cc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1599</xdr:row>
      <xdr:rowOff>19050</xdr:rowOff>
    </xdr:from>
    <xdr:ext cx="1143000" cy="1143000"/>
    <xdr:pic>
      <xdr:nvPicPr>
        <xdr:cNvPr id="1597" name="7820895a-c5a5-4c82-876b-8bf69cbc560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515e050f5f0422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1600</xdr:row>
      <xdr:rowOff>19050</xdr:rowOff>
    </xdr:from>
    <xdr:ext cx="1143000" cy="1143000"/>
    <xdr:pic>
      <xdr:nvPicPr>
        <xdr:cNvPr id="1598" name="0fdbdec6-84b1-41d3-bedd-3f2d42d4068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4fef4abf782455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1601</xdr:row>
      <xdr:rowOff>19050</xdr:rowOff>
    </xdr:from>
    <xdr:ext cx="1143000" cy="1143000"/>
    <xdr:pic>
      <xdr:nvPicPr>
        <xdr:cNvPr id="1599" name="1aebc0f8-69ce-4da8-804b-c79484f65a0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d0dcdf9b5044ec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1602</xdr:row>
      <xdr:rowOff>19050</xdr:rowOff>
    </xdr:from>
    <xdr:ext cx="1143000" cy="1143000"/>
    <xdr:pic>
      <xdr:nvPicPr>
        <xdr:cNvPr id="1600" name="6a0d506f-8f0c-4067-93c2-3451ae9a4d5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804258d6d6145f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1603</xdr:row>
      <xdr:rowOff>19050</xdr:rowOff>
    </xdr:from>
    <xdr:ext cx="1143000" cy="1143000"/>
    <xdr:pic>
      <xdr:nvPicPr>
        <xdr:cNvPr id="1601" name="ece26ec3-d59c-4a54-9cb4-25f13ccf082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5ce626aa65e4c7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1604</xdr:row>
      <xdr:rowOff>19050</xdr:rowOff>
    </xdr:from>
    <xdr:ext cx="1143000" cy="1143000"/>
    <xdr:pic>
      <xdr:nvPicPr>
        <xdr:cNvPr id="1602" name="ef80bf23-832c-4459-bb47-a2179ce3314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979bd0d7d97404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1605</xdr:row>
      <xdr:rowOff>19050</xdr:rowOff>
    </xdr:from>
    <xdr:ext cx="1143000" cy="1143000"/>
    <xdr:pic>
      <xdr:nvPicPr>
        <xdr:cNvPr id="1603" name="09f89042-e0ac-4e25-b7f3-b6738e37f45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e66533f9976498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1606</xdr:row>
      <xdr:rowOff>19050</xdr:rowOff>
    </xdr:from>
    <xdr:ext cx="1143000" cy="1143000"/>
    <xdr:pic>
      <xdr:nvPicPr>
        <xdr:cNvPr id="1604" name="089817c7-f83b-4954-999f-b955e1f92f2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8e7c3b04f1a481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1607</xdr:row>
      <xdr:rowOff>19050</xdr:rowOff>
    </xdr:from>
    <xdr:ext cx="1143000" cy="1143000"/>
    <xdr:pic>
      <xdr:nvPicPr>
        <xdr:cNvPr id="1605" name="07879421-ad8e-410b-a10e-ea9284fc2e2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4db37749bb743f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1608</xdr:row>
      <xdr:rowOff>19050</xdr:rowOff>
    </xdr:from>
    <xdr:ext cx="1143000" cy="1143000"/>
    <xdr:pic>
      <xdr:nvPicPr>
        <xdr:cNvPr id="1606" name="98696d90-79f3-4cf6-b9fe-5b8f014ed46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1d870fcf0724ed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1609</xdr:row>
      <xdr:rowOff>19050</xdr:rowOff>
    </xdr:from>
    <xdr:ext cx="1143000" cy="1143000"/>
    <xdr:pic>
      <xdr:nvPicPr>
        <xdr:cNvPr id="1607" name="de447737-1444-4a9d-a1c6-7653821243d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0e0bf2649d1424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1610</xdr:row>
      <xdr:rowOff>19050</xdr:rowOff>
    </xdr:from>
    <xdr:ext cx="1143000" cy="1143000"/>
    <xdr:pic>
      <xdr:nvPicPr>
        <xdr:cNvPr id="1608" name="d7c7ca35-d2a8-47b7-8b7d-4ecf4cd694c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4b355ba4cf84bc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1611</xdr:row>
      <xdr:rowOff>19050</xdr:rowOff>
    </xdr:from>
    <xdr:ext cx="1143000" cy="1143000"/>
    <xdr:pic>
      <xdr:nvPicPr>
        <xdr:cNvPr id="1609" name="dc5d9e68-4858-45f5-a274-68358737fc3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71795adcb8e4e0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1612</xdr:row>
      <xdr:rowOff>19050</xdr:rowOff>
    </xdr:from>
    <xdr:ext cx="1143000" cy="1143000"/>
    <xdr:pic>
      <xdr:nvPicPr>
        <xdr:cNvPr id="1610" name="7cb2e8fa-9514-44f3-8954-b24a2bdcd8a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f4b7212012e48f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1613</xdr:row>
      <xdr:rowOff>19050</xdr:rowOff>
    </xdr:from>
    <xdr:ext cx="1143000" cy="1143000"/>
    <xdr:pic>
      <xdr:nvPicPr>
        <xdr:cNvPr id="1611" name="5a80c819-a6c2-4002-8dff-78ad56480fd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a3d0a4c695b4f7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1614</xdr:row>
      <xdr:rowOff>19050</xdr:rowOff>
    </xdr:from>
    <xdr:ext cx="1143000" cy="1143000"/>
    <xdr:pic>
      <xdr:nvPicPr>
        <xdr:cNvPr id="1612" name="bcf432b5-cca2-4768-9351-50b64f206c0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261b0b61a65491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1615</xdr:row>
      <xdr:rowOff>19050</xdr:rowOff>
    </xdr:from>
    <xdr:ext cx="1143000" cy="1143000"/>
    <xdr:pic>
      <xdr:nvPicPr>
        <xdr:cNvPr id="1613" name="650eb222-715f-4c93-b35e-08e476b74ba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839bba51f084a9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1616</xdr:row>
      <xdr:rowOff>19050</xdr:rowOff>
    </xdr:from>
    <xdr:ext cx="1143000" cy="1143000"/>
    <xdr:pic>
      <xdr:nvPicPr>
        <xdr:cNvPr id="1614" name="74e17d29-6e61-4c62-9b1b-7b1cf478b1c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7a798f6bab84fb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1617</xdr:row>
      <xdr:rowOff>19050</xdr:rowOff>
    </xdr:from>
    <xdr:ext cx="1143000" cy="1143000"/>
    <xdr:pic>
      <xdr:nvPicPr>
        <xdr:cNvPr id="1615" name="0a99f4f8-33ef-4e09-85cd-df868ad12d7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e45a6171548451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1618</xdr:row>
      <xdr:rowOff>19050</xdr:rowOff>
    </xdr:from>
    <xdr:ext cx="1143000" cy="1143000"/>
    <xdr:pic>
      <xdr:nvPicPr>
        <xdr:cNvPr id="1616" name="df993c5a-818f-4425-b45a-8fdf52d9552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6ac5b6b7d9d444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1619</xdr:row>
      <xdr:rowOff>19050</xdr:rowOff>
    </xdr:from>
    <xdr:ext cx="1143000" cy="1143000"/>
    <xdr:pic>
      <xdr:nvPicPr>
        <xdr:cNvPr id="1617" name="b0256d46-db2c-4ecd-a4ee-d97745fd019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d963147540d464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1620</xdr:row>
      <xdr:rowOff>19050</xdr:rowOff>
    </xdr:from>
    <xdr:ext cx="1143000" cy="1143000"/>
    <xdr:pic>
      <xdr:nvPicPr>
        <xdr:cNvPr id="1618" name="9488556e-2048-4813-9264-f78bb9f7dd5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54544aba7764ae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1621</xdr:row>
      <xdr:rowOff>19050</xdr:rowOff>
    </xdr:from>
    <xdr:ext cx="1143000" cy="1143000"/>
    <xdr:pic>
      <xdr:nvPicPr>
        <xdr:cNvPr id="1619" name="0a6d90e6-e646-4e7c-8897-405e85cd791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2b4665f4851478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1622</xdr:row>
      <xdr:rowOff>19050</xdr:rowOff>
    </xdr:from>
    <xdr:ext cx="1143000" cy="1143000"/>
    <xdr:pic>
      <xdr:nvPicPr>
        <xdr:cNvPr id="1620" name="cd741f5d-957f-453c-977b-b54e960e52d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d332265a27b4d3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1623</xdr:row>
      <xdr:rowOff>19050</xdr:rowOff>
    </xdr:from>
    <xdr:ext cx="1143000" cy="1143000"/>
    <xdr:pic>
      <xdr:nvPicPr>
        <xdr:cNvPr id="1621" name="4b6feee2-a345-437e-a617-e66195ea77c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9a406298b0a4d6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1624</xdr:row>
      <xdr:rowOff>19050</xdr:rowOff>
    </xdr:from>
    <xdr:ext cx="1143000" cy="1143000"/>
    <xdr:pic>
      <xdr:nvPicPr>
        <xdr:cNvPr id="1622" name="d3b58a80-1f1f-41ff-b706-d02065dc002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6d78ff6b134400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1625</xdr:row>
      <xdr:rowOff>19050</xdr:rowOff>
    </xdr:from>
    <xdr:ext cx="1143000" cy="1143000"/>
    <xdr:pic>
      <xdr:nvPicPr>
        <xdr:cNvPr id="1623" name="0876f55a-1cdb-41e9-abd4-3260ee8550a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0cd2e7cca514c3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1626</xdr:row>
      <xdr:rowOff>19050</xdr:rowOff>
    </xdr:from>
    <xdr:ext cx="1143000" cy="1143000"/>
    <xdr:pic>
      <xdr:nvPicPr>
        <xdr:cNvPr id="1624" name="ac9a8a99-4e42-4ecb-bc5e-ecbb01b1722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e3a17986ced4f2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1627</xdr:row>
      <xdr:rowOff>19050</xdr:rowOff>
    </xdr:from>
    <xdr:ext cx="1143000" cy="1143000"/>
    <xdr:pic>
      <xdr:nvPicPr>
        <xdr:cNvPr id="1625" name="8c60811e-a85f-4661-b274-5000ab38a68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5b0e4b41b524f8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1628</xdr:row>
      <xdr:rowOff>19050</xdr:rowOff>
    </xdr:from>
    <xdr:ext cx="1143000" cy="1143000"/>
    <xdr:pic>
      <xdr:nvPicPr>
        <xdr:cNvPr id="1626" name="2a7efffd-7e1b-4c52-81c1-df5283f1d03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7ad0f4dd03547f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1629</xdr:row>
      <xdr:rowOff>19050</xdr:rowOff>
    </xdr:from>
    <xdr:ext cx="1143000" cy="1143000"/>
    <xdr:pic>
      <xdr:nvPicPr>
        <xdr:cNvPr id="1627" name="0b69fece-1b24-4127-89b4-d5010b8282e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4413903bd93402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1630</xdr:row>
      <xdr:rowOff>19050</xdr:rowOff>
    </xdr:from>
    <xdr:ext cx="1143000" cy="1143000"/>
    <xdr:pic>
      <xdr:nvPicPr>
        <xdr:cNvPr id="1628" name="29a29ee6-39de-4827-ab81-5e6ad1c8eea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b8e66a459ca40d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1631</xdr:row>
      <xdr:rowOff>19050</xdr:rowOff>
    </xdr:from>
    <xdr:ext cx="1143000" cy="1143000"/>
    <xdr:pic>
      <xdr:nvPicPr>
        <xdr:cNvPr id="1629" name="3e3e5b79-60a4-4273-b532-0b822bf2183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02856fb01c14b4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1632</xdr:row>
      <xdr:rowOff>19050</xdr:rowOff>
    </xdr:from>
    <xdr:ext cx="1143000" cy="1143000"/>
    <xdr:pic>
      <xdr:nvPicPr>
        <xdr:cNvPr id="1630" name="573bc1af-4f36-48cf-a5ee-f8d69dd5fdd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566e332ae1a453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1633</xdr:row>
      <xdr:rowOff>19050</xdr:rowOff>
    </xdr:from>
    <xdr:ext cx="1143000" cy="1143000"/>
    <xdr:pic>
      <xdr:nvPicPr>
        <xdr:cNvPr id="1631" name="c1fb7584-a07b-460e-83ed-c2938f1f70b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c1bbab04f234a7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1634</xdr:row>
      <xdr:rowOff>19050</xdr:rowOff>
    </xdr:from>
    <xdr:ext cx="1143000" cy="1143000"/>
    <xdr:pic>
      <xdr:nvPicPr>
        <xdr:cNvPr id="1632" name="0f9001c4-9688-40c4-ad6e-59c6ea63913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53df62886c842e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1635</xdr:row>
      <xdr:rowOff>19050</xdr:rowOff>
    </xdr:from>
    <xdr:ext cx="1143000" cy="1143000"/>
    <xdr:pic>
      <xdr:nvPicPr>
        <xdr:cNvPr id="1633" name="4f15e4e5-1f02-450a-8eed-0f172aa1986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2b08fa0d6664ad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1636</xdr:row>
      <xdr:rowOff>19050</xdr:rowOff>
    </xdr:from>
    <xdr:ext cx="1143000" cy="1143000"/>
    <xdr:pic>
      <xdr:nvPicPr>
        <xdr:cNvPr id="1634" name="047906d4-78e8-4852-8bd2-ba99516c592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ba3faaacfd54fe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1637</xdr:row>
      <xdr:rowOff>19050</xdr:rowOff>
    </xdr:from>
    <xdr:ext cx="1143000" cy="1143000"/>
    <xdr:pic>
      <xdr:nvPicPr>
        <xdr:cNvPr id="1635" name="28cedbe6-1931-4596-896c-7500687da3f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d07a797adaf4e2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1638</xdr:row>
      <xdr:rowOff>19050</xdr:rowOff>
    </xdr:from>
    <xdr:ext cx="1143000" cy="1143000"/>
    <xdr:pic>
      <xdr:nvPicPr>
        <xdr:cNvPr id="1636" name="a1cf017b-5b6d-4261-91d4-e6c4587dcb4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3508cc98654432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1639</xdr:row>
      <xdr:rowOff>19050</xdr:rowOff>
    </xdr:from>
    <xdr:ext cx="1143000" cy="1143000"/>
    <xdr:pic>
      <xdr:nvPicPr>
        <xdr:cNvPr id="1637" name="8e91160b-2549-4923-99c4-6a7a0c4b4c1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5094f72697c407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1640</xdr:row>
      <xdr:rowOff>19050</xdr:rowOff>
    </xdr:from>
    <xdr:ext cx="1143000" cy="1143000"/>
    <xdr:pic>
      <xdr:nvPicPr>
        <xdr:cNvPr id="1638" name="dc6deb96-4d10-4b8c-aa05-0a5f499319b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ffa8e8fe17144c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1641</xdr:row>
      <xdr:rowOff>19050</xdr:rowOff>
    </xdr:from>
    <xdr:ext cx="1143000" cy="1143000"/>
    <xdr:pic>
      <xdr:nvPicPr>
        <xdr:cNvPr id="1639" name="ed21b2ad-23bd-4ff8-abce-217c404fdee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ece62273deb457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1642</xdr:row>
      <xdr:rowOff>19050</xdr:rowOff>
    </xdr:from>
    <xdr:ext cx="1143000" cy="1143000"/>
    <xdr:pic>
      <xdr:nvPicPr>
        <xdr:cNvPr id="1640" name="90e4f3e5-b94f-4086-9582-bf920d93f31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bbc6351409b464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1643</xdr:row>
      <xdr:rowOff>19050</xdr:rowOff>
    </xdr:from>
    <xdr:ext cx="1143000" cy="1143000"/>
    <xdr:pic>
      <xdr:nvPicPr>
        <xdr:cNvPr id="1641" name="baca2f38-27d8-4f98-9f80-eaaf64e7240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11031ad68ae474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1644</xdr:row>
      <xdr:rowOff>19050</xdr:rowOff>
    </xdr:from>
    <xdr:ext cx="1143000" cy="1143000"/>
    <xdr:pic>
      <xdr:nvPicPr>
        <xdr:cNvPr id="1642" name="3bfac4c9-2141-4aa6-889b-17ec92b18c8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ab0450d1a424d5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1645</xdr:row>
      <xdr:rowOff>19050</xdr:rowOff>
    </xdr:from>
    <xdr:ext cx="1143000" cy="1143000"/>
    <xdr:pic>
      <xdr:nvPicPr>
        <xdr:cNvPr id="1643" name="73352282-8aa2-4d84-87dc-e9e987d5021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214ea82a311424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1646</xdr:row>
      <xdr:rowOff>19050</xdr:rowOff>
    </xdr:from>
    <xdr:ext cx="1143000" cy="1143000"/>
    <xdr:pic>
      <xdr:nvPicPr>
        <xdr:cNvPr id="1644" name="419ecd64-0aca-4c8a-968b-7960b76730c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81bc9d42c524a6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1647</xdr:row>
      <xdr:rowOff>19050</xdr:rowOff>
    </xdr:from>
    <xdr:ext cx="1143000" cy="1143000"/>
    <xdr:pic>
      <xdr:nvPicPr>
        <xdr:cNvPr id="1645" name="d909e75d-4db5-4326-b4da-0e87e562f09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4356c3fac37433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1648</xdr:row>
      <xdr:rowOff>19050</xdr:rowOff>
    </xdr:from>
    <xdr:ext cx="1143000" cy="1143000"/>
    <xdr:pic>
      <xdr:nvPicPr>
        <xdr:cNvPr id="1646" name="f4edad14-c9e4-4bed-a76e-36afee66a63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0371f2cc7c9478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1649</xdr:row>
      <xdr:rowOff>19050</xdr:rowOff>
    </xdr:from>
    <xdr:ext cx="1143000" cy="1143000"/>
    <xdr:pic>
      <xdr:nvPicPr>
        <xdr:cNvPr id="1647" name="c7f81180-8de8-4bb9-9030-f51f8d7da00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574551975b248d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1650</xdr:row>
      <xdr:rowOff>19050</xdr:rowOff>
    </xdr:from>
    <xdr:ext cx="1143000" cy="1143000"/>
    <xdr:pic>
      <xdr:nvPicPr>
        <xdr:cNvPr id="1648" name="4d02200c-9e8b-4744-ab6b-f9793fa1bde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0efb15463fb433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1651</xdr:row>
      <xdr:rowOff>19050</xdr:rowOff>
    </xdr:from>
    <xdr:ext cx="1143000" cy="1143000"/>
    <xdr:pic>
      <xdr:nvPicPr>
        <xdr:cNvPr id="1649" name="2dff42a0-b98d-428a-85f3-d553b48f249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9b09500b1ec4eb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1652</xdr:row>
      <xdr:rowOff>19050</xdr:rowOff>
    </xdr:from>
    <xdr:ext cx="1143000" cy="1143000"/>
    <xdr:pic>
      <xdr:nvPicPr>
        <xdr:cNvPr id="1650" name="dc3b79f0-e0a1-4e6b-89eb-8ba549f7c42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194ed4eacde4a7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1653</xdr:row>
      <xdr:rowOff>19050</xdr:rowOff>
    </xdr:from>
    <xdr:ext cx="1143000" cy="1143000"/>
    <xdr:pic>
      <xdr:nvPicPr>
        <xdr:cNvPr id="1651" name="49d446db-fa23-4b0e-b7bf-3ce4d0bca60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ad4939f50fb46b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1654</xdr:row>
      <xdr:rowOff>19050</xdr:rowOff>
    </xdr:from>
    <xdr:ext cx="1143000" cy="1143000"/>
    <xdr:pic>
      <xdr:nvPicPr>
        <xdr:cNvPr id="1652" name="2c5582fb-a9ba-446f-8542-1650d78a8f5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062cc9115954bb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1655</xdr:row>
      <xdr:rowOff>19050</xdr:rowOff>
    </xdr:from>
    <xdr:ext cx="1143000" cy="1143000"/>
    <xdr:pic>
      <xdr:nvPicPr>
        <xdr:cNvPr id="1653" name="a4b10a01-229e-499d-97d4-da80822504a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c008a8b771c4d4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1656</xdr:row>
      <xdr:rowOff>19050</xdr:rowOff>
    </xdr:from>
    <xdr:ext cx="1143000" cy="1143000"/>
    <xdr:pic>
      <xdr:nvPicPr>
        <xdr:cNvPr id="1654" name="35340ec5-69d5-49a5-ab77-3d6cac14517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5534b0d3d6b4ad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1657</xdr:row>
      <xdr:rowOff>19050</xdr:rowOff>
    </xdr:from>
    <xdr:ext cx="1143000" cy="1143000"/>
    <xdr:pic>
      <xdr:nvPicPr>
        <xdr:cNvPr id="1655" name="35eb8492-12cd-431b-a3af-8c1a2ca0f53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0db299a2f0949c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1658</xdr:row>
      <xdr:rowOff>19050</xdr:rowOff>
    </xdr:from>
    <xdr:ext cx="1143000" cy="1143000"/>
    <xdr:pic>
      <xdr:nvPicPr>
        <xdr:cNvPr id="1656" name="d774b41d-e5ae-4186-b29f-6dd4714c438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55dfcd28684470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1659</xdr:row>
      <xdr:rowOff>19050</xdr:rowOff>
    </xdr:from>
    <xdr:ext cx="1143000" cy="1143000"/>
    <xdr:pic>
      <xdr:nvPicPr>
        <xdr:cNvPr id="1657" name="0763b90a-35a3-4f4d-abb3-c3ffcfd8b33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7ca06e543d04aa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1660</xdr:row>
      <xdr:rowOff>19050</xdr:rowOff>
    </xdr:from>
    <xdr:ext cx="1143000" cy="1143000"/>
    <xdr:pic>
      <xdr:nvPicPr>
        <xdr:cNvPr id="1658" name="713e13a6-f77d-40fe-85df-3a88d0127f7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ec4369d0da8441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1661</xdr:row>
      <xdr:rowOff>19050</xdr:rowOff>
    </xdr:from>
    <xdr:ext cx="1143000" cy="1143000"/>
    <xdr:pic>
      <xdr:nvPicPr>
        <xdr:cNvPr id="1659" name="c716b820-dd98-4b3a-ba26-dd100846dac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a3270ab2312486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1662</xdr:row>
      <xdr:rowOff>19050</xdr:rowOff>
    </xdr:from>
    <xdr:ext cx="1143000" cy="1143000"/>
    <xdr:pic>
      <xdr:nvPicPr>
        <xdr:cNvPr id="1660" name="c327f083-751f-4767-8ce1-22299609556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3467b116821439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1663</xdr:row>
      <xdr:rowOff>19050</xdr:rowOff>
    </xdr:from>
    <xdr:ext cx="1143000" cy="1143000"/>
    <xdr:pic>
      <xdr:nvPicPr>
        <xdr:cNvPr id="1661" name="fefcee40-94e5-4b3a-a6af-f3869ba1083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2e24b439c7740a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1664</xdr:row>
      <xdr:rowOff>19050</xdr:rowOff>
    </xdr:from>
    <xdr:ext cx="1143000" cy="1143000"/>
    <xdr:pic>
      <xdr:nvPicPr>
        <xdr:cNvPr id="1662" name="a145c662-f368-489e-9b91-de0064d0f8e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82bd6dd0cee4af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1665</xdr:row>
      <xdr:rowOff>19050</xdr:rowOff>
    </xdr:from>
    <xdr:ext cx="1143000" cy="1143000"/>
    <xdr:pic>
      <xdr:nvPicPr>
        <xdr:cNvPr id="1663" name="17642cc0-58d0-49a3-ac88-d9f53fe0a34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0b8e2c526974fe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1666</xdr:row>
      <xdr:rowOff>19050</xdr:rowOff>
    </xdr:from>
    <xdr:ext cx="1143000" cy="1143000"/>
    <xdr:pic>
      <xdr:nvPicPr>
        <xdr:cNvPr id="1664" name="cb93e821-1dde-4e76-99eb-288b0494d16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c4a925ea30647b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1667</xdr:row>
      <xdr:rowOff>19050</xdr:rowOff>
    </xdr:from>
    <xdr:ext cx="1143000" cy="1143000"/>
    <xdr:pic>
      <xdr:nvPicPr>
        <xdr:cNvPr id="1665" name="ed2fdec6-d1c1-4b2e-b08d-e3fc90e5658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a8717c9a9844b9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1668</xdr:row>
      <xdr:rowOff>19050</xdr:rowOff>
    </xdr:from>
    <xdr:ext cx="1143000" cy="1143000"/>
    <xdr:pic>
      <xdr:nvPicPr>
        <xdr:cNvPr id="1666" name="9d179b49-25f8-4da8-a1ba-5319ad7c9cc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3112253de434ae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1669</xdr:row>
      <xdr:rowOff>19050</xdr:rowOff>
    </xdr:from>
    <xdr:ext cx="1143000" cy="1143000"/>
    <xdr:pic>
      <xdr:nvPicPr>
        <xdr:cNvPr id="1667" name="60798087-09c0-4044-93f0-c7a10e2efd8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1eb03cc17fc4b8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1670</xdr:row>
      <xdr:rowOff>19050</xdr:rowOff>
    </xdr:from>
    <xdr:ext cx="1143000" cy="1143000"/>
    <xdr:pic>
      <xdr:nvPicPr>
        <xdr:cNvPr id="1668" name="2f8b2aa5-2a45-44a2-ad44-93c55781d9b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5cfadc2834c469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1671</xdr:row>
      <xdr:rowOff>19050</xdr:rowOff>
    </xdr:from>
    <xdr:ext cx="1143000" cy="1143000"/>
    <xdr:pic>
      <xdr:nvPicPr>
        <xdr:cNvPr id="1669" name="fc74620a-d489-4863-b55f-f20ed7b89da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89077d190c84dc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1672</xdr:row>
      <xdr:rowOff>19050</xdr:rowOff>
    </xdr:from>
    <xdr:ext cx="1143000" cy="1143000"/>
    <xdr:pic>
      <xdr:nvPicPr>
        <xdr:cNvPr id="1670" name="33813d3b-c239-4870-b3f3-3483f0b0b3d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771ff7f3f1c4c2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1673</xdr:row>
      <xdr:rowOff>19050</xdr:rowOff>
    </xdr:from>
    <xdr:ext cx="1143000" cy="1143000"/>
    <xdr:pic>
      <xdr:nvPicPr>
        <xdr:cNvPr id="1671" name="50c6be5c-f208-4192-9dee-6c1487eef01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fa0dc0b03f3460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1674</xdr:row>
      <xdr:rowOff>19050</xdr:rowOff>
    </xdr:from>
    <xdr:ext cx="1143000" cy="1143000"/>
    <xdr:pic>
      <xdr:nvPicPr>
        <xdr:cNvPr id="1672" name="87baf7ce-e673-40ea-82ca-1a3fe9afa27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dbab332f355482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1675</xdr:row>
      <xdr:rowOff>19050</xdr:rowOff>
    </xdr:from>
    <xdr:ext cx="1143000" cy="1143000"/>
    <xdr:pic>
      <xdr:nvPicPr>
        <xdr:cNvPr id="1673" name="f1a9ca28-d562-4c2c-b763-b212933a302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155801b106243c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1676</xdr:row>
      <xdr:rowOff>19050</xdr:rowOff>
    </xdr:from>
    <xdr:ext cx="1143000" cy="1143000"/>
    <xdr:pic>
      <xdr:nvPicPr>
        <xdr:cNvPr id="1674" name="cc26cedc-b742-4360-99d0-7a1f8bcf4f4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21b0a04f923453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1677</xdr:row>
      <xdr:rowOff>19050</xdr:rowOff>
    </xdr:from>
    <xdr:ext cx="1143000" cy="1143000"/>
    <xdr:pic>
      <xdr:nvPicPr>
        <xdr:cNvPr id="1675" name="1b70d492-9273-4e62-b3f2-553dd783ba1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85e68ecebba412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1678</xdr:row>
      <xdr:rowOff>19050</xdr:rowOff>
    </xdr:from>
    <xdr:ext cx="1143000" cy="1143000"/>
    <xdr:pic>
      <xdr:nvPicPr>
        <xdr:cNvPr id="1676" name="d84db3f7-bc5a-428f-8c9d-929317a5448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34cd262314c4a4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1679</xdr:row>
      <xdr:rowOff>19050</xdr:rowOff>
    </xdr:from>
    <xdr:ext cx="1143000" cy="1143000"/>
    <xdr:pic>
      <xdr:nvPicPr>
        <xdr:cNvPr id="1677" name="e02b1d59-fdf7-47e1-a916-a82e169b7d9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b51b99977a44cb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1680</xdr:row>
      <xdr:rowOff>19050</xdr:rowOff>
    </xdr:from>
    <xdr:ext cx="1143000" cy="1143000"/>
    <xdr:pic>
      <xdr:nvPicPr>
        <xdr:cNvPr id="1678" name="f0ab9101-c453-42a6-a2fd-9328f294e81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2eb8d25d8d1405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1681</xdr:row>
      <xdr:rowOff>19050</xdr:rowOff>
    </xdr:from>
    <xdr:ext cx="1143000" cy="1143000"/>
    <xdr:pic>
      <xdr:nvPicPr>
        <xdr:cNvPr id="1679" name="cc383227-f8a0-4c83-9a8f-97bde4ac692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7d365510b1e4a7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1682</xdr:row>
      <xdr:rowOff>19050</xdr:rowOff>
    </xdr:from>
    <xdr:ext cx="1143000" cy="1143000"/>
    <xdr:pic>
      <xdr:nvPicPr>
        <xdr:cNvPr id="1680" name="be6f27d6-b047-45ad-97b5-056d6463954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de2336ce0b849e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1683</xdr:row>
      <xdr:rowOff>19050</xdr:rowOff>
    </xdr:from>
    <xdr:ext cx="1143000" cy="1143000"/>
    <xdr:pic>
      <xdr:nvPicPr>
        <xdr:cNvPr id="1681" name="41846147-4900-46c4-b968-90fea40a919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aad51c2e0f0423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1684</xdr:row>
      <xdr:rowOff>19050</xdr:rowOff>
    </xdr:from>
    <xdr:ext cx="1143000" cy="1143000"/>
    <xdr:pic>
      <xdr:nvPicPr>
        <xdr:cNvPr id="1682" name="b7ce7bf8-3f82-4e1a-8bb4-22374c7c8d8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83c4bd9e1eb456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1685</xdr:row>
      <xdr:rowOff>19050</xdr:rowOff>
    </xdr:from>
    <xdr:ext cx="1143000" cy="1143000"/>
    <xdr:pic>
      <xdr:nvPicPr>
        <xdr:cNvPr id="1683" name="97fef0e3-7135-41de-a972-fab36da1ba3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22e48cb25114bd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1686</xdr:row>
      <xdr:rowOff>19050</xdr:rowOff>
    </xdr:from>
    <xdr:ext cx="1143000" cy="1143000"/>
    <xdr:pic>
      <xdr:nvPicPr>
        <xdr:cNvPr id="1684" name="7f41d43c-153c-4a63-85cb-82fe7e128f0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cff654a00ac4f3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1687</xdr:row>
      <xdr:rowOff>19050</xdr:rowOff>
    </xdr:from>
    <xdr:ext cx="1143000" cy="1143000"/>
    <xdr:pic>
      <xdr:nvPicPr>
        <xdr:cNvPr id="1685" name="e8b143e3-c486-47f9-8316-4ee556a2cfd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e8ad5db19f2474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1688</xdr:row>
      <xdr:rowOff>19050</xdr:rowOff>
    </xdr:from>
    <xdr:ext cx="1143000" cy="1143000"/>
    <xdr:pic>
      <xdr:nvPicPr>
        <xdr:cNvPr id="1686" name="1b5f769b-3a8b-4de9-b15a-fa10d4aad80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a14833e264f43b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1689</xdr:row>
      <xdr:rowOff>19050</xdr:rowOff>
    </xdr:from>
    <xdr:ext cx="1143000" cy="1143000"/>
    <xdr:pic>
      <xdr:nvPicPr>
        <xdr:cNvPr id="1687" name="f45f1844-f129-4380-9f2b-94700214e12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78506d7cd2f4d0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1690</xdr:row>
      <xdr:rowOff>19050</xdr:rowOff>
    </xdr:from>
    <xdr:ext cx="1143000" cy="1143000"/>
    <xdr:pic>
      <xdr:nvPicPr>
        <xdr:cNvPr id="1688" name="49bd9485-a209-4552-aa59-890dfe24ed7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ce13381e89043f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1691</xdr:row>
      <xdr:rowOff>19050</xdr:rowOff>
    </xdr:from>
    <xdr:ext cx="1143000" cy="1143000"/>
    <xdr:pic>
      <xdr:nvPicPr>
        <xdr:cNvPr id="1689" name="b99ca80b-063f-41d0-87d4-e365efd6b9e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085a7df1289484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1692</xdr:row>
      <xdr:rowOff>19050</xdr:rowOff>
    </xdr:from>
    <xdr:ext cx="1143000" cy="1143000"/>
    <xdr:pic>
      <xdr:nvPicPr>
        <xdr:cNvPr id="1690" name="0518579c-f7d5-4ac2-a95c-e67c5ff0494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9b36f9a56804e4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1693</xdr:row>
      <xdr:rowOff>19050</xdr:rowOff>
    </xdr:from>
    <xdr:ext cx="1143000" cy="1143000"/>
    <xdr:pic>
      <xdr:nvPicPr>
        <xdr:cNvPr id="1691" name="ee2641d8-7ac5-4be7-b2e8-1be0f1c5ddc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251f20ee6a84fd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1694</xdr:row>
      <xdr:rowOff>19050</xdr:rowOff>
    </xdr:from>
    <xdr:ext cx="1143000" cy="1143000"/>
    <xdr:pic>
      <xdr:nvPicPr>
        <xdr:cNvPr id="1692" name="3b7df761-8665-47cd-bbda-4cc2aaf987d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0b3e8108f1e4bc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1695</xdr:row>
      <xdr:rowOff>19050</xdr:rowOff>
    </xdr:from>
    <xdr:ext cx="1143000" cy="1143000"/>
    <xdr:pic>
      <xdr:nvPicPr>
        <xdr:cNvPr id="1693" name="6cf83b63-562b-40fa-a913-19d7948ced0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d66d34467b94b6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1696</xdr:row>
      <xdr:rowOff>19050</xdr:rowOff>
    </xdr:from>
    <xdr:ext cx="1143000" cy="1143000"/>
    <xdr:pic>
      <xdr:nvPicPr>
        <xdr:cNvPr id="1694" name="82241486-2971-4ba0-aeb0-50f0340a486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f7ba8ce63c1431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1697</xdr:row>
      <xdr:rowOff>19050</xdr:rowOff>
    </xdr:from>
    <xdr:ext cx="1143000" cy="1143000"/>
    <xdr:pic>
      <xdr:nvPicPr>
        <xdr:cNvPr id="1695" name="30663be9-717e-4eba-a3d0-4d16a695033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b34e19c331b4de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1698</xdr:row>
      <xdr:rowOff>19050</xdr:rowOff>
    </xdr:from>
    <xdr:ext cx="1143000" cy="1143000"/>
    <xdr:pic>
      <xdr:nvPicPr>
        <xdr:cNvPr id="1696" name="9a3de3d3-29c7-4d9c-b4bb-bbfc86a337a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64408616d5b42d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1699</xdr:row>
      <xdr:rowOff>19050</xdr:rowOff>
    </xdr:from>
    <xdr:ext cx="1143000" cy="1143000"/>
    <xdr:pic>
      <xdr:nvPicPr>
        <xdr:cNvPr id="1697" name="fec56e50-cb9f-4175-b1c4-d0fc330f857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119a240ed1345e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1700</xdr:row>
      <xdr:rowOff>19050</xdr:rowOff>
    </xdr:from>
    <xdr:ext cx="1143000" cy="1143000"/>
    <xdr:pic>
      <xdr:nvPicPr>
        <xdr:cNvPr id="1698" name="9e90e481-1249-41d8-a7c6-3bcaa26e853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2bcdd0b5ef24de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1701</xdr:row>
      <xdr:rowOff>19050</xdr:rowOff>
    </xdr:from>
    <xdr:ext cx="1143000" cy="1143000"/>
    <xdr:pic>
      <xdr:nvPicPr>
        <xdr:cNvPr id="1699" name="76b868cc-bdbc-4ca5-bfbb-0b74e3d9452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8d980bccc0847b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1702</xdr:row>
      <xdr:rowOff>19050</xdr:rowOff>
    </xdr:from>
    <xdr:ext cx="1143000" cy="1143000"/>
    <xdr:pic>
      <xdr:nvPicPr>
        <xdr:cNvPr id="1700" name="e0ffccf8-d41b-4b1c-8a8d-644fd7c9b61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4226babc58e4a0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1703</xdr:row>
      <xdr:rowOff>19050</xdr:rowOff>
    </xdr:from>
    <xdr:ext cx="1143000" cy="1143000"/>
    <xdr:pic>
      <xdr:nvPicPr>
        <xdr:cNvPr id="1701" name="ac944ed9-7161-4570-9f80-34bd4b54ff4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8c9bf6672154cc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1704</xdr:row>
      <xdr:rowOff>19050</xdr:rowOff>
    </xdr:from>
    <xdr:ext cx="1143000" cy="1143000"/>
    <xdr:pic>
      <xdr:nvPicPr>
        <xdr:cNvPr id="1702" name="8d29d6bd-b626-4631-8ed7-27615a3b6d7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1ad7f59c493483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1705</xdr:row>
      <xdr:rowOff>19050</xdr:rowOff>
    </xdr:from>
    <xdr:ext cx="1143000" cy="1143000"/>
    <xdr:pic>
      <xdr:nvPicPr>
        <xdr:cNvPr id="1703" name="6ac7c10c-003f-426b-9e7e-82689d1755a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6634126d12e4c1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1706</xdr:row>
      <xdr:rowOff>19050</xdr:rowOff>
    </xdr:from>
    <xdr:ext cx="1143000" cy="1143000"/>
    <xdr:pic>
      <xdr:nvPicPr>
        <xdr:cNvPr id="1704" name="fc1f5d61-5315-4eff-a941-44f6a858133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ff99941d685438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1707</xdr:row>
      <xdr:rowOff>19050</xdr:rowOff>
    </xdr:from>
    <xdr:ext cx="1143000" cy="1143000"/>
    <xdr:pic>
      <xdr:nvPicPr>
        <xdr:cNvPr id="1705" name="0c5a1699-c303-4ef3-b02c-e2fc1ef018c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a5c16b03c2341b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1708</xdr:row>
      <xdr:rowOff>19050</xdr:rowOff>
    </xdr:from>
    <xdr:ext cx="1143000" cy="1143000"/>
    <xdr:pic>
      <xdr:nvPicPr>
        <xdr:cNvPr id="1706" name="e4b268a7-1204-452c-8400-f664a49850d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00b373ddb164f1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1709</xdr:row>
      <xdr:rowOff>19050</xdr:rowOff>
    </xdr:from>
    <xdr:ext cx="1143000" cy="1143000"/>
    <xdr:pic>
      <xdr:nvPicPr>
        <xdr:cNvPr id="1707" name="a59fa8bc-e18f-416d-89cc-c961b43724d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b9ae6de5797494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1710</xdr:row>
      <xdr:rowOff>19050</xdr:rowOff>
    </xdr:from>
    <xdr:ext cx="1143000" cy="1143000"/>
    <xdr:pic>
      <xdr:nvPicPr>
        <xdr:cNvPr id="1708" name="71ee17d1-2eec-41c5-ad29-8613c52964f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bf9266f2f7d4ee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1711</xdr:row>
      <xdr:rowOff>19050</xdr:rowOff>
    </xdr:from>
    <xdr:ext cx="1143000" cy="1143000"/>
    <xdr:pic>
      <xdr:nvPicPr>
        <xdr:cNvPr id="1709" name="9dda9039-7787-4bbb-8d3c-7bbe87e8761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3664543a02d42e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1712</xdr:row>
      <xdr:rowOff>19050</xdr:rowOff>
    </xdr:from>
    <xdr:ext cx="1143000" cy="1143000"/>
    <xdr:pic>
      <xdr:nvPicPr>
        <xdr:cNvPr id="1710" name="22e21767-7aec-49bf-8754-925c6c02f31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09586fe88fa4e3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1713</xdr:row>
      <xdr:rowOff>19050</xdr:rowOff>
    </xdr:from>
    <xdr:ext cx="1143000" cy="1143000"/>
    <xdr:pic>
      <xdr:nvPicPr>
        <xdr:cNvPr id="1711" name="a7af7a3b-8aac-46d4-9f8e-25eac8f84df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63514bad2fe49d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1714</xdr:row>
      <xdr:rowOff>19050</xdr:rowOff>
    </xdr:from>
    <xdr:ext cx="1143000" cy="1143000"/>
    <xdr:pic>
      <xdr:nvPicPr>
        <xdr:cNvPr id="1712" name="72a15436-3a04-4c40-9721-ea768caf977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dd2dfe5f3c24df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1715</xdr:row>
      <xdr:rowOff>19050</xdr:rowOff>
    </xdr:from>
    <xdr:ext cx="1143000" cy="1143000"/>
    <xdr:pic>
      <xdr:nvPicPr>
        <xdr:cNvPr id="1713" name="6f374d1d-0341-4d7e-bbe2-bd7be60b412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531b5a3133a484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1716</xdr:row>
      <xdr:rowOff>19050</xdr:rowOff>
    </xdr:from>
    <xdr:ext cx="1143000" cy="1143000"/>
    <xdr:pic>
      <xdr:nvPicPr>
        <xdr:cNvPr id="1714" name="5d2335af-87f1-4a0c-877b-aff5ed5d748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d18d476fb1d43b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1717</xdr:row>
      <xdr:rowOff>19050</xdr:rowOff>
    </xdr:from>
    <xdr:ext cx="1143000" cy="1143000"/>
    <xdr:pic>
      <xdr:nvPicPr>
        <xdr:cNvPr id="1715" name="1570b150-8493-4a51-9772-bd36b86a02d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a307433aa864b6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1718</xdr:row>
      <xdr:rowOff>19050</xdr:rowOff>
    </xdr:from>
    <xdr:ext cx="1143000" cy="1143000"/>
    <xdr:pic>
      <xdr:nvPicPr>
        <xdr:cNvPr id="1716" name="77961e33-bf9a-42e2-8779-75ee2919a4a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4fc023b75a24ef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1719</xdr:row>
      <xdr:rowOff>19050</xdr:rowOff>
    </xdr:from>
    <xdr:ext cx="1143000" cy="1143000"/>
    <xdr:pic>
      <xdr:nvPicPr>
        <xdr:cNvPr id="1717" name="94233d81-1e81-4b7c-96ef-9cc4814f3e1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697d6de70704a1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1720</xdr:row>
      <xdr:rowOff>19050</xdr:rowOff>
    </xdr:from>
    <xdr:ext cx="1143000" cy="1143000"/>
    <xdr:pic>
      <xdr:nvPicPr>
        <xdr:cNvPr id="1718" name="e85f7bf4-e0d6-43cf-abb8-4396c3a4169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2096ce534a1425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1721</xdr:row>
      <xdr:rowOff>19050</xdr:rowOff>
    </xdr:from>
    <xdr:ext cx="1143000" cy="1143000"/>
    <xdr:pic>
      <xdr:nvPicPr>
        <xdr:cNvPr id="1719" name="263ad8fe-d3a4-4ad5-a7b4-813111722c1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f37e830b94e409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1722</xdr:row>
      <xdr:rowOff>19050</xdr:rowOff>
    </xdr:from>
    <xdr:ext cx="1143000" cy="1143000"/>
    <xdr:pic>
      <xdr:nvPicPr>
        <xdr:cNvPr id="1720" name="73b25795-2bde-449b-a47b-f487e3fff2e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841d329999640f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1723</xdr:row>
      <xdr:rowOff>19050</xdr:rowOff>
    </xdr:from>
    <xdr:ext cx="1143000" cy="1143000"/>
    <xdr:pic>
      <xdr:nvPicPr>
        <xdr:cNvPr id="1721" name="9e9f3100-b3d5-4268-95e2-e5233b3cc35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19f56d95a464ef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1724</xdr:row>
      <xdr:rowOff>19050</xdr:rowOff>
    </xdr:from>
    <xdr:ext cx="1143000" cy="1143000"/>
    <xdr:pic>
      <xdr:nvPicPr>
        <xdr:cNvPr id="1722" name="f588ab79-aced-4c46-9425-d806ebcd22e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e3bb40ccbc9485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1725</xdr:row>
      <xdr:rowOff>19050</xdr:rowOff>
    </xdr:from>
    <xdr:ext cx="1143000" cy="1143000"/>
    <xdr:pic>
      <xdr:nvPicPr>
        <xdr:cNvPr id="1723" name="35eec446-21cd-4ac8-ab5d-f281e0d6610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4855d9cef0e4b0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1726</xdr:row>
      <xdr:rowOff>19050</xdr:rowOff>
    </xdr:from>
    <xdr:ext cx="1143000" cy="1143000"/>
    <xdr:pic>
      <xdr:nvPicPr>
        <xdr:cNvPr id="1724" name="992e815a-dd2d-43be-a94d-2219932468d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60bcf7c9b7744d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1727</xdr:row>
      <xdr:rowOff>19050</xdr:rowOff>
    </xdr:from>
    <xdr:ext cx="1143000" cy="1143000"/>
    <xdr:pic>
      <xdr:nvPicPr>
        <xdr:cNvPr id="1725" name="30d441d3-57bd-4142-9492-db827ded6fc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af547657db3489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1728</xdr:row>
      <xdr:rowOff>19050</xdr:rowOff>
    </xdr:from>
    <xdr:ext cx="1143000" cy="1143000"/>
    <xdr:pic>
      <xdr:nvPicPr>
        <xdr:cNvPr id="1726" name="a8f6f0de-fa5c-4149-be79-3fab6cc8012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adb333547da4eb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1729</xdr:row>
      <xdr:rowOff>19050</xdr:rowOff>
    </xdr:from>
    <xdr:ext cx="1143000" cy="1143000"/>
    <xdr:pic>
      <xdr:nvPicPr>
        <xdr:cNvPr id="1727" name="ea7189f2-4fb7-42c1-a63d-3c4e3f38d0e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7ade1d5b803442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1730</xdr:row>
      <xdr:rowOff>19050</xdr:rowOff>
    </xdr:from>
    <xdr:ext cx="1143000" cy="1143000"/>
    <xdr:pic>
      <xdr:nvPicPr>
        <xdr:cNvPr id="1728" name="5d6c1ba0-dd2e-46c1-bf75-f2dbd30ce4e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4e4c2a536e8451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1731</xdr:row>
      <xdr:rowOff>19050</xdr:rowOff>
    </xdr:from>
    <xdr:ext cx="1143000" cy="1143000"/>
    <xdr:pic>
      <xdr:nvPicPr>
        <xdr:cNvPr id="1729" name="f8421cd5-3688-4ecf-ba7b-504fadfacb8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e7c03b55ce54d4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1732</xdr:row>
      <xdr:rowOff>19050</xdr:rowOff>
    </xdr:from>
    <xdr:ext cx="1143000" cy="1143000"/>
    <xdr:pic>
      <xdr:nvPicPr>
        <xdr:cNvPr id="1730" name="201bd11a-d0db-4c8f-a13a-3ac9c7bfc75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b95db2a866c44c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1733</xdr:row>
      <xdr:rowOff>19050</xdr:rowOff>
    </xdr:from>
    <xdr:ext cx="1143000" cy="1143000"/>
    <xdr:pic>
      <xdr:nvPicPr>
        <xdr:cNvPr id="1731" name="fbbecbd3-2284-4f19-9cf2-63b92df7771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9a49184524646c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1734</xdr:row>
      <xdr:rowOff>19050</xdr:rowOff>
    </xdr:from>
    <xdr:ext cx="1143000" cy="1143000"/>
    <xdr:pic>
      <xdr:nvPicPr>
        <xdr:cNvPr id="1732" name="9c248e44-b512-4a75-81a9-aa57ae9f2eb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1f33e8558bb43c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1735</xdr:row>
      <xdr:rowOff>19050</xdr:rowOff>
    </xdr:from>
    <xdr:ext cx="1143000" cy="1143000"/>
    <xdr:pic>
      <xdr:nvPicPr>
        <xdr:cNvPr id="1733" name="eb376c1a-d4c5-4669-a3e9-f281670f6b5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e1c1770d604455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1736</xdr:row>
      <xdr:rowOff>19050</xdr:rowOff>
    </xdr:from>
    <xdr:ext cx="1143000" cy="1143000"/>
    <xdr:pic>
      <xdr:nvPicPr>
        <xdr:cNvPr id="1734" name="9bbe731a-a8a0-4daa-a92a-3fbade8d6c9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c34e48d5ec24dd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1737</xdr:row>
      <xdr:rowOff>19050</xdr:rowOff>
    </xdr:from>
    <xdr:ext cx="1143000" cy="1143000"/>
    <xdr:pic>
      <xdr:nvPicPr>
        <xdr:cNvPr id="1735" name="b7957ffb-a54c-49e9-bd81-b040c5bed4e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b0c6f7a06ed422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1738</xdr:row>
      <xdr:rowOff>19050</xdr:rowOff>
    </xdr:from>
    <xdr:ext cx="1143000" cy="1143000"/>
    <xdr:pic>
      <xdr:nvPicPr>
        <xdr:cNvPr id="1736" name="dd7f94e7-0292-4d46-b889-c9457494024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aa020b64fdf4d3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1739</xdr:row>
      <xdr:rowOff>19050</xdr:rowOff>
    </xdr:from>
    <xdr:ext cx="1143000" cy="1143000"/>
    <xdr:pic>
      <xdr:nvPicPr>
        <xdr:cNvPr id="1737" name="b80b7f52-d771-421e-a960-9dc4ac5b096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2fb7859d222412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1740</xdr:row>
      <xdr:rowOff>19050</xdr:rowOff>
    </xdr:from>
    <xdr:ext cx="1143000" cy="1143000"/>
    <xdr:pic>
      <xdr:nvPicPr>
        <xdr:cNvPr id="1738" name="2b313bdb-46d9-4865-82d5-72da64a1c56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813dd58fbbc4cb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1741</xdr:row>
      <xdr:rowOff>19050</xdr:rowOff>
    </xdr:from>
    <xdr:ext cx="1143000" cy="1143000"/>
    <xdr:pic>
      <xdr:nvPicPr>
        <xdr:cNvPr id="1739" name="6b4daa4b-1ebe-4d3a-a7b9-223cbf6d19d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e3a3b3a85c549e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1742</xdr:row>
      <xdr:rowOff>19050</xdr:rowOff>
    </xdr:from>
    <xdr:ext cx="1143000" cy="1143000"/>
    <xdr:pic>
      <xdr:nvPicPr>
        <xdr:cNvPr id="1740" name="9b62ea47-9ab2-4c4f-b291-d87d02afe7c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10e153d59fc451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1743</xdr:row>
      <xdr:rowOff>19050</xdr:rowOff>
    </xdr:from>
    <xdr:ext cx="1143000" cy="1143000"/>
    <xdr:pic>
      <xdr:nvPicPr>
        <xdr:cNvPr id="1741" name="b9fd700c-6a08-4edf-b884-aa163be75e5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196da8dbf394c9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1744</xdr:row>
      <xdr:rowOff>19050</xdr:rowOff>
    </xdr:from>
    <xdr:ext cx="1143000" cy="1143000"/>
    <xdr:pic>
      <xdr:nvPicPr>
        <xdr:cNvPr id="1742" name="f2149db8-a9c3-46b9-9a28-937fb0fd776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792c7b05e28464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1745</xdr:row>
      <xdr:rowOff>19050</xdr:rowOff>
    </xdr:from>
    <xdr:ext cx="1143000" cy="1143000"/>
    <xdr:pic>
      <xdr:nvPicPr>
        <xdr:cNvPr id="1743" name="03e4aca0-ebc3-414a-82f1-aa02df112b9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9e8d4edb4434cd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1746</xdr:row>
      <xdr:rowOff>19050</xdr:rowOff>
    </xdr:from>
    <xdr:ext cx="1143000" cy="1143000"/>
    <xdr:pic>
      <xdr:nvPicPr>
        <xdr:cNvPr id="1744" name="69c616f3-af40-4bce-bf5a-3d6876f3d8a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3c50a4e1f38458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1747</xdr:row>
      <xdr:rowOff>19050</xdr:rowOff>
    </xdr:from>
    <xdr:ext cx="1143000" cy="1143000"/>
    <xdr:pic>
      <xdr:nvPicPr>
        <xdr:cNvPr id="1745" name="464b0810-742f-4b80-9ade-1300b3e4281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2280df289094f9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1748</xdr:row>
      <xdr:rowOff>19050</xdr:rowOff>
    </xdr:from>
    <xdr:ext cx="1143000" cy="1143000"/>
    <xdr:pic>
      <xdr:nvPicPr>
        <xdr:cNvPr id="1746" name="f39ed9c2-5b16-47f1-94e8-3f0d6095791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1ebde1b8d464ef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1749</xdr:row>
      <xdr:rowOff>19050</xdr:rowOff>
    </xdr:from>
    <xdr:ext cx="1143000" cy="1143000"/>
    <xdr:pic>
      <xdr:nvPicPr>
        <xdr:cNvPr id="1747" name="d529d282-3bef-409d-b534-52bf3470d9c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e4c9358150b4ab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1750</xdr:row>
      <xdr:rowOff>19050</xdr:rowOff>
    </xdr:from>
    <xdr:ext cx="1143000" cy="1143000"/>
    <xdr:pic>
      <xdr:nvPicPr>
        <xdr:cNvPr id="1748" name="b6c53f67-3cb8-43af-a618-b6a79bafc62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5197be1590b41b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1751</xdr:row>
      <xdr:rowOff>19050</xdr:rowOff>
    </xdr:from>
    <xdr:ext cx="1143000" cy="1143000"/>
    <xdr:pic>
      <xdr:nvPicPr>
        <xdr:cNvPr id="1749" name="ddc4dbd6-670a-42e6-8545-7b3f605b9ad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e88302c71f84cb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1752</xdr:row>
      <xdr:rowOff>19050</xdr:rowOff>
    </xdr:from>
    <xdr:ext cx="1143000" cy="1143000"/>
    <xdr:pic>
      <xdr:nvPicPr>
        <xdr:cNvPr id="1750" name="0544877e-b159-4a20-ba90-1d04a0c3ed9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e9dd2cbc834474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1753</xdr:row>
      <xdr:rowOff>19050</xdr:rowOff>
    </xdr:from>
    <xdr:ext cx="1143000" cy="1143000"/>
    <xdr:pic>
      <xdr:nvPicPr>
        <xdr:cNvPr id="1751" name="30260954-f6c1-4dea-999c-f81ef5d4fa0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aaf528114424b9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1754</xdr:row>
      <xdr:rowOff>19050</xdr:rowOff>
    </xdr:from>
    <xdr:ext cx="1143000" cy="1143000"/>
    <xdr:pic>
      <xdr:nvPicPr>
        <xdr:cNvPr id="1752" name="f9eca7ce-d31a-4b75-9bbd-9ccf882bb21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7c2c0b1598d469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1755</xdr:row>
      <xdr:rowOff>19050</xdr:rowOff>
    </xdr:from>
    <xdr:ext cx="1143000" cy="1143000"/>
    <xdr:pic>
      <xdr:nvPicPr>
        <xdr:cNvPr id="1753" name="fee91533-c1d3-4405-8004-ff30b90e1f2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57e39b436154e1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1756</xdr:row>
      <xdr:rowOff>19050</xdr:rowOff>
    </xdr:from>
    <xdr:ext cx="1143000" cy="1143000"/>
    <xdr:pic>
      <xdr:nvPicPr>
        <xdr:cNvPr id="1754" name="1eba9372-f083-4c35-af21-3bb0b56aaee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500cc319ad04ff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1757</xdr:row>
      <xdr:rowOff>19050</xdr:rowOff>
    </xdr:from>
    <xdr:ext cx="1143000" cy="1143000"/>
    <xdr:pic>
      <xdr:nvPicPr>
        <xdr:cNvPr id="1755" name="3d1d970f-7d48-4b40-8bc3-2b46c76c548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ec4dac262c0460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1758</xdr:row>
      <xdr:rowOff>19050</xdr:rowOff>
    </xdr:from>
    <xdr:ext cx="1143000" cy="1143000"/>
    <xdr:pic>
      <xdr:nvPicPr>
        <xdr:cNvPr id="1756" name="a5f99621-df50-48c8-8881-b47340fc9d4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c475d98ae1c4ae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1759</xdr:row>
      <xdr:rowOff>19050</xdr:rowOff>
    </xdr:from>
    <xdr:ext cx="1143000" cy="1143000"/>
    <xdr:pic>
      <xdr:nvPicPr>
        <xdr:cNvPr id="1757" name="d71d4d87-38f5-4b1d-ac6e-2909107e8d9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db378ae6104480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1760</xdr:row>
      <xdr:rowOff>19050</xdr:rowOff>
    </xdr:from>
    <xdr:ext cx="1143000" cy="1143000"/>
    <xdr:pic>
      <xdr:nvPicPr>
        <xdr:cNvPr id="1758" name="b78e5fef-059e-4afa-8c60-7960b9c5bba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8b893b698f2407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1761</xdr:row>
      <xdr:rowOff>19050</xdr:rowOff>
    </xdr:from>
    <xdr:ext cx="1143000" cy="1143000"/>
    <xdr:pic>
      <xdr:nvPicPr>
        <xdr:cNvPr id="1759" name="b17bd77c-e9d1-40bd-a5c6-b5975e0fe50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ee1aa69b1f3488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1762</xdr:row>
      <xdr:rowOff>19050</xdr:rowOff>
    </xdr:from>
    <xdr:ext cx="1143000" cy="1143000"/>
    <xdr:pic>
      <xdr:nvPicPr>
        <xdr:cNvPr id="1760" name="cb4ad1ec-fd99-42a3-8596-03fb2379763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d8abbc910c24c4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1763</xdr:row>
      <xdr:rowOff>19050</xdr:rowOff>
    </xdr:from>
    <xdr:ext cx="1143000" cy="1143000"/>
    <xdr:pic>
      <xdr:nvPicPr>
        <xdr:cNvPr id="1761" name="266a903d-b73c-4bb7-a1ba-fbac11ba7a7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302dfbfe3af4d4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1764</xdr:row>
      <xdr:rowOff>19050</xdr:rowOff>
    </xdr:from>
    <xdr:ext cx="1143000" cy="1143000"/>
    <xdr:pic>
      <xdr:nvPicPr>
        <xdr:cNvPr id="1762" name="e085c16f-f2d6-42f6-9712-fcf78bf9696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6016267a1a5457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1765</xdr:row>
      <xdr:rowOff>19050</xdr:rowOff>
    </xdr:from>
    <xdr:ext cx="1143000" cy="1143000"/>
    <xdr:pic>
      <xdr:nvPicPr>
        <xdr:cNvPr id="1763" name="5aced3ca-ecf4-4029-bc2a-af21bc7e443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8e165db0c62498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1766</xdr:row>
      <xdr:rowOff>19050</xdr:rowOff>
    </xdr:from>
    <xdr:ext cx="1143000" cy="1143000"/>
    <xdr:pic>
      <xdr:nvPicPr>
        <xdr:cNvPr id="1764" name="82884c11-d2d2-4744-9abe-6ff510581ef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7c8c5ca59ce42b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1767</xdr:row>
      <xdr:rowOff>19050</xdr:rowOff>
    </xdr:from>
    <xdr:ext cx="1143000" cy="1143000"/>
    <xdr:pic>
      <xdr:nvPicPr>
        <xdr:cNvPr id="1765" name="d3355f56-58e2-4719-b7b9-8385d5a91e1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19cddc3d60047e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1768</xdr:row>
      <xdr:rowOff>19050</xdr:rowOff>
    </xdr:from>
    <xdr:ext cx="1143000" cy="1143000"/>
    <xdr:pic>
      <xdr:nvPicPr>
        <xdr:cNvPr id="1766" name="f657f552-d8f9-4b63-bfcb-fa17f2f4767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ef57748f8d840b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1769</xdr:row>
      <xdr:rowOff>19050</xdr:rowOff>
    </xdr:from>
    <xdr:ext cx="1143000" cy="1143000"/>
    <xdr:pic>
      <xdr:nvPicPr>
        <xdr:cNvPr id="1767" name="cb9b7a55-7bee-43ae-8167-0e8b03ee61b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109fb6a7748403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1770</xdr:row>
      <xdr:rowOff>19050</xdr:rowOff>
    </xdr:from>
    <xdr:ext cx="1143000" cy="1143000"/>
    <xdr:pic>
      <xdr:nvPicPr>
        <xdr:cNvPr id="1768" name="22b7a53e-5587-4c5c-8316-e8105390fde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afea5d2db3040f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1771</xdr:row>
      <xdr:rowOff>19050</xdr:rowOff>
    </xdr:from>
    <xdr:ext cx="1143000" cy="1143000"/>
    <xdr:pic>
      <xdr:nvPicPr>
        <xdr:cNvPr id="1769" name="b0172f2d-21aa-4e48-9274-bac0c75296a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d89c0c14aac4aa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1772</xdr:row>
      <xdr:rowOff>19050</xdr:rowOff>
    </xdr:from>
    <xdr:ext cx="1143000" cy="1143000"/>
    <xdr:pic>
      <xdr:nvPicPr>
        <xdr:cNvPr id="1770" name="a306cb84-ddd0-4111-9716-ace391c1cac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79950d9d15540e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1773</xdr:row>
      <xdr:rowOff>19050</xdr:rowOff>
    </xdr:from>
    <xdr:ext cx="1143000" cy="1143000"/>
    <xdr:pic>
      <xdr:nvPicPr>
        <xdr:cNvPr id="1771" name="0780dc17-47e2-4629-979a-ad804925b3e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135300de66144c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1774</xdr:row>
      <xdr:rowOff>19050</xdr:rowOff>
    </xdr:from>
    <xdr:ext cx="1143000" cy="1143000"/>
    <xdr:pic>
      <xdr:nvPicPr>
        <xdr:cNvPr id="1772" name="4b650563-e0ab-43b1-8e78-b96bfa06985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0ed01abe21e4e2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1775</xdr:row>
      <xdr:rowOff>19050</xdr:rowOff>
    </xdr:from>
    <xdr:ext cx="1143000" cy="1143000"/>
    <xdr:pic>
      <xdr:nvPicPr>
        <xdr:cNvPr id="1773" name="a75bea0f-10dc-4d66-a810-330d3406c08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070008c5158434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1776</xdr:row>
      <xdr:rowOff>19050</xdr:rowOff>
    </xdr:from>
    <xdr:ext cx="1143000" cy="1143000"/>
    <xdr:pic>
      <xdr:nvPicPr>
        <xdr:cNvPr id="1774" name="d42b4f56-4802-4289-8565-413951c72c7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1a78a7f3f644f2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1777</xdr:row>
      <xdr:rowOff>19050</xdr:rowOff>
    </xdr:from>
    <xdr:ext cx="1143000" cy="1143000"/>
    <xdr:pic>
      <xdr:nvPicPr>
        <xdr:cNvPr id="1775" name="8c64e85c-5d3e-4420-96fe-d97589e8442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8b94be5ef494d8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1778</xdr:row>
      <xdr:rowOff>19050</xdr:rowOff>
    </xdr:from>
    <xdr:ext cx="1143000" cy="1143000"/>
    <xdr:pic>
      <xdr:nvPicPr>
        <xdr:cNvPr id="1776" name="4cb5dd4d-1915-4910-9ed6-a5847c5fb36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290c77cb73644d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1779</xdr:row>
      <xdr:rowOff>19050</xdr:rowOff>
    </xdr:from>
    <xdr:ext cx="1143000" cy="1143000"/>
    <xdr:pic>
      <xdr:nvPicPr>
        <xdr:cNvPr id="1777" name="5395b75d-c78c-4593-b830-62b9d68b0e1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5d46da97f33468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1780</xdr:row>
      <xdr:rowOff>19050</xdr:rowOff>
    </xdr:from>
    <xdr:ext cx="1143000" cy="1143000"/>
    <xdr:pic>
      <xdr:nvPicPr>
        <xdr:cNvPr id="1778" name="4988863f-f883-4add-af1b-896067ca24f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10a964eb9ca46f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1781</xdr:row>
      <xdr:rowOff>19050</xdr:rowOff>
    </xdr:from>
    <xdr:ext cx="1143000" cy="1143000"/>
    <xdr:pic>
      <xdr:nvPicPr>
        <xdr:cNvPr id="1779" name="86a48aa3-206b-426a-abb7-d3759eb0800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aae927bf8e04d8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1782</xdr:row>
      <xdr:rowOff>19050</xdr:rowOff>
    </xdr:from>
    <xdr:ext cx="1143000" cy="1143000"/>
    <xdr:pic>
      <xdr:nvPicPr>
        <xdr:cNvPr id="1780" name="2bfd08f8-b913-4991-915c-2d7b373b216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2269cb330dc447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1783</xdr:row>
      <xdr:rowOff>19050</xdr:rowOff>
    </xdr:from>
    <xdr:ext cx="1143000" cy="1143000"/>
    <xdr:pic>
      <xdr:nvPicPr>
        <xdr:cNvPr id="1781" name="7b75c239-a58a-4c6f-a4a4-5e73c441592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85b85d890d549f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1784</xdr:row>
      <xdr:rowOff>19050</xdr:rowOff>
    </xdr:from>
    <xdr:ext cx="1143000" cy="1143000"/>
    <xdr:pic>
      <xdr:nvPicPr>
        <xdr:cNvPr id="1782" name="3c410f70-7e2b-43f3-a2e0-e15a03df97b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7abb1c341bb439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1785</xdr:row>
      <xdr:rowOff>19050</xdr:rowOff>
    </xdr:from>
    <xdr:ext cx="1143000" cy="1143000"/>
    <xdr:pic>
      <xdr:nvPicPr>
        <xdr:cNvPr id="1783" name="0fe73f0e-5a38-4413-a220-66fbaf79a9f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fd82f8aea23425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1786</xdr:row>
      <xdr:rowOff>19050</xdr:rowOff>
    </xdr:from>
    <xdr:ext cx="1143000" cy="1143000"/>
    <xdr:pic>
      <xdr:nvPicPr>
        <xdr:cNvPr id="1784" name="06d2321d-e47a-43db-b7cf-d5b654c833c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e43909741c548d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1787</xdr:row>
      <xdr:rowOff>19050</xdr:rowOff>
    </xdr:from>
    <xdr:ext cx="1143000" cy="1143000"/>
    <xdr:pic>
      <xdr:nvPicPr>
        <xdr:cNvPr id="1785" name="3210b64c-d543-4ba4-a9a9-692226f70dc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6e9db7241d94cb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1788</xdr:row>
      <xdr:rowOff>19050</xdr:rowOff>
    </xdr:from>
    <xdr:ext cx="1143000" cy="1143000"/>
    <xdr:pic>
      <xdr:nvPicPr>
        <xdr:cNvPr id="1786" name="2e7a51c5-37d5-4190-840a-35b9528a995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c5ef259906344c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1789</xdr:row>
      <xdr:rowOff>19050</xdr:rowOff>
    </xdr:from>
    <xdr:ext cx="1143000" cy="1143000"/>
    <xdr:pic>
      <xdr:nvPicPr>
        <xdr:cNvPr id="1787" name="bb7b5986-2c8b-49f6-b0f6-8f4cd96af4a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766482c02b6408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1790</xdr:row>
      <xdr:rowOff>19050</xdr:rowOff>
    </xdr:from>
    <xdr:ext cx="1143000" cy="1143000"/>
    <xdr:pic>
      <xdr:nvPicPr>
        <xdr:cNvPr id="1788" name="ec895162-21f1-4da2-871a-3daca248ec6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2161b7aed7f4df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1791</xdr:row>
      <xdr:rowOff>19050</xdr:rowOff>
    </xdr:from>
    <xdr:ext cx="1143000" cy="1143000"/>
    <xdr:pic>
      <xdr:nvPicPr>
        <xdr:cNvPr id="1789" name="74515af2-ffcf-490b-b991-97c007b02a5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fa03da3c7e3421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1792</xdr:row>
      <xdr:rowOff>19050</xdr:rowOff>
    </xdr:from>
    <xdr:ext cx="1143000" cy="1143000"/>
    <xdr:pic>
      <xdr:nvPicPr>
        <xdr:cNvPr id="1790" name="ab1b3d71-a927-4789-9d75-0aa3b6cff8a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dfd9fc97c0c4fd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1793</xdr:row>
      <xdr:rowOff>19050</xdr:rowOff>
    </xdr:from>
    <xdr:ext cx="1143000" cy="1143000"/>
    <xdr:pic>
      <xdr:nvPicPr>
        <xdr:cNvPr id="1791" name="29b84693-993e-4177-960f-faf0b98f1c9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0b5c11da08c477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1794</xdr:row>
      <xdr:rowOff>19050</xdr:rowOff>
    </xdr:from>
    <xdr:ext cx="1143000" cy="1143000"/>
    <xdr:pic>
      <xdr:nvPicPr>
        <xdr:cNvPr id="1792" name="9606f4f7-47de-4d17-82e9-4c474aae4cd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3b511b7777b4c7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1795</xdr:row>
      <xdr:rowOff>19050</xdr:rowOff>
    </xdr:from>
    <xdr:ext cx="1143000" cy="1143000"/>
    <xdr:pic>
      <xdr:nvPicPr>
        <xdr:cNvPr id="1793" name="61ebdbfe-2eb2-41d9-a838-d2d6f591ddf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3f27597c9ac43f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1796</xdr:row>
      <xdr:rowOff>19050</xdr:rowOff>
    </xdr:from>
    <xdr:ext cx="1143000" cy="1143000"/>
    <xdr:pic>
      <xdr:nvPicPr>
        <xdr:cNvPr id="1794" name="1911d77b-d519-4cbe-86ea-0256fd4e953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1c38129275d4b5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1797</xdr:row>
      <xdr:rowOff>19050</xdr:rowOff>
    </xdr:from>
    <xdr:ext cx="1143000" cy="1143000"/>
    <xdr:pic>
      <xdr:nvPicPr>
        <xdr:cNvPr id="1795" name="2897aea7-04bd-44e1-954d-1d76fae6667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dd259d49b5a411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1798</xdr:row>
      <xdr:rowOff>19050</xdr:rowOff>
    </xdr:from>
    <xdr:ext cx="1143000" cy="1143000"/>
    <xdr:pic>
      <xdr:nvPicPr>
        <xdr:cNvPr id="1796" name="5d4c8315-b6b4-466a-8243-15c5208b54b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7a63d48e6ca411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1799</xdr:row>
      <xdr:rowOff>19050</xdr:rowOff>
    </xdr:from>
    <xdr:ext cx="1143000" cy="1143000"/>
    <xdr:pic>
      <xdr:nvPicPr>
        <xdr:cNvPr id="1797" name="4f6d8d56-7a34-43f2-a392-f788f63a96d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9e064638bae4e6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1800</xdr:row>
      <xdr:rowOff>19050</xdr:rowOff>
    </xdr:from>
    <xdr:ext cx="1143000" cy="1143000"/>
    <xdr:pic>
      <xdr:nvPicPr>
        <xdr:cNvPr id="1798" name="9e9728fa-2e6d-46bb-8a2b-26f8340299a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d6eb7722cdc4a8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1801</xdr:row>
      <xdr:rowOff>19050</xdr:rowOff>
    </xdr:from>
    <xdr:ext cx="1143000" cy="1143000"/>
    <xdr:pic>
      <xdr:nvPicPr>
        <xdr:cNvPr id="1799" name="7ab6faa5-412b-4c71-8517-3a8b3f663d0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c5461466a2c4fa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1802</xdr:row>
      <xdr:rowOff>19050</xdr:rowOff>
    </xdr:from>
    <xdr:ext cx="1143000" cy="1143000"/>
    <xdr:pic>
      <xdr:nvPicPr>
        <xdr:cNvPr id="1800" name="8f61bf77-cea8-4c8e-9912-ca3c0b35c54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d15a17056044de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1803</xdr:row>
      <xdr:rowOff>19050</xdr:rowOff>
    </xdr:from>
    <xdr:ext cx="1143000" cy="1143000"/>
    <xdr:pic>
      <xdr:nvPicPr>
        <xdr:cNvPr id="1801" name="1035037e-5023-4438-accc-bc640a02e83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d254ad95512435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1804</xdr:row>
      <xdr:rowOff>19050</xdr:rowOff>
    </xdr:from>
    <xdr:ext cx="1143000" cy="1143000"/>
    <xdr:pic>
      <xdr:nvPicPr>
        <xdr:cNvPr id="1802" name="a4035107-43d1-4007-9a71-8f49ac61f12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9adc0f82a6f4fc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1805</xdr:row>
      <xdr:rowOff>19050</xdr:rowOff>
    </xdr:from>
    <xdr:ext cx="1143000" cy="1143000"/>
    <xdr:pic>
      <xdr:nvPicPr>
        <xdr:cNvPr id="1803" name="6775c4fa-5eea-44bf-9254-0ccb721774c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2253715fc3843f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1806</xdr:row>
      <xdr:rowOff>19050</xdr:rowOff>
    </xdr:from>
    <xdr:ext cx="1143000" cy="1143000"/>
    <xdr:pic>
      <xdr:nvPicPr>
        <xdr:cNvPr id="1804" name="53396c3f-0e88-4f7b-b469-1ff40959833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f82c3318fc1462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1807</xdr:row>
      <xdr:rowOff>19050</xdr:rowOff>
    </xdr:from>
    <xdr:ext cx="1143000" cy="1143000"/>
    <xdr:pic>
      <xdr:nvPicPr>
        <xdr:cNvPr id="1805" name="a3ce2e3b-adc3-4ef9-bdd2-6b2bc7f3c3b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a846b3052014af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1808</xdr:row>
      <xdr:rowOff>19050</xdr:rowOff>
    </xdr:from>
    <xdr:ext cx="1143000" cy="1143000"/>
    <xdr:pic>
      <xdr:nvPicPr>
        <xdr:cNvPr id="1806" name="ec8ab353-9e03-423e-a91e-2178f6de6a7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ceebf78f6ce4a7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1809</xdr:row>
      <xdr:rowOff>19050</xdr:rowOff>
    </xdr:from>
    <xdr:ext cx="1143000" cy="1143000"/>
    <xdr:pic>
      <xdr:nvPicPr>
        <xdr:cNvPr id="1807" name="72797f62-4b9e-43df-a52f-69c010b64af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fa1d4b534cb4a2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1810</xdr:row>
      <xdr:rowOff>19050</xdr:rowOff>
    </xdr:from>
    <xdr:ext cx="1143000" cy="1143000"/>
    <xdr:pic>
      <xdr:nvPicPr>
        <xdr:cNvPr id="1808" name="e9c4de90-a400-40fe-8d28-215cb120ea7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6ea73318786453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1811</xdr:row>
      <xdr:rowOff>19050</xdr:rowOff>
    </xdr:from>
    <xdr:ext cx="1143000" cy="1143000"/>
    <xdr:pic>
      <xdr:nvPicPr>
        <xdr:cNvPr id="1809" name="d945313b-7bbc-4503-ad74-1fb627aa87e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fa365e332fb453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1812</xdr:row>
      <xdr:rowOff>19050</xdr:rowOff>
    </xdr:from>
    <xdr:ext cx="1143000" cy="1143000"/>
    <xdr:pic>
      <xdr:nvPicPr>
        <xdr:cNvPr id="1810" name="f7c43221-f296-47d9-9505-d6cb012e630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56decf5c55045e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1813</xdr:row>
      <xdr:rowOff>19050</xdr:rowOff>
    </xdr:from>
    <xdr:ext cx="1143000" cy="1143000"/>
    <xdr:pic>
      <xdr:nvPicPr>
        <xdr:cNvPr id="1811" name="69538ae2-f9bf-41a6-8752-7c3309db2aa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babb34b9b6e4e7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1814</xdr:row>
      <xdr:rowOff>19050</xdr:rowOff>
    </xdr:from>
    <xdr:ext cx="1143000" cy="1143000"/>
    <xdr:pic>
      <xdr:nvPicPr>
        <xdr:cNvPr id="1812" name="e84f9e59-1ecc-45bf-87b0-ff248176a39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0ef78754e244f8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1815</xdr:row>
      <xdr:rowOff>19050</xdr:rowOff>
    </xdr:from>
    <xdr:ext cx="1143000" cy="1143000"/>
    <xdr:pic>
      <xdr:nvPicPr>
        <xdr:cNvPr id="1813" name="a9281f07-4e71-4326-add4-4f37d9e35c4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1e49254264b433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1816</xdr:row>
      <xdr:rowOff>19050</xdr:rowOff>
    </xdr:from>
    <xdr:ext cx="1143000" cy="1143000"/>
    <xdr:pic>
      <xdr:nvPicPr>
        <xdr:cNvPr id="1814" name="5c4396bd-f14f-4059-8b85-a746a12bfea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f0085ca67e546e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1817</xdr:row>
      <xdr:rowOff>19050</xdr:rowOff>
    </xdr:from>
    <xdr:ext cx="1143000" cy="1143000"/>
    <xdr:pic>
      <xdr:nvPicPr>
        <xdr:cNvPr id="1815" name="2a0dd189-7d45-49a3-b197-177f1042921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794a620cecd41a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1818</xdr:row>
      <xdr:rowOff>19050</xdr:rowOff>
    </xdr:from>
    <xdr:ext cx="1143000" cy="1143000"/>
    <xdr:pic>
      <xdr:nvPicPr>
        <xdr:cNvPr id="1816" name="bee1fcdf-eee5-4685-bcfa-f979d610d6a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b988ced250f489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1819</xdr:row>
      <xdr:rowOff>19050</xdr:rowOff>
    </xdr:from>
    <xdr:ext cx="1143000" cy="1143000"/>
    <xdr:pic>
      <xdr:nvPicPr>
        <xdr:cNvPr id="1817" name="46bbf040-ab36-42a3-aaca-5a9fa372566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ef9a9f7ed1040e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1820</xdr:row>
      <xdr:rowOff>19050</xdr:rowOff>
    </xdr:from>
    <xdr:ext cx="1143000" cy="1143000"/>
    <xdr:pic>
      <xdr:nvPicPr>
        <xdr:cNvPr id="1818" name="5af647f8-97c1-4f73-bae0-76e2f517346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ac5d565366848b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1821</xdr:row>
      <xdr:rowOff>19050</xdr:rowOff>
    </xdr:from>
    <xdr:ext cx="1143000" cy="1143000"/>
    <xdr:pic>
      <xdr:nvPicPr>
        <xdr:cNvPr id="1819" name="1c22226f-f77f-4ea3-9997-e4a24a1b2a2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65a914ac80e4e0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1822</xdr:row>
      <xdr:rowOff>19050</xdr:rowOff>
    </xdr:from>
    <xdr:ext cx="1143000" cy="1143000"/>
    <xdr:pic>
      <xdr:nvPicPr>
        <xdr:cNvPr id="1820" name="f65170a1-c8f6-4018-8246-cff4ab5cd8d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4c72d8c66b8405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1823</xdr:row>
      <xdr:rowOff>19050</xdr:rowOff>
    </xdr:from>
    <xdr:ext cx="1143000" cy="1143000"/>
    <xdr:pic>
      <xdr:nvPicPr>
        <xdr:cNvPr id="1821" name="ca1a3ff7-ad8e-4db1-905b-a3eb023426c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a8c23b48e1d46b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1824</xdr:row>
      <xdr:rowOff>19050</xdr:rowOff>
    </xdr:from>
    <xdr:ext cx="1143000" cy="1143000"/>
    <xdr:pic>
      <xdr:nvPicPr>
        <xdr:cNvPr id="1822" name="e6f8bf25-355a-4a36-955f-1966156f8a5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c2d0b6ee90b4fa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1825</xdr:row>
      <xdr:rowOff>19050</xdr:rowOff>
    </xdr:from>
    <xdr:ext cx="1143000" cy="1143000"/>
    <xdr:pic>
      <xdr:nvPicPr>
        <xdr:cNvPr id="1823" name="b223b3ca-d987-4695-a2b6-8d97fbd17f2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029ddf0418e460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1826</xdr:row>
      <xdr:rowOff>19050</xdr:rowOff>
    </xdr:from>
    <xdr:ext cx="1143000" cy="1143000"/>
    <xdr:pic>
      <xdr:nvPicPr>
        <xdr:cNvPr id="1824" name="24b6f418-6990-4b1a-998a-1bdca48483a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26a64a102864e5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1827</xdr:row>
      <xdr:rowOff>19050</xdr:rowOff>
    </xdr:from>
    <xdr:ext cx="1143000" cy="1143000"/>
    <xdr:pic>
      <xdr:nvPicPr>
        <xdr:cNvPr id="1825" name="3756d744-aa3a-490d-a980-17270bbecff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cd122dd72ea466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1828</xdr:row>
      <xdr:rowOff>19050</xdr:rowOff>
    </xdr:from>
    <xdr:ext cx="1143000" cy="1143000"/>
    <xdr:pic>
      <xdr:nvPicPr>
        <xdr:cNvPr id="1826" name="aa04bd0b-7997-4745-b3d2-fc82569db46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38692736e5e4a0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1829</xdr:row>
      <xdr:rowOff>19050</xdr:rowOff>
    </xdr:from>
    <xdr:ext cx="1143000" cy="1143000"/>
    <xdr:pic>
      <xdr:nvPicPr>
        <xdr:cNvPr id="1827" name="0ae630ba-25b5-45bd-a00b-7a4077da90d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ac5850878a14c6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1830</xdr:row>
      <xdr:rowOff>19050</xdr:rowOff>
    </xdr:from>
    <xdr:ext cx="1143000" cy="1143000"/>
    <xdr:pic>
      <xdr:nvPicPr>
        <xdr:cNvPr id="1828" name="94fc8519-3bf1-411c-9050-3f74434280b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0bed6511cd4462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1831</xdr:row>
      <xdr:rowOff>19050</xdr:rowOff>
    </xdr:from>
    <xdr:ext cx="1143000" cy="1143000"/>
    <xdr:pic>
      <xdr:nvPicPr>
        <xdr:cNvPr id="1829" name="5e568d34-70e3-45b1-95f3-b1b586d2046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e01a80c8458441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1832</xdr:row>
      <xdr:rowOff>19050</xdr:rowOff>
    </xdr:from>
    <xdr:ext cx="1143000" cy="1143000"/>
    <xdr:pic>
      <xdr:nvPicPr>
        <xdr:cNvPr id="1830" name="9a3cebae-9a6a-41b4-a464-76e9161ae15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2928b0a577c443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1833</xdr:row>
      <xdr:rowOff>19050</xdr:rowOff>
    </xdr:from>
    <xdr:ext cx="1143000" cy="1143000"/>
    <xdr:pic>
      <xdr:nvPicPr>
        <xdr:cNvPr id="1831" name="bbb9ab90-033e-4248-a52e-23a4422814c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621b2cf2133462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1834</xdr:row>
      <xdr:rowOff>19050</xdr:rowOff>
    </xdr:from>
    <xdr:ext cx="1143000" cy="1143000"/>
    <xdr:pic>
      <xdr:nvPicPr>
        <xdr:cNvPr id="1832" name="699e7ea5-2510-460e-8d47-9448d70536e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4aec587b5d944b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1835</xdr:row>
      <xdr:rowOff>19050</xdr:rowOff>
    </xdr:from>
    <xdr:ext cx="1143000" cy="1143000"/>
    <xdr:pic>
      <xdr:nvPicPr>
        <xdr:cNvPr id="1833" name="6e4e1225-70b8-44cf-99e4-ea47553851f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c56e068aa7a400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1836</xdr:row>
      <xdr:rowOff>19050</xdr:rowOff>
    </xdr:from>
    <xdr:ext cx="1143000" cy="1143000"/>
    <xdr:pic>
      <xdr:nvPicPr>
        <xdr:cNvPr id="1834" name="beaa1167-3a6f-498a-93fc-8df4f898721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c069ecb1b114c0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1837</xdr:row>
      <xdr:rowOff>19050</xdr:rowOff>
    </xdr:from>
    <xdr:ext cx="1143000" cy="1143000"/>
    <xdr:pic>
      <xdr:nvPicPr>
        <xdr:cNvPr id="1835" name="d896e66c-38d0-4364-bfcb-ef3388a2733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2a80e66431b4da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1838</xdr:row>
      <xdr:rowOff>19050</xdr:rowOff>
    </xdr:from>
    <xdr:ext cx="1143000" cy="1143000"/>
    <xdr:pic>
      <xdr:nvPicPr>
        <xdr:cNvPr id="1836" name="27f27397-0b6a-4c83-873c-2cea734b8af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477c959262e455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1839</xdr:row>
      <xdr:rowOff>19050</xdr:rowOff>
    </xdr:from>
    <xdr:ext cx="1143000" cy="1143000"/>
    <xdr:pic>
      <xdr:nvPicPr>
        <xdr:cNvPr id="1837" name="fe8b993e-6729-4943-8ebd-2db4cb56d76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408e995d88e438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1840</xdr:row>
      <xdr:rowOff>19050</xdr:rowOff>
    </xdr:from>
    <xdr:ext cx="1143000" cy="1143000"/>
    <xdr:pic>
      <xdr:nvPicPr>
        <xdr:cNvPr id="1838" name="d02b0ea3-82b3-4eb8-bb0e-6e3616f61fa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7b498d5b71d45c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1841</xdr:row>
      <xdr:rowOff>19050</xdr:rowOff>
    </xdr:from>
    <xdr:ext cx="1143000" cy="1143000"/>
    <xdr:pic>
      <xdr:nvPicPr>
        <xdr:cNvPr id="1839" name="8e6c76ab-9212-4496-87f5-17d12bc7334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a738eb19fa14d7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1842</xdr:row>
      <xdr:rowOff>19050</xdr:rowOff>
    </xdr:from>
    <xdr:ext cx="1143000" cy="1143000"/>
    <xdr:pic>
      <xdr:nvPicPr>
        <xdr:cNvPr id="1840" name="a20c635d-4d73-45df-9765-877f6c54596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0ce62ef60984a3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1843</xdr:row>
      <xdr:rowOff>19050</xdr:rowOff>
    </xdr:from>
    <xdr:ext cx="1143000" cy="1143000"/>
    <xdr:pic>
      <xdr:nvPicPr>
        <xdr:cNvPr id="1841" name="46c6d990-d505-420c-a8e1-ea5a9ea426f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b6e2a9166a1491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1844</xdr:row>
      <xdr:rowOff>19050</xdr:rowOff>
    </xdr:from>
    <xdr:ext cx="1143000" cy="1143000"/>
    <xdr:pic>
      <xdr:nvPicPr>
        <xdr:cNvPr id="1842" name="c6cfbb5f-b654-42fe-bdbb-7617320a4b3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8ff119c920a4d4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1845</xdr:row>
      <xdr:rowOff>19050</xdr:rowOff>
    </xdr:from>
    <xdr:ext cx="1143000" cy="1143000"/>
    <xdr:pic>
      <xdr:nvPicPr>
        <xdr:cNvPr id="1843" name="f8bf778b-9c09-452b-a98a-f16f7993947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1041299ddb8414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1846</xdr:row>
      <xdr:rowOff>19050</xdr:rowOff>
    </xdr:from>
    <xdr:ext cx="1143000" cy="1143000"/>
    <xdr:pic>
      <xdr:nvPicPr>
        <xdr:cNvPr id="1844" name="d2c42a23-2f6b-481c-85c4-c9bd7da3d28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67da63d888c48e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1847</xdr:row>
      <xdr:rowOff>19050</xdr:rowOff>
    </xdr:from>
    <xdr:ext cx="1143000" cy="1143000"/>
    <xdr:pic>
      <xdr:nvPicPr>
        <xdr:cNvPr id="1845" name="706471f5-7d29-4873-b22a-64ba311f917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cda0acb08e54ba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1848</xdr:row>
      <xdr:rowOff>19050</xdr:rowOff>
    </xdr:from>
    <xdr:ext cx="1143000" cy="1143000"/>
    <xdr:pic>
      <xdr:nvPicPr>
        <xdr:cNvPr id="1846" name="0b1a38be-3454-4842-87b5-329d89d3bd2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10916acec3d447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1849</xdr:row>
      <xdr:rowOff>19050</xdr:rowOff>
    </xdr:from>
    <xdr:ext cx="1143000" cy="1143000"/>
    <xdr:pic>
      <xdr:nvPicPr>
        <xdr:cNvPr id="1847" name="a696d4b0-1ccf-4379-8d0a-7f9474e91e8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aff1d1ba44b475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1850</xdr:row>
      <xdr:rowOff>19050</xdr:rowOff>
    </xdr:from>
    <xdr:ext cx="1143000" cy="1143000"/>
    <xdr:pic>
      <xdr:nvPicPr>
        <xdr:cNvPr id="1848" name="0122f0d7-f766-49ea-9627-2366e469432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0f0f6406c48434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1851</xdr:row>
      <xdr:rowOff>19050</xdr:rowOff>
    </xdr:from>
    <xdr:ext cx="1143000" cy="1143000"/>
    <xdr:pic>
      <xdr:nvPicPr>
        <xdr:cNvPr id="1849" name="9153d8e1-53be-43d8-9800-bdda86963bc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404de07fc044ee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1852</xdr:row>
      <xdr:rowOff>19050</xdr:rowOff>
    </xdr:from>
    <xdr:ext cx="1143000" cy="1143000"/>
    <xdr:pic>
      <xdr:nvPicPr>
        <xdr:cNvPr id="1850" name="c5603f30-b0c5-459b-b031-4ca64770ec5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a03f554f12445c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1853</xdr:row>
      <xdr:rowOff>19050</xdr:rowOff>
    </xdr:from>
    <xdr:ext cx="1143000" cy="1143000"/>
    <xdr:pic>
      <xdr:nvPicPr>
        <xdr:cNvPr id="1851" name="22329ca3-748c-4d2c-80ec-398d8eee9ef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5c0013419c0494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1854</xdr:row>
      <xdr:rowOff>19050</xdr:rowOff>
    </xdr:from>
    <xdr:ext cx="1143000" cy="1143000"/>
    <xdr:pic>
      <xdr:nvPicPr>
        <xdr:cNvPr id="1852" name="a8d351c3-02a8-43a5-a77d-c1082bfe20c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81f0a8538c0442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1855</xdr:row>
      <xdr:rowOff>19050</xdr:rowOff>
    </xdr:from>
    <xdr:ext cx="1143000" cy="1143000"/>
    <xdr:pic>
      <xdr:nvPicPr>
        <xdr:cNvPr id="1853" name="14e73dc6-1e23-493f-9268-c5dd71f71bb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298f9d0c6644ba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1856</xdr:row>
      <xdr:rowOff>19050</xdr:rowOff>
    </xdr:from>
    <xdr:ext cx="1143000" cy="1143000"/>
    <xdr:pic>
      <xdr:nvPicPr>
        <xdr:cNvPr id="1854" name="bbe59cfe-e258-40e3-92a9-b345b2d2b91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83aba512b104a5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1857</xdr:row>
      <xdr:rowOff>19050</xdr:rowOff>
    </xdr:from>
    <xdr:ext cx="1143000" cy="1143000"/>
    <xdr:pic>
      <xdr:nvPicPr>
        <xdr:cNvPr id="1855" name="05ec3316-4a16-4f4e-9540-9c79b409319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236c1e0b8e3485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1858</xdr:row>
      <xdr:rowOff>19050</xdr:rowOff>
    </xdr:from>
    <xdr:ext cx="1143000" cy="1143000"/>
    <xdr:pic>
      <xdr:nvPicPr>
        <xdr:cNvPr id="1856" name="26b0878b-cd28-46f1-a4cc-5e5b0ad9469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23f0b1923484b5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1859</xdr:row>
      <xdr:rowOff>19050</xdr:rowOff>
    </xdr:from>
    <xdr:ext cx="1143000" cy="1143000"/>
    <xdr:pic>
      <xdr:nvPicPr>
        <xdr:cNvPr id="1857" name="2410ce75-ef76-48b1-a0db-443ec81a0f8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8b961a9b4ef473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1860</xdr:row>
      <xdr:rowOff>19050</xdr:rowOff>
    </xdr:from>
    <xdr:ext cx="1143000" cy="1143000"/>
    <xdr:pic>
      <xdr:nvPicPr>
        <xdr:cNvPr id="1858" name="826e7dd7-c83d-4fe7-a84d-0b12764cefb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084e88de6d84b5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1861</xdr:row>
      <xdr:rowOff>19050</xdr:rowOff>
    </xdr:from>
    <xdr:ext cx="1143000" cy="1143000"/>
    <xdr:pic>
      <xdr:nvPicPr>
        <xdr:cNvPr id="1859" name="11f6ca88-943c-4d4c-bb08-b1c783c7348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897089430984e1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1862</xdr:row>
      <xdr:rowOff>19050</xdr:rowOff>
    </xdr:from>
    <xdr:ext cx="1143000" cy="1143000"/>
    <xdr:pic>
      <xdr:nvPicPr>
        <xdr:cNvPr id="1860" name="a39a430a-68d8-4b2b-b22f-e5cde59d861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a11605377394b0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1863</xdr:row>
      <xdr:rowOff>19050</xdr:rowOff>
    </xdr:from>
    <xdr:ext cx="1143000" cy="1143000"/>
    <xdr:pic>
      <xdr:nvPicPr>
        <xdr:cNvPr id="1861" name="76580dd8-fe10-4caf-8b14-62217b70a2c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847e7ffce4f4f2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1864</xdr:row>
      <xdr:rowOff>19050</xdr:rowOff>
    </xdr:from>
    <xdr:ext cx="1143000" cy="1143000"/>
    <xdr:pic>
      <xdr:nvPicPr>
        <xdr:cNvPr id="1862" name="0c0c849c-6403-4d48-a4e0-128ccfa948b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b488d7853f24ea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1865</xdr:row>
      <xdr:rowOff>19050</xdr:rowOff>
    </xdr:from>
    <xdr:ext cx="1143000" cy="1143000"/>
    <xdr:pic>
      <xdr:nvPicPr>
        <xdr:cNvPr id="1863" name="52409912-9192-413e-8705-18e4238f095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f963379aadc48e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1866</xdr:row>
      <xdr:rowOff>19050</xdr:rowOff>
    </xdr:from>
    <xdr:ext cx="1143000" cy="1143000"/>
    <xdr:pic>
      <xdr:nvPicPr>
        <xdr:cNvPr id="1864" name="e6482760-159c-47bb-a11b-6a7d3f09f8c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f89688ca67c456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1867</xdr:row>
      <xdr:rowOff>19050</xdr:rowOff>
    </xdr:from>
    <xdr:ext cx="1143000" cy="1143000"/>
    <xdr:pic>
      <xdr:nvPicPr>
        <xdr:cNvPr id="1865" name="9c6d41f1-4ffc-47dc-a9a9-f8cfe07065f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91e48330b594c9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1868</xdr:row>
      <xdr:rowOff>19050</xdr:rowOff>
    </xdr:from>
    <xdr:ext cx="1143000" cy="1143000"/>
    <xdr:pic>
      <xdr:nvPicPr>
        <xdr:cNvPr id="1866" name="cbf25adc-ba98-4eb6-ba41-d8d5c579249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4f878033d5e4ff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1869</xdr:row>
      <xdr:rowOff>19050</xdr:rowOff>
    </xdr:from>
    <xdr:ext cx="1143000" cy="1143000"/>
    <xdr:pic>
      <xdr:nvPicPr>
        <xdr:cNvPr id="1867" name="f4bdb1b6-ac80-49c8-b36a-324b23fac41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0be551e44194fc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1870</xdr:row>
      <xdr:rowOff>19050</xdr:rowOff>
    </xdr:from>
    <xdr:ext cx="1143000" cy="1143000"/>
    <xdr:pic>
      <xdr:nvPicPr>
        <xdr:cNvPr id="1868" name="077feac2-6b0d-46ae-969f-e8ccbeec2b9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4e8fa4413ea4cc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1871</xdr:row>
      <xdr:rowOff>19050</xdr:rowOff>
    </xdr:from>
    <xdr:ext cx="1143000" cy="1143000"/>
    <xdr:pic>
      <xdr:nvPicPr>
        <xdr:cNvPr id="1869" name="eb1ec43a-30e5-4deb-b58a-9f0f5d0c987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621f93b9634475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1872</xdr:row>
      <xdr:rowOff>19050</xdr:rowOff>
    </xdr:from>
    <xdr:ext cx="1143000" cy="1143000"/>
    <xdr:pic>
      <xdr:nvPicPr>
        <xdr:cNvPr id="1870" name="c0caa2a4-7428-42ee-a4e7-bc3e8c709a1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233dc970f00417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1873</xdr:row>
      <xdr:rowOff>19050</xdr:rowOff>
    </xdr:from>
    <xdr:ext cx="1143000" cy="1143000"/>
    <xdr:pic>
      <xdr:nvPicPr>
        <xdr:cNvPr id="1871" name="2220351d-08a8-4b68-88a4-4c9313831f7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b27e9b386e9488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1874</xdr:row>
      <xdr:rowOff>19050</xdr:rowOff>
    </xdr:from>
    <xdr:ext cx="1143000" cy="1143000"/>
    <xdr:pic>
      <xdr:nvPicPr>
        <xdr:cNvPr id="1872" name="a390e901-8cc2-4445-8845-3fb49f1e0b7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90e71ae8e2a446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1875</xdr:row>
      <xdr:rowOff>19050</xdr:rowOff>
    </xdr:from>
    <xdr:ext cx="1143000" cy="1143000"/>
    <xdr:pic>
      <xdr:nvPicPr>
        <xdr:cNvPr id="1873" name="bba7e058-37c6-43ce-9fef-1d5eff8fb7c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5cd8caeafce4a2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1876</xdr:row>
      <xdr:rowOff>19050</xdr:rowOff>
    </xdr:from>
    <xdr:ext cx="1143000" cy="1143000"/>
    <xdr:pic>
      <xdr:nvPicPr>
        <xdr:cNvPr id="1874" name="b536466e-2508-4bed-a329-763aa0db30a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d265543f4fa488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1877</xdr:row>
      <xdr:rowOff>19050</xdr:rowOff>
    </xdr:from>
    <xdr:ext cx="1143000" cy="1143000"/>
    <xdr:pic>
      <xdr:nvPicPr>
        <xdr:cNvPr id="1875" name="d900b6a5-1531-4e6a-ac3e-eb2ef49cb6e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1a1fe6235bb44a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1878</xdr:row>
      <xdr:rowOff>19050</xdr:rowOff>
    </xdr:from>
    <xdr:ext cx="1143000" cy="1143000"/>
    <xdr:pic>
      <xdr:nvPicPr>
        <xdr:cNvPr id="1876" name="4fab103d-22ab-46de-b806-9fdf958ff12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11739ccb2ca409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1879</xdr:row>
      <xdr:rowOff>19050</xdr:rowOff>
    </xdr:from>
    <xdr:ext cx="1143000" cy="1143000"/>
    <xdr:pic>
      <xdr:nvPicPr>
        <xdr:cNvPr id="1877" name="c35aa833-1e8a-4572-a689-5e0ff1f980b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0f3c85a5a6d420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1880</xdr:row>
      <xdr:rowOff>19050</xdr:rowOff>
    </xdr:from>
    <xdr:ext cx="1143000" cy="1143000"/>
    <xdr:pic>
      <xdr:nvPicPr>
        <xdr:cNvPr id="1878" name="d072ec33-dbe6-4a03-bed2-b8a54642a86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22eff6963654b1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1881</xdr:row>
      <xdr:rowOff>19050</xdr:rowOff>
    </xdr:from>
    <xdr:ext cx="1143000" cy="1143000"/>
    <xdr:pic>
      <xdr:nvPicPr>
        <xdr:cNvPr id="1879" name="b5bc0928-905e-4d63-8d6a-2a773f1c78a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7dd01ce80c24a2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1882</xdr:row>
      <xdr:rowOff>19050</xdr:rowOff>
    </xdr:from>
    <xdr:ext cx="1143000" cy="1143000"/>
    <xdr:pic>
      <xdr:nvPicPr>
        <xdr:cNvPr id="1880" name="388ba44b-300c-46e5-8f67-b6bc1a2948c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4ba7baae4a64ca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1883</xdr:row>
      <xdr:rowOff>19050</xdr:rowOff>
    </xdr:from>
    <xdr:ext cx="1143000" cy="1143000"/>
    <xdr:pic>
      <xdr:nvPicPr>
        <xdr:cNvPr id="1881" name="002ce665-8731-444e-a487-b425177c8af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e19a71569c641b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1884</xdr:row>
      <xdr:rowOff>19050</xdr:rowOff>
    </xdr:from>
    <xdr:ext cx="1143000" cy="1143000"/>
    <xdr:pic>
      <xdr:nvPicPr>
        <xdr:cNvPr id="1882" name="1a712bff-12f1-428d-bc98-715576d98aa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268206703da4e9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1885</xdr:row>
      <xdr:rowOff>19050</xdr:rowOff>
    </xdr:from>
    <xdr:ext cx="1143000" cy="1143000"/>
    <xdr:pic>
      <xdr:nvPicPr>
        <xdr:cNvPr id="1883" name="a6625f19-9404-4e0a-a829-eeb4db0a5fb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9e78c5d64c148e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1886</xdr:row>
      <xdr:rowOff>19050</xdr:rowOff>
    </xdr:from>
    <xdr:ext cx="1143000" cy="1143000"/>
    <xdr:pic>
      <xdr:nvPicPr>
        <xdr:cNvPr id="1884" name="45d04704-5305-4f16-9291-ba92e277d5f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04282eeeafd493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1887</xdr:row>
      <xdr:rowOff>19050</xdr:rowOff>
    </xdr:from>
    <xdr:ext cx="1143000" cy="1143000"/>
    <xdr:pic>
      <xdr:nvPicPr>
        <xdr:cNvPr id="1885" name="c50477f6-9b46-4ad1-8334-7f1415feb72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8d64d0e4554457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1888</xdr:row>
      <xdr:rowOff>19050</xdr:rowOff>
    </xdr:from>
    <xdr:ext cx="1143000" cy="1143000"/>
    <xdr:pic>
      <xdr:nvPicPr>
        <xdr:cNvPr id="1886" name="ac7ffe95-b5cc-4d99-ad99-2d3ecda935e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0c1da73779e47d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1889</xdr:row>
      <xdr:rowOff>19050</xdr:rowOff>
    </xdr:from>
    <xdr:ext cx="1143000" cy="1143000"/>
    <xdr:pic>
      <xdr:nvPicPr>
        <xdr:cNvPr id="1887" name="3ab45dde-da27-4b14-b8ef-9ecee67c66c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31523351b304b0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1890</xdr:row>
      <xdr:rowOff>19050</xdr:rowOff>
    </xdr:from>
    <xdr:ext cx="1143000" cy="1143000"/>
    <xdr:pic>
      <xdr:nvPicPr>
        <xdr:cNvPr id="1888" name="2b9a9694-b39f-4475-9bc2-faec4f50f10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07a5cd5609b4f0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1891</xdr:row>
      <xdr:rowOff>19050</xdr:rowOff>
    </xdr:from>
    <xdr:ext cx="1143000" cy="1143000"/>
    <xdr:pic>
      <xdr:nvPicPr>
        <xdr:cNvPr id="1889" name="6e4f0598-1b03-411c-bb07-d5ab5872e6e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c6a1bd599454d9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1892</xdr:row>
      <xdr:rowOff>19050</xdr:rowOff>
    </xdr:from>
    <xdr:ext cx="1143000" cy="1143000"/>
    <xdr:pic>
      <xdr:nvPicPr>
        <xdr:cNvPr id="1890" name="3568e457-0dea-4f9a-8cd2-7e4c8bb04ab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bc9efa5efe14e8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1893</xdr:row>
      <xdr:rowOff>19050</xdr:rowOff>
    </xdr:from>
    <xdr:ext cx="1143000" cy="1143000"/>
    <xdr:pic>
      <xdr:nvPicPr>
        <xdr:cNvPr id="1891" name="84176393-9420-4911-953d-d451e04866d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97265b1dd67442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1894</xdr:row>
      <xdr:rowOff>19050</xdr:rowOff>
    </xdr:from>
    <xdr:ext cx="1143000" cy="1143000"/>
    <xdr:pic>
      <xdr:nvPicPr>
        <xdr:cNvPr id="1892" name="9815d3fe-8ba0-4ccd-af9e-c7ee869b7d7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908db0e823b4de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1895</xdr:row>
      <xdr:rowOff>19050</xdr:rowOff>
    </xdr:from>
    <xdr:ext cx="1143000" cy="1143000"/>
    <xdr:pic>
      <xdr:nvPicPr>
        <xdr:cNvPr id="1893" name="1fdd16f7-b6ed-4b67-b4bb-bf44bacebe6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76ce8009ab5460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1896</xdr:row>
      <xdr:rowOff>19050</xdr:rowOff>
    </xdr:from>
    <xdr:ext cx="1143000" cy="1143000"/>
    <xdr:pic>
      <xdr:nvPicPr>
        <xdr:cNvPr id="1894" name="0953d21c-216d-4e88-927c-f7f93cf82d1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f9ecb2d79c7487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1897</xdr:row>
      <xdr:rowOff>19050</xdr:rowOff>
    </xdr:from>
    <xdr:ext cx="1143000" cy="1143000"/>
    <xdr:pic>
      <xdr:nvPicPr>
        <xdr:cNvPr id="1895" name="bd3d637d-8ac9-48d4-b976-99eaa04b114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4b45461e166436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1898</xdr:row>
      <xdr:rowOff>19050</xdr:rowOff>
    </xdr:from>
    <xdr:ext cx="1143000" cy="1143000"/>
    <xdr:pic>
      <xdr:nvPicPr>
        <xdr:cNvPr id="1896" name="b8b0a8a2-79d9-43c5-82ca-a4d7553b41b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a1a900531f54ee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1899</xdr:row>
      <xdr:rowOff>19050</xdr:rowOff>
    </xdr:from>
    <xdr:ext cx="1143000" cy="1143000"/>
    <xdr:pic>
      <xdr:nvPicPr>
        <xdr:cNvPr id="1897" name="7669acea-b978-4e2a-996c-352197f06c7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743f012bca6496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1900</xdr:row>
      <xdr:rowOff>19050</xdr:rowOff>
    </xdr:from>
    <xdr:ext cx="1143000" cy="1143000"/>
    <xdr:pic>
      <xdr:nvPicPr>
        <xdr:cNvPr id="1898" name="5fc09b89-b4a7-4aa6-8065-0ef3aa1bc86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ac51d1cb540493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1901</xdr:row>
      <xdr:rowOff>19050</xdr:rowOff>
    </xdr:from>
    <xdr:ext cx="1143000" cy="1143000"/>
    <xdr:pic>
      <xdr:nvPicPr>
        <xdr:cNvPr id="1899" name="68e46345-1ac0-439e-aa40-780d0285a35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29870b7a487479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1902</xdr:row>
      <xdr:rowOff>19050</xdr:rowOff>
    </xdr:from>
    <xdr:ext cx="1143000" cy="1143000"/>
    <xdr:pic>
      <xdr:nvPicPr>
        <xdr:cNvPr id="1900" name="27ce4d83-b116-4117-8457-931afdd35cb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72305decd3441a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1903</xdr:row>
      <xdr:rowOff>19050</xdr:rowOff>
    </xdr:from>
    <xdr:ext cx="1143000" cy="1143000"/>
    <xdr:pic>
      <xdr:nvPicPr>
        <xdr:cNvPr id="1901" name="3b9e13fc-fe59-4d80-8508-5353a61ffcb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550bd071a3c424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1904</xdr:row>
      <xdr:rowOff>19050</xdr:rowOff>
    </xdr:from>
    <xdr:ext cx="1143000" cy="1143000"/>
    <xdr:pic>
      <xdr:nvPicPr>
        <xdr:cNvPr id="1902" name="ecdcf202-85d1-4e1e-99cd-f8c2fcc1c67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7e1a7e80e0141e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1905</xdr:row>
      <xdr:rowOff>19050</xdr:rowOff>
    </xdr:from>
    <xdr:ext cx="1143000" cy="1143000"/>
    <xdr:pic>
      <xdr:nvPicPr>
        <xdr:cNvPr id="1903" name="4ee73017-cd03-4df7-8508-cd38044d517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6858bc1e4364ef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1906</xdr:row>
      <xdr:rowOff>19050</xdr:rowOff>
    </xdr:from>
    <xdr:ext cx="1143000" cy="1143000"/>
    <xdr:pic>
      <xdr:nvPicPr>
        <xdr:cNvPr id="1904" name="92be89e7-4f89-49b2-88ff-8a90c4bec61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eb995f971a64cd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1907</xdr:row>
      <xdr:rowOff>19050</xdr:rowOff>
    </xdr:from>
    <xdr:ext cx="1143000" cy="1143000"/>
    <xdr:pic>
      <xdr:nvPicPr>
        <xdr:cNvPr id="1905" name="d63067f0-ec3d-44f5-9afd-9e751028cc0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e90293819bc401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1908</xdr:row>
      <xdr:rowOff>19050</xdr:rowOff>
    </xdr:from>
    <xdr:ext cx="1143000" cy="1143000"/>
    <xdr:pic>
      <xdr:nvPicPr>
        <xdr:cNvPr id="1906" name="5a6fe012-e1c2-405a-90c3-3a01bc6144f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2269e545092404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1909</xdr:row>
      <xdr:rowOff>19050</xdr:rowOff>
    </xdr:from>
    <xdr:ext cx="1143000" cy="1143000"/>
    <xdr:pic>
      <xdr:nvPicPr>
        <xdr:cNvPr id="1907" name="eb0a0fe9-4365-45f0-93d7-471db4ebd24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9152904929c4b6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1910</xdr:row>
      <xdr:rowOff>19050</xdr:rowOff>
    </xdr:from>
    <xdr:ext cx="1143000" cy="1143000"/>
    <xdr:pic>
      <xdr:nvPicPr>
        <xdr:cNvPr id="1908" name="13194c31-9c2e-4334-9a1a-f87ae80d254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a7640b9b96241b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1911</xdr:row>
      <xdr:rowOff>19050</xdr:rowOff>
    </xdr:from>
    <xdr:ext cx="1143000" cy="1143000"/>
    <xdr:pic>
      <xdr:nvPicPr>
        <xdr:cNvPr id="1909" name="13a7f75f-49c5-4cdc-a13a-d4e7d223113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c3024af5a49450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1912</xdr:row>
      <xdr:rowOff>19050</xdr:rowOff>
    </xdr:from>
    <xdr:ext cx="1143000" cy="1143000"/>
    <xdr:pic>
      <xdr:nvPicPr>
        <xdr:cNvPr id="1910" name="9ea750b1-a91d-4fab-ac90-666f23b9d05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31c98aa38324b1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1913</xdr:row>
      <xdr:rowOff>19050</xdr:rowOff>
    </xdr:from>
    <xdr:ext cx="1143000" cy="1143000"/>
    <xdr:pic>
      <xdr:nvPicPr>
        <xdr:cNvPr id="1911" name="1c9bc5e6-cc6c-4945-969a-937fecacc0a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6ad4f121054432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1914</xdr:row>
      <xdr:rowOff>19050</xdr:rowOff>
    </xdr:from>
    <xdr:ext cx="1143000" cy="1143000"/>
    <xdr:pic>
      <xdr:nvPicPr>
        <xdr:cNvPr id="1912" name="7f087efa-68d3-41a7-9a5a-5566aca7b5f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50b214c049646e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1915</xdr:row>
      <xdr:rowOff>19050</xdr:rowOff>
    </xdr:from>
    <xdr:ext cx="1143000" cy="1143000"/>
    <xdr:pic>
      <xdr:nvPicPr>
        <xdr:cNvPr id="1913" name="c1d67c48-95cb-4190-aaa1-6908b01c885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a8f7e3fa500406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1916</xdr:row>
      <xdr:rowOff>19050</xdr:rowOff>
    </xdr:from>
    <xdr:ext cx="1143000" cy="1143000"/>
    <xdr:pic>
      <xdr:nvPicPr>
        <xdr:cNvPr id="1914" name="24bd0a18-fe18-4529-86be-cc3a52e672b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dd55cee4e0647b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1917</xdr:row>
      <xdr:rowOff>19050</xdr:rowOff>
    </xdr:from>
    <xdr:ext cx="1143000" cy="1143000"/>
    <xdr:pic>
      <xdr:nvPicPr>
        <xdr:cNvPr id="1915" name="e2756699-30e1-4831-af7f-6ed04690ca1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c9048042b2640d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1918</xdr:row>
      <xdr:rowOff>19050</xdr:rowOff>
    </xdr:from>
    <xdr:ext cx="1143000" cy="1143000"/>
    <xdr:pic>
      <xdr:nvPicPr>
        <xdr:cNvPr id="1916" name="56c8505d-a9cf-46c9-a676-8896d9a3708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4a3ac26a8214c6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1919</xdr:row>
      <xdr:rowOff>19050</xdr:rowOff>
    </xdr:from>
    <xdr:ext cx="1143000" cy="1143000"/>
    <xdr:pic>
      <xdr:nvPicPr>
        <xdr:cNvPr id="1917" name="6bc2bf49-647e-4985-95e2-14c8cf4b3a5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3888f741f9c4de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1920</xdr:row>
      <xdr:rowOff>19050</xdr:rowOff>
    </xdr:from>
    <xdr:ext cx="1143000" cy="1143000"/>
    <xdr:pic>
      <xdr:nvPicPr>
        <xdr:cNvPr id="1918" name="0a6722a7-b22a-40f2-ab85-8d221bd302a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c7971e192a347c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1921</xdr:row>
      <xdr:rowOff>19050</xdr:rowOff>
    </xdr:from>
    <xdr:ext cx="1143000" cy="1143000"/>
    <xdr:pic>
      <xdr:nvPicPr>
        <xdr:cNvPr id="1919" name="4cfe8706-b267-4de3-937f-b39693ca92d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f7e57bacaf240d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1922</xdr:row>
      <xdr:rowOff>19050</xdr:rowOff>
    </xdr:from>
    <xdr:ext cx="1143000" cy="1143000"/>
    <xdr:pic>
      <xdr:nvPicPr>
        <xdr:cNvPr id="1920" name="b41c41fa-91e7-417c-8463-e5a43825bac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61a2a6aa37b49d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1923</xdr:row>
      <xdr:rowOff>19050</xdr:rowOff>
    </xdr:from>
    <xdr:ext cx="1143000" cy="1143000"/>
    <xdr:pic>
      <xdr:nvPicPr>
        <xdr:cNvPr id="1921" name="3fdc8787-85f0-464d-bf06-8695ee20945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7f5c56bad1b46d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1924</xdr:row>
      <xdr:rowOff>19050</xdr:rowOff>
    </xdr:from>
    <xdr:ext cx="1143000" cy="1143000"/>
    <xdr:pic>
      <xdr:nvPicPr>
        <xdr:cNvPr id="1922" name="2031328f-c1d4-4245-9f7b-9cd85eb5976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24848c94004455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1925</xdr:row>
      <xdr:rowOff>19050</xdr:rowOff>
    </xdr:from>
    <xdr:ext cx="1143000" cy="1143000"/>
    <xdr:pic>
      <xdr:nvPicPr>
        <xdr:cNvPr id="1923" name="ab4be8ed-789b-40f0-80c6-515f96c552c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b7083f31988412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1926</xdr:row>
      <xdr:rowOff>19050</xdr:rowOff>
    </xdr:from>
    <xdr:ext cx="1143000" cy="1143000"/>
    <xdr:pic>
      <xdr:nvPicPr>
        <xdr:cNvPr id="1924" name="19ed10af-d4f7-4337-937d-87aaa44f632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e46f8161c28477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1927</xdr:row>
      <xdr:rowOff>19050</xdr:rowOff>
    </xdr:from>
    <xdr:ext cx="1143000" cy="1143000"/>
    <xdr:pic>
      <xdr:nvPicPr>
        <xdr:cNvPr id="1925" name="4117c873-164a-45db-837c-94b7a306da1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bed8c511f8147c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1928</xdr:row>
      <xdr:rowOff>19050</xdr:rowOff>
    </xdr:from>
    <xdr:ext cx="1143000" cy="1143000"/>
    <xdr:pic>
      <xdr:nvPicPr>
        <xdr:cNvPr id="1926" name="e75a15c8-fa01-472c-a755-2e71d8ff2e8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eff53dcb2ce440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1929</xdr:row>
      <xdr:rowOff>19050</xdr:rowOff>
    </xdr:from>
    <xdr:ext cx="1143000" cy="1143000"/>
    <xdr:pic>
      <xdr:nvPicPr>
        <xdr:cNvPr id="1927" name="292a9773-18bb-4a30-9254-8d6ebccda58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8d9ae4b9980428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1930</xdr:row>
      <xdr:rowOff>19050</xdr:rowOff>
    </xdr:from>
    <xdr:ext cx="1143000" cy="1143000"/>
    <xdr:pic>
      <xdr:nvPicPr>
        <xdr:cNvPr id="1928" name="38726e15-a3a0-41fa-be71-65f67df4475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7c51bd108a64a7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1931</xdr:row>
      <xdr:rowOff>19050</xdr:rowOff>
    </xdr:from>
    <xdr:ext cx="1143000" cy="1143000"/>
    <xdr:pic>
      <xdr:nvPicPr>
        <xdr:cNvPr id="1929" name="a4c309f8-9327-48ed-bec5-b033ec367e5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8ebaad9fce24ad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1932</xdr:row>
      <xdr:rowOff>19050</xdr:rowOff>
    </xdr:from>
    <xdr:ext cx="1143000" cy="1143000"/>
    <xdr:pic>
      <xdr:nvPicPr>
        <xdr:cNvPr id="1930" name="e602172f-6ee6-479b-a652-45af1a18aa7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0a98753f34f4dd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1933</xdr:row>
      <xdr:rowOff>19050</xdr:rowOff>
    </xdr:from>
    <xdr:ext cx="1143000" cy="1143000"/>
    <xdr:pic>
      <xdr:nvPicPr>
        <xdr:cNvPr id="1931" name="ca4e911c-396a-45fe-85ca-62842454f61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e82d69e83e8409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1934</xdr:row>
      <xdr:rowOff>19050</xdr:rowOff>
    </xdr:from>
    <xdr:ext cx="1143000" cy="1143000"/>
    <xdr:pic>
      <xdr:nvPicPr>
        <xdr:cNvPr id="1932" name="1f55feb0-af60-4cd6-a670-ea503b0eee6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8084c7961ed49c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1935</xdr:row>
      <xdr:rowOff>19050</xdr:rowOff>
    </xdr:from>
    <xdr:ext cx="1143000" cy="1143000"/>
    <xdr:pic>
      <xdr:nvPicPr>
        <xdr:cNvPr id="1933" name="0d4d3f2f-61d4-44d6-855a-e7fb031d54e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5f86e1c5fe0488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1936</xdr:row>
      <xdr:rowOff>19050</xdr:rowOff>
    </xdr:from>
    <xdr:ext cx="1143000" cy="1143000"/>
    <xdr:pic>
      <xdr:nvPicPr>
        <xdr:cNvPr id="1934" name="718cbf2a-4ced-46c8-865c-ea412de07b3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25d30dc484a4ad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1937</xdr:row>
      <xdr:rowOff>19050</xdr:rowOff>
    </xdr:from>
    <xdr:ext cx="1143000" cy="1143000"/>
    <xdr:pic>
      <xdr:nvPicPr>
        <xdr:cNvPr id="1935" name="331837c6-38e1-4e67-ae58-ed8109ba512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5917b0314584ee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1938</xdr:row>
      <xdr:rowOff>19050</xdr:rowOff>
    </xdr:from>
    <xdr:ext cx="1143000" cy="1143000"/>
    <xdr:pic>
      <xdr:nvPicPr>
        <xdr:cNvPr id="1936" name="c27749f4-69ea-431f-a4fe-6ca9756f3de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e7449bf55744cc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1939</xdr:row>
      <xdr:rowOff>19050</xdr:rowOff>
    </xdr:from>
    <xdr:ext cx="1143000" cy="1143000"/>
    <xdr:pic>
      <xdr:nvPicPr>
        <xdr:cNvPr id="1937" name="eebd2969-3bc7-42d1-8e23-d286f9a2362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cf53ad425ad46a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1940</xdr:row>
      <xdr:rowOff>19050</xdr:rowOff>
    </xdr:from>
    <xdr:ext cx="1143000" cy="1143000"/>
    <xdr:pic>
      <xdr:nvPicPr>
        <xdr:cNvPr id="1938" name="e55e0fbb-b6e8-4851-88c2-6c4ce7886b6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f1a28554953452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1941</xdr:row>
      <xdr:rowOff>19050</xdr:rowOff>
    </xdr:from>
    <xdr:ext cx="1143000" cy="1143000"/>
    <xdr:pic>
      <xdr:nvPicPr>
        <xdr:cNvPr id="1939" name="35799792-dbd1-447a-9957-104dda57160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37a2eec34ab4b2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1942</xdr:row>
      <xdr:rowOff>19050</xdr:rowOff>
    </xdr:from>
    <xdr:ext cx="1143000" cy="1143000"/>
    <xdr:pic>
      <xdr:nvPicPr>
        <xdr:cNvPr id="1940" name="629029ac-b5ec-41d6-a0bd-f414494ea4e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e78dcc31fbd453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1943</xdr:row>
      <xdr:rowOff>19050</xdr:rowOff>
    </xdr:from>
    <xdr:ext cx="1143000" cy="1143000"/>
    <xdr:pic>
      <xdr:nvPicPr>
        <xdr:cNvPr id="1941" name="6d8a3027-9068-434d-948b-49a378e29b4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96ee9cf20ff402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1944</xdr:row>
      <xdr:rowOff>19050</xdr:rowOff>
    </xdr:from>
    <xdr:ext cx="1143000" cy="1143000"/>
    <xdr:pic>
      <xdr:nvPicPr>
        <xdr:cNvPr id="1942" name="5f0c991b-3426-4a1d-8f64-3f28feaf58c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72d886efc9241d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1945</xdr:row>
      <xdr:rowOff>19050</xdr:rowOff>
    </xdr:from>
    <xdr:ext cx="1143000" cy="1143000"/>
    <xdr:pic>
      <xdr:nvPicPr>
        <xdr:cNvPr id="1943" name="8b1305c5-26a4-4b2b-8a9f-a6f5222a544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ef614f00e024a2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1946</xdr:row>
      <xdr:rowOff>19050</xdr:rowOff>
    </xdr:from>
    <xdr:ext cx="1143000" cy="1143000"/>
    <xdr:pic>
      <xdr:nvPicPr>
        <xdr:cNvPr id="1944" name="011edff8-148e-4232-a8eb-5d2f308e73d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142cbe7c5ca4f3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1947</xdr:row>
      <xdr:rowOff>19050</xdr:rowOff>
    </xdr:from>
    <xdr:ext cx="1143000" cy="1143000"/>
    <xdr:pic>
      <xdr:nvPicPr>
        <xdr:cNvPr id="1945" name="b2c0d0ef-1b49-46e3-bc6d-ed3e97a502e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c9c9835cd9d499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1948</xdr:row>
      <xdr:rowOff>19050</xdr:rowOff>
    </xdr:from>
    <xdr:ext cx="1143000" cy="1143000"/>
    <xdr:pic>
      <xdr:nvPicPr>
        <xdr:cNvPr id="1946" name="a4ed545f-ee78-485a-9858-2c18d5c8000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45836e7e330460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1949</xdr:row>
      <xdr:rowOff>19050</xdr:rowOff>
    </xdr:from>
    <xdr:ext cx="1143000" cy="1143000"/>
    <xdr:pic>
      <xdr:nvPicPr>
        <xdr:cNvPr id="1947" name="e7749057-e8f1-418e-9b10-b62a126d009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852c4c2545e49e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1950</xdr:row>
      <xdr:rowOff>19050</xdr:rowOff>
    </xdr:from>
    <xdr:ext cx="1143000" cy="1143000"/>
    <xdr:pic>
      <xdr:nvPicPr>
        <xdr:cNvPr id="1948" name="28bbc683-9c61-4a8f-bd3d-28bf6062c55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3478286a02a4a5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1951</xdr:row>
      <xdr:rowOff>19050</xdr:rowOff>
    </xdr:from>
    <xdr:ext cx="1143000" cy="1143000"/>
    <xdr:pic>
      <xdr:nvPicPr>
        <xdr:cNvPr id="1949" name="a19f0e9b-7390-4af0-828f-5a1f1470590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302385beaeb4f6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1952</xdr:row>
      <xdr:rowOff>19050</xdr:rowOff>
    </xdr:from>
    <xdr:ext cx="1143000" cy="1143000"/>
    <xdr:pic>
      <xdr:nvPicPr>
        <xdr:cNvPr id="1950" name="77cc77c5-785e-4fe9-9585-35d6d0b6e85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8145ceb3cef4e7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1953</xdr:row>
      <xdr:rowOff>19050</xdr:rowOff>
    </xdr:from>
    <xdr:ext cx="1143000" cy="1143000"/>
    <xdr:pic>
      <xdr:nvPicPr>
        <xdr:cNvPr id="1951" name="6898f0d1-9652-47e4-b35e-f31dcfd1be7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2e7bd47fd9e456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1954</xdr:row>
      <xdr:rowOff>19050</xdr:rowOff>
    </xdr:from>
    <xdr:ext cx="1143000" cy="1143000"/>
    <xdr:pic>
      <xdr:nvPicPr>
        <xdr:cNvPr id="1952" name="c121565f-cb53-474a-b591-a1cfc56df04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494200349e94f5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1955</xdr:row>
      <xdr:rowOff>19050</xdr:rowOff>
    </xdr:from>
    <xdr:ext cx="1143000" cy="1143000"/>
    <xdr:pic>
      <xdr:nvPicPr>
        <xdr:cNvPr id="1953" name="352e67b7-2a21-4a87-9f57-5938388f4fe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c07ac6830ed469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1956</xdr:row>
      <xdr:rowOff>19050</xdr:rowOff>
    </xdr:from>
    <xdr:ext cx="1143000" cy="1143000"/>
    <xdr:pic>
      <xdr:nvPicPr>
        <xdr:cNvPr id="1954" name="bf7a79d2-8ca7-4d52-a7ad-ae29a6e97dd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7804b520a52440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1957</xdr:row>
      <xdr:rowOff>19050</xdr:rowOff>
    </xdr:from>
    <xdr:ext cx="1143000" cy="1143000"/>
    <xdr:pic>
      <xdr:nvPicPr>
        <xdr:cNvPr id="1955" name="bf8647bb-ddb0-42b8-93f5-705e8e8a382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aeb701ddd0544e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1958</xdr:row>
      <xdr:rowOff>19050</xdr:rowOff>
    </xdr:from>
    <xdr:ext cx="1143000" cy="1143000"/>
    <xdr:pic>
      <xdr:nvPicPr>
        <xdr:cNvPr id="1956" name="59e7172f-9b4c-4f8e-8837-8ef9b92cc5d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3d4b99d3bad49c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1959</xdr:row>
      <xdr:rowOff>19050</xdr:rowOff>
    </xdr:from>
    <xdr:ext cx="1143000" cy="1143000"/>
    <xdr:pic>
      <xdr:nvPicPr>
        <xdr:cNvPr id="1957" name="57a33f92-7858-4c90-bd5f-626e79ca0f0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3de345540814ed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1960</xdr:row>
      <xdr:rowOff>19050</xdr:rowOff>
    </xdr:from>
    <xdr:ext cx="1143000" cy="1143000"/>
    <xdr:pic>
      <xdr:nvPicPr>
        <xdr:cNvPr id="1958" name="42c9b2a8-ceae-4a99-8cd9-5a7ffda387b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d94b57edf6b419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1961</xdr:row>
      <xdr:rowOff>19050</xdr:rowOff>
    </xdr:from>
    <xdr:ext cx="1143000" cy="1143000"/>
    <xdr:pic>
      <xdr:nvPicPr>
        <xdr:cNvPr id="1959" name="4de26a33-9333-45a8-80bc-4b6ef93703e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b284513e364440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1962</xdr:row>
      <xdr:rowOff>19050</xdr:rowOff>
    </xdr:from>
    <xdr:ext cx="1143000" cy="1143000"/>
    <xdr:pic>
      <xdr:nvPicPr>
        <xdr:cNvPr id="1960" name="8bc6a496-daef-4840-9aa3-74cc73e0085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093fcc3f6a24e9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1963</xdr:row>
      <xdr:rowOff>19050</xdr:rowOff>
    </xdr:from>
    <xdr:ext cx="1143000" cy="1143000"/>
    <xdr:pic>
      <xdr:nvPicPr>
        <xdr:cNvPr id="1961" name="cbebb9f4-1ce4-49c8-ae77-f0e9cc7ef9b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c83b1d708c747d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1964</xdr:row>
      <xdr:rowOff>19050</xdr:rowOff>
    </xdr:from>
    <xdr:ext cx="1143000" cy="1143000"/>
    <xdr:pic>
      <xdr:nvPicPr>
        <xdr:cNvPr id="1962" name="212710fc-2857-449f-9ee6-dedf5f57d09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809de735a004ef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1965</xdr:row>
      <xdr:rowOff>19050</xdr:rowOff>
    </xdr:from>
    <xdr:ext cx="1143000" cy="1143000"/>
    <xdr:pic>
      <xdr:nvPicPr>
        <xdr:cNvPr id="1963" name="a8a0b2f4-6896-4514-b229-78695718705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a892d14640b477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1966</xdr:row>
      <xdr:rowOff>19050</xdr:rowOff>
    </xdr:from>
    <xdr:ext cx="1143000" cy="1143000"/>
    <xdr:pic>
      <xdr:nvPicPr>
        <xdr:cNvPr id="1964" name="cc2b59e4-4ade-4921-bb63-60e01a65da2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51f5220b17e45b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1967</xdr:row>
      <xdr:rowOff>19050</xdr:rowOff>
    </xdr:from>
    <xdr:ext cx="1143000" cy="1143000"/>
    <xdr:pic>
      <xdr:nvPicPr>
        <xdr:cNvPr id="1965" name="f52a4ed1-42fe-4107-bc21-5babc931960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a9197a8e6cc469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1968</xdr:row>
      <xdr:rowOff>19050</xdr:rowOff>
    </xdr:from>
    <xdr:ext cx="1143000" cy="1143000"/>
    <xdr:pic>
      <xdr:nvPicPr>
        <xdr:cNvPr id="1966" name="df3dbc66-74aa-41dd-9f54-1f6c77aac5d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90d0fbbb5f745d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1969</xdr:row>
      <xdr:rowOff>19050</xdr:rowOff>
    </xdr:from>
    <xdr:ext cx="1143000" cy="1143000"/>
    <xdr:pic>
      <xdr:nvPicPr>
        <xdr:cNvPr id="1967" name="f6e92c2f-6a38-4089-988a-34cf08faa93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718fca1e6fe42b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1970</xdr:row>
      <xdr:rowOff>19050</xdr:rowOff>
    </xdr:from>
    <xdr:ext cx="1143000" cy="1143000"/>
    <xdr:pic>
      <xdr:nvPicPr>
        <xdr:cNvPr id="1968" name="8f847b4a-6520-48b1-a459-8641fbdb1f5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c6d5214fdd54b2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1971</xdr:row>
      <xdr:rowOff>19050</xdr:rowOff>
    </xdr:from>
    <xdr:ext cx="1143000" cy="1143000"/>
    <xdr:pic>
      <xdr:nvPicPr>
        <xdr:cNvPr id="1969" name="4251dfe8-205a-4cc5-aced-a4e84a44f3d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6cdeb59190348b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1972</xdr:row>
      <xdr:rowOff>19050</xdr:rowOff>
    </xdr:from>
    <xdr:ext cx="1143000" cy="1143000"/>
    <xdr:pic>
      <xdr:nvPicPr>
        <xdr:cNvPr id="1970" name="3f85a4e9-1537-41a1-b4c5-59bd0678beb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be8be8e7480495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1973</xdr:row>
      <xdr:rowOff>19050</xdr:rowOff>
    </xdr:from>
    <xdr:ext cx="1143000" cy="1143000"/>
    <xdr:pic>
      <xdr:nvPicPr>
        <xdr:cNvPr id="1971" name="c5077c2c-314a-4a5b-ad29-f03c6357140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2a0c442d0434cd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1974</xdr:row>
      <xdr:rowOff>19050</xdr:rowOff>
    </xdr:from>
    <xdr:ext cx="1143000" cy="1143000"/>
    <xdr:pic>
      <xdr:nvPicPr>
        <xdr:cNvPr id="1972" name="c9d06d0b-5b7a-4195-b9bf-5059f0939ae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1506ae9bc9a429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1975</xdr:row>
      <xdr:rowOff>19050</xdr:rowOff>
    </xdr:from>
    <xdr:ext cx="1143000" cy="1143000"/>
    <xdr:pic>
      <xdr:nvPicPr>
        <xdr:cNvPr id="1973" name="5c736be1-9149-4be7-9eaa-40d959627e3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ad8e0a5f8a349f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1976</xdr:row>
      <xdr:rowOff>19050</xdr:rowOff>
    </xdr:from>
    <xdr:ext cx="1143000" cy="1143000"/>
    <xdr:pic>
      <xdr:nvPicPr>
        <xdr:cNvPr id="1974" name="c70639b2-6b10-4ce0-80e8-76314339bcb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b35e5c61790441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1977</xdr:row>
      <xdr:rowOff>19050</xdr:rowOff>
    </xdr:from>
    <xdr:ext cx="1143000" cy="1143000"/>
    <xdr:pic>
      <xdr:nvPicPr>
        <xdr:cNvPr id="1975" name="94b79682-4b2c-4ca1-9544-3dc58d233a1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fba59c9a143475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1978</xdr:row>
      <xdr:rowOff>19050</xdr:rowOff>
    </xdr:from>
    <xdr:ext cx="1143000" cy="1143000"/>
    <xdr:pic>
      <xdr:nvPicPr>
        <xdr:cNvPr id="1976" name="9583778a-f9ed-4201-b29f-91043fb12b2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a40c2c7c5c94ae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1979</xdr:row>
      <xdr:rowOff>19050</xdr:rowOff>
    </xdr:from>
    <xdr:ext cx="1143000" cy="1143000"/>
    <xdr:pic>
      <xdr:nvPicPr>
        <xdr:cNvPr id="1977" name="21556a3e-a02b-45a6-8b2c-70fcfdb2716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bd98540aa65487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1980</xdr:row>
      <xdr:rowOff>19050</xdr:rowOff>
    </xdr:from>
    <xdr:ext cx="1143000" cy="1143000"/>
    <xdr:pic>
      <xdr:nvPicPr>
        <xdr:cNvPr id="1978" name="39083811-2ac3-4970-8465-f50c3bc8ff8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fe05515eaf745e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1981</xdr:row>
      <xdr:rowOff>19050</xdr:rowOff>
    </xdr:from>
    <xdr:ext cx="1143000" cy="1143000"/>
    <xdr:pic>
      <xdr:nvPicPr>
        <xdr:cNvPr id="1979" name="0516ad60-bffe-4bfb-80b1-f68a2914460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746459f3f25431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1982</xdr:row>
      <xdr:rowOff>19050</xdr:rowOff>
    </xdr:from>
    <xdr:ext cx="1143000" cy="1143000"/>
    <xdr:pic>
      <xdr:nvPicPr>
        <xdr:cNvPr id="1980" name="9c40b6c4-931f-401b-823c-5a3f8c90f29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199c9fe989c4f4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1983</xdr:row>
      <xdr:rowOff>19050</xdr:rowOff>
    </xdr:from>
    <xdr:ext cx="1143000" cy="1143000"/>
    <xdr:pic>
      <xdr:nvPicPr>
        <xdr:cNvPr id="1981" name="657fb4e8-5b35-49b0-8e07-47606c11f9d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046a40ff241423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1984</xdr:row>
      <xdr:rowOff>19050</xdr:rowOff>
    </xdr:from>
    <xdr:ext cx="1143000" cy="1143000"/>
    <xdr:pic>
      <xdr:nvPicPr>
        <xdr:cNvPr id="1982" name="f1e865f2-a878-4451-82a1-0c3a59beaab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058e17768854cc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1985</xdr:row>
      <xdr:rowOff>19050</xdr:rowOff>
    </xdr:from>
    <xdr:ext cx="1143000" cy="1143000"/>
    <xdr:pic>
      <xdr:nvPicPr>
        <xdr:cNvPr id="1983" name="0bd653db-2ad0-4ae0-a8d8-8bd1ea158a3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79806a1fbcf4d6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1986</xdr:row>
      <xdr:rowOff>19050</xdr:rowOff>
    </xdr:from>
    <xdr:ext cx="1143000" cy="1143000"/>
    <xdr:pic>
      <xdr:nvPicPr>
        <xdr:cNvPr id="1984" name="59fde1de-da9a-41de-80b5-7bcc825dd2a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a5af485ed40478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1987</xdr:row>
      <xdr:rowOff>19050</xdr:rowOff>
    </xdr:from>
    <xdr:ext cx="1143000" cy="1143000"/>
    <xdr:pic>
      <xdr:nvPicPr>
        <xdr:cNvPr id="1985" name="36434182-ed47-4b75-9c4d-95398aacb1a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e89ad3add30425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1988</xdr:row>
      <xdr:rowOff>19050</xdr:rowOff>
    </xdr:from>
    <xdr:ext cx="1143000" cy="1143000"/>
    <xdr:pic>
      <xdr:nvPicPr>
        <xdr:cNvPr id="1986" name="98feff33-8a96-4878-830c-18939ddd6a1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8a89fc902264eb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1989</xdr:row>
      <xdr:rowOff>19050</xdr:rowOff>
    </xdr:from>
    <xdr:ext cx="1143000" cy="1143000"/>
    <xdr:pic>
      <xdr:nvPicPr>
        <xdr:cNvPr id="1987" name="42084a5c-deb2-4ddf-b6ac-13d51611afb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f90285759044eb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1990</xdr:row>
      <xdr:rowOff>19050</xdr:rowOff>
    </xdr:from>
    <xdr:ext cx="1143000" cy="1143000"/>
    <xdr:pic>
      <xdr:nvPicPr>
        <xdr:cNvPr id="1988" name="8eaa7ae4-112e-407f-b150-36ad38db6e5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42a32b0ae654ac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1991</xdr:row>
      <xdr:rowOff>19050</xdr:rowOff>
    </xdr:from>
    <xdr:ext cx="1143000" cy="1143000"/>
    <xdr:pic>
      <xdr:nvPicPr>
        <xdr:cNvPr id="1989" name="c7e6a48b-ee23-4fc3-993a-230014526e1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81638be0b0440f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1992</xdr:row>
      <xdr:rowOff>19050</xdr:rowOff>
    </xdr:from>
    <xdr:ext cx="1143000" cy="1143000"/>
    <xdr:pic>
      <xdr:nvPicPr>
        <xdr:cNvPr id="1990" name="09824a0d-9351-4ef9-a730-d8dc2905151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830e55d872648f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1993</xdr:row>
      <xdr:rowOff>19050</xdr:rowOff>
    </xdr:from>
    <xdr:ext cx="1143000" cy="1143000"/>
    <xdr:pic>
      <xdr:nvPicPr>
        <xdr:cNvPr id="1991" name="be133c1a-d385-4fb8-a16c-a80f67ab900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2c510df4bac42c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1994</xdr:row>
      <xdr:rowOff>19050</xdr:rowOff>
    </xdr:from>
    <xdr:ext cx="1143000" cy="1143000"/>
    <xdr:pic>
      <xdr:nvPicPr>
        <xdr:cNvPr id="1992" name="d0cfe1cd-cd23-4e3c-bce0-3cb7b737436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cfce19799954c0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1995</xdr:row>
      <xdr:rowOff>19050</xdr:rowOff>
    </xdr:from>
    <xdr:ext cx="1143000" cy="1143000"/>
    <xdr:pic>
      <xdr:nvPicPr>
        <xdr:cNvPr id="1993" name="4804f511-5ac6-47ea-a2d8-2a136b5a90c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c8f5ea221464b4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1996</xdr:row>
      <xdr:rowOff>19050</xdr:rowOff>
    </xdr:from>
    <xdr:ext cx="1143000" cy="1143000"/>
    <xdr:pic>
      <xdr:nvPicPr>
        <xdr:cNvPr id="1994" name="fc8c4ddb-e54e-42d5-a0cc-6a11344fcff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6797ac07720499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1997</xdr:row>
      <xdr:rowOff>19050</xdr:rowOff>
    </xdr:from>
    <xdr:ext cx="1143000" cy="1143000"/>
    <xdr:pic>
      <xdr:nvPicPr>
        <xdr:cNvPr id="1995" name="c2979330-c555-4636-9856-4871b8245e9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f5b0789dc3a450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1998</xdr:row>
      <xdr:rowOff>19050</xdr:rowOff>
    </xdr:from>
    <xdr:ext cx="1143000" cy="1143000"/>
    <xdr:pic>
      <xdr:nvPicPr>
        <xdr:cNvPr id="1996" name="451e8ffb-f931-449a-89d9-6e17f6cfcd9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ec8822ce3f145c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1999</xdr:row>
      <xdr:rowOff>19050</xdr:rowOff>
    </xdr:from>
    <xdr:ext cx="1143000" cy="1143000"/>
    <xdr:pic>
      <xdr:nvPicPr>
        <xdr:cNvPr id="1997" name="b16adb90-2e4c-4112-93db-a8af3dfbae9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da9798afbb44a8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2000</xdr:row>
      <xdr:rowOff>19050</xdr:rowOff>
    </xdr:from>
    <xdr:ext cx="1143000" cy="1143000"/>
    <xdr:pic>
      <xdr:nvPicPr>
        <xdr:cNvPr id="1998" name="e415aabb-5432-4d15-b332-58b74975a81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92c1a55e6dd44e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2001</xdr:row>
      <xdr:rowOff>19050</xdr:rowOff>
    </xdr:from>
    <xdr:ext cx="1143000" cy="1143000"/>
    <xdr:pic>
      <xdr:nvPicPr>
        <xdr:cNvPr id="1999" name="5e577657-6c83-419f-a993-33474be459e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f563bdb1d2b424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2002</xdr:row>
      <xdr:rowOff>19050</xdr:rowOff>
    </xdr:from>
    <xdr:ext cx="1143000" cy="1143000"/>
    <xdr:pic>
      <xdr:nvPicPr>
        <xdr:cNvPr id="2000" name="5b462abc-ae19-45cf-9b21-c9891511416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e6a37a0d9bd43d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2003</xdr:row>
      <xdr:rowOff>19050</xdr:rowOff>
    </xdr:from>
    <xdr:ext cx="1143000" cy="1143000"/>
    <xdr:pic>
      <xdr:nvPicPr>
        <xdr:cNvPr id="2001" name="a5667afc-ae65-471c-8a67-faab6010d36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2769303fa354b2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2004</xdr:row>
      <xdr:rowOff>19050</xdr:rowOff>
    </xdr:from>
    <xdr:ext cx="1143000" cy="1143000"/>
    <xdr:pic>
      <xdr:nvPicPr>
        <xdr:cNvPr id="2002" name="5379042b-0c29-4044-9053-49462be9b05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451b86908124c1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2005</xdr:row>
      <xdr:rowOff>19050</xdr:rowOff>
    </xdr:from>
    <xdr:ext cx="1143000" cy="1143000"/>
    <xdr:pic>
      <xdr:nvPicPr>
        <xdr:cNvPr id="2003" name="706abdcf-a1f0-4d0a-b7ec-b804e6ec1fd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e5184316ccb4a5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2006</xdr:row>
      <xdr:rowOff>19050</xdr:rowOff>
    </xdr:from>
    <xdr:ext cx="1143000" cy="1143000"/>
    <xdr:pic>
      <xdr:nvPicPr>
        <xdr:cNvPr id="2004" name="60da9d53-7d84-40b1-9f21-2e615e87623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3152ecd9b1c4ea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2007</xdr:row>
      <xdr:rowOff>19050</xdr:rowOff>
    </xdr:from>
    <xdr:ext cx="1143000" cy="1143000"/>
    <xdr:pic>
      <xdr:nvPicPr>
        <xdr:cNvPr id="2005" name="f3858c18-18ec-4788-81e4-d5a31d21200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13e699cd0314d1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2008</xdr:row>
      <xdr:rowOff>19050</xdr:rowOff>
    </xdr:from>
    <xdr:ext cx="1143000" cy="1143000"/>
    <xdr:pic>
      <xdr:nvPicPr>
        <xdr:cNvPr id="2006" name="e0a7546e-7973-477d-9b7f-5abe28fe085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7f82d445109420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2009</xdr:row>
      <xdr:rowOff>19050</xdr:rowOff>
    </xdr:from>
    <xdr:ext cx="1143000" cy="1143000"/>
    <xdr:pic>
      <xdr:nvPicPr>
        <xdr:cNvPr id="2007" name="ee3e05ed-544c-4948-8002-25713c5d22d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4f58dd5b32d4b2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2010</xdr:row>
      <xdr:rowOff>19050</xdr:rowOff>
    </xdr:from>
    <xdr:ext cx="1143000" cy="1143000"/>
    <xdr:pic>
      <xdr:nvPicPr>
        <xdr:cNvPr id="2008" name="71040f9c-4e53-4481-b94b-de94a743726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3b96266d74a4bf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2011</xdr:row>
      <xdr:rowOff>19050</xdr:rowOff>
    </xdr:from>
    <xdr:ext cx="1143000" cy="1143000"/>
    <xdr:pic>
      <xdr:nvPicPr>
        <xdr:cNvPr id="2009" name="2e4250da-002f-4035-b205-cd704c8885f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8cd187aa6294d6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2012</xdr:row>
      <xdr:rowOff>19050</xdr:rowOff>
    </xdr:from>
    <xdr:ext cx="1143000" cy="1143000"/>
    <xdr:pic>
      <xdr:nvPicPr>
        <xdr:cNvPr id="2010" name="c394303e-e277-4021-84d3-b10f92b1e70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8d31d1853284b6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2013</xdr:row>
      <xdr:rowOff>19050</xdr:rowOff>
    </xdr:from>
    <xdr:ext cx="1143000" cy="1143000"/>
    <xdr:pic>
      <xdr:nvPicPr>
        <xdr:cNvPr id="2011" name="bdc313c7-19a3-4b8e-b2c5-7f853379718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d65a2b17e584d7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2014</xdr:row>
      <xdr:rowOff>19050</xdr:rowOff>
    </xdr:from>
    <xdr:ext cx="1143000" cy="1143000"/>
    <xdr:pic>
      <xdr:nvPicPr>
        <xdr:cNvPr id="2012" name="becd7464-a6af-4af4-ab4e-afbe9cb89ae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8a997910a024a1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2015</xdr:row>
      <xdr:rowOff>19050</xdr:rowOff>
    </xdr:from>
    <xdr:ext cx="1143000" cy="1143000"/>
    <xdr:pic>
      <xdr:nvPicPr>
        <xdr:cNvPr id="2013" name="1aacfd8e-5ea3-4a86-b793-cbbd0795de7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164cc56aa40410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2016</xdr:row>
      <xdr:rowOff>19050</xdr:rowOff>
    </xdr:from>
    <xdr:ext cx="1143000" cy="1143000"/>
    <xdr:pic>
      <xdr:nvPicPr>
        <xdr:cNvPr id="2014" name="9c1b488d-272c-4e0a-b82a-46e7d243088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526f696581c485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2017</xdr:row>
      <xdr:rowOff>19050</xdr:rowOff>
    </xdr:from>
    <xdr:ext cx="1143000" cy="1143000"/>
    <xdr:pic>
      <xdr:nvPicPr>
        <xdr:cNvPr id="2015" name="98fa9fe0-eaa5-40b3-9054-ce04d268b91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783d486c99e460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2018</xdr:row>
      <xdr:rowOff>19050</xdr:rowOff>
    </xdr:from>
    <xdr:ext cx="1143000" cy="1143000"/>
    <xdr:pic>
      <xdr:nvPicPr>
        <xdr:cNvPr id="2016" name="02dc0131-389c-4078-8807-0fee340bfd7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959c14edb274b3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2019</xdr:row>
      <xdr:rowOff>19050</xdr:rowOff>
    </xdr:from>
    <xdr:ext cx="1143000" cy="1143000"/>
    <xdr:pic>
      <xdr:nvPicPr>
        <xdr:cNvPr id="2017" name="1f2437d5-67da-4e43-8bd7-d6c9c56861e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af97cd06ce643b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2020</xdr:row>
      <xdr:rowOff>19050</xdr:rowOff>
    </xdr:from>
    <xdr:ext cx="1143000" cy="1143000"/>
    <xdr:pic>
      <xdr:nvPicPr>
        <xdr:cNvPr id="2018" name="22c4b41f-9f70-4c8b-8dd1-bc4110ac451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4377712af60464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2021</xdr:row>
      <xdr:rowOff>19050</xdr:rowOff>
    </xdr:from>
    <xdr:ext cx="1143000" cy="1143000"/>
    <xdr:pic>
      <xdr:nvPicPr>
        <xdr:cNvPr id="2019" name="78364c73-e089-427d-9268-8b9b00aac46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26e284dd93e4b0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2022</xdr:row>
      <xdr:rowOff>19050</xdr:rowOff>
    </xdr:from>
    <xdr:ext cx="1143000" cy="1143000"/>
    <xdr:pic>
      <xdr:nvPicPr>
        <xdr:cNvPr id="2020" name="7a06f2a0-7212-4474-9ccf-b9ee8ff04e8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bc4bcd5e4d343c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2023</xdr:row>
      <xdr:rowOff>19050</xdr:rowOff>
    </xdr:from>
    <xdr:ext cx="1143000" cy="1143000"/>
    <xdr:pic>
      <xdr:nvPicPr>
        <xdr:cNvPr id="2021" name="a18a61e9-df73-41b8-b9ee-02f9538b971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2a7195f1e1e4a8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2024</xdr:row>
      <xdr:rowOff>19050</xdr:rowOff>
    </xdr:from>
    <xdr:ext cx="1143000" cy="1143000"/>
    <xdr:pic>
      <xdr:nvPicPr>
        <xdr:cNvPr id="2022" name="94f5ac41-0fcf-449c-8da2-b2917204774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ae3b18f2e99455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2025</xdr:row>
      <xdr:rowOff>19050</xdr:rowOff>
    </xdr:from>
    <xdr:ext cx="1143000" cy="1143000"/>
    <xdr:pic>
      <xdr:nvPicPr>
        <xdr:cNvPr id="2023" name="4ed38a20-9db7-411b-997b-3982293e013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d0133862b22435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2026</xdr:row>
      <xdr:rowOff>19050</xdr:rowOff>
    </xdr:from>
    <xdr:ext cx="1143000" cy="1143000"/>
    <xdr:pic>
      <xdr:nvPicPr>
        <xdr:cNvPr id="2024" name="0577ea09-c5ac-4131-b3bf-877280d5054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9be9113e8ac4b9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2027</xdr:row>
      <xdr:rowOff>19050</xdr:rowOff>
    </xdr:from>
    <xdr:ext cx="1143000" cy="1143000"/>
    <xdr:pic>
      <xdr:nvPicPr>
        <xdr:cNvPr id="2025" name="472d812b-7133-46c7-8cda-c06ded56577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3554cf4bcc2449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2028</xdr:row>
      <xdr:rowOff>19050</xdr:rowOff>
    </xdr:from>
    <xdr:ext cx="1143000" cy="1143000"/>
    <xdr:pic>
      <xdr:nvPicPr>
        <xdr:cNvPr id="2026" name="30a0f227-bc82-4230-81e9-72c08ea2f41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5ea15bb531d41e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2029</xdr:row>
      <xdr:rowOff>19050</xdr:rowOff>
    </xdr:from>
    <xdr:ext cx="1143000" cy="1143000"/>
    <xdr:pic>
      <xdr:nvPicPr>
        <xdr:cNvPr id="2027" name="63343417-4832-45ff-99a8-8d428c474fa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ec49409022d4da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2030</xdr:row>
      <xdr:rowOff>19050</xdr:rowOff>
    </xdr:from>
    <xdr:ext cx="1143000" cy="1143000"/>
    <xdr:pic>
      <xdr:nvPicPr>
        <xdr:cNvPr id="2028" name="e50eb52e-94ee-4c6e-809d-2b22abe4b4f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51615ff98684d4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2031</xdr:row>
      <xdr:rowOff>19050</xdr:rowOff>
    </xdr:from>
    <xdr:ext cx="1143000" cy="1143000"/>
    <xdr:pic>
      <xdr:nvPicPr>
        <xdr:cNvPr id="2029" name="17f81cb3-1b36-4816-a74f-63a481485f9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6219dbc60f94de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2032</xdr:row>
      <xdr:rowOff>19050</xdr:rowOff>
    </xdr:from>
    <xdr:ext cx="1143000" cy="1143000"/>
    <xdr:pic>
      <xdr:nvPicPr>
        <xdr:cNvPr id="2030" name="2db94f47-9c50-4a91-a6a2-9f4b988852d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47df27d6c894a8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2033</xdr:row>
      <xdr:rowOff>19050</xdr:rowOff>
    </xdr:from>
    <xdr:ext cx="1143000" cy="1143000"/>
    <xdr:pic>
      <xdr:nvPicPr>
        <xdr:cNvPr id="2031" name="43a37ffd-5b13-4980-9d19-f8729a3a349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816496313b848c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2034</xdr:row>
      <xdr:rowOff>19050</xdr:rowOff>
    </xdr:from>
    <xdr:ext cx="1143000" cy="1143000"/>
    <xdr:pic>
      <xdr:nvPicPr>
        <xdr:cNvPr id="2032" name="e460940f-27b7-4986-8c32-c9785af64db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11729901621406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2035</xdr:row>
      <xdr:rowOff>19050</xdr:rowOff>
    </xdr:from>
    <xdr:ext cx="1143000" cy="1143000"/>
    <xdr:pic>
      <xdr:nvPicPr>
        <xdr:cNvPr id="2033" name="5c57e17c-6140-4fc0-b947-556b32d6cda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74f5ba4e9604b1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2036</xdr:row>
      <xdr:rowOff>19050</xdr:rowOff>
    </xdr:from>
    <xdr:ext cx="1143000" cy="1143000"/>
    <xdr:pic>
      <xdr:nvPicPr>
        <xdr:cNvPr id="2034" name="f44fcb58-7393-4853-9309-733b5ed82b5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e167d41f6774d3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2037</xdr:row>
      <xdr:rowOff>19050</xdr:rowOff>
    </xdr:from>
    <xdr:ext cx="1143000" cy="1143000"/>
    <xdr:pic>
      <xdr:nvPicPr>
        <xdr:cNvPr id="2035" name="7e9b7ace-cf12-47f3-ae2a-67fc60d0103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92ec3f6e3f84ac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2038</xdr:row>
      <xdr:rowOff>19050</xdr:rowOff>
    </xdr:from>
    <xdr:ext cx="1143000" cy="1143000"/>
    <xdr:pic>
      <xdr:nvPicPr>
        <xdr:cNvPr id="2036" name="081bd0c4-1efd-4852-828d-cdbd8d47fc1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b9dc72a8645417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2039</xdr:row>
      <xdr:rowOff>19050</xdr:rowOff>
    </xdr:from>
    <xdr:ext cx="1143000" cy="1143000"/>
    <xdr:pic>
      <xdr:nvPicPr>
        <xdr:cNvPr id="2037" name="5eac83d5-e1a2-4e88-bd83-52d21b0a4c3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14400c457b841f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2040</xdr:row>
      <xdr:rowOff>19050</xdr:rowOff>
    </xdr:from>
    <xdr:ext cx="1143000" cy="1143000"/>
    <xdr:pic>
      <xdr:nvPicPr>
        <xdr:cNvPr id="2038" name="26287bad-4fa1-4c25-8abb-1a5f5ef7bc8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482dfdb9b414ad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2041</xdr:row>
      <xdr:rowOff>19050</xdr:rowOff>
    </xdr:from>
    <xdr:ext cx="1143000" cy="1143000"/>
    <xdr:pic>
      <xdr:nvPicPr>
        <xdr:cNvPr id="2039" name="6af42283-0c0e-4018-b149-c5f1408a2e1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28b3d1f4fe048c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2042</xdr:row>
      <xdr:rowOff>19050</xdr:rowOff>
    </xdr:from>
    <xdr:ext cx="1143000" cy="1143000"/>
    <xdr:pic>
      <xdr:nvPicPr>
        <xdr:cNvPr id="2040" name="ab65cb35-a926-41a4-b010-81aaff8fd40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dc04eaff731452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2043</xdr:row>
      <xdr:rowOff>19050</xdr:rowOff>
    </xdr:from>
    <xdr:ext cx="1143000" cy="1143000"/>
    <xdr:pic>
      <xdr:nvPicPr>
        <xdr:cNvPr id="2041" name="3de45632-adb6-4ce4-9878-0b9af64517e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34fba2603754c0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2044</xdr:row>
      <xdr:rowOff>19050</xdr:rowOff>
    </xdr:from>
    <xdr:ext cx="1143000" cy="1143000"/>
    <xdr:pic>
      <xdr:nvPicPr>
        <xdr:cNvPr id="2042" name="8d24dd29-6078-45c7-8de7-d8a255d2901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812617a6f19425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2045</xdr:row>
      <xdr:rowOff>19050</xdr:rowOff>
    </xdr:from>
    <xdr:ext cx="1143000" cy="1143000"/>
    <xdr:pic>
      <xdr:nvPicPr>
        <xdr:cNvPr id="2043" name="6a2b97de-72e0-4b0d-b124-08ff8cc639e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6cd2a7057154b7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2046</xdr:row>
      <xdr:rowOff>19050</xdr:rowOff>
    </xdr:from>
    <xdr:ext cx="1143000" cy="1143000"/>
    <xdr:pic>
      <xdr:nvPicPr>
        <xdr:cNvPr id="2044" name="1a0eb14b-132c-48aa-b31e-4ddfaab94ac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52b4b548ee842f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2047</xdr:row>
      <xdr:rowOff>19050</xdr:rowOff>
    </xdr:from>
    <xdr:ext cx="1143000" cy="1143000"/>
    <xdr:pic>
      <xdr:nvPicPr>
        <xdr:cNvPr id="2045" name="559484d5-5054-468b-844f-c1118a568b3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eecc77494d948e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2048</xdr:row>
      <xdr:rowOff>19050</xdr:rowOff>
    </xdr:from>
    <xdr:ext cx="1143000" cy="1143000"/>
    <xdr:pic>
      <xdr:nvPicPr>
        <xdr:cNvPr id="2046" name="0a5f6f5d-f0f8-447a-bbf0-dd3cd3c507e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a2c11ba97404ea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2049</xdr:row>
      <xdr:rowOff>19050</xdr:rowOff>
    </xdr:from>
    <xdr:ext cx="1143000" cy="1143000"/>
    <xdr:pic>
      <xdr:nvPicPr>
        <xdr:cNvPr id="2047" name="900e02de-f31e-41cb-a6dd-c27a1d492c6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94f1a27214542d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2050</xdr:row>
      <xdr:rowOff>19050</xdr:rowOff>
    </xdr:from>
    <xdr:ext cx="1143000" cy="1143000"/>
    <xdr:pic>
      <xdr:nvPicPr>
        <xdr:cNvPr id="2048" name="97ee842c-4690-4f17-adf5-ec13bad4603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1def8fd0f844ff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2051</xdr:row>
      <xdr:rowOff>19050</xdr:rowOff>
    </xdr:from>
    <xdr:ext cx="1143000" cy="1143000"/>
    <xdr:pic>
      <xdr:nvPicPr>
        <xdr:cNvPr id="2049" name="5e80faf0-ca47-4270-a4cc-dcf6e6701b2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ebdc073827a4ac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2052</xdr:row>
      <xdr:rowOff>19050</xdr:rowOff>
    </xdr:from>
    <xdr:ext cx="1143000" cy="1143000"/>
    <xdr:pic>
      <xdr:nvPicPr>
        <xdr:cNvPr id="2050" name="2e8d6b3c-1b2a-4bde-b097-437dc74d29a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2d307dbac3c4c7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2053</xdr:row>
      <xdr:rowOff>19050</xdr:rowOff>
    </xdr:from>
    <xdr:ext cx="1143000" cy="1143000"/>
    <xdr:pic>
      <xdr:nvPicPr>
        <xdr:cNvPr id="2051" name="72420c87-c11e-486d-adcf-b25c40fd4ed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fe124128d5d49a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2054</xdr:row>
      <xdr:rowOff>19050</xdr:rowOff>
    </xdr:from>
    <xdr:ext cx="1143000" cy="1143000"/>
    <xdr:pic>
      <xdr:nvPicPr>
        <xdr:cNvPr id="2052" name="2e2cf643-7f87-4ae2-ab2d-82190ff3883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1de0931d08e46d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2055</xdr:row>
      <xdr:rowOff>19050</xdr:rowOff>
    </xdr:from>
    <xdr:ext cx="1143000" cy="1143000"/>
    <xdr:pic>
      <xdr:nvPicPr>
        <xdr:cNvPr id="2053" name="2fc4a361-0737-4e08-935f-c49c7a7bd10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02985e308c44ef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2056</xdr:row>
      <xdr:rowOff>19050</xdr:rowOff>
    </xdr:from>
    <xdr:ext cx="1143000" cy="1143000"/>
    <xdr:pic>
      <xdr:nvPicPr>
        <xdr:cNvPr id="2054" name="d412c468-464b-40c7-b2c4-1e04a33a07a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a74f96a2d17412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2057</xdr:row>
      <xdr:rowOff>19050</xdr:rowOff>
    </xdr:from>
    <xdr:ext cx="1143000" cy="1143000"/>
    <xdr:pic>
      <xdr:nvPicPr>
        <xdr:cNvPr id="2055" name="ecbddae2-807a-470d-aaf6-73116545dc8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de67f09dad245b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2058</xdr:row>
      <xdr:rowOff>19050</xdr:rowOff>
    </xdr:from>
    <xdr:ext cx="1143000" cy="1143000"/>
    <xdr:pic>
      <xdr:nvPicPr>
        <xdr:cNvPr id="2056" name="8be95b3f-d435-4968-afc0-b576af698ae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6d4acdb408c475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2059</xdr:row>
      <xdr:rowOff>19050</xdr:rowOff>
    </xdr:from>
    <xdr:ext cx="1143000" cy="1143000"/>
    <xdr:pic>
      <xdr:nvPicPr>
        <xdr:cNvPr id="2057" name="ebac9300-0c53-435a-ba70-c719bd00350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059a8cb4b1a4af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2060</xdr:row>
      <xdr:rowOff>19050</xdr:rowOff>
    </xdr:from>
    <xdr:ext cx="1143000" cy="1143000"/>
    <xdr:pic>
      <xdr:nvPicPr>
        <xdr:cNvPr id="2058" name="1fa2d765-88cd-4410-84b2-6b7ec85de67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3d1cf33da4e4f4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2061</xdr:row>
      <xdr:rowOff>19050</xdr:rowOff>
    </xdr:from>
    <xdr:ext cx="1143000" cy="1143000"/>
    <xdr:pic>
      <xdr:nvPicPr>
        <xdr:cNvPr id="2059" name="7c0a0547-485e-4431-b60d-08835e66792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cbc7d1fb501441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2062</xdr:row>
      <xdr:rowOff>19050</xdr:rowOff>
    </xdr:from>
    <xdr:ext cx="1143000" cy="1143000"/>
    <xdr:pic>
      <xdr:nvPicPr>
        <xdr:cNvPr id="2060" name="0c562a57-aa6c-49f9-8140-e7b7e11eae0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a04bcd891d5496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2063</xdr:row>
      <xdr:rowOff>19050</xdr:rowOff>
    </xdr:from>
    <xdr:ext cx="1143000" cy="1143000"/>
    <xdr:pic>
      <xdr:nvPicPr>
        <xdr:cNvPr id="2061" name="2b6f8996-f031-4f8e-8bc1-573878b3313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c3b2d88326d44d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2064</xdr:row>
      <xdr:rowOff>19050</xdr:rowOff>
    </xdr:from>
    <xdr:ext cx="1143000" cy="1143000"/>
    <xdr:pic>
      <xdr:nvPicPr>
        <xdr:cNvPr id="2062" name="f7013d39-7089-4006-b2bb-c9eb69a67da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3cd2e7caea541f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2065</xdr:row>
      <xdr:rowOff>19050</xdr:rowOff>
    </xdr:from>
    <xdr:ext cx="1143000" cy="1143000"/>
    <xdr:pic>
      <xdr:nvPicPr>
        <xdr:cNvPr id="2063" name="24dde301-b9ef-48d3-85d5-97de770ba7a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7a7d82c808d4ef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2066</xdr:row>
      <xdr:rowOff>19050</xdr:rowOff>
    </xdr:from>
    <xdr:ext cx="1143000" cy="1143000"/>
    <xdr:pic>
      <xdr:nvPicPr>
        <xdr:cNvPr id="2064" name="32c918c3-6df3-4d80-8b8a-4584084d991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41263ecb07b463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2067</xdr:row>
      <xdr:rowOff>19050</xdr:rowOff>
    </xdr:from>
    <xdr:ext cx="1143000" cy="1143000"/>
    <xdr:pic>
      <xdr:nvPicPr>
        <xdr:cNvPr id="2065" name="94ef1c69-5698-43f4-a441-64e9124929b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3695b6384e5451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2068</xdr:row>
      <xdr:rowOff>19050</xdr:rowOff>
    </xdr:from>
    <xdr:ext cx="1143000" cy="1143000"/>
    <xdr:pic>
      <xdr:nvPicPr>
        <xdr:cNvPr id="2066" name="1fbe3c53-e74a-4b13-8c74-6827ffec5fb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d0bd46a2ec9408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2069</xdr:row>
      <xdr:rowOff>19050</xdr:rowOff>
    </xdr:from>
    <xdr:ext cx="1143000" cy="1143000"/>
    <xdr:pic>
      <xdr:nvPicPr>
        <xdr:cNvPr id="2067" name="3b79d86c-88ec-4d46-86e9-8a741cefaa8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89e864c7f454d4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2070</xdr:row>
      <xdr:rowOff>19050</xdr:rowOff>
    </xdr:from>
    <xdr:ext cx="1143000" cy="1143000"/>
    <xdr:pic>
      <xdr:nvPicPr>
        <xdr:cNvPr id="2068" name="55b7b554-c682-445f-aa90-9941848316c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081c52afa1a448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2071</xdr:row>
      <xdr:rowOff>19050</xdr:rowOff>
    </xdr:from>
    <xdr:ext cx="1143000" cy="1143000"/>
    <xdr:pic>
      <xdr:nvPicPr>
        <xdr:cNvPr id="2069" name="ddf3d049-c16a-4b14-9cb4-707b78b91d3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b5f39d2cfac43c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2072</xdr:row>
      <xdr:rowOff>19050</xdr:rowOff>
    </xdr:from>
    <xdr:ext cx="1143000" cy="1143000"/>
    <xdr:pic>
      <xdr:nvPicPr>
        <xdr:cNvPr id="2070" name="1eb1484f-8993-4c99-986b-cb594f696e8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9941da640d1414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2073</xdr:row>
      <xdr:rowOff>19050</xdr:rowOff>
    </xdr:from>
    <xdr:ext cx="1143000" cy="1143000"/>
    <xdr:pic>
      <xdr:nvPicPr>
        <xdr:cNvPr id="2071" name="dee4b2fe-2b33-4c78-98b9-5c81698b369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3908faadde0441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2074</xdr:row>
      <xdr:rowOff>19050</xdr:rowOff>
    </xdr:from>
    <xdr:ext cx="1143000" cy="1143000"/>
    <xdr:pic>
      <xdr:nvPicPr>
        <xdr:cNvPr id="2072" name="714512ec-6b9f-425c-853f-54bd62718bc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198bb65d84e49c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2075</xdr:row>
      <xdr:rowOff>19050</xdr:rowOff>
    </xdr:from>
    <xdr:ext cx="1143000" cy="1143000"/>
    <xdr:pic>
      <xdr:nvPicPr>
        <xdr:cNvPr id="2073" name="38ad72ee-06ea-4b16-82ca-b41e8315f2d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06b3f27bb1446e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2076</xdr:row>
      <xdr:rowOff>19050</xdr:rowOff>
    </xdr:from>
    <xdr:ext cx="1143000" cy="1143000"/>
    <xdr:pic>
      <xdr:nvPicPr>
        <xdr:cNvPr id="2074" name="e4f2eda8-248c-4fa5-8d1f-dba48b50d06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8d5d19709e44c7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2077</xdr:row>
      <xdr:rowOff>19050</xdr:rowOff>
    </xdr:from>
    <xdr:ext cx="1143000" cy="1143000"/>
    <xdr:pic>
      <xdr:nvPicPr>
        <xdr:cNvPr id="2075" name="8f37825c-67a9-4f56-a32d-f60b99c5133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06792ea3b6e4e3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2078</xdr:row>
      <xdr:rowOff>19050</xdr:rowOff>
    </xdr:from>
    <xdr:ext cx="1143000" cy="1143000"/>
    <xdr:pic>
      <xdr:nvPicPr>
        <xdr:cNvPr id="2076" name="143509e7-1041-4220-b334-2dc4dcffffd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95c617120554bc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2079</xdr:row>
      <xdr:rowOff>19050</xdr:rowOff>
    </xdr:from>
    <xdr:ext cx="1143000" cy="1143000"/>
    <xdr:pic>
      <xdr:nvPicPr>
        <xdr:cNvPr id="2077" name="ace1c0f8-0cab-4234-9245-27a16547536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1fece83669d438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2080</xdr:row>
      <xdr:rowOff>19050</xdr:rowOff>
    </xdr:from>
    <xdr:ext cx="1143000" cy="1143000"/>
    <xdr:pic>
      <xdr:nvPicPr>
        <xdr:cNvPr id="2078" name="a8daef6d-c4cb-48c5-9974-bf0f1cf4606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111d017e5bf46c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2081</xdr:row>
      <xdr:rowOff>19050</xdr:rowOff>
    </xdr:from>
    <xdr:ext cx="1143000" cy="1143000"/>
    <xdr:pic>
      <xdr:nvPicPr>
        <xdr:cNvPr id="2079" name="c244dab9-406b-4dfa-b6f9-eee1b1fdb73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66b6e043ee8406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2082</xdr:row>
      <xdr:rowOff>19050</xdr:rowOff>
    </xdr:from>
    <xdr:ext cx="1143000" cy="1143000"/>
    <xdr:pic>
      <xdr:nvPicPr>
        <xdr:cNvPr id="2080" name="7f79830b-9f45-40cb-8eb0-6b929fbb787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ed5dc459cd54f9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2083</xdr:row>
      <xdr:rowOff>19050</xdr:rowOff>
    </xdr:from>
    <xdr:ext cx="1143000" cy="1143000"/>
    <xdr:pic>
      <xdr:nvPicPr>
        <xdr:cNvPr id="2081" name="ddcef119-48bf-4715-b479-36922f6f9d4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0ac115e0d94468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2084</xdr:row>
      <xdr:rowOff>19050</xdr:rowOff>
    </xdr:from>
    <xdr:ext cx="1143000" cy="1143000"/>
    <xdr:pic>
      <xdr:nvPicPr>
        <xdr:cNvPr id="2082" name="bfb1d9aa-0455-48c5-9fdc-f562d7d00cc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863e83b030848c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2085</xdr:row>
      <xdr:rowOff>19050</xdr:rowOff>
    </xdr:from>
    <xdr:ext cx="1143000" cy="1143000"/>
    <xdr:pic>
      <xdr:nvPicPr>
        <xdr:cNvPr id="2083" name="dceb912e-2012-47c4-8107-fefaf7e1e53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f212312f4c54aa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2086</xdr:row>
      <xdr:rowOff>19050</xdr:rowOff>
    </xdr:from>
    <xdr:ext cx="1143000" cy="1143000"/>
    <xdr:pic>
      <xdr:nvPicPr>
        <xdr:cNvPr id="2084" name="9b5750b2-dbbb-4574-9b1e-34d3509c567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bda31f432dd494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2087</xdr:row>
      <xdr:rowOff>19050</xdr:rowOff>
    </xdr:from>
    <xdr:ext cx="1143000" cy="1143000"/>
    <xdr:pic>
      <xdr:nvPicPr>
        <xdr:cNvPr id="2085" name="1e7ae3d7-c8d2-413c-b586-f4a825298e8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534ea6b8d394f9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2088</xdr:row>
      <xdr:rowOff>19050</xdr:rowOff>
    </xdr:from>
    <xdr:ext cx="1143000" cy="1143000"/>
    <xdr:pic>
      <xdr:nvPicPr>
        <xdr:cNvPr id="2086" name="05a15104-946e-48ad-84f5-f95415d5595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7a8701a2ecb436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2089</xdr:row>
      <xdr:rowOff>19050</xdr:rowOff>
    </xdr:from>
    <xdr:ext cx="1143000" cy="1143000"/>
    <xdr:pic>
      <xdr:nvPicPr>
        <xdr:cNvPr id="2087" name="994089af-9bf8-4ede-8e2f-10c9d074ec4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f6dd795ee1b494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2090</xdr:row>
      <xdr:rowOff>19050</xdr:rowOff>
    </xdr:from>
    <xdr:ext cx="1143000" cy="1143000"/>
    <xdr:pic>
      <xdr:nvPicPr>
        <xdr:cNvPr id="2088" name="4a06849b-ab42-4301-9d79-7b1a593a71c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272541bdb9045b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2091</xdr:row>
      <xdr:rowOff>19050</xdr:rowOff>
    </xdr:from>
    <xdr:ext cx="1143000" cy="1143000"/>
    <xdr:pic>
      <xdr:nvPicPr>
        <xdr:cNvPr id="2089" name="d09522a1-6a41-40f1-b312-231657621b0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ed52c3699be4c6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2092</xdr:row>
      <xdr:rowOff>19050</xdr:rowOff>
    </xdr:from>
    <xdr:ext cx="1143000" cy="1143000"/>
    <xdr:pic>
      <xdr:nvPicPr>
        <xdr:cNvPr id="2090" name="9efe2d0e-a2c6-429f-b208-92c315e12c2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dcfdbb6a7ef45e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2093</xdr:row>
      <xdr:rowOff>19050</xdr:rowOff>
    </xdr:from>
    <xdr:ext cx="1143000" cy="1143000"/>
    <xdr:pic>
      <xdr:nvPicPr>
        <xdr:cNvPr id="2091" name="57009d75-2e82-4f79-95e4-3dfa553430e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b6bba301a444b7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2094</xdr:row>
      <xdr:rowOff>19050</xdr:rowOff>
    </xdr:from>
    <xdr:ext cx="1143000" cy="1143000"/>
    <xdr:pic>
      <xdr:nvPicPr>
        <xdr:cNvPr id="2092" name="f13951b1-bd3c-470c-9371-df0060975b9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62b5f680350410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2095</xdr:row>
      <xdr:rowOff>19050</xdr:rowOff>
    </xdr:from>
    <xdr:ext cx="1143000" cy="1143000"/>
    <xdr:pic>
      <xdr:nvPicPr>
        <xdr:cNvPr id="2093" name="0a1e0625-20a2-45f7-9fb6-095c3381ce8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8cb0d85ea9542f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2096</xdr:row>
      <xdr:rowOff>19050</xdr:rowOff>
    </xdr:from>
    <xdr:ext cx="1143000" cy="1143000"/>
    <xdr:pic>
      <xdr:nvPicPr>
        <xdr:cNvPr id="2094" name="23b34532-0bb3-4ee5-b5b8-a90a50afdf9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5a27a363e0f4d1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2097</xdr:row>
      <xdr:rowOff>19050</xdr:rowOff>
    </xdr:from>
    <xdr:ext cx="1143000" cy="1143000"/>
    <xdr:pic>
      <xdr:nvPicPr>
        <xdr:cNvPr id="2095" name="1486e882-ee4d-4b91-9456-7c9079ac80c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8826b831ce04b3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2098</xdr:row>
      <xdr:rowOff>19050</xdr:rowOff>
    </xdr:from>
    <xdr:ext cx="1143000" cy="1143000"/>
    <xdr:pic>
      <xdr:nvPicPr>
        <xdr:cNvPr id="2096" name="3de48121-db85-41dd-9106-b0647e3c0b9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de19c5fab05407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2099</xdr:row>
      <xdr:rowOff>19050</xdr:rowOff>
    </xdr:from>
    <xdr:ext cx="1143000" cy="1143000"/>
    <xdr:pic>
      <xdr:nvPicPr>
        <xdr:cNvPr id="2097" name="7eea555a-5fa7-4b18-a0a0-ac577ea035b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6c3ef98b8864f6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2100</xdr:row>
      <xdr:rowOff>19050</xdr:rowOff>
    </xdr:from>
    <xdr:ext cx="1143000" cy="1143000"/>
    <xdr:pic>
      <xdr:nvPicPr>
        <xdr:cNvPr id="2098" name="afd4605a-28e2-4151-9802-21d98e0fd59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ee6740027214b0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2101</xdr:row>
      <xdr:rowOff>19050</xdr:rowOff>
    </xdr:from>
    <xdr:ext cx="1143000" cy="1143000"/>
    <xdr:pic>
      <xdr:nvPicPr>
        <xdr:cNvPr id="2099" name="75c03180-951e-459c-9407-001c2e36ed4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285c78fba61430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2102</xdr:row>
      <xdr:rowOff>19050</xdr:rowOff>
    </xdr:from>
    <xdr:ext cx="1143000" cy="1143000"/>
    <xdr:pic>
      <xdr:nvPicPr>
        <xdr:cNvPr id="2100" name="ee992794-4d69-4e54-aee8-6c9153e8752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8a95ea9c9f44d4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2103</xdr:row>
      <xdr:rowOff>19050</xdr:rowOff>
    </xdr:from>
    <xdr:ext cx="1143000" cy="1143000"/>
    <xdr:pic>
      <xdr:nvPicPr>
        <xdr:cNvPr id="2101" name="de686d4f-1db3-49fe-8612-c55eb3afa8d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77ee084fbe94b6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2104</xdr:row>
      <xdr:rowOff>19050</xdr:rowOff>
    </xdr:from>
    <xdr:ext cx="1143000" cy="1143000"/>
    <xdr:pic>
      <xdr:nvPicPr>
        <xdr:cNvPr id="2102" name="164de642-bea7-48b6-9eca-4c435d26ccb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86d76cccfb7428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2105</xdr:row>
      <xdr:rowOff>19050</xdr:rowOff>
    </xdr:from>
    <xdr:ext cx="1143000" cy="1143000"/>
    <xdr:pic>
      <xdr:nvPicPr>
        <xdr:cNvPr id="2103" name="748a0b3c-abb0-4055-8a9b-71179b08633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c813af0aa56480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2106</xdr:row>
      <xdr:rowOff>19050</xdr:rowOff>
    </xdr:from>
    <xdr:ext cx="1143000" cy="1143000"/>
    <xdr:pic>
      <xdr:nvPicPr>
        <xdr:cNvPr id="2104" name="f36f0a12-41c9-47c0-a749-08d6376d1f7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3b0e8550c2c44e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2107</xdr:row>
      <xdr:rowOff>19050</xdr:rowOff>
    </xdr:from>
    <xdr:ext cx="1143000" cy="1143000"/>
    <xdr:pic>
      <xdr:nvPicPr>
        <xdr:cNvPr id="2105" name="c590051a-216c-45fe-a84e-3e5d7291462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98ccd9b1de3430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2108</xdr:row>
      <xdr:rowOff>19050</xdr:rowOff>
    </xdr:from>
    <xdr:ext cx="1143000" cy="1143000"/>
    <xdr:pic>
      <xdr:nvPicPr>
        <xdr:cNvPr id="2106" name="c839eb85-9f79-4eb3-9a1d-dc4dc7c472e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c3887ac468d4ac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2109</xdr:row>
      <xdr:rowOff>19050</xdr:rowOff>
    </xdr:from>
    <xdr:ext cx="1143000" cy="1143000"/>
    <xdr:pic>
      <xdr:nvPicPr>
        <xdr:cNvPr id="2107" name="d6d1d390-5b22-4c90-bde4-167e52c728d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bfc7930cc18427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2110</xdr:row>
      <xdr:rowOff>19050</xdr:rowOff>
    </xdr:from>
    <xdr:ext cx="1143000" cy="1143000"/>
    <xdr:pic>
      <xdr:nvPicPr>
        <xdr:cNvPr id="2108" name="1a33ebfe-83dd-4597-a5b2-e027fcc4603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dd588f066284b7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2111</xdr:row>
      <xdr:rowOff>19050</xdr:rowOff>
    </xdr:from>
    <xdr:ext cx="1143000" cy="1143000"/>
    <xdr:pic>
      <xdr:nvPicPr>
        <xdr:cNvPr id="2109" name="f9bcfd71-f603-42f6-a909-f0e8745c447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27558b69d5247b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2112</xdr:row>
      <xdr:rowOff>19050</xdr:rowOff>
    </xdr:from>
    <xdr:ext cx="1143000" cy="1143000"/>
    <xdr:pic>
      <xdr:nvPicPr>
        <xdr:cNvPr id="2110" name="d044e23d-ca9d-463d-b246-393f6e901b2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3a3c7a2deb34eb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2113</xdr:row>
      <xdr:rowOff>19050</xdr:rowOff>
    </xdr:from>
    <xdr:ext cx="1143000" cy="1143000"/>
    <xdr:pic>
      <xdr:nvPicPr>
        <xdr:cNvPr id="2111" name="f3843843-69f2-40a6-9e12-ca310e40b70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eea16a35919403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2114</xdr:row>
      <xdr:rowOff>19050</xdr:rowOff>
    </xdr:from>
    <xdr:ext cx="1143000" cy="1143000"/>
    <xdr:pic>
      <xdr:nvPicPr>
        <xdr:cNvPr id="2112" name="77325913-e7f6-481c-8a0b-bfcd6ede7ee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4db744e42b643e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2115</xdr:row>
      <xdr:rowOff>19050</xdr:rowOff>
    </xdr:from>
    <xdr:ext cx="1143000" cy="1143000"/>
    <xdr:pic>
      <xdr:nvPicPr>
        <xdr:cNvPr id="2113" name="6fd6fea8-5ef2-49cb-a497-0104dcff282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66c6283b65644b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2116</xdr:row>
      <xdr:rowOff>19050</xdr:rowOff>
    </xdr:from>
    <xdr:ext cx="1143000" cy="1143000"/>
    <xdr:pic>
      <xdr:nvPicPr>
        <xdr:cNvPr id="2114" name="d5220d8b-e418-41ec-8927-0c793e30f4e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43c506c66bc4b2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2117</xdr:row>
      <xdr:rowOff>19050</xdr:rowOff>
    </xdr:from>
    <xdr:ext cx="1143000" cy="1143000"/>
    <xdr:pic>
      <xdr:nvPicPr>
        <xdr:cNvPr id="2115" name="a8c9eb9d-df86-4aa7-bbfa-20b1d2681ae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e6e29fe2d8b4d3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2118</xdr:row>
      <xdr:rowOff>19050</xdr:rowOff>
    </xdr:from>
    <xdr:ext cx="1143000" cy="1143000"/>
    <xdr:pic>
      <xdr:nvPicPr>
        <xdr:cNvPr id="2116" name="a8ce2aab-8f61-45b5-b8c3-2ad24004649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cfbf9bb4de5416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2119</xdr:row>
      <xdr:rowOff>19050</xdr:rowOff>
    </xdr:from>
    <xdr:ext cx="1143000" cy="1143000"/>
    <xdr:pic>
      <xdr:nvPicPr>
        <xdr:cNvPr id="2117" name="de8d3c11-2ed0-4aa6-ae5a-06c6469c369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f6394fca751417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2120</xdr:row>
      <xdr:rowOff>19050</xdr:rowOff>
    </xdr:from>
    <xdr:ext cx="1143000" cy="1143000"/>
    <xdr:pic>
      <xdr:nvPicPr>
        <xdr:cNvPr id="2118" name="a24dddcf-dcfb-4570-8893-764124e613f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5604b04158e4a8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2121</xdr:row>
      <xdr:rowOff>19050</xdr:rowOff>
    </xdr:from>
    <xdr:ext cx="1143000" cy="1143000"/>
    <xdr:pic>
      <xdr:nvPicPr>
        <xdr:cNvPr id="2119" name="b7fd46aa-0831-437e-a488-c589ff2f0d4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d3b2913e7724f6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2122</xdr:row>
      <xdr:rowOff>19050</xdr:rowOff>
    </xdr:from>
    <xdr:ext cx="1143000" cy="1143000"/>
    <xdr:pic>
      <xdr:nvPicPr>
        <xdr:cNvPr id="2120" name="f0f3fab8-9464-424c-963d-b3386d2d451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35866cb28f34f5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2123</xdr:row>
      <xdr:rowOff>19050</xdr:rowOff>
    </xdr:from>
    <xdr:ext cx="1143000" cy="1143000"/>
    <xdr:pic>
      <xdr:nvPicPr>
        <xdr:cNvPr id="2121" name="74f03b14-03c4-4221-ae5f-e76095fb9bd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f24bd34034a43a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2124</xdr:row>
      <xdr:rowOff>19050</xdr:rowOff>
    </xdr:from>
    <xdr:ext cx="1143000" cy="1143000"/>
    <xdr:pic>
      <xdr:nvPicPr>
        <xdr:cNvPr id="2122" name="4577574e-ddbc-4620-a5d1-ab261bbafd7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94bcdf05c654e6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2125</xdr:row>
      <xdr:rowOff>19050</xdr:rowOff>
    </xdr:from>
    <xdr:ext cx="1143000" cy="1143000"/>
    <xdr:pic>
      <xdr:nvPicPr>
        <xdr:cNvPr id="2123" name="ff80d1f3-8cde-48a4-ba48-deeed9778d6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899e57ed78c4fc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2126</xdr:row>
      <xdr:rowOff>19050</xdr:rowOff>
    </xdr:from>
    <xdr:ext cx="1143000" cy="1143000"/>
    <xdr:pic>
      <xdr:nvPicPr>
        <xdr:cNvPr id="2124" name="e030e17a-f58d-4477-9c31-2f9aa5dcc74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5853f4cfef849e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2127</xdr:row>
      <xdr:rowOff>19050</xdr:rowOff>
    </xdr:from>
    <xdr:ext cx="1143000" cy="1143000"/>
    <xdr:pic>
      <xdr:nvPicPr>
        <xdr:cNvPr id="2125" name="0aab10d0-d4b9-4482-9c44-228fe305d0a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4990859456b469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2128</xdr:row>
      <xdr:rowOff>19050</xdr:rowOff>
    </xdr:from>
    <xdr:ext cx="1143000" cy="1143000"/>
    <xdr:pic>
      <xdr:nvPicPr>
        <xdr:cNvPr id="2126" name="a485eaba-26d0-42d4-8092-199136b67e0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1359f7ae21f43a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2129</xdr:row>
      <xdr:rowOff>19050</xdr:rowOff>
    </xdr:from>
    <xdr:ext cx="1143000" cy="1143000"/>
    <xdr:pic>
      <xdr:nvPicPr>
        <xdr:cNvPr id="2127" name="6d32d2f2-d59e-498b-82bf-4355bcb52c9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1e87d47cb02480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2130</xdr:row>
      <xdr:rowOff>19050</xdr:rowOff>
    </xdr:from>
    <xdr:ext cx="1143000" cy="1143000"/>
    <xdr:pic>
      <xdr:nvPicPr>
        <xdr:cNvPr id="2128" name="8da0f3de-7165-4974-a8c1-113d64ab89d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afd10e83703406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2131</xdr:row>
      <xdr:rowOff>19050</xdr:rowOff>
    </xdr:from>
    <xdr:ext cx="1143000" cy="1143000"/>
    <xdr:pic>
      <xdr:nvPicPr>
        <xdr:cNvPr id="2129" name="9131c0da-bb85-47fb-b11f-971e909ab58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90cd4bba99743f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2132</xdr:row>
      <xdr:rowOff>19050</xdr:rowOff>
    </xdr:from>
    <xdr:ext cx="1143000" cy="1143000"/>
    <xdr:pic>
      <xdr:nvPicPr>
        <xdr:cNvPr id="2130" name="1b3957a1-cf9d-4aeb-84cd-59ffc872cb3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96399d7f2f146d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2133</xdr:row>
      <xdr:rowOff>19050</xdr:rowOff>
    </xdr:from>
    <xdr:ext cx="1143000" cy="1143000"/>
    <xdr:pic>
      <xdr:nvPicPr>
        <xdr:cNvPr id="2131" name="033b71fc-d21f-427d-91e4-8306a52cd89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181579baa214af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2134</xdr:row>
      <xdr:rowOff>19050</xdr:rowOff>
    </xdr:from>
    <xdr:ext cx="1143000" cy="1143000"/>
    <xdr:pic>
      <xdr:nvPicPr>
        <xdr:cNvPr id="2132" name="5b112aef-80fa-45ed-b67e-172ea695cfa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a91945e94eb43e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2135</xdr:row>
      <xdr:rowOff>19050</xdr:rowOff>
    </xdr:from>
    <xdr:ext cx="1143000" cy="1143000"/>
    <xdr:pic>
      <xdr:nvPicPr>
        <xdr:cNvPr id="2133" name="08385747-0c98-43a0-88d3-c0da6c5171d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26fd55b30fe47f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2136</xdr:row>
      <xdr:rowOff>19050</xdr:rowOff>
    </xdr:from>
    <xdr:ext cx="1143000" cy="1143000"/>
    <xdr:pic>
      <xdr:nvPicPr>
        <xdr:cNvPr id="2134" name="e78b2426-b2b4-498a-9afa-c353f1f1a74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946009364df467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2137</xdr:row>
      <xdr:rowOff>19050</xdr:rowOff>
    </xdr:from>
    <xdr:ext cx="1143000" cy="1143000"/>
    <xdr:pic>
      <xdr:nvPicPr>
        <xdr:cNvPr id="2135" name="5ebbd295-9d47-4484-8ebd-deca09f7e75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600eb2301a749f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2138</xdr:row>
      <xdr:rowOff>19050</xdr:rowOff>
    </xdr:from>
    <xdr:ext cx="1143000" cy="1143000"/>
    <xdr:pic>
      <xdr:nvPicPr>
        <xdr:cNvPr id="2136" name="df10bea7-e71f-450c-a615-57b73986275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bf1fbd688ae419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2139</xdr:row>
      <xdr:rowOff>19050</xdr:rowOff>
    </xdr:from>
    <xdr:ext cx="1143000" cy="1143000"/>
    <xdr:pic>
      <xdr:nvPicPr>
        <xdr:cNvPr id="2137" name="3c3499c8-b9b2-4ae8-b703-1d506991ead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1116948217e41f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2140</xdr:row>
      <xdr:rowOff>19050</xdr:rowOff>
    </xdr:from>
    <xdr:ext cx="1143000" cy="1143000"/>
    <xdr:pic>
      <xdr:nvPicPr>
        <xdr:cNvPr id="2138" name="fb730966-6010-4aff-a429-3c6ee35a67e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1ba2d7d43a04c5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2141</xdr:row>
      <xdr:rowOff>19050</xdr:rowOff>
    </xdr:from>
    <xdr:ext cx="1143000" cy="1143000"/>
    <xdr:pic>
      <xdr:nvPicPr>
        <xdr:cNvPr id="2139" name="9c723936-3c08-437e-9d57-ba5ca0a1d20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1db0e2c27f04ce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2142</xdr:row>
      <xdr:rowOff>19050</xdr:rowOff>
    </xdr:from>
    <xdr:ext cx="1143000" cy="1143000"/>
    <xdr:pic>
      <xdr:nvPicPr>
        <xdr:cNvPr id="2140" name="61708dc9-713c-4c9f-a6eb-93465c15f11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09cb7ae4b8843d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2143</xdr:row>
      <xdr:rowOff>19050</xdr:rowOff>
    </xdr:from>
    <xdr:ext cx="1143000" cy="1143000"/>
    <xdr:pic>
      <xdr:nvPicPr>
        <xdr:cNvPr id="2141" name="80681d23-a502-48be-8040-5aee8d28677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a61dccf50ff4bb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2144</xdr:row>
      <xdr:rowOff>19050</xdr:rowOff>
    </xdr:from>
    <xdr:ext cx="1143000" cy="1143000"/>
    <xdr:pic>
      <xdr:nvPicPr>
        <xdr:cNvPr id="2142" name="280f699c-1a05-4311-b056-f33ff1cb73b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b23b708c824455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2145</xdr:row>
      <xdr:rowOff>19050</xdr:rowOff>
    </xdr:from>
    <xdr:ext cx="1143000" cy="1143000"/>
    <xdr:pic>
      <xdr:nvPicPr>
        <xdr:cNvPr id="2143" name="fb158dab-a5bc-4015-9eb3-86f66a0db42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fe0016d8dae484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2146</xdr:row>
      <xdr:rowOff>19050</xdr:rowOff>
    </xdr:from>
    <xdr:ext cx="1143000" cy="1143000"/>
    <xdr:pic>
      <xdr:nvPicPr>
        <xdr:cNvPr id="2144" name="f1629f8f-9cf7-4392-9dd8-4aaa200baf0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076c0e55fcc433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2147</xdr:row>
      <xdr:rowOff>19050</xdr:rowOff>
    </xdr:from>
    <xdr:ext cx="1143000" cy="1143000"/>
    <xdr:pic>
      <xdr:nvPicPr>
        <xdr:cNvPr id="2145" name="b0ed9140-e8dd-443b-b0ec-163e9cc3c4c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4680490a5d242d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2148</xdr:row>
      <xdr:rowOff>19050</xdr:rowOff>
    </xdr:from>
    <xdr:ext cx="1143000" cy="1143000"/>
    <xdr:pic>
      <xdr:nvPicPr>
        <xdr:cNvPr id="2146" name="e3fbd0b4-63e3-4746-bae6-b547a896511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6ae2912a3cc483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2149</xdr:row>
      <xdr:rowOff>19050</xdr:rowOff>
    </xdr:from>
    <xdr:ext cx="1143000" cy="1143000"/>
    <xdr:pic>
      <xdr:nvPicPr>
        <xdr:cNvPr id="2147" name="a9b0380b-93a4-4c4e-b999-048d13b9baa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f4bef3319764cf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2150</xdr:row>
      <xdr:rowOff>19050</xdr:rowOff>
    </xdr:from>
    <xdr:ext cx="1143000" cy="1143000"/>
    <xdr:pic>
      <xdr:nvPicPr>
        <xdr:cNvPr id="2148" name="864ba236-7fef-44c5-a256-8efc91d3cf4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5960fb4b1c44ba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2151</xdr:row>
      <xdr:rowOff>19050</xdr:rowOff>
    </xdr:from>
    <xdr:ext cx="1143000" cy="1143000"/>
    <xdr:pic>
      <xdr:nvPicPr>
        <xdr:cNvPr id="2149" name="05ccfe0c-ebbe-4112-9228-252f89602d9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be3cddbf1bc405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2152</xdr:row>
      <xdr:rowOff>19050</xdr:rowOff>
    </xdr:from>
    <xdr:ext cx="1143000" cy="1143000"/>
    <xdr:pic>
      <xdr:nvPicPr>
        <xdr:cNvPr id="2150" name="f989b8fc-0034-45c8-84d9-1429e261ce6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859f3702ca9435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2153</xdr:row>
      <xdr:rowOff>19050</xdr:rowOff>
    </xdr:from>
    <xdr:ext cx="1143000" cy="1143000"/>
    <xdr:pic>
      <xdr:nvPicPr>
        <xdr:cNvPr id="2151" name="efa7602b-2cff-4cf9-9048-7dfcc6a6f33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ad90214ac34462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2154</xdr:row>
      <xdr:rowOff>19050</xdr:rowOff>
    </xdr:from>
    <xdr:ext cx="1143000" cy="1143000"/>
    <xdr:pic>
      <xdr:nvPicPr>
        <xdr:cNvPr id="2152" name="c592fca6-c5d0-47a5-8e82-7afc702668d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a8d07129dc64dd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2155</xdr:row>
      <xdr:rowOff>19050</xdr:rowOff>
    </xdr:from>
    <xdr:ext cx="1143000" cy="1143000"/>
    <xdr:pic>
      <xdr:nvPicPr>
        <xdr:cNvPr id="2153" name="69010d71-82dd-4a23-a679-6c007169ca2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ededea7084f47b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2156</xdr:row>
      <xdr:rowOff>19050</xdr:rowOff>
    </xdr:from>
    <xdr:ext cx="1143000" cy="1143000"/>
    <xdr:pic>
      <xdr:nvPicPr>
        <xdr:cNvPr id="2154" name="2b248a34-27fb-4a8e-9b56-b26e590f298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fa25a62bf294f8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2157</xdr:row>
      <xdr:rowOff>19050</xdr:rowOff>
    </xdr:from>
    <xdr:ext cx="1143000" cy="1143000"/>
    <xdr:pic>
      <xdr:nvPicPr>
        <xdr:cNvPr id="2155" name="097c93c8-a4fd-4089-83f3-8ef522c90c8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196c287157c47e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2158</xdr:row>
      <xdr:rowOff>19050</xdr:rowOff>
    </xdr:from>
    <xdr:ext cx="1143000" cy="1143000"/>
    <xdr:pic>
      <xdr:nvPicPr>
        <xdr:cNvPr id="2156" name="a9114155-de60-4635-b3f4-5c32995953f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a240e8b360f49f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2159</xdr:row>
      <xdr:rowOff>19050</xdr:rowOff>
    </xdr:from>
    <xdr:ext cx="1143000" cy="1143000"/>
    <xdr:pic>
      <xdr:nvPicPr>
        <xdr:cNvPr id="2157" name="d3b0d702-e80e-4e85-9e8c-f0e8f29a8ba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631ed854aa842d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2160</xdr:row>
      <xdr:rowOff>19050</xdr:rowOff>
    </xdr:from>
    <xdr:ext cx="1143000" cy="1143000"/>
    <xdr:pic>
      <xdr:nvPicPr>
        <xdr:cNvPr id="2158" name="7975d145-215c-4234-afc7-9153cae3fd6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8032d96f29f4ca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2161</xdr:row>
      <xdr:rowOff>19050</xdr:rowOff>
    </xdr:from>
    <xdr:ext cx="1143000" cy="1143000"/>
    <xdr:pic>
      <xdr:nvPicPr>
        <xdr:cNvPr id="2159" name="2038a2dc-91c3-408c-b671-9823744f507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acec89c773a4e6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2162</xdr:row>
      <xdr:rowOff>19050</xdr:rowOff>
    </xdr:from>
    <xdr:ext cx="1143000" cy="1143000"/>
    <xdr:pic>
      <xdr:nvPicPr>
        <xdr:cNvPr id="2160" name="200440f9-7a9a-46fc-baae-3af88d84b74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c800c9c1926432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2163</xdr:row>
      <xdr:rowOff>19050</xdr:rowOff>
    </xdr:from>
    <xdr:ext cx="1143000" cy="1143000"/>
    <xdr:pic>
      <xdr:nvPicPr>
        <xdr:cNvPr id="2161" name="4b7698fa-dcb4-41d2-977c-02c41b6b7c5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3efd7227e6741c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2164</xdr:row>
      <xdr:rowOff>19050</xdr:rowOff>
    </xdr:from>
    <xdr:ext cx="1143000" cy="1143000"/>
    <xdr:pic>
      <xdr:nvPicPr>
        <xdr:cNvPr id="2162" name="21346420-8185-4fe9-9992-8fadc5c1430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dc93105f02546e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2165</xdr:row>
      <xdr:rowOff>19050</xdr:rowOff>
    </xdr:from>
    <xdr:ext cx="1143000" cy="1143000"/>
    <xdr:pic>
      <xdr:nvPicPr>
        <xdr:cNvPr id="2163" name="40731c11-f8d4-48d5-ba13-638da7f4187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4f189b8958d49e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2166</xdr:row>
      <xdr:rowOff>19050</xdr:rowOff>
    </xdr:from>
    <xdr:ext cx="1143000" cy="1143000"/>
    <xdr:pic>
      <xdr:nvPicPr>
        <xdr:cNvPr id="2164" name="3367f910-5d85-49a4-9644-f180767f8dd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2378875625d468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2167</xdr:row>
      <xdr:rowOff>19050</xdr:rowOff>
    </xdr:from>
    <xdr:ext cx="1143000" cy="1143000"/>
    <xdr:pic>
      <xdr:nvPicPr>
        <xdr:cNvPr id="2165" name="69861802-2c94-4537-bc83-a48cde8fa38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92afbfacda347b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2168</xdr:row>
      <xdr:rowOff>19050</xdr:rowOff>
    </xdr:from>
    <xdr:ext cx="1143000" cy="1143000"/>
    <xdr:pic>
      <xdr:nvPicPr>
        <xdr:cNvPr id="2166" name="daad5688-5754-48cf-882a-ae4fde31c77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908a90cd1564e2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2169</xdr:row>
      <xdr:rowOff>19050</xdr:rowOff>
    </xdr:from>
    <xdr:ext cx="1143000" cy="1143000"/>
    <xdr:pic>
      <xdr:nvPicPr>
        <xdr:cNvPr id="2167" name="54430201-15a8-4fbe-bc2e-964389bede8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63336967c4d46a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2170</xdr:row>
      <xdr:rowOff>19050</xdr:rowOff>
    </xdr:from>
    <xdr:ext cx="1143000" cy="1143000"/>
    <xdr:pic>
      <xdr:nvPicPr>
        <xdr:cNvPr id="2168" name="f3b98c46-7ea7-4b4d-8b2c-00589f9c97e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f9cccbfc5184d9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2171</xdr:row>
      <xdr:rowOff>19050</xdr:rowOff>
    </xdr:from>
    <xdr:ext cx="1143000" cy="1143000"/>
    <xdr:pic>
      <xdr:nvPicPr>
        <xdr:cNvPr id="2169" name="6a683325-7813-45b5-a7a0-889779fd7fa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4093e65e79d47f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2172</xdr:row>
      <xdr:rowOff>19050</xdr:rowOff>
    </xdr:from>
    <xdr:ext cx="1143000" cy="1143000"/>
    <xdr:pic>
      <xdr:nvPicPr>
        <xdr:cNvPr id="2170" name="7b651c94-e1c9-4b04-a1f7-76aae67105c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b0c8b7f9aaa48e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2173</xdr:row>
      <xdr:rowOff>19050</xdr:rowOff>
    </xdr:from>
    <xdr:ext cx="1143000" cy="1143000"/>
    <xdr:pic>
      <xdr:nvPicPr>
        <xdr:cNvPr id="2171" name="a80f5656-40c8-40c1-aa48-df0a5a7f724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b28e3fd322e4d1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2174</xdr:row>
      <xdr:rowOff>19050</xdr:rowOff>
    </xdr:from>
    <xdr:ext cx="1143000" cy="1143000"/>
    <xdr:pic>
      <xdr:nvPicPr>
        <xdr:cNvPr id="2172" name="7fa8f209-3986-47b4-a6cb-b32d91244b5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10013af4e5c416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2175</xdr:row>
      <xdr:rowOff>19050</xdr:rowOff>
    </xdr:from>
    <xdr:ext cx="1143000" cy="1143000"/>
    <xdr:pic>
      <xdr:nvPicPr>
        <xdr:cNvPr id="2173" name="468ea0a0-4ff0-42eb-9451-a4b25d22848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312f9b62f244cc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2176</xdr:row>
      <xdr:rowOff>19050</xdr:rowOff>
    </xdr:from>
    <xdr:ext cx="1143000" cy="1143000"/>
    <xdr:pic>
      <xdr:nvPicPr>
        <xdr:cNvPr id="2174" name="28f17402-b891-489e-a501-09ee3cdc553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a7afc2a1af9439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2177</xdr:row>
      <xdr:rowOff>19050</xdr:rowOff>
    </xdr:from>
    <xdr:ext cx="1143000" cy="1143000"/>
    <xdr:pic>
      <xdr:nvPicPr>
        <xdr:cNvPr id="2175" name="154108ce-7281-4fd7-b104-5314b926ba4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d8ad5190925463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2178</xdr:row>
      <xdr:rowOff>19050</xdr:rowOff>
    </xdr:from>
    <xdr:ext cx="1143000" cy="1143000"/>
    <xdr:pic>
      <xdr:nvPicPr>
        <xdr:cNvPr id="2176" name="97c8e2eb-b523-45cc-bd60-3adba99bf10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30b017c5490417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2179</xdr:row>
      <xdr:rowOff>19050</xdr:rowOff>
    </xdr:from>
    <xdr:ext cx="1143000" cy="1143000"/>
    <xdr:pic>
      <xdr:nvPicPr>
        <xdr:cNvPr id="2177" name="8ef026a3-126e-4343-be13-662d8afc5b1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8968330ecc349b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2180</xdr:row>
      <xdr:rowOff>19050</xdr:rowOff>
    </xdr:from>
    <xdr:ext cx="1143000" cy="1143000"/>
    <xdr:pic>
      <xdr:nvPicPr>
        <xdr:cNvPr id="2178" name="ced6f672-5362-4311-a6fe-9f7f36f5358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9ef5f8f3fa9409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2181</xdr:row>
      <xdr:rowOff>19050</xdr:rowOff>
    </xdr:from>
    <xdr:ext cx="1143000" cy="1143000"/>
    <xdr:pic>
      <xdr:nvPicPr>
        <xdr:cNvPr id="2179" name="4419d8c4-375a-4968-b847-5f779a382ec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d40906b72d44cc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2182</xdr:row>
      <xdr:rowOff>19050</xdr:rowOff>
    </xdr:from>
    <xdr:ext cx="1143000" cy="1143000"/>
    <xdr:pic>
      <xdr:nvPicPr>
        <xdr:cNvPr id="2180" name="f351bc29-c567-4110-97a4-b2c9c818390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7a298d7e814485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2183</xdr:row>
      <xdr:rowOff>19050</xdr:rowOff>
    </xdr:from>
    <xdr:ext cx="1143000" cy="1143000"/>
    <xdr:pic>
      <xdr:nvPicPr>
        <xdr:cNvPr id="2181" name="8d35472e-104e-48ae-b8db-72138f4e39e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028ca4ebd284fd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2184</xdr:row>
      <xdr:rowOff>19050</xdr:rowOff>
    </xdr:from>
    <xdr:ext cx="1143000" cy="1143000"/>
    <xdr:pic>
      <xdr:nvPicPr>
        <xdr:cNvPr id="2182" name="a75d67d2-f06c-48a7-9db7-556bc214abf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9fcafa5de9a4de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2185</xdr:row>
      <xdr:rowOff>19050</xdr:rowOff>
    </xdr:from>
    <xdr:ext cx="1143000" cy="1143000"/>
    <xdr:pic>
      <xdr:nvPicPr>
        <xdr:cNvPr id="2183" name="c4123d3e-12d9-42ae-a74c-2aeadbcb722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e0d45892b0d48e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2186</xdr:row>
      <xdr:rowOff>19050</xdr:rowOff>
    </xdr:from>
    <xdr:ext cx="1143000" cy="1143000"/>
    <xdr:pic>
      <xdr:nvPicPr>
        <xdr:cNvPr id="2184" name="33153def-cb46-4fc1-a47b-dede796882d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a4b7cd348a443d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2187</xdr:row>
      <xdr:rowOff>19050</xdr:rowOff>
    </xdr:from>
    <xdr:ext cx="1143000" cy="1143000"/>
    <xdr:pic>
      <xdr:nvPicPr>
        <xdr:cNvPr id="2185" name="ad2c5414-ca2c-432f-9832-3c2a0879cc1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3c5ae02713d4ad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2188</xdr:row>
      <xdr:rowOff>19050</xdr:rowOff>
    </xdr:from>
    <xdr:ext cx="1143000" cy="1143000"/>
    <xdr:pic>
      <xdr:nvPicPr>
        <xdr:cNvPr id="2186" name="bbe5a7b2-cd88-4ffb-8945-7a65e36fec8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fd5e38cce30448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2189</xdr:row>
      <xdr:rowOff>19050</xdr:rowOff>
    </xdr:from>
    <xdr:ext cx="1143000" cy="1143000"/>
    <xdr:pic>
      <xdr:nvPicPr>
        <xdr:cNvPr id="2187" name="011c3ae8-4abc-4715-b2fb-e85bcabafee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5ed74cf7ee344c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2190</xdr:row>
      <xdr:rowOff>19050</xdr:rowOff>
    </xdr:from>
    <xdr:ext cx="1143000" cy="1143000"/>
    <xdr:pic>
      <xdr:nvPicPr>
        <xdr:cNvPr id="2188" name="fe080a2f-a95f-4d4a-a189-f6a825f39ae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6b545d2d9164cb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2191</xdr:row>
      <xdr:rowOff>19050</xdr:rowOff>
    </xdr:from>
    <xdr:ext cx="1143000" cy="1143000"/>
    <xdr:pic>
      <xdr:nvPicPr>
        <xdr:cNvPr id="2189" name="57db9156-27d1-42cd-88bd-e6ed57cc5f5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bf4b6562930429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2192</xdr:row>
      <xdr:rowOff>19050</xdr:rowOff>
    </xdr:from>
    <xdr:ext cx="1143000" cy="1143000"/>
    <xdr:pic>
      <xdr:nvPicPr>
        <xdr:cNvPr id="2190" name="46200954-75e7-4339-b341-b70b01d6bfd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d7bf2e7b42746d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2193</xdr:row>
      <xdr:rowOff>19050</xdr:rowOff>
    </xdr:from>
    <xdr:ext cx="1143000" cy="1143000"/>
    <xdr:pic>
      <xdr:nvPicPr>
        <xdr:cNvPr id="2191" name="dce4ac1c-d8cc-42f2-94ef-8fe9076c82c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24688f855e1464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2194</xdr:row>
      <xdr:rowOff>19050</xdr:rowOff>
    </xdr:from>
    <xdr:ext cx="1143000" cy="1143000"/>
    <xdr:pic>
      <xdr:nvPicPr>
        <xdr:cNvPr id="2192" name="9c1b755e-b4f4-45cf-8e47-78c48db1158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140a2cdb4f5454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2195</xdr:row>
      <xdr:rowOff>19050</xdr:rowOff>
    </xdr:from>
    <xdr:ext cx="1143000" cy="1143000"/>
    <xdr:pic>
      <xdr:nvPicPr>
        <xdr:cNvPr id="2193" name="2579d9b8-bd12-4db7-b108-b41493a27c6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6ed8aba7e634c3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2196</xdr:row>
      <xdr:rowOff>19050</xdr:rowOff>
    </xdr:from>
    <xdr:ext cx="1143000" cy="1143000"/>
    <xdr:pic>
      <xdr:nvPicPr>
        <xdr:cNvPr id="2194" name="08cea3d1-dda7-464e-8c77-f8f6c1972a5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5d072e968274cb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2197</xdr:row>
      <xdr:rowOff>19050</xdr:rowOff>
    </xdr:from>
    <xdr:ext cx="1143000" cy="1143000"/>
    <xdr:pic>
      <xdr:nvPicPr>
        <xdr:cNvPr id="2195" name="e9e8ca2a-bb7c-4f15-8820-630f4df90cf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4704f5848454d8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2198</xdr:row>
      <xdr:rowOff>19050</xdr:rowOff>
    </xdr:from>
    <xdr:ext cx="1143000" cy="1143000"/>
    <xdr:pic>
      <xdr:nvPicPr>
        <xdr:cNvPr id="2196" name="33259af4-1ec7-453a-ba8c-d59dc814d8d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738a3795f884f4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2199</xdr:row>
      <xdr:rowOff>19050</xdr:rowOff>
    </xdr:from>
    <xdr:ext cx="1143000" cy="1143000"/>
    <xdr:pic>
      <xdr:nvPicPr>
        <xdr:cNvPr id="2197" name="a1d79c6f-031c-4abc-9278-0fb2d4b7c95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cb04fa915b54f4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2200</xdr:row>
      <xdr:rowOff>19050</xdr:rowOff>
    </xdr:from>
    <xdr:ext cx="1143000" cy="1143000"/>
    <xdr:pic>
      <xdr:nvPicPr>
        <xdr:cNvPr id="2198" name="29e3f80b-5099-464b-bcfa-a89c8b7b095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abad06a9e0748d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2201</xdr:row>
      <xdr:rowOff>19050</xdr:rowOff>
    </xdr:from>
    <xdr:ext cx="1143000" cy="1143000"/>
    <xdr:pic>
      <xdr:nvPicPr>
        <xdr:cNvPr id="2199" name="ac2f7a64-7316-4cc3-85fc-f0cf78af94c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30f8ae78ac8412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2202</xdr:row>
      <xdr:rowOff>19050</xdr:rowOff>
    </xdr:from>
    <xdr:ext cx="1143000" cy="1143000"/>
    <xdr:pic>
      <xdr:nvPicPr>
        <xdr:cNvPr id="2200" name="8a06888d-73a8-4412-95c9-35802897520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f8238fd28d6465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2203</xdr:row>
      <xdr:rowOff>19050</xdr:rowOff>
    </xdr:from>
    <xdr:ext cx="1143000" cy="1143000"/>
    <xdr:pic>
      <xdr:nvPicPr>
        <xdr:cNvPr id="2201" name="f471f02b-3945-4d80-898e-952e62ce3ea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e071ff77d754c7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2204</xdr:row>
      <xdr:rowOff>19050</xdr:rowOff>
    </xdr:from>
    <xdr:ext cx="1143000" cy="1143000"/>
    <xdr:pic>
      <xdr:nvPicPr>
        <xdr:cNvPr id="2202" name="61dd95c9-5538-4544-8a51-d9f75217b7e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1750d4e1fa54a5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2205</xdr:row>
      <xdr:rowOff>19050</xdr:rowOff>
    </xdr:from>
    <xdr:ext cx="1143000" cy="1143000"/>
    <xdr:pic>
      <xdr:nvPicPr>
        <xdr:cNvPr id="2203" name="3a705cdd-2209-4802-b8c2-da053ffc92c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350972292504f1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2206</xdr:row>
      <xdr:rowOff>19050</xdr:rowOff>
    </xdr:from>
    <xdr:ext cx="1143000" cy="1143000"/>
    <xdr:pic>
      <xdr:nvPicPr>
        <xdr:cNvPr id="2204" name="5ffd6880-5660-44bd-a37b-4996d50ef40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9c8b719f2264e7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2207</xdr:row>
      <xdr:rowOff>19050</xdr:rowOff>
    </xdr:from>
    <xdr:ext cx="1143000" cy="1143000"/>
    <xdr:pic>
      <xdr:nvPicPr>
        <xdr:cNvPr id="2205" name="d4c4518a-07dd-457a-8631-88d1d551c9f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e5d0bf740644f1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2208</xdr:row>
      <xdr:rowOff>19050</xdr:rowOff>
    </xdr:from>
    <xdr:ext cx="1143000" cy="1143000"/>
    <xdr:pic>
      <xdr:nvPicPr>
        <xdr:cNvPr id="2206" name="c3ae1a23-ca7c-4fc4-9e9f-4cdfbb7325c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618eb92d06644c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2209</xdr:row>
      <xdr:rowOff>19050</xdr:rowOff>
    </xdr:from>
    <xdr:ext cx="1143000" cy="1143000"/>
    <xdr:pic>
      <xdr:nvPicPr>
        <xdr:cNvPr id="2207" name="fdb40e37-062c-470c-adad-1d8b23dbbd1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dcb90352c83441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2210</xdr:row>
      <xdr:rowOff>19050</xdr:rowOff>
    </xdr:from>
    <xdr:ext cx="1143000" cy="1143000"/>
    <xdr:pic>
      <xdr:nvPicPr>
        <xdr:cNvPr id="2208" name="4f0aefda-7f3c-4021-9657-6ce91bcc20b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93fde913bf144b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2211</xdr:row>
      <xdr:rowOff>19050</xdr:rowOff>
    </xdr:from>
    <xdr:ext cx="1143000" cy="1143000"/>
    <xdr:pic>
      <xdr:nvPicPr>
        <xdr:cNvPr id="2209" name="301062de-7009-4780-a702-6ea61c6c7ac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09ad3ee53b540e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2212</xdr:row>
      <xdr:rowOff>19050</xdr:rowOff>
    </xdr:from>
    <xdr:ext cx="1143000" cy="1143000"/>
    <xdr:pic>
      <xdr:nvPicPr>
        <xdr:cNvPr id="2210" name="6f215a73-53ef-4f31-9cb4-03d3e32b8c1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0f645943b984ff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2213</xdr:row>
      <xdr:rowOff>19050</xdr:rowOff>
    </xdr:from>
    <xdr:ext cx="1143000" cy="1143000"/>
    <xdr:pic>
      <xdr:nvPicPr>
        <xdr:cNvPr id="2211" name="b7320c5f-ff1b-445e-b959-6363905d667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bfcf53c6b884cc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2214</xdr:row>
      <xdr:rowOff>19050</xdr:rowOff>
    </xdr:from>
    <xdr:ext cx="1143000" cy="1143000"/>
    <xdr:pic>
      <xdr:nvPicPr>
        <xdr:cNvPr id="2212" name="a012d782-88f5-4f14-9b2a-b072785f85c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0d72377b49c455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2215</xdr:row>
      <xdr:rowOff>19050</xdr:rowOff>
    </xdr:from>
    <xdr:ext cx="1143000" cy="1143000"/>
    <xdr:pic>
      <xdr:nvPicPr>
        <xdr:cNvPr id="2213" name="0f92e246-0d15-4b1e-871b-2d9048eb383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0e2b2a7b5204af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2216</xdr:row>
      <xdr:rowOff>19050</xdr:rowOff>
    </xdr:from>
    <xdr:ext cx="1143000" cy="1143000"/>
    <xdr:pic>
      <xdr:nvPicPr>
        <xdr:cNvPr id="2214" name="b627f4b9-1148-4080-9fb6-c9bcc68bb8d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ebef6719b104a7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2217</xdr:row>
      <xdr:rowOff>19050</xdr:rowOff>
    </xdr:from>
    <xdr:ext cx="1143000" cy="1143000"/>
    <xdr:pic>
      <xdr:nvPicPr>
        <xdr:cNvPr id="2215" name="190d25e1-24ed-4d60-be21-cd0665967c5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b84000d267840b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2218</xdr:row>
      <xdr:rowOff>19050</xdr:rowOff>
    </xdr:from>
    <xdr:ext cx="1143000" cy="1143000"/>
    <xdr:pic>
      <xdr:nvPicPr>
        <xdr:cNvPr id="2216" name="7959bce3-9615-49dc-86a9-819201db699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5984e4b3d954ff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2219</xdr:row>
      <xdr:rowOff>19050</xdr:rowOff>
    </xdr:from>
    <xdr:ext cx="1143000" cy="1143000"/>
    <xdr:pic>
      <xdr:nvPicPr>
        <xdr:cNvPr id="2217" name="0cd001e8-3f0b-46ec-813f-6a15269bd67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c1f784dd8a6491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2220</xdr:row>
      <xdr:rowOff>19050</xdr:rowOff>
    </xdr:from>
    <xdr:ext cx="1143000" cy="1143000"/>
    <xdr:pic>
      <xdr:nvPicPr>
        <xdr:cNvPr id="2218" name="96e53fad-e7c3-4771-a5a6-9c708214906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a61f6fef1244cf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2221</xdr:row>
      <xdr:rowOff>19050</xdr:rowOff>
    </xdr:from>
    <xdr:ext cx="1143000" cy="1143000"/>
    <xdr:pic>
      <xdr:nvPicPr>
        <xdr:cNvPr id="2219" name="efb4fdcc-d19f-4b85-9783-0a3e8cb081d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826cf6d0321442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2222</xdr:row>
      <xdr:rowOff>19050</xdr:rowOff>
    </xdr:from>
    <xdr:ext cx="1143000" cy="1143000"/>
    <xdr:pic>
      <xdr:nvPicPr>
        <xdr:cNvPr id="2220" name="e59fb36a-363b-4507-b673-8f507fbb4bc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2f4b4f2dcf5487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2223</xdr:row>
      <xdr:rowOff>19050</xdr:rowOff>
    </xdr:from>
    <xdr:ext cx="1143000" cy="1143000"/>
    <xdr:pic>
      <xdr:nvPicPr>
        <xdr:cNvPr id="2221" name="20affda1-949b-42ef-964f-662ebc3723f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218c00f532b473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2224</xdr:row>
      <xdr:rowOff>19050</xdr:rowOff>
    </xdr:from>
    <xdr:ext cx="1143000" cy="1143000"/>
    <xdr:pic>
      <xdr:nvPicPr>
        <xdr:cNvPr id="2222" name="dc85d134-9a2c-4f5a-abe5-4392057af07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b98fe20f1b44f9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2225</xdr:row>
      <xdr:rowOff>19050</xdr:rowOff>
    </xdr:from>
    <xdr:ext cx="1143000" cy="1143000"/>
    <xdr:pic>
      <xdr:nvPicPr>
        <xdr:cNvPr id="2223" name="43c39892-d0d8-4418-94bf-028279ecbe9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1fd03007c984fd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2226</xdr:row>
      <xdr:rowOff>19050</xdr:rowOff>
    </xdr:from>
    <xdr:ext cx="1143000" cy="1143000"/>
    <xdr:pic>
      <xdr:nvPicPr>
        <xdr:cNvPr id="2224" name="8ec3075a-77f2-44b4-9bcb-05b0c868555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13569e9d3d048e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2227</xdr:row>
      <xdr:rowOff>19050</xdr:rowOff>
    </xdr:from>
    <xdr:ext cx="1143000" cy="1143000"/>
    <xdr:pic>
      <xdr:nvPicPr>
        <xdr:cNvPr id="2225" name="1957f2c3-c527-4297-a0b2-066a5173630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bc8f6586a1540d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2228</xdr:row>
      <xdr:rowOff>19050</xdr:rowOff>
    </xdr:from>
    <xdr:ext cx="1143000" cy="1143000"/>
    <xdr:pic>
      <xdr:nvPicPr>
        <xdr:cNvPr id="2226" name="59e28e29-371c-4513-b529-ac04067f607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97c5588807d402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2229</xdr:row>
      <xdr:rowOff>19050</xdr:rowOff>
    </xdr:from>
    <xdr:ext cx="1143000" cy="1143000"/>
    <xdr:pic>
      <xdr:nvPicPr>
        <xdr:cNvPr id="2227" name="a495a703-08a1-4465-8fbe-148ac23a675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6ad5ed3050b445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2230</xdr:row>
      <xdr:rowOff>19050</xdr:rowOff>
    </xdr:from>
    <xdr:ext cx="1143000" cy="1143000"/>
    <xdr:pic>
      <xdr:nvPicPr>
        <xdr:cNvPr id="2228" name="723c3682-e446-429a-8456-d10207cd86e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cf92c7e953c432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2231</xdr:row>
      <xdr:rowOff>19050</xdr:rowOff>
    </xdr:from>
    <xdr:ext cx="1143000" cy="1143000"/>
    <xdr:pic>
      <xdr:nvPicPr>
        <xdr:cNvPr id="2229" name="91b013bb-33c0-4565-8906-a9aad287eff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31dbf539cee495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2232</xdr:row>
      <xdr:rowOff>19050</xdr:rowOff>
    </xdr:from>
    <xdr:ext cx="1143000" cy="1143000"/>
    <xdr:pic>
      <xdr:nvPicPr>
        <xdr:cNvPr id="2230" name="de1e4ed9-dc05-455f-8293-0fdec26a628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f1711bc84c4497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2233</xdr:row>
      <xdr:rowOff>19050</xdr:rowOff>
    </xdr:from>
    <xdr:ext cx="1143000" cy="1143000"/>
    <xdr:pic>
      <xdr:nvPicPr>
        <xdr:cNvPr id="2231" name="82152465-ff32-4657-88e9-4dec50421df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e3a3017dda846d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2234</xdr:row>
      <xdr:rowOff>19050</xdr:rowOff>
    </xdr:from>
    <xdr:ext cx="1143000" cy="1143000"/>
    <xdr:pic>
      <xdr:nvPicPr>
        <xdr:cNvPr id="2232" name="ad65b235-0267-4a66-b2e6-e59a4e3c14f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fd313ff79204ab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2235</xdr:row>
      <xdr:rowOff>19050</xdr:rowOff>
    </xdr:from>
    <xdr:ext cx="1143000" cy="1143000"/>
    <xdr:pic>
      <xdr:nvPicPr>
        <xdr:cNvPr id="2233" name="6f4196e8-1e4d-44b7-919d-7c38ddf7c2a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b9f7fd70f9e430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2236</xdr:row>
      <xdr:rowOff>19050</xdr:rowOff>
    </xdr:from>
    <xdr:ext cx="1143000" cy="1143000"/>
    <xdr:pic>
      <xdr:nvPicPr>
        <xdr:cNvPr id="2234" name="c0568d09-bc11-47f3-a95b-d4689c716a4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f41e27dec254ed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2237</xdr:row>
      <xdr:rowOff>19050</xdr:rowOff>
    </xdr:from>
    <xdr:ext cx="1143000" cy="1143000"/>
    <xdr:pic>
      <xdr:nvPicPr>
        <xdr:cNvPr id="2235" name="fe264b6d-287b-4927-8d20-d645386ecea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5bead687fb14ae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2238</xdr:row>
      <xdr:rowOff>19050</xdr:rowOff>
    </xdr:from>
    <xdr:ext cx="1143000" cy="1143000"/>
    <xdr:pic>
      <xdr:nvPicPr>
        <xdr:cNvPr id="2236" name="b302ec43-4e56-40ac-bbf0-eef8f047cfc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10c810e96354de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2239</xdr:row>
      <xdr:rowOff>19050</xdr:rowOff>
    </xdr:from>
    <xdr:ext cx="1143000" cy="1143000"/>
    <xdr:pic>
      <xdr:nvPicPr>
        <xdr:cNvPr id="2237" name="1fa30a39-c0af-44db-ac68-76e89a59147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51d97f33a8c44b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2240</xdr:row>
      <xdr:rowOff>19050</xdr:rowOff>
    </xdr:from>
    <xdr:ext cx="1143000" cy="1143000"/>
    <xdr:pic>
      <xdr:nvPicPr>
        <xdr:cNvPr id="2238" name="bf0a96c6-abb8-4823-b4a0-5b4cb6ccfa2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e02dde49500407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2241</xdr:row>
      <xdr:rowOff>19050</xdr:rowOff>
    </xdr:from>
    <xdr:ext cx="1143000" cy="1143000"/>
    <xdr:pic>
      <xdr:nvPicPr>
        <xdr:cNvPr id="2239" name="a71e5677-97c1-484e-b54d-381cba27791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f3c37c8462e44d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2242</xdr:row>
      <xdr:rowOff>19050</xdr:rowOff>
    </xdr:from>
    <xdr:ext cx="1143000" cy="1143000"/>
    <xdr:pic>
      <xdr:nvPicPr>
        <xdr:cNvPr id="2240" name="fcee7c86-1231-405e-97ab-989985e044f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6aeb620b7b047a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2243</xdr:row>
      <xdr:rowOff>19050</xdr:rowOff>
    </xdr:from>
    <xdr:ext cx="1143000" cy="1143000"/>
    <xdr:pic>
      <xdr:nvPicPr>
        <xdr:cNvPr id="2241" name="47c063bc-3926-430d-9e88-4eb600dfcfa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40e434588fa41e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2244</xdr:row>
      <xdr:rowOff>19050</xdr:rowOff>
    </xdr:from>
    <xdr:ext cx="1143000" cy="1143000"/>
    <xdr:pic>
      <xdr:nvPicPr>
        <xdr:cNvPr id="2242" name="3db3c2fc-3cba-411c-90ee-19ba10dcd0d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776196007ff4d1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2245</xdr:row>
      <xdr:rowOff>19050</xdr:rowOff>
    </xdr:from>
    <xdr:ext cx="1143000" cy="1143000"/>
    <xdr:pic>
      <xdr:nvPicPr>
        <xdr:cNvPr id="2243" name="3da88727-1209-4250-a9b1-cc4ceced3e4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ced5674d8f04db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2246</xdr:row>
      <xdr:rowOff>19050</xdr:rowOff>
    </xdr:from>
    <xdr:ext cx="1143000" cy="1143000"/>
    <xdr:pic>
      <xdr:nvPicPr>
        <xdr:cNvPr id="2244" name="8bd1a66e-0112-41e4-9c23-a4c95df37e1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e285484ad18484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2247</xdr:row>
      <xdr:rowOff>19050</xdr:rowOff>
    </xdr:from>
    <xdr:ext cx="1143000" cy="1143000"/>
    <xdr:pic>
      <xdr:nvPicPr>
        <xdr:cNvPr id="2245" name="fde5befe-7c82-4e8d-8315-9c83897bb9d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394056d81d0454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2248</xdr:row>
      <xdr:rowOff>19050</xdr:rowOff>
    </xdr:from>
    <xdr:ext cx="1143000" cy="1143000"/>
    <xdr:pic>
      <xdr:nvPicPr>
        <xdr:cNvPr id="2246" name="5b0750b2-64f6-4ec9-a12f-291763f1642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63caaada87d470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2249</xdr:row>
      <xdr:rowOff>19050</xdr:rowOff>
    </xdr:from>
    <xdr:ext cx="1143000" cy="1143000"/>
    <xdr:pic>
      <xdr:nvPicPr>
        <xdr:cNvPr id="2247" name="39bc4789-c4e1-4c8c-8bfc-dcee0dea345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3d8b6049386468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2250</xdr:row>
      <xdr:rowOff>19050</xdr:rowOff>
    </xdr:from>
    <xdr:ext cx="1143000" cy="1143000"/>
    <xdr:pic>
      <xdr:nvPicPr>
        <xdr:cNvPr id="2248" name="f814001d-255f-41dd-9506-c08852e944e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7338ebadc2b4e9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2251</xdr:row>
      <xdr:rowOff>19050</xdr:rowOff>
    </xdr:from>
    <xdr:ext cx="1143000" cy="1143000"/>
    <xdr:pic>
      <xdr:nvPicPr>
        <xdr:cNvPr id="2249" name="29a619c1-3912-4e08-81a1-36045272fe3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5cab7d9d6c0471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2252</xdr:row>
      <xdr:rowOff>19050</xdr:rowOff>
    </xdr:from>
    <xdr:ext cx="1143000" cy="1143000"/>
    <xdr:pic>
      <xdr:nvPicPr>
        <xdr:cNvPr id="2250" name="301c89ae-4172-401c-b68e-41ecdec3d21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0b5b24331d4475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2253</xdr:row>
      <xdr:rowOff>19050</xdr:rowOff>
    </xdr:from>
    <xdr:ext cx="1143000" cy="1143000"/>
    <xdr:pic>
      <xdr:nvPicPr>
        <xdr:cNvPr id="2251" name="827ceeba-b570-4f74-9591-221fd781715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3a1ce380759460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2254</xdr:row>
      <xdr:rowOff>19050</xdr:rowOff>
    </xdr:from>
    <xdr:ext cx="1143000" cy="1143000"/>
    <xdr:pic>
      <xdr:nvPicPr>
        <xdr:cNvPr id="2252" name="8fea824b-5fed-4190-b492-c0ea6ae9360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370deb367a441e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2255</xdr:row>
      <xdr:rowOff>19050</xdr:rowOff>
    </xdr:from>
    <xdr:ext cx="1143000" cy="1143000"/>
    <xdr:pic>
      <xdr:nvPicPr>
        <xdr:cNvPr id="2253" name="5d6023a8-07bb-4f43-a681-41bc82bbca4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01fd0244f7f44d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2256</xdr:row>
      <xdr:rowOff>19050</xdr:rowOff>
    </xdr:from>
    <xdr:ext cx="1143000" cy="1143000"/>
    <xdr:pic>
      <xdr:nvPicPr>
        <xdr:cNvPr id="2254" name="b69ad562-58f8-4012-a6bc-151dc5d9bd6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dfc66840ca0475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2257</xdr:row>
      <xdr:rowOff>19050</xdr:rowOff>
    </xdr:from>
    <xdr:ext cx="1143000" cy="1143000"/>
    <xdr:pic>
      <xdr:nvPicPr>
        <xdr:cNvPr id="2255" name="639fd1c0-82f8-4e64-9df8-0bce0ab3450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76386ee7ed742e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2258</xdr:row>
      <xdr:rowOff>19050</xdr:rowOff>
    </xdr:from>
    <xdr:ext cx="1143000" cy="1143000"/>
    <xdr:pic>
      <xdr:nvPicPr>
        <xdr:cNvPr id="2256" name="5a9695d9-73e3-4875-9f9d-36843c78e17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04bf9f551c0489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2259</xdr:row>
      <xdr:rowOff>19050</xdr:rowOff>
    </xdr:from>
    <xdr:ext cx="1143000" cy="1143000"/>
    <xdr:pic>
      <xdr:nvPicPr>
        <xdr:cNvPr id="2257" name="be9182e0-e5b7-49d4-a195-016df847f60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52b4b3bbe71499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2260</xdr:row>
      <xdr:rowOff>19050</xdr:rowOff>
    </xdr:from>
    <xdr:ext cx="1143000" cy="1143000"/>
    <xdr:pic>
      <xdr:nvPicPr>
        <xdr:cNvPr id="2258" name="f3cec01d-4be1-4340-b1a7-75eab89377d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c52fc592fd44c5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2261</xdr:row>
      <xdr:rowOff>19050</xdr:rowOff>
    </xdr:from>
    <xdr:ext cx="1143000" cy="1143000"/>
    <xdr:pic>
      <xdr:nvPicPr>
        <xdr:cNvPr id="2259" name="a27a6b83-853d-4bfe-841f-2ca7f068dbf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3c51f85e4b6443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2262</xdr:row>
      <xdr:rowOff>19050</xdr:rowOff>
    </xdr:from>
    <xdr:ext cx="1143000" cy="1143000"/>
    <xdr:pic>
      <xdr:nvPicPr>
        <xdr:cNvPr id="2260" name="871af10d-1cd4-45e6-8b21-9f2a2cbe868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d37d907943645c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2263</xdr:row>
      <xdr:rowOff>19050</xdr:rowOff>
    </xdr:from>
    <xdr:ext cx="1143000" cy="1143000"/>
    <xdr:pic>
      <xdr:nvPicPr>
        <xdr:cNvPr id="2261" name="3baf2e2d-b867-4f2f-ac9b-f27555822f4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d9c85bc4269460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2264</xdr:row>
      <xdr:rowOff>19050</xdr:rowOff>
    </xdr:from>
    <xdr:ext cx="1143000" cy="1143000"/>
    <xdr:pic>
      <xdr:nvPicPr>
        <xdr:cNvPr id="2262" name="aaebff13-da52-43bf-aaa6-c9c2536687b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d5028eb73f04ed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2265</xdr:row>
      <xdr:rowOff>19050</xdr:rowOff>
    </xdr:from>
    <xdr:ext cx="1143000" cy="1143000"/>
    <xdr:pic>
      <xdr:nvPicPr>
        <xdr:cNvPr id="2263" name="4c1668da-0860-47b1-a7cd-cc69e350b62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e55f25a499e4f6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2266</xdr:row>
      <xdr:rowOff>19050</xdr:rowOff>
    </xdr:from>
    <xdr:ext cx="1143000" cy="1143000"/>
    <xdr:pic>
      <xdr:nvPicPr>
        <xdr:cNvPr id="2264" name="fc8fe1a1-2713-4f08-bb77-d0e5113c0e8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932d852774f49b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2267</xdr:row>
      <xdr:rowOff>19050</xdr:rowOff>
    </xdr:from>
    <xdr:ext cx="1143000" cy="1143000"/>
    <xdr:pic>
      <xdr:nvPicPr>
        <xdr:cNvPr id="2265" name="7e311343-0a8e-49ca-a94e-d9b734187c4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c7b7aa8f75041f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2268</xdr:row>
      <xdr:rowOff>19050</xdr:rowOff>
    </xdr:from>
    <xdr:ext cx="1143000" cy="1143000"/>
    <xdr:pic>
      <xdr:nvPicPr>
        <xdr:cNvPr id="2266" name="f5a0ff54-4506-49e4-8657-e5f0c2f910f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9127147739f4c8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2269</xdr:row>
      <xdr:rowOff>19050</xdr:rowOff>
    </xdr:from>
    <xdr:ext cx="1143000" cy="1143000"/>
    <xdr:pic>
      <xdr:nvPicPr>
        <xdr:cNvPr id="2267" name="eb1e5049-6705-486a-81f4-322b75ce73c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9ee2c2e488149e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2270</xdr:row>
      <xdr:rowOff>19050</xdr:rowOff>
    </xdr:from>
    <xdr:ext cx="1143000" cy="1143000"/>
    <xdr:pic>
      <xdr:nvPicPr>
        <xdr:cNvPr id="2268" name="291ebcab-a74a-429c-8439-527b8ab1cc3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d68d442e90c4c8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2271</xdr:row>
      <xdr:rowOff>19050</xdr:rowOff>
    </xdr:from>
    <xdr:ext cx="1143000" cy="1143000"/>
    <xdr:pic>
      <xdr:nvPicPr>
        <xdr:cNvPr id="2269" name="09fd5817-cfc5-489a-98c4-ccbc3deb585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247de7a199a409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2272</xdr:row>
      <xdr:rowOff>19050</xdr:rowOff>
    </xdr:from>
    <xdr:ext cx="1143000" cy="1143000"/>
    <xdr:pic>
      <xdr:nvPicPr>
        <xdr:cNvPr id="2270" name="b9d0fbeb-2af0-4ff2-8151-6a067b94aa5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33746b4d81f49f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2273</xdr:row>
      <xdr:rowOff>19050</xdr:rowOff>
    </xdr:from>
    <xdr:ext cx="1143000" cy="1143000"/>
    <xdr:pic>
      <xdr:nvPicPr>
        <xdr:cNvPr id="2271" name="41868471-3f3f-4ea5-80e5-7282554dc11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d28869c4fe8442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2274</xdr:row>
      <xdr:rowOff>19050</xdr:rowOff>
    </xdr:from>
    <xdr:ext cx="1143000" cy="1143000"/>
    <xdr:pic>
      <xdr:nvPicPr>
        <xdr:cNvPr id="2272" name="d650ece7-7567-4217-85c3-00689537b37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55fedb1ce9745c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2275</xdr:row>
      <xdr:rowOff>19050</xdr:rowOff>
    </xdr:from>
    <xdr:ext cx="1143000" cy="1143000"/>
    <xdr:pic>
      <xdr:nvPicPr>
        <xdr:cNvPr id="2273" name="8be4caa2-4f8d-424c-ab25-25148833f4d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eeb01a8ee794d5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2276</xdr:row>
      <xdr:rowOff>19050</xdr:rowOff>
    </xdr:from>
    <xdr:ext cx="1143000" cy="1143000"/>
    <xdr:pic>
      <xdr:nvPicPr>
        <xdr:cNvPr id="2274" name="ea599fd0-d474-49d3-b091-9ca92e1101d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8e2b11da7f440b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2277</xdr:row>
      <xdr:rowOff>19050</xdr:rowOff>
    </xdr:from>
    <xdr:ext cx="1143000" cy="1143000"/>
    <xdr:pic>
      <xdr:nvPicPr>
        <xdr:cNvPr id="2275" name="8007014d-32e3-4344-827a-eb7bde3f64a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1d02858a96e48c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2278</xdr:row>
      <xdr:rowOff>19050</xdr:rowOff>
    </xdr:from>
    <xdr:ext cx="1143000" cy="1143000"/>
    <xdr:pic>
      <xdr:nvPicPr>
        <xdr:cNvPr id="2276" name="3e9b17ff-2d0f-4add-afaf-c23d913032e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c6741123b704ab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2279</xdr:row>
      <xdr:rowOff>19050</xdr:rowOff>
    </xdr:from>
    <xdr:ext cx="1143000" cy="1143000"/>
    <xdr:pic>
      <xdr:nvPicPr>
        <xdr:cNvPr id="2277" name="07cf2c82-77e8-4296-a69c-274241c10b0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aa1217fa7d4467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2280</xdr:row>
      <xdr:rowOff>19050</xdr:rowOff>
    </xdr:from>
    <xdr:ext cx="1143000" cy="1143000"/>
    <xdr:pic>
      <xdr:nvPicPr>
        <xdr:cNvPr id="2278" name="ca9e6e6c-19d3-4577-9f6e-730999ba55d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cd8398d55a64ae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2281</xdr:row>
      <xdr:rowOff>19050</xdr:rowOff>
    </xdr:from>
    <xdr:ext cx="1143000" cy="1143000"/>
    <xdr:pic>
      <xdr:nvPicPr>
        <xdr:cNvPr id="2279" name="41712412-734a-4847-b7f3-67c7405ebea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8e3917ce551460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2282</xdr:row>
      <xdr:rowOff>19050</xdr:rowOff>
    </xdr:from>
    <xdr:ext cx="1143000" cy="1143000"/>
    <xdr:pic>
      <xdr:nvPicPr>
        <xdr:cNvPr id="2280" name="76c035d9-8c9f-4e6f-832c-84de4dc6c6c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8c5c5c33be148f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2283</xdr:row>
      <xdr:rowOff>19050</xdr:rowOff>
    </xdr:from>
    <xdr:ext cx="1143000" cy="1143000"/>
    <xdr:pic>
      <xdr:nvPicPr>
        <xdr:cNvPr id="2281" name="0930eca3-2e87-4d0a-8ca8-7f42bf8d321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08827b60bf2421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2284</xdr:row>
      <xdr:rowOff>19050</xdr:rowOff>
    </xdr:from>
    <xdr:ext cx="1143000" cy="1143000"/>
    <xdr:pic>
      <xdr:nvPicPr>
        <xdr:cNvPr id="2282" name="9bc8ab84-2c98-4c70-954a-2b336fce428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7ebff8c62c944e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2285</xdr:row>
      <xdr:rowOff>19050</xdr:rowOff>
    </xdr:from>
    <xdr:ext cx="1143000" cy="1143000"/>
    <xdr:pic>
      <xdr:nvPicPr>
        <xdr:cNvPr id="2283" name="9c930428-b21f-41c0-8d05-923d43be1ae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af7eefbe0424f7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2286</xdr:row>
      <xdr:rowOff>19050</xdr:rowOff>
    </xdr:from>
    <xdr:ext cx="1143000" cy="1143000"/>
    <xdr:pic>
      <xdr:nvPicPr>
        <xdr:cNvPr id="2284" name="24cb2265-bd54-4037-8323-780177acd6d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07853cc56c14d7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2287</xdr:row>
      <xdr:rowOff>19050</xdr:rowOff>
    </xdr:from>
    <xdr:ext cx="1143000" cy="1143000"/>
    <xdr:pic>
      <xdr:nvPicPr>
        <xdr:cNvPr id="2285" name="0422f4ef-641d-4d3c-ae1b-f3a169682e7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8575d232f7f457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2288</xdr:row>
      <xdr:rowOff>19050</xdr:rowOff>
    </xdr:from>
    <xdr:ext cx="1143000" cy="1143000"/>
    <xdr:pic>
      <xdr:nvPicPr>
        <xdr:cNvPr id="2286" name="079fbde3-4b8e-429a-a6d8-73b168c2074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982cae4eae648e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2289</xdr:row>
      <xdr:rowOff>19050</xdr:rowOff>
    </xdr:from>
    <xdr:ext cx="1143000" cy="1143000"/>
    <xdr:pic>
      <xdr:nvPicPr>
        <xdr:cNvPr id="2287" name="0a3dc9e7-a729-447f-a260-a54bd460a1b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3b211418a98441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2290</xdr:row>
      <xdr:rowOff>19050</xdr:rowOff>
    </xdr:from>
    <xdr:ext cx="1143000" cy="1143000"/>
    <xdr:pic>
      <xdr:nvPicPr>
        <xdr:cNvPr id="2288" name="be891972-f7d4-4d03-a3bd-1fdf20c127c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cdbd1f6bd494eb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2291</xdr:row>
      <xdr:rowOff>19050</xdr:rowOff>
    </xdr:from>
    <xdr:ext cx="1143000" cy="1143000"/>
    <xdr:pic>
      <xdr:nvPicPr>
        <xdr:cNvPr id="2289" name="ec959dc9-79ba-45d3-b334-9f74f41627d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f2aac9f9167432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2292</xdr:row>
      <xdr:rowOff>19050</xdr:rowOff>
    </xdr:from>
    <xdr:ext cx="1143000" cy="1143000"/>
    <xdr:pic>
      <xdr:nvPicPr>
        <xdr:cNvPr id="2290" name="e8ddc2f8-13f0-4734-be69-4b67bd5c440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65db7a55a5c4b6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2293</xdr:row>
      <xdr:rowOff>19050</xdr:rowOff>
    </xdr:from>
    <xdr:ext cx="1143000" cy="1143000"/>
    <xdr:pic>
      <xdr:nvPicPr>
        <xdr:cNvPr id="2291" name="d5582cf9-dede-4b7e-92c7-ef89c5393b6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92738079699439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2294</xdr:row>
      <xdr:rowOff>19050</xdr:rowOff>
    </xdr:from>
    <xdr:ext cx="1143000" cy="1143000"/>
    <xdr:pic>
      <xdr:nvPicPr>
        <xdr:cNvPr id="2292" name="c265d3ea-920c-45ce-a2dc-ab799c0d562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bc7557ba1904f0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2295</xdr:row>
      <xdr:rowOff>19050</xdr:rowOff>
    </xdr:from>
    <xdr:ext cx="1143000" cy="1143000"/>
    <xdr:pic>
      <xdr:nvPicPr>
        <xdr:cNvPr id="2293" name="fcf9a375-2f27-4d28-85cb-b92954c0df1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9fa86b4b11a47f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2296</xdr:row>
      <xdr:rowOff>19050</xdr:rowOff>
    </xdr:from>
    <xdr:ext cx="1143000" cy="1143000"/>
    <xdr:pic>
      <xdr:nvPicPr>
        <xdr:cNvPr id="2294" name="b595af2b-a9f5-4ab2-acbf-c286680c823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c7167676044496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2297</xdr:row>
      <xdr:rowOff>19050</xdr:rowOff>
    </xdr:from>
    <xdr:ext cx="1143000" cy="1143000"/>
    <xdr:pic>
      <xdr:nvPicPr>
        <xdr:cNvPr id="2295" name="c869d15f-5c5d-4f13-af55-4ff865a2376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436287d9bf7465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2298</xdr:row>
      <xdr:rowOff>19050</xdr:rowOff>
    </xdr:from>
    <xdr:ext cx="1143000" cy="1143000"/>
    <xdr:pic>
      <xdr:nvPicPr>
        <xdr:cNvPr id="2296" name="1c8b40f7-c5fe-4d70-949b-37256e0d873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d3d444aae5545b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2299</xdr:row>
      <xdr:rowOff>19050</xdr:rowOff>
    </xdr:from>
    <xdr:ext cx="1143000" cy="1143000"/>
    <xdr:pic>
      <xdr:nvPicPr>
        <xdr:cNvPr id="2297" name="7d1af454-34db-4650-b7cf-95ecbd72bc3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a4804fd361f495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2300</xdr:row>
      <xdr:rowOff>19050</xdr:rowOff>
    </xdr:from>
    <xdr:ext cx="1143000" cy="1143000"/>
    <xdr:pic>
      <xdr:nvPicPr>
        <xdr:cNvPr id="2298" name="68d7f2cf-2d94-4a8b-92da-bb6ab280612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2f7e53ce42f452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2301</xdr:row>
      <xdr:rowOff>19050</xdr:rowOff>
    </xdr:from>
    <xdr:ext cx="1143000" cy="1143000"/>
    <xdr:pic>
      <xdr:nvPicPr>
        <xdr:cNvPr id="2299" name="c31dc384-ac0a-4859-a4a1-c3f43f7f872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bbd090632cc45f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2302</xdr:row>
      <xdr:rowOff>19050</xdr:rowOff>
    </xdr:from>
    <xdr:ext cx="1143000" cy="1143000"/>
    <xdr:pic>
      <xdr:nvPicPr>
        <xdr:cNvPr id="2300" name="b9a4f808-d87a-49a7-aaa0-8ae4cf3b9c5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db2b28ca04e48b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2303</xdr:row>
      <xdr:rowOff>19050</xdr:rowOff>
    </xdr:from>
    <xdr:ext cx="1143000" cy="1143000"/>
    <xdr:pic>
      <xdr:nvPicPr>
        <xdr:cNvPr id="2301" name="1ceebf4a-1eb7-4aeb-9a7a-41f7155e0a0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0d3ff660fb64c4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2304</xdr:row>
      <xdr:rowOff>19050</xdr:rowOff>
    </xdr:from>
    <xdr:ext cx="1143000" cy="1143000"/>
    <xdr:pic>
      <xdr:nvPicPr>
        <xdr:cNvPr id="2302" name="2e9395ae-10e5-4a1f-a3dd-3202045183e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5bcf7e228bd40b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2305</xdr:row>
      <xdr:rowOff>19050</xdr:rowOff>
    </xdr:from>
    <xdr:ext cx="1143000" cy="1143000"/>
    <xdr:pic>
      <xdr:nvPicPr>
        <xdr:cNvPr id="2303" name="4e384bc2-2e03-4442-9fa9-11a09395543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4c3780589f44a5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2306</xdr:row>
      <xdr:rowOff>19050</xdr:rowOff>
    </xdr:from>
    <xdr:ext cx="1143000" cy="1143000"/>
    <xdr:pic>
      <xdr:nvPicPr>
        <xdr:cNvPr id="2304" name="0d17260b-5497-4cc0-aeee-f02d1e846f9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ada43b08f7b4bd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2307</xdr:row>
      <xdr:rowOff>19050</xdr:rowOff>
    </xdr:from>
    <xdr:ext cx="1143000" cy="1143000"/>
    <xdr:pic>
      <xdr:nvPicPr>
        <xdr:cNvPr id="2305" name="ec76906b-b683-462f-a75c-a140f2a5aa5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5c9cbde5145488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2308</xdr:row>
      <xdr:rowOff>19050</xdr:rowOff>
    </xdr:from>
    <xdr:ext cx="1143000" cy="1143000"/>
    <xdr:pic>
      <xdr:nvPicPr>
        <xdr:cNvPr id="2306" name="328232df-3d51-4fc1-95c6-1c3fc2ea64d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12fc12d9fab4f3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2309</xdr:row>
      <xdr:rowOff>19050</xdr:rowOff>
    </xdr:from>
    <xdr:ext cx="1143000" cy="1143000"/>
    <xdr:pic>
      <xdr:nvPicPr>
        <xdr:cNvPr id="2307" name="1b3027f2-5b14-4ba2-9174-56ff283e312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545de0c2c00420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2310</xdr:row>
      <xdr:rowOff>19050</xdr:rowOff>
    </xdr:from>
    <xdr:ext cx="1143000" cy="1143000"/>
    <xdr:pic>
      <xdr:nvPicPr>
        <xdr:cNvPr id="2308" name="f6e4f1a6-c157-4c4f-b77c-5bbb9cc925f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9d59f8c65b4483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2311</xdr:row>
      <xdr:rowOff>19050</xdr:rowOff>
    </xdr:from>
    <xdr:ext cx="1143000" cy="1143000"/>
    <xdr:pic>
      <xdr:nvPicPr>
        <xdr:cNvPr id="2309" name="4e0d1f7a-0186-40af-8179-b340db3e7a0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86eed6aa554409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2312</xdr:row>
      <xdr:rowOff>19050</xdr:rowOff>
    </xdr:from>
    <xdr:ext cx="1143000" cy="1143000"/>
    <xdr:pic>
      <xdr:nvPicPr>
        <xdr:cNvPr id="2310" name="fb7e0388-42d3-4cf9-8fc4-aa7b5852c01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fbc12f7ec30431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2313</xdr:row>
      <xdr:rowOff>19050</xdr:rowOff>
    </xdr:from>
    <xdr:ext cx="1143000" cy="1143000"/>
    <xdr:pic>
      <xdr:nvPicPr>
        <xdr:cNvPr id="2311" name="78fb030e-1034-4307-96ae-ed740ffaa78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bd884224adc4be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2314</xdr:row>
      <xdr:rowOff>19050</xdr:rowOff>
    </xdr:from>
    <xdr:ext cx="1143000" cy="1143000"/>
    <xdr:pic>
      <xdr:nvPicPr>
        <xdr:cNvPr id="2312" name="7692c862-89c9-4d08-b2f1-7bf1db73f73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dff588f4ca443c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2315</xdr:row>
      <xdr:rowOff>19050</xdr:rowOff>
    </xdr:from>
    <xdr:ext cx="1143000" cy="1143000"/>
    <xdr:pic>
      <xdr:nvPicPr>
        <xdr:cNvPr id="2313" name="5515f474-40b1-4131-a3bf-7d034f5c930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3f9688db02b4f5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2316</xdr:row>
      <xdr:rowOff>19050</xdr:rowOff>
    </xdr:from>
    <xdr:ext cx="1143000" cy="1143000"/>
    <xdr:pic>
      <xdr:nvPicPr>
        <xdr:cNvPr id="2314" name="f6c37c6a-35bd-40fa-bc9c-d19bc21e603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2b89fdf878d408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2317</xdr:row>
      <xdr:rowOff>19050</xdr:rowOff>
    </xdr:from>
    <xdr:ext cx="1143000" cy="1143000"/>
    <xdr:pic>
      <xdr:nvPicPr>
        <xdr:cNvPr id="2315" name="654b91a6-4785-456a-8ebc-116b6cd74e3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63659f6dc0d498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2318</xdr:row>
      <xdr:rowOff>19050</xdr:rowOff>
    </xdr:from>
    <xdr:ext cx="1143000" cy="1143000"/>
    <xdr:pic>
      <xdr:nvPicPr>
        <xdr:cNvPr id="2316" name="969057f7-fba2-477f-9ec5-f9d50f09591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e69076d55a74dd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2319</xdr:row>
      <xdr:rowOff>19050</xdr:rowOff>
    </xdr:from>
    <xdr:ext cx="1143000" cy="1143000"/>
    <xdr:pic>
      <xdr:nvPicPr>
        <xdr:cNvPr id="2317" name="22d37ddf-31d3-4dfd-8e84-ba886afbe0c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30b3821a01949b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2320</xdr:row>
      <xdr:rowOff>19050</xdr:rowOff>
    </xdr:from>
    <xdr:ext cx="1143000" cy="1143000"/>
    <xdr:pic>
      <xdr:nvPicPr>
        <xdr:cNvPr id="2318" name="22df8740-14ad-4c56-b63f-3c80679587c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c2aadadc3da468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2321</xdr:row>
      <xdr:rowOff>19050</xdr:rowOff>
    </xdr:from>
    <xdr:ext cx="1143000" cy="1143000"/>
    <xdr:pic>
      <xdr:nvPicPr>
        <xdr:cNvPr id="2319" name="c2d73259-1ac2-4f37-b00a-085902eb862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41e3f4daca947a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2322</xdr:row>
      <xdr:rowOff>19050</xdr:rowOff>
    </xdr:from>
    <xdr:ext cx="1143000" cy="1143000"/>
    <xdr:pic>
      <xdr:nvPicPr>
        <xdr:cNvPr id="2320" name="939fe763-0720-4331-adb0-ef6c329bf67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50fffaac1c84ca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2323</xdr:row>
      <xdr:rowOff>19050</xdr:rowOff>
    </xdr:from>
    <xdr:ext cx="1143000" cy="1143000"/>
    <xdr:pic>
      <xdr:nvPicPr>
        <xdr:cNvPr id="2321" name="bd3b1156-b2b9-4cda-b777-c8c63548ec2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59e753e583c484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2324</xdr:row>
      <xdr:rowOff>19050</xdr:rowOff>
    </xdr:from>
    <xdr:ext cx="1143000" cy="1143000"/>
    <xdr:pic>
      <xdr:nvPicPr>
        <xdr:cNvPr id="2322" name="ca84f67f-ef2a-461f-b80e-65184bd2e21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8f53c5d7fca411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2325</xdr:row>
      <xdr:rowOff>19050</xdr:rowOff>
    </xdr:from>
    <xdr:ext cx="1143000" cy="1143000"/>
    <xdr:pic>
      <xdr:nvPicPr>
        <xdr:cNvPr id="2323" name="1f078dd5-4750-44e3-80c2-e3e7db1ddf8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fa28c25793949d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2326</xdr:row>
      <xdr:rowOff>19050</xdr:rowOff>
    </xdr:from>
    <xdr:ext cx="1143000" cy="1143000"/>
    <xdr:pic>
      <xdr:nvPicPr>
        <xdr:cNvPr id="2324" name="693c19f5-760c-45c4-b023-73695189bce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6e17a3e81904cb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2327</xdr:row>
      <xdr:rowOff>19050</xdr:rowOff>
    </xdr:from>
    <xdr:ext cx="1143000" cy="1143000"/>
    <xdr:pic>
      <xdr:nvPicPr>
        <xdr:cNvPr id="2325" name="affa88b0-957b-4227-93a7-08adde284c8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fbe44ad27dd4ef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2328</xdr:row>
      <xdr:rowOff>19050</xdr:rowOff>
    </xdr:from>
    <xdr:ext cx="1143000" cy="1143000"/>
    <xdr:pic>
      <xdr:nvPicPr>
        <xdr:cNvPr id="2326" name="1e16eb30-1496-48ba-a641-da1d3afc70e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0c5146302b1410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2329</xdr:row>
      <xdr:rowOff>19050</xdr:rowOff>
    </xdr:from>
    <xdr:ext cx="1143000" cy="1143000"/>
    <xdr:pic>
      <xdr:nvPicPr>
        <xdr:cNvPr id="2327" name="3cf26bb6-1544-463a-92d1-f158795b4e9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9032d8999b64c6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2330</xdr:row>
      <xdr:rowOff>19050</xdr:rowOff>
    </xdr:from>
    <xdr:ext cx="1143000" cy="1143000"/>
    <xdr:pic>
      <xdr:nvPicPr>
        <xdr:cNvPr id="2328" name="82d91f4d-5955-4275-a65f-29930020fcb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aee24f041fc42b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2331</xdr:row>
      <xdr:rowOff>19050</xdr:rowOff>
    </xdr:from>
    <xdr:ext cx="1143000" cy="1143000"/>
    <xdr:pic>
      <xdr:nvPicPr>
        <xdr:cNvPr id="2329" name="a4f28e80-92aa-4118-a174-87470c46183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5265428737b4fb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2332</xdr:row>
      <xdr:rowOff>19050</xdr:rowOff>
    </xdr:from>
    <xdr:ext cx="1143000" cy="1143000"/>
    <xdr:pic>
      <xdr:nvPicPr>
        <xdr:cNvPr id="2330" name="aadb2adf-dda2-4cfa-a3b3-a58631701d0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970e2d93430426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2333</xdr:row>
      <xdr:rowOff>19050</xdr:rowOff>
    </xdr:from>
    <xdr:ext cx="1143000" cy="1143000"/>
    <xdr:pic>
      <xdr:nvPicPr>
        <xdr:cNvPr id="2331" name="50de29d0-bc95-4885-9a48-3c74eb36724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97e00c993384aa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2334</xdr:row>
      <xdr:rowOff>19050</xdr:rowOff>
    </xdr:from>
    <xdr:ext cx="1143000" cy="1143000"/>
    <xdr:pic>
      <xdr:nvPicPr>
        <xdr:cNvPr id="2332" name="ef93db28-3f9d-4805-bb69-b0655ad1f60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9adba7f8a13409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2335</xdr:row>
      <xdr:rowOff>19050</xdr:rowOff>
    </xdr:from>
    <xdr:ext cx="1143000" cy="1143000"/>
    <xdr:pic>
      <xdr:nvPicPr>
        <xdr:cNvPr id="2333" name="a65333dd-a55a-4f24-91e0-dbbfaf070ac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065f951c51d495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2336</xdr:row>
      <xdr:rowOff>19050</xdr:rowOff>
    </xdr:from>
    <xdr:ext cx="1143000" cy="1143000"/>
    <xdr:pic>
      <xdr:nvPicPr>
        <xdr:cNvPr id="2334" name="853db08a-f32c-4052-9c99-a6905cbb912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541480b4c3846d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2337</xdr:row>
      <xdr:rowOff>19050</xdr:rowOff>
    </xdr:from>
    <xdr:ext cx="1143000" cy="1143000"/>
    <xdr:pic>
      <xdr:nvPicPr>
        <xdr:cNvPr id="2335" name="8c863277-0a21-48e4-8f6d-8d465426eaa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22a422d3047449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2338</xdr:row>
      <xdr:rowOff>19050</xdr:rowOff>
    </xdr:from>
    <xdr:ext cx="1143000" cy="1143000"/>
    <xdr:pic>
      <xdr:nvPicPr>
        <xdr:cNvPr id="2336" name="d3f952e0-e93d-40da-90f0-e0414b08010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27b01afa6914cd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2339</xdr:row>
      <xdr:rowOff>19050</xdr:rowOff>
    </xdr:from>
    <xdr:ext cx="1143000" cy="1143000"/>
    <xdr:pic>
      <xdr:nvPicPr>
        <xdr:cNvPr id="2337" name="ce1be308-c1a3-4267-87c2-4e7f26e3de1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973b2e614d0450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2340</xdr:row>
      <xdr:rowOff>19050</xdr:rowOff>
    </xdr:from>
    <xdr:ext cx="1143000" cy="1143000"/>
    <xdr:pic>
      <xdr:nvPicPr>
        <xdr:cNvPr id="2338" name="3827e99c-73fc-4bfb-93eb-b01049fe518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f99e6026c9048c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2341</xdr:row>
      <xdr:rowOff>19050</xdr:rowOff>
    </xdr:from>
    <xdr:ext cx="1143000" cy="1143000"/>
    <xdr:pic>
      <xdr:nvPicPr>
        <xdr:cNvPr id="2339" name="f8c2f8c6-98c5-4be0-b12a-9d1c54a238d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d4e6fc1e8774bb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2342</xdr:row>
      <xdr:rowOff>19050</xdr:rowOff>
    </xdr:from>
    <xdr:ext cx="1143000" cy="1143000"/>
    <xdr:pic>
      <xdr:nvPicPr>
        <xdr:cNvPr id="2340" name="3023cae6-7c89-431c-8cff-c8d4188c195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349019ce324418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2343</xdr:row>
      <xdr:rowOff>19050</xdr:rowOff>
    </xdr:from>
    <xdr:ext cx="1143000" cy="1143000"/>
    <xdr:pic>
      <xdr:nvPicPr>
        <xdr:cNvPr id="2341" name="2035a5ad-3d61-4da5-9868-ee5207f44c2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5ba750d1a5f4f1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2344</xdr:row>
      <xdr:rowOff>19050</xdr:rowOff>
    </xdr:from>
    <xdr:ext cx="1143000" cy="1143000"/>
    <xdr:pic>
      <xdr:nvPicPr>
        <xdr:cNvPr id="2342" name="c8a06737-5365-4cd0-acae-3148647d78d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9d79ba770e0435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2345</xdr:row>
      <xdr:rowOff>19050</xdr:rowOff>
    </xdr:from>
    <xdr:ext cx="1143000" cy="1143000"/>
    <xdr:pic>
      <xdr:nvPicPr>
        <xdr:cNvPr id="2343" name="36ef1f39-149f-472d-adc7-f848e2094cb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3ea20c54329483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2346</xdr:row>
      <xdr:rowOff>19050</xdr:rowOff>
    </xdr:from>
    <xdr:ext cx="1143000" cy="1143000"/>
    <xdr:pic>
      <xdr:nvPicPr>
        <xdr:cNvPr id="2344" name="881351dc-ea10-4b48-9c9a-2c15ffd98c7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31a339cb4aa4c1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2347</xdr:row>
      <xdr:rowOff>19050</xdr:rowOff>
    </xdr:from>
    <xdr:ext cx="1143000" cy="1143000"/>
    <xdr:pic>
      <xdr:nvPicPr>
        <xdr:cNvPr id="2345" name="8d06f318-c2c7-49a0-b544-54eb6d09146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205123d77a7413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2348</xdr:row>
      <xdr:rowOff>19050</xdr:rowOff>
    </xdr:from>
    <xdr:ext cx="1143000" cy="1143000"/>
    <xdr:pic>
      <xdr:nvPicPr>
        <xdr:cNvPr id="2346" name="080ab736-768a-4e81-81af-cf0857b9283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942eaa6fee9411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2349</xdr:row>
      <xdr:rowOff>19050</xdr:rowOff>
    </xdr:from>
    <xdr:ext cx="1143000" cy="1143000"/>
    <xdr:pic>
      <xdr:nvPicPr>
        <xdr:cNvPr id="2347" name="28873e71-335b-4f73-b031-61f3386def1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c7e7e0651bb40f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2350</xdr:row>
      <xdr:rowOff>19050</xdr:rowOff>
    </xdr:from>
    <xdr:ext cx="1143000" cy="1143000"/>
    <xdr:pic>
      <xdr:nvPicPr>
        <xdr:cNvPr id="2348" name="3c2ad409-75a2-454f-82fb-0262949b9ab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12386d2bfe44c1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2351</xdr:row>
      <xdr:rowOff>19050</xdr:rowOff>
    </xdr:from>
    <xdr:ext cx="1143000" cy="1143000"/>
    <xdr:pic>
      <xdr:nvPicPr>
        <xdr:cNvPr id="2349" name="28bd9e28-4427-4ad7-8558-354d1585ea6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70a54283cae43f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2352</xdr:row>
      <xdr:rowOff>19050</xdr:rowOff>
    </xdr:from>
    <xdr:ext cx="1143000" cy="1143000"/>
    <xdr:pic>
      <xdr:nvPicPr>
        <xdr:cNvPr id="2350" name="11a0125a-739d-44ac-9f02-06eaf1c7e55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173f8abb327437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2353</xdr:row>
      <xdr:rowOff>19050</xdr:rowOff>
    </xdr:from>
    <xdr:ext cx="1143000" cy="1143000"/>
    <xdr:pic>
      <xdr:nvPicPr>
        <xdr:cNvPr id="2351" name="97b2ff8c-8b01-4c79-860c-98d33e86c68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8ca3ce39a8c459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2354</xdr:row>
      <xdr:rowOff>19050</xdr:rowOff>
    </xdr:from>
    <xdr:ext cx="1143000" cy="1143000"/>
    <xdr:pic>
      <xdr:nvPicPr>
        <xdr:cNvPr id="2352" name="e1ad0240-0910-4ce9-a389-3a2e7be2f1b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c82079145194cf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2355</xdr:row>
      <xdr:rowOff>19050</xdr:rowOff>
    </xdr:from>
    <xdr:ext cx="1143000" cy="1143000"/>
    <xdr:pic>
      <xdr:nvPicPr>
        <xdr:cNvPr id="2353" name="6f6f1443-23ca-4951-aef3-f961e747aa3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19ddbbf654e4e3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2356</xdr:row>
      <xdr:rowOff>19050</xdr:rowOff>
    </xdr:from>
    <xdr:ext cx="1143000" cy="1143000"/>
    <xdr:pic>
      <xdr:nvPicPr>
        <xdr:cNvPr id="2354" name="073e1d9c-55a7-4b34-a940-4628bf7ed5f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cd06c0e134a42a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2357</xdr:row>
      <xdr:rowOff>19050</xdr:rowOff>
    </xdr:from>
    <xdr:ext cx="1143000" cy="1143000"/>
    <xdr:pic>
      <xdr:nvPicPr>
        <xdr:cNvPr id="2355" name="ae839228-8d6b-49fc-a05f-f171791fcb4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568b968f51f43a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2358</xdr:row>
      <xdr:rowOff>19050</xdr:rowOff>
    </xdr:from>
    <xdr:ext cx="1143000" cy="1143000"/>
    <xdr:pic>
      <xdr:nvPicPr>
        <xdr:cNvPr id="2356" name="b6a99aa7-4599-4b0c-b0e1-73c6c90468f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7cdce2f40aa49b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2359</xdr:row>
      <xdr:rowOff>19050</xdr:rowOff>
    </xdr:from>
    <xdr:ext cx="1143000" cy="1143000"/>
    <xdr:pic>
      <xdr:nvPicPr>
        <xdr:cNvPr id="2357" name="c682377e-c992-4680-9a81-11d7a4e76e9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9c103e6b03e46d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2360</xdr:row>
      <xdr:rowOff>19050</xdr:rowOff>
    </xdr:from>
    <xdr:ext cx="1143000" cy="1143000"/>
    <xdr:pic>
      <xdr:nvPicPr>
        <xdr:cNvPr id="2358" name="0b93d4c0-55ac-4c60-9176-6bcaca6b60f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563687ca521426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2361</xdr:row>
      <xdr:rowOff>19050</xdr:rowOff>
    </xdr:from>
    <xdr:ext cx="1143000" cy="1143000"/>
    <xdr:pic>
      <xdr:nvPicPr>
        <xdr:cNvPr id="2359" name="43c4c676-8c29-4fd3-bba0-a3abb6704ea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9823c84c1e14ef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2362</xdr:row>
      <xdr:rowOff>19050</xdr:rowOff>
    </xdr:from>
    <xdr:ext cx="1143000" cy="1143000"/>
    <xdr:pic>
      <xdr:nvPicPr>
        <xdr:cNvPr id="2360" name="0816bb6a-efd0-4348-bba6-905b94ee0b8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2017fdd7cdb49a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2363</xdr:row>
      <xdr:rowOff>19050</xdr:rowOff>
    </xdr:from>
    <xdr:ext cx="1143000" cy="1143000"/>
    <xdr:pic>
      <xdr:nvPicPr>
        <xdr:cNvPr id="2361" name="da36ceea-87da-4cee-80b5-8c4ac46be58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734c6e69ab84fe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2364</xdr:row>
      <xdr:rowOff>19050</xdr:rowOff>
    </xdr:from>
    <xdr:ext cx="1143000" cy="1143000"/>
    <xdr:pic>
      <xdr:nvPicPr>
        <xdr:cNvPr id="2362" name="7bd119f6-d270-4292-943f-25eba1bcd4d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2dc7f2b54c8442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2365</xdr:row>
      <xdr:rowOff>19050</xdr:rowOff>
    </xdr:from>
    <xdr:ext cx="1143000" cy="1143000"/>
    <xdr:pic>
      <xdr:nvPicPr>
        <xdr:cNvPr id="2363" name="63018828-46fa-4a92-b94b-5aaac61d8e2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defa3ea9e2b47b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2366</xdr:row>
      <xdr:rowOff>19050</xdr:rowOff>
    </xdr:from>
    <xdr:ext cx="1143000" cy="1143000"/>
    <xdr:pic>
      <xdr:nvPicPr>
        <xdr:cNvPr id="2364" name="f58f2d66-32f5-499d-973e-f70869428b4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84f3b7365e1415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2367</xdr:row>
      <xdr:rowOff>19050</xdr:rowOff>
    </xdr:from>
    <xdr:ext cx="1143000" cy="1143000"/>
    <xdr:pic>
      <xdr:nvPicPr>
        <xdr:cNvPr id="2365" name="c74f8998-6a83-48d5-8743-98d4b8e98cd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36b39bf30d845c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2368</xdr:row>
      <xdr:rowOff>19050</xdr:rowOff>
    </xdr:from>
    <xdr:ext cx="1143000" cy="1143000"/>
    <xdr:pic>
      <xdr:nvPicPr>
        <xdr:cNvPr id="2366" name="d88dc1bb-7c75-458c-92e5-9722c184fde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d8d2b76cc7f4bb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2369</xdr:row>
      <xdr:rowOff>19050</xdr:rowOff>
    </xdr:from>
    <xdr:ext cx="1143000" cy="1143000"/>
    <xdr:pic>
      <xdr:nvPicPr>
        <xdr:cNvPr id="2367" name="28029727-6e2f-4f0a-b28d-97d9bb5cc7b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1471d36e7014f9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2370</xdr:row>
      <xdr:rowOff>19050</xdr:rowOff>
    </xdr:from>
    <xdr:ext cx="1143000" cy="1143000"/>
    <xdr:pic>
      <xdr:nvPicPr>
        <xdr:cNvPr id="2368" name="723d24ab-a8df-456b-acf6-567fc4b87b0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69175de128c484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2371</xdr:row>
      <xdr:rowOff>19050</xdr:rowOff>
    </xdr:from>
    <xdr:ext cx="1143000" cy="1143000"/>
    <xdr:pic>
      <xdr:nvPicPr>
        <xdr:cNvPr id="2369" name="8913cb8c-7c5e-4c8b-8367-15f2dd6fa9c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8042d74822748a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2372</xdr:row>
      <xdr:rowOff>19050</xdr:rowOff>
    </xdr:from>
    <xdr:ext cx="1143000" cy="1143000"/>
    <xdr:pic>
      <xdr:nvPicPr>
        <xdr:cNvPr id="2370" name="6b0b7734-bbd0-4b7d-952f-74e3bdad62e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be5d995243645d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2373</xdr:row>
      <xdr:rowOff>19050</xdr:rowOff>
    </xdr:from>
    <xdr:ext cx="1143000" cy="1143000"/>
    <xdr:pic>
      <xdr:nvPicPr>
        <xdr:cNvPr id="2371" name="1a1cfa51-eb27-49b1-965b-d4b562d0411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4e80ddb254946d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2374</xdr:row>
      <xdr:rowOff>19050</xdr:rowOff>
    </xdr:from>
    <xdr:ext cx="1143000" cy="1143000"/>
    <xdr:pic>
      <xdr:nvPicPr>
        <xdr:cNvPr id="2372" name="11d75692-7f09-4cd1-8dee-00165dd66f4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0e9851f7339410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2375</xdr:row>
      <xdr:rowOff>19050</xdr:rowOff>
    </xdr:from>
    <xdr:ext cx="1143000" cy="1143000"/>
    <xdr:pic>
      <xdr:nvPicPr>
        <xdr:cNvPr id="2373" name="4676a2f1-e5bf-4c0d-9b8a-7805f56befd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210853ba9fa415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2376</xdr:row>
      <xdr:rowOff>19050</xdr:rowOff>
    </xdr:from>
    <xdr:ext cx="1143000" cy="1143000"/>
    <xdr:pic>
      <xdr:nvPicPr>
        <xdr:cNvPr id="2374" name="b3293ca3-3615-4df3-b1b1-e19edff4457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7e7b47c62ab40f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2377</xdr:row>
      <xdr:rowOff>19050</xdr:rowOff>
    </xdr:from>
    <xdr:ext cx="1143000" cy="1143000"/>
    <xdr:pic>
      <xdr:nvPicPr>
        <xdr:cNvPr id="2375" name="d3aa6890-8971-4bdd-8139-f0bacaaf35c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259c7b8c3e2428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2378</xdr:row>
      <xdr:rowOff>19050</xdr:rowOff>
    </xdr:from>
    <xdr:ext cx="1143000" cy="1143000"/>
    <xdr:pic>
      <xdr:nvPicPr>
        <xdr:cNvPr id="2376" name="6c20ec05-693a-4cd2-8ec4-ebe5084bf9d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5da38efbd0f4e1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2379</xdr:row>
      <xdr:rowOff>19050</xdr:rowOff>
    </xdr:from>
    <xdr:ext cx="1143000" cy="1143000"/>
    <xdr:pic>
      <xdr:nvPicPr>
        <xdr:cNvPr id="2377" name="805ac6f2-9c21-402e-a12f-a625a2d7f41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c246ac17aec4f4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2380</xdr:row>
      <xdr:rowOff>19050</xdr:rowOff>
    </xdr:from>
    <xdr:ext cx="1143000" cy="1143000"/>
    <xdr:pic>
      <xdr:nvPicPr>
        <xdr:cNvPr id="2378" name="0ecbb2f7-2ef4-442a-a370-a79b0198723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7af4a90b24a44a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2381</xdr:row>
      <xdr:rowOff>19050</xdr:rowOff>
    </xdr:from>
    <xdr:ext cx="1143000" cy="1143000"/>
    <xdr:pic>
      <xdr:nvPicPr>
        <xdr:cNvPr id="2379" name="3c03251e-c466-4699-a73b-f7a4f827baa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ea0e41a63294fb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2382</xdr:row>
      <xdr:rowOff>19050</xdr:rowOff>
    </xdr:from>
    <xdr:ext cx="1143000" cy="1143000"/>
    <xdr:pic>
      <xdr:nvPicPr>
        <xdr:cNvPr id="2380" name="8fd99c77-6e01-497e-914b-ef8bfad218e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58920542372460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2383</xdr:row>
      <xdr:rowOff>19050</xdr:rowOff>
    </xdr:from>
    <xdr:ext cx="1143000" cy="1143000"/>
    <xdr:pic>
      <xdr:nvPicPr>
        <xdr:cNvPr id="2381" name="44c2ede2-4a64-4025-a185-abe85615b61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a6fb2c84649490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2384</xdr:row>
      <xdr:rowOff>19050</xdr:rowOff>
    </xdr:from>
    <xdr:ext cx="1143000" cy="1143000"/>
    <xdr:pic>
      <xdr:nvPicPr>
        <xdr:cNvPr id="2382" name="19965d29-f2ab-486b-a75b-28a1b819251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50ea1d2ed264f6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2385</xdr:row>
      <xdr:rowOff>19050</xdr:rowOff>
    </xdr:from>
    <xdr:ext cx="1143000" cy="1143000"/>
    <xdr:pic>
      <xdr:nvPicPr>
        <xdr:cNvPr id="2383" name="e9aa28b2-ecc3-491b-8e4d-f8e05fff017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e6b0946dad5460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2386</xdr:row>
      <xdr:rowOff>19050</xdr:rowOff>
    </xdr:from>
    <xdr:ext cx="1143000" cy="1143000"/>
    <xdr:pic>
      <xdr:nvPicPr>
        <xdr:cNvPr id="2384" name="87caabc2-9122-483d-8d4c-7f27fb1c848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5989d0b59154e3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2387</xdr:row>
      <xdr:rowOff>19050</xdr:rowOff>
    </xdr:from>
    <xdr:ext cx="1143000" cy="1143000"/>
    <xdr:pic>
      <xdr:nvPicPr>
        <xdr:cNvPr id="2385" name="ed065a8a-7d5c-4d66-9ff7-721754df541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6db0bf9ec26440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2388</xdr:row>
      <xdr:rowOff>19050</xdr:rowOff>
    </xdr:from>
    <xdr:ext cx="1143000" cy="1143000"/>
    <xdr:pic>
      <xdr:nvPicPr>
        <xdr:cNvPr id="2386" name="4a99b0fa-20b7-49a5-90ca-41646438eca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fae1f8ded3946c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2389</xdr:row>
      <xdr:rowOff>19050</xdr:rowOff>
    </xdr:from>
    <xdr:ext cx="1143000" cy="1143000"/>
    <xdr:pic>
      <xdr:nvPicPr>
        <xdr:cNvPr id="2387" name="0fe3bc6c-62e2-4db7-a66f-96f520cde24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22c8b9907584aa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2390</xdr:row>
      <xdr:rowOff>19050</xdr:rowOff>
    </xdr:from>
    <xdr:ext cx="1143000" cy="1143000"/>
    <xdr:pic>
      <xdr:nvPicPr>
        <xdr:cNvPr id="2388" name="adb47ded-13c0-4086-bda6-63e32900a27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15b9209e27e4a2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2391</xdr:row>
      <xdr:rowOff>19050</xdr:rowOff>
    </xdr:from>
    <xdr:ext cx="1143000" cy="1143000"/>
    <xdr:pic>
      <xdr:nvPicPr>
        <xdr:cNvPr id="2389" name="277f348c-ffb6-4d10-a16e-94942dad303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ac3057f0b2a41a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2392</xdr:row>
      <xdr:rowOff>19050</xdr:rowOff>
    </xdr:from>
    <xdr:ext cx="1143000" cy="1143000"/>
    <xdr:pic>
      <xdr:nvPicPr>
        <xdr:cNvPr id="2390" name="2c7d82f9-aacf-4118-a01c-e875af6c121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623a3af97444c7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2393</xdr:row>
      <xdr:rowOff>19050</xdr:rowOff>
    </xdr:from>
    <xdr:ext cx="1143000" cy="1143000"/>
    <xdr:pic>
      <xdr:nvPicPr>
        <xdr:cNvPr id="2391" name="2af3ce99-4a3f-4e95-bbca-a58bec28649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aec0a1dbeb8498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2394</xdr:row>
      <xdr:rowOff>19050</xdr:rowOff>
    </xdr:from>
    <xdr:ext cx="1143000" cy="1143000"/>
    <xdr:pic>
      <xdr:nvPicPr>
        <xdr:cNvPr id="2392" name="b5d95bfa-aeee-4013-b4c6-eed82e34827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b0e0b2dd15f414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2395</xdr:row>
      <xdr:rowOff>19050</xdr:rowOff>
    </xdr:from>
    <xdr:ext cx="1143000" cy="1143000"/>
    <xdr:pic>
      <xdr:nvPicPr>
        <xdr:cNvPr id="2393" name="7db1d489-ad73-4479-8ccb-42e0dca38c0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e1a5a0ea8884ca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2396</xdr:row>
      <xdr:rowOff>19050</xdr:rowOff>
    </xdr:from>
    <xdr:ext cx="1143000" cy="1143000"/>
    <xdr:pic>
      <xdr:nvPicPr>
        <xdr:cNvPr id="2394" name="bf3bf8c9-af99-4f9d-a178-2dab5c91a1f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ed496c2d4954fd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2397</xdr:row>
      <xdr:rowOff>19050</xdr:rowOff>
    </xdr:from>
    <xdr:ext cx="1143000" cy="1143000"/>
    <xdr:pic>
      <xdr:nvPicPr>
        <xdr:cNvPr id="2395" name="9f140a1e-99b0-4fd0-834c-ad3eab54bf8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9de07ff65994d1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2398</xdr:row>
      <xdr:rowOff>19050</xdr:rowOff>
    </xdr:from>
    <xdr:ext cx="1143000" cy="1143000"/>
    <xdr:pic>
      <xdr:nvPicPr>
        <xdr:cNvPr id="2396" name="83373c9d-0c50-44cf-bf75-8513ea1aaa6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395601db58d410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2399</xdr:row>
      <xdr:rowOff>19050</xdr:rowOff>
    </xdr:from>
    <xdr:ext cx="1143000" cy="1143000"/>
    <xdr:pic>
      <xdr:nvPicPr>
        <xdr:cNvPr id="2397" name="94f70afb-ceca-44f3-9412-798ced0c5a4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4311b4509de485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2400</xdr:row>
      <xdr:rowOff>19050</xdr:rowOff>
    </xdr:from>
    <xdr:ext cx="1143000" cy="1143000"/>
    <xdr:pic>
      <xdr:nvPicPr>
        <xdr:cNvPr id="2398" name="041d401a-b84c-41c8-81cb-e0a12774782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f044412af25449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2401</xdr:row>
      <xdr:rowOff>19050</xdr:rowOff>
    </xdr:from>
    <xdr:ext cx="1143000" cy="1143000"/>
    <xdr:pic>
      <xdr:nvPicPr>
        <xdr:cNvPr id="2399" name="74a0c2b9-1e76-47d9-989b-1c0ff63d2fc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ecc1606080e44e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2402</xdr:row>
      <xdr:rowOff>19050</xdr:rowOff>
    </xdr:from>
    <xdr:ext cx="1143000" cy="1143000"/>
    <xdr:pic>
      <xdr:nvPicPr>
        <xdr:cNvPr id="2400" name="abec9d62-815e-4608-a9e9-39d48471fc9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d19bf3815884a2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2403</xdr:row>
      <xdr:rowOff>19050</xdr:rowOff>
    </xdr:from>
    <xdr:ext cx="1143000" cy="1143000"/>
    <xdr:pic>
      <xdr:nvPicPr>
        <xdr:cNvPr id="2401" name="f6d8478b-5ae2-4a1a-b7a2-f3ad84e47f8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3f9e4adb1fa4b2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2404</xdr:row>
      <xdr:rowOff>19050</xdr:rowOff>
    </xdr:from>
    <xdr:ext cx="1143000" cy="1143000"/>
    <xdr:pic>
      <xdr:nvPicPr>
        <xdr:cNvPr id="2402" name="3cba0d62-2765-4086-aa96-e2fd75118fc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43c0edd5cf1426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2405</xdr:row>
      <xdr:rowOff>19050</xdr:rowOff>
    </xdr:from>
    <xdr:ext cx="1143000" cy="1143000"/>
    <xdr:pic>
      <xdr:nvPicPr>
        <xdr:cNvPr id="2403" name="d44c836c-7abc-4500-8cdc-33645b73094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8376246bfb5488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2406</xdr:row>
      <xdr:rowOff>19050</xdr:rowOff>
    </xdr:from>
    <xdr:ext cx="1143000" cy="1143000"/>
    <xdr:pic>
      <xdr:nvPicPr>
        <xdr:cNvPr id="2404" name="f33bba52-b568-402f-a94d-8aa1a93713a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1a8fdd2df064ce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2407</xdr:row>
      <xdr:rowOff>19050</xdr:rowOff>
    </xdr:from>
    <xdr:ext cx="1143000" cy="1143000"/>
    <xdr:pic>
      <xdr:nvPicPr>
        <xdr:cNvPr id="2405" name="be26ee75-1ce4-4623-8f53-06a210e33f8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42245e86da44c7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2408</xdr:row>
      <xdr:rowOff>19050</xdr:rowOff>
    </xdr:from>
    <xdr:ext cx="1143000" cy="1143000"/>
    <xdr:pic>
      <xdr:nvPicPr>
        <xdr:cNvPr id="2406" name="06ba26e0-7fe4-4892-9a7d-d2d48ca82d2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fa3e620a02c4d3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2409</xdr:row>
      <xdr:rowOff>19050</xdr:rowOff>
    </xdr:from>
    <xdr:ext cx="1143000" cy="1143000"/>
    <xdr:pic>
      <xdr:nvPicPr>
        <xdr:cNvPr id="2407" name="3b579210-b9fa-4984-82c8-9308ca59243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b698da7b2c74d5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2410</xdr:row>
      <xdr:rowOff>19050</xdr:rowOff>
    </xdr:from>
    <xdr:ext cx="1143000" cy="1143000"/>
    <xdr:pic>
      <xdr:nvPicPr>
        <xdr:cNvPr id="2408" name="976f54c4-c654-4bce-9b7a-c282f12f981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22d91527425456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2411</xdr:row>
      <xdr:rowOff>19050</xdr:rowOff>
    </xdr:from>
    <xdr:ext cx="1143000" cy="1143000"/>
    <xdr:pic>
      <xdr:nvPicPr>
        <xdr:cNvPr id="2409" name="6cda5a60-82a1-4567-bb05-1eb0b4be6dd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8c8da216fff47c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2412</xdr:row>
      <xdr:rowOff>19050</xdr:rowOff>
    </xdr:from>
    <xdr:ext cx="1143000" cy="1143000"/>
    <xdr:pic>
      <xdr:nvPicPr>
        <xdr:cNvPr id="2410" name="b529c723-84ac-46a4-80b9-1e38eaf78b6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1eeb110d9764ef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2413</xdr:row>
      <xdr:rowOff>19050</xdr:rowOff>
    </xdr:from>
    <xdr:ext cx="1143000" cy="1143000"/>
    <xdr:pic>
      <xdr:nvPicPr>
        <xdr:cNvPr id="2411" name="3dc8defd-7784-4445-a0fd-4389eb0f45b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58c708a992f48c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2414</xdr:row>
      <xdr:rowOff>19050</xdr:rowOff>
    </xdr:from>
    <xdr:ext cx="1143000" cy="1143000"/>
    <xdr:pic>
      <xdr:nvPicPr>
        <xdr:cNvPr id="2412" name="72cd1898-d096-4ae5-9632-461df79a7da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f35c71aa0654c7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2415</xdr:row>
      <xdr:rowOff>19050</xdr:rowOff>
    </xdr:from>
    <xdr:ext cx="1143000" cy="1143000"/>
    <xdr:pic>
      <xdr:nvPicPr>
        <xdr:cNvPr id="2413" name="5150a040-1232-4eca-9850-856c385585a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b013e910ffd430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2416</xdr:row>
      <xdr:rowOff>19050</xdr:rowOff>
    </xdr:from>
    <xdr:ext cx="1143000" cy="1143000"/>
    <xdr:pic>
      <xdr:nvPicPr>
        <xdr:cNvPr id="2414" name="a86b166c-d0d5-481e-acc5-bd16ce22933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4efce4925f94a2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2417</xdr:row>
      <xdr:rowOff>19050</xdr:rowOff>
    </xdr:from>
    <xdr:ext cx="1143000" cy="1143000"/>
    <xdr:pic>
      <xdr:nvPicPr>
        <xdr:cNvPr id="2415" name="b6db8d5b-2e05-42e7-9fe4-e2e2445ee00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6f6e75368824ba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2418</xdr:row>
      <xdr:rowOff>19050</xdr:rowOff>
    </xdr:from>
    <xdr:ext cx="1143000" cy="1143000"/>
    <xdr:pic>
      <xdr:nvPicPr>
        <xdr:cNvPr id="2416" name="dc49b262-a144-4499-aacb-d854624cd58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b2539b560f146f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2419</xdr:row>
      <xdr:rowOff>19050</xdr:rowOff>
    </xdr:from>
    <xdr:ext cx="1143000" cy="1143000"/>
    <xdr:pic>
      <xdr:nvPicPr>
        <xdr:cNvPr id="2417" name="5290dacd-dce7-44ad-babb-72b9f4a6218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50dc5a8fec14d2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2420</xdr:row>
      <xdr:rowOff>19050</xdr:rowOff>
    </xdr:from>
    <xdr:ext cx="1143000" cy="1143000"/>
    <xdr:pic>
      <xdr:nvPicPr>
        <xdr:cNvPr id="2418" name="99b5e3d0-4592-4b28-950b-8e3fec22103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4446ad8b0a2477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2421</xdr:row>
      <xdr:rowOff>19050</xdr:rowOff>
    </xdr:from>
    <xdr:ext cx="1143000" cy="1143000"/>
    <xdr:pic>
      <xdr:nvPicPr>
        <xdr:cNvPr id="2419" name="94e74ec5-d0d8-4b4b-bfe0-8bb72619f92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83c8a44a732440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2422</xdr:row>
      <xdr:rowOff>19050</xdr:rowOff>
    </xdr:from>
    <xdr:ext cx="1143000" cy="1143000"/>
    <xdr:pic>
      <xdr:nvPicPr>
        <xdr:cNvPr id="2420" name="d21aa117-0936-4f82-bdaa-a3fbdd44c13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fe83688d7d44eb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2423</xdr:row>
      <xdr:rowOff>19050</xdr:rowOff>
    </xdr:from>
    <xdr:ext cx="1143000" cy="1143000"/>
    <xdr:pic>
      <xdr:nvPicPr>
        <xdr:cNvPr id="2421" name="a9786295-8eb4-4186-9858-7fddabaa593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7000236d00c435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2424</xdr:row>
      <xdr:rowOff>19050</xdr:rowOff>
    </xdr:from>
    <xdr:ext cx="1143000" cy="1143000"/>
    <xdr:pic>
      <xdr:nvPicPr>
        <xdr:cNvPr id="2422" name="daf27063-71b3-44de-a004-e90a81165b4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eeb8857c68c4bf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2425</xdr:row>
      <xdr:rowOff>19050</xdr:rowOff>
    </xdr:from>
    <xdr:ext cx="1143000" cy="1143000"/>
    <xdr:pic>
      <xdr:nvPicPr>
        <xdr:cNvPr id="2423" name="0d2ccb4a-1acf-4277-9c46-1d1bcd2e93f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4285e70357848b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2426</xdr:row>
      <xdr:rowOff>19050</xdr:rowOff>
    </xdr:from>
    <xdr:ext cx="1143000" cy="1143000"/>
    <xdr:pic>
      <xdr:nvPicPr>
        <xdr:cNvPr id="2424" name="45f63d01-b761-4ab0-86c1-4609ddfa1f8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d5fe44a37034ee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2427</xdr:row>
      <xdr:rowOff>19050</xdr:rowOff>
    </xdr:from>
    <xdr:ext cx="1143000" cy="1143000"/>
    <xdr:pic>
      <xdr:nvPicPr>
        <xdr:cNvPr id="2425" name="e21eca4a-249b-4930-9d5d-9d4518265ab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80a9c0878134a8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2428</xdr:row>
      <xdr:rowOff>19050</xdr:rowOff>
    </xdr:from>
    <xdr:ext cx="1143000" cy="1143000"/>
    <xdr:pic>
      <xdr:nvPicPr>
        <xdr:cNvPr id="2426" name="d6b78ac2-7ca1-4638-9f2a-9ffae096c03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434e2dc640e4e5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2429</xdr:row>
      <xdr:rowOff>19050</xdr:rowOff>
    </xdr:from>
    <xdr:ext cx="1143000" cy="1143000"/>
    <xdr:pic>
      <xdr:nvPicPr>
        <xdr:cNvPr id="2427" name="75cef22a-dbd6-4132-bd75-7947c09e897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44e79e40369449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2430</xdr:row>
      <xdr:rowOff>19050</xdr:rowOff>
    </xdr:from>
    <xdr:ext cx="1143000" cy="1143000"/>
    <xdr:pic>
      <xdr:nvPicPr>
        <xdr:cNvPr id="2428" name="fdf45e42-6403-4d51-bd58-78c5c464c23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29fbd53073d4dc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2431</xdr:row>
      <xdr:rowOff>19050</xdr:rowOff>
    </xdr:from>
    <xdr:ext cx="1143000" cy="1143000"/>
    <xdr:pic>
      <xdr:nvPicPr>
        <xdr:cNvPr id="2429" name="d0a91f4a-9fc0-4609-ba1e-aebe535a0e6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4ba4a56bac44c7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2432</xdr:row>
      <xdr:rowOff>19050</xdr:rowOff>
    </xdr:from>
    <xdr:ext cx="1143000" cy="1143000"/>
    <xdr:pic>
      <xdr:nvPicPr>
        <xdr:cNvPr id="2430" name="b3d51c1c-2ecd-473f-9198-49c50f8d947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be54a94759e440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2433</xdr:row>
      <xdr:rowOff>19050</xdr:rowOff>
    </xdr:from>
    <xdr:ext cx="1143000" cy="1143000"/>
    <xdr:pic>
      <xdr:nvPicPr>
        <xdr:cNvPr id="2431" name="9ae7c651-ec01-47ae-a6bd-31e0425b984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f047238ea4a453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2434</xdr:row>
      <xdr:rowOff>19050</xdr:rowOff>
    </xdr:from>
    <xdr:ext cx="1143000" cy="1143000"/>
    <xdr:pic>
      <xdr:nvPicPr>
        <xdr:cNvPr id="2432" name="bb24c40d-0846-4dc4-9296-e7d31ba51b3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e0898f1a598435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2435</xdr:row>
      <xdr:rowOff>19050</xdr:rowOff>
    </xdr:from>
    <xdr:ext cx="1143000" cy="1143000"/>
    <xdr:pic>
      <xdr:nvPicPr>
        <xdr:cNvPr id="2433" name="eb70575b-093e-471e-a3ed-7660bd64596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25f142357ed467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2436</xdr:row>
      <xdr:rowOff>19050</xdr:rowOff>
    </xdr:from>
    <xdr:ext cx="1143000" cy="1143000"/>
    <xdr:pic>
      <xdr:nvPicPr>
        <xdr:cNvPr id="2434" name="d18e260c-531a-497c-b448-d82d51c5887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f3f0b7229b54a1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2437</xdr:row>
      <xdr:rowOff>19050</xdr:rowOff>
    </xdr:from>
    <xdr:ext cx="1143000" cy="1143000"/>
    <xdr:pic>
      <xdr:nvPicPr>
        <xdr:cNvPr id="2435" name="593a652a-3142-43b2-9898-dcb623ed476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7e6ef2688c045f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2438</xdr:row>
      <xdr:rowOff>19050</xdr:rowOff>
    </xdr:from>
    <xdr:ext cx="1143000" cy="1143000"/>
    <xdr:pic>
      <xdr:nvPicPr>
        <xdr:cNvPr id="2436" name="6f5680e5-741a-48fc-ae30-b1247334fcf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e36bdc8a9624c3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2439</xdr:row>
      <xdr:rowOff>19050</xdr:rowOff>
    </xdr:from>
    <xdr:ext cx="1143000" cy="1143000"/>
    <xdr:pic>
      <xdr:nvPicPr>
        <xdr:cNvPr id="2437" name="35f9b7e9-c729-4b85-9b36-a778d83ffbb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bda438b30f54af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2440</xdr:row>
      <xdr:rowOff>19050</xdr:rowOff>
    </xdr:from>
    <xdr:ext cx="1143000" cy="1143000"/>
    <xdr:pic>
      <xdr:nvPicPr>
        <xdr:cNvPr id="2438" name="1358a92e-2f83-4c3f-b809-22c32e2f38f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17b97f211b5496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2441</xdr:row>
      <xdr:rowOff>19050</xdr:rowOff>
    </xdr:from>
    <xdr:ext cx="1143000" cy="1143000"/>
    <xdr:pic>
      <xdr:nvPicPr>
        <xdr:cNvPr id="2439" name="7de393b8-60c4-4776-b739-12f558562d6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7258d40a04f46d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2442</xdr:row>
      <xdr:rowOff>19050</xdr:rowOff>
    </xdr:from>
    <xdr:ext cx="1143000" cy="1143000"/>
    <xdr:pic>
      <xdr:nvPicPr>
        <xdr:cNvPr id="2440" name="c3c6a039-9bc6-49a2-a11b-5c20e7da126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57fb0e838e44f8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2443</xdr:row>
      <xdr:rowOff>19050</xdr:rowOff>
    </xdr:from>
    <xdr:ext cx="1143000" cy="1143000"/>
    <xdr:pic>
      <xdr:nvPicPr>
        <xdr:cNvPr id="2441" name="ec7ca016-6d90-4bf7-b104-110fc5c2930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2aa94ef94a3486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2444</xdr:row>
      <xdr:rowOff>19050</xdr:rowOff>
    </xdr:from>
    <xdr:ext cx="1143000" cy="1143000"/>
    <xdr:pic>
      <xdr:nvPicPr>
        <xdr:cNvPr id="2442" name="0c09a6b8-5e17-4c11-83e5-9429aba7e1f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c70ea0670d34b8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2445</xdr:row>
      <xdr:rowOff>19050</xdr:rowOff>
    </xdr:from>
    <xdr:ext cx="1143000" cy="1143000"/>
    <xdr:pic>
      <xdr:nvPicPr>
        <xdr:cNvPr id="2443" name="aa103420-1209-46c7-93dc-2d84d1850e4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a6880310d974a2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2446</xdr:row>
      <xdr:rowOff>19050</xdr:rowOff>
    </xdr:from>
    <xdr:ext cx="1143000" cy="1143000"/>
    <xdr:pic>
      <xdr:nvPicPr>
        <xdr:cNvPr id="2444" name="79796658-865c-458c-8435-b4fa0a29d2a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f68222477a249b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2447</xdr:row>
      <xdr:rowOff>19050</xdr:rowOff>
    </xdr:from>
    <xdr:ext cx="1143000" cy="1143000"/>
    <xdr:pic>
      <xdr:nvPicPr>
        <xdr:cNvPr id="2445" name="2de72dfb-8d31-4e1b-92f7-a6870861cd9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ce2360dc17e42c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2448</xdr:row>
      <xdr:rowOff>19050</xdr:rowOff>
    </xdr:from>
    <xdr:ext cx="1143000" cy="1143000"/>
    <xdr:pic>
      <xdr:nvPicPr>
        <xdr:cNvPr id="2446" name="6ca6c1e9-f02e-495c-a5d6-23b04dafbb6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a5d237001b5495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2449</xdr:row>
      <xdr:rowOff>19050</xdr:rowOff>
    </xdr:from>
    <xdr:ext cx="1143000" cy="1143000"/>
    <xdr:pic>
      <xdr:nvPicPr>
        <xdr:cNvPr id="2447" name="943ece08-88e6-4234-8f3d-de3650b7db2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c0817c715f243d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2450</xdr:row>
      <xdr:rowOff>19050</xdr:rowOff>
    </xdr:from>
    <xdr:ext cx="1143000" cy="1143000"/>
    <xdr:pic>
      <xdr:nvPicPr>
        <xdr:cNvPr id="2448" name="7740d33b-bdd4-4a9e-88c1-42e6fcc54bd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def900ae8d4453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2451</xdr:row>
      <xdr:rowOff>19050</xdr:rowOff>
    </xdr:from>
    <xdr:ext cx="1143000" cy="1143000"/>
    <xdr:pic>
      <xdr:nvPicPr>
        <xdr:cNvPr id="2449" name="c9f84d6f-5468-4df5-ba7d-aedc0a55f10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9046f658bd24a5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2452</xdr:row>
      <xdr:rowOff>19050</xdr:rowOff>
    </xdr:from>
    <xdr:ext cx="1143000" cy="1143000"/>
    <xdr:pic>
      <xdr:nvPicPr>
        <xdr:cNvPr id="2450" name="331220e1-773d-4be6-972d-28487ff4b6a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ee2c4644c6640a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2453</xdr:row>
      <xdr:rowOff>19050</xdr:rowOff>
    </xdr:from>
    <xdr:ext cx="1143000" cy="1143000"/>
    <xdr:pic>
      <xdr:nvPicPr>
        <xdr:cNvPr id="2451" name="e0aaa066-beae-48fb-aef9-96a944b4b9e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93ba0440e794ef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2454</xdr:row>
      <xdr:rowOff>19050</xdr:rowOff>
    </xdr:from>
    <xdr:ext cx="1143000" cy="1143000"/>
    <xdr:pic>
      <xdr:nvPicPr>
        <xdr:cNvPr id="2452" name="5328dc08-9f2a-409a-b572-75a892fd8a9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89c085df5aa403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2455</xdr:row>
      <xdr:rowOff>19050</xdr:rowOff>
    </xdr:from>
    <xdr:ext cx="1143000" cy="1143000"/>
    <xdr:pic>
      <xdr:nvPicPr>
        <xdr:cNvPr id="2453" name="c2fa9057-e3db-475f-81ee-06d6ec9ab28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9a448d261a6447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2456</xdr:row>
      <xdr:rowOff>19050</xdr:rowOff>
    </xdr:from>
    <xdr:ext cx="1143000" cy="1143000"/>
    <xdr:pic>
      <xdr:nvPicPr>
        <xdr:cNvPr id="2454" name="015bb7e0-67f2-4cc9-ac62-76cb02be11c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efe1b3f5822485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2457</xdr:row>
      <xdr:rowOff>19050</xdr:rowOff>
    </xdr:from>
    <xdr:ext cx="1143000" cy="1143000"/>
    <xdr:pic>
      <xdr:nvPicPr>
        <xdr:cNvPr id="2455" name="f38e702b-8843-4781-8d86-e26e39e62c9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59cb15da68b460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2458</xdr:row>
      <xdr:rowOff>19050</xdr:rowOff>
    </xdr:from>
    <xdr:ext cx="1143000" cy="1143000"/>
    <xdr:pic>
      <xdr:nvPicPr>
        <xdr:cNvPr id="2456" name="709213b3-21b3-47c8-a5b8-82405e3aba9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711ecf002aa49d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2459</xdr:row>
      <xdr:rowOff>19050</xdr:rowOff>
    </xdr:from>
    <xdr:ext cx="1143000" cy="1143000"/>
    <xdr:pic>
      <xdr:nvPicPr>
        <xdr:cNvPr id="2457" name="3e2ef0c7-6ba5-4eda-9fa4-df7b473e7fc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0509d9c5f014d4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2460</xdr:row>
      <xdr:rowOff>19050</xdr:rowOff>
    </xdr:from>
    <xdr:ext cx="1143000" cy="1143000"/>
    <xdr:pic>
      <xdr:nvPicPr>
        <xdr:cNvPr id="2458" name="5c09bf96-32fd-4cdb-a639-49751bf8831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ae82804700a453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2461</xdr:row>
      <xdr:rowOff>19050</xdr:rowOff>
    </xdr:from>
    <xdr:ext cx="1143000" cy="1143000"/>
    <xdr:pic>
      <xdr:nvPicPr>
        <xdr:cNvPr id="2459" name="8eb9886d-6b96-41db-8a02-e88c0343af1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0e8ecdccdd84c3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2462</xdr:row>
      <xdr:rowOff>19050</xdr:rowOff>
    </xdr:from>
    <xdr:ext cx="1143000" cy="1143000"/>
    <xdr:pic>
      <xdr:nvPicPr>
        <xdr:cNvPr id="2460" name="b1a393de-042a-4e65-9989-07db6485256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4e158305ce2477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2463</xdr:row>
      <xdr:rowOff>19050</xdr:rowOff>
    </xdr:from>
    <xdr:ext cx="1143000" cy="1143000"/>
    <xdr:pic>
      <xdr:nvPicPr>
        <xdr:cNvPr id="2461" name="8ec7cd21-0fe6-4a39-8c92-5294763ff1b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881ddf3857745f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2464</xdr:row>
      <xdr:rowOff>19050</xdr:rowOff>
    </xdr:from>
    <xdr:ext cx="1143000" cy="1143000"/>
    <xdr:pic>
      <xdr:nvPicPr>
        <xdr:cNvPr id="2462" name="f135e9c9-6ae2-4965-aff4-b360d1bfcef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1de3a378f8a41e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2465</xdr:row>
      <xdr:rowOff>19050</xdr:rowOff>
    </xdr:from>
    <xdr:ext cx="1143000" cy="1143000"/>
    <xdr:pic>
      <xdr:nvPicPr>
        <xdr:cNvPr id="2463" name="7aaec8fd-48dc-44fa-a430-5e24012a5ea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27895010b734e8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2466</xdr:row>
      <xdr:rowOff>19050</xdr:rowOff>
    </xdr:from>
    <xdr:ext cx="1143000" cy="1143000"/>
    <xdr:pic>
      <xdr:nvPicPr>
        <xdr:cNvPr id="2464" name="7635d8e2-64e9-4f09-bf0f-211f507d537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fd88ac350654f6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2467</xdr:row>
      <xdr:rowOff>19050</xdr:rowOff>
    </xdr:from>
    <xdr:ext cx="1143000" cy="1143000"/>
    <xdr:pic>
      <xdr:nvPicPr>
        <xdr:cNvPr id="2465" name="9f89bafd-6a65-4438-a92f-88e7f2fa6ea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ec249dc9c2d468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2468</xdr:row>
      <xdr:rowOff>19050</xdr:rowOff>
    </xdr:from>
    <xdr:ext cx="1143000" cy="1143000"/>
    <xdr:pic>
      <xdr:nvPicPr>
        <xdr:cNvPr id="2466" name="425b682c-2c68-460c-9255-11df04ef837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ff3321a3eb0440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2469</xdr:row>
      <xdr:rowOff>19050</xdr:rowOff>
    </xdr:from>
    <xdr:ext cx="1143000" cy="1143000"/>
    <xdr:pic>
      <xdr:nvPicPr>
        <xdr:cNvPr id="2467" name="9642cfb0-8830-4a26-8de4-369c53a12fd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a2b34ceea354d1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2470</xdr:row>
      <xdr:rowOff>19050</xdr:rowOff>
    </xdr:from>
    <xdr:ext cx="1143000" cy="1143000"/>
    <xdr:pic>
      <xdr:nvPicPr>
        <xdr:cNvPr id="2468" name="64d0a6ee-c5ea-4b01-950f-fe42ddb0c70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8c99523afda446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2471</xdr:row>
      <xdr:rowOff>19050</xdr:rowOff>
    </xdr:from>
    <xdr:ext cx="1143000" cy="1143000"/>
    <xdr:pic>
      <xdr:nvPicPr>
        <xdr:cNvPr id="2469" name="9ce07188-bdaf-4d26-92bc-13fb5984a29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07de4122cd24f6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2472</xdr:row>
      <xdr:rowOff>19050</xdr:rowOff>
    </xdr:from>
    <xdr:ext cx="1143000" cy="1143000"/>
    <xdr:pic>
      <xdr:nvPicPr>
        <xdr:cNvPr id="2470" name="36900cd8-f348-4b5a-9f7c-e3f11107a48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995e282718041d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2473</xdr:row>
      <xdr:rowOff>19050</xdr:rowOff>
    </xdr:from>
    <xdr:ext cx="1143000" cy="1143000"/>
    <xdr:pic>
      <xdr:nvPicPr>
        <xdr:cNvPr id="2471" name="fc2c7609-9a85-4d38-8c10-0e102b6c3c5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b78131836b34f0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2474</xdr:row>
      <xdr:rowOff>19050</xdr:rowOff>
    </xdr:from>
    <xdr:ext cx="1143000" cy="1143000"/>
    <xdr:pic>
      <xdr:nvPicPr>
        <xdr:cNvPr id="2472" name="0662f164-c254-4604-a776-ac69af0fcd5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f24adcca501459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2475</xdr:row>
      <xdr:rowOff>19050</xdr:rowOff>
    </xdr:from>
    <xdr:ext cx="1143000" cy="1143000"/>
    <xdr:pic>
      <xdr:nvPicPr>
        <xdr:cNvPr id="2473" name="f9bcbbbb-14b1-4cb9-beba-29ed9687ec4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ea9500e98ad4af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2476</xdr:row>
      <xdr:rowOff>19050</xdr:rowOff>
    </xdr:from>
    <xdr:ext cx="1143000" cy="1143000"/>
    <xdr:pic>
      <xdr:nvPicPr>
        <xdr:cNvPr id="2474" name="5e48a937-9830-48bb-8c64-dd066e5142e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4670f84a60a455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2477</xdr:row>
      <xdr:rowOff>19050</xdr:rowOff>
    </xdr:from>
    <xdr:ext cx="1143000" cy="1143000"/>
    <xdr:pic>
      <xdr:nvPicPr>
        <xdr:cNvPr id="2475" name="8d68fc7e-c93e-4774-8484-9c5f0c2f9fe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e79bf19545b4c1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2478</xdr:row>
      <xdr:rowOff>19050</xdr:rowOff>
    </xdr:from>
    <xdr:ext cx="1143000" cy="1143000"/>
    <xdr:pic>
      <xdr:nvPicPr>
        <xdr:cNvPr id="2476" name="ab62dcce-a874-4b52-bef1-e6bcade1c05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4e766ed899747b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2479</xdr:row>
      <xdr:rowOff>19050</xdr:rowOff>
    </xdr:from>
    <xdr:ext cx="1143000" cy="1143000"/>
    <xdr:pic>
      <xdr:nvPicPr>
        <xdr:cNvPr id="2477" name="c1802e2a-d4dd-4c1d-9f13-dc6feb8a998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4c86bc9951d44a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2480</xdr:row>
      <xdr:rowOff>19050</xdr:rowOff>
    </xdr:from>
    <xdr:ext cx="1143000" cy="1143000"/>
    <xdr:pic>
      <xdr:nvPicPr>
        <xdr:cNvPr id="2478" name="cf322188-6782-44b8-80a8-0d07530c7a3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c7cb1a61284422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2481</xdr:row>
      <xdr:rowOff>19050</xdr:rowOff>
    </xdr:from>
    <xdr:ext cx="1143000" cy="1143000"/>
    <xdr:pic>
      <xdr:nvPicPr>
        <xdr:cNvPr id="2479" name="4782f57e-976a-4a3e-bc08-55a04b870ae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ff8a94212ff40b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2482</xdr:row>
      <xdr:rowOff>19050</xdr:rowOff>
    </xdr:from>
    <xdr:ext cx="1143000" cy="1143000"/>
    <xdr:pic>
      <xdr:nvPicPr>
        <xdr:cNvPr id="2480" name="a7935fc6-1953-4abd-b946-2537cb3b7f5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4b9b9463f0b40d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2483</xdr:row>
      <xdr:rowOff>19050</xdr:rowOff>
    </xdr:from>
    <xdr:ext cx="1143000" cy="1143000"/>
    <xdr:pic>
      <xdr:nvPicPr>
        <xdr:cNvPr id="2481" name="05cba082-84b8-4417-8360-c3b42ad0f76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4d4fa22dfad4c2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2484</xdr:row>
      <xdr:rowOff>19050</xdr:rowOff>
    </xdr:from>
    <xdr:ext cx="1143000" cy="1143000"/>
    <xdr:pic>
      <xdr:nvPicPr>
        <xdr:cNvPr id="2482" name="172caad2-8299-41f1-b67f-cbf572d5b08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ffd6564db94430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2485</xdr:row>
      <xdr:rowOff>19050</xdr:rowOff>
    </xdr:from>
    <xdr:ext cx="1143000" cy="1143000"/>
    <xdr:pic>
      <xdr:nvPicPr>
        <xdr:cNvPr id="2483" name="5bb282dc-d8b3-4adf-a4ff-8488067580a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b93571de10a438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2486</xdr:row>
      <xdr:rowOff>19050</xdr:rowOff>
    </xdr:from>
    <xdr:ext cx="1143000" cy="1143000"/>
    <xdr:pic>
      <xdr:nvPicPr>
        <xdr:cNvPr id="2484" name="c2680ba4-a909-47c4-aad1-5ea93897c01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73ac96ae399472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2487</xdr:row>
      <xdr:rowOff>19050</xdr:rowOff>
    </xdr:from>
    <xdr:ext cx="1143000" cy="1143000"/>
    <xdr:pic>
      <xdr:nvPicPr>
        <xdr:cNvPr id="2485" name="ba870545-469a-4752-89f6-a6d21820e13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85fbc5b9c0f438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2488</xdr:row>
      <xdr:rowOff>19050</xdr:rowOff>
    </xdr:from>
    <xdr:ext cx="1143000" cy="1143000"/>
    <xdr:pic>
      <xdr:nvPicPr>
        <xdr:cNvPr id="2486" name="8d6147bb-2021-46f7-b479-751ff10d92d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0730998dff243e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2489</xdr:row>
      <xdr:rowOff>19050</xdr:rowOff>
    </xdr:from>
    <xdr:ext cx="1143000" cy="1143000"/>
    <xdr:pic>
      <xdr:nvPicPr>
        <xdr:cNvPr id="2487" name="b5f54cf3-ee59-45ef-b16a-0e4d8eed850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95d4134e3f44e1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2490</xdr:row>
      <xdr:rowOff>19050</xdr:rowOff>
    </xdr:from>
    <xdr:ext cx="1143000" cy="1143000"/>
    <xdr:pic>
      <xdr:nvPicPr>
        <xdr:cNvPr id="2488" name="d318c341-8410-45a4-a3af-ad42a73b697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59d585570134f6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2491</xdr:row>
      <xdr:rowOff>19050</xdr:rowOff>
    </xdr:from>
    <xdr:ext cx="1143000" cy="1143000"/>
    <xdr:pic>
      <xdr:nvPicPr>
        <xdr:cNvPr id="2489" name="1aa4e474-a2b7-42ff-b317-4bf596759d9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33dfdbdb31f495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2492</xdr:row>
      <xdr:rowOff>19050</xdr:rowOff>
    </xdr:from>
    <xdr:ext cx="1143000" cy="1143000"/>
    <xdr:pic>
      <xdr:nvPicPr>
        <xdr:cNvPr id="2490" name="dad0b14b-7a9a-432f-ab17-bf483be9a10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aa78df2721a4c8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2493</xdr:row>
      <xdr:rowOff>19050</xdr:rowOff>
    </xdr:from>
    <xdr:ext cx="1143000" cy="1143000"/>
    <xdr:pic>
      <xdr:nvPicPr>
        <xdr:cNvPr id="2491" name="d19ccebe-7a30-46c2-a093-bbab5fbbd24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aaa0282a5cc4a3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2494</xdr:row>
      <xdr:rowOff>19050</xdr:rowOff>
    </xdr:from>
    <xdr:ext cx="1143000" cy="1143000"/>
    <xdr:pic>
      <xdr:nvPicPr>
        <xdr:cNvPr id="2492" name="6d45dfca-1d4f-4de4-a292-833d51d3694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73385202dfa44d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2495</xdr:row>
      <xdr:rowOff>19050</xdr:rowOff>
    </xdr:from>
    <xdr:ext cx="1143000" cy="1143000"/>
    <xdr:pic>
      <xdr:nvPicPr>
        <xdr:cNvPr id="2493" name="a9f7d4a6-5353-4cf2-b40d-14ec2642c81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5114c4dc3e443f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2496</xdr:row>
      <xdr:rowOff>19050</xdr:rowOff>
    </xdr:from>
    <xdr:ext cx="1143000" cy="1143000"/>
    <xdr:pic>
      <xdr:nvPicPr>
        <xdr:cNvPr id="2494" name="9d15f441-0fb3-4262-8c92-5bddbe81bdc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f7703993c9c4e6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2497</xdr:row>
      <xdr:rowOff>19050</xdr:rowOff>
    </xdr:from>
    <xdr:ext cx="1143000" cy="1143000"/>
    <xdr:pic>
      <xdr:nvPicPr>
        <xdr:cNvPr id="2495" name="8c02b686-215e-4a31-aaee-4f02cbb484d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0c8414212f44ac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2498</xdr:row>
      <xdr:rowOff>19050</xdr:rowOff>
    </xdr:from>
    <xdr:ext cx="1143000" cy="1143000"/>
    <xdr:pic>
      <xdr:nvPicPr>
        <xdr:cNvPr id="2496" name="5772f43b-be65-42f1-a094-d59b942d424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0f764548478422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2499</xdr:row>
      <xdr:rowOff>19050</xdr:rowOff>
    </xdr:from>
    <xdr:ext cx="1143000" cy="1143000"/>
    <xdr:pic>
      <xdr:nvPicPr>
        <xdr:cNvPr id="2497" name="44d6eb9c-647d-47ea-8bde-4384f7a284e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107e4f352b74ec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2500</xdr:row>
      <xdr:rowOff>19050</xdr:rowOff>
    </xdr:from>
    <xdr:ext cx="1143000" cy="1143000"/>
    <xdr:pic>
      <xdr:nvPicPr>
        <xdr:cNvPr id="2498" name="574b75a4-ab25-4b57-9eed-32650043540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8214b4dfda8488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2501</xdr:row>
      <xdr:rowOff>19050</xdr:rowOff>
    </xdr:from>
    <xdr:ext cx="1143000" cy="1143000"/>
    <xdr:pic>
      <xdr:nvPicPr>
        <xdr:cNvPr id="2499" name="8b5ff0ba-633b-4944-888f-b8909213810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8c972654f4d466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2502</xdr:row>
      <xdr:rowOff>19050</xdr:rowOff>
    </xdr:from>
    <xdr:ext cx="1143000" cy="1143000"/>
    <xdr:pic>
      <xdr:nvPicPr>
        <xdr:cNvPr id="2500" name="30d2fdfe-294e-45ec-9900-30589c94a16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4ae9e47cfc843a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2503</xdr:row>
      <xdr:rowOff>19050</xdr:rowOff>
    </xdr:from>
    <xdr:ext cx="1143000" cy="1143000"/>
    <xdr:pic>
      <xdr:nvPicPr>
        <xdr:cNvPr id="2501" name="61313f25-8eff-49e4-9b20-79dfea0f356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cc89ffe06d4423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2504</xdr:row>
      <xdr:rowOff>19050</xdr:rowOff>
    </xdr:from>
    <xdr:ext cx="1143000" cy="1143000"/>
    <xdr:pic>
      <xdr:nvPicPr>
        <xdr:cNvPr id="2502" name="43635a51-a942-4650-929f-24e454954e4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e24d9555eb44e3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2505</xdr:row>
      <xdr:rowOff>19050</xdr:rowOff>
    </xdr:from>
    <xdr:ext cx="1143000" cy="1143000"/>
    <xdr:pic>
      <xdr:nvPicPr>
        <xdr:cNvPr id="2503" name="79b9ac69-0ad5-4712-8ba6-4b1d8778b0d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6ec801a17444e1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2506</xdr:row>
      <xdr:rowOff>19050</xdr:rowOff>
    </xdr:from>
    <xdr:ext cx="1143000" cy="1143000"/>
    <xdr:pic>
      <xdr:nvPicPr>
        <xdr:cNvPr id="2504" name="037d7945-ae76-4e36-9e9b-82b5ef2e1a4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0860cb3742e4fe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2507</xdr:row>
      <xdr:rowOff>19050</xdr:rowOff>
    </xdr:from>
    <xdr:ext cx="1143000" cy="1143000"/>
    <xdr:pic>
      <xdr:nvPicPr>
        <xdr:cNvPr id="2505" name="554130d4-cf2f-4592-ab82-f4cb9048fbd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655ca1cfdf4407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2508</xdr:row>
      <xdr:rowOff>19050</xdr:rowOff>
    </xdr:from>
    <xdr:ext cx="1143000" cy="1143000"/>
    <xdr:pic>
      <xdr:nvPicPr>
        <xdr:cNvPr id="2506" name="c17fdc86-9ce2-475f-a289-98878b5d762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0e6d3eb27194f9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2509</xdr:row>
      <xdr:rowOff>19050</xdr:rowOff>
    </xdr:from>
    <xdr:ext cx="1143000" cy="1143000"/>
    <xdr:pic>
      <xdr:nvPicPr>
        <xdr:cNvPr id="2507" name="859f8ea2-6a36-4b0d-bf7e-593da5619e8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cc8cd728225414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2510</xdr:row>
      <xdr:rowOff>19050</xdr:rowOff>
    </xdr:from>
    <xdr:ext cx="1143000" cy="1143000"/>
    <xdr:pic>
      <xdr:nvPicPr>
        <xdr:cNvPr id="2508" name="236eafa0-e330-4bfe-8ce1-0d226be7992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db8190de5c94f2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2511</xdr:row>
      <xdr:rowOff>19050</xdr:rowOff>
    </xdr:from>
    <xdr:ext cx="1143000" cy="1143000"/>
    <xdr:pic>
      <xdr:nvPicPr>
        <xdr:cNvPr id="2509" name="2c3416c0-ade2-48c3-9e7a-dbf25606b8d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9f080825aec4b4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2512</xdr:row>
      <xdr:rowOff>19050</xdr:rowOff>
    </xdr:from>
    <xdr:ext cx="1143000" cy="1143000"/>
    <xdr:pic>
      <xdr:nvPicPr>
        <xdr:cNvPr id="2510" name="f67e22f8-3a8b-4bc7-9993-bca433f4314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4212892a9914ae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2513</xdr:row>
      <xdr:rowOff>19050</xdr:rowOff>
    </xdr:from>
    <xdr:ext cx="1143000" cy="1143000"/>
    <xdr:pic>
      <xdr:nvPicPr>
        <xdr:cNvPr id="2511" name="92eb9d0a-16ca-495f-8b9a-94888e655f2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341421203b646f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2514</xdr:row>
      <xdr:rowOff>19050</xdr:rowOff>
    </xdr:from>
    <xdr:ext cx="1143000" cy="1143000"/>
    <xdr:pic>
      <xdr:nvPicPr>
        <xdr:cNvPr id="2512" name="e7237f84-2490-4f8d-a09a-ea7a0208c0d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84270b4b2db421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2515</xdr:row>
      <xdr:rowOff>19050</xdr:rowOff>
    </xdr:from>
    <xdr:ext cx="1143000" cy="1143000"/>
    <xdr:pic>
      <xdr:nvPicPr>
        <xdr:cNvPr id="2513" name="ea58c99c-d2bf-4b74-af6b-2fe35e5c96f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5a01b595a98464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2516</xdr:row>
      <xdr:rowOff>19050</xdr:rowOff>
    </xdr:from>
    <xdr:ext cx="1143000" cy="1143000"/>
    <xdr:pic>
      <xdr:nvPicPr>
        <xdr:cNvPr id="2514" name="afc609b4-4f97-40e4-98b2-32fa7dd7acf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47354ffd739481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2517</xdr:row>
      <xdr:rowOff>19050</xdr:rowOff>
    </xdr:from>
    <xdr:ext cx="1143000" cy="1143000"/>
    <xdr:pic>
      <xdr:nvPicPr>
        <xdr:cNvPr id="2515" name="aafe7f8c-5f68-4325-a61d-79b200751c5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d710b7c4110447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2518</xdr:row>
      <xdr:rowOff>19050</xdr:rowOff>
    </xdr:from>
    <xdr:ext cx="1143000" cy="1143000"/>
    <xdr:pic>
      <xdr:nvPicPr>
        <xdr:cNvPr id="2516" name="49a041a8-c4c2-46b8-b3c4-eef73e3e506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a87cb4c4b944ae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2519</xdr:row>
      <xdr:rowOff>19050</xdr:rowOff>
    </xdr:from>
    <xdr:ext cx="1143000" cy="1143000"/>
    <xdr:pic>
      <xdr:nvPicPr>
        <xdr:cNvPr id="2517" name="554e28a3-7cd6-445f-96b5-7618f879f2d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32872582846438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2520</xdr:row>
      <xdr:rowOff>19050</xdr:rowOff>
    </xdr:from>
    <xdr:ext cx="1143000" cy="1143000"/>
    <xdr:pic>
      <xdr:nvPicPr>
        <xdr:cNvPr id="2518" name="67e06e14-e8d6-4ad8-aa12-fff1f35bdd8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18ca8bf10114b5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2521</xdr:row>
      <xdr:rowOff>19050</xdr:rowOff>
    </xdr:from>
    <xdr:ext cx="1143000" cy="1143000"/>
    <xdr:pic>
      <xdr:nvPicPr>
        <xdr:cNvPr id="2519" name="bd435c4c-dc39-4cc9-b995-23bff9abd8f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e0b5bde920b451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2522</xdr:row>
      <xdr:rowOff>19050</xdr:rowOff>
    </xdr:from>
    <xdr:ext cx="1143000" cy="1143000"/>
    <xdr:pic>
      <xdr:nvPicPr>
        <xdr:cNvPr id="2520" name="5ed62999-8ea4-46d2-9ff1-07c33e6836b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ce78d04e85e491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2523</xdr:row>
      <xdr:rowOff>19050</xdr:rowOff>
    </xdr:from>
    <xdr:ext cx="1143000" cy="1143000"/>
    <xdr:pic>
      <xdr:nvPicPr>
        <xdr:cNvPr id="2521" name="da70961c-5703-4963-b86a-ccee3af35f4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f278adbff2f407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2524</xdr:row>
      <xdr:rowOff>19050</xdr:rowOff>
    </xdr:from>
    <xdr:ext cx="1143000" cy="1143000"/>
    <xdr:pic>
      <xdr:nvPicPr>
        <xdr:cNvPr id="2522" name="6350083c-17e8-487b-b802-5c6963fe43d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523afa010c240c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2525</xdr:row>
      <xdr:rowOff>19050</xdr:rowOff>
    </xdr:from>
    <xdr:ext cx="1143000" cy="1143000"/>
    <xdr:pic>
      <xdr:nvPicPr>
        <xdr:cNvPr id="2523" name="32662127-764d-45f2-910a-4dd7ac46c3d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524e0ee940445b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2526</xdr:row>
      <xdr:rowOff>19050</xdr:rowOff>
    </xdr:from>
    <xdr:ext cx="1143000" cy="1143000"/>
    <xdr:pic>
      <xdr:nvPicPr>
        <xdr:cNvPr id="2524" name="a47a864a-913b-427e-9fcb-bbf79669940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36e4833c9074e5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2527</xdr:row>
      <xdr:rowOff>19050</xdr:rowOff>
    </xdr:from>
    <xdr:ext cx="1143000" cy="1143000"/>
    <xdr:pic>
      <xdr:nvPicPr>
        <xdr:cNvPr id="2525" name="404ddc91-f649-4b83-85f4-33aa5bc1674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e23a506fd5b499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2528</xdr:row>
      <xdr:rowOff>19050</xdr:rowOff>
    </xdr:from>
    <xdr:ext cx="1143000" cy="1143000"/>
    <xdr:pic>
      <xdr:nvPicPr>
        <xdr:cNvPr id="2526" name="165ff4fd-4831-4131-8a47-5ee5949ab81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0a38894d90d4be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2529</xdr:row>
      <xdr:rowOff>19050</xdr:rowOff>
    </xdr:from>
    <xdr:ext cx="1143000" cy="1143000"/>
    <xdr:pic>
      <xdr:nvPicPr>
        <xdr:cNvPr id="2527" name="471be09f-6ced-47a3-8a50-8cd35ae6620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c83a05cd28e4c5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2530</xdr:row>
      <xdr:rowOff>19050</xdr:rowOff>
    </xdr:from>
    <xdr:ext cx="1143000" cy="1143000"/>
    <xdr:pic>
      <xdr:nvPicPr>
        <xdr:cNvPr id="2528" name="b5376e18-dcf4-4a8d-91bc-a92b5178eb7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38e9ccf57924a4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2531</xdr:row>
      <xdr:rowOff>19050</xdr:rowOff>
    </xdr:from>
    <xdr:ext cx="1143000" cy="1143000"/>
    <xdr:pic>
      <xdr:nvPicPr>
        <xdr:cNvPr id="2529" name="e4658117-69c6-4a0a-863e-14b4017b8c2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a032ff34990471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2532</xdr:row>
      <xdr:rowOff>19050</xdr:rowOff>
    </xdr:from>
    <xdr:ext cx="1143000" cy="1143000"/>
    <xdr:pic>
      <xdr:nvPicPr>
        <xdr:cNvPr id="2530" name="b7a7263d-c9e6-4bd2-87cf-50fedce2189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6f4624bf4e44f7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2533</xdr:row>
      <xdr:rowOff>19050</xdr:rowOff>
    </xdr:from>
    <xdr:ext cx="1143000" cy="1143000"/>
    <xdr:pic>
      <xdr:nvPicPr>
        <xdr:cNvPr id="2531" name="008d6af9-6b6d-47ec-8820-1048af74887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f17684b1a27455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2534</xdr:row>
      <xdr:rowOff>19050</xdr:rowOff>
    </xdr:from>
    <xdr:ext cx="1143000" cy="1143000"/>
    <xdr:pic>
      <xdr:nvPicPr>
        <xdr:cNvPr id="2532" name="e2f8a1a1-8137-4996-9b2f-5817d7dc395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e492184b3394c8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2535</xdr:row>
      <xdr:rowOff>19050</xdr:rowOff>
    </xdr:from>
    <xdr:ext cx="1143000" cy="1143000"/>
    <xdr:pic>
      <xdr:nvPicPr>
        <xdr:cNvPr id="2533" name="8ee5e4bd-cbf9-4a07-a5f8-8448ed9e5d0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e4c666352c746d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2536</xdr:row>
      <xdr:rowOff>19050</xdr:rowOff>
    </xdr:from>
    <xdr:ext cx="1143000" cy="1143000"/>
    <xdr:pic>
      <xdr:nvPicPr>
        <xdr:cNvPr id="2534" name="8062a0f3-949b-40be-8cc7-bb8d0774f4a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b5f4e1337b1464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2537</xdr:row>
      <xdr:rowOff>19050</xdr:rowOff>
    </xdr:from>
    <xdr:ext cx="1143000" cy="1143000"/>
    <xdr:pic>
      <xdr:nvPicPr>
        <xdr:cNvPr id="2535" name="63828d7d-f427-48e1-b89c-72b8de09913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2df6724e17b492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2538</xdr:row>
      <xdr:rowOff>19050</xdr:rowOff>
    </xdr:from>
    <xdr:ext cx="1143000" cy="1143000"/>
    <xdr:pic>
      <xdr:nvPicPr>
        <xdr:cNvPr id="2536" name="0d003e8b-efa9-4992-92e0-dc206cac26a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8fd9a5719c7486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2539</xdr:row>
      <xdr:rowOff>19050</xdr:rowOff>
    </xdr:from>
    <xdr:ext cx="1143000" cy="1143000"/>
    <xdr:pic>
      <xdr:nvPicPr>
        <xdr:cNvPr id="2537" name="0137b07e-ec44-4612-a99f-7160fd44f24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7a84e0e5f2f42a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2540</xdr:row>
      <xdr:rowOff>19050</xdr:rowOff>
    </xdr:from>
    <xdr:ext cx="1143000" cy="1143000"/>
    <xdr:pic>
      <xdr:nvPicPr>
        <xdr:cNvPr id="2538" name="0d9df58b-2c67-411b-b1fa-2a5b8f5b301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7a5b75bd3904ee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2541</xdr:row>
      <xdr:rowOff>19050</xdr:rowOff>
    </xdr:from>
    <xdr:ext cx="1143000" cy="1143000"/>
    <xdr:pic>
      <xdr:nvPicPr>
        <xdr:cNvPr id="2539" name="22623b61-b2a8-4a5a-8721-7ba557ade4b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32d5d0c2a2a44c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2542</xdr:row>
      <xdr:rowOff>19050</xdr:rowOff>
    </xdr:from>
    <xdr:ext cx="1143000" cy="1143000"/>
    <xdr:pic>
      <xdr:nvPicPr>
        <xdr:cNvPr id="2540" name="e30d565d-7310-4454-9c36-411d6f69143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c93026f63ae400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2543</xdr:row>
      <xdr:rowOff>19050</xdr:rowOff>
    </xdr:from>
    <xdr:ext cx="1143000" cy="1143000"/>
    <xdr:pic>
      <xdr:nvPicPr>
        <xdr:cNvPr id="2541" name="b78e79d4-bfda-4034-a982-05bc4d273db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e7db114e274456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2544</xdr:row>
      <xdr:rowOff>19050</xdr:rowOff>
    </xdr:from>
    <xdr:ext cx="1143000" cy="1143000"/>
    <xdr:pic>
      <xdr:nvPicPr>
        <xdr:cNvPr id="2542" name="91818f92-575a-4b2f-b9ae-cfae4df27a6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1e8b94297fd459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2545</xdr:row>
      <xdr:rowOff>19050</xdr:rowOff>
    </xdr:from>
    <xdr:ext cx="1143000" cy="1143000"/>
    <xdr:pic>
      <xdr:nvPicPr>
        <xdr:cNvPr id="2543" name="421ef681-d207-4998-a195-f0ff0b15aad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98967f9042a4fa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2546</xdr:row>
      <xdr:rowOff>19050</xdr:rowOff>
    </xdr:from>
    <xdr:ext cx="1143000" cy="1143000"/>
    <xdr:pic>
      <xdr:nvPicPr>
        <xdr:cNvPr id="2544" name="99684700-7d7e-4670-84c1-b8c6b971fc9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fbc3da516d74fb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2547</xdr:row>
      <xdr:rowOff>19050</xdr:rowOff>
    </xdr:from>
    <xdr:ext cx="1143000" cy="1143000"/>
    <xdr:pic>
      <xdr:nvPicPr>
        <xdr:cNvPr id="2545" name="80784eca-eb8e-45f0-a73e-c8ef3e0233e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73482634766452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2548</xdr:row>
      <xdr:rowOff>19050</xdr:rowOff>
    </xdr:from>
    <xdr:ext cx="1143000" cy="1143000"/>
    <xdr:pic>
      <xdr:nvPicPr>
        <xdr:cNvPr id="2546" name="119cb566-d1f6-4cf5-9476-2228953468c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8a2b4f9a8934c6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2549</xdr:row>
      <xdr:rowOff>19050</xdr:rowOff>
    </xdr:from>
    <xdr:ext cx="1143000" cy="1143000"/>
    <xdr:pic>
      <xdr:nvPicPr>
        <xdr:cNvPr id="2547" name="4e2a0101-035d-4363-9e09-7260d11349e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e82e6883db84b3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2550</xdr:row>
      <xdr:rowOff>19050</xdr:rowOff>
    </xdr:from>
    <xdr:ext cx="1143000" cy="1143000"/>
    <xdr:pic>
      <xdr:nvPicPr>
        <xdr:cNvPr id="2548" name="62c315c1-166f-4b50-97d1-bfa3a23f9fc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7a169b50af24bc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2551</xdr:row>
      <xdr:rowOff>19050</xdr:rowOff>
    </xdr:from>
    <xdr:ext cx="1143000" cy="1143000"/>
    <xdr:pic>
      <xdr:nvPicPr>
        <xdr:cNvPr id="2549" name="38d1b0ad-108d-452a-89d3-095c5e8e29c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c33f7a2013a498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2552</xdr:row>
      <xdr:rowOff>19050</xdr:rowOff>
    </xdr:from>
    <xdr:ext cx="1143000" cy="1143000"/>
    <xdr:pic>
      <xdr:nvPicPr>
        <xdr:cNvPr id="2550" name="316b0d49-5f77-4ee5-bda3-64cf80e1bb0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c25a23b916e4e5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2553</xdr:row>
      <xdr:rowOff>19050</xdr:rowOff>
    </xdr:from>
    <xdr:ext cx="1143000" cy="1143000"/>
    <xdr:pic>
      <xdr:nvPicPr>
        <xdr:cNvPr id="2551" name="cdec8c67-8599-4c68-9e37-795c8bb8f98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3e48765eb3b496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2554</xdr:row>
      <xdr:rowOff>19050</xdr:rowOff>
    </xdr:from>
    <xdr:ext cx="1143000" cy="1143000"/>
    <xdr:pic>
      <xdr:nvPicPr>
        <xdr:cNvPr id="2552" name="6f2783c4-491a-441c-aef7-131361d317f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ca68b758cb3460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2555</xdr:row>
      <xdr:rowOff>19050</xdr:rowOff>
    </xdr:from>
    <xdr:ext cx="1143000" cy="1143000"/>
    <xdr:pic>
      <xdr:nvPicPr>
        <xdr:cNvPr id="2553" name="1bb7c6e9-c2db-4195-a380-0fb72f3cdff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ee3e7a28d724f7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2556</xdr:row>
      <xdr:rowOff>19050</xdr:rowOff>
    </xdr:from>
    <xdr:ext cx="1143000" cy="1143000"/>
    <xdr:pic>
      <xdr:nvPicPr>
        <xdr:cNvPr id="2554" name="a023d68a-d478-43fa-a519-b8d56f4813f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2038d41a4ce4d0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2557</xdr:row>
      <xdr:rowOff>19050</xdr:rowOff>
    </xdr:from>
    <xdr:ext cx="1143000" cy="1143000"/>
    <xdr:pic>
      <xdr:nvPicPr>
        <xdr:cNvPr id="2555" name="e199e8dd-18a8-43e9-8391-62be7b7cdb9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c617c88b406433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2558</xdr:row>
      <xdr:rowOff>19050</xdr:rowOff>
    </xdr:from>
    <xdr:ext cx="1143000" cy="1143000"/>
    <xdr:pic>
      <xdr:nvPicPr>
        <xdr:cNvPr id="2556" name="13fb867d-8b28-4462-97ff-698f12419fa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5073ac7266d484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2559</xdr:row>
      <xdr:rowOff>19050</xdr:rowOff>
    </xdr:from>
    <xdr:ext cx="1143000" cy="1143000"/>
    <xdr:pic>
      <xdr:nvPicPr>
        <xdr:cNvPr id="2557" name="331988bb-4b67-4351-8e14-41f2b39338d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9bd0d0a8c98436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2560</xdr:row>
      <xdr:rowOff>19050</xdr:rowOff>
    </xdr:from>
    <xdr:ext cx="1143000" cy="1143000"/>
    <xdr:pic>
      <xdr:nvPicPr>
        <xdr:cNvPr id="2558" name="f4569ce2-901f-4b1f-a6b3-29cc3b55db7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26f6f6ceea4473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2561</xdr:row>
      <xdr:rowOff>19050</xdr:rowOff>
    </xdr:from>
    <xdr:ext cx="1143000" cy="1143000"/>
    <xdr:pic>
      <xdr:nvPicPr>
        <xdr:cNvPr id="2559" name="f988785c-e1c9-4963-a822-927eaf58487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b5ed3eeb93340e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2562</xdr:row>
      <xdr:rowOff>19050</xdr:rowOff>
    </xdr:from>
    <xdr:ext cx="1143000" cy="1143000"/>
    <xdr:pic>
      <xdr:nvPicPr>
        <xdr:cNvPr id="2560" name="04607acf-9b37-4880-ad27-9e3b8a7ee5c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af0b57784d8413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2563</xdr:row>
      <xdr:rowOff>19050</xdr:rowOff>
    </xdr:from>
    <xdr:ext cx="1143000" cy="1143000"/>
    <xdr:pic>
      <xdr:nvPicPr>
        <xdr:cNvPr id="2561" name="c6e88c3b-5cf2-4073-b2b1-8a88cf9386a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9b5e87fef4c492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2564</xdr:row>
      <xdr:rowOff>19050</xdr:rowOff>
    </xdr:from>
    <xdr:ext cx="1143000" cy="1143000"/>
    <xdr:pic>
      <xdr:nvPicPr>
        <xdr:cNvPr id="2562" name="6b114e72-a7e2-48b2-a0d6-b1b06a64591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533a9c8c10843b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2565</xdr:row>
      <xdr:rowOff>19050</xdr:rowOff>
    </xdr:from>
    <xdr:ext cx="1143000" cy="1143000"/>
    <xdr:pic>
      <xdr:nvPicPr>
        <xdr:cNvPr id="2563" name="4d463516-d30f-463c-917d-acfa2fe4637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82b7ad74805444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2566</xdr:row>
      <xdr:rowOff>19050</xdr:rowOff>
    </xdr:from>
    <xdr:ext cx="1143000" cy="1143000"/>
    <xdr:pic>
      <xdr:nvPicPr>
        <xdr:cNvPr id="2564" name="610420b3-3c93-4aca-98bd-24699585e89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44e30a4b7594f3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2567</xdr:row>
      <xdr:rowOff>19050</xdr:rowOff>
    </xdr:from>
    <xdr:ext cx="1143000" cy="1143000"/>
    <xdr:pic>
      <xdr:nvPicPr>
        <xdr:cNvPr id="2565" name="b1b7bebd-a0b6-4381-9e21-75a09ac4d54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e4cae5f6ee94c3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2568</xdr:row>
      <xdr:rowOff>19050</xdr:rowOff>
    </xdr:from>
    <xdr:ext cx="1143000" cy="1143000"/>
    <xdr:pic>
      <xdr:nvPicPr>
        <xdr:cNvPr id="2566" name="c987329c-5995-40d0-95e8-1e86bf78941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2e3ed963c7f40d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2569</xdr:row>
      <xdr:rowOff>19050</xdr:rowOff>
    </xdr:from>
    <xdr:ext cx="1143000" cy="1143000"/>
    <xdr:pic>
      <xdr:nvPicPr>
        <xdr:cNvPr id="2567" name="d0ebb666-0458-4c60-9ae4-2ad7eae468a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70c4464381b449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2570</xdr:row>
      <xdr:rowOff>19050</xdr:rowOff>
    </xdr:from>
    <xdr:ext cx="1143000" cy="1143000"/>
    <xdr:pic>
      <xdr:nvPicPr>
        <xdr:cNvPr id="2568" name="93e835b6-03fc-4598-abcc-746ef74cc34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cf05431d3cb4d5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2571</xdr:row>
      <xdr:rowOff>19050</xdr:rowOff>
    </xdr:from>
    <xdr:ext cx="1143000" cy="1143000"/>
    <xdr:pic>
      <xdr:nvPicPr>
        <xdr:cNvPr id="2569" name="c5556a60-4ce6-47a9-9c8d-e863d6deaf2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0718a60ed78405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2572</xdr:row>
      <xdr:rowOff>19050</xdr:rowOff>
    </xdr:from>
    <xdr:ext cx="1143000" cy="1143000"/>
    <xdr:pic>
      <xdr:nvPicPr>
        <xdr:cNvPr id="2570" name="f74685dd-c54e-493d-9a74-55c9be9b9fc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52ed7edf3f6460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2573</xdr:row>
      <xdr:rowOff>19050</xdr:rowOff>
    </xdr:from>
    <xdr:ext cx="1143000" cy="1143000"/>
    <xdr:pic>
      <xdr:nvPicPr>
        <xdr:cNvPr id="2571" name="cf594cb7-b3ce-4a52-97cd-3df9fcc3f2e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492ae7e15394ce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2574</xdr:row>
      <xdr:rowOff>19050</xdr:rowOff>
    </xdr:from>
    <xdr:ext cx="1143000" cy="1143000"/>
    <xdr:pic>
      <xdr:nvPicPr>
        <xdr:cNvPr id="2572" name="88a002d5-4a2f-4f91-ae8a-52e8045d082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2bcc90e4eca45a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2575</xdr:row>
      <xdr:rowOff>19050</xdr:rowOff>
    </xdr:from>
    <xdr:ext cx="1143000" cy="1143000"/>
    <xdr:pic>
      <xdr:nvPicPr>
        <xdr:cNvPr id="2573" name="d9d4f338-738b-4438-b766-a8bae6e3b29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f39ce756248475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2576</xdr:row>
      <xdr:rowOff>19050</xdr:rowOff>
    </xdr:from>
    <xdr:ext cx="1143000" cy="1143000"/>
    <xdr:pic>
      <xdr:nvPicPr>
        <xdr:cNvPr id="2574" name="b534e0c3-2372-49de-943a-b74cd638b86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34c36e4d725471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2577</xdr:row>
      <xdr:rowOff>19050</xdr:rowOff>
    </xdr:from>
    <xdr:ext cx="1143000" cy="1143000"/>
    <xdr:pic>
      <xdr:nvPicPr>
        <xdr:cNvPr id="2575" name="ae404c26-caac-4fb9-91ba-3930e421565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2b46f13e3fc4dc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2578</xdr:row>
      <xdr:rowOff>19050</xdr:rowOff>
    </xdr:from>
    <xdr:ext cx="1143000" cy="1143000"/>
    <xdr:pic>
      <xdr:nvPicPr>
        <xdr:cNvPr id="2576" name="fb894672-bbf5-4771-b462-11d56cad1a9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86903e7303d44c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2579</xdr:row>
      <xdr:rowOff>19050</xdr:rowOff>
    </xdr:from>
    <xdr:ext cx="1143000" cy="1143000"/>
    <xdr:pic>
      <xdr:nvPicPr>
        <xdr:cNvPr id="2577" name="1a0647ff-ebc7-4edf-8558-7ea2171fd62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53560b34f12463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2580</xdr:row>
      <xdr:rowOff>19050</xdr:rowOff>
    </xdr:from>
    <xdr:ext cx="1143000" cy="1143000"/>
    <xdr:pic>
      <xdr:nvPicPr>
        <xdr:cNvPr id="2578" name="6bfda6f1-de26-439c-9985-1fad64ec4e7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8598c89a93849e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2581</xdr:row>
      <xdr:rowOff>19050</xdr:rowOff>
    </xdr:from>
    <xdr:ext cx="1143000" cy="1143000"/>
    <xdr:pic>
      <xdr:nvPicPr>
        <xdr:cNvPr id="2579" name="b9649b39-336a-4d73-8717-498246bc828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e369ba0fab44e4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2582</xdr:row>
      <xdr:rowOff>19050</xdr:rowOff>
    </xdr:from>
    <xdr:ext cx="1143000" cy="1143000"/>
    <xdr:pic>
      <xdr:nvPicPr>
        <xdr:cNvPr id="2580" name="6973d58f-ea3d-4dd4-b3a4-b32539cd0bf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0625260f7234c1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2583</xdr:row>
      <xdr:rowOff>19050</xdr:rowOff>
    </xdr:from>
    <xdr:ext cx="1143000" cy="1143000"/>
    <xdr:pic>
      <xdr:nvPicPr>
        <xdr:cNvPr id="2581" name="b94fa750-ea40-452c-b4bf-f3f5299ad20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bc5f884f3c94ba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2584</xdr:row>
      <xdr:rowOff>19050</xdr:rowOff>
    </xdr:from>
    <xdr:ext cx="1143000" cy="1143000"/>
    <xdr:pic>
      <xdr:nvPicPr>
        <xdr:cNvPr id="2582" name="43b80251-350e-4e83-aa5d-7933a5c83c5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9a82f06a03a449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2585</xdr:row>
      <xdr:rowOff>19050</xdr:rowOff>
    </xdr:from>
    <xdr:ext cx="1143000" cy="1143000"/>
    <xdr:pic>
      <xdr:nvPicPr>
        <xdr:cNvPr id="2583" name="3b5caec3-0035-4a8f-89db-20ae5e85ee6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9fcda59abea40d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2586</xdr:row>
      <xdr:rowOff>19050</xdr:rowOff>
    </xdr:from>
    <xdr:ext cx="1143000" cy="1143000"/>
    <xdr:pic>
      <xdr:nvPicPr>
        <xdr:cNvPr id="2584" name="358f8ce4-a71e-46fe-8d80-9df112a674d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6a66a11641c464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2587</xdr:row>
      <xdr:rowOff>19050</xdr:rowOff>
    </xdr:from>
    <xdr:ext cx="1143000" cy="1143000"/>
    <xdr:pic>
      <xdr:nvPicPr>
        <xdr:cNvPr id="2585" name="a85b4638-33ea-4fed-aced-69931d76e67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c815160f23d460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2588</xdr:row>
      <xdr:rowOff>19050</xdr:rowOff>
    </xdr:from>
    <xdr:ext cx="1143000" cy="1143000"/>
    <xdr:pic>
      <xdr:nvPicPr>
        <xdr:cNvPr id="2586" name="7d79e305-755f-4593-950b-e398dfd31b0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085dca8f1d5470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2589</xdr:row>
      <xdr:rowOff>19050</xdr:rowOff>
    </xdr:from>
    <xdr:ext cx="1143000" cy="1143000"/>
    <xdr:pic>
      <xdr:nvPicPr>
        <xdr:cNvPr id="2587" name="ccef4c66-ce6b-4350-8985-120fd17847d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d7b8f6d1808477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2590</xdr:row>
      <xdr:rowOff>19050</xdr:rowOff>
    </xdr:from>
    <xdr:ext cx="1143000" cy="1143000"/>
    <xdr:pic>
      <xdr:nvPicPr>
        <xdr:cNvPr id="2588" name="4bad8180-62cf-4c22-a362-2a747f5eeb6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870497c3c5a4af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2591</xdr:row>
      <xdr:rowOff>19050</xdr:rowOff>
    </xdr:from>
    <xdr:ext cx="1143000" cy="1143000"/>
    <xdr:pic>
      <xdr:nvPicPr>
        <xdr:cNvPr id="2589" name="62ed1aab-331f-4f96-ae20-755fe1529ce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e3ed82848084e3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2592</xdr:row>
      <xdr:rowOff>19050</xdr:rowOff>
    </xdr:from>
    <xdr:ext cx="1143000" cy="1143000"/>
    <xdr:pic>
      <xdr:nvPicPr>
        <xdr:cNvPr id="2590" name="54829336-8328-4f52-90b8-2f74469ae96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fb10e637155438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2593</xdr:row>
      <xdr:rowOff>19050</xdr:rowOff>
    </xdr:from>
    <xdr:ext cx="1143000" cy="1143000"/>
    <xdr:pic>
      <xdr:nvPicPr>
        <xdr:cNvPr id="2591" name="d7308731-d742-48a3-81a4-37951700c08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6afab06006d448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2594</xdr:row>
      <xdr:rowOff>19050</xdr:rowOff>
    </xdr:from>
    <xdr:ext cx="1143000" cy="1143000"/>
    <xdr:pic>
      <xdr:nvPicPr>
        <xdr:cNvPr id="2592" name="76a03da2-ef5c-4467-a1d0-faf2b94c366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917a083f7dc479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2595</xdr:row>
      <xdr:rowOff>19050</xdr:rowOff>
    </xdr:from>
    <xdr:ext cx="1143000" cy="1143000"/>
    <xdr:pic>
      <xdr:nvPicPr>
        <xdr:cNvPr id="2593" name="b04e08f8-1696-42dd-8b84-4c4f538e8f9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c4fae0c1c9d4f6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2596</xdr:row>
      <xdr:rowOff>19050</xdr:rowOff>
    </xdr:from>
    <xdr:ext cx="1143000" cy="1143000"/>
    <xdr:pic>
      <xdr:nvPicPr>
        <xdr:cNvPr id="2594" name="b416e535-d827-446e-ba31-1f132cbde4b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acf3680b64a4ab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2597</xdr:row>
      <xdr:rowOff>19050</xdr:rowOff>
    </xdr:from>
    <xdr:ext cx="1143000" cy="1143000"/>
    <xdr:pic>
      <xdr:nvPicPr>
        <xdr:cNvPr id="2595" name="bcaae43a-4abb-48e9-bf77-7bd353e4c57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851f1317fbc47e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2598</xdr:row>
      <xdr:rowOff>19050</xdr:rowOff>
    </xdr:from>
    <xdr:ext cx="1143000" cy="1143000"/>
    <xdr:pic>
      <xdr:nvPicPr>
        <xdr:cNvPr id="2596" name="4ba2399a-c966-4656-90ae-a0aa08846b4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100c20dda2c47a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2599</xdr:row>
      <xdr:rowOff>19050</xdr:rowOff>
    </xdr:from>
    <xdr:ext cx="1143000" cy="1143000"/>
    <xdr:pic>
      <xdr:nvPicPr>
        <xdr:cNvPr id="2597" name="b691244f-a6f9-484b-9822-730ecc2a2b3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dffbe30d36a4cd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2600</xdr:row>
      <xdr:rowOff>19050</xdr:rowOff>
    </xdr:from>
    <xdr:ext cx="1143000" cy="1143000"/>
    <xdr:pic>
      <xdr:nvPicPr>
        <xdr:cNvPr id="2598" name="c4880a5a-d084-44ee-8bff-108fbf83bac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cfe1dd165e34d1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2601</xdr:row>
      <xdr:rowOff>19050</xdr:rowOff>
    </xdr:from>
    <xdr:ext cx="1143000" cy="1143000"/>
    <xdr:pic>
      <xdr:nvPicPr>
        <xdr:cNvPr id="2599" name="0aa5761f-cf0f-436e-ab81-d70e7baeb22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f903b86bfda45e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2602</xdr:row>
      <xdr:rowOff>19050</xdr:rowOff>
    </xdr:from>
    <xdr:ext cx="1143000" cy="1143000"/>
    <xdr:pic>
      <xdr:nvPicPr>
        <xdr:cNvPr id="2600" name="a0b267d8-cb5e-4b84-b2d3-79923dea0ec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7c1b765b609430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2603</xdr:row>
      <xdr:rowOff>19050</xdr:rowOff>
    </xdr:from>
    <xdr:ext cx="1143000" cy="1143000"/>
    <xdr:pic>
      <xdr:nvPicPr>
        <xdr:cNvPr id="2601" name="02ed0680-0c8c-4b49-9b80-9d6cc205536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48cd0d0880b420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2604</xdr:row>
      <xdr:rowOff>19050</xdr:rowOff>
    </xdr:from>
    <xdr:ext cx="1143000" cy="1143000"/>
    <xdr:pic>
      <xdr:nvPicPr>
        <xdr:cNvPr id="2602" name="97950f73-fb07-41e4-8bdc-eb8fbdff7e1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f435bfaa328434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2605</xdr:row>
      <xdr:rowOff>19050</xdr:rowOff>
    </xdr:from>
    <xdr:ext cx="1143000" cy="1143000"/>
    <xdr:pic>
      <xdr:nvPicPr>
        <xdr:cNvPr id="2603" name="84d5cdf8-61fe-4e60-900b-1004a904a17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5f0b1e629684e9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2606</xdr:row>
      <xdr:rowOff>19050</xdr:rowOff>
    </xdr:from>
    <xdr:ext cx="1143000" cy="1143000"/>
    <xdr:pic>
      <xdr:nvPicPr>
        <xdr:cNvPr id="2604" name="453ec41d-7970-4952-8fc8-8b9518264fb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2d743cbc0d34e5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2607</xdr:row>
      <xdr:rowOff>19050</xdr:rowOff>
    </xdr:from>
    <xdr:ext cx="1143000" cy="1143000"/>
    <xdr:pic>
      <xdr:nvPicPr>
        <xdr:cNvPr id="2605" name="a904c707-0902-447e-af65-98aa49a140f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8411de50125482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2608</xdr:row>
      <xdr:rowOff>19050</xdr:rowOff>
    </xdr:from>
    <xdr:ext cx="1143000" cy="1143000"/>
    <xdr:pic>
      <xdr:nvPicPr>
        <xdr:cNvPr id="2606" name="fea43471-ad21-4232-8420-f73970936ee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90d7a2c495e4e4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2609</xdr:row>
      <xdr:rowOff>19050</xdr:rowOff>
    </xdr:from>
    <xdr:ext cx="1143000" cy="1143000"/>
    <xdr:pic>
      <xdr:nvPicPr>
        <xdr:cNvPr id="2607" name="7240023f-66f2-456c-be61-c57078b54a5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056fae2d58c435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2610</xdr:row>
      <xdr:rowOff>19050</xdr:rowOff>
    </xdr:from>
    <xdr:ext cx="1143000" cy="1143000"/>
    <xdr:pic>
      <xdr:nvPicPr>
        <xdr:cNvPr id="2608" name="7af1742d-6917-4e03-a767-1f22efb3c36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1ea3d2210734a3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2611</xdr:row>
      <xdr:rowOff>19050</xdr:rowOff>
    </xdr:from>
    <xdr:ext cx="1143000" cy="1143000"/>
    <xdr:pic>
      <xdr:nvPicPr>
        <xdr:cNvPr id="2609" name="dac768d8-538d-454e-a679-1d0b84635be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d6dcb957886462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2612</xdr:row>
      <xdr:rowOff>19050</xdr:rowOff>
    </xdr:from>
    <xdr:ext cx="1143000" cy="1143000"/>
    <xdr:pic>
      <xdr:nvPicPr>
        <xdr:cNvPr id="2610" name="c9881f52-9238-400f-b40c-c73c6c2e52b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fd4ac15ae6645b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2613</xdr:row>
      <xdr:rowOff>19050</xdr:rowOff>
    </xdr:from>
    <xdr:ext cx="1143000" cy="1143000"/>
    <xdr:pic>
      <xdr:nvPicPr>
        <xdr:cNvPr id="2611" name="986954bc-9641-4bf0-bad0-f2e0b39964d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41db9d6709b40b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2614</xdr:row>
      <xdr:rowOff>19050</xdr:rowOff>
    </xdr:from>
    <xdr:ext cx="1143000" cy="1143000"/>
    <xdr:pic>
      <xdr:nvPicPr>
        <xdr:cNvPr id="2612" name="e2556546-ea06-4276-ad76-3a359197a29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6315640862b4fe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2615</xdr:row>
      <xdr:rowOff>19050</xdr:rowOff>
    </xdr:from>
    <xdr:ext cx="1143000" cy="1143000"/>
    <xdr:pic>
      <xdr:nvPicPr>
        <xdr:cNvPr id="2613" name="c171e0c0-4867-4e3b-91f4-ae743a4b551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264be0602f6453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2616</xdr:row>
      <xdr:rowOff>19050</xdr:rowOff>
    </xdr:from>
    <xdr:ext cx="1143000" cy="1143000"/>
    <xdr:pic>
      <xdr:nvPicPr>
        <xdr:cNvPr id="2614" name="78499afe-1faf-4d33-ad41-05d4482a4d0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36d2909bae64ad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2617</xdr:row>
      <xdr:rowOff>19050</xdr:rowOff>
    </xdr:from>
    <xdr:ext cx="1143000" cy="1143000"/>
    <xdr:pic>
      <xdr:nvPicPr>
        <xdr:cNvPr id="2615" name="27c608c1-3632-4a32-828e-0711d9ae3a7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57e08284576455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2618</xdr:row>
      <xdr:rowOff>19050</xdr:rowOff>
    </xdr:from>
    <xdr:ext cx="1143000" cy="1143000"/>
    <xdr:pic>
      <xdr:nvPicPr>
        <xdr:cNvPr id="2616" name="70a2468a-77ae-40b5-bf11-f1233a58456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74dd572983c421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2619</xdr:row>
      <xdr:rowOff>19050</xdr:rowOff>
    </xdr:from>
    <xdr:ext cx="1143000" cy="1143000"/>
    <xdr:pic>
      <xdr:nvPicPr>
        <xdr:cNvPr id="2617" name="4a665521-09ca-47e4-baf8-5b29fab13cf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9d6bde9724b476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2620</xdr:row>
      <xdr:rowOff>19050</xdr:rowOff>
    </xdr:from>
    <xdr:ext cx="1143000" cy="1143000"/>
    <xdr:pic>
      <xdr:nvPicPr>
        <xdr:cNvPr id="2618" name="7dc05bf6-ac15-4a2f-8a2a-2b3623e5350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3f4c580d389423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2621</xdr:row>
      <xdr:rowOff>19050</xdr:rowOff>
    </xdr:from>
    <xdr:ext cx="1143000" cy="1143000"/>
    <xdr:pic>
      <xdr:nvPicPr>
        <xdr:cNvPr id="2619" name="21ab709f-fa72-4fe7-b85f-6496ce76727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3eed52869c5483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2622</xdr:row>
      <xdr:rowOff>19050</xdr:rowOff>
    </xdr:from>
    <xdr:ext cx="1143000" cy="1143000"/>
    <xdr:pic>
      <xdr:nvPicPr>
        <xdr:cNvPr id="2620" name="47068fbd-7c82-4383-ba15-ac9f1aa648e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9f2ffb27c5a45e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2623</xdr:row>
      <xdr:rowOff>19050</xdr:rowOff>
    </xdr:from>
    <xdr:ext cx="1143000" cy="1143000"/>
    <xdr:pic>
      <xdr:nvPicPr>
        <xdr:cNvPr id="2621" name="735779c0-86f3-4a7c-8b38-2d78504aee6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d81d5a17510443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2624</xdr:row>
      <xdr:rowOff>19050</xdr:rowOff>
    </xdr:from>
    <xdr:ext cx="1143000" cy="1143000"/>
    <xdr:pic>
      <xdr:nvPicPr>
        <xdr:cNvPr id="2622" name="dd9b11e4-1ac6-4bd7-a707-b084004724f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98a902bd3ef473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2625</xdr:row>
      <xdr:rowOff>19050</xdr:rowOff>
    </xdr:from>
    <xdr:ext cx="1143000" cy="1143000"/>
    <xdr:pic>
      <xdr:nvPicPr>
        <xdr:cNvPr id="2623" name="25fe3956-9f85-46d4-b476-6e98bb04904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a8e65b01db74ab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2626</xdr:row>
      <xdr:rowOff>19050</xdr:rowOff>
    </xdr:from>
    <xdr:ext cx="1143000" cy="1143000"/>
    <xdr:pic>
      <xdr:nvPicPr>
        <xdr:cNvPr id="2624" name="cff9668a-96de-406f-b567-23a42bc8488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c1ffb0aaf8b470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2627</xdr:row>
      <xdr:rowOff>19050</xdr:rowOff>
    </xdr:from>
    <xdr:ext cx="1143000" cy="1143000"/>
    <xdr:pic>
      <xdr:nvPicPr>
        <xdr:cNvPr id="2625" name="cbd7abec-e340-4ff8-9452-4ceb06ec29b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61ccf7060c4431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2628</xdr:row>
      <xdr:rowOff>19050</xdr:rowOff>
    </xdr:from>
    <xdr:ext cx="1143000" cy="1143000"/>
    <xdr:pic>
      <xdr:nvPicPr>
        <xdr:cNvPr id="2626" name="4e41b9a3-d043-4745-8144-ab7323d9a07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2266855a427403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2629</xdr:row>
      <xdr:rowOff>19050</xdr:rowOff>
    </xdr:from>
    <xdr:ext cx="1143000" cy="1143000"/>
    <xdr:pic>
      <xdr:nvPicPr>
        <xdr:cNvPr id="2627" name="175abaab-33a5-4767-8675-fac490ea68d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9410439aa9f4d6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2630</xdr:row>
      <xdr:rowOff>19050</xdr:rowOff>
    </xdr:from>
    <xdr:ext cx="1143000" cy="1143000"/>
    <xdr:pic>
      <xdr:nvPicPr>
        <xdr:cNvPr id="2628" name="aeafc5fc-fa0c-4753-93d0-a9ca7593436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0e38015196a4f2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2631</xdr:row>
      <xdr:rowOff>19050</xdr:rowOff>
    </xdr:from>
    <xdr:ext cx="1143000" cy="1143000"/>
    <xdr:pic>
      <xdr:nvPicPr>
        <xdr:cNvPr id="2629" name="8c7200f6-3b94-4f09-af8e-d59b585a859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7a5499830b0497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2632</xdr:row>
      <xdr:rowOff>19050</xdr:rowOff>
    </xdr:from>
    <xdr:ext cx="1143000" cy="1143000"/>
    <xdr:pic>
      <xdr:nvPicPr>
        <xdr:cNvPr id="2630" name="a7120d32-4907-4bf4-98eb-089fadbbb2e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b2dadaa1762436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2633</xdr:row>
      <xdr:rowOff>19050</xdr:rowOff>
    </xdr:from>
    <xdr:ext cx="1143000" cy="1143000"/>
    <xdr:pic>
      <xdr:nvPicPr>
        <xdr:cNvPr id="2631" name="ad839e6f-37ef-4d48-964b-b17f168022e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3624ee66e91406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2634</xdr:row>
      <xdr:rowOff>19050</xdr:rowOff>
    </xdr:from>
    <xdr:ext cx="1143000" cy="1143000"/>
    <xdr:pic>
      <xdr:nvPicPr>
        <xdr:cNvPr id="2632" name="b6c1326f-6ddd-47a6-9be7-6b3e05801ab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4d95bd89f03431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2635</xdr:row>
      <xdr:rowOff>19050</xdr:rowOff>
    </xdr:from>
    <xdr:ext cx="1143000" cy="1143000"/>
    <xdr:pic>
      <xdr:nvPicPr>
        <xdr:cNvPr id="2633" name="1af42724-9de1-4081-98ad-8d87e3bb68e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25fb2fb5c16428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2636</xdr:row>
      <xdr:rowOff>19050</xdr:rowOff>
    </xdr:from>
    <xdr:ext cx="1143000" cy="1143000"/>
    <xdr:pic>
      <xdr:nvPicPr>
        <xdr:cNvPr id="2634" name="d2bdc45e-a19f-477c-a535-556397b0069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7194e811daa491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2637</xdr:row>
      <xdr:rowOff>19050</xdr:rowOff>
    </xdr:from>
    <xdr:ext cx="1143000" cy="1143000"/>
    <xdr:pic>
      <xdr:nvPicPr>
        <xdr:cNvPr id="2635" name="4db34631-9a19-4375-bd5e-4aab5fac17d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718172b9142499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2638</xdr:row>
      <xdr:rowOff>19050</xdr:rowOff>
    </xdr:from>
    <xdr:ext cx="1143000" cy="1143000"/>
    <xdr:pic>
      <xdr:nvPicPr>
        <xdr:cNvPr id="2636" name="7dc57765-1219-4f47-97bb-fdfd428c340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cfc54ad216541d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2639</xdr:row>
      <xdr:rowOff>19050</xdr:rowOff>
    </xdr:from>
    <xdr:ext cx="1143000" cy="1143000"/>
    <xdr:pic>
      <xdr:nvPicPr>
        <xdr:cNvPr id="2637" name="96e34d1a-584d-44ef-ab97-c0a3c69d760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27f70f83cd1497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2640</xdr:row>
      <xdr:rowOff>19050</xdr:rowOff>
    </xdr:from>
    <xdr:ext cx="1143000" cy="1143000"/>
    <xdr:pic>
      <xdr:nvPicPr>
        <xdr:cNvPr id="2638" name="da7dc909-67f0-4c7e-91ca-8207e27937c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80e7305341b4bb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2641</xdr:row>
      <xdr:rowOff>19050</xdr:rowOff>
    </xdr:from>
    <xdr:ext cx="1143000" cy="1143000"/>
    <xdr:pic>
      <xdr:nvPicPr>
        <xdr:cNvPr id="2639" name="981987bf-2337-46c6-adb0-94e27053e65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34a388b6be74c0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2642</xdr:row>
      <xdr:rowOff>19050</xdr:rowOff>
    </xdr:from>
    <xdr:ext cx="1143000" cy="1143000"/>
    <xdr:pic>
      <xdr:nvPicPr>
        <xdr:cNvPr id="2640" name="0d645dc5-f51e-4831-9224-777fbaa5a1a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a1c6d13ae944e8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2643</xdr:row>
      <xdr:rowOff>19050</xdr:rowOff>
    </xdr:from>
    <xdr:ext cx="1143000" cy="1143000"/>
    <xdr:pic>
      <xdr:nvPicPr>
        <xdr:cNvPr id="2641" name="5ad1dd5c-a580-4853-be8c-634a8139dbd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0307ecba2a5450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2644</xdr:row>
      <xdr:rowOff>19050</xdr:rowOff>
    </xdr:from>
    <xdr:ext cx="1143000" cy="1143000"/>
    <xdr:pic>
      <xdr:nvPicPr>
        <xdr:cNvPr id="2642" name="aa2e5077-5a10-464e-9f35-6d7ec14e163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bbf06552fdc43a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2645</xdr:row>
      <xdr:rowOff>19050</xdr:rowOff>
    </xdr:from>
    <xdr:ext cx="1143000" cy="1143000"/>
    <xdr:pic>
      <xdr:nvPicPr>
        <xdr:cNvPr id="2643" name="4145e257-7899-40c4-8069-5da503e3069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28d64e8d1a34ed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2646</xdr:row>
      <xdr:rowOff>19050</xdr:rowOff>
    </xdr:from>
    <xdr:ext cx="1143000" cy="1143000"/>
    <xdr:pic>
      <xdr:nvPicPr>
        <xdr:cNvPr id="2644" name="86486c91-b392-473a-b56e-ab0e8455e53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3d24078cb49407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2647</xdr:row>
      <xdr:rowOff>19050</xdr:rowOff>
    </xdr:from>
    <xdr:ext cx="1143000" cy="1143000"/>
    <xdr:pic>
      <xdr:nvPicPr>
        <xdr:cNvPr id="2645" name="0a25e2c3-62c9-4624-8fd5-c8a43535f49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d6ae7a389b84da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2648</xdr:row>
      <xdr:rowOff>19050</xdr:rowOff>
    </xdr:from>
    <xdr:ext cx="1143000" cy="1143000"/>
    <xdr:pic>
      <xdr:nvPicPr>
        <xdr:cNvPr id="2646" name="65bcfb97-4a04-4f27-be47-3e127a80a26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5e5c796b21841d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2649</xdr:row>
      <xdr:rowOff>19050</xdr:rowOff>
    </xdr:from>
    <xdr:ext cx="1143000" cy="1143000"/>
    <xdr:pic>
      <xdr:nvPicPr>
        <xdr:cNvPr id="2647" name="430e63d8-dc9c-4afa-9100-bcb6b079db3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baac6609aa24ec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2650</xdr:row>
      <xdr:rowOff>19050</xdr:rowOff>
    </xdr:from>
    <xdr:ext cx="1143000" cy="1143000"/>
    <xdr:pic>
      <xdr:nvPicPr>
        <xdr:cNvPr id="2648" name="0973c13c-6f19-4a94-82ac-f3a5f36e1e1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f61760ba4b944e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2651</xdr:row>
      <xdr:rowOff>19050</xdr:rowOff>
    </xdr:from>
    <xdr:ext cx="1143000" cy="1143000"/>
    <xdr:pic>
      <xdr:nvPicPr>
        <xdr:cNvPr id="2649" name="9475ecb9-c2b3-4ccc-8126-c80707d5f10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13697bf824b455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2652</xdr:row>
      <xdr:rowOff>19050</xdr:rowOff>
    </xdr:from>
    <xdr:ext cx="1143000" cy="1143000"/>
    <xdr:pic>
      <xdr:nvPicPr>
        <xdr:cNvPr id="2650" name="e4c8123e-85f0-471c-a214-66c9aea3538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733e9d16c7c4ae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2653</xdr:row>
      <xdr:rowOff>19050</xdr:rowOff>
    </xdr:from>
    <xdr:ext cx="1143000" cy="1143000"/>
    <xdr:pic>
      <xdr:nvPicPr>
        <xdr:cNvPr id="2651" name="baf87076-a190-4996-98e7-5cfb76a204e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b1d1079fd1346b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2654</xdr:row>
      <xdr:rowOff>19050</xdr:rowOff>
    </xdr:from>
    <xdr:ext cx="1143000" cy="1143000"/>
    <xdr:pic>
      <xdr:nvPicPr>
        <xdr:cNvPr id="2652" name="78ea961b-21f7-49cf-8143-49ebd066cb9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7f9b0cdfb3d467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2655</xdr:row>
      <xdr:rowOff>19050</xdr:rowOff>
    </xdr:from>
    <xdr:ext cx="1143000" cy="1143000"/>
    <xdr:pic>
      <xdr:nvPicPr>
        <xdr:cNvPr id="2653" name="3c9c67a7-f235-47c4-80e4-f38fdb227ec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85a9fc88052462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2656</xdr:row>
      <xdr:rowOff>19050</xdr:rowOff>
    </xdr:from>
    <xdr:ext cx="1143000" cy="1143000"/>
    <xdr:pic>
      <xdr:nvPicPr>
        <xdr:cNvPr id="2654" name="7c9eb2d6-009d-4887-bb15-eec7bf285dc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3102daba5b1490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2657</xdr:row>
      <xdr:rowOff>19050</xdr:rowOff>
    </xdr:from>
    <xdr:ext cx="1143000" cy="1143000"/>
    <xdr:pic>
      <xdr:nvPicPr>
        <xdr:cNvPr id="2655" name="4530e13f-d371-43d1-a6ea-a5652ff2d4b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671c8ab8e8c46a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2658</xdr:row>
      <xdr:rowOff>19050</xdr:rowOff>
    </xdr:from>
    <xdr:ext cx="1143000" cy="1143000"/>
    <xdr:pic>
      <xdr:nvPicPr>
        <xdr:cNvPr id="2656" name="6e6adf31-ed98-4ff7-afad-bd12f19651a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b416f99ab8047b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2659</xdr:row>
      <xdr:rowOff>19050</xdr:rowOff>
    </xdr:from>
    <xdr:ext cx="1143000" cy="1143000"/>
    <xdr:pic>
      <xdr:nvPicPr>
        <xdr:cNvPr id="2657" name="4d620de0-615c-43cc-b6f4-931ed190699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121ff1c37f6416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2660</xdr:row>
      <xdr:rowOff>19050</xdr:rowOff>
    </xdr:from>
    <xdr:ext cx="1143000" cy="1143000"/>
    <xdr:pic>
      <xdr:nvPicPr>
        <xdr:cNvPr id="2658" name="433eac14-815d-41ae-b506-5a08b6d2a91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6b556c3d6e2427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2661</xdr:row>
      <xdr:rowOff>19050</xdr:rowOff>
    </xdr:from>
    <xdr:ext cx="1143000" cy="1143000"/>
    <xdr:pic>
      <xdr:nvPicPr>
        <xdr:cNvPr id="2659" name="e255a202-66e2-4198-9c07-37be1b118d0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bfcee1d8341482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2662</xdr:row>
      <xdr:rowOff>19050</xdr:rowOff>
    </xdr:from>
    <xdr:ext cx="1143000" cy="1143000"/>
    <xdr:pic>
      <xdr:nvPicPr>
        <xdr:cNvPr id="2660" name="2c685e7c-6f18-4b1d-8e71-481c9e5de16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efb5f2db31c460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2663</xdr:row>
      <xdr:rowOff>19050</xdr:rowOff>
    </xdr:from>
    <xdr:ext cx="1143000" cy="1143000"/>
    <xdr:pic>
      <xdr:nvPicPr>
        <xdr:cNvPr id="2661" name="f70c270b-f176-4b15-bba7-3b6baf4df6b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4ea39ecea264fd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2664</xdr:row>
      <xdr:rowOff>19050</xdr:rowOff>
    </xdr:from>
    <xdr:ext cx="1143000" cy="1143000"/>
    <xdr:pic>
      <xdr:nvPicPr>
        <xdr:cNvPr id="2662" name="7ea23458-3ce0-43d1-a5cd-3bb2c5f4d60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64b57611d43421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2665</xdr:row>
      <xdr:rowOff>19050</xdr:rowOff>
    </xdr:from>
    <xdr:ext cx="1143000" cy="1143000"/>
    <xdr:pic>
      <xdr:nvPicPr>
        <xdr:cNvPr id="2663" name="a9734ca4-2e38-402b-bff3-46331bdf2bf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b93dc4d56044c5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2666</xdr:row>
      <xdr:rowOff>19050</xdr:rowOff>
    </xdr:from>
    <xdr:ext cx="1143000" cy="1143000"/>
    <xdr:pic>
      <xdr:nvPicPr>
        <xdr:cNvPr id="2664" name="b7166271-43f2-4ab8-9e51-e70453a3072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efce662929b42a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2667</xdr:row>
      <xdr:rowOff>19050</xdr:rowOff>
    </xdr:from>
    <xdr:ext cx="1143000" cy="1143000"/>
    <xdr:pic>
      <xdr:nvPicPr>
        <xdr:cNvPr id="2665" name="093a0923-f85c-4795-aa41-1115f757d4a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0dd3fa5bc03447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2668</xdr:row>
      <xdr:rowOff>19050</xdr:rowOff>
    </xdr:from>
    <xdr:ext cx="1143000" cy="1143000"/>
    <xdr:pic>
      <xdr:nvPicPr>
        <xdr:cNvPr id="2666" name="0580cbb4-342d-466a-8751-c5e70716630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d0e2ddf52c9475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2669</xdr:row>
      <xdr:rowOff>19050</xdr:rowOff>
    </xdr:from>
    <xdr:ext cx="1143000" cy="1143000"/>
    <xdr:pic>
      <xdr:nvPicPr>
        <xdr:cNvPr id="2667" name="8e42e5f8-a796-427f-89c0-2feea251b9d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f48e4ebe8d3411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2670</xdr:row>
      <xdr:rowOff>19050</xdr:rowOff>
    </xdr:from>
    <xdr:ext cx="1143000" cy="1143000"/>
    <xdr:pic>
      <xdr:nvPicPr>
        <xdr:cNvPr id="2668" name="22a552dc-ce40-4fcd-b1db-a14815259ed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a848a9272744f0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2671</xdr:row>
      <xdr:rowOff>19050</xdr:rowOff>
    </xdr:from>
    <xdr:ext cx="1143000" cy="1143000"/>
    <xdr:pic>
      <xdr:nvPicPr>
        <xdr:cNvPr id="2669" name="f819d988-5d98-42c5-b51c-2484e9117b4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088b5f31614411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2672</xdr:row>
      <xdr:rowOff>19050</xdr:rowOff>
    </xdr:from>
    <xdr:ext cx="1143000" cy="1143000"/>
    <xdr:pic>
      <xdr:nvPicPr>
        <xdr:cNvPr id="2670" name="dcc6d4bd-9442-4359-8c5b-472c9e3a8d3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ff7853cce61452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2673</xdr:row>
      <xdr:rowOff>19050</xdr:rowOff>
    </xdr:from>
    <xdr:ext cx="1143000" cy="1143000"/>
    <xdr:pic>
      <xdr:nvPicPr>
        <xdr:cNvPr id="2671" name="2c8f9160-5751-4054-bbc2-b08fbaf9692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67b1ab0ccdf4a4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2674</xdr:row>
      <xdr:rowOff>19050</xdr:rowOff>
    </xdr:from>
    <xdr:ext cx="1143000" cy="1143000"/>
    <xdr:pic>
      <xdr:nvPicPr>
        <xdr:cNvPr id="2672" name="690d2bef-5d48-47d2-9cee-04477d5df3e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a6009e7db8844e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2675</xdr:row>
      <xdr:rowOff>19050</xdr:rowOff>
    </xdr:from>
    <xdr:ext cx="1143000" cy="1143000"/>
    <xdr:pic>
      <xdr:nvPicPr>
        <xdr:cNvPr id="2673" name="cf5d9994-45a6-46f7-98f6-9e61822a0f5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c61ba96a8d149b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2676</xdr:row>
      <xdr:rowOff>19050</xdr:rowOff>
    </xdr:from>
    <xdr:ext cx="1143000" cy="1143000"/>
    <xdr:pic>
      <xdr:nvPicPr>
        <xdr:cNvPr id="2674" name="7416bb16-bd57-4546-9e1a-3847fb7a6a0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e3936aa4cb04ad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2677</xdr:row>
      <xdr:rowOff>19050</xdr:rowOff>
    </xdr:from>
    <xdr:ext cx="1143000" cy="1143000"/>
    <xdr:pic>
      <xdr:nvPicPr>
        <xdr:cNvPr id="2675" name="75d4ae3a-6924-4344-9af8-7a8cdcd6de7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cdc4f6a79b4484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2678</xdr:row>
      <xdr:rowOff>19050</xdr:rowOff>
    </xdr:from>
    <xdr:ext cx="1143000" cy="1143000"/>
    <xdr:pic>
      <xdr:nvPicPr>
        <xdr:cNvPr id="2676" name="a46c90cd-4ef8-440b-9701-03a35670d48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df382d7a6894a1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2679</xdr:row>
      <xdr:rowOff>19050</xdr:rowOff>
    </xdr:from>
    <xdr:ext cx="1143000" cy="1143000"/>
    <xdr:pic>
      <xdr:nvPicPr>
        <xdr:cNvPr id="2677" name="8c5d4ad4-e73e-4849-8e51-4c24e223ba9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75a75b1f8224d1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2680</xdr:row>
      <xdr:rowOff>19050</xdr:rowOff>
    </xdr:from>
    <xdr:ext cx="1143000" cy="1143000"/>
    <xdr:pic>
      <xdr:nvPicPr>
        <xdr:cNvPr id="2678" name="29b6a27d-b418-4019-9978-777db365e32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a8c056f0989486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2681</xdr:row>
      <xdr:rowOff>19050</xdr:rowOff>
    </xdr:from>
    <xdr:ext cx="1143000" cy="1143000"/>
    <xdr:pic>
      <xdr:nvPicPr>
        <xdr:cNvPr id="2679" name="c4fb6893-5dbf-4ced-ac5c-5e319ac1eb4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828dd4baec5482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2682</xdr:row>
      <xdr:rowOff>19050</xdr:rowOff>
    </xdr:from>
    <xdr:ext cx="1143000" cy="1143000"/>
    <xdr:pic>
      <xdr:nvPicPr>
        <xdr:cNvPr id="2680" name="9a06b4b2-226e-41e0-9402-a73c89cec16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022180652a04f4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2683</xdr:row>
      <xdr:rowOff>19050</xdr:rowOff>
    </xdr:from>
    <xdr:ext cx="1143000" cy="1143000"/>
    <xdr:pic>
      <xdr:nvPicPr>
        <xdr:cNvPr id="2681" name="0b3c0dc0-9a83-4b0e-84c5-ca9897c29da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5fa0ddbdedf462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2684</xdr:row>
      <xdr:rowOff>19050</xdr:rowOff>
    </xdr:from>
    <xdr:ext cx="1143000" cy="1143000"/>
    <xdr:pic>
      <xdr:nvPicPr>
        <xdr:cNvPr id="2682" name="230977a5-acc7-4646-a379-f6238b26db2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54cdd44ad6a4e0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2685</xdr:row>
      <xdr:rowOff>19050</xdr:rowOff>
    </xdr:from>
    <xdr:ext cx="1143000" cy="1143000"/>
    <xdr:pic>
      <xdr:nvPicPr>
        <xdr:cNvPr id="2683" name="44ac2284-b8ec-42ac-908b-6780b48b6db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c99a899c983451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2686</xdr:row>
      <xdr:rowOff>19050</xdr:rowOff>
    </xdr:from>
    <xdr:ext cx="1143000" cy="1143000"/>
    <xdr:pic>
      <xdr:nvPicPr>
        <xdr:cNvPr id="2684" name="5c8ee1be-ac7d-4f54-9b82-6d737840f44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b395f077be640b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2687</xdr:row>
      <xdr:rowOff>19050</xdr:rowOff>
    </xdr:from>
    <xdr:ext cx="1143000" cy="1143000"/>
    <xdr:pic>
      <xdr:nvPicPr>
        <xdr:cNvPr id="2685" name="162fe78f-ce7c-4fe1-bb1b-a2c018cf73f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71c3ba2cb7149d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2688</xdr:row>
      <xdr:rowOff>19050</xdr:rowOff>
    </xdr:from>
    <xdr:ext cx="1143000" cy="1143000"/>
    <xdr:pic>
      <xdr:nvPicPr>
        <xdr:cNvPr id="2686" name="077e5811-7ca7-4b28-8048-c19f4812217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8f8b90922bd4c5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2689</xdr:row>
      <xdr:rowOff>19050</xdr:rowOff>
    </xdr:from>
    <xdr:ext cx="1143000" cy="1143000"/>
    <xdr:pic>
      <xdr:nvPicPr>
        <xdr:cNvPr id="2687" name="7eb72873-f589-44db-9fd6-a6c1aafcc89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ff0fda76f21464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2690</xdr:row>
      <xdr:rowOff>19050</xdr:rowOff>
    </xdr:from>
    <xdr:ext cx="1143000" cy="1143000"/>
    <xdr:pic>
      <xdr:nvPicPr>
        <xdr:cNvPr id="2688" name="c023b5b7-7678-4951-8b86-024aedc974d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5a7518ecc9f44e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2691</xdr:row>
      <xdr:rowOff>19050</xdr:rowOff>
    </xdr:from>
    <xdr:ext cx="1143000" cy="1143000"/>
    <xdr:pic>
      <xdr:nvPicPr>
        <xdr:cNvPr id="2689" name="bdd37093-a78c-4da5-84ba-4c620b6c186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a6dd3500a6e43c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2692</xdr:row>
      <xdr:rowOff>19050</xdr:rowOff>
    </xdr:from>
    <xdr:ext cx="1143000" cy="1143000"/>
    <xdr:pic>
      <xdr:nvPicPr>
        <xdr:cNvPr id="2690" name="3f77ea7d-9d7f-4c8a-b7cc-64a422c2660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8b15f56afa2427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2693</xdr:row>
      <xdr:rowOff>19050</xdr:rowOff>
    </xdr:from>
    <xdr:ext cx="1143000" cy="1143000"/>
    <xdr:pic>
      <xdr:nvPicPr>
        <xdr:cNvPr id="2691" name="1ea652db-efe8-4d6b-a0d2-7f4f50ee26b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44c42f70ed74be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2694</xdr:row>
      <xdr:rowOff>19050</xdr:rowOff>
    </xdr:from>
    <xdr:ext cx="1143000" cy="1143000"/>
    <xdr:pic>
      <xdr:nvPicPr>
        <xdr:cNvPr id="2692" name="7587179b-d451-4e1e-b08b-02b79bf3eb2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82ce786412742d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2695</xdr:row>
      <xdr:rowOff>19050</xdr:rowOff>
    </xdr:from>
    <xdr:ext cx="1143000" cy="1143000"/>
    <xdr:pic>
      <xdr:nvPicPr>
        <xdr:cNvPr id="2693" name="63d4618b-84ba-4ab9-ad1c-c44a27149b2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a5fa4ba3ba442c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2696</xdr:row>
      <xdr:rowOff>19050</xdr:rowOff>
    </xdr:from>
    <xdr:ext cx="1143000" cy="1143000"/>
    <xdr:pic>
      <xdr:nvPicPr>
        <xdr:cNvPr id="2694" name="95fec478-5d50-4ec1-b451-901fbd0e3ea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1846cc52cae428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2697</xdr:row>
      <xdr:rowOff>19050</xdr:rowOff>
    </xdr:from>
    <xdr:ext cx="1143000" cy="1143000"/>
    <xdr:pic>
      <xdr:nvPicPr>
        <xdr:cNvPr id="2695" name="83ff3c2a-ce9f-4b10-8d83-e5bcfc5791f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bd400ed9ff84b3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2698</xdr:row>
      <xdr:rowOff>19050</xdr:rowOff>
    </xdr:from>
    <xdr:ext cx="1143000" cy="1143000"/>
    <xdr:pic>
      <xdr:nvPicPr>
        <xdr:cNvPr id="2696" name="ebccc488-a314-494b-a439-56aed374926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7f8d0e5e6be413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2699</xdr:row>
      <xdr:rowOff>19050</xdr:rowOff>
    </xdr:from>
    <xdr:ext cx="1143000" cy="1143000"/>
    <xdr:pic>
      <xdr:nvPicPr>
        <xdr:cNvPr id="2697" name="bd84fb65-26de-4056-b7bd-ca5b1c977ca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98329e46d6d4f3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2700</xdr:row>
      <xdr:rowOff>19050</xdr:rowOff>
    </xdr:from>
    <xdr:ext cx="1143000" cy="1143000"/>
    <xdr:pic>
      <xdr:nvPicPr>
        <xdr:cNvPr id="2698" name="bc8d1e11-a1d2-402d-a0b2-7b2ad43260d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63a33de455a460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2701</xdr:row>
      <xdr:rowOff>19050</xdr:rowOff>
    </xdr:from>
    <xdr:ext cx="1143000" cy="1143000"/>
    <xdr:pic>
      <xdr:nvPicPr>
        <xdr:cNvPr id="2699" name="af54c4c6-4824-44e0-85e2-7f65608fdfe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5f1d3e0cb7742d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2702</xdr:row>
      <xdr:rowOff>19050</xdr:rowOff>
    </xdr:from>
    <xdr:ext cx="1143000" cy="1143000"/>
    <xdr:pic>
      <xdr:nvPicPr>
        <xdr:cNvPr id="2700" name="c5e9be10-b040-4b42-aa77-27341849b72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4e1948e25ff440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2703</xdr:row>
      <xdr:rowOff>19050</xdr:rowOff>
    </xdr:from>
    <xdr:ext cx="1143000" cy="1143000"/>
    <xdr:pic>
      <xdr:nvPicPr>
        <xdr:cNvPr id="2701" name="6a195781-b301-4edb-b064-a7fa82e4236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1377d44c993470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2704</xdr:row>
      <xdr:rowOff>19050</xdr:rowOff>
    </xdr:from>
    <xdr:ext cx="1143000" cy="1143000"/>
    <xdr:pic>
      <xdr:nvPicPr>
        <xdr:cNvPr id="2702" name="6a6eea5d-d0f8-4dcf-8462-4e1e586e1ec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80c59d25b0f40b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2705</xdr:row>
      <xdr:rowOff>19050</xdr:rowOff>
    </xdr:from>
    <xdr:ext cx="1143000" cy="1143000"/>
    <xdr:pic>
      <xdr:nvPicPr>
        <xdr:cNvPr id="2703" name="0fb53d9d-2c4a-4132-af5f-f9c70eef0ad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9986d6c729f436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2706</xdr:row>
      <xdr:rowOff>19050</xdr:rowOff>
    </xdr:from>
    <xdr:ext cx="1143000" cy="1143000"/>
    <xdr:pic>
      <xdr:nvPicPr>
        <xdr:cNvPr id="2704" name="7da97f74-4ac9-4c5c-a6e0-86a305062d3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e6c3dc6c3434b6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2707</xdr:row>
      <xdr:rowOff>19050</xdr:rowOff>
    </xdr:from>
    <xdr:ext cx="1143000" cy="1143000"/>
    <xdr:pic>
      <xdr:nvPicPr>
        <xdr:cNvPr id="2705" name="e919b717-9af5-4c8a-94b6-7065a10b6d9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5723076b8964b2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2708</xdr:row>
      <xdr:rowOff>19050</xdr:rowOff>
    </xdr:from>
    <xdr:ext cx="1143000" cy="1143000"/>
    <xdr:pic>
      <xdr:nvPicPr>
        <xdr:cNvPr id="2706" name="41b8906b-fc77-43ed-a764-18ee9e6c0b5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e25001beabe4ba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2709</xdr:row>
      <xdr:rowOff>19050</xdr:rowOff>
    </xdr:from>
    <xdr:ext cx="1143000" cy="1143000"/>
    <xdr:pic>
      <xdr:nvPicPr>
        <xdr:cNvPr id="2707" name="75f32952-e67a-43e8-a0be-803028c1936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56679d6d6a94dd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2710</xdr:row>
      <xdr:rowOff>19050</xdr:rowOff>
    </xdr:from>
    <xdr:ext cx="1143000" cy="1143000"/>
    <xdr:pic>
      <xdr:nvPicPr>
        <xdr:cNvPr id="2708" name="86cff7cb-700b-4c69-ab3a-ae1eca812eb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4c7b06a73ce4ac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2711</xdr:row>
      <xdr:rowOff>19050</xdr:rowOff>
    </xdr:from>
    <xdr:ext cx="1143000" cy="1143000"/>
    <xdr:pic>
      <xdr:nvPicPr>
        <xdr:cNvPr id="2709" name="17b1d0b0-d2f9-4462-a62a-6b4cfa39121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6c876d47e4b418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2712</xdr:row>
      <xdr:rowOff>19050</xdr:rowOff>
    </xdr:from>
    <xdr:ext cx="1143000" cy="1143000"/>
    <xdr:pic>
      <xdr:nvPicPr>
        <xdr:cNvPr id="2710" name="fdc17a78-a3f2-46c4-add6-4015a100694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d6ccbfa5be4441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2713</xdr:row>
      <xdr:rowOff>19050</xdr:rowOff>
    </xdr:from>
    <xdr:ext cx="1143000" cy="1143000"/>
    <xdr:pic>
      <xdr:nvPicPr>
        <xdr:cNvPr id="2711" name="0f514dd6-6f12-44df-9c3b-84ee4f3f552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b9ed4b7b68d498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2714</xdr:row>
      <xdr:rowOff>19050</xdr:rowOff>
    </xdr:from>
    <xdr:ext cx="1143000" cy="1143000"/>
    <xdr:pic>
      <xdr:nvPicPr>
        <xdr:cNvPr id="2712" name="cc04a8ee-9a63-40a3-b353-b185eba7230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ca93ebda8dc404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2715</xdr:row>
      <xdr:rowOff>19050</xdr:rowOff>
    </xdr:from>
    <xdr:ext cx="1143000" cy="1143000"/>
    <xdr:pic>
      <xdr:nvPicPr>
        <xdr:cNvPr id="2713" name="7044b0e8-28c3-4436-9dc6-de72dbf40cb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0429a49c6e0446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2716</xdr:row>
      <xdr:rowOff>19050</xdr:rowOff>
    </xdr:from>
    <xdr:ext cx="1143000" cy="1143000"/>
    <xdr:pic>
      <xdr:nvPicPr>
        <xdr:cNvPr id="2714" name="83559c25-cf4c-4521-a96e-935136519f5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94c567f983344e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2717</xdr:row>
      <xdr:rowOff>19050</xdr:rowOff>
    </xdr:from>
    <xdr:ext cx="1143000" cy="1143000"/>
    <xdr:pic>
      <xdr:nvPicPr>
        <xdr:cNvPr id="2715" name="62f8f409-a4d3-42ba-ad21-d6ff5454d1d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a7a6c7d03ae401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2718</xdr:row>
      <xdr:rowOff>19050</xdr:rowOff>
    </xdr:from>
    <xdr:ext cx="1143000" cy="1143000"/>
    <xdr:pic>
      <xdr:nvPicPr>
        <xdr:cNvPr id="2716" name="147b3bcd-1fe2-4b1f-b4e1-210469f75c0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55ce17d7ceb401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2719</xdr:row>
      <xdr:rowOff>19050</xdr:rowOff>
    </xdr:from>
    <xdr:ext cx="1143000" cy="1143000"/>
    <xdr:pic>
      <xdr:nvPicPr>
        <xdr:cNvPr id="2717" name="8186c1e1-29e6-4828-ba1d-ad12df95ed9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af8051ee108418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2720</xdr:row>
      <xdr:rowOff>19050</xdr:rowOff>
    </xdr:from>
    <xdr:ext cx="1143000" cy="1143000"/>
    <xdr:pic>
      <xdr:nvPicPr>
        <xdr:cNvPr id="2718" name="c2654daf-b71b-491b-a6d8-61ffedc34f9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0a5dfcc4b8f4cb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2721</xdr:row>
      <xdr:rowOff>19050</xdr:rowOff>
    </xdr:from>
    <xdr:ext cx="1143000" cy="1143000"/>
    <xdr:pic>
      <xdr:nvPicPr>
        <xdr:cNvPr id="2719" name="8d1f8780-fa74-44d1-a01a-d27d7712c33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451b8e52c9e47d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2722</xdr:row>
      <xdr:rowOff>19050</xdr:rowOff>
    </xdr:from>
    <xdr:ext cx="1143000" cy="1143000"/>
    <xdr:pic>
      <xdr:nvPicPr>
        <xdr:cNvPr id="2720" name="b143665b-7452-4b83-be43-7a61d350228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eeb85b747494ea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2723</xdr:row>
      <xdr:rowOff>19050</xdr:rowOff>
    </xdr:from>
    <xdr:ext cx="1143000" cy="1143000"/>
    <xdr:pic>
      <xdr:nvPicPr>
        <xdr:cNvPr id="2721" name="849afd73-abee-4e1c-97f3-ebcfeddb9fc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642291df6d54c0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2724</xdr:row>
      <xdr:rowOff>19050</xdr:rowOff>
    </xdr:from>
    <xdr:ext cx="1143000" cy="1143000"/>
    <xdr:pic>
      <xdr:nvPicPr>
        <xdr:cNvPr id="2722" name="843ddb4f-7d14-40ff-87c0-aadbeb30038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0489e5132984f6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2725</xdr:row>
      <xdr:rowOff>19050</xdr:rowOff>
    </xdr:from>
    <xdr:ext cx="1143000" cy="1143000"/>
    <xdr:pic>
      <xdr:nvPicPr>
        <xdr:cNvPr id="2723" name="b3aafc46-3f48-4c40-bed2-6fa7522ced4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a5283387e33461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2726</xdr:row>
      <xdr:rowOff>19050</xdr:rowOff>
    </xdr:from>
    <xdr:ext cx="1143000" cy="1143000"/>
    <xdr:pic>
      <xdr:nvPicPr>
        <xdr:cNvPr id="2724" name="f589efd2-8a8c-4ece-96ac-f3ef49ac3e6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3be08c69915405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2727</xdr:row>
      <xdr:rowOff>19050</xdr:rowOff>
    </xdr:from>
    <xdr:ext cx="1143000" cy="1143000"/>
    <xdr:pic>
      <xdr:nvPicPr>
        <xdr:cNvPr id="2725" name="f0cfc01a-a608-41f0-954f-e2df446f244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f04fa1508c64b7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2728</xdr:row>
      <xdr:rowOff>19050</xdr:rowOff>
    </xdr:from>
    <xdr:ext cx="1143000" cy="1143000"/>
    <xdr:pic>
      <xdr:nvPicPr>
        <xdr:cNvPr id="2726" name="a72c4d33-ccb9-4c0c-a212-76227db575a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5228895a360465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2729</xdr:row>
      <xdr:rowOff>19050</xdr:rowOff>
    </xdr:from>
    <xdr:ext cx="1143000" cy="1143000"/>
    <xdr:pic>
      <xdr:nvPicPr>
        <xdr:cNvPr id="2727" name="fc5c42e7-6587-46b9-8120-7fd793851dd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9be0684f783496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2730</xdr:row>
      <xdr:rowOff>19050</xdr:rowOff>
    </xdr:from>
    <xdr:ext cx="1143000" cy="1143000"/>
    <xdr:pic>
      <xdr:nvPicPr>
        <xdr:cNvPr id="2728" name="62328ea1-94be-4f17-ab0d-4263aafc83d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3439c263a244b0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2731</xdr:row>
      <xdr:rowOff>19050</xdr:rowOff>
    </xdr:from>
    <xdr:ext cx="1143000" cy="1143000"/>
    <xdr:pic>
      <xdr:nvPicPr>
        <xdr:cNvPr id="2729" name="f6382a76-4dfb-48c4-b810-e8d6971c047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ef1bedc3619455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2732</xdr:row>
      <xdr:rowOff>19050</xdr:rowOff>
    </xdr:from>
    <xdr:ext cx="1143000" cy="1143000"/>
    <xdr:pic>
      <xdr:nvPicPr>
        <xdr:cNvPr id="2730" name="ec22d7dc-17df-4e1c-9fab-ae3fa3dbc5f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d3bb270243f4ef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2733</xdr:row>
      <xdr:rowOff>19050</xdr:rowOff>
    </xdr:from>
    <xdr:ext cx="1143000" cy="1143000"/>
    <xdr:pic>
      <xdr:nvPicPr>
        <xdr:cNvPr id="2731" name="fce63c4a-99b8-40bb-aed9-4c61d14f235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806b1f3957e4d1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2734</xdr:row>
      <xdr:rowOff>19050</xdr:rowOff>
    </xdr:from>
    <xdr:ext cx="1143000" cy="1143000"/>
    <xdr:pic>
      <xdr:nvPicPr>
        <xdr:cNvPr id="2732" name="bf973498-650b-467b-abe5-c56df78ebed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1c6f044b13c44c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2735</xdr:row>
      <xdr:rowOff>19050</xdr:rowOff>
    </xdr:from>
    <xdr:ext cx="1143000" cy="1143000"/>
    <xdr:pic>
      <xdr:nvPicPr>
        <xdr:cNvPr id="2733" name="3c31a6a4-d73c-4ce1-9725-3d95d9a6a95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41b08dd1c6a4dc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2736</xdr:row>
      <xdr:rowOff>19050</xdr:rowOff>
    </xdr:from>
    <xdr:ext cx="1143000" cy="1143000"/>
    <xdr:pic>
      <xdr:nvPicPr>
        <xdr:cNvPr id="2734" name="9facce03-1d3d-4152-8848-2c5324a70c7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ef30484c32b4d5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2737</xdr:row>
      <xdr:rowOff>19050</xdr:rowOff>
    </xdr:from>
    <xdr:ext cx="1143000" cy="1143000"/>
    <xdr:pic>
      <xdr:nvPicPr>
        <xdr:cNvPr id="2735" name="0d6572b4-19c0-4e29-9e9f-a1caf6ca468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204e0a2560444c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2738</xdr:row>
      <xdr:rowOff>19050</xdr:rowOff>
    </xdr:from>
    <xdr:ext cx="1143000" cy="1143000"/>
    <xdr:pic>
      <xdr:nvPicPr>
        <xdr:cNvPr id="2736" name="1d29f1d8-0f59-4d2a-967f-8578e84a8e0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aeb6eeccc1043d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2739</xdr:row>
      <xdr:rowOff>19050</xdr:rowOff>
    </xdr:from>
    <xdr:ext cx="1143000" cy="1143000"/>
    <xdr:pic>
      <xdr:nvPicPr>
        <xdr:cNvPr id="2737" name="c534b3fc-fe45-44aa-a15e-83abb071c4d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00e1c9f608a4ee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2740</xdr:row>
      <xdr:rowOff>19050</xdr:rowOff>
    </xdr:from>
    <xdr:ext cx="1143000" cy="1143000"/>
    <xdr:pic>
      <xdr:nvPicPr>
        <xdr:cNvPr id="2738" name="4bf7136d-1f71-46ed-b0cf-63a7eba5bce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38dadfea10c49c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2741</xdr:row>
      <xdr:rowOff>19050</xdr:rowOff>
    </xdr:from>
    <xdr:ext cx="1143000" cy="1143000"/>
    <xdr:pic>
      <xdr:nvPicPr>
        <xdr:cNvPr id="2739" name="0f3c324d-bb52-449c-9592-8b9e010465e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c49f242a6914c9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2742</xdr:row>
      <xdr:rowOff>19050</xdr:rowOff>
    </xdr:from>
    <xdr:ext cx="1143000" cy="1143000"/>
    <xdr:pic>
      <xdr:nvPicPr>
        <xdr:cNvPr id="2740" name="601bf92a-a914-4847-99e4-dcc37a186b5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edd2440eb7f471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2743</xdr:row>
      <xdr:rowOff>19050</xdr:rowOff>
    </xdr:from>
    <xdr:ext cx="1143000" cy="1143000"/>
    <xdr:pic>
      <xdr:nvPicPr>
        <xdr:cNvPr id="2741" name="902042b9-840d-4c63-82da-270c728dd15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db2495e341f4b4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2744</xdr:row>
      <xdr:rowOff>19050</xdr:rowOff>
    </xdr:from>
    <xdr:ext cx="1143000" cy="1143000"/>
    <xdr:pic>
      <xdr:nvPicPr>
        <xdr:cNvPr id="2742" name="a9cad3ab-23c5-4f3e-a7b9-733a5debb27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838437dbf7a45c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2745</xdr:row>
      <xdr:rowOff>19050</xdr:rowOff>
    </xdr:from>
    <xdr:ext cx="1143000" cy="1143000"/>
    <xdr:pic>
      <xdr:nvPicPr>
        <xdr:cNvPr id="2743" name="f963c651-cdd7-428e-a706-c490ec95d57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3d9c287b744435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2746</xdr:row>
      <xdr:rowOff>19050</xdr:rowOff>
    </xdr:from>
    <xdr:ext cx="1143000" cy="1143000"/>
    <xdr:pic>
      <xdr:nvPicPr>
        <xdr:cNvPr id="2744" name="0542f4ab-bc39-4848-82f7-06fd0a2d09e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8d1eaf5d67d410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2747</xdr:row>
      <xdr:rowOff>19050</xdr:rowOff>
    </xdr:from>
    <xdr:ext cx="1143000" cy="1143000"/>
    <xdr:pic>
      <xdr:nvPicPr>
        <xdr:cNvPr id="2745" name="e82a4a84-f97c-499b-8df8-c29f5087065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83d6f6d15f6481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2748</xdr:row>
      <xdr:rowOff>19050</xdr:rowOff>
    </xdr:from>
    <xdr:ext cx="1143000" cy="1143000"/>
    <xdr:pic>
      <xdr:nvPicPr>
        <xdr:cNvPr id="2746" name="95f9b6a3-72e1-45ab-affa-e4393ea8bc2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582634ab496465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2749</xdr:row>
      <xdr:rowOff>19050</xdr:rowOff>
    </xdr:from>
    <xdr:ext cx="1143000" cy="1143000"/>
    <xdr:pic>
      <xdr:nvPicPr>
        <xdr:cNvPr id="2747" name="d841d14e-71be-49ce-853c-7f33f259112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e9febda59b1410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2750</xdr:row>
      <xdr:rowOff>19050</xdr:rowOff>
    </xdr:from>
    <xdr:ext cx="1143000" cy="1143000"/>
    <xdr:pic>
      <xdr:nvPicPr>
        <xdr:cNvPr id="2748" name="9a357044-fbd5-4358-b99d-fc8db10a847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fb6b286b4634cd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2751</xdr:row>
      <xdr:rowOff>19050</xdr:rowOff>
    </xdr:from>
    <xdr:ext cx="1143000" cy="1143000"/>
    <xdr:pic>
      <xdr:nvPicPr>
        <xdr:cNvPr id="2749" name="6f0ee374-bf5c-4296-af15-3a6c7de082a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93af59e43be4af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2752</xdr:row>
      <xdr:rowOff>19050</xdr:rowOff>
    </xdr:from>
    <xdr:ext cx="1143000" cy="1143000"/>
    <xdr:pic>
      <xdr:nvPicPr>
        <xdr:cNvPr id="2750" name="ec2faa99-8bd3-41ad-ae23-66c0efea65b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5f670a0ccf54e2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2753</xdr:row>
      <xdr:rowOff>19050</xdr:rowOff>
    </xdr:from>
    <xdr:ext cx="1143000" cy="1143000"/>
    <xdr:pic>
      <xdr:nvPicPr>
        <xdr:cNvPr id="2751" name="e775457e-3c1b-4072-8799-b10a31655f9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7e0b542c1534ab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2754</xdr:row>
      <xdr:rowOff>19050</xdr:rowOff>
    </xdr:from>
    <xdr:ext cx="1143000" cy="1143000"/>
    <xdr:pic>
      <xdr:nvPicPr>
        <xdr:cNvPr id="2752" name="f07b4ff5-48b8-4644-8371-4a16ab94cfd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f20136288b8484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2755</xdr:row>
      <xdr:rowOff>19050</xdr:rowOff>
    </xdr:from>
    <xdr:ext cx="1143000" cy="1143000"/>
    <xdr:pic>
      <xdr:nvPicPr>
        <xdr:cNvPr id="2753" name="431b0bc8-b774-44d9-844a-201f1c1fb6d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0ddd06d8224477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2756</xdr:row>
      <xdr:rowOff>19050</xdr:rowOff>
    </xdr:from>
    <xdr:ext cx="1143000" cy="1143000"/>
    <xdr:pic>
      <xdr:nvPicPr>
        <xdr:cNvPr id="2754" name="3023ebec-f2d2-4d27-b907-c8e49a3b992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c7e0f2b64c3453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2757</xdr:row>
      <xdr:rowOff>19050</xdr:rowOff>
    </xdr:from>
    <xdr:ext cx="1143000" cy="1143000"/>
    <xdr:pic>
      <xdr:nvPicPr>
        <xdr:cNvPr id="2755" name="5f233ccf-5806-49b1-8052-1446708d082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f743f570d344a1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2758</xdr:row>
      <xdr:rowOff>19050</xdr:rowOff>
    </xdr:from>
    <xdr:ext cx="1143000" cy="1143000"/>
    <xdr:pic>
      <xdr:nvPicPr>
        <xdr:cNvPr id="2756" name="bd72d68f-1b80-43ee-9fa8-8f8922c12d2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a7354c8224d455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2759</xdr:row>
      <xdr:rowOff>19050</xdr:rowOff>
    </xdr:from>
    <xdr:ext cx="1143000" cy="1143000"/>
    <xdr:pic>
      <xdr:nvPicPr>
        <xdr:cNvPr id="2757" name="ab1d7695-876f-4327-9982-df62d9b170a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34ff7e2197c43b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2760</xdr:row>
      <xdr:rowOff>19050</xdr:rowOff>
    </xdr:from>
    <xdr:ext cx="1143000" cy="1143000"/>
    <xdr:pic>
      <xdr:nvPicPr>
        <xdr:cNvPr id="2758" name="b1a71541-a1f2-4339-a8b8-eea9897e2a8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79ea1ef7e3d49a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2761</xdr:row>
      <xdr:rowOff>19050</xdr:rowOff>
    </xdr:from>
    <xdr:ext cx="1143000" cy="1143000"/>
    <xdr:pic>
      <xdr:nvPicPr>
        <xdr:cNvPr id="2759" name="a08a4e7b-216a-4bb7-9faf-c71c3701552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c63d4b3903a48a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2762</xdr:row>
      <xdr:rowOff>19050</xdr:rowOff>
    </xdr:from>
    <xdr:ext cx="1143000" cy="1143000"/>
    <xdr:pic>
      <xdr:nvPicPr>
        <xdr:cNvPr id="2760" name="075c0c54-edfb-4a40-99dd-bb21e6032da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1b1d8cdff62417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2763</xdr:row>
      <xdr:rowOff>19050</xdr:rowOff>
    </xdr:from>
    <xdr:ext cx="1143000" cy="1143000"/>
    <xdr:pic>
      <xdr:nvPicPr>
        <xdr:cNvPr id="2761" name="f24970fc-cb28-4941-b8be-9f31e213e70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e14491f47f3497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2764</xdr:row>
      <xdr:rowOff>19050</xdr:rowOff>
    </xdr:from>
    <xdr:ext cx="1143000" cy="1143000"/>
    <xdr:pic>
      <xdr:nvPicPr>
        <xdr:cNvPr id="2762" name="04256d5a-6824-41fb-a623-7ad4dcca296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b02ca1922a447f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2765</xdr:row>
      <xdr:rowOff>19050</xdr:rowOff>
    </xdr:from>
    <xdr:ext cx="1143000" cy="1143000"/>
    <xdr:pic>
      <xdr:nvPicPr>
        <xdr:cNvPr id="2763" name="3fea8049-c927-492e-b726-664dcdccbe4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de07870dee14ba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2766</xdr:row>
      <xdr:rowOff>19050</xdr:rowOff>
    </xdr:from>
    <xdr:ext cx="1143000" cy="1143000"/>
    <xdr:pic>
      <xdr:nvPicPr>
        <xdr:cNvPr id="2764" name="074733c2-49ed-4a53-b940-86363ecad5f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7efe3b2ac0f49f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2767</xdr:row>
      <xdr:rowOff>19050</xdr:rowOff>
    </xdr:from>
    <xdr:ext cx="1143000" cy="1143000"/>
    <xdr:pic>
      <xdr:nvPicPr>
        <xdr:cNvPr id="2765" name="6d122262-cd49-4302-be90-d47fb267deb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2b0b955b6a241e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2768</xdr:row>
      <xdr:rowOff>19050</xdr:rowOff>
    </xdr:from>
    <xdr:ext cx="1143000" cy="1143000"/>
    <xdr:pic>
      <xdr:nvPicPr>
        <xdr:cNvPr id="2766" name="4f5aa7c5-fa09-47fe-ac92-e9ae81261fc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3aa12f421f34a0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2769</xdr:row>
      <xdr:rowOff>19050</xdr:rowOff>
    </xdr:from>
    <xdr:ext cx="1143000" cy="1143000"/>
    <xdr:pic>
      <xdr:nvPicPr>
        <xdr:cNvPr id="2767" name="19317a98-a1bc-48a8-b5da-5373e1a28a1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3f6bc3078dc4d1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2770</xdr:row>
      <xdr:rowOff>19050</xdr:rowOff>
    </xdr:from>
    <xdr:ext cx="1143000" cy="1143000"/>
    <xdr:pic>
      <xdr:nvPicPr>
        <xdr:cNvPr id="2768" name="705021c6-f115-4fb6-83f4-8b2286cc118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c682083d8814bb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2771</xdr:row>
      <xdr:rowOff>19050</xdr:rowOff>
    </xdr:from>
    <xdr:ext cx="1143000" cy="1143000"/>
    <xdr:pic>
      <xdr:nvPicPr>
        <xdr:cNvPr id="2769" name="fd264d4f-5db7-4a9c-bfb4-4cb6767240a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c106351b4064a5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2772</xdr:row>
      <xdr:rowOff>19050</xdr:rowOff>
    </xdr:from>
    <xdr:ext cx="1143000" cy="1143000"/>
    <xdr:pic>
      <xdr:nvPicPr>
        <xdr:cNvPr id="2770" name="954bfe0d-59e7-4e70-be61-e0780a81e3f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8637a285bfa44d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2773</xdr:row>
      <xdr:rowOff>19050</xdr:rowOff>
    </xdr:from>
    <xdr:ext cx="1143000" cy="1143000"/>
    <xdr:pic>
      <xdr:nvPicPr>
        <xdr:cNvPr id="2771" name="83d491d2-a9d9-43b7-beac-87bacb2be5d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5234d447bda495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2774</xdr:row>
      <xdr:rowOff>19050</xdr:rowOff>
    </xdr:from>
    <xdr:ext cx="1143000" cy="1143000"/>
    <xdr:pic>
      <xdr:nvPicPr>
        <xdr:cNvPr id="2772" name="6f841f42-3322-4a4c-b791-15f47c70025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0dd8c34319d476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2775</xdr:row>
      <xdr:rowOff>19050</xdr:rowOff>
    </xdr:from>
    <xdr:ext cx="1143000" cy="1143000"/>
    <xdr:pic>
      <xdr:nvPicPr>
        <xdr:cNvPr id="2773" name="f98abfa7-a15e-47dd-83a6-ef693dfe37b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dd03b6099f7436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2776</xdr:row>
      <xdr:rowOff>19050</xdr:rowOff>
    </xdr:from>
    <xdr:ext cx="1143000" cy="1143000"/>
    <xdr:pic>
      <xdr:nvPicPr>
        <xdr:cNvPr id="2774" name="b76201c9-dd73-4a88-8745-587ca31130e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d91cbfe462342c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2777</xdr:row>
      <xdr:rowOff>19050</xdr:rowOff>
    </xdr:from>
    <xdr:ext cx="1143000" cy="1143000"/>
    <xdr:pic>
      <xdr:nvPicPr>
        <xdr:cNvPr id="2775" name="571577ca-bd07-42ba-a4b2-07e4b2d9285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a00921361e54f3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2778</xdr:row>
      <xdr:rowOff>19050</xdr:rowOff>
    </xdr:from>
    <xdr:ext cx="1143000" cy="1143000"/>
    <xdr:pic>
      <xdr:nvPicPr>
        <xdr:cNvPr id="2776" name="38f40ac6-469d-4c6a-b2c5-a549945cd26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85d0c01f0bd4d1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2779</xdr:row>
      <xdr:rowOff>19050</xdr:rowOff>
    </xdr:from>
    <xdr:ext cx="1143000" cy="1143000"/>
    <xdr:pic>
      <xdr:nvPicPr>
        <xdr:cNvPr id="2777" name="e4e69e7e-93e0-40b1-a5e4-253238c9e03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e1d39b0bd31476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2780</xdr:row>
      <xdr:rowOff>19050</xdr:rowOff>
    </xdr:from>
    <xdr:ext cx="1143000" cy="1143000"/>
    <xdr:pic>
      <xdr:nvPicPr>
        <xdr:cNvPr id="2778" name="d3ad3e1c-a28d-4eb7-b410-014ce08614c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56d26a79def499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2781</xdr:row>
      <xdr:rowOff>19050</xdr:rowOff>
    </xdr:from>
    <xdr:ext cx="1143000" cy="1143000"/>
    <xdr:pic>
      <xdr:nvPicPr>
        <xdr:cNvPr id="2779" name="770e22d6-e67a-43be-9dde-afc501b6179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f4dc8d9f97b421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2782</xdr:row>
      <xdr:rowOff>19050</xdr:rowOff>
    </xdr:from>
    <xdr:ext cx="1143000" cy="1143000"/>
    <xdr:pic>
      <xdr:nvPicPr>
        <xdr:cNvPr id="2780" name="6a4f764f-de85-4bbe-8703-07c9dcabc01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fc21be4f8694d9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2783</xdr:row>
      <xdr:rowOff>19050</xdr:rowOff>
    </xdr:from>
    <xdr:ext cx="1143000" cy="1143000"/>
    <xdr:pic>
      <xdr:nvPicPr>
        <xdr:cNvPr id="2781" name="9a89ccf5-907e-4039-9326-6019c87ba40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5f0dd72915d4c6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2784</xdr:row>
      <xdr:rowOff>19050</xdr:rowOff>
    </xdr:from>
    <xdr:ext cx="1143000" cy="1143000"/>
    <xdr:pic>
      <xdr:nvPicPr>
        <xdr:cNvPr id="2782" name="460b4c8d-4cb6-4904-a189-9c712ca60a3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1146cd8fc814b8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2785</xdr:row>
      <xdr:rowOff>19050</xdr:rowOff>
    </xdr:from>
    <xdr:ext cx="1143000" cy="1143000"/>
    <xdr:pic>
      <xdr:nvPicPr>
        <xdr:cNvPr id="2783" name="99bafe2b-90b5-4a5e-a6d9-699302f6c6b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c7212b87f6c438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2786</xdr:row>
      <xdr:rowOff>19050</xdr:rowOff>
    </xdr:from>
    <xdr:ext cx="1143000" cy="1143000"/>
    <xdr:pic>
      <xdr:nvPicPr>
        <xdr:cNvPr id="2784" name="14498b78-344e-4a2d-9ad4-a9084723fa8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479e73f930d486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2787</xdr:row>
      <xdr:rowOff>19050</xdr:rowOff>
    </xdr:from>
    <xdr:ext cx="1143000" cy="1143000"/>
    <xdr:pic>
      <xdr:nvPicPr>
        <xdr:cNvPr id="2785" name="720d49d4-8a2a-45ac-9903-c0f5562b716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af3496d991e4dd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2788</xdr:row>
      <xdr:rowOff>19050</xdr:rowOff>
    </xdr:from>
    <xdr:ext cx="1143000" cy="1143000"/>
    <xdr:pic>
      <xdr:nvPicPr>
        <xdr:cNvPr id="2786" name="1d9bdbf0-b28c-49af-a3ca-95b3b7203a5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c5b04c116c0435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2789</xdr:row>
      <xdr:rowOff>19050</xdr:rowOff>
    </xdr:from>
    <xdr:ext cx="1143000" cy="1143000"/>
    <xdr:pic>
      <xdr:nvPicPr>
        <xdr:cNvPr id="2787" name="9aec7c84-829e-406f-a0de-96671a90a74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ae470c0614d45a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2790</xdr:row>
      <xdr:rowOff>19050</xdr:rowOff>
    </xdr:from>
    <xdr:ext cx="1143000" cy="1143000"/>
    <xdr:pic>
      <xdr:nvPicPr>
        <xdr:cNvPr id="2788" name="0385c4fd-9c3d-436c-b4a6-aed8a19561e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439a6297d2e4e8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2791</xdr:row>
      <xdr:rowOff>19050</xdr:rowOff>
    </xdr:from>
    <xdr:ext cx="1143000" cy="1143000"/>
    <xdr:pic>
      <xdr:nvPicPr>
        <xdr:cNvPr id="2789" name="238b5b10-ebe9-4516-a4b1-b64cd1f8d97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56d3c763e42487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2792</xdr:row>
      <xdr:rowOff>19050</xdr:rowOff>
    </xdr:from>
    <xdr:ext cx="1143000" cy="1143000"/>
    <xdr:pic>
      <xdr:nvPicPr>
        <xdr:cNvPr id="2790" name="9db55667-8045-47c2-ba51-878dc262917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5cffef717814f6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2793</xdr:row>
      <xdr:rowOff>19050</xdr:rowOff>
    </xdr:from>
    <xdr:ext cx="1143000" cy="1143000"/>
    <xdr:pic>
      <xdr:nvPicPr>
        <xdr:cNvPr id="2791" name="ca6b010b-96d2-4c6c-bda2-d5fae806411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8558188e6de457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2794</xdr:row>
      <xdr:rowOff>19050</xdr:rowOff>
    </xdr:from>
    <xdr:ext cx="1143000" cy="1143000"/>
    <xdr:pic>
      <xdr:nvPicPr>
        <xdr:cNvPr id="2792" name="0a184b04-019a-48c2-9c6d-6b83329c772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6f7330cfe4b4bf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2795</xdr:row>
      <xdr:rowOff>19050</xdr:rowOff>
    </xdr:from>
    <xdr:ext cx="1143000" cy="1143000"/>
    <xdr:pic>
      <xdr:nvPicPr>
        <xdr:cNvPr id="2793" name="f1cc1f89-06d7-4c2b-9ee7-f104288fd5b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ef8a003991d48b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2796</xdr:row>
      <xdr:rowOff>19050</xdr:rowOff>
    </xdr:from>
    <xdr:ext cx="1143000" cy="1143000"/>
    <xdr:pic>
      <xdr:nvPicPr>
        <xdr:cNvPr id="2794" name="88e1446a-e9d7-409c-bc80-6bf9486ada4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94f6e516513413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2797</xdr:row>
      <xdr:rowOff>19050</xdr:rowOff>
    </xdr:from>
    <xdr:ext cx="1143000" cy="1143000"/>
    <xdr:pic>
      <xdr:nvPicPr>
        <xdr:cNvPr id="2795" name="eb31c368-e826-4b78-b3ff-b9597d17f60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5df4cbb8739456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2798</xdr:row>
      <xdr:rowOff>19050</xdr:rowOff>
    </xdr:from>
    <xdr:ext cx="1143000" cy="1143000"/>
    <xdr:pic>
      <xdr:nvPicPr>
        <xdr:cNvPr id="2796" name="b7ed103b-6179-4ad3-a09d-4373a6d8b54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8239f5c84f0415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2799</xdr:row>
      <xdr:rowOff>19050</xdr:rowOff>
    </xdr:from>
    <xdr:ext cx="1143000" cy="1143000"/>
    <xdr:pic>
      <xdr:nvPicPr>
        <xdr:cNvPr id="2797" name="d3c2ba18-05fe-4d0d-8bc7-25bc6bc5fbc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63b811a22de4ff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2800</xdr:row>
      <xdr:rowOff>19050</xdr:rowOff>
    </xdr:from>
    <xdr:ext cx="1143000" cy="1143000"/>
    <xdr:pic>
      <xdr:nvPicPr>
        <xdr:cNvPr id="2798" name="85c3087f-5cae-488b-802a-0156bb4ed4b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3a175efc6f545b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2801</xdr:row>
      <xdr:rowOff>19050</xdr:rowOff>
    </xdr:from>
    <xdr:ext cx="1143000" cy="1143000"/>
    <xdr:pic>
      <xdr:nvPicPr>
        <xdr:cNvPr id="2799" name="b9ee0b47-1d11-4927-a1c1-b7710c58c1c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64273aa5f30415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2802</xdr:row>
      <xdr:rowOff>19050</xdr:rowOff>
    </xdr:from>
    <xdr:ext cx="1143000" cy="1143000"/>
    <xdr:pic>
      <xdr:nvPicPr>
        <xdr:cNvPr id="2800" name="6b9937f2-3492-4270-89a0-74c19e8afd8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8ab06bc27c748c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2803</xdr:row>
      <xdr:rowOff>19050</xdr:rowOff>
    </xdr:from>
    <xdr:ext cx="1143000" cy="1143000"/>
    <xdr:pic>
      <xdr:nvPicPr>
        <xdr:cNvPr id="2801" name="77b46e3a-49e1-44c9-9cf7-26ef816633f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6b1b18fc35a44f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2804</xdr:row>
      <xdr:rowOff>19050</xdr:rowOff>
    </xdr:from>
    <xdr:ext cx="1143000" cy="1143000"/>
    <xdr:pic>
      <xdr:nvPicPr>
        <xdr:cNvPr id="2802" name="dbb5e17c-7c93-4d1c-b1cf-59a12dc3a00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ee0e96089824d6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2805</xdr:row>
      <xdr:rowOff>19050</xdr:rowOff>
    </xdr:from>
    <xdr:ext cx="1143000" cy="1143000"/>
    <xdr:pic>
      <xdr:nvPicPr>
        <xdr:cNvPr id="2803" name="d5776b0f-dd6f-43b5-9ff3-fda3e4ee926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0f9560add7349f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2806</xdr:row>
      <xdr:rowOff>19050</xdr:rowOff>
    </xdr:from>
    <xdr:ext cx="1143000" cy="1143000"/>
    <xdr:pic>
      <xdr:nvPicPr>
        <xdr:cNvPr id="2804" name="34a807b6-5e5d-41bd-913d-f97bd91ebb0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9207def186c434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2807</xdr:row>
      <xdr:rowOff>19050</xdr:rowOff>
    </xdr:from>
    <xdr:ext cx="1143000" cy="1143000"/>
    <xdr:pic>
      <xdr:nvPicPr>
        <xdr:cNvPr id="2805" name="a8df9050-b66c-4fe8-88ff-24a3930784b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b6a24c0b7e8450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2808</xdr:row>
      <xdr:rowOff>19050</xdr:rowOff>
    </xdr:from>
    <xdr:ext cx="1143000" cy="1143000"/>
    <xdr:pic>
      <xdr:nvPicPr>
        <xdr:cNvPr id="2806" name="391eb47a-a835-4d02-925a-e1eca9c7267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341f0bd91b64f3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2809</xdr:row>
      <xdr:rowOff>19050</xdr:rowOff>
    </xdr:from>
    <xdr:ext cx="1143000" cy="1143000"/>
    <xdr:pic>
      <xdr:nvPicPr>
        <xdr:cNvPr id="2807" name="087ff593-6572-47e2-acdc-b523d55e944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87bebcd38544f8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2810</xdr:row>
      <xdr:rowOff>19050</xdr:rowOff>
    </xdr:from>
    <xdr:ext cx="1143000" cy="1143000"/>
    <xdr:pic>
      <xdr:nvPicPr>
        <xdr:cNvPr id="2808" name="03cbe2fb-b764-4674-b4b7-7c32b88f1fd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f460a25fb55452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2811</xdr:row>
      <xdr:rowOff>19050</xdr:rowOff>
    </xdr:from>
    <xdr:ext cx="1143000" cy="1143000"/>
    <xdr:pic>
      <xdr:nvPicPr>
        <xdr:cNvPr id="2809" name="dcdafe60-c6fe-41ce-ab76-249aa2944fa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622ac7cb48c464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2812</xdr:row>
      <xdr:rowOff>19050</xdr:rowOff>
    </xdr:from>
    <xdr:ext cx="1143000" cy="1143000"/>
    <xdr:pic>
      <xdr:nvPicPr>
        <xdr:cNvPr id="2810" name="c3e8d92d-53de-4895-ae5a-12611f944c2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79b08f26d594bb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2813</xdr:row>
      <xdr:rowOff>19050</xdr:rowOff>
    </xdr:from>
    <xdr:ext cx="1143000" cy="1143000"/>
    <xdr:pic>
      <xdr:nvPicPr>
        <xdr:cNvPr id="2811" name="59b593cf-ec54-469d-aaa1-8eb7fafe778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6c0b3735a5a473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2814</xdr:row>
      <xdr:rowOff>19050</xdr:rowOff>
    </xdr:from>
    <xdr:ext cx="1143000" cy="1143000"/>
    <xdr:pic>
      <xdr:nvPicPr>
        <xdr:cNvPr id="2812" name="d26fe388-ee9b-4377-9a18-e99e6953de2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195f59821a842e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2815</xdr:row>
      <xdr:rowOff>19050</xdr:rowOff>
    </xdr:from>
    <xdr:ext cx="1143000" cy="1143000"/>
    <xdr:pic>
      <xdr:nvPicPr>
        <xdr:cNvPr id="2813" name="515467e2-ae52-43a9-8202-6fd604afcda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c6dc4b4c8364c7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2816</xdr:row>
      <xdr:rowOff>19050</xdr:rowOff>
    </xdr:from>
    <xdr:ext cx="1143000" cy="1143000"/>
    <xdr:pic>
      <xdr:nvPicPr>
        <xdr:cNvPr id="2814" name="5eb107b1-682c-472b-8c16-ad5d5bd433d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6eed2ca3cf24e8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2817</xdr:row>
      <xdr:rowOff>19050</xdr:rowOff>
    </xdr:from>
    <xdr:ext cx="1143000" cy="1143000"/>
    <xdr:pic>
      <xdr:nvPicPr>
        <xdr:cNvPr id="2815" name="076cfcc1-fa22-449a-8041-15e88de0075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ea58daea225489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2818</xdr:row>
      <xdr:rowOff>19050</xdr:rowOff>
    </xdr:from>
    <xdr:ext cx="1143000" cy="1143000"/>
    <xdr:pic>
      <xdr:nvPicPr>
        <xdr:cNvPr id="2816" name="6a045778-de13-4052-a5ca-6a643044021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191a285952641f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2819</xdr:row>
      <xdr:rowOff>19050</xdr:rowOff>
    </xdr:from>
    <xdr:ext cx="1143000" cy="1143000"/>
    <xdr:pic>
      <xdr:nvPicPr>
        <xdr:cNvPr id="2817" name="6dcd35a7-3071-49a4-865d-8b397b28b83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7ab7ef255b94db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2820</xdr:row>
      <xdr:rowOff>19050</xdr:rowOff>
    </xdr:from>
    <xdr:ext cx="1143000" cy="1143000"/>
    <xdr:pic>
      <xdr:nvPicPr>
        <xdr:cNvPr id="2818" name="a4e54524-5960-46ed-a5f5-aa63fd2b765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72f1bea375e4b6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2821</xdr:row>
      <xdr:rowOff>19050</xdr:rowOff>
    </xdr:from>
    <xdr:ext cx="1143000" cy="1143000"/>
    <xdr:pic>
      <xdr:nvPicPr>
        <xdr:cNvPr id="2819" name="423eacf8-0960-4644-b827-af14e3a5f6b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a7831663e7e4fc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2822</xdr:row>
      <xdr:rowOff>19050</xdr:rowOff>
    </xdr:from>
    <xdr:ext cx="1143000" cy="1143000"/>
    <xdr:pic>
      <xdr:nvPicPr>
        <xdr:cNvPr id="2820" name="335ce07c-b381-4362-9750-eab64005d0c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7d8d0b6880f479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2823</xdr:row>
      <xdr:rowOff>19050</xdr:rowOff>
    </xdr:from>
    <xdr:ext cx="1143000" cy="1143000"/>
    <xdr:pic>
      <xdr:nvPicPr>
        <xdr:cNvPr id="2821" name="d916cad6-4c9d-4ec4-83d6-dfde518312f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688bc3fa9a045d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2824</xdr:row>
      <xdr:rowOff>19050</xdr:rowOff>
    </xdr:from>
    <xdr:ext cx="1143000" cy="1143000"/>
    <xdr:pic>
      <xdr:nvPicPr>
        <xdr:cNvPr id="2822" name="a034e90f-c4fe-4a67-b41d-379f647e00f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1f04181b708421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2825</xdr:row>
      <xdr:rowOff>19050</xdr:rowOff>
    </xdr:from>
    <xdr:ext cx="1143000" cy="1143000"/>
    <xdr:pic>
      <xdr:nvPicPr>
        <xdr:cNvPr id="2823" name="9e66159a-bb5d-4058-b78d-fd35df06b98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e477ac4a61c413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2826</xdr:row>
      <xdr:rowOff>19050</xdr:rowOff>
    </xdr:from>
    <xdr:ext cx="1143000" cy="1143000"/>
    <xdr:pic>
      <xdr:nvPicPr>
        <xdr:cNvPr id="2824" name="8ef077bf-5898-429e-a80a-3a9f6ee3a18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1dcdb4b7d4244f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2827</xdr:row>
      <xdr:rowOff>19050</xdr:rowOff>
    </xdr:from>
    <xdr:ext cx="1143000" cy="1143000"/>
    <xdr:pic>
      <xdr:nvPicPr>
        <xdr:cNvPr id="2825" name="10ee15e5-5c94-4188-8077-14544095a65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f053985934c4d7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2828</xdr:row>
      <xdr:rowOff>19050</xdr:rowOff>
    </xdr:from>
    <xdr:ext cx="1143000" cy="1143000"/>
    <xdr:pic>
      <xdr:nvPicPr>
        <xdr:cNvPr id="2826" name="b4933f7d-ff20-4f83-9764-0b78505e759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6808a482ca24ca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2829</xdr:row>
      <xdr:rowOff>19050</xdr:rowOff>
    </xdr:from>
    <xdr:ext cx="1143000" cy="1143000"/>
    <xdr:pic>
      <xdr:nvPicPr>
        <xdr:cNvPr id="2827" name="dd532467-fccf-4b84-b92a-fff57d1b4b2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78469fcba86480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2830</xdr:row>
      <xdr:rowOff>19050</xdr:rowOff>
    </xdr:from>
    <xdr:ext cx="1143000" cy="1143000"/>
    <xdr:pic>
      <xdr:nvPicPr>
        <xdr:cNvPr id="2828" name="1e0e2b54-013f-43e5-97db-5d5e8892e5e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497143baa0f4ad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2831</xdr:row>
      <xdr:rowOff>19050</xdr:rowOff>
    </xdr:from>
    <xdr:ext cx="1143000" cy="1143000"/>
    <xdr:pic>
      <xdr:nvPicPr>
        <xdr:cNvPr id="2829" name="25c00462-b0d8-4472-bf60-911dfad173a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9c248256f45497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2832</xdr:row>
      <xdr:rowOff>19050</xdr:rowOff>
    </xdr:from>
    <xdr:ext cx="1143000" cy="1143000"/>
    <xdr:pic>
      <xdr:nvPicPr>
        <xdr:cNvPr id="2830" name="110680ca-00d8-47fc-a68b-9d2ac5afac9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206d6178ed940b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2833</xdr:row>
      <xdr:rowOff>19050</xdr:rowOff>
    </xdr:from>
    <xdr:ext cx="1143000" cy="1143000"/>
    <xdr:pic>
      <xdr:nvPicPr>
        <xdr:cNvPr id="2831" name="e03a7a03-8997-4a91-81c4-dc5ffbe4eed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7ef59098ed04af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2834</xdr:row>
      <xdr:rowOff>19050</xdr:rowOff>
    </xdr:from>
    <xdr:ext cx="1143000" cy="1143000"/>
    <xdr:pic>
      <xdr:nvPicPr>
        <xdr:cNvPr id="2832" name="c0d42ea8-48a4-4666-93ad-9244f061024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36543591c60438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2835</xdr:row>
      <xdr:rowOff>19050</xdr:rowOff>
    </xdr:from>
    <xdr:ext cx="1143000" cy="1143000"/>
    <xdr:pic>
      <xdr:nvPicPr>
        <xdr:cNvPr id="2833" name="ed5db874-1412-4a5b-b26d-c338587e587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9d1787a96db4b8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2836</xdr:row>
      <xdr:rowOff>19050</xdr:rowOff>
    </xdr:from>
    <xdr:ext cx="1143000" cy="1143000"/>
    <xdr:pic>
      <xdr:nvPicPr>
        <xdr:cNvPr id="2834" name="c32950fb-06de-40e1-b1da-76fbae136e2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14cc6ad3fe3439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2837</xdr:row>
      <xdr:rowOff>19050</xdr:rowOff>
    </xdr:from>
    <xdr:ext cx="1143000" cy="1143000"/>
    <xdr:pic>
      <xdr:nvPicPr>
        <xdr:cNvPr id="2835" name="3e8b77c3-ae22-4af6-bc68-68b3b7b0cb9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0a4e654baf349f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2838</xdr:row>
      <xdr:rowOff>19050</xdr:rowOff>
    </xdr:from>
    <xdr:ext cx="1143000" cy="1143000"/>
    <xdr:pic>
      <xdr:nvPicPr>
        <xdr:cNvPr id="2836" name="3ba2427a-450f-44e1-962d-d6df57cbbf6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0aaa404c0e8449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2839</xdr:row>
      <xdr:rowOff>19050</xdr:rowOff>
    </xdr:from>
    <xdr:ext cx="1143000" cy="1143000"/>
    <xdr:pic>
      <xdr:nvPicPr>
        <xdr:cNvPr id="2837" name="e1b1c839-46ec-432c-b4ad-1e01a708aa1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8b0ebbccc0b4fb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2840</xdr:row>
      <xdr:rowOff>19050</xdr:rowOff>
    </xdr:from>
    <xdr:ext cx="1143000" cy="1143000"/>
    <xdr:pic>
      <xdr:nvPicPr>
        <xdr:cNvPr id="2838" name="986dfc3b-945a-4bc9-9899-64be89dcc06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7dc21b93dcc4fe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2841</xdr:row>
      <xdr:rowOff>19050</xdr:rowOff>
    </xdr:from>
    <xdr:ext cx="1143000" cy="1143000"/>
    <xdr:pic>
      <xdr:nvPicPr>
        <xdr:cNvPr id="2839" name="ed31d616-7b15-46fd-b061-1f0ce7684f2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026a209afc742e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2842</xdr:row>
      <xdr:rowOff>19050</xdr:rowOff>
    </xdr:from>
    <xdr:ext cx="1143000" cy="1143000"/>
    <xdr:pic>
      <xdr:nvPicPr>
        <xdr:cNvPr id="2840" name="b2979f8e-d118-4c92-80f9-c70eaf8c5e9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6d9a125a93c4f2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2843</xdr:row>
      <xdr:rowOff>19050</xdr:rowOff>
    </xdr:from>
    <xdr:ext cx="1143000" cy="1143000"/>
    <xdr:pic>
      <xdr:nvPicPr>
        <xdr:cNvPr id="2841" name="e61919cf-750d-4310-b999-a40b8d1fa8c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066d44edc8d484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2844</xdr:row>
      <xdr:rowOff>19050</xdr:rowOff>
    </xdr:from>
    <xdr:ext cx="1143000" cy="1143000"/>
    <xdr:pic>
      <xdr:nvPicPr>
        <xdr:cNvPr id="2842" name="9070358b-f16c-429e-9685-f24b128ff88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0d4387a384c4dc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2845</xdr:row>
      <xdr:rowOff>19050</xdr:rowOff>
    </xdr:from>
    <xdr:ext cx="1143000" cy="1143000"/>
    <xdr:pic>
      <xdr:nvPicPr>
        <xdr:cNvPr id="2843" name="48ff5b0a-8a11-4df6-b787-8a5f2eab6d3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085df904dfc473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2846</xdr:row>
      <xdr:rowOff>19050</xdr:rowOff>
    </xdr:from>
    <xdr:ext cx="1143000" cy="1143000"/>
    <xdr:pic>
      <xdr:nvPicPr>
        <xdr:cNvPr id="2844" name="37d93c2c-d326-48b7-a424-2bc1a151ad2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cfaa497b8f84fa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2847</xdr:row>
      <xdr:rowOff>19050</xdr:rowOff>
    </xdr:from>
    <xdr:ext cx="1143000" cy="1143000"/>
    <xdr:pic>
      <xdr:nvPicPr>
        <xdr:cNvPr id="2845" name="482f9126-ee8b-4164-936c-eb502f09cd1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ca1fe1031d5409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2848</xdr:row>
      <xdr:rowOff>19050</xdr:rowOff>
    </xdr:from>
    <xdr:ext cx="1143000" cy="1143000"/>
    <xdr:pic>
      <xdr:nvPicPr>
        <xdr:cNvPr id="2846" name="a83eb6c9-cf7d-44b5-b3db-5144ea94bce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8bc8e12b2a2429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2849</xdr:row>
      <xdr:rowOff>19050</xdr:rowOff>
    </xdr:from>
    <xdr:ext cx="1143000" cy="1143000"/>
    <xdr:pic>
      <xdr:nvPicPr>
        <xdr:cNvPr id="2847" name="46ce4eb1-e5cf-472c-b9b0-344cbbc61b4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064653c4fe7404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2850</xdr:row>
      <xdr:rowOff>19050</xdr:rowOff>
    </xdr:from>
    <xdr:ext cx="1143000" cy="1143000"/>
    <xdr:pic>
      <xdr:nvPicPr>
        <xdr:cNvPr id="2848" name="b079bfbd-054f-4bd5-a4e4-cce1c818be1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201f72097bc4ae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2851</xdr:row>
      <xdr:rowOff>19050</xdr:rowOff>
    </xdr:from>
    <xdr:ext cx="1143000" cy="1143000"/>
    <xdr:pic>
      <xdr:nvPicPr>
        <xdr:cNvPr id="2849" name="7ded0b70-939c-4490-b97b-f300a9ff7ff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47631a4d034464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2852</xdr:row>
      <xdr:rowOff>19050</xdr:rowOff>
    </xdr:from>
    <xdr:ext cx="1143000" cy="1143000"/>
    <xdr:pic>
      <xdr:nvPicPr>
        <xdr:cNvPr id="2850" name="8c3f9658-9d2d-4b26-9fe4-1f688adf62f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bbaf7d679ce415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2853</xdr:row>
      <xdr:rowOff>19050</xdr:rowOff>
    </xdr:from>
    <xdr:ext cx="1143000" cy="1143000"/>
    <xdr:pic>
      <xdr:nvPicPr>
        <xdr:cNvPr id="2851" name="dcc57028-dfd6-4105-a929-6c63bd29d7c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ddbf5ec29e9421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2854</xdr:row>
      <xdr:rowOff>19050</xdr:rowOff>
    </xdr:from>
    <xdr:ext cx="1143000" cy="1143000"/>
    <xdr:pic>
      <xdr:nvPicPr>
        <xdr:cNvPr id="2852" name="8f7f78e9-3022-40b9-a49f-41c819b1951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69aa1c94bf84c4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2855</xdr:row>
      <xdr:rowOff>19050</xdr:rowOff>
    </xdr:from>
    <xdr:ext cx="1143000" cy="1143000"/>
    <xdr:pic>
      <xdr:nvPicPr>
        <xdr:cNvPr id="2853" name="327d45d8-7213-4737-a4d9-42d773356a9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7b152f6c67f458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2856</xdr:row>
      <xdr:rowOff>19050</xdr:rowOff>
    </xdr:from>
    <xdr:ext cx="1143000" cy="1143000"/>
    <xdr:pic>
      <xdr:nvPicPr>
        <xdr:cNvPr id="2854" name="763cc355-d4df-49e4-9c8b-735f00fad6f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f2665f1bd2d45a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2857</xdr:row>
      <xdr:rowOff>19050</xdr:rowOff>
    </xdr:from>
    <xdr:ext cx="1143000" cy="1143000"/>
    <xdr:pic>
      <xdr:nvPicPr>
        <xdr:cNvPr id="2855" name="e1b782ec-9030-4a5b-afa0-8e932f80431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be5eddc20864a4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2858</xdr:row>
      <xdr:rowOff>19050</xdr:rowOff>
    </xdr:from>
    <xdr:ext cx="1143000" cy="1143000"/>
    <xdr:pic>
      <xdr:nvPicPr>
        <xdr:cNvPr id="2856" name="6ce8fdbd-a644-46ee-bc77-531cedf94be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d7c1db32bd4449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2859</xdr:row>
      <xdr:rowOff>19050</xdr:rowOff>
    </xdr:from>
    <xdr:ext cx="1143000" cy="1143000"/>
    <xdr:pic>
      <xdr:nvPicPr>
        <xdr:cNvPr id="2857" name="e61f6608-1ba0-48cd-bfa2-81ad1c709d6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6df23b3017e4e8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2860</xdr:row>
      <xdr:rowOff>19050</xdr:rowOff>
    </xdr:from>
    <xdr:ext cx="1143000" cy="1143000"/>
    <xdr:pic>
      <xdr:nvPicPr>
        <xdr:cNvPr id="2858" name="109ba542-3085-4be5-b9cc-c9cfe1b9125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56b82442053473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2861</xdr:row>
      <xdr:rowOff>19050</xdr:rowOff>
    </xdr:from>
    <xdr:ext cx="1143000" cy="1143000"/>
    <xdr:pic>
      <xdr:nvPicPr>
        <xdr:cNvPr id="2859" name="704fb121-d97b-4263-9931-5d00e2f7395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33563796fe84eb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2862</xdr:row>
      <xdr:rowOff>19050</xdr:rowOff>
    </xdr:from>
    <xdr:ext cx="1143000" cy="1143000"/>
    <xdr:pic>
      <xdr:nvPicPr>
        <xdr:cNvPr id="2860" name="52af1adc-397d-4147-ae67-a940477676c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7cc91fd682942d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2863</xdr:row>
      <xdr:rowOff>19050</xdr:rowOff>
    </xdr:from>
    <xdr:ext cx="1143000" cy="1143000"/>
    <xdr:pic>
      <xdr:nvPicPr>
        <xdr:cNvPr id="2861" name="97e3fa01-2b66-429a-aff9-ddd3777df5f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465633fff904db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2864</xdr:row>
      <xdr:rowOff>19050</xdr:rowOff>
    </xdr:from>
    <xdr:ext cx="1143000" cy="1143000"/>
    <xdr:pic>
      <xdr:nvPicPr>
        <xdr:cNvPr id="2862" name="98ee8965-d309-4cde-a0d6-e9640ec926a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8d7c0046be4492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2865</xdr:row>
      <xdr:rowOff>19050</xdr:rowOff>
    </xdr:from>
    <xdr:ext cx="1143000" cy="1143000"/>
    <xdr:pic>
      <xdr:nvPicPr>
        <xdr:cNvPr id="2863" name="e6a46285-263c-408c-b711-53d983a1542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dfbd6a9c148456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2866</xdr:row>
      <xdr:rowOff>19050</xdr:rowOff>
    </xdr:from>
    <xdr:ext cx="1143000" cy="1143000"/>
    <xdr:pic>
      <xdr:nvPicPr>
        <xdr:cNvPr id="2864" name="eacadee9-7576-4bae-8e16-4ee35dbf5e1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8e500d1a351491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2867</xdr:row>
      <xdr:rowOff>19050</xdr:rowOff>
    </xdr:from>
    <xdr:ext cx="1143000" cy="1143000"/>
    <xdr:pic>
      <xdr:nvPicPr>
        <xdr:cNvPr id="2865" name="5d19ef07-6232-49c6-96dc-5a95c068160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c985eb680ec418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2868</xdr:row>
      <xdr:rowOff>19050</xdr:rowOff>
    </xdr:from>
    <xdr:ext cx="1143000" cy="1143000"/>
    <xdr:pic>
      <xdr:nvPicPr>
        <xdr:cNvPr id="2866" name="9fd2836e-badd-4f65-8992-b5a94124c37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4115e62ea4a432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2869</xdr:row>
      <xdr:rowOff>19050</xdr:rowOff>
    </xdr:from>
    <xdr:ext cx="1143000" cy="1143000"/>
    <xdr:pic>
      <xdr:nvPicPr>
        <xdr:cNvPr id="2867" name="0cb5af4f-a194-441c-b8ef-af2dc004015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43bc78cc411410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2870</xdr:row>
      <xdr:rowOff>19050</xdr:rowOff>
    </xdr:from>
    <xdr:ext cx="1143000" cy="1143000"/>
    <xdr:pic>
      <xdr:nvPicPr>
        <xdr:cNvPr id="2868" name="6c075873-9f0d-4ed7-801c-745825fad3b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d241eb20be5452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2871</xdr:row>
      <xdr:rowOff>19050</xdr:rowOff>
    </xdr:from>
    <xdr:ext cx="1143000" cy="1143000"/>
    <xdr:pic>
      <xdr:nvPicPr>
        <xdr:cNvPr id="2869" name="1902a9e9-2e03-4e87-aca6-64331eda778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008da42db7f40a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2872</xdr:row>
      <xdr:rowOff>19050</xdr:rowOff>
    </xdr:from>
    <xdr:ext cx="1143000" cy="1143000"/>
    <xdr:pic>
      <xdr:nvPicPr>
        <xdr:cNvPr id="2870" name="79aed273-4f18-4737-9cfb-6db5f1c7365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bbdda495efa4cc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2873</xdr:row>
      <xdr:rowOff>19050</xdr:rowOff>
    </xdr:from>
    <xdr:ext cx="1143000" cy="1143000"/>
    <xdr:pic>
      <xdr:nvPicPr>
        <xdr:cNvPr id="2871" name="6a25aab4-2057-480e-9cb5-6913212d677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569dc06418f405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2874</xdr:row>
      <xdr:rowOff>19050</xdr:rowOff>
    </xdr:from>
    <xdr:ext cx="1143000" cy="1143000"/>
    <xdr:pic>
      <xdr:nvPicPr>
        <xdr:cNvPr id="2872" name="b3ffe4ec-eefb-418c-a734-e265aa42043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e01e3f0c6c545d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2875</xdr:row>
      <xdr:rowOff>19050</xdr:rowOff>
    </xdr:from>
    <xdr:ext cx="1143000" cy="1143000"/>
    <xdr:pic>
      <xdr:nvPicPr>
        <xdr:cNvPr id="2873" name="b0bdbcec-e28e-4817-8653-75b1d8391ca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9cbf91086344b2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2876</xdr:row>
      <xdr:rowOff>19050</xdr:rowOff>
    </xdr:from>
    <xdr:ext cx="1143000" cy="1143000"/>
    <xdr:pic>
      <xdr:nvPicPr>
        <xdr:cNvPr id="2874" name="f903d55c-b04e-4d3e-81a8-2d8508deba5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12e2d9541e04b3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2877</xdr:row>
      <xdr:rowOff>19050</xdr:rowOff>
    </xdr:from>
    <xdr:ext cx="1143000" cy="1143000"/>
    <xdr:pic>
      <xdr:nvPicPr>
        <xdr:cNvPr id="2875" name="e0138eb7-9348-4f34-a9a7-1e106acaf56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9cde17776654e8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2878</xdr:row>
      <xdr:rowOff>19050</xdr:rowOff>
    </xdr:from>
    <xdr:ext cx="1143000" cy="1143000"/>
    <xdr:pic>
      <xdr:nvPicPr>
        <xdr:cNvPr id="2876" name="f5831674-f4c7-4405-969d-fbae16f7b02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be5e42c0bca43e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2879</xdr:row>
      <xdr:rowOff>19050</xdr:rowOff>
    </xdr:from>
    <xdr:ext cx="1143000" cy="1143000"/>
    <xdr:pic>
      <xdr:nvPicPr>
        <xdr:cNvPr id="2877" name="770a36ce-3129-455c-b7ad-ddea6f78721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f89792a712444a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2880</xdr:row>
      <xdr:rowOff>19050</xdr:rowOff>
    </xdr:from>
    <xdr:ext cx="1143000" cy="1143000"/>
    <xdr:pic>
      <xdr:nvPicPr>
        <xdr:cNvPr id="2878" name="2fefbdbd-8a0e-41d1-96cb-af391310b38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972c9bd3c3e41a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2881</xdr:row>
      <xdr:rowOff>19050</xdr:rowOff>
    </xdr:from>
    <xdr:ext cx="1143000" cy="1143000"/>
    <xdr:pic>
      <xdr:nvPicPr>
        <xdr:cNvPr id="2879" name="15cad07a-81e6-4768-9ef2-472daf8a014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c077e8e6b3a49f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2882</xdr:row>
      <xdr:rowOff>19050</xdr:rowOff>
    </xdr:from>
    <xdr:ext cx="1143000" cy="1143000"/>
    <xdr:pic>
      <xdr:nvPicPr>
        <xdr:cNvPr id="2880" name="b0e9434c-b1b2-4d3e-bedd-6f6d31f8f52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4846480ea34496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2883</xdr:row>
      <xdr:rowOff>19050</xdr:rowOff>
    </xdr:from>
    <xdr:ext cx="1143000" cy="1143000"/>
    <xdr:pic>
      <xdr:nvPicPr>
        <xdr:cNvPr id="2881" name="71687e5b-174b-4cdb-abaa-c5ab9d34bbd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7c712ba0b7849c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2884</xdr:row>
      <xdr:rowOff>19050</xdr:rowOff>
    </xdr:from>
    <xdr:ext cx="1143000" cy="1143000"/>
    <xdr:pic>
      <xdr:nvPicPr>
        <xdr:cNvPr id="2882" name="229fee19-ab64-44fd-bee2-f5babcc72bb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5e9df51506e4f4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2885</xdr:row>
      <xdr:rowOff>19050</xdr:rowOff>
    </xdr:from>
    <xdr:ext cx="1143000" cy="1143000"/>
    <xdr:pic>
      <xdr:nvPicPr>
        <xdr:cNvPr id="2883" name="138d02c9-7df8-4a56-9bc6-e1a32d7b51d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59b180955aa46f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2886</xdr:row>
      <xdr:rowOff>19050</xdr:rowOff>
    </xdr:from>
    <xdr:ext cx="1143000" cy="1143000"/>
    <xdr:pic>
      <xdr:nvPicPr>
        <xdr:cNvPr id="2884" name="afb648c9-2153-4dc7-b4de-34b067d20ae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446fc8cecd9450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2887</xdr:row>
      <xdr:rowOff>19050</xdr:rowOff>
    </xdr:from>
    <xdr:ext cx="1143000" cy="1143000"/>
    <xdr:pic>
      <xdr:nvPicPr>
        <xdr:cNvPr id="2885" name="3ce84607-29d2-4edc-83bd-815a18ba5c3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ccff4aa2e6e4fb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2888</xdr:row>
      <xdr:rowOff>19050</xdr:rowOff>
    </xdr:from>
    <xdr:ext cx="1143000" cy="1143000"/>
    <xdr:pic>
      <xdr:nvPicPr>
        <xdr:cNvPr id="2886" name="d0d4212a-3dbc-4df6-8493-52b41bc8d6e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e35838e810a471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2889</xdr:row>
      <xdr:rowOff>19050</xdr:rowOff>
    </xdr:from>
    <xdr:ext cx="1143000" cy="1143000"/>
    <xdr:pic>
      <xdr:nvPicPr>
        <xdr:cNvPr id="2887" name="793d3da3-c295-4b0e-9c9f-3ee8c7d14c5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8ec6f1df70449c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2890</xdr:row>
      <xdr:rowOff>19050</xdr:rowOff>
    </xdr:from>
    <xdr:ext cx="1143000" cy="1143000"/>
    <xdr:pic>
      <xdr:nvPicPr>
        <xdr:cNvPr id="2888" name="2c864f35-35de-4448-a3d9-c8dbd9da1f4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3be72e81f50485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2891</xdr:row>
      <xdr:rowOff>19050</xdr:rowOff>
    </xdr:from>
    <xdr:ext cx="1143000" cy="1143000"/>
    <xdr:pic>
      <xdr:nvPicPr>
        <xdr:cNvPr id="2889" name="250b09b7-5f2f-43f5-bd16-68a90e8d160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27d00d63df24aa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2892</xdr:row>
      <xdr:rowOff>19050</xdr:rowOff>
    </xdr:from>
    <xdr:ext cx="1143000" cy="1143000"/>
    <xdr:pic>
      <xdr:nvPicPr>
        <xdr:cNvPr id="2890" name="bd92d9cb-8520-441a-8409-ade54e4a9b6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4e7e733e2ba49c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2893</xdr:row>
      <xdr:rowOff>19050</xdr:rowOff>
    </xdr:from>
    <xdr:ext cx="1143000" cy="1143000"/>
    <xdr:pic>
      <xdr:nvPicPr>
        <xdr:cNvPr id="2891" name="baddf480-9204-4d82-8a0c-16e32382761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5d160d7dee34fb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2894</xdr:row>
      <xdr:rowOff>19050</xdr:rowOff>
    </xdr:from>
    <xdr:ext cx="1143000" cy="1143000"/>
    <xdr:pic>
      <xdr:nvPicPr>
        <xdr:cNvPr id="2892" name="3b94382d-e582-48dc-a4f2-c07ba4a2bbe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ed6d236ce7746b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2895</xdr:row>
      <xdr:rowOff>19050</xdr:rowOff>
    </xdr:from>
    <xdr:ext cx="1143000" cy="1143000"/>
    <xdr:pic>
      <xdr:nvPicPr>
        <xdr:cNvPr id="2893" name="466b71b4-00f5-4007-97b9-5d5ba2e0865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435f7239a9c4c9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2896</xdr:row>
      <xdr:rowOff>19050</xdr:rowOff>
    </xdr:from>
    <xdr:ext cx="1143000" cy="1143000"/>
    <xdr:pic>
      <xdr:nvPicPr>
        <xdr:cNvPr id="2894" name="c078900b-df3d-46a5-ac23-8668be891b6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840b10b707e46b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2897</xdr:row>
      <xdr:rowOff>19050</xdr:rowOff>
    </xdr:from>
    <xdr:ext cx="1143000" cy="1143000"/>
    <xdr:pic>
      <xdr:nvPicPr>
        <xdr:cNvPr id="2895" name="0d8454cd-bba9-4863-af17-2390357335b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5d570ed6c4e47a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2898</xdr:row>
      <xdr:rowOff>19050</xdr:rowOff>
    </xdr:from>
    <xdr:ext cx="1143000" cy="1143000"/>
    <xdr:pic>
      <xdr:nvPicPr>
        <xdr:cNvPr id="2896" name="513e00ea-125c-4833-a157-27fab45b8fb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d6bb176a22e446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2899</xdr:row>
      <xdr:rowOff>19050</xdr:rowOff>
    </xdr:from>
    <xdr:ext cx="1143000" cy="1143000"/>
    <xdr:pic>
      <xdr:nvPicPr>
        <xdr:cNvPr id="2897" name="8c3107ab-1ca0-4cc5-a944-ddff9823b3f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2c7b9716cc9496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2900</xdr:row>
      <xdr:rowOff>19050</xdr:rowOff>
    </xdr:from>
    <xdr:ext cx="1143000" cy="1143000"/>
    <xdr:pic>
      <xdr:nvPicPr>
        <xdr:cNvPr id="2898" name="fa8e6034-1e63-4f6e-910d-dbe258ea696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502ad459d454bb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2901</xdr:row>
      <xdr:rowOff>19050</xdr:rowOff>
    </xdr:from>
    <xdr:ext cx="1143000" cy="1143000"/>
    <xdr:pic>
      <xdr:nvPicPr>
        <xdr:cNvPr id="2899" name="3a08468f-906b-40d9-924a-c1118a1a3ba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decee0cf57e43a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2902</xdr:row>
      <xdr:rowOff>19050</xdr:rowOff>
    </xdr:from>
    <xdr:ext cx="1143000" cy="1143000"/>
    <xdr:pic>
      <xdr:nvPicPr>
        <xdr:cNvPr id="2900" name="761bf122-3c6c-4bc3-ad66-3c142ba7e8e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d7d6d8152d848c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2903</xdr:row>
      <xdr:rowOff>19050</xdr:rowOff>
    </xdr:from>
    <xdr:ext cx="1143000" cy="1143000"/>
    <xdr:pic>
      <xdr:nvPicPr>
        <xdr:cNvPr id="2901" name="d33ae8d4-4fa0-4b14-82be-8e1eb6a442a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6d9aeab66c7414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2904</xdr:row>
      <xdr:rowOff>19050</xdr:rowOff>
    </xdr:from>
    <xdr:ext cx="1143000" cy="1143000"/>
    <xdr:pic>
      <xdr:nvPicPr>
        <xdr:cNvPr id="2902" name="da8a3c72-9582-4b39-8d07-daf7b0c72c1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d50474d3fcc488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2905</xdr:row>
      <xdr:rowOff>19050</xdr:rowOff>
    </xdr:from>
    <xdr:ext cx="1143000" cy="1143000"/>
    <xdr:pic>
      <xdr:nvPicPr>
        <xdr:cNvPr id="2903" name="314bd1aa-5c8b-4807-9c8f-0eb24739692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a4db775db27401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2906</xdr:row>
      <xdr:rowOff>19050</xdr:rowOff>
    </xdr:from>
    <xdr:ext cx="1143000" cy="1143000"/>
    <xdr:pic>
      <xdr:nvPicPr>
        <xdr:cNvPr id="2904" name="a936f281-f1e0-4e9e-83a7-d81f597df48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aa5559390154ca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2907</xdr:row>
      <xdr:rowOff>19050</xdr:rowOff>
    </xdr:from>
    <xdr:ext cx="1143000" cy="1143000"/>
    <xdr:pic>
      <xdr:nvPicPr>
        <xdr:cNvPr id="2905" name="d8a693e3-ccbb-42d2-99d9-aef916235ae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0b0735802a8464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2908</xdr:row>
      <xdr:rowOff>19050</xdr:rowOff>
    </xdr:from>
    <xdr:ext cx="1143000" cy="1143000"/>
    <xdr:pic>
      <xdr:nvPicPr>
        <xdr:cNvPr id="2906" name="ed4f95cd-ff1e-49e4-9d88-f94b62b70ea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baa2404e69444a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2909</xdr:row>
      <xdr:rowOff>19050</xdr:rowOff>
    </xdr:from>
    <xdr:ext cx="1143000" cy="1143000"/>
    <xdr:pic>
      <xdr:nvPicPr>
        <xdr:cNvPr id="2907" name="47907c2d-d6ba-49fb-9b94-77d9823ec20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7b8bc1272c8415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2910</xdr:row>
      <xdr:rowOff>19050</xdr:rowOff>
    </xdr:from>
    <xdr:ext cx="1143000" cy="1143000"/>
    <xdr:pic>
      <xdr:nvPicPr>
        <xdr:cNvPr id="2908" name="78aad3e4-cb31-4ea5-8070-014e1d9f9fa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33daa887349419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2911</xdr:row>
      <xdr:rowOff>19050</xdr:rowOff>
    </xdr:from>
    <xdr:ext cx="1143000" cy="1143000"/>
    <xdr:pic>
      <xdr:nvPicPr>
        <xdr:cNvPr id="2909" name="437bae71-bb86-42bc-86e0-1b4f2451072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6c6edd3a67d4f6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2912</xdr:row>
      <xdr:rowOff>19050</xdr:rowOff>
    </xdr:from>
    <xdr:ext cx="1143000" cy="1143000"/>
    <xdr:pic>
      <xdr:nvPicPr>
        <xdr:cNvPr id="2910" name="db3450b7-1157-4eb6-99dc-6b456ddf9cf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4f0d63c21294a9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2913</xdr:row>
      <xdr:rowOff>19050</xdr:rowOff>
    </xdr:from>
    <xdr:ext cx="1143000" cy="1143000"/>
    <xdr:pic>
      <xdr:nvPicPr>
        <xdr:cNvPr id="2911" name="03a41652-1ab4-4087-ab99-f36bccc1217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592731143284c2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2914</xdr:row>
      <xdr:rowOff>19050</xdr:rowOff>
    </xdr:from>
    <xdr:ext cx="1143000" cy="1143000"/>
    <xdr:pic>
      <xdr:nvPicPr>
        <xdr:cNvPr id="2912" name="4ca8cf1f-c4a0-4d08-8147-50cff4893ec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ae9ca023c9a488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2915</xdr:row>
      <xdr:rowOff>19050</xdr:rowOff>
    </xdr:from>
    <xdr:ext cx="1143000" cy="1143000"/>
    <xdr:pic>
      <xdr:nvPicPr>
        <xdr:cNvPr id="2913" name="9f415075-b7c1-4c49-b868-80fd4893a0a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682553769ce4eb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2916</xdr:row>
      <xdr:rowOff>19050</xdr:rowOff>
    </xdr:from>
    <xdr:ext cx="1143000" cy="1143000"/>
    <xdr:pic>
      <xdr:nvPicPr>
        <xdr:cNvPr id="2914" name="c0ae291b-d375-48fb-bddc-f15e0ee7853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217810f0da34d7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2917</xdr:row>
      <xdr:rowOff>19050</xdr:rowOff>
    </xdr:from>
    <xdr:ext cx="1143000" cy="1143000"/>
    <xdr:pic>
      <xdr:nvPicPr>
        <xdr:cNvPr id="2915" name="d5670ab3-a094-424d-890e-90350b66550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9ccf9b1917e416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2918</xdr:row>
      <xdr:rowOff>19050</xdr:rowOff>
    </xdr:from>
    <xdr:ext cx="1143000" cy="1143000"/>
    <xdr:pic>
      <xdr:nvPicPr>
        <xdr:cNvPr id="2916" name="bb3a6890-f685-47f5-bb93-3a854e4d0c4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957eb12f930400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2919</xdr:row>
      <xdr:rowOff>19050</xdr:rowOff>
    </xdr:from>
    <xdr:ext cx="1143000" cy="1143000"/>
    <xdr:pic>
      <xdr:nvPicPr>
        <xdr:cNvPr id="2917" name="344d9793-9330-4dee-b43a-b4aa9bb6faf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c6b9b16c5e24a6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2920</xdr:row>
      <xdr:rowOff>19050</xdr:rowOff>
    </xdr:from>
    <xdr:ext cx="1143000" cy="1143000"/>
    <xdr:pic>
      <xdr:nvPicPr>
        <xdr:cNvPr id="2918" name="30e4dc18-23f1-41a2-a5c6-51944489f39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453c33539594ae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2921</xdr:row>
      <xdr:rowOff>19050</xdr:rowOff>
    </xdr:from>
    <xdr:ext cx="1143000" cy="1143000"/>
    <xdr:pic>
      <xdr:nvPicPr>
        <xdr:cNvPr id="2919" name="5213baae-9484-4097-9e4f-1dc4f86aaf7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e9aea5e12cc4ed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2922</xdr:row>
      <xdr:rowOff>19050</xdr:rowOff>
    </xdr:from>
    <xdr:ext cx="1143000" cy="1143000"/>
    <xdr:pic>
      <xdr:nvPicPr>
        <xdr:cNvPr id="2920" name="1d303cd0-27aa-433f-9f96-c685a00806d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7c773bcc5f847e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2923</xdr:row>
      <xdr:rowOff>19050</xdr:rowOff>
    </xdr:from>
    <xdr:ext cx="1143000" cy="1143000"/>
    <xdr:pic>
      <xdr:nvPicPr>
        <xdr:cNvPr id="2921" name="c89d5ac1-ced0-4edf-9587-5bee9891ead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faa41c89970480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2924</xdr:row>
      <xdr:rowOff>19050</xdr:rowOff>
    </xdr:from>
    <xdr:ext cx="1143000" cy="1143000"/>
    <xdr:pic>
      <xdr:nvPicPr>
        <xdr:cNvPr id="2922" name="3224fccd-8e40-4241-b575-86093d30115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e9bb426977b401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2925</xdr:row>
      <xdr:rowOff>19050</xdr:rowOff>
    </xdr:from>
    <xdr:ext cx="1143000" cy="1143000"/>
    <xdr:pic>
      <xdr:nvPicPr>
        <xdr:cNvPr id="2923" name="1d1bdbf1-cefc-4293-934c-a3e57ba0a9a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50144f03a20406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2926</xdr:row>
      <xdr:rowOff>19050</xdr:rowOff>
    </xdr:from>
    <xdr:ext cx="1143000" cy="1143000"/>
    <xdr:pic>
      <xdr:nvPicPr>
        <xdr:cNvPr id="2924" name="95ba5117-5a70-4bb0-83f9-675c4db5a2b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402b33148ae470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2927</xdr:row>
      <xdr:rowOff>19050</xdr:rowOff>
    </xdr:from>
    <xdr:ext cx="1143000" cy="1143000"/>
    <xdr:pic>
      <xdr:nvPicPr>
        <xdr:cNvPr id="2925" name="57dcd82a-9c81-4772-8976-3a75649a712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c4898ea179944c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2928</xdr:row>
      <xdr:rowOff>19050</xdr:rowOff>
    </xdr:from>
    <xdr:ext cx="1143000" cy="1143000"/>
    <xdr:pic>
      <xdr:nvPicPr>
        <xdr:cNvPr id="2926" name="64818637-67a5-48ef-b7b4-c928cd1f66d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eaeb11024654f5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2929</xdr:row>
      <xdr:rowOff>19050</xdr:rowOff>
    </xdr:from>
    <xdr:ext cx="1143000" cy="1143000"/>
    <xdr:pic>
      <xdr:nvPicPr>
        <xdr:cNvPr id="2927" name="a977f303-5bf7-45b3-840c-a047969e864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57edfe5be774ed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2930</xdr:row>
      <xdr:rowOff>19050</xdr:rowOff>
    </xdr:from>
    <xdr:ext cx="1143000" cy="1143000"/>
    <xdr:pic>
      <xdr:nvPicPr>
        <xdr:cNvPr id="2928" name="4b304aa8-5f10-4252-95e0-a77700ae91d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1700268e6b74d8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2931</xdr:row>
      <xdr:rowOff>19050</xdr:rowOff>
    </xdr:from>
    <xdr:ext cx="1143000" cy="1143000"/>
    <xdr:pic>
      <xdr:nvPicPr>
        <xdr:cNvPr id="2929" name="8157245b-eb79-473e-9c66-767fa07f3d2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9036875580c418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2932</xdr:row>
      <xdr:rowOff>19050</xdr:rowOff>
    </xdr:from>
    <xdr:ext cx="1143000" cy="1143000"/>
    <xdr:pic>
      <xdr:nvPicPr>
        <xdr:cNvPr id="2930" name="f3f24c38-7b18-404e-a4c1-3d99419f8f9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070cacb459742b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2933</xdr:row>
      <xdr:rowOff>19050</xdr:rowOff>
    </xdr:from>
    <xdr:ext cx="1143000" cy="1143000"/>
    <xdr:pic>
      <xdr:nvPicPr>
        <xdr:cNvPr id="2931" name="5cf661e3-2547-4f93-ad33-50ce52c4ed9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c2f03781c0b42c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2934</xdr:row>
      <xdr:rowOff>19050</xdr:rowOff>
    </xdr:from>
    <xdr:ext cx="1143000" cy="1143000"/>
    <xdr:pic>
      <xdr:nvPicPr>
        <xdr:cNvPr id="2932" name="5ba16247-70ea-4ceb-81cd-08116e0f1d6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02dfc5b3e13477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2935</xdr:row>
      <xdr:rowOff>19050</xdr:rowOff>
    </xdr:from>
    <xdr:ext cx="1143000" cy="1143000"/>
    <xdr:pic>
      <xdr:nvPicPr>
        <xdr:cNvPr id="2933" name="3f1fac58-44d0-4e7f-aae3-86428ce257b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2708b18162c405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2936</xdr:row>
      <xdr:rowOff>19050</xdr:rowOff>
    </xdr:from>
    <xdr:ext cx="1143000" cy="1143000"/>
    <xdr:pic>
      <xdr:nvPicPr>
        <xdr:cNvPr id="2934" name="9376f889-6f79-453c-a171-e252391ee31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77991972fcb4d3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2937</xdr:row>
      <xdr:rowOff>19050</xdr:rowOff>
    </xdr:from>
    <xdr:ext cx="1143000" cy="1143000"/>
    <xdr:pic>
      <xdr:nvPicPr>
        <xdr:cNvPr id="2935" name="03f0152a-a78c-4a87-a3a0-fd0cc839985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77f71bff01b46e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2938</xdr:row>
      <xdr:rowOff>19050</xdr:rowOff>
    </xdr:from>
    <xdr:ext cx="1143000" cy="1143000"/>
    <xdr:pic>
      <xdr:nvPicPr>
        <xdr:cNvPr id="2936" name="4713c194-a113-4382-9cd0-897e27e04c1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ae954bab6d34f1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2939</xdr:row>
      <xdr:rowOff>19050</xdr:rowOff>
    </xdr:from>
    <xdr:ext cx="1143000" cy="1143000"/>
    <xdr:pic>
      <xdr:nvPicPr>
        <xdr:cNvPr id="2937" name="4e858c9b-f2e8-4043-bacb-148daf3cb4c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3027e5ed614443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2940</xdr:row>
      <xdr:rowOff>19050</xdr:rowOff>
    </xdr:from>
    <xdr:ext cx="1143000" cy="1143000"/>
    <xdr:pic>
      <xdr:nvPicPr>
        <xdr:cNvPr id="2938" name="d52576f8-5f83-4b1d-98bb-197a5ff7494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b1132e356d54db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2941</xdr:row>
      <xdr:rowOff>19050</xdr:rowOff>
    </xdr:from>
    <xdr:ext cx="1143000" cy="1143000"/>
    <xdr:pic>
      <xdr:nvPicPr>
        <xdr:cNvPr id="2939" name="64108632-ccd1-4117-8e09-9a4889f7224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a81644aa806484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2942</xdr:row>
      <xdr:rowOff>19050</xdr:rowOff>
    </xdr:from>
    <xdr:ext cx="1143000" cy="1143000"/>
    <xdr:pic>
      <xdr:nvPicPr>
        <xdr:cNvPr id="2940" name="80951ab8-1652-4d32-80e0-efacfc04159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de0fe923dce47a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2943</xdr:row>
      <xdr:rowOff>19050</xdr:rowOff>
    </xdr:from>
    <xdr:ext cx="1143000" cy="1143000"/>
    <xdr:pic>
      <xdr:nvPicPr>
        <xdr:cNvPr id="2941" name="4711d184-97dd-45ee-a34a-1cb8549a6d8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21fcefb4d6f4e0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2944</xdr:row>
      <xdr:rowOff>19050</xdr:rowOff>
    </xdr:from>
    <xdr:ext cx="1143000" cy="1143000"/>
    <xdr:pic>
      <xdr:nvPicPr>
        <xdr:cNvPr id="2942" name="c5b97cbf-14f1-4d34-a205-ecec7025227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2235c2f14564bc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2945</xdr:row>
      <xdr:rowOff>19050</xdr:rowOff>
    </xdr:from>
    <xdr:ext cx="1143000" cy="1143000"/>
    <xdr:pic>
      <xdr:nvPicPr>
        <xdr:cNvPr id="2943" name="1fc3cf53-3d08-437b-a8a5-edc6a85af52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c148d40d7ff418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2946</xdr:row>
      <xdr:rowOff>19050</xdr:rowOff>
    </xdr:from>
    <xdr:ext cx="1143000" cy="1143000"/>
    <xdr:pic>
      <xdr:nvPicPr>
        <xdr:cNvPr id="2944" name="dbce31e3-36d6-4258-8d23-69d9be5aa4d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3d2ab6c35a448a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2947</xdr:row>
      <xdr:rowOff>19050</xdr:rowOff>
    </xdr:from>
    <xdr:ext cx="1143000" cy="1143000"/>
    <xdr:pic>
      <xdr:nvPicPr>
        <xdr:cNvPr id="2945" name="4f306f0f-4d5b-4419-8b9c-8eaaa60a921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e5a706ad66c4da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2948</xdr:row>
      <xdr:rowOff>19050</xdr:rowOff>
    </xdr:from>
    <xdr:ext cx="1143000" cy="1143000"/>
    <xdr:pic>
      <xdr:nvPicPr>
        <xdr:cNvPr id="2946" name="33f23ead-2ec1-4763-9d71-a78d4f2f3a2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5c880291c03472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2949</xdr:row>
      <xdr:rowOff>19050</xdr:rowOff>
    </xdr:from>
    <xdr:ext cx="1143000" cy="1143000"/>
    <xdr:pic>
      <xdr:nvPicPr>
        <xdr:cNvPr id="2947" name="8b41f6d8-9ad6-41ef-9994-111d0971308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b671864d07b44f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2950</xdr:row>
      <xdr:rowOff>19050</xdr:rowOff>
    </xdr:from>
    <xdr:ext cx="1143000" cy="1143000"/>
    <xdr:pic>
      <xdr:nvPicPr>
        <xdr:cNvPr id="2948" name="c2e24ea6-47a5-4688-a981-1f4080f404c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a198fa9a9a54ce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2951</xdr:row>
      <xdr:rowOff>19050</xdr:rowOff>
    </xdr:from>
    <xdr:ext cx="1143000" cy="1143000"/>
    <xdr:pic>
      <xdr:nvPicPr>
        <xdr:cNvPr id="2949" name="dc88e60a-5843-447e-b0b6-2011afbf3fd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5b510b2c2724ef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2952</xdr:row>
      <xdr:rowOff>19050</xdr:rowOff>
    </xdr:from>
    <xdr:ext cx="1143000" cy="1143000"/>
    <xdr:pic>
      <xdr:nvPicPr>
        <xdr:cNvPr id="2950" name="8ac8ffe7-a78b-4c85-b560-ff462186ba9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2b13dfa3225496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2953</xdr:row>
      <xdr:rowOff>19050</xdr:rowOff>
    </xdr:from>
    <xdr:ext cx="1143000" cy="1143000"/>
    <xdr:pic>
      <xdr:nvPicPr>
        <xdr:cNvPr id="2951" name="7b91352e-f4e3-4eef-adfe-32eadab86c4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97352506c04475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2954</xdr:row>
      <xdr:rowOff>19050</xdr:rowOff>
    </xdr:from>
    <xdr:ext cx="1143000" cy="1143000"/>
    <xdr:pic>
      <xdr:nvPicPr>
        <xdr:cNvPr id="2952" name="3b793363-cf71-4376-9b23-3a6b9b7ac29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20c7b2bee254f9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2955</xdr:row>
      <xdr:rowOff>19050</xdr:rowOff>
    </xdr:from>
    <xdr:ext cx="1143000" cy="1143000"/>
    <xdr:pic>
      <xdr:nvPicPr>
        <xdr:cNvPr id="2953" name="c100b200-f816-44a0-b7eb-eb16113749b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fa21846ad82416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2956</xdr:row>
      <xdr:rowOff>19050</xdr:rowOff>
    </xdr:from>
    <xdr:ext cx="1143000" cy="1143000"/>
    <xdr:pic>
      <xdr:nvPicPr>
        <xdr:cNvPr id="2954" name="f4ebccc9-bc47-4075-93a2-f5831f01d07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0430d4fc0f6423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2957</xdr:row>
      <xdr:rowOff>19050</xdr:rowOff>
    </xdr:from>
    <xdr:ext cx="1143000" cy="1143000"/>
    <xdr:pic>
      <xdr:nvPicPr>
        <xdr:cNvPr id="2955" name="6f1011a7-2fc8-4015-ad67-d9683f40c26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7de67276a6a410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2958</xdr:row>
      <xdr:rowOff>19050</xdr:rowOff>
    </xdr:from>
    <xdr:ext cx="1143000" cy="1143000"/>
    <xdr:pic>
      <xdr:nvPicPr>
        <xdr:cNvPr id="2956" name="bdcb60b2-8287-469b-b22b-d7ba7377487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73debf3e29f4fa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2959</xdr:row>
      <xdr:rowOff>19050</xdr:rowOff>
    </xdr:from>
    <xdr:ext cx="1143000" cy="1143000"/>
    <xdr:pic>
      <xdr:nvPicPr>
        <xdr:cNvPr id="2957" name="fb8b894c-5301-4918-925e-472d8fac244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1f46142288e4ab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2960</xdr:row>
      <xdr:rowOff>19050</xdr:rowOff>
    </xdr:from>
    <xdr:ext cx="1143000" cy="1143000"/>
    <xdr:pic>
      <xdr:nvPicPr>
        <xdr:cNvPr id="2958" name="12e554ec-2c85-4022-b587-527210fc033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360409ac7a2485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2961</xdr:row>
      <xdr:rowOff>19050</xdr:rowOff>
    </xdr:from>
    <xdr:ext cx="1143000" cy="1143000"/>
    <xdr:pic>
      <xdr:nvPicPr>
        <xdr:cNvPr id="2959" name="91cdede3-f818-4fc4-8beb-dcfe4871a51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f40cd323d9746e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2962</xdr:row>
      <xdr:rowOff>19050</xdr:rowOff>
    </xdr:from>
    <xdr:ext cx="1143000" cy="1143000"/>
    <xdr:pic>
      <xdr:nvPicPr>
        <xdr:cNvPr id="2960" name="09e1c893-fb0b-4f73-a42a-17372089a30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fa2afe2a5e647d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2963</xdr:row>
      <xdr:rowOff>19050</xdr:rowOff>
    </xdr:from>
    <xdr:ext cx="1143000" cy="1143000"/>
    <xdr:pic>
      <xdr:nvPicPr>
        <xdr:cNvPr id="2961" name="0f60f1c4-20bf-4ab6-9082-93df17efec9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ebc148a955d433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2964</xdr:row>
      <xdr:rowOff>19050</xdr:rowOff>
    </xdr:from>
    <xdr:ext cx="1143000" cy="1143000"/>
    <xdr:pic>
      <xdr:nvPicPr>
        <xdr:cNvPr id="2962" name="d8166f72-3929-45c2-83ba-7bd593a738d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7f6062994fa472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2965</xdr:row>
      <xdr:rowOff>19050</xdr:rowOff>
    </xdr:from>
    <xdr:ext cx="1143000" cy="1143000"/>
    <xdr:pic>
      <xdr:nvPicPr>
        <xdr:cNvPr id="2963" name="4054523e-97ed-4508-adcf-a0e7d5ba6f6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39326689a66453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2966</xdr:row>
      <xdr:rowOff>19050</xdr:rowOff>
    </xdr:from>
    <xdr:ext cx="1143000" cy="1143000"/>
    <xdr:pic>
      <xdr:nvPicPr>
        <xdr:cNvPr id="2964" name="1db72f3a-0029-47df-a716-ca9f8e4382a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861784b00bd47c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2967</xdr:row>
      <xdr:rowOff>19050</xdr:rowOff>
    </xdr:from>
    <xdr:ext cx="1143000" cy="1143000"/>
    <xdr:pic>
      <xdr:nvPicPr>
        <xdr:cNvPr id="2965" name="d331ab16-dc12-4632-901e-18ef8ee9ba2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bf7a2c428b742d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2968</xdr:row>
      <xdr:rowOff>19050</xdr:rowOff>
    </xdr:from>
    <xdr:ext cx="1143000" cy="1143000"/>
    <xdr:pic>
      <xdr:nvPicPr>
        <xdr:cNvPr id="2966" name="250740d1-8e25-434b-9c36-88bb3aae939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6bcc3465a4d40c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2969</xdr:row>
      <xdr:rowOff>19050</xdr:rowOff>
    </xdr:from>
    <xdr:ext cx="1143000" cy="1143000"/>
    <xdr:pic>
      <xdr:nvPicPr>
        <xdr:cNvPr id="2967" name="2b59cd31-85d1-4a27-a3f7-2983ed1895d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bda8709dcd248f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2970</xdr:row>
      <xdr:rowOff>19050</xdr:rowOff>
    </xdr:from>
    <xdr:ext cx="1143000" cy="1143000"/>
    <xdr:pic>
      <xdr:nvPicPr>
        <xdr:cNvPr id="2968" name="9db93bf7-37a5-43b6-91f5-cf857b1164b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e761ed5bd2744d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2971</xdr:row>
      <xdr:rowOff>19050</xdr:rowOff>
    </xdr:from>
    <xdr:ext cx="1143000" cy="1143000"/>
    <xdr:pic>
      <xdr:nvPicPr>
        <xdr:cNvPr id="2969" name="15f79037-3aae-4838-9bc5-c8c35264978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005750486f545e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2972</xdr:row>
      <xdr:rowOff>19050</xdr:rowOff>
    </xdr:from>
    <xdr:ext cx="1143000" cy="1143000"/>
    <xdr:pic>
      <xdr:nvPicPr>
        <xdr:cNvPr id="2970" name="f5c3161b-7748-4f58-a3b9-d45d7a634c3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9d2f85fea78453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2973</xdr:row>
      <xdr:rowOff>19050</xdr:rowOff>
    </xdr:from>
    <xdr:ext cx="1143000" cy="1143000"/>
    <xdr:pic>
      <xdr:nvPicPr>
        <xdr:cNvPr id="2971" name="d6533539-0cc4-4a63-be9b-ef0e867dc5c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1c56b55040542b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2974</xdr:row>
      <xdr:rowOff>19050</xdr:rowOff>
    </xdr:from>
    <xdr:ext cx="1143000" cy="1143000"/>
    <xdr:pic>
      <xdr:nvPicPr>
        <xdr:cNvPr id="2972" name="f8c1bc90-576f-4880-8e3f-64d6d2b68ad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257cb627f4949c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2975</xdr:row>
      <xdr:rowOff>19050</xdr:rowOff>
    </xdr:from>
    <xdr:ext cx="1143000" cy="1143000"/>
    <xdr:pic>
      <xdr:nvPicPr>
        <xdr:cNvPr id="2973" name="524be600-0c94-492f-8fb1-e3fecd45a3e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bce2da1a8994ed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2976</xdr:row>
      <xdr:rowOff>19050</xdr:rowOff>
    </xdr:from>
    <xdr:ext cx="1143000" cy="1143000"/>
    <xdr:pic>
      <xdr:nvPicPr>
        <xdr:cNvPr id="2974" name="ddacdb0f-89f0-4e66-b01d-5baec8d8aa9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fc5a7e176a44e9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2977</xdr:row>
      <xdr:rowOff>19050</xdr:rowOff>
    </xdr:from>
    <xdr:ext cx="1143000" cy="1143000"/>
    <xdr:pic>
      <xdr:nvPicPr>
        <xdr:cNvPr id="2975" name="c4c8deed-0432-4fc1-9070-282bbdec565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37f7156468f48b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2978</xdr:row>
      <xdr:rowOff>19050</xdr:rowOff>
    </xdr:from>
    <xdr:ext cx="1143000" cy="1143000"/>
    <xdr:pic>
      <xdr:nvPicPr>
        <xdr:cNvPr id="2976" name="29389d3f-6c92-4df1-aba8-58b32e167a1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2562de755c14ab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2979</xdr:row>
      <xdr:rowOff>19050</xdr:rowOff>
    </xdr:from>
    <xdr:ext cx="1143000" cy="1143000"/>
    <xdr:pic>
      <xdr:nvPicPr>
        <xdr:cNvPr id="2977" name="1032ef97-9cb9-4794-a5ec-d9462838f01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63c9b019d6f416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2980</xdr:row>
      <xdr:rowOff>19050</xdr:rowOff>
    </xdr:from>
    <xdr:ext cx="1143000" cy="1143000"/>
    <xdr:pic>
      <xdr:nvPicPr>
        <xdr:cNvPr id="2978" name="bb2e0a18-5811-4635-b104-f49478e0a00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ad8bed039834aa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2981</xdr:row>
      <xdr:rowOff>19050</xdr:rowOff>
    </xdr:from>
    <xdr:ext cx="1143000" cy="1143000"/>
    <xdr:pic>
      <xdr:nvPicPr>
        <xdr:cNvPr id="2979" name="ee0fa5a0-1f4b-4515-9211-fcd96ffed0e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11fad6bb17c4e1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2982</xdr:row>
      <xdr:rowOff>19050</xdr:rowOff>
    </xdr:from>
    <xdr:ext cx="1143000" cy="1143000"/>
    <xdr:pic>
      <xdr:nvPicPr>
        <xdr:cNvPr id="2980" name="c2a4d46c-77d8-4763-80c2-d719b6a18d8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f6a9716e5c84ad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2983</xdr:row>
      <xdr:rowOff>19050</xdr:rowOff>
    </xdr:from>
    <xdr:ext cx="1143000" cy="1143000"/>
    <xdr:pic>
      <xdr:nvPicPr>
        <xdr:cNvPr id="2981" name="c470d618-c325-4d2c-9565-14fa8062190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855efe5c2cf483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2984</xdr:row>
      <xdr:rowOff>19050</xdr:rowOff>
    </xdr:from>
    <xdr:ext cx="1143000" cy="1143000"/>
    <xdr:pic>
      <xdr:nvPicPr>
        <xdr:cNvPr id="2982" name="0e0c2678-619a-48d6-93aa-9c1ce22be6f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79cc51790c4477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2985</xdr:row>
      <xdr:rowOff>19050</xdr:rowOff>
    </xdr:from>
    <xdr:ext cx="1143000" cy="1143000"/>
    <xdr:pic>
      <xdr:nvPicPr>
        <xdr:cNvPr id="2983" name="8149c616-e3b5-4396-a87b-f9209f0a187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37731069d2b455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2986</xdr:row>
      <xdr:rowOff>19050</xdr:rowOff>
    </xdr:from>
    <xdr:ext cx="1143000" cy="1143000"/>
    <xdr:pic>
      <xdr:nvPicPr>
        <xdr:cNvPr id="2984" name="a59df828-92b2-435f-875e-e80cd923f3c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ae3836b5c4140f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2987</xdr:row>
      <xdr:rowOff>19050</xdr:rowOff>
    </xdr:from>
    <xdr:ext cx="1143000" cy="1143000"/>
    <xdr:pic>
      <xdr:nvPicPr>
        <xdr:cNvPr id="2985" name="f256cd00-7c92-4262-887d-6b51321a203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90ea9ee35054b5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2988</xdr:row>
      <xdr:rowOff>19050</xdr:rowOff>
    </xdr:from>
    <xdr:ext cx="1143000" cy="1143000"/>
    <xdr:pic>
      <xdr:nvPicPr>
        <xdr:cNvPr id="2986" name="dd748daf-9150-4ef0-b0f8-db2bac0c1df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20660c7d4bf481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2989</xdr:row>
      <xdr:rowOff>19050</xdr:rowOff>
    </xdr:from>
    <xdr:ext cx="1143000" cy="1143000"/>
    <xdr:pic>
      <xdr:nvPicPr>
        <xdr:cNvPr id="2987" name="7080a47b-a5cf-449b-8d00-ad0e23b5f0a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577c36601fa481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2990</xdr:row>
      <xdr:rowOff>19050</xdr:rowOff>
    </xdr:from>
    <xdr:ext cx="1143000" cy="1143000"/>
    <xdr:pic>
      <xdr:nvPicPr>
        <xdr:cNvPr id="2988" name="99e0bf5b-cb05-4282-bd35-681d9ea5f43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b0ce746e9d24b5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2991</xdr:row>
      <xdr:rowOff>19050</xdr:rowOff>
    </xdr:from>
    <xdr:ext cx="1143000" cy="1143000"/>
    <xdr:pic>
      <xdr:nvPicPr>
        <xdr:cNvPr id="2989" name="f38c0101-b0d7-4b19-bb01-d09646d4316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626925d23424be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2992</xdr:row>
      <xdr:rowOff>19050</xdr:rowOff>
    </xdr:from>
    <xdr:ext cx="1143000" cy="1143000"/>
    <xdr:pic>
      <xdr:nvPicPr>
        <xdr:cNvPr id="2990" name="86a0dde0-f9cd-41c7-8773-eedebb904e2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9847b208e9b444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2993</xdr:row>
      <xdr:rowOff>19050</xdr:rowOff>
    </xdr:from>
    <xdr:ext cx="1143000" cy="1143000"/>
    <xdr:pic>
      <xdr:nvPicPr>
        <xdr:cNvPr id="2991" name="1dbaa64b-fc22-4091-bf1b-2c23fb78cf9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a857c77d91e46d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2994</xdr:row>
      <xdr:rowOff>19050</xdr:rowOff>
    </xdr:from>
    <xdr:ext cx="1143000" cy="1143000"/>
    <xdr:pic>
      <xdr:nvPicPr>
        <xdr:cNvPr id="2992" name="581d5d65-b026-4215-b5ca-65cfe92a846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a0cd8e8ac9d46c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2995</xdr:row>
      <xdr:rowOff>19050</xdr:rowOff>
    </xdr:from>
    <xdr:ext cx="1143000" cy="1143000"/>
    <xdr:pic>
      <xdr:nvPicPr>
        <xdr:cNvPr id="2993" name="d7998892-4ec1-47d1-8dd7-340c021e1f1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f4dda494260492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2996</xdr:row>
      <xdr:rowOff>19050</xdr:rowOff>
    </xdr:from>
    <xdr:ext cx="1143000" cy="1143000"/>
    <xdr:pic>
      <xdr:nvPicPr>
        <xdr:cNvPr id="2994" name="52293768-667c-4e57-9c74-98c12a7cc60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83e9a7c0f5e439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2997</xdr:row>
      <xdr:rowOff>19050</xdr:rowOff>
    </xdr:from>
    <xdr:ext cx="1143000" cy="1143000"/>
    <xdr:pic>
      <xdr:nvPicPr>
        <xdr:cNvPr id="2995" name="4d0a1f32-9a58-4718-bd42-df886adf354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feaef171e6d4b2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2998</xdr:row>
      <xdr:rowOff>19050</xdr:rowOff>
    </xdr:from>
    <xdr:ext cx="1143000" cy="1143000"/>
    <xdr:pic>
      <xdr:nvPicPr>
        <xdr:cNvPr id="2996" name="d6e3ae87-e294-4037-896c-2cd0329c42d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89e74690ee04a1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2999</xdr:row>
      <xdr:rowOff>19050</xdr:rowOff>
    </xdr:from>
    <xdr:ext cx="1143000" cy="1143000"/>
    <xdr:pic>
      <xdr:nvPicPr>
        <xdr:cNvPr id="2997" name="ba6851e7-6d3f-4352-b860-2907aa26068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ac9713f29bc4c1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3000</xdr:row>
      <xdr:rowOff>19050</xdr:rowOff>
    </xdr:from>
    <xdr:ext cx="1143000" cy="1143000"/>
    <xdr:pic>
      <xdr:nvPicPr>
        <xdr:cNvPr id="2998" name="30bef6f7-599d-43b3-9ebd-852f8ba8216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7873df4322c403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3001</xdr:row>
      <xdr:rowOff>19050</xdr:rowOff>
    </xdr:from>
    <xdr:ext cx="1143000" cy="1143000"/>
    <xdr:pic>
      <xdr:nvPicPr>
        <xdr:cNvPr id="2999" name="9c45024c-0756-4774-9979-538ff4ff204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0e5d7eb1b514c5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3002</xdr:row>
      <xdr:rowOff>19050</xdr:rowOff>
    </xdr:from>
    <xdr:ext cx="1143000" cy="1143000"/>
    <xdr:pic>
      <xdr:nvPicPr>
        <xdr:cNvPr id="3000" name="bc3b770b-59fe-411c-9a14-1c9561c5666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7351740194d4cb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3003</xdr:row>
      <xdr:rowOff>19050</xdr:rowOff>
    </xdr:from>
    <xdr:ext cx="1143000" cy="1143000"/>
    <xdr:pic>
      <xdr:nvPicPr>
        <xdr:cNvPr id="3001" name="9870b78e-7c5a-4a22-b5c4-8074f1d5b59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b0740ad1d9c428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3004</xdr:row>
      <xdr:rowOff>19050</xdr:rowOff>
    </xdr:from>
    <xdr:ext cx="1143000" cy="1143000"/>
    <xdr:pic>
      <xdr:nvPicPr>
        <xdr:cNvPr id="3002" name="e52b9873-0061-4d07-8de6-2084846f67b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1b02d141c5048c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3005</xdr:row>
      <xdr:rowOff>19050</xdr:rowOff>
    </xdr:from>
    <xdr:ext cx="1143000" cy="1143000"/>
    <xdr:pic>
      <xdr:nvPicPr>
        <xdr:cNvPr id="3003" name="791a52c6-ac05-4a20-8b96-33aff7ac9e9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ee7a5234988434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3006</xdr:row>
      <xdr:rowOff>19050</xdr:rowOff>
    </xdr:from>
    <xdr:ext cx="1143000" cy="1143000"/>
    <xdr:pic>
      <xdr:nvPicPr>
        <xdr:cNvPr id="3004" name="22083ae4-97bf-417d-a4d0-1a21117f663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0636be357eb49a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3007</xdr:row>
      <xdr:rowOff>19050</xdr:rowOff>
    </xdr:from>
    <xdr:ext cx="1143000" cy="1143000"/>
    <xdr:pic>
      <xdr:nvPicPr>
        <xdr:cNvPr id="3005" name="ba0b9766-5b82-4462-bf9e-99b3602fa1b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df9b053328d4b4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3008</xdr:row>
      <xdr:rowOff>19050</xdr:rowOff>
    </xdr:from>
    <xdr:ext cx="1143000" cy="1143000"/>
    <xdr:pic>
      <xdr:nvPicPr>
        <xdr:cNvPr id="3006" name="ee4e6e05-f6dc-4ba0-8b24-6ea99532502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9cd2442a19c417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3009</xdr:row>
      <xdr:rowOff>19050</xdr:rowOff>
    </xdr:from>
    <xdr:ext cx="1143000" cy="1143000"/>
    <xdr:pic>
      <xdr:nvPicPr>
        <xdr:cNvPr id="3007" name="287bf3b9-3b08-4113-8881-af513681168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e9274867d264b6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3010</xdr:row>
      <xdr:rowOff>19050</xdr:rowOff>
    </xdr:from>
    <xdr:ext cx="1143000" cy="1143000"/>
    <xdr:pic>
      <xdr:nvPicPr>
        <xdr:cNvPr id="3008" name="63be0afa-9d23-4157-ae90-b2cc6cb15b9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54f2b159340416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3011</xdr:row>
      <xdr:rowOff>19050</xdr:rowOff>
    </xdr:from>
    <xdr:ext cx="1143000" cy="1143000"/>
    <xdr:pic>
      <xdr:nvPicPr>
        <xdr:cNvPr id="3009" name="fa2f81b7-1848-4cdd-a37a-6d599571075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f45e81ebfb5474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3012</xdr:row>
      <xdr:rowOff>19050</xdr:rowOff>
    </xdr:from>
    <xdr:ext cx="1143000" cy="1143000"/>
    <xdr:pic>
      <xdr:nvPicPr>
        <xdr:cNvPr id="3010" name="1d86effb-f7e5-4d07-9c34-5aa30d5da1c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efcb2e7d126482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3013</xdr:row>
      <xdr:rowOff>19050</xdr:rowOff>
    </xdr:from>
    <xdr:ext cx="1143000" cy="1143000"/>
    <xdr:pic>
      <xdr:nvPicPr>
        <xdr:cNvPr id="3011" name="f7a12956-b7be-461f-9767-be38a283ce0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13f952234da45e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3014</xdr:row>
      <xdr:rowOff>19050</xdr:rowOff>
    </xdr:from>
    <xdr:ext cx="1143000" cy="1143000"/>
    <xdr:pic>
      <xdr:nvPicPr>
        <xdr:cNvPr id="3012" name="1929270d-c063-4360-aa0c-b56e8cef7fb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4f629d5d6b24fe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3015</xdr:row>
      <xdr:rowOff>19050</xdr:rowOff>
    </xdr:from>
    <xdr:ext cx="1143000" cy="1143000"/>
    <xdr:pic>
      <xdr:nvPicPr>
        <xdr:cNvPr id="3013" name="2c8c69b0-cce5-4320-ae93-5f174d536fc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633bd377131416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3016</xdr:row>
      <xdr:rowOff>19050</xdr:rowOff>
    </xdr:from>
    <xdr:ext cx="1143000" cy="1143000"/>
    <xdr:pic>
      <xdr:nvPicPr>
        <xdr:cNvPr id="3014" name="c96be398-0955-4c9b-a308-c73303272e1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81e2cadff58402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3017</xdr:row>
      <xdr:rowOff>19050</xdr:rowOff>
    </xdr:from>
    <xdr:ext cx="1143000" cy="1143000"/>
    <xdr:pic>
      <xdr:nvPicPr>
        <xdr:cNvPr id="3015" name="7b04d24e-6371-40d0-a841-cc7d09e4372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cb29965a98b4c1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3018</xdr:row>
      <xdr:rowOff>19050</xdr:rowOff>
    </xdr:from>
    <xdr:ext cx="1143000" cy="1143000"/>
    <xdr:pic>
      <xdr:nvPicPr>
        <xdr:cNvPr id="3016" name="352d26a6-b92a-4841-aa49-07cb4cee59a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ea85bd19050402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3019</xdr:row>
      <xdr:rowOff>19050</xdr:rowOff>
    </xdr:from>
    <xdr:ext cx="1143000" cy="1143000"/>
    <xdr:pic>
      <xdr:nvPicPr>
        <xdr:cNvPr id="3017" name="bbfe69c9-9f35-44f2-8bee-1350d6ae7b2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b6fc65c02e04a6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3020</xdr:row>
      <xdr:rowOff>19050</xdr:rowOff>
    </xdr:from>
    <xdr:ext cx="1143000" cy="1143000"/>
    <xdr:pic>
      <xdr:nvPicPr>
        <xdr:cNvPr id="3018" name="6dcec1f2-dfe2-49f3-9015-becbefe96bc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2323d01723f431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3021</xdr:row>
      <xdr:rowOff>19050</xdr:rowOff>
    </xdr:from>
    <xdr:ext cx="1143000" cy="1143000"/>
    <xdr:pic>
      <xdr:nvPicPr>
        <xdr:cNvPr id="3019" name="d981b735-25ba-48d3-9ddc-b54fc968f21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7b1d2e3ca0847d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3022</xdr:row>
      <xdr:rowOff>19050</xdr:rowOff>
    </xdr:from>
    <xdr:ext cx="1143000" cy="1143000"/>
    <xdr:pic>
      <xdr:nvPicPr>
        <xdr:cNvPr id="3020" name="2c86eeb7-9d3b-4f54-a4b5-106ec262eef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e779ecc85fa430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3023</xdr:row>
      <xdr:rowOff>19050</xdr:rowOff>
    </xdr:from>
    <xdr:ext cx="1143000" cy="1143000"/>
    <xdr:pic>
      <xdr:nvPicPr>
        <xdr:cNvPr id="3021" name="a75edb8d-b813-4c41-8d26-a00eeb2cc22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92caed6f7e5465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3024</xdr:row>
      <xdr:rowOff>19050</xdr:rowOff>
    </xdr:from>
    <xdr:ext cx="1143000" cy="1143000"/>
    <xdr:pic>
      <xdr:nvPicPr>
        <xdr:cNvPr id="3022" name="52c0e6b7-8457-401c-a7a2-4656b81f860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f9ec7e2b4ec464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3025</xdr:row>
      <xdr:rowOff>19050</xdr:rowOff>
    </xdr:from>
    <xdr:ext cx="1143000" cy="1143000"/>
    <xdr:pic>
      <xdr:nvPicPr>
        <xdr:cNvPr id="3023" name="947dd99a-d6c3-4049-a9cc-e1889c793ce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d6d20dace85451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3026</xdr:row>
      <xdr:rowOff>19050</xdr:rowOff>
    </xdr:from>
    <xdr:ext cx="1143000" cy="1143000"/>
    <xdr:pic>
      <xdr:nvPicPr>
        <xdr:cNvPr id="3024" name="1eff7034-5441-41c2-9b5d-7c35b370b0a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8689bcd723a4b1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3027</xdr:row>
      <xdr:rowOff>19050</xdr:rowOff>
    </xdr:from>
    <xdr:ext cx="1143000" cy="1143000"/>
    <xdr:pic>
      <xdr:nvPicPr>
        <xdr:cNvPr id="3025" name="cc3e16d4-d87f-47d0-b23a-042e0855d8d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cf27821ac2543b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3028</xdr:row>
      <xdr:rowOff>19050</xdr:rowOff>
    </xdr:from>
    <xdr:ext cx="1143000" cy="1143000"/>
    <xdr:pic>
      <xdr:nvPicPr>
        <xdr:cNvPr id="3026" name="eb60c2ea-be77-4bf1-9edc-1a293dbd0f0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fde35b8902a4f0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3029</xdr:row>
      <xdr:rowOff>19050</xdr:rowOff>
    </xdr:from>
    <xdr:ext cx="1143000" cy="1143000"/>
    <xdr:pic>
      <xdr:nvPicPr>
        <xdr:cNvPr id="3027" name="7c293578-bc47-4d4e-936b-edf6eefbf04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e62e9502e6c443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3030</xdr:row>
      <xdr:rowOff>19050</xdr:rowOff>
    </xdr:from>
    <xdr:ext cx="1143000" cy="1143000"/>
    <xdr:pic>
      <xdr:nvPicPr>
        <xdr:cNvPr id="3028" name="8298f2c2-ad7c-464b-bb26-06527874c71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c428896703b4cb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3031</xdr:row>
      <xdr:rowOff>19050</xdr:rowOff>
    </xdr:from>
    <xdr:ext cx="1143000" cy="1143000"/>
    <xdr:pic>
      <xdr:nvPicPr>
        <xdr:cNvPr id="3029" name="fb1396dc-cb2f-46a6-9214-0f84f5e6d55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b359e61869f4f9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3032</xdr:row>
      <xdr:rowOff>19050</xdr:rowOff>
    </xdr:from>
    <xdr:ext cx="1143000" cy="1143000"/>
    <xdr:pic>
      <xdr:nvPicPr>
        <xdr:cNvPr id="3030" name="451fe976-c45c-4eb1-88b8-d372810661f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8cb47bfd44647e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3033</xdr:row>
      <xdr:rowOff>19050</xdr:rowOff>
    </xdr:from>
    <xdr:ext cx="1143000" cy="1143000"/>
    <xdr:pic>
      <xdr:nvPicPr>
        <xdr:cNvPr id="3031" name="ea854010-1e6d-481d-9a70-502da6bf6d4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7371ebdb63c4f7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3034</xdr:row>
      <xdr:rowOff>19050</xdr:rowOff>
    </xdr:from>
    <xdr:ext cx="1143000" cy="1143000"/>
    <xdr:pic>
      <xdr:nvPicPr>
        <xdr:cNvPr id="3032" name="b89197eb-b7d8-46fc-8b82-dafc6e63b1c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2a948ada8a1471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3035</xdr:row>
      <xdr:rowOff>19050</xdr:rowOff>
    </xdr:from>
    <xdr:ext cx="1143000" cy="1143000"/>
    <xdr:pic>
      <xdr:nvPicPr>
        <xdr:cNvPr id="3033" name="c2ddf4bf-0618-42ee-9d7e-b370280a322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38c1adb8f6d478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3036</xdr:row>
      <xdr:rowOff>19050</xdr:rowOff>
    </xdr:from>
    <xdr:ext cx="1143000" cy="1143000"/>
    <xdr:pic>
      <xdr:nvPicPr>
        <xdr:cNvPr id="3034" name="b969ac67-28ee-4947-93d3-c2e93aab975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d2ab334c5334d2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3037</xdr:row>
      <xdr:rowOff>19050</xdr:rowOff>
    </xdr:from>
    <xdr:ext cx="1143000" cy="1143000"/>
    <xdr:pic>
      <xdr:nvPicPr>
        <xdr:cNvPr id="3035" name="5fb789da-04b0-4888-a808-a963f5f4ad6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8b91ea0997d4a1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3038</xdr:row>
      <xdr:rowOff>19050</xdr:rowOff>
    </xdr:from>
    <xdr:ext cx="1143000" cy="1143000"/>
    <xdr:pic>
      <xdr:nvPicPr>
        <xdr:cNvPr id="3036" name="ccf7fcd8-718a-4a5b-8762-18cd8b1959b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4ed33f4ffa2458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3039</xdr:row>
      <xdr:rowOff>19050</xdr:rowOff>
    </xdr:from>
    <xdr:ext cx="1143000" cy="1143000"/>
    <xdr:pic>
      <xdr:nvPicPr>
        <xdr:cNvPr id="3037" name="9677b61d-58eb-4e04-b20f-0bcaddd8b57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0c7c1a94519475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3040</xdr:row>
      <xdr:rowOff>19050</xdr:rowOff>
    </xdr:from>
    <xdr:ext cx="1143000" cy="1143000"/>
    <xdr:pic>
      <xdr:nvPicPr>
        <xdr:cNvPr id="3038" name="de798716-f5f4-4eea-b8f6-5f1d55802aa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fecca19b8c1474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3041</xdr:row>
      <xdr:rowOff>19050</xdr:rowOff>
    </xdr:from>
    <xdr:ext cx="1143000" cy="1143000"/>
    <xdr:pic>
      <xdr:nvPicPr>
        <xdr:cNvPr id="3039" name="42aa8ea6-45c6-484f-975c-3d3f7811244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d7af187a01c421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3042</xdr:row>
      <xdr:rowOff>19050</xdr:rowOff>
    </xdr:from>
    <xdr:ext cx="1143000" cy="1143000"/>
    <xdr:pic>
      <xdr:nvPicPr>
        <xdr:cNvPr id="3040" name="fe2c6d3d-5543-45d5-bb3d-f0b3dab63f7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3d5a4605dae42e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3043</xdr:row>
      <xdr:rowOff>19050</xdr:rowOff>
    </xdr:from>
    <xdr:ext cx="1143000" cy="1143000"/>
    <xdr:pic>
      <xdr:nvPicPr>
        <xdr:cNvPr id="3041" name="5d6ebfd1-683c-4b9b-aaa3-5be7ac5ab54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14076549b34432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3044</xdr:row>
      <xdr:rowOff>19050</xdr:rowOff>
    </xdr:from>
    <xdr:ext cx="1143000" cy="1143000"/>
    <xdr:pic>
      <xdr:nvPicPr>
        <xdr:cNvPr id="3042" name="3a9a5c41-851f-48ad-a995-c87d99c2afc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5055842c62149a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3045</xdr:row>
      <xdr:rowOff>19050</xdr:rowOff>
    </xdr:from>
    <xdr:ext cx="1143000" cy="1143000"/>
    <xdr:pic>
      <xdr:nvPicPr>
        <xdr:cNvPr id="3043" name="ec3739e3-1cce-4bce-907e-ab4c2e7b3ac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629ea7fac2e41b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3046</xdr:row>
      <xdr:rowOff>19050</xdr:rowOff>
    </xdr:from>
    <xdr:ext cx="1143000" cy="1143000"/>
    <xdr:pic>
      <xdr:nvPicPr>
        <xdr:cNvPr id="3044" name="18f0f401-7259-4460-baf6-87cb03e5b23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55334917955490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3047</xdr:row>
      <xdr:rowOff>19050</xdr:rowOff>
    </xdr:from>
    <xdr:ext cx="1143000" cy="1143000"/>
    <xdr:pic>
      <xdr:nvPicPr>
        <xdr:cNvPr id="3045" name="05d0ac3e-e2c4-4d69-a194-9e8eb307274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fd267dd6642476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3048</xdr:row>
      <xdr:rowOff>19050</xdr:rowOff>
    </xdr:from>
    <xdr:ext cx="1143000" cy="1143000"/>
    <xdr:pic>
      <xdr:nvPicPr>
        <xdr:cNvPr id="3046" name="7208d9ec-5f17-4af6-ab47-e8e1cebf3b0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d11005ed8504dd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3049</xdr:row>
      <xdr:rowOff>19050</xdr:rowOff>
    </xdr:from>
    <xdr:ext cx="1143000" cy="1143000"/>
    <xdr:pic>
      <xdr:nvPicPr>
        <xdr:cNvPr id="3047" name="0d5e04b4-d363-4f94-9960-a2cfd10c9be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0c06e41afea496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3050</xdr:row>
      <xdr:rowOff>19050</xdr:rowOff>
    </xdr:from>
    <xdr:ext cx="1143000" cy="1143000"/>
    <xdr:pic>
      <xdr:nvPicPr>
        <xdr:cNvPr id="3048" name="904f35bd-b3b9-433e-bab3-c29597c219e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1ec1573419f434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3051</xdr:row>
      <xdr:rowOff>19050</xdr:rowOff>
    </xdr:from>
    <xdr:ext cx="1143000" cy="1143000"/>
    <xdr:pic>
      <xdr:nvPicPr>
        <xdr:cNvPr id="3049" name="99c37fb0-a814-48fc-bdd9-6b6027f155f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8e76289588248c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3052</xdr:row>
      <xdr:rowOff>19050</xdr:rowOff>
    </xdr:from>
    <xdr:ext cx="1143000" cy="1143000"/>
    <xdr:pic>
      <xdr:nvPicPr>
        <xdr:cNvPr id="3050" name="d912168b-7cb4-4580-bda2-9b1ed48a181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bd76c2b02b8493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3053</xdr:row>
      <xdr:rowOff>19050</xdr:rowOff>
    </xdr:from>
    <xdr:ext cx="1143000" cy="1143000"/>
    <xdr:pic>
      <xdr:nvPicPr>
        <xdr:cNvPr id="3051" name="f6cbb014-94e5-4d2f-83be-55876401819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40715dcd7a949b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3054</xdr:row>
      <xdr:rowOff>19050</xdr:rowOff>
    </xdr:from>
    <xdr:ext cx="1143000" cy="1143000"/>
    <xdr:pic>
      <xdr:nvPicPr>
        <xdr:cNvPr id="3052" name="66325214-ec5a-498d-ab6d-c65b4d8643b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3bea6266bd04f1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3055</xdr:row>
      <xdr:rowOff>19050</xdr:rowOff>
    </xdr:from>
    <xdr:ext cx="1143000" cy="1143000"/>
    <xdr:pic>
      <xdr:nvPicPr>
        <xdr:cNvPr id="3053" name="50a98d73-a705-4ea7-9ad9-639874578b9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ce6f4c1e14b48b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3056</xdr:row>
      <xdr:rowOff>19050</xdr:rowOff>
    </xdr:from>
    <xdr:ext cx="1143000" cy="1143000"/>
    <xdr:pic>
      <xdr:nvPicPr>
        <xdr:cNvPr id="3054" name="43d55d93-0885-40f2-baa5-b0f94696ffa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ed9bbfb2bf5453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3057</xdr:row>
      <xdr:rowOff>19050</xdr:rowOff>
    </xdr:from>
    <xdr:ext cx="1143000" cy="1143000"/>
    <xdr:pic>
      <xdr:nvPicPr>
        <xdr:cNvPr id="3055" name="fa98d333-a7b8-4653-83ad-0874a57655a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43cbb278d084fd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3058</xdr:row>
      <xdr:rowOff>19050</xdr:rowOff>
    </xdr:from>
    <xdr:ext cx="1143000" cy="1143000"/>
    <xdr:pic>
      <xdr:nvPicPr>
        <xdr:cNvPr id="3056" name="edd9b600-594c-4ac5-887f-a0ded2d1c61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283215b61384cc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3059</xdr:row>
      <xdr:rowOff>19050</xdr:rowOff>
    </xdr:from>
    <xdr:ext cx="1143000" cy="1143000"/>
    <xdr:pic>
      <xdr:nvPicPr>
        <xdr:cNvPr id="3057" name="1d019446-37c8-49b7-aaea-41ce73da2a9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1075737f872448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3060</xdr:row>
      <xdr:rowOff>19050</xdr:rowOff>
    </xdr:from>
    <xdr:ext cx="1143000" cy="1143000"/>
    <xdr:pic>
      <xdr:nvPicPr>
        <xdr:cNvPr id="3058" name="2bc934dd-4800-4ddc-9f9d-6cf29dd0f64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84ce7aa125940a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3061</xdr:row>
      <xdr:rowOff>19050</xdr:rowOff>
    </xdr:from>
    <xdr:ext cx="1143000" cy="1143000"/>
    <xdr:pic>
      <xdr:nvPicPr>
        <xdr:cNvPr id="3059" name="beb67e71-0ace-4c3d-a6d3-25c7640fa42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646e601e99d425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3062</xdr:row>
      <xdr:rowOff>19050</xdr:rowOff>
    </xdr:from>
    <xdr:ext cx="1143000" cy="1143000"/>
    <xdr:pic>
      <xdr:nvPicPr>
        <xdr:cNvPr id="3060" name="4413e87c-2714-40a7-a8bc-afec9eb2285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e3901dfa0ba4fe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3063</xdr:row>
      <xdr:rowOff>19050</xdr:rowOff>
    </xdr:from>
    <xdr:ext cx="1143000" cy="1143000"/>
    <xdr:pic>
      <xdr:nvPicPr>
        <xdr:cNvPr id="3061" name="8968c811-2f12-40b9-99a7-eab03e74994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591353aa9974f7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3064</xdr:row>
      <xdr:rowOff>19050</xdr:rowOff>
    </xdr:from>
    <xdr:ext cx="1143000" cy="1143000"/>
    <xdr:pic>
      <xdr:nvPicPr>
        <xdr:cNvPr id="3062" name="6d93270d-4f5d-408e-af6e-933e64a5dda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776f307e34d452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3065</xdr:row>
      <xdr:rowOff>19050</xdr:rowOff>
    </xdr:from>
    <xdr:ext cx="1143000" cy="1143000"/>
    <xdr:pic>
      <xdr:nvPicPr>
        <xdr:cNvPr id="3063" name="19179fa0-c94e-4681-99f7-29b81991cfd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689a6df78974af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3066</xdr:row>
      <xdr:rowOff>19050</xdr:rowOff>
    </xdr:from>
    <xdr:ext cx="1143000" cy="1143000"/>
    <xdr:pic>
      <xdr:nvPicPr>
        <xdr:cNvPr id="3064" name="c2388f99-8c1b-4992-b3e9-8913886bd9b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341d80507964e0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3067</xdr:row>
      <xdr:rowOff>19050</xdr:rowOff>
    </xdr:from>
    <xdr:ext cx="1143000" cy="1143000"/>
    <xdr:pic>
      <xdr:nvPicPr>
        <xdr:cNvPr id="3065" name="42916fd0-f49c-4724-8d83-dc553e614c3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33cf711a7f6454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3068</xdr:row>
      <xdr:rowOff>19050</xdr:rowOff>
    </xdr:from>
    <xdr:ext cx="1143000" cy="1143000"/>
    <xdr:pic>
      <xdr:nvPicPr>
        <xdr:cNvPr id="3066" name="d14ad8e7-17fe-4ee7-9d48-236708253fe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51a97114a45406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3069</xdr:row>
      <xdr:rowOff>19050</xdr:rowOff>
    </xdr:from>
    <xdr:ext cx="1143000" cy="1143000"/>
    <xdr:pic>
      <xdr:nvPicPr>
        <xdr:cNvPr id="3067" name="f37bfd18-a680-4220-bb0e-cd142b8cd7b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9103396e54842e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3070</xdr:row>
      <xdr:rowOff>19050</xdr:rowOff>
    </xdr:from>
    <xdr:ext cx="1143000" cy="1143000"/>
    <xdr:pic>
      <xdr:nvPicPr>
        <xdr:cNvPr id="3068" name="3ba1e859-281c-4a2b-b24c-78639bee17b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e23cd20a5304f9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3071</xdr:row>
      <xdr:rowOff>19050</xdr:rowOff>
    </xdr:from>
    <xdr:ext cx="1143000" cy="1143000"/>
    <xdr:pic>
      <xdr:nvPicPr>
        <xdr:cNvPr id="3069" name="7dbb63c8-67b5-4fa9-9f70-4810abba87b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b82bd331d5045a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3072</xdr:row>
      <xdr:rowOff>19050</xdr:rowOff>
    </xdr:from>
    <xdr:ext cx="1143000" cy="1143000"/>
    <xdr:pic>
      <xdr:nvPicPr>
        <xdr:cNvPr id="3070" name="265b31ea-f90b-42c1-bffc-50b1db42206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6c8e69b51f54bc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3073</xdr:row>
      <xdr:rowOff>19050</xdr:rowOff>
    </xdr:from>
    <xdr:ext cx="1143000" cy="1143000"/>
    <xdr:pic>
      <xdr:nvPicPr>
        <xdr:cNvPr id="3071" name="19937c2d-e350-46e9-b4ba-a58830a89fa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081aaeeb53a482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3074</xdr:row>
      <xdr:rowOff>19050</xdr:rowOff>
    </xdr:from>
    <xdr:ext cx="1143000" cy="1143000"/>
    <xdr:pic>
      <xdr:nvPicPr>
        <xdr:cNvPr id="3072" name="fc79d5f7-cbf1-45d0-bb34-1aad9e56373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47aadf82f4f42f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3075</xdr:row>
      <xdr:rowOff>19050</xdr:rowOff>
    </xdr:from>
    <xdr:ext cx="1143000" cy="1143000"/>
    <xdr:pic>
      <xdr:nvPicPr>
        <xdr:cNvPr id="3073" name="222aa188-b39c-4e21-836d-f41cd460d00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1fdaf2c19dd401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3076</xdr:row>
      <xdr:rowOff>19050</xdr:rowOff>
    </xdr:from>
    <xdr:ext cx="1143000" cy="1143000"/>
    <xdr:pic>
      <xdr:nvPicPr>
        <xdr:cNvPr id="3074" name="154d0d7b-84e7-468e-96bc-dd7769042a1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dcf2483e668444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3077</xdr:row>
      <xdr:rowOff>19050</xdr:rowOff>
    </xdr:from>
    <xdr:ext cx="1143000" cy="1143000"/>
    <xdr:pic>
      <xdr:nvPicPr>
        <xdr:cNvPr id="3075" name="39454d90-13a3-40e1-9d54-cde4b79ff23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341d9550760462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3078</xdr:row>
      <xdr:rowOff>19050</xdr:rowOff>
    </xdr:from>
    <xdr:ext cx="1143000" cy="1143000"/>
    <xdr:pic>
      <xdr:nvPicPr>
        <xdr:cNvPr id="3076" name="4299d8d5-a96e-4d12-a7be-bcb55b89901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a5d28622ae944b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3079</xdr:row>
      <xdr:rowOff>19050</xdr:rowOff>
    </xdr:from>
    <xdr:ext cx="1143000" cy="1143000"/>
    <xdr:pic>
      <xdr:nvPicPr>
        <xdr:cNvPr id="3077" name="c9b73437-d33d-446c-93d9-a9b297895d3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11659181539439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3080</xdr:row>
      <xdr:rowOff>19050</xdr:rowOff>
    </xdr:from>
    <xdr:ext cx="1143000" cy="1143000"/>
    <xdr:pic>
      <xdr:nvPicPr>
        <xdr:cNvPr id="3078" name="6f16961d-f50d-4330-a8f9-f226b3b9872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8f9a360ceba414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3081</xdr:row>
      <xdr:rowOff>19050</xdr:rowOff>
    </xdr:from>
    <xdr:ext cx="1143000" cy="1143000"/>
    <xdr:pic>
      <xdr:nvPicPr>
        <xdr:cNvPr id="3079" name="9e880cdf-8908-4396-a00d-6f2f8783c15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9023d988965486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3082</xdr:row>
      <xdr:rowOff>19050</xdr:rowOff>
    </xdr:from>
    <xdr:ext cx="1143000" cy="1143000"/>
    <xdr:pic>
      <xdr:nvPicPr>
        <xdr:cNvPr id="3080" name="7690eb61-08da-4911-9562-26e5395e558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5a1f9480155465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3083</xdr:row>
      <xdr:rowOff>19050</xdr:rowOff>
    </xdr:from>
    <xdr:ext cx="1143000" cy="1143000"/>
    <xdr:pic>
      <xdr:nvPicPr>
        <xdr:cNvPr id="3081" name="20f4683a-8dde-4163-a8a8-4b601925306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021b831b1bb457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3084</xdr:row>
      <xdr:rowOff>19050</xdr:rowOff>
    </xdr:from>
    <xdr:ext cx="1143000" cy="1143000"/>
    <xdr:pic>
      <xdr:nvPicPr>
        <xdr:cNvPr id="3082" name="3a8d74e5-142d-4aeb-8685-8e6434d3c66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293a675a0854ce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3085</xdr:row>
      <xdr:rowOff>19050</xdr:rowOff>
    </xdr:from>
    <xdr:ext cx="1143000" cy="1143000"/>
    <xdr:pic>
      <xdr:nvPicPr>
        <xdr:cNvPr id="3083" name="278891cd-31e9-46a4-be81-dc5d236ed36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3c7d9a9cf1f415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3086</xdr:row>
      <xdr:rowOff>19050</xdr:rowOff>
    </xdr:from>
    <xdr:ext cx="1143000" cy="1143000"/>
    <xdr:pic>
      <xdr:nvPicPr>
        <xdr:cNvPr id="3084" name="188a2514-4684-49cc-83c5-d8f5239efb1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8d591edaaf6425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3087</xdr:row>
      <xdr:rowOff>19050</xdr:rowOff>
    </xdr:from>
    <xdr:ext cx="1143000" cy="1143000"/>
    <xdr:pic>
      <xdr:nvPicPr>
        <xdr:cNvPr id="3085" name="ad90d95c-8040-4fa8-8275-3db23296a44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d379a870333402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3088</xdr:row>
      <xdr:rowOff>19050</xdr:rowOff>
    </xdr:from>
    <xdr:ext cx="1143000" cy="1143000"/>
    <xdr:pic>
      <xdr:nvPicPr>
        <xdr:cNvPr id="3086" name="bf6afc3d-ac78-4c9c-904c-2dc370cb8be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bcca7b7630741b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3089</xdr:row>
      <xdr:rowOff>19050</xdr:rowOff>
    </xdr:from>
    <xdr:ext cx="1143000" cy="1143000"/>
    <xdr:pic>
      <xdr:nvPicPr>
        <xdr:cNvPr id="3087" name="ec8fb0af-ea64-4374-8d01-9a7b50537fa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5519e8f6c2c434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3090</xdr:row>
      <xdr:rowOff>19050</xdr:rowOff>
    </xdr:from>
    <xdr:ext cx="1143000" cy="1143000"/>
    <xdr:pic>
      <xdr:nvPicPr>
        <xdr:cNvPr id="3088" name="98c14e7a-681e-4f55-a324-c5436d511bf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b20fe79cd2042b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3091</xdr:row>
      <xdr:rowOff>19050</xdr:rowOff>
    </xdr:from>
    <xdr:ext cx="1143000" cy="1143000"/>
    <xdr:pic>
      <xdr:nvPicPr>
        <xdr:cNvPr id="3089" name="8290104b-ff2d-4163-9e20-1aa1d9d29ec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5de0cc9e19b4f5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3092</xdr:row>
      <xdr:rowOff>19050</xdr:rowOff>
    </xdr:from>
    <xdr:ext cx="1143000" cy="1143000"/>
    <xdr:pic>
      <xdr:nvPicPr>
        <xdr:cNvPr id="3090" name="e8ef546f-b9f4-4fa5-93dd-992de5dcb5c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db12801705c4ee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3093</xdr:row>
      <xdr:rowOff>19050</xdr:rowOff>
    </xdr:from>
    <xdr:ext cx="1143000" cy="1143000"/>
    <xdr:pic>
      <xdr:nvPicPr>
        <xdr:cNvPr id="3091" name="b25b1b21-6d67-4edf-8e58-b73c401b444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bf553f565d84b0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3094</xdr:row>
      <xdr:rowOff>19050</xdr:rowOff>
    </xdr:from>
    <xdr:ext cx="1143000" cy="1143000"/>
    <xdr:pic>
      <xdr:nvPicPr>
        <xdr:cNvPr id="3092" name="aa14283e-5432-48d3-8da2-4e41323753d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34a9c6869124e7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3095</xdr:row>
      <xdr:rowOff>19050</xdr:rowOff>
    </xdr:from>
    <xdr:ext cx="1143000" cy="1143000"/>
    <xdr:pic>
      <xdr:nvPicPr>
        <xdr:cNvPr id="3093" name="8e439027-48b7-45c5-aa8c-fa7917e9e97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b02e5597ae7445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3096</xdr:row>
      <xdr:rowOff>19050</xdr:rowOff>
    </xdr:from>
    <xdr:ext cx="1143000" cy="1143000"/>
    <xdr:pic>
      <xdr:nvPicPr>
        <xdr:cNvPr id="3094" name="fe59e303-37a4-41de-99b5-82b14389c47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cdd08216d6146e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3097</xdr:row>
      <xdr:rowOff>19050</xdr:rowOff>
    </xdr:from>
    <xdr:ext cx="1143000" cy="1143000"/>
    <xdr:pic>
      <xdr:nvPicPr>
        <xdr:cNvPr id="3095" name="24e22d9d-4d5d-44d4-9e89-52ead627b1b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0038469b46b4e3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3098</xdr:row>
      <xdr:rowOff>19050</xdr:rowOff>
    </xdr:from>
    <xdr:ext cx="1143000" cy="1143000"/>
    <xdr:pic>
      <xdr:nvPicPr>
        <xdr:cNvPr id="3096" name="0bdd9057-7bb5-489e-a696-054a962c425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3319ebc85e0402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3099</xdr:row>
      <xdr:rowOff>19050</xdr:rowOff>
    </xdr:from>
    <xdr:ext cx="1143000" cy="1143000"/>
    <xdr:pic>
      <xdr:nvPicPr>
        <xdr:cNvPr id="3097" name="405d900b-8193-4335-b29a-7b2bfc92c4c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ace563b75dc4d2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3100</xdr:row>
      <xdr:rowOff>19050</xdr:rowOff>
    </xdr:from>
    <xdr:ext cx="1143000" cy="1143000"/>
    <xdr:pic>
      <xdr:nvPicPr>
        <xdr:cNvPr id="3098" name="5bdf7883-debd-40e5-a0ef-5cd3e61fc02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d51df69e7934b1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3101</xdr:row>
      <xdr:rowOff>19050</xdr:rowOff>
    </xdr:from>
    <xdr:ext cx="1143000" cy="1143000"/>
    <xdr:pic>
      <xdr:nvPicPr>
        <xdr:cNvPr id="3099" name="5ad57d81-9c29-44cd-ab20-05731290cd5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b012160d5c74e4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3102</xdr:row>
      <xdr:rowOff>19050</xdr:rowOff>
    </xdr:from>
    <xdr:ext cx="1143000" cy="1143000"/>
    <xdr:pic>
      <xdr:nvPicPr>
        <xdr:cNvPr id="3100" name="22abe2e1-9687-4e71-92c3-054cab211fe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2b0061cf5524e0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3103</xdr:row>
      <xdr:rowOff>19050</xdr:rowOff>
    </xdr:from>
    <xdr:ext cx="1143000" cy="1143000"/>
    <xdr:pic>
      <xdr:nvPicPr>
        <xdr:cNvPr id="3101" name="d6c9bf05-da8c-4c47-8a49-a63d80adb92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0391b9e1046427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3104</xdr:row>
      <xdr:rowOff>19050</xdr:rowOff>
    </xdr:from>
    <xdr:ext cx="1143000" cy="1143000"/>
    <xdr:pic>
      <xdr:nvPicPr>
        <xdr:cNvPr id="3102" name="a8cc83bd-da92-43c6-b50a-3541e639a81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00700335c1a4ce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3105</xdr:row>
      <xdr:rowOff>19050</xdr:rowOff>
    </xdr:from>
    <xdr:ext cx="1143000" cy="1143000"/>
    <xdr:pic>
      <xdr:nvPicPr>
        <xdr:cNvPr id="3103" name="1ee106aa-31f3-4240-ade9-52a31625e3d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c9a552da1b24b2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3106</xdr:row>
      <xdr:rowOff>19050</xdr:rowOff>
    </xdr:from>
    <xdr:ext cx="1143000" cy="1143000"/>
    <xdr:pic>
      <xdr:nvPicPr>
        <xdr:cNvPr id="3104" name="d3fc66c5-cc0e-4127-8fac-700abb5b7ea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8bb460f549040a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3107</xdr:row>
      <xdr:rowOff>19050</xdr:rowOff>
    </xdr:from>
    <xdr:ext cx="1143000" cy="1143000"/>
    <xdr:pic>
      <xdr:nvPicPr>
        <xdr:cNvPr id="3105" name="9f25270e-74ea-4691-8871-5145fce27e1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46e3563a5fd4aa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3108</xdr:row>
      <xdr:rowOff>19050</xdr:rowOff>
    </xdr:from>
    <xdr:ext cx="1143000" cy="1143000"/>
    <xdr:pic>
      <xdr:nvPicPr>
        <xdr:cNvPr id="3106" name="897017db-a145-499d-9602-851fa2beeb4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423728843414c7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3109</xdr:row>
      <xdr:rowOff>19050</xdr:rowOff>
    </xdr:from>
    <xdr:ext cx="1143000" cy="1143000"/>
    <xdr:pic>
      <xdr:nvPicPr>
        <xdr:cNvPr id="3107" name="d16c1348-7f23-4178-93d4-930085756c3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c089497c8354e6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3110</xdr:row>
      <xdr:rowOff>19050</xdr:rowOff>
    </xdr:from>
    <xdr:ext cx="1143000" cy="1143000"/>
    <xdr:pic>
      <xdr:nvPicPr>
        <xdr:cNvPr id="3108" name="d71a9f2e-5a8d-4a5e-8358-00368f0b141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f7a436369fd4f9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3111</xdr:row>
      <xdr:rowOff>19050</xdr:rowOff>
    </xdr:from>
    <xdr:ext cx="1143000" cy="1143000"/>
    <xdr:pic>
      <xdr:nvPicPr>
        <xdr:cNvPr id="3109" name="788e879a-1695-4803-9d46-9aa8734bfe5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aed3da1d7714c3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3112</xdr:row>
      <xdr:rowOff>19050</xdr:rowOff>
    </xdr:from>
    <xdr:ext cx="1143000" cy="1143000"/>
    <xdr:pic>
      <xdr:nvPicPr>
        <xdr:cNvPr id="3110" name="dbc457a9-6f33-45c8-9ad7-abde39d4434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41cb573e87e4e8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3113</xdr:row>
      <xdr:rowOff>19050</xdr:rowOff>
    </xdr:from>
    <xdr:ext cx="1143000" cy="1143000"/>
    <xdr:pic>
      <xdr:nvPicPr>
        <xdr:cNvPr id="3111" name="1ebc4e60-7abd-46a3-a76a-6f69a68b93b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11ae112d320465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3114</xdr:row>
      <xdr:rowOff>19050</xdr:rowOff>
    </xdr:from>
    <xdr:ext cx="1143000" cy="1143000"/>
    <xdr:pic>
      <xdr:nvPicPr>
        <xdr:cNvPr id="3112" name="d8c2aaf0-1df6-450d-a2ca-bd749eff02e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92bcf83feac472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3115</xdr:row>
      <xdr:rowOff>19050</xdr:rowOff>
    </xdr:from>
    <xdr:ext cx="1143000" cy="1143000"/>
    <xdr:pic>
      <xdr:nvPicPr>
        <xdr:cNvPr id="3113" name="3bde9746-3e86-4448-98a2-a0d3c444844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eeef83b659f4b8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3116</xdr:row>
      <xdr:rowOff>19050</xdr:rowOff>
    </xdr:from>
    <xdr:ext cx="1143000" cy="1143000"/>
    <xdr:pic>
      <xdr:nvPicPr>
        <xdr:cNvPr id="3114" name="4ff07811-9038-48a0-9858-b4390f5d1f4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81ed19b3d2a4c4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3117</xdr:row>
      <xdr:rowOff>19050</xdr:rowOff>
    </xdr:from>
    <xdr:ext cx="1143000" cy="1143000"/>
    <xdr:pic>
      <xdr:nvPicPr>
        <xdr:cNvPr id="3115" name="0b9f04f4-30d8-44a1-8d79-d39f5efb555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36750cf1a2b46d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3118</xdr:row>
      <xdr:rowOff>19050</xdr:rowOff>
    </xdr:from>
    <xdr:ext cx="1143000" cy="1143000"/>
    <xdr:pic>
      <xdr:nvPicPr>
        <xdr:cNvPr id="3116" name="1aa4d228-c4d0-4c36-8ac7-7da3d758b0c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df29e89e0ca41c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3119</xdr:row>
      <xdr:rowOff>19050</xdr:rowOff>
    </xdr:from>
    <xdr:ext cx="1143000" cy="1143000"/>
    <xdr:pic>
      <xdr:nvPicPr>
        <xdr:cNvPr id="3117" name="f40d83df-b0d5-445e-baad-4501cba4b43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3f7ceb42ff843b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3120</xdr:row>
      <xdr:rowOff>19050</xdr:rowOff>
    </xdr:from>
    <xdr:ext cx="1143000" cy="1143000"/>
    <xdr:pic>
      <xdr:nvPicPr>
        <xdr:cNvPr id="3118" name="d2408a89-b171-4d6b-a52f-51402ea78eb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a219d7eccde4d6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3121</xdr:row>
      <xdr:rowOff>19050</xdr:rowOff>
    </xdr:from>
    <xdr:ext cx="1143000" cy="1143000"/>
    <xdr:pic>
      <xdr:nvPicPr>
        <xdr:cNvPr id="3119" name="cd329957-3535-4bfa-acc3-a82edbc6d24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72bff163089424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3122</xdr:row>
      <xdr:rowOff>19050</xdr:rowOff>
    </xdr:from>
    <xdr:ext cx="1143000" cy="1143000"/>
    <xdr:pic>
      <xdr:nvPicPr>
        <xdr:cNvPr id="3120" name="6df96465-9075-4d89-a515-120ae8e2ab9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2267b7819ff454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3123</xdr:row>
      <xdr:rowOff>19050</xdr:rowOff>
    </xdr:from>
    <xdr:ext cx="1143000" cy="1143000"/>
    <xdr:pic>
      <xdr:nvPicPr>
        <xdr:cNvPr id="3121" name="11325254-1fbb-4f01-ba60-4f3e6d1fb4c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ef07f8a47d840a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3124</xdr:row>
      <xdr:rowOff>19050</xdr:rowOff>
    </xdr:from>
    <xdr:ext cx="1143000" cy="1143000"/>
    <xdr:pic>
      <xdr:nvPicPr>
        <xdr:cNvPr id="3122" name="62c61157-69a0-4106-88bf-da48e1545b3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b0b2ad1899f43a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3125</xdr:row>
      <xdr:rowOff>19050</xdr:rowOff>
    </xdr:from>
    <xdr:ext cx="1143000" cy="1143000"/>
    <xdr:pic>
      <xdr:nvPicPr>
        <xdr:cNvPr id="3123" name="844baaaa-9aa5-4258-b312-4817c704f42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7fb41c14a754d5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3126</xdr:row>
      <xdr:rowOff>19050</xdr:rowOff>
    </xdr:from>
    <xdr:ext cx="1143000" cy="1143000"/>
    <xdr:pic>
      <xdr:nvPicPr>
        <xdr:cNvPr id="3124" name="8edcbc0e-2c2b-460d-bb86-edc006b260b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139ba63d5154e4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3127</xdr:row>
      <xdr:rowOff>19050</xdr:rowOff>
    </xdr:from>
    <xdr:ext cx="1143000" cy="1143000"/>
    <xdr:pic>
      <xdr:nvPicPr>
        <xdr:cNvPr id="3125" name="c1905173-920b-4b4d-8f3a-977f6011793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3e1b5f2132b468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3128</xdr:row>
      <xdr:rowOff>19050</xdr:rowOff>
    </xdr:from>
    <xdr:ext cx="1143000" cy="1143000"/>
    <xdr:pic>
      <xdr:nvPicPr>
        <xdr:cNvPr id="3126" name="610c99f4-310e-45c7-83bf-0ad9f6c4e1e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7c51cfc56484f1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3129</xdr:row>
      <xdr:rowOff>19050</xdr:rowOff>
    </xdr:from>
    <xdr:ext cx="1143000" cy="1143000"/>
    <xdr:pic>
      <xdr:nvPicPr>
        <xdr:cNvPr id="3127" name="72fdaaab-564c-42a6-95b3-41576a3a080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0b6b35c5678467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3130</xdr:row>
      <xdr:rowOff>19050</xdr:rowOff>
    </xdr:from>
    <xdr:ext cx="1143000" cy="1143000"/>
    <xdr:pic>
      <xdr:nvPicPr>
        <xdr:cNvPr id="3128" name="5759ec25-3886-4e1d-abb2-785e2056b6b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4292c1d9f52467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3131</xdr:row>
      <xdr:rowOff>19050</xdr:rowOff>
    </xdr:from>
    <xdr:ext cx="1143000" cy="1143000"/>
    <xdr:pic>
      <xdr:nvPicPr>
        <xdr:cNvPr id="3129" name="1d799e8a-8442-47ad-b252-78f07a00c7a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90f51c0c10e499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3132</xdr:row>
      <xdr:rowOff>19050</xdr:rowOff>
    </xdr:from>
    <xdr:ext cx="1143000" cy="1143000"/>
    <xdr:pic>
      <xdr:nvPicPr>
        <xdr:cNvPr id="3130" name="ad9780c3-26bc-4c7b-af02-438debcbd70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ebb2cfbd4a744e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3133</xdr:row>
      <xdr:rowOff>19050</xdr:rowOff>
    </xdr:from>
    <xdr:ext cx="1143000" cy="1143000"/>
    <xdr:pic>
      <xdr:nvPicPr>
        <xdr:cNvPr id="3131" name="4bc5d1b6-22ec-44df-b3c9-3d020cb7871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e9565b673b5429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3134</xdr:row>
      <xdr:rowOff>19050</xdr:rowOff>
    </xdr:from>
    <xdr:ext cx="1143000" cy="1143000"/>
    <xdr:pic>
      <xdr:nvPicPr>
        <xdr:cNvPr id="3132" name="46c5eed1-4ae3-4e3d-b98c-8ac7861699a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897270abdb74c6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3135</xdr:row>
      <xdr:rowOff>19050</xdr:rowOff>
    </xdr:from>
    <xdr:ext cx="1143000" cy="1143000"/>
    <xdr:pic>
      <xdr:nvPicPr>
        <xdr:cNvPr id="3133" name="4a7a8439-cae7-48bc-b9e0-773945e432e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57737f4bf9c44a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3136</xdr:row>
      <xdr:rowOff>19050</xdr:rowOff>
    </xdr:from>
    <xdr:ext cx="1143000" cy="1143000"/>
    <xdr:pic>
      <xdr:nvPicPr>
        <xdr:cNvPr id="3134" name="4a4344f4-286f-458d-b193-ee4f0d0c702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b41c69ebdeb410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3137</xdr:row>
      <xdr:rowOff>19050</xdr:rowOff>
    </xdr:from>
    <xdr:ext cx="1143000" cy="1143000"/>
    <xdr:pic>
      <xdr:nvPicPr>
        <xdr:cNvPr id="3135" name="14f96460-7e8f-42d2-8669-6f220867fe7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c4f8e7aab83484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3138</xdr:row>
      <xdr:rowOff>19050</xdr:rowOff>
    </xdr:from>
    <xdr:ext cx="1143000" cy="1143000"/>
    <xdr:pic>
      <xdr:nvPicPr>
        <xdr:cNvPr id="3136" name="ff0cdb17-ca96-4237-9134-2d6ca30bc80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9b81386807248b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3139</xdr:row>
      <xdr:rowOff>19050</xdr:rowOff>
    </xdr:from>
    <xdr:ext cx="1143000" cy="1143000"/>
    <xdr:pic>
      <xdr:nvPicPr>
        <xdr:cNvPr id="3137" name="d042adb7-296a-488b-885f-79bb1fcd166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45101f252eb404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3140</xdr:row>
      <xdr:rowOff>19050</xdr:rowOff>
    </xdr:from>
    <xdr:ext cx="1143000" cy="1143000"/>
    <xdr:pic>
      <xdr:nvPicPr>
        <xdr:cNvPr id="3138" name="4b5f7fca-6c40-41ac-bf52-dbcc6a4e130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5c8bd3fc32449f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3141</xdr:row>
      <xdr:rowOff>19050</xdr:rowOff>
    </xdr:from>
    <xdr:ext cx="1143000" cy="1143000"/>
    <xdr:pic>
      <xdr:nvPicPr>
        <xdr:cNvPr id="3139" name="fc5c67dc-347f-4de9-bcfc-36d997ddb1d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0cfcfb75efe478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3142</xdr:row>
      <xdr:rowOff>19050</xdr:rowOff>
    </xdr:from>
    <xdr:ext cx="1143000" cy="1143000"/>
    <xdr:pic>
      <xdr:nvPicPr>
        <xdr:cNvPr id="3140" name="8bdc7093-b5eb-4a93-a933-45d4b73b67f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2d76af2436b4e0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3143</xdr:row>
      <xdr:rowOff>19050</xdr:rowOff>
    </xdr:from>
    <xdr:ext cx="1143000" cy="1143000"/>
    <xdr:pic>
      <xdr:nvPicPr>
        <xdr:cNvPr id="3141" name="6c9fb775-2b3f-4100-9df6-86411dd9e27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c9d0432fee0497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3144</xdr:row>
      <xdr:rowOff>19050</xdr:rowOff>
    </xdr:from>
    <xdr:ext cx="1143000" cy="1143000"/>
    <xdr:pic>
      <xdr:nvPicPr>
        <xdr:cNvPr id="3142" name="2b2174c4-dbb6-4353-b639-fd9a328400e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ffe1aa5bbae47e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3145</xdr:row>
      <xdr:rowOff>19050</xdr:rowOff>
    </xdr:from>
    <xdr:ext cx="1143000" cy="1143000"/>
    <xdr:pic>
      <xdr:nvPicPr>
        <xdr:cNvPr id="3143" name="53c6c838-cc82-427e-8442-124aa4d0792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5c034387ddc4a7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3146</xdr:row>
      <xdr:rowOff>19050</xdr:rowOff>
    </xdr:from>
    <xdr:ext cx="1143000" cy="1143000"/>
    <xdr:pic>
      <xdr:nvPicPr>
        <xdr:cNvPr id="3144" name="f366e693-740a-4554-aa2e-46782bdaefb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7a36e7f94364ad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3147</xdr:row>
      <xdr:rowOff>19050</xdr:rowOff>
    </xdr:from>
    <xdr:ext cx="1143000" cy="1143000"/>
    <xdr:pic>
      <xdr:nvPicPr>
        <xdr:cNvPr id="3145" name="bcc954bc-8f6e-43dc-a9a7-f1a12ae9b66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1799909cc6b465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3148</xdr:row>
      <xdr:rowOff>19050</xdr:rowOff>
    </xdr:from>
    <xdr:ext cx="1143000" cy="1143000"/>
    <xdr:pic>
      <xdr:nvPicPr>
        <xdr:cNvPr id="3146" name="334e5184-2309-45b1-be97-8e4b1ca0c99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a5f2634936b482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3149</xdr:row>
      <xdr:rowOff>19050</xdr:rowOff>
    </xdr:from>
    <xdr:ext cx="1143000" cy="1143000"/>
    <xdr:pic>
      <xdr:nvPicPr>
        <xdr:cNvPr id="3147" name="23732f05-8d8e-45ec-8ded-2bbb5f38ea2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41d22bdb17749f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3150</xdr:row>
      <xdr:rowOff>19050</xdr:rowOff>
    </xdr:from>
    <xdr:ext cx="1143000" cy="1143000"/>
    <xdr:pic>
      <xdr:nvPicPr>
        <xdr:cNvPr id="3148" name="f366306e-2231-4e7a-9fe3-414f4e41272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5d4118230c3445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3151</xdr:row>
      <xdr:rowOff>19050</xdr:rowOff>
    </xdr:from>
    <xdr:ext cx="1143000" cy="1143000"/>
    <xdr:pic>
      <xdr:nvPicPr>
        <xdr:cNvPr id="3149" name="eeda31b0-2f11-4a21-b6d8-c5315203b14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15a60780f2a429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3152</xdr:row>
      <xdr:rowOff>19050</xdr:rowOff>
    </xdr:from>
    <xdr:ext cx="1143000" cy="1143000"/>
    <xdr:pic>
      <xdr:nvPicPr>
        <xdr:cNvPr id="3150" name="051610e6-2626-44d8-ab86-3c8ecf7b80d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5d04b7b8307482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3153</xdr:row>
      <xdr:rowOff>19050</xdr:rowOff>
    </xdr:from>
    <xdr:ext cx="1143000" cy="1143000"/>
    <xdr:pic>
      <xdr:nvPicPr>
        <xdr:cNvPr id="3151" name="425df622-db4f-46b9-a95e-c0c14b127d5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ea18d810b1746c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3154</xdr:row>
      <xdr:rowOff>19050</xdr:rowOff>
    </xdr:from>
    <xdr:ext cx="1143000" cy="1143000"/>
    <xdr:pic>
      <xdr:nvPicPr>
        <xdr:cNvPr id="3152" name="d521ecc2-d2f5-437b-becb-0e298ba6b65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be29a8d447f435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3155</xdr:row>
      <xdr:rowOff>19050</xdr:rowOff>
    </xdr:from>
    <xdr:ext cx="1143000" cy="1143000"/>
    <xdr:pic>
      <xdr:nvPicPr>
        <xdr:cNvPr id="3153" name="d47acbd7-8e3f-45dd-a2c8-b0b532ef293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ffe45ce0f50463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3156</xdr:row>
      <xdr:rowOff>19050</xdr:rowOff>
    </xdr:from>
    <xdr:ext cx="1143000" cy="1143000"/>
    <xdr:pic>
      <xdr:nvPicPr>
        <xdr:cNvPr id="3154" name="c50fe3e6-3341-4540-a71b-864025ecee1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37dcbdd3e4544b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3157</xdr:row>
      <xdr:rowOff>19050</xdr:rowOff>
    </xdr:from>
    <xdr:ext cx="1143000" cy="1143000"/>
    <xdr:pic>
      <xdr:nvPicPr>
        <xdr:cNvPr id="3155" name="484266dd-b5d2-44c7-bc3d-6484378ab24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80b0164360e49e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3158</xdr:row>
      <xdr:rowOff>19050</xdr:rowOff>
    </xdr:from>
    <xdr:ext cx="1143000" cy="1143000"/>
    <xdr:pic>
      <xdr:nvPicPr>
        <xdr:cNvPr id="3156" name="a804062b-a33e-47be-bf59-91f36767d35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cb9dfb6bfd04f7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3159</xdr:row>
      <xdr:rowOff>19050</xdr:rowOff>
    </xdr:from>
    <xdr:ext cx="1143000" cy="1143000"/>
    <xdr:pic>
      <xdr:nvPicPr>
        <xdr:cNvPr id="3157" name="2872bf32-b6b7-4f79-9431-e913312d1d6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fa011c5e782486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3160</xdr:row>
      <xdr:rowOff>19050</xdr:rowOff>
    </xdr:from>
    <xdr:ext cx="1143000" cy="1143000"/>
    <xdr:pic>
      <xdr:nvPicPr>
        <xdr:cNvPr id="3158" name="f6d73b6d-c563-408b-a971-f71973354b6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13a12c967324e4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3161</xdr:row>
      <xdr:rowOff>19050</xdr:rowOff>
    </xdr:from>
    <xdr:ext cx="1143000" cy="1143000"/>
    <xdr:pic>
      <xdr:nvPicPr>
        <xdr:cNvPr id="3159" name="c0155656-c498-4adb-ae8a-ebf1d89ce63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d885acd6dc345b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3162</xdr:row>
      <xdr:rowOff>19050</xdr:rowOff>
    </xdr:from>
    <xdr:ext cx="1143000" cy="1143000"/>
    <xdr:pic>
      <xdr:nvPicPr>
        <xdr:cNvPr id="3160" name="412c42d0-c2af-4fbc-8f6b-327609ef2b7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1568e3d900f40f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3163</xdr:row>
      <xdr:rowOff>19050</xdr:rowOff>
    </xdr:from>
    <xdr:ext cx="1143000" cy="1143000"/>
    <xdr:pic>
      <xdr:nvPicPr>
        <xdr:cNvPr id="3161" name="8ba98180-cbc3-415c-bb2c-65d5c6710fc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5411dbc673349c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3164</xdr:row>
      <xdr:rowOff>19050</xdr:rowOff>
    </xdr:from>
    <xdr:ext cx="1143000" cy="1143000"/>
    <xdr:pic>
      <xdr:nvPicPr>
        <xdr:cNvPr id="3162" name="8d8c3e59-ac15-4fcf-950c-392e4667be2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13b1e2fc51e40b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3165</xdr:row>
      <xdr:rowOff>19050</xdr:rowOff>
    </xdr:from>
    <xdr:ext cx="1143000" cy="1143000"/>
    <xdr:pic>
      <xdr:nvPicPr>
        <xdr:cNvPr id="3163" name="c0c0c67f-aa0d-44fd-aec2-1184deef8d5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d2c1e93944540c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3166</xdr:row>
      <xdr:rowOff>19050</xdr:rowOff>
    </xdr:from>
    <xdr:ext cx="1143000" cy="1143000"/>
    <xdr:pic>
      <xdr:nvPicPr>
        <xdr:cNvPr id="3164" name="484ca7ea-b108-4b89-bdea-89a4adcbc2f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b7d877a9cc04e6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3167</xdr:row>
      <xdr:rowOff>19050</xdr:rowOff>
    </xdr:from>
    <xdr:ext cx="1143000" cy="1143000"/>
    <xdr:pic>
      <xdr:nvPicPr>
        <xdr:cNvPr id="3165" name="4bf6efd0-12b9-4504-bf6b-f39855c69cb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b58a0e35724420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3168</xdr:row>
      <xdr:rowOff>19050</xdr:rowOff>
    </xdr:from>
    <xdr:ext cx="1143000" cy="1143000"/>
    <xdr:pic>
      <xdr:nvPicPr>
        <xdr:cNvPr id="3166" name="8f0be31a-0f6e-44a3-ac5a-52584d9fe18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22f2fdfec30449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3169</xdr:row>
      <xdr:rowOff>19050</xdr:rowOff>
    </xdr:from>
    <xdr:ext cx="1143000" cy="1143000"/>
    <xdr:pic>
      <xdr:nvPicPr>
        <xdr:cNvPr id="3167" name="70c1384b-aab7-445d-aab0-3f2cdd3be3f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4828227079f48b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3170</xdr:row>
      <xdr:rowOff>19050</xdr:rowOff>
    </xdr:from>
    <xdr:ext cx="1143000" cy="1143000"/>
    <xdr:pic>
      <xdr:nvPicPr>
        <xdr:cNvPr id="3168" name="8dd3cc05-d6cc-4f81-8958-c8d3c432ea1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c86866b4b224fc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3171</xdr:row>
      <xdr:rowOff>19050</xdr:rowOff>
    </xdr:from>
    <xdr:ext cx="1143000" cy="1143000"/>
    <xdr:pic>
      <xdr:nvPicPr>
        <xdr:cNvPr id="3169" name="12d1c63c-b930-44a1-af0a-4f33122bb22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ba6b4c128054ec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3172</xdr:row>
      <xdr:rowOff>19050</xdr:rowOff>
    </xdr:from>
    <xdr:ext cx="1143000" cy="1143000"/>
    <xdr:pic>
      <xdr:nvPicPr>
        <xdr:cNvPr id="3170" name="2a7c50ad-c007-4bfc-bf48-e799b2e108a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6c600a23e1f4c8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3173</xdr:row>
      <xdr:rowOff>19050</xdr:rowOff>
    </xdr:from>
    <xdr:ext cx="1143000" cy="1143000"/>
    <xdr:pic>
      <xdr:nvPicPr>
        <xdr:cNvPr id="3171" name="d76cbd69-f071-43dc-b4e4-300c9d44410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5711fe1f58b46a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3174</xdr:row>
      <xdr:rowOff>19050</xdr:rowOff>
    </xdr:from>
    <xdr:ext cx="1143000" cy="1143000"/>
    <xdr:pic>
      <xdr:nvPicPr>
        <xdr:cNvPr id="3172" name="d1951bac-4713-4d1f-802f-da77d62f507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4f2514d03164a3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3175</xdr:row>
      <xdr:rowOff>19050</xdr:rowOff>
    </xdr:from>
    <xdr:ext cx="1143000" cy="1143000"/>
    <xdr:pic>
      <xdr:nvPicPr>
        <xdr:cNvPr id="3173" name="dbe0eb51-b4b5-481f-adfc-91323a75c50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ebc7f2467bb4a0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3176</xdr:row>
      <xdr:rowOff>19050</xdr:rowOff>
    </xdr:from>
    <xdr:ext cx="1143000" cy="1143000"/>
    <xdr:pic>
      <xdr:nvPicPr>
        <xdr:cNvPr id="3174" name="67ab0809-a88c-4560-924f-9357d097430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55e7473ce914e5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3177</xdr:row>
      <xdr:rowOff>19050</xdr:rowOff>
    </xdr:from>
    <xdr:ext cx="1143000" cy="1143000"/>
    <xdr:pic>
      <xdr:nvPicPr>
        <xdr:cNvPr id="3175" name="1493612f-7ba5-48e4-ae9a-131cc810d8c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6e0cd0028a44c2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3178</xdr:row>
      <xdr:rowOff>19050</xdr:rowOff>
    </xdr:from>
    <xdr:ext cx="1143000" cy="1143000"/>
    <xdr:pic>
      <xdr:nvPicPr>
        <xdr:cNvPr id="3176" name="5a53b686-5df5-415c-9526-efaa6438f4e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42ec001f653480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3179</xdr:row>
      <xdr:rowOff>19050</xdr:rowOff>
    </xdr:from>
    <xdr:ext cx="1143000" cy="1143000"/>
    <xdr:pic>
      <xdr:nvPicPr>
        <xdr:cNvPr id="3177" name="e4e44d84-68a3-45b5-8ce2-b8bba6f3556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ae15ec56198452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3180</xdr:row>
      <xdr:rowOff>19050</xdr:rowOff>
    </xdr:from>
    <xdr:ext cx="1143000" cy="1143000"/>
    <xdr:pic>
      <xdr:nvPicPr>
        <xdr:cNvPr id="3178" name="ce35b914-4d2c-467f-9675-b1ae35a196f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1f877ccae274fa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3181</xdr:row>
      <xdr:rowOff>19050</xdr:rowOff>
    </xdr:from>
    <xdr:ext cx="1143000" cy="1143000"/>
    <xdr:pic>
      <xdr:nvPicPr>
        <xdr:cNvPr id="3179" name="2975d65f-d7cd-4900-a99c-29d1bd6df1d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4f325224d844e7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3182</xdr:row>
      <xdr:rowOff>19050</xdr:rowOff>
    </xdr:from>
    <xdr:ext cx="1143000" cy="1143000"/>
    <xdr:pic>
      <xdr:nvPicPr>
        <xdr:cNvPr id="3180" name="afa8f6d6-b017-4b3a-8485-78325f20b18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45df4d40fff488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3183</xdr:row>
      <xdr:rowOff>19050</xdr:rowOff>
    </xdr:from>
    <xdr:ext cx="1143000" cy="1143000"/>
    <xdr:pic>
      <xdr:nvPicPr>
        <xdr:cNvPr id="3181" name="c11ec595-8724-4fb7-bb98-6f06819b3d4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76505f87e41468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3184</xdr:row>
      <xdr:rowOff>19050</xdr:rowOff>
    </xdr:from>
    <xdr:ext cx="1143000" cy="1143000"/>
    <xdr:pic>
      <xdr:nvPicPr>
        <xdr:cNvPr id="3182" name="b4378e0c-9e2d-416a-8d57-20090332b37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453dce400cd415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3185</xdr:row>
      <xdr:rowOff>19050</xdr:rowOff>
    </xdr:from>
    <xdr:ext cx="1143000" cy="1143000"/>
    <xdr:pic>
      <xdr:nvPicPr>
        <xdr:cNvPr id="3183" name="61f25e2b-8f44-4537-b61d-923a92f7649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fe2cd2b23494c4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3186</xdr:row>
      <xdr:rowOff>19050</xdr:rowOff>
    </xdr:from>
    <xdr:ext cx="1143000" cy="1143000"/>
    <xdr:pic>
      <xdr:nvPicPr>
        <xdr:cNvPr id="3184" name="b5d406f0-5c4b-4ace-9e94-aa4da9af1d3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694f658f2d14b1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3187</xdr:row>
      <xdr:rowOff>19050</xdr:rowOff>
    </xdr:from>
    <xdr:ext cx="1143000" cy="1143000"/>
    <xdr:pic>
      <xdr:nvPicPr>
        <xdr:cNvPr id="3185" name="7a325af8-58e6-411b-87fc-bbb373eb220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c2df44e6574452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3188</xdr:row>
      <xdr:rowOff>19050</xdr:rowOff>
    </xdr:from>
    <xdr:ext cx="1143000" cy="1143000"/>
    <xdr:pic>
      <xdr:nvPicPr>
        <xdr:cNvPr id="3186" name="8ac22611-f8b8-4a19-9b67-ccefd570a71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c574e0f3863439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3189</xdr:row>
      <xdr:rowOff>19050</xdr:rowOff>
    </xdr:from>
    <xdr:ext cx="1143000" cy="1143000"/>
    <xdr:pic>
      <xdr:nvPicPr>
        <xdr:cNvPr id="3187" name="c4c5d426-3f43-45d6-a16a-9bf2bd9ef32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1605b2529fd471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3190</xdr:row>
      <xdr:rowOff>19050</xdr:rowOff>
    </xdr:from>
    <xdr:ext cx="1143000" cy="1143000"/>
    <xdr:pic>
      <xdr:nvPicPr>
        <xdr:cNvPr id="3188" name="810806a2-c288-4cbb-8cb4-64f779851fb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342fb4948d148d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3191</xdr:row>
      <xdr:rowOff>19050</xdr:rowOff>
    </xdr:from>
    <xdr:ext cx="1143000" cy="1143000"/>
    <xdr:pic>
      <xdr:nvPicPr>
        <xdr:cNvPr id="3189" name="41f7b860-f94f-441e-bcf5-ebb986cafbb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72e21aee2a9471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3192</xdr:row>
      <xdr:rowOff>19050</xdr:rowOff>
    </xdr:from>
    <xdr:ext cx="1143000" cy="1143000"/>
    <xdr:pic>
      <xdr:nvPicPr>
        <xdr:cNvPr id="3190" name="6bd3a505-d044-437e-81c9-ad29d38c3c3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35c0bcbabed43a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3193</xdr:row>
      <xdr:rowOff>19050</xdr:rowOff>
    </xdr:from>
    <xdr:ext cx="1143000" cy="1143000"/>
    <xdr:pic>
      <xdr:nvPicPr>
        <xdr:cNvPr id="3191" name="6dc24884-84b1-4fed-8790-ca33f4abe79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0e5c3580fcd424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3194</xdr:row>
      <xdr:rowOff>19050</xdr:rowOff>
    </xdr:from>
    <xdr:ext cx="1143000" cy="1143000"/>
    <xdr:pic>
      <xdr:nvPicPr>
        <xdr:cNvPr id="3192" name="1b92a22b-ca18-4160-8792-22765fd48f2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6d249491d6948b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3195</xdr:row>
      <xdr:rowOff>19050</xdr:rowOff>
    </xdr:from>
    <xdr:ext cx="1143000" cy="1143000"/>
    <xdr:pic>
      <xdr:nvPicPr>
        <xdr:cNvPr id="3193" name="ba2a5739-8714-413e-b6c5-3f07df2fa89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89fc38a6c58480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3196</xdr:row>
      <xdr:rowOff>19050</xdr:rowOff>
    </xdr:from>
    <xdr:ext cx="1143000" cy="1143000"/>
    <xdr:pic>
      <xdr:nvPicPr>
        <xdr:cNvPr id="3194" name="e1c901aa-1a5e-4402-87f0-1e5ae45a9c7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7141a6610d144c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3197</xdr:row>
      <xdr:rowOff>19050</xdr:rowOff>
    </xdr:from>
    <xdr:ext cx="1143000" cy="1143000"/>
    <xdr:pic>
      <xdr:nvPicPr>
        <xdr:cNvPr id="3195" name="c3529685-4a43-4f6d-8f22-d1a27555bea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91e3128265e47f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3198</xdr:row>
      <xdr:rowOff>19050</xdr:rowOff>
    </xdr:from>
    <xdr:ext cx="1143000" cy="1143000"/>
    <xdr:pic>
      <xdr:nvPicPr>
        <xdr:cNvPr id="3196" name="ec5f2540-8a0c-4fea-b888-584606d187a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2b1309cbc19433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3199</xdr:row>
      <xdr:rowOff>19050</xdr:rowOff>
    </xdr:from>
    <xdr:ext cx="1143000" cy="1143000"/>
    <xdr:pic>
      <xdr:nvPicPr>
        <xdr:cNvPr id="3197" name="056d21fd-2ff5-4b50-8eb7-7d58f008a20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6b8e9bd74d3441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3200</xdr:row>
      <xdr:rowOff>19050</xdr:rowOff>
    </xdr:from>
    <xdr:ext cx="1143000" cy="1143000"/>
    <xdr:pic>
      <xdr:nvPicPr>
        <xdr:cNvPr id="3198" name="454e9245-289c-4b4d-a42b-527b23647f3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8a7a2b01a7745f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3201</xdr:row>
      <xdr:rowOff>19050</xdr:rowOff>
    </xdr:from>
    <xdr:ext cx="1143000" cy="1143000"/>
    <xdr:pic>
      <xdr:nvPicPr>
        <xdr:cNvPr id="3199" name="629f9ddf-c90e-4bef-890d-c3c949af666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73e3a75468e430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3202</xdr:row>
      <xdr:rowOff>19050</xdr:rowOff>
    </xdr:from>
    <xdr:ext cx="1143000" cy="1143000"/>
    <xdr:pic>
      <xdr:nvPicPr>
        <xdr:cNvPr id="3200" name="247a1fcf-0645-4392-ad56-7809d900695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4c00bf42c354fc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3203</xdr:row>
      <xdr:rowOff>19050</xdr:rowOff>
    </xdr:from>
    <xdr:ext cx="1143000" cy="1143000"/>
    <xdr:pic>
      <xdr:nvPicPr>
        <xdr:cNvPr id="3201" name="126e37d0-74fc-4d4e-87b7-868cd7da6a6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ca315a59fb241d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3204</xdr:row>
      <xdr:rowOff>19050</xdr:rowOff>
    </xdr:from>
    <xdr:ext cx="1143000" cy="1143000"/>
    <xdr:pic>
      <xdr:nvPicPr>
        <xdr:cNvPr id="3202" name="2d4a00ea-1aeb-40fe-9635-58d5c713377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b1380b9b19249b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3205</xdr:row>
      <xdr:rowOff>19050</xdr:rowOff>
    </xdr:from>
    <xdr:ext cx="1143000" cy="1143000"/>
    <xdr:pic>
      <xdr:nvPicPr>
        <xdr:cNvPr id="3203" name="7810b26c-e310-4fc4-932c-8722ce0c891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f128ed891084cf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3206</xdr:row>
      <xdr:rowOff>19050</xdr:rowOff>
    </xdr:from>
    <xdr:ext cx="1143000" cy="1143000"/>
    <xdr:pic>
      <xdr:nvPicPr>
        <xdr:cNvPr id="3204" name="21cd2e73-df18-4bde-9418-d273d057051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0508b8172b9453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3207</xdr:row>
      <xdr:rowOff>19050</xdr:rowOff>
    </xdr:from>
    <xdr:ext cx="1143000" cy="1143000"/>
    <xdr:pic>
      <xdr:nvPicPr>
        <xdr:cNvPr id="3205" name="35cff503-f61b-4bd5-b2f0-1751c7e8408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6ea8e4e37b6450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3208</xdr:row>
      <xdr:rowOff>19050</xdr:rowOff>
    </xdr:from>
    <xdr:ext cx="1143000" cy="1143000"/>
    <xdr:pic>
      <xdr:nvPicPr>
        <xdr:cNvPr id="3206" name="1e120043-a259-4e31-92d4-8e13e3c314d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adec62385a94b2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3209</xdr:row>
      <xdr:rowOff>19050</xdr:rowOff>
    </xdr:from>
    <xdr:ext cx="1143000" cy="1143000"/>
    <xdr:pic>
      <xdr:nvPicPr>
        <xdr:cNvPr id="3207" name="0c85d408-613e-4f3b-8567-d90cc6b701e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5df072e9d0f498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3210</xdr:row>
      <xdr:rowOff>19050</xdr:rowOff>
    </xdr:from>
    <xdr:ext cx="1143000" cy="1143000"/>
    <xdr:pic>
      <xdr:nvPicPr>
        <xdr:cNvPr id="3208" name="92749115-8c1a-4fa8-bdaf-462fced49a5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62c4e2c7f0b49d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3211</xdr:row>
      <xdr:rowOff>19050</xdr:rowOff>
    </xdr:from>
    <xdr:ext cx="1143000" cy="1143000"/>
    <xdr:pic>
      <xdr:nvPicPr>
        <xdr:cNvPr id="3209" name="d121cbd5-2641-4a10-bd1e-6bfa47d5ced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f88eafda29447b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3212</xdr:row>
      <xdr:rowOff>19050</xdr:rowOff>
    </xdr:from>
    <xdr:ext cx="1143000" cy="1143000"/>
    <xdr:pic>
      <xdr:nvPicPr>
        <xdr:cNvPr id="3210" name="1df35f8b-3ee4-4cd3-9af1-dd9f1a6c286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67c707a65424ad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3213</xdr:row>
      <xdr:rowOff>19050</xdr:rowOff>
    </xdr:from>
    <xdr:ext cx="1143000" cy="1143000"/>
    <xdr:pic>
      <xdr:nvPicPr>
        <xdr:cNvPr id="3211" name="c7b39b23-ff3e-4c57-be05-1db7eb83fb8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4d986541fb143d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3214</xdr:row>
      <xdr:rowOff>19050</xdr:rowOff>
    </xdr:from>
    <xdr:ext cx="1143000" cy="1143000"/>
    <xdr:pic>
      <xdr:nvPicPr>
        <xdr:cNvPr id="3212" name="faaad9da-ad9b-4c2a-b874-0df3dcd599c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efe9d20faff46a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3215</xdr:row>
      <xdr:rowOff>19050</xdr:rowOff>
    </xdr:from>
    <xdr:ext cx="1143000" cy="1143000"/>
    <xdr:pic>
      <xdr:nvPicPr>
        <xdr:cNvPr id="3213" name="fedffb9f-1184-4c74-b12b-b23c85e47e6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667b4c4994540a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3216</xdr:row>
      <xdr:rowOff>19050</xdr:rowOff>
    </xdr:from>
    <xdr:ext cx="1143000" cy="1143000"/>
    <xdr:pic>
      <xdr:nvPicPr>
        <xdr:cNvPr id="3214" name="e0ba88d7-9f14-4834-8dc6-7fbec094695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a2a3c79ae9d4ff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3217</xdr:row>
      <xdr:rowOff>19050</xdr:rowOff>
    </xdr:from>
    <xdr:ext cx="1143000" cy="1143000"/>
    <xdr:pic>
      <xdr:nvPicPr>
        <xdr:cNvPr id="3215" name="573da65d-a0b3-45d0-85b3-f9a147fc766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2609ee07bc548a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3218</xdr:row>
      <xdr:rowOff>19050</xdr:rowOff>
    </xdr:from>
    <xdr:ext cx="1143000" cy="1143000"/>
    <xdr:pic>
      <xdr:nvPicPr>
        <xdr:cNvPr id="3216" name="483ef70b-05ef-4eb4-9692-0c04822da61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ff82d5b66014bf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3219</xdr:row>
      <xdr:rowOff>19050</xdr:rowOff>
    </xdr:from>
    <xdr:ext cx="1143000" cy="1143000"/>
    <xdr:pic>
      <xdr:nvPicPr>
        <xdr:cNvPr id="3217" name="ee29caa8-1c0d-41b0-b5f9-c7f773e509f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9edca955cf740e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3220</xdr:row>
      <xdr:rowOff>19050</xdr:rowOff>
    </xdr:from>
    <xdr:ext cx="1143000" cy="1143000"/>
    <xdr:pic>
      <xdr:nvPicPr>
        <xdr:cNvPr id="3218" name="775f9abf-371f-454e-8b22-c29d5a81954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49e62430fae451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3221</xdr:row>
      <xdr:rowOff>19050</xdr:rowOff>
    </xdr:from>
    <xdr:ext cx="1143000" cy="1143000"/>
    <xdr:pic>
      <xdr:nvPicPr>
        <xdr:cNvPr id="3219" name="94e1dbc9-dfc2-44eb-b29a-f02d7187599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ebe10f23eff4ee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3222</xdr:row>
      <xdr:rowOff>19050</xdr:rowOff>
    </xdr:from>
    <xdr:ext cx="1143000" cy="1143000"/>
    <xdr:pic>
      <xdr:nvPicPr>
        <xdr:cNvPr id="3220" name="4a4f1860-81f8-493c-80c3-bb6cd156d7d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084346c7cc84be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3223</xdr:row>
      <xdr:rowOff>19050</xdr:rowOff>
    </xdr:from>
    <xdr:ext cx="1143000" cy="1143000"/>
    <xdr:pic>
      <xdr:nvPicPr>
        <xdr:cNvPr id="3221" name="44f0d456-a143-4bc5-8e22-c45147c9d83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df128f94d20478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3224</xdr:row>
      <xdr:rowOff>19050</xdr:rowOff>
    </xdr:from>
    <xdr:ext cx="1143000" cy="1143000"/>
    <xdr:pic>
      <xdr:nvPicPr>
        <xdr:cNvPr id="3222" name="cb2afd8a-bb9b-4037-9c86-60cd2d05ff0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756022df4ec472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3225</xdr:row>
      <xdr:rowOff>19050</xdr:rowOff>
    </xdr:from>
    <xdr:ext cx="1143000" cy="1143000"/>
    <xdr:pic>
      <xdr:nvPicPr>
        <xdr:cNvPr id="3223" name="4b30efdb-8964-4a57-a115-58c5d5984a4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259be347a32407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3226</xdr:row>
      <xdr:rowOff>19050</xdr:rowOff>
    </xdr:from>
    <xdr:ext cx="1143000" cy="1143000"/>
    <xdr:pic>
      <xdr:nvPicPr>
        <xdr:cNvPr id="3224" name="46418566-001a-4ba2-803b-af7f372145e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e3aa348e2004f0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3227</xdr:row>
      <xdr:rowOff>19050</xdr:rowOff>
    </xdr:from>
    <xdr:ext cx="1143000" cy="1143000"/>
    <xdr:pic>
      <xdr:nvPicPr>
        <xdr:cNvPr id="3225" name="49bc71f1-d338-4503-a3a2-f60e5de602d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c566293ea3a49c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3228</xdr:row>
      <xdr:rowOff>19050</xdr:rowOff>
    </xdr:from>
    <xdr:ext cx="1143000" cy="1143000"/>
    <xdr:pic>
      <xdr:nvPicPr>
        <xdr:cNvPr id="3226" name="bea96d8c-0a32-4361-9dd6-fa661d0418c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7bba2f435d743b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3229</xdr:row>
      <xdr:rowOff>19050</xdr:rowOff>
    </xdr:from>
    <xdr:ext cx="1143000" cy="1143000"/>
    <xdr:pic>
      <xdr:nvPicPr>
        <xdr:cNvPr id="3227" name="d9eb725e-b9b6-458d-bc40-2949745da68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1105308fe0f4e4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3230</xdr:row>
      <xdr:rowOff>19050</xdr:rowOff>
    </xdr:from>
    <xdr:ext cx="1143000" cy="1143000"/>
    <xdr:pic>
      <xdr:nvPicPr>
        <xdr:cNvPr id="3228" name="1cf03c34-905a-4075-b65c-f80815bf930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9de9797ca494de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3231</xdr:row>
      <xdr:rowOff>19050</xdr:rowOff>
    </xdr:from>
    <xdr:ext cx="1143000" cy="1143000"/>
    <xdr:pic>
      <xdr:nvPicPr>
        <xdr:cNvPr id="3229" name="954db20c-8f04-48b8-ab3f-19e34519a46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42fdc09b72e480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3232</xdr:row>
      <xdr:rowOff>19050</xdr:rowOff>
    </xdr:from>
    <xdr:ext cx="1143000" cy="1143000"/>
    <xdr:pic>
      <xdr:nvPicPr>
        <xdr:cNvPr id="3230" name="b1c7e5d3-169c-40a5-ae9b-3af60cd310d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8782db82f67410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3233</xdr:row>
      <xdr:rowOff>19050</xdr:rowOff>
    </xdr:from>
    <xdr:ext cx="1143000" cy="1143000"/>
    <xdr:pic>
      <xdr:nvPicPr>
        <xdr:cNvPr id="3231" name="d9c5d9e7-9ea3-4ee1-af3f-3cd0b4ed5ff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6889f5c9f014d5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3234</xdr:row>
      <xdr:rowOff>19050</xdr:rowOff>
    </xdr:from>
    <xdr:ext cx="1143000" cy="1143000"/>
    <xdr:pic>
      <xdr:nvPicPr>
        <xdr:cNvPr id="3232" name="752b2a0a-6af4-4e11-8488-2e63a5a3a81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4a0365cec5744f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3235</xdr:row>
      <xdr:rowOff>19050</xdr:rowOff>
    </xdr:from>
    <xdr:ext cx="1143000" cy="1143000"/>
    <xdr:pic>
      <xdr:nvPicPr>
        <xdr:cNvPr id="3233" name="47357fde-8d22-4081-9a16-41d5936fb3c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4121d143afc42d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3236</xdr:row>
      <xdr:rowOff>19050</xdr:rowOff>
    </xdr:from>
    <xdr:ext cx="1143000" cy="1143000"/>
    <xdr:pic>
      <xdr:nvPicPr>
        <xdr:cNvPr id="3234" name="8075983b-d96a-4aff-8121-c3d41ce0e35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62fd3b12ba0424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3237</xdr:row>
      <xdr:rowOff>19050</xdr:rowOff>
    </xdr:from>
    <xdr:ext cx="1143000" cy="1143000"/>
    <xdr:pic>
      <xdr:nvPicPr>
        <xdr:cNvPr id="3235" name="d6569ddc-037a-4d51-96d6-201d651b67d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753d7754c114ba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3238</xdr:row>
      <xdr:rowOff>19050</xdr:rowOff>
    </xdr:from>
    <xdr:ext cx="1143000" cy="1143000"/>
    <xdr:pic>
      <xdr:nvPicPr>
        <xdr:cNvPr id="3236" name="f207c061-3e25-4d43-b9b4-e2e932c8f3f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009f29be9e54fb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3239</xdr:row>
      <xdr:rowOff>19050</xdr:rowOff>
    </xdr:from>
    <xdr:ext cx="1143000" cy="1143000"/>
    <xdr:pic>
      <xdr:nvPicPr>
        <xdr:cNvPr id="3237" name="3c6df2d5-0d0c-4f32-a2e3-0ad3a6368e9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7911301ecf74e1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3240</xdr:row>
      <xdr:rowOff>19050</xdr:rowOff>
    </xdr:from>
    <xdr:ext cx="1143000" cy="1143000"/>
    <xdr:pic>
      <xdr:nvPicPr>
        <xdr:cNvPr id="3238" name="55c5e88a-bd0a-4d02-befc-e1ebfce9162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4c910311ca547b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3241</xdr:row>
      <xdr:rowOff>19050</xdr:rowOff>
    </xdr:from>
    <xdr:ext cx="1143000" cy="1143000"/>
    <xdr:pic>
      <xdr:nvPicPr>
        <xdr:cNvPr id="3239" name="e2a9631c-2931-444f-8e51-21897c2a950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50c44e23e73408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3242</xdr:row>
      <xdr:rowOff>19050</xdr:rowOff>
    </xdr:from>
    <xdr:ext cx="1143000" cy="1143000"/>
    <xdr:pic>
      <xdr:nvPicPr>
        <xdr:cNvPr id="3240" name="d99d3144-ab57-47a7-962f-6a6053b7f69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2b7144308a948b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3243</xdr:row>
      <xdr:rowOff>19050</xdr:rowOff>
    </xdr:from>
    <xdr:ext cx="1143000" cy="1143000"/>
    <xdr:pic>
      <xdr:nvPicPr>
        <xdr:cNvPr id="3241" name="62abf735-0c01-418c-b897-4fc33afa0ee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fe730d0803e4a6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3244</xdr:row>
      <xdr:rowOff>19050</xdr:rowOff>
    </xdr:from>
    <xdr:ext cx="1143000" cy="1143000"/>
    <xdr:pic>
      <xdr:nvPicPr>
        <xdr:cNvPr id="3242" name="44aabe1b-5945-49d2-984d-691729cd177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2b5c871aec24e7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3245</xdr:row>
      <xdr:rowOff>19050</xdr:rowOff>
    </xdr:from>
    <xdr:ext cx="1143000" cy="1143000"/>
    <xdr:pic>
      <xdr:nvPicPr>
        <xdr:cNvPr id="3243" name="1d15c80e-1710-451f-a7ad-2c47bfab3be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3e6102a0e37458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3246</xdr:row>
      <xdr:rowOff>19050</xdr:rowOff>
    </xdr:from>
    <xdr:ext cx="1143000" cy="1143000"/>
    <xdr:pic>
      <xdr:nvPicPr>
        <xdr:cNvPr id="3244" name="9fcb0c67-b3de-4b13-a499-43fba8b6227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82e6f4a2cde42a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3247</xdr:row>
      <xdr:rowOff>19050</xdr:rowOff>
    </xdr:from>
    <xdr:ext cx="1143000" cy="1143000"/>
    <xdr:pic>
      <xdr:nvPicPr>
        <xdr:cNvPr id="3245" name="b3aa8cde-1f0f-4731-afe2-0a1d128c1c8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30ec542443e471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3248</xdr:row>
      <xdr:rowOff>19050</xdr:rowOff>
    </xdr:from>
    <xdr:ext cx="1143000" cy="1143000"/>
    <xdr:pic>
      <xdr:nvPicPr>
        <xdr:cNvPr id="3246" name="30298258-5d76-4b28-8141-2b7ee3f8142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ffc3fbec57d492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3249</xdr:row>
      <xdr:rowOff>19050</xdr:rowOff>
    </xdr:from>
    <xdr:ext cx="1143000" cy="1143000"/>
    <xdr:pic>
      <xdr:nvPicPr>
        <xdr:cNvPr id="3247" name="f92174c7-0c5e-4e5b-868a-b6cd3482e64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744cdb9d22f43f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3250</xdr:row>
      <xdr:rowOff>19050</xdr:rowOff>
    </xdr:from>
    <xdr:ext cx="1143000" cy="1143000"/>
    <xdr:pic>
      <xdr:nvPicPr>
        <xdr:cNvPr id="3248" name="e786c693-62a9-4878-a2af-c0ef54cfad2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06667f082a3420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3251</xdr:row>
      <xdr:rowOff>19050</xdr:rowOff>
    </xdr:from>
    <xdr:ext cx="1143000" cy="1143000"/>
    <xdr:pic>
      <xdr:nvPicPr>
        <xdr:cNvPr id="3249" name="0f92527d-3c7a-424d-957c-28ffc670417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21081206b2f449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3252</xdr:row>
      <xdr:rowOff>19050</xdr:rowOff>
    </xdr:from>
    <xdr:ext cx="1143000" cy="1143000"/>
    <xdr:pic>
      <xdr:nvPicPr>
        <xdr:cNvPr id="3250" name="26ef702a-8c4b-4b79-98b6-7a559a377d7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b34a47c428b459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3253</xdr:row>
      <xdr:rowOff>19050</xdr:rowOff>
    </xdr:from>
    <xdr:ext cx="1143000" cy="1143000"/>
    <xdr:pic>
      <xdr:nvPicPr>
        <xdr:cNvPr id="3251" name="06791e3a-c8af-458f-a284-60441b7e607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2bbae3528ec476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3254</xdr:row>
      <xdr:rowOff>19050</xdr:rowOff>
    </xdr:from>
    <xdr:ext cx="1143000" cy="1143000"/>
    <xdr:pic>
      <xdr:nvPicPr>
        <xdr:cNvPr id="3252" name="8be57afa-012a-4cf5-83f1-6ea856a15d2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283f58d97294eb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3255</xdr:row>
      <xdr:rowOff>19050</xdr:rowOff>
    </xdr:from>
    <xdr:ext cx="1143000" cy="1143000"/>
    <xdr:pic>
      <xdr:nvPicPr>
        <xdr:cNvPr id="3253" name="6c0c2731-eb7f-4fb7-a3b4-71fad8fa443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9503e44f24247e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3256</xdr:row>
      <xdr:rowOff>19050</xdr:rowOff>
    </xdr:from>
    <xdr:ext cx="1143000" cy="1143000"/>
    <xdr:pic>
      <xdr:nvPicPr>
        <xdr:cNvPr id="3254" name="e795ecdf-612e-43a2-b459-14df875c507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14e15ad07684e7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3257</xdr:row>
      <xdr:rowOff>19050</xdr:rowOff>
    </xdr:from>
    <xdr:ext cx="1143000" cy="1143000"/>
    <xdr:pic>
      <xdr:nvPicPr>
        <xdr:cNvPr id="3255" name="d0940ce6-2b61-4c5d-ac31-66b12590e34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8ad181421f14be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3258</xdr:row>
      <xdr:rowOff>19050</xdr:rowOff>
    </xdr:from>
    <xdr:ext cx="1143000" cy="1143000"/>
    <xdr:pic>
      <xdr:nvPicPr>
        <xdr:cNvPr id="3256" name="a5d56e75-d408-49df-ad6d-1ba88ed2a87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49d62c3debf425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3259</xdr:row>
      <xdr:rowOff>19050</xdr:rowOff>
    </xdr:from>
    <xdr:ext cx="1143000" cy="1143000"/>
    <xdr:pic>
      <xdr:nvPicPr>
        <xdr:cNvPr id="3257" name="5a84354b-c6f6-45c2-87c8-9e28bf2b7b9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587d7a784cf4fb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3260</xdr:row>
      <xdr:rowOff>19050</xdr:rowOff>
    </xdr:from>
    <xdr:ext cx="1143000" cy="1143000"/>
    <xdr:pic>
      <xdr:nvPicPr>
        <xdr:cNvPr id="3258" name="e1a63f8f-71c5-438f-9c38-7a7bdfcedd7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c675d59dc50417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3261</xdr:row>
      <xdr:rowOff>19050</xdr:rowOff>
    </xdr:from>
    <xdr:ext cx="1143000" cy="1143000"/>
    <xdr:pic>
      <xdr:nvPicPr>
        <xdr:cNvPr id="3259" name="0c5a6da7-9e5a-4460-80d7-6037e08501e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075da67d7fb438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3262</xdr:row>
      <xdr:rowOff>19050</xdr:rowOff>
    </xdr:from>
    <xdr:ext cx="1143000" cy="1143000"/>
    <xdr:pic>
      <xdr:nvPicPr>
        <xdr:cNvPr id="3260" name="a0ea84b4-eb0b-45de-bed2-38b5ad25083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eb369149d6f4a8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3263</xdr:row>
      <xdr:rowOff>19050</xdr:rowOff>
    </xdr:from>
    <xdr:ext cx="1143000" cy="1143000"/>
    <xdr:pic>
      <xdr:nvPicPr>
        <xdr:cNvPr id="3261" name="bb9d819c-73ca-466a-8418-bcab0c8d484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13e0e64f8274f5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3264</xdr:row>
      <xdr:rowOff>19050</xdr:rowOff>
    </xdr:from>
    <xdr:ext cx="1143000" cy="1143000"/>
    <xdr:pic>
      <xdr:nvPicPr>
        <xdr:cNvPr id="3262" name="edda5280-a997-4d24-9643-0bc3b1ce941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f14cf1b6c7a485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3265</xdr:row>
      <xdr:rowOff>19050</xdr:rowOff>
    </xdr:from>
    <xdr:ext cx="1143000" cy="1143000"/>
    <xdr:pic>
      <xdr:nvPicPr>
        <xdr:cNvPr id="3263" name="4c7c3097-b949-4098-aae1-d8094bfed48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9d842e3431847d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3266</xdr:row>
      <xdr:rowOff>19050</xdr:rowOff>
    </xdr:from>
    <xdr:ext cx="1143000" cy="1143000"/>
    <xdr:pic>
      <xdr:nvPicPr>
        <xdr:cNvPr id="3264" name="08a9917a-266d-4fe0-8f36-280716a9dc6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a2f16a604f644d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3267</xdr:row>
      <xdr:rowOff>19050</xdr:rowOff>
    </xdr:from>
    <xdr:ext cx="1143000" cy="1143000"/>
    <xdr:pic>
      <xdr:nvPicPr>
        <xdr:cNvPr id="3265" name="e4b89f11-bcee-4d35-b48d-ca73f2cd42e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6801df868b540d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3268</xdr:row>
      <xdr:rowOff>19050</xdr:rowOff>
    </xdr:from>
    <xdr:ext cx="1143000" cy="1143000"/>
    <xdr:pic>
      <xdr:nvPicPr>
        <xdr:cNvPr id="3266" name="27debe04-d71b-4cce-b1b7-6a2d12408eb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91103fa22a846f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3269</xdr:row>
      <xdr:rowOff>19050</xdr:rowOff>
    </xdr:from>
    <xdr:ext cx="1143000" cy="1143000"/>
    <xdr:pic>
      <xdr:nvPicPr>
        <xdr:cNvPr id="3267" name="1c0bcb37-8eb8-4a78-8e03-2320c640e1e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0595d96f2874e3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3270</xdr:row>
      <xdr:rowOff>19050</xdr:rowOff>
    </xdr:from>
    <xdr:ext cx="1143000" cy="1143000"/>
    <xdr:pic>
      <xdr:nvPicPr>
        <xdr:cNvPr id="3268" name="ea97e49c-68a4-4393-ab9f-87fbd0eb289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421666d61eb40a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3271</xdr:row>
      <xdr:rowOff>19050</xdr:rowOff>
    </xdr:from>
    <xdr:ext cx="1143000" cy="1143000"/>
    <xdr:pic>
      <xdr:nvPicPr>
        <xdr:cNvPr id="3269" name="db9fda20-a649-4259-91af-f23e86bfd28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52f70bb71bc49a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3272</xdr:row>
      <xdr:rowOff>19050</xdr:rowOff>
    </xdr:from>
    <xdr:ext cx="1143000" cy="1143000"/>
    <xdr:pic>
      <xdr:nvPicPr>
        <xdr:cNvPr id="3270" name="9e25c393-de96-43c2-9aae-d21b34098c2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b60db50336c411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3273</xdr:row>
      <xdr:rowOff>19050</xdr:rowOff>
    </xdr:from>
    <xdr:ext cx="1143000" cy="1143000"/>
    <xdr:pic>
      <xdr:nvPicPr>
        <xdr:cNvPr id="3271" name="59b57497-80e2-43bc-a3ac-7d44c2e970d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4c2b4c5f8e6455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3274</xdr:row>
      <xdr:rowOff>19050</xdr:rowOff>
    </xdr:from>
    <xdr:ext cx="1143000" cy="1143000"/>
    <xdr:pic>
      <xdr:nvPicPr>
        <xdr:cNvPr id="3272" name="efefa7cb-17db-4bc6-8864-2093b1650b1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63e3213e27b433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3275</xdr:row>
      <xdr:rowOff>19050</xdr:rowOff>
    </xdr:from>
    <xdr:ext cx="1143000" cy="1143000"/>
    <xdr:pic>
      <xdr:nvPicPr>
        <xdr:cNvPr id="3273" name="1fd97224-a767-414a-83df-1be4ff72258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bb36ea636134be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3276</xdr:row>
      <xdr:rowOff>19050</xdr:rowOff>
    </xdr:from>
    <xdr:ext cx="1143000" cy="1143000"/>
    <xdr:pic>
      <xdr:nvPicPr>
        <xdr:cNvPr id="3274" name="289230cd-8dcb-434b-bf3f-f01a9e053da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95b0cc1e9c240e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3277</xdr:row>
      <xdr:rowOff>19050</xdr:rowOff>
    </xdr:from>
    <xdr:ext cx="1143000" cy="1143000"/>
    <xdr:pic>
      <xdr:nvPicPr>
        <xdr:cNvPr id="3275" name="2fc9ca0a-58bc-41be-9473-b229b91d732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688ed6aab4e478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3278</xdr:row>
      <xdr:rowOff>19050</xdr:rowOff>
    </xdr:from>
    <xdr:ext cx="1143000" cy="1143000"/>
    <xdr:pic>
      <xdr:nvPicPr>
        <xdr:cNvPr id="3276" name="2357a81d-04f3-4585-a709-425b9455f6d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514c1fa60014e4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3279</xdr:row>
      <xdr:rowOff>19050</xdr:rowOff>
    </xdr:from>
    <xdr:ext cx="1143000" cy="1143000"/>
    <xdr:pic>
      <xdr:nvPicPr>
        <xdr:cNvPr id="3277" name="ced69ee2-b6a3-4396-9d08-5ce0411ce67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f6b237715a8426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3280</xdr:row>
      <xdr:rowOff>19050</xdr:rowOff>
    </xdr:from>
    <xdr:ext cx="1143000" cy="1143000"/>
    <xdr:pic>
      <xdr:nvPicPr>
        <xdr:cNvPr id="3278" name="7517c9b1-7481-4b21-81da-9fef215f670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0d61ed7f3724c6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3281</xdr:row>
      <xdr:rowOff>19050</xdr:rowOff>
    </xdr:from>
    <xdr:ext cx="1143000" cy="1143000"/>
    <xdr:pic>
      <xdr:nvPicPr>
        <xdr:cNvPr id="3279" name="c2f2a207-2e49-4f83-9c5c-b64e993329e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a292d59121548f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3282</xdr:row>
      <xdr:rowOff>19050</xdr:rowOff>
    </xdr:from>
    <xdr:ext cx="1143000" cy="1143000"/>
    <xdr:pic>
      <xdr:nvPicPr>
        <xdr:cNvPr id="3280" name="579d36a8-2a2e-4749-ac1a-f7cf192cd0e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020af32ae4a4e3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3283</xdr:row>
      <xdr:rowOff>19050</xdr:rowOff>
    </xdr:from>
    <xdr:ext cx="1143000" cy="1143000"/>
    <xdr:pic>
      <xdr:nvPicPr>
        <xdr:cNvPr id="3281" name="e85dd523-a773-442e-b1e0-a579c66b14e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e0f13a129c9406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3284</xdr:row>
      <xdr:rowOff>19050</xdr:rowOff>
    </xdr:from>
    <xdr:ext cx="1143000" cy="1143000"/>
    <xdr:pic>
      <xdr:nvPicPr>
        <xdr:cNvPr id="3282" name="a6d1689f-f95b-46d0-b0ea-d4aefa3b64b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6b37427f6534d6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3285</xdr:row>
      <xdr:rowOff>19050</xdr:rowOff>
    </xdr:from>
    <xdr:ext cx="1143000" cy="1143000"/>
    <xdr:pic>
      <xdr:nvPicPr>
        <xdr:cNvPr id="3283" name="58dad2ad-1457-4b32-8169-a4aa44e9812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5784a181de6447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3286</xdr:row>
      <xdr:rowOff>19050</xdr:rowOff>
    </xdr:from>
    <xdr:ext cx="1143000" cy="1143000"/>
    <xdr:pic>
      <xdr:nvPicPr>
        <xdr:cNvPr id="3284" name="fcb84be3-c3dc-4383-a598-506b3102d1f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0901d5e9fd646a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3287</xdr:row>
      <xdr:rowOff>19050</xdr:rowOff>
    </xdr:from>
    <xdr:ext cx="1143000" cy="1143000"/>
    <xdr:pic>
      <xdr:nvPicPr>
        <xdr:cNvPr id="3285" name="0a1bafa2-04e5-4f4f-9c54-21cbadf4ffc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d2428e5b61c4c9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3288</xdr:row>
      <xdr:rowOff>19050</xdr:rowOff>
    </xdr:from>
    <xdr:ext cx="1143000" cy="1143000"/>
    <xdr:pic>
      <xdr:nvPicPr>
        <xdr:cNvPr id="3286" name="09f401ed-5980-4720-816f-87d07eec84d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5aa9d17a1564b8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3289</xdr:row>
      <xdr:rowOff>19050</xdr:rowOff>
    </xdr:from>
    <xdr:ext cx="1143000" cy="1143000"/>
    <xdr:pic>
      <xdr:nvPicPr>
        <xdr:cNvPr id="3287" name="4cac602c-43e0-4bec-ab2d-9815b6403dd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7d42f3e3cb24f4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3290</xdr:row>
      <xdr:rowOff>19050</xdr:rowOff>
    </xdr:from>
    <xdr:ext cx="1143000" cy="1143000"/>
    <xdr:pic>
      <xdr:nvPicPr>
        <xdr:cNvPr id="3288" name="addfee9f-9dab-44c3-9667-ea83c10ee25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c45cf2b90504ee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3291</xdr:row>
      <xdr:rowOff>19050</xdr:rowOff>
    </xdr:from>
    <xdr:ext cx="1143000" cy="1143000"/>
    <xdr:pic>
      <xdr:nvPicPr>
        <xdr:cNvPr id="3289" name="9634e1e0-de15-4d1f-8486-c808f40a85f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c776d5839fd459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3292</xdr:row>
      <xdr:rowOff>19050</xdr:rowOff>
    </xdr:from>
    <xdr:ext cx="1143000" cy="1143000"/>
    <xdr:pic>
      <xdr:nvPicPr>
        <xdr:cNvPr id="3290" name="dbb7d008-945a-4e92-9a3e-04029023fdf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fff08539079418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3293</xdr:row>
      <xdr:rowOff>19050</xdr:rowOff>
    </xdr:from>
    <xdr:ext cx="1143000" cy="1143000"/>
    <xdr:pic>
      <xdr:nvPicPr>
        <xdr:cNvPr id="3291" name="ea59a23c-e246-401d-a543-47af2f1148e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0691f78cd144ba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3294</xdr:row>
      <xdr:rowOff>19050</xdr:rowOff>
    </xdr:from>
    <xdr:ext cx="1143000" cy="1143000"/>
    <xdr:pic>
      <xdr:nvPicPr>
        <xdr:cNvPr id="3292" name="03e873b1-20d8-4d21-8027-3c08558dc74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882807f5c754d1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3295</xdr:row>
      <xdr:rowOff>19050</xdr:rowOff>
    </xdr:from>
    <xdr:ext cx="1143000" cy="1143000"/>
    <xdr:pic>
      <xdr:nvPicPr>
        <xdr:cNvPr id="3293" name="80c97238-0677-4540-856c-ac3523ee3de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222be3e970c4a0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3296</xdr:row>
      <xdr:rowOff>19050</xdr:rowOff>
    </xdr:from>
    <xdr:ext cx="1143000" cy="1143000"/>
    <xdr:pic>
      <xdr:nvPicPr>
        <xdr:cNvPr id="3294" name="5f1b2e1e-e3af-47eb-bcf2-bbe12bfa647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116faeb6aaa44d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3297</xdr:row>
      <xdr:rowOff>19050</xdr:rowOff>
    </xdr:from>
    <xdr:ext cx="1143000" cy="1143000"/>
    <xdr:pic>
      <xdr:nvPicPr>
        <xdr:cNvPr id="3295" name="06832f39-9985-44fb-b989-b0f02e6de40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d2970ddaa19493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3298</xdr:row>
      <xdr:rowOff>19050</xdr:rowOff>
    </xdr:from>
    <xdr:ext cx="1143000" cy="1143000"/>
    <xdr:pic>
      <xdr:nvPicPr>
        <xdr:cNvPr id="3296" name="8a77c95a-987b-48a4-b6d1-9e05a50bb0d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1575a8de568417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3299</xdr:row>
      <xdr:rowOff>19050</xdr:rowOff>
    </xdr:from>
    <xdr:ext cx="1143000" cy="1143000"/>
    <xdr:pic>
      <xdr:nvPicPr>
        <xdr:cNvPr id="3297" name="21b7f3d2-0b59-4c8b-9dae-ba1941c0efc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00baa0c550d4b2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3300</xdr:row>
      <xdr:rowOff>19050</xdr:rowOff>
    </xdr:from>
    <xdr:ext cx="1143000" cy="1143000"/>
    <xdr:pic>
      <xdr:nvPicPr>
        <xdr:cNvPr id="3298" name="2f5ba16f-6453-4323-a4ff-cb631863356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26c2a4c68c04fa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3301</xdr:row>
      <xdr:rowOff>19050</xdr:rowOff>
    </xdr:from>
    <xdr:ext cx="1143000" cy="1143000"/>
    <xdr:pic>
      <xdr:nvPicPr>
        <xdr:cNvPr id="3299" name="7395d46e-d208-49b0-930c-83e9e8cdcc5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2dcfd5daa45430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3302</xdr:row>
      <xdr:rowOff>19050</xdr:rowOff>
    </xdr:from>
    <xdr:ext cx="1143000" cy="1143000"/>
    <xdr:pic>
      <xdr:nvPicPr>
        <xdr:cNvPr id="3300" name="21e7225f-9274-443e-ac08-fba705568f1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6f580537ca947e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3303</xdr:row>
      <xdr:rowOff>19050</xdr:rowOff>
    </xdr:from>
    <xdr:ext cx="1143000" cy="1143000"/>
    <xdr:pic>
      <xdr:nvPicPr>
        <xdr:cNvPr id="3301" name="b14bf3cc-63bc-4f16-aa24-c13dd2de233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cd797aecca8447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3304</xdr:row>
      <xdr:rowOff>19050</xdr:rowOff>
    </xdr:from>
    <xdr:ext cx="1143000" cy="1143000"/>
    <xdr:pic>
      <xdr:nvPicPr>
        <xdr:cNvPr id="3302" name="c17ca497-142d-4091-ba6d-8b61f8f2356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3c5ae557a994c4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3305</xdr:row>
      <xdr:rowOff>19050</xdr:rowOff>
    </xdr:from>
    <xdr:ext cx="1143000" cy="1143000"/>
    <xdr:pic>
      <xdr:nvPicPr>
        <xdr:cNvPr id="3303" name="6026b40a-e1ae-435d-986e-ffae1fd52a6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54116c191fc432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3306</xdr:row>
      <xdr:rowOff>19050</xdr:rowOff>
    </xdr:from>
    <xdr:ext cx="1143000" cy="1143000"/>
    <xdr:pic>
      <xdr:nvPicPr>
        <xdr:cNvPr id="3304" name="206918b4-6d24-4a12-86a9-2712f2c06f6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02e8114f7c8476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3307</xdr:row>
      <xdr:rowOff>19050</xdr:rowOff>
    </xdr:from>
    <xdr:ext cx="1143000" cy="1143000"/>
    <xdr:pic>
      <xdr:nvPicPr>
        <xdr:cNvPr id="3305" name="6a3a6d1c-441e-4d02-9c73-ccff008db6d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dabd80d2b414ee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3308</xdr:row>
      <xdr:rowOff>19050</xdr:rowOff>
    </xdr:from>
    <xdr:ext cx="1143000" cy="1143000"/>
    <xdr:pic>
      <xdr:nvPicPr>
        <xdr:cNvPr id="3306" name="a89c39bd-eb8d-4156-97e0-e47d1d4a341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312a54c21f44a5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3309</xdr:row>
      <xdr:rowOff>19050</xdr:rowOff>
    </xdr:from>
    <xdr:ext cx="1143000" cy="1143000"/>
    <xdr:pic>
      <xdr:nvPicPr>
        <xdr:cNvPr id="3307" name="d4e261fd-dea2-4fd2-b99c-4b35670164a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964882e59ab4e8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3310</xdr:row>
      <xdr:rowOff>19050</xdr:rowOff>
    </xdr:from>
    <xdr:ext cx="1143000" cy="1143000"/>
    <xdr:pic>
      <xdr:nvPicPr>
        <xdr:cNvPr id="3308" name="a1772ae1-0cb5-432e-b739-903b2f90d61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b3671f62379446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3311</xdr:row>
      <xdr:rowOff>19050</xdr:rowOff>
    </xdr:from>
    <xdr:ext cx="1143000" cy="1143000"/>
    <xdr:pic>
      <xdr:nvPicPr>
        <xdr:cNvPr id="3309" name="5ded81f6-16f1-4f45-af0d-56b51dfbcd4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f3f11f7f23c45e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3312</xdr:row>
      <xdr:rowOff>19050</xdr:rowOff>
    </xdr:from>
    <xdr:ext cx="1143000" cy="1143000"/>
    <xdr:pic>
      <xdr:nvPicPr>
        <xdr:cNvPr id="3310" name="17347507-1cc0-4936-bc9e-a59f3c491ca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ae49cecaf28476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3313</xdr:row>
      <xdr:rowOff>19050</xdr:rowOff>
    </xdr:from>
    <xdr:ext cx="1143000" cy="1143000"/>
    <xdr:pic>
      <xdr:nvPicPr>
        <xdr:cNvPr id="3311" name="b987b20e-cbfc-4a7f-b365-dec62a76611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ebd69b85be248d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3314</xdr:row>
      <xdr:rowOff>19050</xdr:rowOff>
    </xdr:from>
    <xdr:ext cx="1143000" cy="1143000"/>
    <xdr:pic>
      <xdr:nvPicPr>
        <xdr:cNvPr id="3312" name="93f67226-df43-40fb-87bb-3ac29ba5e43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c96a59a01c1469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3315</xdr:row>
      <xdr:rowOff>19050</xdr:rowOff>
    </xdr:from>
    <xdr:ext cx="1143000" cy="1143000"/>
    <xdr:pic>
      <xdr:nvPicPr>
        <xdr:cNvPr id="3313" name="22200f5a-5713-48d5-8e62-554c8151987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299eb382ed54f8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3316</xdr:row>
      <xdr:rowOff>19050</xdr:rowOff>
    </xdr:from>
    <xdr:ext cx="1143000" cy="1143000"/>
    <xdr:pic>
      <xdr:nvPicPr>
        <xdr:cNvPr id="3314" name="c7359518-efd9-41ab-9021-953ad46aaf2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d827d02fc39480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3317</xdr:row>
      <xdr:rowOff>19050</xdr:rowOff>
    </xdr:from>
    <xdr:ext cx="1143000" cy="1143000"/>
    <xdr:pic>
      <xdr:nvPicPr>
        <xdr:cNvPr id="3315" name="26d88779-f143-4361-9a82-d4561e689e0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71d3eeaf4fa433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3318</xdr:row>
      <xdr:rowOff>19050</xdr:rowOff>
    </xdr:from>
    <xdr:ext cx="1143000" cy="1143000"/>
    <xdr:pic>
      <xdr:nvPicPr>
        <xdr:cNvPr id="3316" name="1867884c-290b-4485-9610-f6c1de9b235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5911aef486545b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3319</xdr:row>
      <xdr:rowOff>19050</xdr:rowOff>
    </xdr:from>
    <xdr:ext cx="1143000" cy="1143000"/>
    <xdr:pic>
      <xdr:nvPicPr>
        <xdr:cNvPr id="3317" name="d85eaa32-e174-4c54-9030-7170414d859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7a97916aa8b42a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3320</xdr:row>
      <xdr:rowOff>19050</xdr:rowOff>
    </xdr:from>
    <xdr:ext cx="1143000" cy="1143000"/>
    <xdr:pic>
      <xdr:nvPicPr>
        <xdr:cNvPr id="3318" name="e41ca032-e1ce-49b6-ac33-6db4ea5a353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50c316a0e2c42a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3321</xdr:row>
      <xdr:rowOff>19050</xdr:rowOff>
    </xdr:from>
    <xdr:ext cx="1143000" cy="1143000"/>
    <xdr:pic>
      <xdr:nvPicPr>
        <xdr:cNvPr id="3319" name="02f65685-33a0-47a9-9fc1-d4331377708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910bffc5992407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3322</xdr:row>
      <xdr:rowOff>19050</xdr:rowOff>
    </xdr:from>
    <xdr:ext cx="1143000" cy="1143000"/>
    <xdr:pic>
      <xdr:nvPicPr>
        <xdr:cNvPr id="3320" name="05e2ab69-a532-43b4-b3ea-0bc43d947d2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99b442a8aa24c1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3323</xdr:row>
      <xdr:rowOff>19050</xdr:rowOff>
    </xdr:from>
    <xdr:ext cx="1143000" cy="1143000"/>
    <xdr:pic>
      <xdr:nvPicPr>
        <xdr:cNvPr id="3321" name="a5babc7b-cc08-449c-b976-02f7c53cb45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89116f6aea349f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3324</xdr:row>
      <xdr:rowOff>19050</xdr:rowOff>
    </xdr:from>
    <xdr:ext cx="1143000" cy="1143000"/>
    <xdr:pic>
      <xdr:nvPicPr>
        <xdr:cNvPr id="3322" name="6d3f9043-ac1a-47d5-aa74-3804f0d3b81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a335649f0e6408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3325</xdr:row>
      <xdr:rowOff>19050</xdr:rowOff>
    </xdr:from>
    <xdr:ext cx="1143000" cy="1143000"/>
    <xdr:pic>
      <xdr:nvPicPr>
        <xdr:cNvPr id="3323" name="496a19a7-a662-4ec6-bddb-ac70c4fae09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a0b593f33ea485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3326</xdr:row>
      <xdr:rowOff>19050</xdr:rowOff>
    </xdr:from>
    <xdr:ext cx="1143000" cy="1143000"/>
    <xdr:pic>
      <xdr:nvPicPr>
        <xdr:cNvPr id="3324" name="790fc2b0-1ff9-43fd-9a00-07228d6426b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423dfc538a24e7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3327</xdr:row>
      <xdr:rowOff>19050</xdr:rowOff>
    </xdr:from>
    <xdr:ext cx="1143000" cy="1143000"/>
    <xdr:pic>
      <xdr:nvPicPr>
        <xdr:cNvPr id="3325" name="7100dc88-de1f-4be0-b38d-e75cb35758b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91872d0910441e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3328</xdr:row>
      <xdr:rowOff>19050</xdr:rowOff>
    </xdr:from>
    <xdr:ext cx="1143000" cy="1143000"/>
    <xdr:pic>
      <xdr:nvPicPr>
        <xdr:cNvPr id="3326" name="3e3e7c67-f1cf-4b2b-a1a9-612d756ab27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0f874fbfb6b487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3329</xdr:row>
      <xdr:rowOff>19050</xdr:rowOff>
    </xdr:from>
    <xdr:ext cx="1143000" cy="1143000"/>
    <xdr:pic>
      <xdr:nvPicPr>
        <xdr:cNvPr id="3327" name="46766790-8fe9-4f1e-87cf-7761cf40627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02b959051ae482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3330</xdr:row>
      <xdr:rowOff>19050</xdr:rowOff>
    </xdr:from>
    <xdr:ext cx="1143000" cy="1143000"/>
    <xdr:pic>
      <xdr:nvPicPr>
        <xdr:cNvPr id="3328" name="13481971-3ca5-4989-bac4-0c171d1f8f8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1ab682b8444473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3331</xdr:row>
      <xdr:rowOff>19050</xdr:rowOff>
    </xdr:from>
    <xdr:ext cx="1143000" cy="1143000"/>
    <xdr:pic>
      <xdr:nvPicPr>
        <xdr:cNvPr id="3329" name="40b95915-3dde-4a40-8c51-788b179d7e4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0d562481388428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3332</xdr:row>
      <xdr:rowOff>19050</xdr:rowOff>
    </xdr:from>
    <xdr:ext cx="1143000" cy="1143000"/>
    <xdr:pic>
      <xdr:nvPicPr>
        <xdr:cNvPr id="3330" name="eb0d4158-c3fd-40ba-8aa7-5561794f895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67ed18785ae445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3333</xdr:row>
      <xdr:rowOff>19050</xdr:rowOff>
    </xdr:from>
    <xdr:ext cx="1143000" cy="1143000"/>
    <xdr:pic>
      <xdr:nvPicPr>
        <xdr:cNvPr id="3331" name="2f3365f8-bd00-44b4-9416-8c403647717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96afe755ec8474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3334</xdr:row>
      <xdr:rowOff>19050</xdr:rowOff>
    </xdr:from>
    <xdr:ext cx="1143000" cy="1143000"/>
    <xdr:pic>
      <xdr:nvPicPr>
        <xdr:cNvPr id="3332" name="f1fabfb5-5f4e-4902-aa7e-5937fc47544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cea8afb29f6439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3335</xdr:row>
      <xdr:rowOff>19050</xdr:rowOff>
    </xdr:from>
    <xdr:ext cx="1143000" cy="1143000"/>
    <xdr:pic>
      <xdr:nvPicPr>
        <xdr:cNvPr id="3333" name="5b712ec1-24d5-484b-8094-25f8d74a010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a9584554d754b0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3336</xdr:row>
      <xdr:rowOff>19050</xdr:rowOff>
    </xdr:from>
    <xdr:ext cx="1143000" cy="1143000"/>
    <xdr:pic>
      <xdr:nvPicPr>
        <xdr:cNvPr id="3334" name="e7f8dec4-2c3a-4cc5-80ca-22bd748972a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3be7ae8e6e440b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3337</xdr:row>
      <xdr:rowOff>19050</xdr:rowOff>
    </xdr:from>
    <xdr:ext cx="1143000" cy="1143000"/>
    <xdr:pic>
      <xdr:nvPicPr>
        <xdr:cNvPr id="3335" name="68b5f578-ae8e-4273-83d6-eb613da095b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edd224b538d403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3338</xdr:row>
      <xdr:rowOff>19050</xdr:rowOff>
    </xdr:from>
    <xdr:ext cx="1143000" cy="1143000"/>
    <xdr:pic>
      <xdr:nvPicPr>
        <xdr:cNvPr id="3336" name="326d9b41-e04a-4f23-b38c-90106ad2635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f214ffb9d464df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3339</xdr:row>
      <xdr:rowOff>19050</xdr:rowOff>
    </xdr:from>
    <xdr:ext cx="1143000" cy="1143000"/>
    <xdr:pic>
      <xdr:nvPicPr>
        <xdr:cNvPr id="3337" name="ee097fd6-93c1-42e0-b93e-bd6781d3f0f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806b6a4d91b438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3340</xdr:row>
      <xdr:rowOff>19050</xdr:rowOff>
    </xdr:from>
    <xdr:ext cx="1143000" cy="1143000"/>
    <xdr:pic>
      <xdr:nvPicPr>
        <xdr:cNvPr id="3338" name="ef841fff-b9a3-4eaf-8b92-552ca7e6cc0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376f88098cb470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3341</xdr:row>
      <xdr:rowOff>19050</xdr:rowOff>
    </xdr:from>
    <xdr:ext cx="1143000" cy="1143000"/>
    <xdr:pic>
      <xdr:nvPicPr>
        <xdr:cNvPr id="3339" name="3fbf0db5-97b7-450c-8333-36b7b8119f3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f2a751b9acd478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3342</xdr:row>
      <xdr:rowOff>19050</xdr:rowOff>
    </xdr:from>
    <xdr:ext cx="1143000" cy="1143000"/>
    <xdr:pic>
      <xdr:nvPicPr>
        <xdr:cNvPr id="3340" name="d4bb4434-6ae8-4aa8-8882-743ea540916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1c078325fe04c3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3343</xdr:row>
      <xdr:rowOff>19050</xdr:rowOff>
    </xdr:from>
    <xdr:ext cx="1143000" cy="1143000"/>
    <xdr:pic>
      <xdr:nvPicPr>
        <xdr:cNvPr id="3341" name="a76f9e9c-0c82-4a9b-9267-4da688fba2a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ad9aac68bb3436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3344</xdr:row>
      <xdr:rowOff>19050</xdr:rowOff>
    </xdr:from>
    <xdr:ext cx="1143000" cy="1143000"/>
    <xdr:pic>
      <xdr:nvPicPr>
        <xdr:cNvPr id="3342" name="d81fc35c-1afc-4b75-aa13-5b2d6218e0f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5dd22f1428446f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3345</xdr:row>
      <xdr:rowOff>19050</xdr:rowOff>
    </xdr:from>
    <xdr:ext cx="1143000" cy="1143000"/>
    <xdr:pic>
      <xdr:nvPicPr>
        <xdr:cNvPr id="3343" name="b989332e-d675-4645-888e-215e5540ab2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3052becac044bc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3346</xdr:row>
      <xdr:rowOff>19050</xdr:rowOff>
    </xdr:from>
    <xdr:ext cx="1143000" cy="1143000"/>
    <xdr:pic>
      <xdr:nvPicPr>
        <xdr:cNvPr id="3344" name="21175d7f-e5c2-4e78-9e56-2401e411a7d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d96b8040d744df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3347</xdr:row>
      <xdr:rowOff>19050</xdr:rowOff>
    </xdr:from>
    <xdr:ext cx="1143000" cy="1143000"/>
    <xdr:pic>
      <xdr:nvPicPr>
        <xdr:cNvPr id="3345" name="f310a1e1-3068-496d-add7-efa8182aa4d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cd3e62b08534f3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3348</xdr:row>
      <xdr:rowOff>19050</xdr:rowOff>
    </xdr:from>
    <xdr:ext cx="1143000" cy="1143000"/>
    <xdr:pic>
      <xdr:nvPicPr>
        <xdr:cNvPr id="3346" name="f31b8638-bd44-4be3-bb21-d4d1f31e8d9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93c47cee3f445b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3349</xdr:row>
      <xdr:rowOff>19050</xdr:rowOff>
    </xdr:from>
    <xdr:ext cx="1143000" cy="1143000"/>
    <xdr:pic>
      <xdr:nvPicPr>
        <xdr:cNvPr id="3347" name="74b05789-5f18-4941-b304-7738180c8a0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920f0d22c894de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3350</xdr:row>
      <xdr:rowOff>19050</xdr:rowOff>
    </xdr:from>
    <xdr:ext cx="1143000" cy="1143000"/>
    <xdr:pic>
      <xdr:nvPicPr>
        <xdr:cNvPr id="3348" name="7e5d9784-ce6a-4582-ad34-8d937a777af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ab65fa54cf244f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3351</xdr:row>
      <xdr:rowOff>19050</xdr:rowOff>
    </xdr:from>
    <xdr:ext cx="1143000" cy="1143000"/>
    <xdr:pic>
      <xdr:nvPicPr>
        <xdr:cNvPr id="3349" name="5f67d53d-dae8-4561-b374-bfec4580acf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5ebe136f1af4d6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3352</xdr:row>
      <xdr:rowOff>19050</xdr:rowOff>
    </xdr:from>
    <xdr:ext cx="1143000" cy="1143000"/>
    <xdr:pic>
      <xdr:nvPicPr>
        <xdr:cNvPr id="3350" name="040b1aa3-207d-4fef-be75-0893d888e9b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488ef8e27a049a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3353</xdr:row>
      <xdr:rowOff>19050</xdr:rowOff>
    </xdr:from>
    <xdr:ext cx="1143000" cy="1143000"/>
    <xdr:pic>
      <xdr:nvPicPr>
        <xdr:cNvPr id="3351" name="f728de0e-6fb1-429d-abb8-034e8664031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508de98f53f491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3354</xdr:row>
      <xdr:rowOff>19050</xdr:rowOff>
    </xdr:from>
    <xdr:ext cx="1143000" cy="1143000"/>
    <xdr:pic>
      <xdr:nvPicPr>
        <xdr:cNvPr id="3352" name="9b5e13ce-8e38-4dac-abee-7d79c0822e3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c7a991fbcef42b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3355</xdr:row>
      <xdr:rowOff>19050</xdr:rowOff>
    </xdr:from>
    <xdr:ext cx="1143000" cy="1143000"/>
    <xdr:pic>
      <xdr:nvPicPr>
        <xdr:cNvPr id="3353" name="0b95cad6-b704-470d-b011-b0ed994e658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53c6c686a644d0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3356</xdr:row>
      <xdr:rowOff>19050</xdr:rowOff>
    </xdr:from>
    <xdr:ext cx="1143000" cy="1143000"/>
    <xdr:pic>
      <xdr:nvPicPr>
        <xdr:cNvPr id="3354" name="6874744c-8afc-4a0a-a3c4-e4222daff3b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bbb2a6e4cec49d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3357</xdr:row>
      <xdr:rowOff>19050</xdr:rowOff>
    </xdr:from>
    <xdr:ext cx="1143000" cy="1143000"/>
    <xdr:pic>
      <xdr:nvPicPr>
        <xdr:cNvPr id="3355" name="5fa7e12e-24f0-4d8b-8f0a-8aa4c1ad942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624c733732941c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3358</xdr:row>
      <xdr:rowOff>19050</xdr:rowOff>
    </xdr:from>
    <xdr:ext cx="1143000" cy="1143000"/>
    <xdr:pic>
      <xdr:nvPicPr>
        <xdr:cNvPr id="3356" name="f0a63a48-3396-4ea0-a386-91683022c8e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27487dc0e48495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3359</xdr:row>
      <xdr:rowOff>19050</xdr:rowOff>
    </xdr:from>
    <xdr:ext cx="1143000" cy="1143000"/>
    <xdr:pic>
      <xdr:nvPicPr>
        <xdr:cNvPr id="3357" name="95452d84-038e-4d36-83a6-8943ff7e073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b62a731abe242b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3360</xdr:row>
      <xdr:rowOff>19050</xdr:rowOff>
    </xdr:from>
    <xdr:ext cx="1143000" cy="1143000"/>
    <xdr:pic>
      <xdr:nvPicPr>
        <xdr:cNvPr id="3358" name="8d080bce-bb44-463d-8d08-792eaa6a977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18b2e8f15c54f1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3361</xdr:row>
      <xdr:rowOff>19050</xdr:rowOff>
    </xdr:from>
    <xdr:ext cx="1143000" cy="1143000"/>
    <xdr:pic>
      <xdr:nvPicPr>
        <xdr:cNvPr id="3359" name="4cde3626-e3c6-4c03-9e65-de409333d5f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2e5d7b906eb4c9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3362</xdr:row>
      <xdr:rowOff>19050</xdr:rowOff>
    </xdr:from>
    <xdr:ext cx="1143000" cy="1143000"/>
    <xdr:pic>
      <xdr:nvPicPr>
        <xdr:cNvPr id="3360" name="322b9146-a22c-4151-aba0-c0e27d4acb7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4be7b8612b7428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3363</xdr:row>
      <xdr:rowOff>19050</xdr:rowOff>
    </xdr:from>
    <xdr:ext cx="1143000" cy="1143000"/>
    <xdr:pic>
      <xdr:nvPicPr>
        <xdr:cNvPr id="3361" name="c7bd37c2-f2db-4923-be25-afe5db9743e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4f56cadd9bb450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3364</xdr:row>
      <xdr:rowOff>19050</xdr:rowOff>
    </xdr:from>
    <xdr:ext cx="1143000" cy="1143000"/>
    <xdr:pic>
      <xdr:nvPicPr>
        <xdr:cNvPr id="3362" name="5666501a-169c-4111-8460-3bf80924a2d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8893c8a4c9343c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3365</xdr:row>
      <xdr:rowOff>19050</xdr:rowOff>
    </xdr:from>
    <xdr:ext cx="1143000" cy="1143000"/>
    <xdr:pic>
      <xdr:nvPicPr>
        <xdr:cNvPr id="3363" name="c011f622-9b2c-4cb5-b74e-8ab5ff18e3f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40d7b5ac31242d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3366</xdr:row>
      <xdr:rowOff>19050</xdr:rowOff>
    </xdr:from>
    <xdr:ext cx="1143000" cy="1143000"/>
    <xdr:pic>
      <xdr:nvPicPr>
        <xdr:cNvPr id="3364" name="8b3489f2-3e9d-49fc-b03a-17fdf11bbc4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83a971f997d449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3367</xdr:row>
      <xdr:rowOff>19050</xdr:rowOff>
    </xdr:from>
    <xdr:ext cx="1143000" cy="1143000"/>
    <xdr:pic>
      <xdr:nvPicPr>
        <xdr:cNvPr id="3365" name="555c4374-73aa-4682-b665-dea8eedae12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58733a0297a479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3368</xdr:row>
      <xdr:rowOff>19050</xdr:rowOff>
    </xdr:from>
    <xdr:ext cx="1143000" cy="1143000"/>
    <xdr:pic>
      <xdr:nvPicPr>
        <xdr:cNvPr id="3366" name="b3374b8b-6704-45ed-ba99-2e7fc926b38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41b4007cc29405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3369</xdr:row>
      <xdr:rowOff>19050</xdr:rowOff>
    </xdr:from>
    <xdr:ext cx="1143000" cy="1143000"/>
    <xdr:pic>
      <xdr:nvPicPr>
        <xdr:cNvPr id="3367" name="bbd6ceec-3ecc-44be-9c7d-1bfc4a61dda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7cdd4b5da0146c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3370</xdr:row>
      <xdr:rowOff>19050</xdr:rowOff>
    </xdr:from>
    <xdr:ext cx="1143000" cy="1143000"/>
    <xdr:pic>
      <xdr:nvPicPr>
        <xdr:cNvPr id="3368" name="e5d859ca-1048-4b6d-99c4-b090663acff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2624bd9d5714d0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3371</xdr:row>
      <xdr:rowOff>19050</xdr:rowOff>
    </xdr:from>
    <xdr:ext cx="1143000" cy="1143000"/>
    <xdr:pic>
      <xdr:nvPicPr>
        <xdr:cNvPr id="3369" name="17b4ddb2-065e-44c1-a6c3-67993020ba6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a9b7b0c82cc47c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3372</xdr:row>
      <xdr:rowOff>19050</xdr:rowOff>
    </xdr:from>
    <xdr:ext cx="1143000" cy="1143000"/>
    <xdr:pic>
      <xdr:nvPicPr>
        <xdr:cNvPr id="3370" name="90300d53-60ec-453e-8ade-91e07beb64b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88950e5cfcb4d7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3373</xdr:row>
      <xdr:rowOff>19050</xdr:rowOff>
    </xdr:from>
    <xdr:ext cx="1143000" cy="1143000"/>
    <xdr:pic>
      <xdr:nvPicPr>
        <xdr:cNvPr id="3371" name="8c486d5b-46eb-4747-83f9-def6a6885cd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3fb51561051451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3374</xdr:row>
      <xdr:rowOff>19050</xdr:rowOff>
    </xdr:from>
    <xdr:ext cx="1143000" cy="1143000"/>
    <xdr:pic>
      <xdr:nvPicPr>
        <xdr:cNvPr id="3372" name="e5b9d997-1548-468c-aff2-57fff602805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e4d7a81bed54f5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3375</xdr:row>
      <xdr:rowOff>19050</xdr:rowOff>
    </xdr:from>
    <xdr:ext cx="1143000" cy="1143000"/>
    <xdr:pic>
      <xdr:nvPicPr>
        <xdr:cNvPr id="3373" name="8e388a6c-2018-47be-b5fe-6ad3d2bd6dd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7371302a13b4c0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3376</xdr:row>
      <xdr:rowOff>19050</xdr:rowOff>
    </xdr:from>
    <xdr:ext cx="1143000" cy="1143000"/>
    <xdr:pic>
      <xdr:nvPicPr>
        <xdr:cNvPr id="3374" name="a9a9b010-e10c-47d4-b0df-a22b8b85c63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7003a2bf06a43d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3377</xdr:row>
      <xdr:rowOff>19050</xdr:rowOff>
    </xdr:from>
    <xdr:ext cx="1143000" cy="1143000"/>
    <xdr:pic>
      <xdr:nvPicPr>
        <xdr:cNvPr id="3375" name="4513d6f7-c0f7-4c92-8180-6f788676f4b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1bcc8d90615451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3378</xdr:row>
      <xdr:rowOff>19050</xdr:rowOff>
    </xdr:from>
    <xdr:ext cx="1143000" cy="1143000"/>
    <xdr:pic>
      <xdr:nvPicPr>
        <xdr:cNvPr id="3376" name="3d92e3ee-384f-45ec-bf50-e202d2b3d1b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f58313493ff465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3379</xdr:row>
      <xdr:rowOff>19050</xdr:rowOff>
    </xdr:from>
    <xdr:ext cx="1143000" cy="1143000"/>
    <xdr:pic>
      <xdr:nvPicPr>
        <xdr:cNvPr id="3377" name="75262b99-9563-47a0-93a6-460bbdd1373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7aabb0529e4465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3380</xdr:row>
      <xdr:rowOff>19050</xdr:rowOff>
    </xdr:from>
    <xdr:ext cx="1143000" cy="1143000"/>
    <xdr:pic>
      <xdr:nvPicPr>
        <xdr:cNvPr id="3378" name="7363fdc0-ed09-40ca-87e0-2b32050440c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77ebeff52ce4ac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3381</xdr:row>
      <xdr:rowOff>19050</xdr:rowOff>
    </xdr:from>
    <xdr:ext cx="1143000" cy="1143000"/>
    <xdr:pic>
      <xdr:nvPicPr>
        <xdr:cNvPr id="3379" name="43c06d9b-fb95-4118-93dc-d8b9455eab2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3fc2e1357c54f9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3382</xdr:row>
      <xdr:rowOff>19050</xdr:rowOff>
    </xdr:from>
    <xdr:ext cx="1143000" cy="1143000"/>
    <xdr:pic>
      <xdr:nvPicPr>
        <xdr:cNvPr id="3380" name="92c241d5-b60e-44bb-84da-3e9e5a01c61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aadee2cf90c46c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3383</xdr:row>
      <xdr:rowOff>19050</xdr:rowOff>
    </xdr:from>
    <xdr:ext cx="1143000" cy="1143000"/>
    <xdr:pic>
      <xdr:nvPicPr>
        <xdr:cNvPr id="3381" name="87c63e18-9bbf-4ad9-b63b-86f0171d00d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784980ee6e445d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3384</xdr:row>
      <xdr:rowOff>19050</xdr:rowOff>
    </xdr:from>
    <xdr:ext cx="1143000" cy="1143000"/>
    <xdr:pic>
      <xdr:nvPicPr>
        <xdr:cNvPr id="3382" name="93289bbb-4c35-4183-9035-49d12922255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e958c59b45a4a9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3385</xdr:row>
      <xdr:rowOff>19050</xdr:rowOff>
    </xdr:from>
    <xdr:ext cx="1143000" cy="1143000"/>
    <xdr:pic>
      <xdr:nvPicPr>
        <xdr:cNvPr id="3383" name="5a79c2b3-7379-43dc-9ac5-bbcc371b612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33bfcd0d01241e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3386</xdr:row>
      <xdr:rowOff>19050</xdr:rowOff>
    </xdr:from>
    <xdr:ext cx="1143000" cy="1143000"/>
    <xdr:pic>
      <xdr:nvPicPr>
        <xdr:cNvPr id="3384" name="43396bf8-e7e1-46c5-853a-1edda9af8b4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f0a86021d58458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3387</xdr:row>
      <xdr:rowOff>19050</xdr:rowOff>
    </xdr:from>
    <xdr:ext cx="1143000" cy="1143000"/>
    <xdr:pic>
      <xdr:nvPicPr>
        <xdr:cNvPr id="3385" name="a3ab9d30-48c7-48d2-ad86-348734b6b08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7dfa3da211a48f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3388</xdr:row>
      <xdr:rowOff>19050</xdr:rowOff>
    </xdr:from>
    <xdr:ext cx="1143000" cy="1143000"/>
    <xdr:pic>
      <xdr:nvPicPr>
        <xdr:cNvPr id="3386" name="7c334572-68f5-4178-b817-c46e8acdbf3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10e17daf486424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3389</xdr:row>
      <xdr:rowOff>19050</xdr:rowOff>
    </xdr:from>
    <xdr:ext cx="1143000" cy="1143000"/>
    <xdr:pic>
      <xdr:nvPicPr>
        <xdr:cNvPr id="3387" name="3315fb8c-3734-44d7-955d-b5fb6aa4a89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37b548a2a15455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3390</xdr:row>
      <xdr:rowOff>19050</xdr:rowOff>
    </xdr:from>
    <xdr:ext cx="1143000" cy="1143000"/>
    <xdr:pic>
      <xdr:nvPicPr>
        <xdr:cNvPr id="3388" name="493010f2-600e-4191-9958-202a2480634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dc5c8143a3b4ea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3391</xdr:row>
      <xdr:rowOff>19050</xdr:rowOff>
    </xdr:from>
    <xdr:ext cx="1143000" cy="1143000"/>
    <xdr:pic>
      <xdr:nvPicPr>
        <xdr:cNvPr id="3389" name="170de086-88fb-4b4e-8974-784bbc51961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93bd2553e4e430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3392</xdr:row>
      <xdr:rowOff>19050</xdr:rowOff>
    </xdr:from>
    <xdr:ext cx="1143000" cy="1143000"/>
    <xdr:pic>
      <xdr:nvPicPr>
        <xdr:cNvPr id="3390" name="aea56c29-e96b-4b7f-8091-8ba4c5efaeb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5c838748c9342b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3393</xdr:row>
      <xdr:rowOff>19050</xdr:rowOff>
    </xdr:from>
    <xdr:ext cx="1143000" cy="1143000"/>
    <xdr:pic>
      <xdr:nvPicPr>
        <xdr:cNvPr id="3391" name="29a8b000-72f3-4675-a4f5-96b0d75df3a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ce6147b14d9408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3394</xdr:row>
      <xdr:rowOff>19050</xdr:rowOff>
    </xdr:from>
    <xdr:ext cx="1143000" cy="1143000"/>
    <xdr:pic>
      <xdr:nvPicPr>
        <xdr:cNvPr id="3392" name="e5f5d333-decb-4d0f-8dda-173058bdad8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6ca010894b7466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3395</xdr:row>
      <xdr:rowOff>19050</xdr:rowOff>
    </xdr:from>
    <xdr:ext cx="1143000" cy="1143000"/>
    <xdr:pic>
      <xdr:nvPicPr>
        <xdr:cNvPr id="3393" name="a1ed5ce2-2d5a-436d-be81-9cc7d4612d8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b393ac2a55d470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3396</xdr:row>
      <xdr:rowOff>19050</xdr:rowOff>
    </xdr:from>
    <xdr:ext cx="1143000" cy="1143000"/>
    <xdr:pic>
      <xdr:nvPicPr>
        <xdr:cNvPr id="3394" name="f7db9de0-2da4-4793-a1aa-ce6540386c8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4bec08fd32d492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3397</xdr:row>
      <xdr:rowOff>19050</xdr:rowOff>
    </xdr:from>
    <xdr:ext cx="1143000" cy="1143000"/>
    <xdr:pic>
      <xdr:nvPicPr>
        <xdr:cNvPr id="3395" name="c3476575-6fdf-4b75-94a6-3b4b30f3ebd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b6fc3d315354b5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3398</xdr:row>
      <xdr:rowOff>19050</xdr:rowOff>
    </xdr:from>
    <xdr:ext cx="1143000" cy="1143000"/>
    <xdr:pic>
      <xdr:nvPicPr>
        <xdr:cNvPr id="3396" name="311e00ba-9bae-4b13-a28e-59df230888e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417ccc0f5a5451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3399</xdr:row>
      <xdr:rowOff>19050</xdr:rowOff>
    </xdr:from>
    <xdr:ext cx="1143000" cy="1143000"/>
    <xdr:pic>
      <xdr:nvPicPr>
        <xdr:cNvPr id="3397" name="1c39a21b-ee45-4dc9-887a-a011f099280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485306d8a2d41a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3400</xdr:row>
      <xdr:rowOff>19050</xdr:rowOff>
    </xdr:from>
    <xdr:ext cx="1143000" cy="1143000"/>
    <xdr:pic>
      <xdr:nvPicPr>
        <xdr:cNvPr id="3398" name="31ba6158-ef0e-47b5-a675-7775244ce10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5a7b66c6055471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3401</xdr:row>
      <xdr:rowOff>19050</xdr:rowOff>
    </xdr:from>
    <xdr:ext cx="1143000" cy="1143000"/>
    <xdr:pic>
      <xdr:nvPicPr>
        <xdr:cNvPr id="3399" name="ab4254d0-130b-4609-bcad-c460675f8bf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8bf167889f642d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3402</xdr:row>
      <xdr:rowOff>19050</xdr:rowOff>
    </xdr:from>
    <xdr:ext cx="1143000" cy="1143000"/>
    <xdr:pic>
      <xdr:nvPicPr>
        <xdr:cNvPr id="3400" name="371db01b-fd07-4e42-abac-2a48b2f5bbb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9c7e105913a494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3403</xdr:row>
      <xdr:rowOff>19050</xdr:rowOff>
    </xdr:from>
    <xdr:ext cx="1143000" cy="1143000"/>
    <xdr:pic>
      <xdr:nvPicPr>
        <xdr:cNvPr id="3401" name="be0aa32e-9814-469f-86cb-a0cc51ea1ca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e26d356679141b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3404</xdr:row>
      <xdr:rowOff>19050</xdr:rowOff>
    </xdr:from>
    <xdr:ext cx="1143000" cy="1143000"/>
    <xdr:pic>
      <xdr:nvPicPr>
        <xdr:cNvPr id="3402" name="5b5de9c6-380c-4c45-87a6-07d93c8734c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a50814b8a9847d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3405</xdr:row>
      <xdr:rowOff>19050</xdr:rowOff>
    </xdr:from>
    <xdr:ext cx="1143000" cy="1143000"/>
    <xdr:pic>
      <xdr:nvPicPr>
        <xdr:cNvPr id="3403" name="08ce4d84-0be9-4987-b45f-57dba5d9258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076a5772e74448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3406</xdr:row>
      <xdr:rowOff>19050</xdr:rowOff>
    </xdr:from>
    <xdr:ext cx="1143000" cy="1143000"/>
    <xdr:pic>
      <xdr:nvPicPr>
        <xdr:cNvPr id="3404" name="988b9e81-7543-44d2-ada6-bbe7d0d83ad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4179b2321c749c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3407</xdr:row>
      <xdr:rowOff>19050</xdr:rowOff>
    </xdr:from>
    <xdr:ext cx="1143000" cy="1143000"/>
    <xdr:pic>
      <xdr:nvPicPr>
        <xdr:cNvPr id="3405" name="302d0500-208e-4660-b0d4-668b6dcb3b8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dacbfc1ffad4a2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3408</xdr:row>
      <xdr:rowOff>19050</xdr:rowOff>
    </xdr:from>
    <xdr:ext cx="1143000" cy="1143000"/>
    <xdr:pic>
      <xdr:nvPicPr>
        <xdr:cNvPr id="3406" name="d2e4c3b5-c946-4d61-aa2d-e898d47eabb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a64b3cf293c45c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3409</xdr:row>
      <xdr:rowOff>19050</xdr:rowOff>
    </xdr:from>
    <xdr:ext cx="1143000" cy="1143000"/>
    <xdr:pic>
      <xdr:nvPicPr>
        <xdr:cNvPr id="3407" name="774b2c0a-8205-4fc4-a47e-a3f33bc2135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978f0bb31394d5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3410</xdr:row>
      <xdr:rowOff>19050</xdr:rowOff>
    </xdr:from>
    <xdr:ext cx="1143000" cy="1143000"/>
    <xdr:pic>
      <xdr:nvPicPr>
        <xdr:cNvPr id="3408" name="68fd5a66-f3eb-4d56-b2dd-3a05aec23b8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78662651d694c3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3411</xdr:row>
      <xdr:rowOff>19050</xdr:rowOff>
    </xdr:from>
    <xdr:ext cx="1143000" cy="1143000"/>
    <xdr:pic>
      <xdr:nvPicPr>
        <xdr:cNvPr id="3409" name="2d37e52f-f2e1-4ff5-9f26-73b25e79b29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ef6e3f49ca746d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3412</xdr:row>
      <xdr:rowOff>19050</xdr:rowOff>
    </xdr:from>
    <xdr:ext cx="1143000" cy="1143000"/>
    <xdr:pic>
      <xdr:nvPicPr>
        <xdr:cNvPr id="3410" name="e9d06964-adfb-4338-b025-c51c1f93fbe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9013275b5e14bf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3413</xdr:row>
      <xdr:rowOff>19050</xdr:rowOff>
    </xdr:from>
    <xdr:ext cx="1143000" cy="1143000"/>
    <xdr:pic>
      <xdr:nvPicPr>
        <xdr:cNvPr id="3411" name="4755d437-a35a-4edc-9801-b514ff1b8c9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e82cb0784554b8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3414</xdr:row>
      <xdr:rowOff>19050</xdr:rowOff>
    </xdr:from>
    <xdr:ext cx="1143000" cy="1143000"/>
    <xdr:pic>
      <xdr:nvPicPr>
        <xdr:cNvPr id="3412" name="d73a6d92-f777-4d91-9331-80f40f14452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113755d79cf492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3415</xdr:row>
      <xdr:rowOff>19050</xdr:rowOff>
    </xdr:from>
    <xdr:ext cx="1143000" cy="1143000"/>
    <xdr:pic>
      <xdr:nvPicPr>
        <xdr:cNvPr id="3413" name="eff2401e-1f34-493e-af22-62b62b3fea8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9af32e398c74f4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3416</xdr:row>
      <xdr:rowOff>19050</xdr:rowOff>
    </xdr:from>
    <xdr:ext cx="1143000" cy="1143000"/>
    <xdr:pic>
      <xdr:nvPicPr>
        <xdr:cNvPr id="3414" name="9dcc8820-0999-4305-86e8-0575b91b468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ede1ba85bcb44e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3417</xdr:row>
      <xdr:rowOff>19050</xdr:rowOff>
    </xdr:from>
    <xdr:ext cx="1143000" cy="1143000"/>
    <xdr:pic>
      <xdr:nvPicPr>
        <xdr:cNvPr id="3415" name="62580307-491a-46ee-96fc-4091bb10581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3659e3a1cc2468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3418</xdr:row>
      <xdr:rowOff>19050</xdr:rowOff>
    </xdr:from>
    <xdr:ext cx="1143000" cy="1143000"/>
    <xdr:pic>
      <xdr:nvPicPr>
        <xdr:cNvPr id="3416" name="3750d70a-285f-445e-9a19-475d0accbb8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6b25f52f04b46d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3419</xdr:row>
      <xdr:rowOff>19050</xdr:rowOff>
    </xdr:from>
    <xdr:ext cx="1143000" cy="1143000"/>
    <xdr:pic>
      <xdr:nvPicPr>
        <xdr:cNvPr id="3417" name="e61211b6-5eb0-4e4a-b282-b8544a34262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25c1210ea5b43d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3420</xdr:row>
      <xdr:rowOff>19050</xdr:rowOff>
    </xdr:from>
    <xdr:ext cx="1143000" cy="1143000"/>
    <xdr:pic>
      <xdr:nvPicPr>
        <xdr:cNvPr id="3418" name="f3d6ee0a-0cb6-4597-91ce-abe86e914df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8d4cf8eaffc4d2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3421</xdr:row>
      <xdr:rowOff>19050</xdr:rowOff>
    </xdr:from>
    <xdr:ext cx="1143000" cy="1143000"/>
    <xdr:pic>
      <xdr:nvPicPr>
        <xdr:cNvPr id="3419" name="ef1872cc-473b-4c6b-91c5-11d9d2ea14c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0f69404813a4da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3422</xdr:row>
      <xdr:rowOff>19050</xdr:rowOff>
    </xdr:from>
    <xdr:ext cx="1143000" cy="1143000"/>
    <xdr:pic>
      <xdr:nvPicPr>
        <xdr:cNvPr id="3420" name="be304e97-0ead-4f5a-b7cb-ab18988fc84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a248ed804974bd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3423</xdr:row>
      <xdr:rowOff>19050</xdr:rowOff>
    </xdr:from>
    <xdr:ext cx="1143000" cy="1143000"/>
    <xdr:pic>
      <xdr:nvPicPr>
        <xdr:cNvPr id="3421" name="5cd48cd1-24a3-4248-8c98-4d77fd54a63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de31955ecb94aa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3424</xdr:row>
      <xdr:rowOff>19050</xdr:rowOff>
    </xdr:from>
    <xdr:ext cx="1143000" cy="1143000"/>
    <xdr:pic>
      <xdr:nvPicPr>
        <xdr:cNvPr id="3422" name="7e6a6d61-657d-4d5b-8451-683bc65ca28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7e41fc4022641a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3425</xdr:row>
      <xdr:rowOff>19050</xdr:rowOff>
    </xdr:from>
    <xdr:ext cx="1143000" cy="1143000"/>
    <xdr:pic>
      <xdr:nvPicPr>
        <xdr:cNvPr id="3423" name="1467754c-bddd-46c5-97ae-adddedd8b95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9e7c012735342a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3426</xdr:row>
      <xdr:rowOff>19050</xdr:rowOff>
    </xdr:from>
    <xdr:ext cx="1143000" cy="1143000"/>
    <xdr:pic>
      <xdr:nvPicPr>
        <xdr:cNvPr id="3424" name="054a7292-3045-4c21-b6aa-84eb4a5fcb3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53ddb87eee44df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3427</xdr:row>
      <xdr:rowOff>19050</xdr:rowOff>
    </xdr:from>
    <xdr:ext cx="1143000" cy="1143000"/>
    <xdr:pic>
      <xdr:nvPicPr>
        <xdr:cNvPr id="3425" name="cc17ab62-ef0b-4e6f-ae5f-a1f6c3325e8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a484d1507dd44e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3428</xdr:row>
      <xdr:rowOff>19050</xdr:rowOff>
    </xdr:from>
    <xdr:ext cx="1143000" cy="1143000"/>
    <xdr:pic>
      <xdr:nvPicPr>
        <xdr:cNvPr id="3426" name="e9ee66d2-bc63-47bd-8a0c-10ab20438e5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3c8de087f414e3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3429</xdr:row>
      <xdr:rowOff>19050</xdr:rowOff>
    </xdr:from>
    <xdr:ext cx="1143000" cy="1143000"/>
    <xdr:pic>
      <xdr:nvPicPr>
        <xdr:cNvPr id="3427" name="f77e44a5-3499-4745-8199-8407e30aa32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16bdf7b9c9c4b5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3430</xdr:row>
      <xdr:rowOff>19050</xdr:rowOff>
    </xdr:from>
    <xdr:ext cx="1143000" cy="1143000"/>
    <xdr:pic>
      <xdr:nvPicPr>
        <xdr:cNvPr id="3428" name="c3e0c0e0-06bd-46c3-a142-9290d2ae377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b2171960af54dd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3431</xdr:row>
      <xdr:rowOff>19050</xdr:rowOff>
    </xdr:from>
    <xdr:ext cx="1143000" cy="1143000"/>
    <xdr:pic>
      <xdr:nvPicPr>
        <xdr:cNvPr id="3429" name="2e8d74dc-849d-4fd9-bb2d-72bb10af5b3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8f60180842645e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3432</xdr:row>
      <xdr:rowOff>19050</xdr:rowOff>
    </xdr:from>
    <xdr:ext cx="1143000" cy="1143000"/>
    <xdr:pic>
      <xdr:nvPicPr>
        <xdr:cNvPr id="3430" name="5de619cb-f90e-48eb-9e5d-faa2449845d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c5fd751209d404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3433</xdr:row>
      <xdr:rowOff>19050</xdr:rowOff>
    </xdr:from>
    <xdr:ext cx="1143000" cy="1143000"/>
    <xdr:pic>
      <xdr:nvPicPr>
        <xdr:cNvPr id="3431" name="10a4a82e-17fc-4836-a2f5-742771fc4ec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9c7bfb53d7b43f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3434</xdr:row>
      <xdr:rowOff>19050</xdr:rowOff>
    </xdr:from>
    <xdr:ext cx="1143000" cy="1143000"/>
    <xdr:pic>
      <xdr:nvPicPr>
        <xdr:cNvPr id="3432" name="7dd21c9d-414c-4b81-b8f3-0561ed52139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287d78b094547a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3435</xdr:row>
      <xdr:rowOff>19050</xdr:rowOff>
    </xdr:from>
    <xdr:ext cx="1143000" cy="1143000"/>
    <xdr:pic>
      <xdr:nvPicPr>
        <xdr:cNvPr id="3433" name="4774ea24-3a27-4f8e-82b4-ef45689a1c9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0271cd4727a4de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3436</xdr:row>
      <xdr:rowOff>19050</xdr:rowOff>
    </xdr:from>
    <xdr:ext cx="1143000" cy="1143000"/>
    <xdr:pic>
      <xdr:nvPicPr>
        <xdr:cNvPr id="3434" name="3c3ddeed-9669-4e8e-93cb-24a0ad400ba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7e68bc19331488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3437</xdr:row>
      <xdr:rowOff>19050</xdr:rowOff>
    </xdr:from>
    <xdr:ext cx="1143000" cy="1143000"/>
    <xdr:pic>
      <xdr:nvPicPr>
        <xdr:cNvPr id="3435" name="45b11a6b-6118-4878-8fea-72dceaeeb58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6ec1c4731fc45d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3438</xdr:row>
      <xdr:rowOff>19050</xdr:rowOff>
    </xdr:from>
    <xdr:ext cx="1143000" cy="1143000"/>
    <xdr:pic>
      <xdr:nvPicPr>
        <xdr:cNvPr id="3436" name="b52a73ab-ee67-4da5-85b9-b98266e3ef3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17643e2654d482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3439</xdr:row>
      <xdr:rowOff>19050</xdr:rowOff>
    </xdr:from>
    <xdr:ext cx="1143000" cy="1143000"/>
    <xdr:pic>
      <xdr:nvPicPr>
        <xdr:cNvPr id="3437" name="c1e9f070-40fa-4e64-a33f-688badd46a2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2d7c943327c4aa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3440</xdr:row>
      <xdr:rowOff>19050</xdr:rowOff>
    </xdr:from>
    <xdr:ext cx="1143000" cy="1143000"/>
    <xdr:pic>
      <xdr:nvPicPr>
        <xdr:cNvPr id="3438" name="fab8de9f-5c38-460e-b912-bf9095cc231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664769dbd134b4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3441</xdr:row>
      <xdr:rowOff>19050</xdr:rowOff>
    </xdr:from>
    <xdr:ext cx="1143000" cy="1143000"/>
    <xdr:pic>
      <xdr:nvPicPr>
        <xdr:cNvPr id="3439" name="849dc396-adbf-4dcc-aefa-f9107e9215d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e9e2fdadc40488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3442</xdr:row>
      <xdr:rowOff>19050</xdr:rowOff>
    </xdr:from>
    <xdr:ext cx="1143000" cy="1143000"/>
    <xdr:pic>
      <xdr:nvPicPr>
        <xdr:cNvPr id="3440" name="54119874-ff50-4696-839e-1cc21a81d78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9893d7266f1463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3443</xdr:row>
      <xdr:rowOff>19050</xdr:rowOff>
    </xdr:from>
    <xdr:ext cx="1143000" cy="1143000"/>
    <xdr:pic>
      <xdr:nvPicPr>
        <xdr:cNvPr id="3441" name="0767b272-35fe-44e2-952e-f35d5b6231b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9dd09441892461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3444</xdr:row>
      <xdr:rowOff>19050</xdr:rowOff>
    </xdr:from>
    <xdr:ext cx="1143000" cy="1143000"/>
    <xdr:pic>
      <xdr:nvPicPr>
        <xdr:cNvPr id="3442" name="cc46f3c7-3680-4c7a-9a8a-ed2ba9d7aa2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54a1fe1b2c8405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3445</xdr:row>
      <xdr:rowOff>19050</xdr:rowOff>
    </xdr:from>
    <xdr:ext cx="1143000" cy="1143000"/>
    <xdr:pic>
      <xdr:nvPicPr>
        <xdr:cNvPr id="3443" name="961bcb5e-f7aa-4d2c-b9c5-1eba2bce96b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4a273db48e84bb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3446</xdr:row>
      <xdr:rowOff>19050</xdr:rowOff>
    </xdr:from>
    <xdr:ext cx="1143000" cy="1143000"/>
    <xdr:pic>
      <xdr:nvPicPr>
        <xdr:cNvPr id="3444" name="1c43424b-1a5e-422d-87da-4c0820c3765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d3abb86c8b7472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3447</xdr:row>
      <xdr:rowOff>19050</xdr:rowOff>
    </xdr:from>
    <xdr:ext cx="1143000" cy="1143000"/>
    <xdr:pic>
      <xdr:nvPicPr>
        <xdr:cNvPr id="3445" name="2c3220ce-efc0-406b-9dc8-ccf0eea3114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88295f33fee4ce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3448</xdr:row>
      <xdr:rowOff>19050</xdr:rowOff>
    </xdr:from>
    <xdr:ext cx="1143000" cy="1143000"/>
    <xdr:pic>
      <xdr:nvPicPr>
        <xdr:cNvPr id="3446" name="6e4954ae-4ba4-4b61-8ecc-df5c49f3dc3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8ddfd4a97874ec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3449</xdr:row>
      <xdr:rowOff>19050</xdr:rowOff>
    </xdr:from>
    <xdr:ext cx="1143000" cy="1143000"/>
    <xdr:pic>
      <xdr:nvPicPr>
        <xdr:cNvPr id="3447" name="d141e95e-4d5b-433d-98bc-c4149d47556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def95a0ba3c48a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3450</xdr:row>
      <xdr:rowOff>19050</xdr:rowOff>
    </xdr:from>
    <xdr:ext cx="1143000" cy="1143000"/>
    <xdr:pic>
      <xdr:nvPicPr>
        <xdr:cNvPr id="3448" name="dc34bd64-8b85-4bf9-ba05-e274880689d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203ad31a80942d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3451</xdr:row>
      <xdr:rowOff>19050</xdr:rowOff>
    </xdr:from>
    <xdr:ext cx="1143000" cy="1143000"/>
    <xdr:pic>
      <xdr:nvPicPr>
        <xdr:cNvPr id="3449" name="7e6e17ad-7290-43b6-8d6e-ac5780d3f56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360fd48214f4b9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3452</xdr:row>
      <xdr:rowOff>19050</xdr:rowOff>
    </xdr:from>
    <xdr:ext cx="1143000" cy="1143000"/>
    <xdr:pic>
      <xdr:nvPicPr>
        <xdr:cNvPr id="3450" name="7081af43-133b-4357-8c01-1fc84347c86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58b2244657d483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3453</xdr:row>
      <xdr:rowOff>19050</xdr:rowOff>
    </xdr:from>
    <xdr:ext cx="1143000" cy="1143000"/>
    <xdr:pic>
      <xdr:nvPicPr>
        <xdr:cNvPr id="3451" name="ac2b9a45-0616-4513-8619-c164e6e460a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254e867b59b4c0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3454</xdr:row>
      <xdr:rowOff>19050</xdr:rowOff>
    </xdr:from>
    <xdr:ext cx="1143000" cy="1143000"/>
    <xdr:pic>
      <xdr:nvPicPr>
        <xdr:cNvPr id="3452" name="c25d8951-66e2-4f71-8a52-b2bd2d30bc5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c4b651a0807446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3455</xdr:row>
      <xdr:rowOff>19050</xdr:rowOff>
    </xdr:from>
    <xdr:ext cx="1143000" cy="1143000"/>
    <xdr:pic>
      <xdr:nvPicPr>
        <xdr:cNvPr id="3453" name="d1b31f75-59e4-4092-9ffc-1f1bd2e8abe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cc3869d30964f6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3456</xdr:row>
      <xdr:rowOff>19050</xdr:rowOff>
    </xdr:from>
    <xdr:ext cx="1143000" cy="1143000"/>
    <xdr:pic>
      <xdr:nvPicPr>
        <xdr:cNvPr id="3454" name="561edc69-bf65-44d2-86c6-39fd3cf866e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7168ba7f6e0426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3457</xdr:row>
      <xdr:rowOff>19050</xdr:rowOff>
    </xdr:from>
    <xdr:ext cx="1143000" cy="1143000"/>
    <xdr:pic>
      <xdr:nvPicPr>
        <xdr:cNvPr id="3455" name="bc1b6632-75aa-49ca-9617-fbb304ee73c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0f143a06cdd474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3458</xdr:row>
      <xdr:rowOff>19050</xdr:rowOff>
    </xdr:from>
    <xdr:ext cx="1143000" cy="1143000"/>
    <xdr:pic>
      <xdr:nvPicPr>
        <xdr:cNvPr id="3456" name="d07d6031-dfd3-401c-beaf-483114d83b8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847cf18c19a404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3459</xdr:row>
      <xdr:rowOff>19050</xdr:rowOff>
    </xdr:from>
    <xdr:ext cx="1143000" cy="1143000"/>
    <xdr:pic>
      <xdr:nvPicPr>
        <xdr:cNvPr id="3457" name="4ed3a2d5-4ddc-42f9-8d80-b5e536c0e0d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e2ef119150e4ad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3460</xdr:row>
      <xdr:rowOff>19050</xdr:rowOff>
    </xdr:from>
    <xdr:ext cx="1143000" cy="1143000"/>
    <xdr:pic>
      <xdr:nvPicPr>
        <xdr:cNvPr id="3458" name="49ed9b2e-ebed-4178-a851-99ecd159bdf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0602417f8aa48e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3461</xdr:row>
      <xdr:rowOff>19050</xdr:rowOff>
    </xdr:from>
    <xdr:ext cx="1143000" cy="1143000"/>
    <xdr:pic>
      <xdr:nvPicPr>
        <xdr:cNvPr id="3459" name="5e384a15-c5be-4c37-809b-142114ea258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48231bbc57b4e2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3462</xdr:row>
      <xdr:rowOff>19050</xdr:rowOff>
    </xdr:from>
    <xdr:ext cx="1143000" cy="1143000"/>
    <xdr:pic>
      <xdr:nvPicPr>
        <xdr:cNvPr id="3460" name="3d6538d8-da65-4d2f-aee7-1216be4bcfb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05c189be6c6435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3463</xdr:row>
      <xdr:rowOff>19050</xdr:rowOff>
    </xdr:from>
    <xdr:ext cx="1143000" cy="1143000"/>
    <xdr:pic>
      <xdr:nvPicPr>
        <xdr:cNvPr id="3461" name="27f5da3c-8803-402c-b716-228e028825b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7daa6351de741f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3464</xdr:row>
      <xdr:rowOff>19050</xdr:rowOff>
    </xdr:from>
    <xdr:ext cx="1143000" cy="1143000"/>
    <xdr:pic>
      <xdr:nvPicPr>
        <xdr:cNvPr id="3462" name="7a32ba3d-bb88-4d46-8884-b0cab466747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79dbd0cb6c24e0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3465</xdr:row>
      <xdr:rowOff>19050</xdr:rowOff>
    </xdr:from>
    <xdr:ext cx="1143000" cy="1143000"/>
    <xdr:pic>
      <xdr:nvPicPr>
        <xdr:cNvPr id="3463" name="39fa6d70-0872-40f8-968a-ca0e4d991d9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9b7f820e956453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3466</xdr:row>
      <xdr:rowOff>19050</xdr:rowOff>
    </xdr:from>
    <xdr:ext cx="1143000" cy="1143000"/>
    <xdr:pic>
      <xdr:nvPicPr>
        <xdr:cNvPr id="3464" name="81e167dc-f7e8-4236-a8b4-bd273ad2131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a260e1770d64c7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3467</xdr:row>
      <xdr:rowOff>19050</xdr:rowOff>
    </xdr:from>
    <xdr:ext cx="1143000" cy="1143000"/>
    <xdr:pic>
      <xdr:nvPicPr>
        <xdr:cNvPr id="3465" name="ed179a17-aee5-4d8a-9f08-9ff027cec00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903b52e5331454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3468</xdr:row>
      <xdr:rowOff>19050</xdr:rowOff>
    </xdr:from>
    <xdr:ext cx="1143000" cy="1143000"/>
    <xdr:pic>
      <xdr:nvPicPr>
        <xdr:cNvPr id="3466" name="7bbde8d8-6b1d-44b8-862e-55adfdb4e0f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2f0ecf620274e5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3469</xdr:row>
      <xdr:rowOff>19050</xdr:rowOff>
    </xdr:from>
    <xdr:ext cx="1143000" cy="1143000"/>
    <xdr:pic>
      <xdr:nvPicPr>
        <xdr:cNvPr id="3467" name="f1c91d1e-1f2e-4f46-a52c-1ee7caf69b4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db2d3b453cf47b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3470</xdr:row>
      <xdr:rowOff>19050</xdr:rowOff>
    </xdr:from>
    <xdr:ext cx="1143000" cy="1143000"/>
    <xdr:pic>
      <xdr:nvPicPr>
        <xdr:cNvPr id="3468" name="0d531bf8-27ef-4b0a-9161-bd5a949bb43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e9abd8bebd9441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3471</xdr:row>
      <xdr:rowOff>19050</xdr:rowOff>
    </xdr:from>
    <xdr:ext cx="1143000" cy="1143000"/>
    <xdr:pic>
      <xdr:nvPicPr>
        <xdr:cNvPr id="3469" name="26695dbc-35f7-42b9-b90a-f82c1fa3c73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50f5835ee054b0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3472</xdr:row>
      <xdr:rowOff>19050</xdr:rowOff>
    </xdr:from>
    <xdr:ext cx="1143000" cy="1143000"/>
    <xdr:pic>
      <xdr:nvPicPr>
        <xdr:cNvPr id="3470" name="8abd6b8c-0dd4-45b0-9025-6bf0e511182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73b259e09f74db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3473</xdr:row>
      <xdr:rowOff>19050</xdr:rowOff>
    </xdr:from>
    <xdr:ext cx="1143000" cy="1143000"/>
    <xdr:pic>
      <xdr:nvPicPr>
        <xdr:cNvPr id="3471" name="225f27b5-d6e5-4aa3-b679-ab4fff6872c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4e7e333dfe942b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3474</xdr:row>
      <xdr:rowOff>19050</xdr:rowOff>
    </xdr:from>
    <xdr:ext cx="1143000" cy="1143000"/>
    <xdr:pic>
      <xdr:nvPicPr>
        <xdr:cNvPr id="3472" name="d554f756-8cde-4695-a580-dd7f1c2f4f2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55321cac5a649d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3475</xdr:row>
      <xdr:rowOff>19050</xdr:rowOff>
    </xdr:from>
    <xdr:ext cx="1143000" cy="1143000"/>
    <xdr:pic>
      <xdr:nvPicPr>
        <xdr:cNvPr id="3473" name="9626a698-cd7b-4df6-9581-29dc4a25156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e84ba984a4144c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3476</xdr:row>
      <xdr:rowOff>19050</xdr:rowOff>
    </xdr:from>
    <xdr:ext cx="1143000" cy="1143000"/>
    <xdr:pic>
      <xdr:nvPicPr>
        <xdr:cNvPr id="3474" name="ea329816-9d71-47be-8985-e3ff95ab820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d7186315ab9454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3477</xdr:row>
      <xdr:rowOff>19050</xdr:rowOff>
    </xdr:from>
    <xdr:ext cx="1143000" cy="1143000"/>
    <xdr:pic>
      <xdr:nvPicPr>
        <xdr:cNvPr id="3475" name="81a18667-dc48-47a9-9b29-e97c886cbd3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66b1bd42480490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3478</xdr:row>
      <xdr:rowOff>19050</xdr:rowOff>
    </xdr:from>
    <xdr:ext cx="1143000" cy="1143000"/>
    <xdr:pic>
      <xdr:nvPicPr>
        <xdr:cNvPr id="3476" name="b53cf7c3-89d4-459a-b73c-6e1377e7120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a3d456d8b694f2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3479</xdr:row>
      <xdr:rowOff>19050</xdr:rowOff>
    </xdr:from>
    <xdr:ext cx="1143000" cy="1143000"/>
    <xdr:pic>
      <xdr:nvPicPr>
        <xdr:cNvPr id="3477" name="97a59437-ede6-4a0f-a763-29660bd92de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472319fce9148d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3480</xdr:row>
      <xdr:rowOff>19050</xdr:rowOff>
    </xdr:from>
    <xdr:ext cx="1143000" cy="1143000"/>
    <xdr:pic>
      <xdr:nvPicPr>
        <xdr:cNvPr id="3478" name="a3631108-f663-4304-a773-76f3264d4ff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13252f7212a4a6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3481</xdr:row>
      <xdr:rowOff>19050</xdr:rowOff>
    </xdr:from>
    <xdr:ext cx="1143000" cy="1143000"/>
    <xdr:pic>
      <xdr:nvPicPr>
        <xdr:cNvPr id="3479" name="020711a4-cfd9-4606-8d5c-8a25cc1a613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0ced980f15d42a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3482</xdr:row>
      <xdr:rowOff>19050</xdr:rowOff>
    </xdr:from>
    <xdr:ext cx="1143000" cy="1143000"/>
    <xdr:pic>
      <xdr:nvPicPr>
        <xdr:cNvPr id="3480" name="74705d64-a4cd-4df1-8f8c-71df67258ee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a9d93e3cb23471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3483</xdr:row>
      <xdr:rowOff>19050</xdr:rowOff>
    </xdr:from>
    <xdr:ext cx="1143000" cy="1143000"/>
    <xdr:pic>
      <xdr:nvPicPr>
        <xdr:cNvPr id="3481" name="2c72cbec-3430-4dda-8bc4-c8b011a5579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8d7c6691c504a0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3484</xdr:row>
      <xdr:rowOff>19050</xdr:rowOff>
    </xdr:from>
    <xdr:ext cx="1143000" cy="1143000"/>
    <xdr:pic>
      <xdr:nvPicPr>
        <xdr:cNvPr id="3482" name="a230c4fd-bbe8-4331-8846-c94cc50f2b6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df9b21ac8b7425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3485</xdr:row>
      <xdr:rowOff>19050</xdr:rowOff>
    </xdr:from>
    <xdr:ext cx="1143000" cy="1143000"/>
    <xdr:pic>
      <xdr:nvPicPr>
        <xdr:cNvPr id="3483" name="04f3e5c2-062f-4cd7-aff6-250d373f5dc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b6902281dc14bd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3486</xdr:row>
      <xdr:rowOff>19050</xdr:rowOff>
    </xdr:from>
    <xdr:ext cx="1143000" cy="1143000"/>
    <xdr:pic>
      <xdr:nvPicPr>
        <xdr:cNvPr id="3484" name="9f2e57d5-403e-4639-8d74-0c6126f8704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052e6cb3ab04fc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3487</xdr:row>
      <xdr:rowOff>19050</xdr:rowOff>
    </xdr:from>
    <xdr:ext cx="1143000" cy="1143000"/>
    <xdr:pic>
      <xdr:nvPicPr>
        <xdr:cNvPr id="3485" name="46f179c0-2bf8-4a8c-9029-1cabe3d58b7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f36f0eaee75484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3488</xdr:row>
      <xdr:rowOff>19050</xdr:rowOff>
    </xdr:from>
    <xdr:ext cx="1143000" cy="1143000"/>
    <xdr:pic>
      <xdr:nvPicPr>
        <xdr:cNvPr id="3486" name="4aaebbab-b473-479c-9590-b686f50c07d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462549ead89422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3489</xdr:row>
      <xdr:rowOff>19050</xdr:rowOff>
    </xdr:from>
    <xdr:ext cx="1143000" cy="1143000"/>
    <xdr:pic>
      <xdr:nvPicPr>
        <xdr:cNvPr id="3487" name="82583d31-56f5-4663-b1f8-26fd92048e5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e87c3dccfac46c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3490</xdr:row>
      <xdr:rowOff>19050</xdr:rowOff>
    </xdr:from>
    <xdr:ext cx="1143000" cy="1143000"/>
    <xdr:pic>
      <xdr:nvPicPr>
        <xdr:cNvPr id="3488" name="d366b21b-64af-49e7-8403-de85c1b2b4e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6df8e52c4cc463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3491</xdr:row>
      <xdr:rowOff>19050</xdr:rowOff>
    </xdr:from>
    <xdr:ext cx="1143000" cy="1143000"/>
    <xdr:pic>
      <xdr:nvPicPr>
        <xdr:cNvPr id="3489" name="33686440-5e82-4e80-a4d1-b910bedaaaa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b84c45a73f7472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3492</xdr:row>
      <xdr:rowOff>19050</xdr:rowOff>
    </xdr:from>
    <xdr:ext cx="1143000" cy="1143000"/>
    <xdr:pic>
      <xdr:nvPicPr>
        <xdr:cNvPr id="3490" name="ce50259b-c05f-4e45-bb9f-170619b3b1a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b4ce683b47a48c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3493</xdr:row>
      <xdr:rowOff>19050</xdr:rowOff>
    </xdr:from>
    <xdr:ext cx="1143000" cy="1143000"/>
    <xdr:pic>
      <xdr:nvPicPr>
        <xdr:cNvPr id="3491" name="cc4c438b-bd99-4415-b91e-430e62d60fe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b96db6aee3a4ba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3494</xdr:row>
      <xdr:rowOff>19050</xdr:rowOff>
    </xdr:from>
    <xdr:ext cx="1143000" cy="1143000"/>
    <xdr:pic>
      <xdr:nvPicPr>
        <xdr:cNvPr id="3492" name="864e7481-d44e-4912-91a9-9bd4f7ab613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b1dbd01a62a4ff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3495</xdr:row>
      <xdr:rowOff>19050</xdr:rowOff>
    </xdr:from>
    <xdr:ext cx="1143000" cy="1143000"/>
    <xdr:pic>
      <xdr:nvPicPr>
        <xdr:cNvPr id="3493" name="b3216292-9994-4c23-8aaa-cd8a7bcf261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defd43bbe8c44f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3496</xdr:row>
      <xdr:rowOff>19050</xdr:rowOff>
    </xdr:from>
    <xdr:ext cx="1143000" cy="1143000"/>
    <xdr:pic>
      <xdr:nvPicPr>
        <xdr:cNvPr id="3494" name="0d1e7f57-7fe7-4621-a645-e2feb0d1fc6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ce0ef11a98e414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3497</xdr:row>
      <xdr:rowOff>19050</xdr:rowOff>
    </xdr:from>
    <xdr:ext cx="1143000" cy="1143000"/>
    <xdr:pic>
      <xdr:nvPicPr>
        <xdr:cNvPr id="3495" name="9d094587-4c3b-4641-9c30-a13e223a458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927d272349c4cb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3498</xdr:row>
      <xdr:rowOff>19050</xdr:rowOff>
    </xdr:from>
    <xdr:ext cx="1143000" cy="1143000"/>
    <xdr:pic>
      <xdr:nvPicPr>
        <xdr:cNvPr id="3496" name="46d5734a-a261-4714-a813-fb301fbfb43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b46c5fcb33946e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3499</xdr:row>
      <xdr:rowOff>19050</xdr:rowOff>
    </xdr:from>
    <xdr:ext cx="1143000" cy="1143000"/>
    <xdr:pic>
      <xdr:nvPicPr>
        <xdr:cNvPr id="3497" name="5a2abd45-d7fd-4eb4-a3a9-05cab804b14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801e8af02d84cd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3500</xdr:row>
      <xdr:rowOff>19050</xdr:rowOff>
    </xdr:from>
    <xdr:ext cx="1143000" cy="1143000"/>
    <xdr:pic>
      <xdr:nvPicPr>
        <xdr:cNvPr id="3498" name="971af6e5-4226-4201-9fce-3d59ced823c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473057b027d4ae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3501</xdr:row>
      <xdr:rowOff>19050</xdr:rowOff>
    </xdr:from>
    <xdr:ext cx="1143000" cy="1143000"/>
    <xdr:pic>
      <xdr:nvPicPr>
        <xdr:cNvPr id="3499" name="89d0eab8-c77b-4de4-b781-6a2334ce410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92c3eaa01c7454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3502</xdr:row>
      <xdr:rowOff>19050</xdr:rowOff>
    </xdr:from>
    <xdr:ext cx="1143000" cy="1143000"/>
    <xdr:pic>
      <xdr:nvPicPr>
        <xdr:cNvPr id="3500" name="bc371412-7f9f-4a38-bdec-de36c7747ba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c556537287c42a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3503</xdr:row>
      <xdr:rowOff>19050</xdr:rowOff>
    </xdr:from>
    <xdr:ext cx="1143000" cy="1143000"/>
    <xdr:pic>
      <xdr:nvPicPr>
        <xdr:cNvPr id="3501" name="41816acb-bf30-43b2-96fc-e87db10915f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74574606cca492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3504</xdr:row>
      <xdr:rowOff>19050</xdr:rowOff>
    </xdr:from>
    <xdr:ext cx="1143000" cy="1143000"/>
    <xdr:pic>
      <xdr:nvPicPr>
        <xdr:cNvPr id="3502" name="6c174b02-e451-4055-ac90-aa90ebc08ff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6878095545241d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3505</xdr:row>
      <xdr:rowOff>19050</xdr:rowOff>
    </xdr:from>
    <xdr:ext cx="1143000" cy="1143000"/>
    <xdr:pic>
      <xdr:nvPicPr>
        <xdr:cNvPr id="3503" name="63f5d1c1-d5c6-444d-9378-0e029ff1a0b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24eca994d0c446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3506</xdr:row>
      <xdr:rowOff>19050</xdr:rowOff>
    </xdr:from>
    <xdr:ext cx="1143000" cy="1143000"/>
    <xdr:pic>
      <xdr:nvPicPr>
        <xdr:cNvPr id="3504" name="42e6fff5-c99d-4a96-b5e3-6c353aede60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85f2015fc59401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3507</xdr:row>
      <xdr:rowOff>19050</xdr:rowOff>
    </xdr:from>
    <xdr:ext cx="1143000" cy="1143000"/>
    <xdr:pic>
      <xdr:nvPicPr>
        <xdr:cNvPr id="3505" name="2904a150-17bc-4d1c-905e-a0f7dbe9732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8bf5a782e16453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3508</xdr:row>
      <xdr:rowOff>19050</xdr:rowOff>
    </xdr:from>
    <xdr:ext cx="1143000" cy="1143000"/>
    <xdr:pic>
      <xdr:nvPicPr>
        <xdr:cNvPr id="3506" name="6c26d021-9558-4afc-b963-f77a0fc8e89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47904b3598e4b6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3509</xdr:row>
      <xdr:rowOff>19050</xdr:rowOff>
    </xdr:from>
    <xdr:ext cx="1143000" cy="1143000"/>
    <xdr:pic>
      <xdr:nvPicPr>
        <xdr:cNvPr id="3507" name="1d4e22e8-28e5-414b-814f-16d97b664ed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6c3ad8351864e7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3510</xdr:row>
      <xdr:rowOff>19050</xdr:rowOff>
    </xdr:from>
    <xdr:ext cx="1143000" cy="1143000"/>
    <xdr:pic>
      <xdr:nvPicPr>
        <xdr:cNvPr id="3508" name="df40461a-1bc5-4243-8dd0-08bd798edca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c9c42247f144ea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3511</xdr:row>
      <xdr:rowOff>19050</xdr:rowOff>
    </xdr:from>
    <xdr:ext cx="1143000" cy="1143000"/>
    <xdr:pic>
      <xdr:nvPicPr>
        <xdr:cNvPr id="3509" name="2fd45006-437b-4ff6-a985-3e832431a13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953a3ba59f34db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3512</xdr:row>
      <xdr:rowOff>19050</xdr:rowOff>
    </xdr:from>
    <xdr:ext cx="1143000" cy="1143000"/>
    <xdr:pic>
      <xdr:nvPicPr>
        <xdr:cNvPr id="3510" name="8e54ce6e-5f2d-4273-b431-a80f47d6821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db3b3bad222430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3513</xdr:row>
      <xdr:rowOff>19050</xdr:rowOff>
    </xdr:from>
    <xdr:ext cx="1143000" cy="1143000"/>
    <xdr:pic>
      <xdr:nvPicPr>
        <xdr:cNvPr id="3511" name="0c20acc1-691f-43d2-b9b0-b20de857381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96df4c8dad3488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3514</xdr:row>
      <xdr:rowOff>19050</xdr:rowOff>
    </xdr:from>
    <xdr:ext cx="1143000" cy="1143000"/>
    <xdr:pic>
      <xdr:nvPicPr>
        <xdr:cNvPr id="3512" name="fce86b42-8aa2-4956-b3b8-70dad2ef68e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84a4afa24fc434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3515</xdr:row>
      <xdr:rowOff>19050</xdr:rowOff>
    </xdr:from>
    <xdr:ext cx="1143000" cy="1143000"/>
    <xdr:pic>
      <xdr:nvPicPr>
        <xdr:cNvPr id="3513" name="8cf1fc5c-1a22-43cb-92e5-8dbf94a117c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3bc2a3835394e3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3516</xdr:row>
      <xdr:rowOff>19050</xdr:rowOff>
    </xdr:from>
    <xdr:ext cx="1143000" cy="1143000"/>
    <xdr:pic>
      <xdr:nvPicPr>
        <xdr:cNvPr id="3514" name="0a650012-a15a-4891-b383-8595b1d41e7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08d9c349e18423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3517</xdr:row>
      <xdr:rowOff>19050</xdr:rowOff>
    </xdr:from>
    <xdr:ext cx="1143000" cy="1143000"/>
    <xdr:pic>
      <xdr:nvPicPr>
        <xdr:cNvPr id="3515" name="3a6e8517-32fb-4ffd-8529-69b38b9cc6d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68b8268aa784a6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3518</xdr:row>
      <xdr:rowOff>19050</xdr:rowOff>
    </xdr:from>
    <xdr:ext cx="1143000" cy="1143000"/>
    <xdr:pic>
      <xdr:nvPicPr>
        <xdr:cNvPr id="3516" name="a7937b92-2bf9-4444-a1a9-265293b88a1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b6e9f6c0db341b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3519</xdr:row>
      <xdr:rowOff>19050</xdr:rowOff>
    </xdr:from>
    <xdr:ext cx="1143000" cy="1143000"/>
    <xdr:pic>
      <xdr:nvPicPr>
        <xdr:cNvPr id="3517" name="54fac5e1-2628-4572-8da1-1b27678f460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af85e494a52461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3520</xdr:row>
      <xdr:rowOff>19050</xdr:rowOff>
    </xdr:from>
    <xdr:ext cx="1143000" cy="1143000"/>
    <xdr:pic>
      <xdr:nvPicPr>
        <xdr:cNvPr id="3518" name="c44e3b58-f583-485b-86bf-69e417d7506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65b403e0c6940e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3521</xdr:row>
      <xdr:rowOff>19050</xdr:rowOff>
    </xdr:from>
    <xdr:ext cx="1143000" cy="1143000"/>
    <xdr:pic>
      <xdr:nvPicPr>
        <xdr:cNvPr id="3519" name="871aba95-b1fb-4acd-bbfe-65ade7de16c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42ae3a0b7444e0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3522</xdr:row>
      <xdr:rowOff>19050</xdr:rowOff>
    </xdr:from>
    <xdr:ext cx="1143000" cy="1143000"/>
    <xdr:pic>
      <xdr:nvPicPr>
        <xdr:cNvPr id="3520" name="9878a0c8-b87f-4d8f-969b-de23c6bbc3f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2657e5afed74f0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3523</xdr:row>
      <xdr:rowOff>19050</xdr:rowOff>
    </xdr:from>
    <xdr:ext cx="1143000" cy="1143000"/>
    <xdr:pic>
      <xdr:nvPicPr>
        <xdr:cNvPr id="3521" name="4da8f3d4-9d63-4546-8a37-68a0fa743f9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7d4a8ca98ae49f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3524</xdr:row>
      <xdr:rowOff>19050</xdr:rowOff>
    </xdr:from>
    <xdr:ext cx="1143000" cy="1143000"/>
    <xdr:pic>
      <xdr:nvPicPr>
        <xdr:cNvPr id="3522" name="6f88b94f-0009-48c9-9fd5-813e4b77f35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1a6cffa532a43d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3525</xdr:row>
      <xdr:rowOff>19050</xdr:rowOff>
    </xdr:from>
    <xdr:ext cx="1143000" cy="1143000"/>
    <xdr:pic>
      <xdr:nvPicPr>
        <xdr:cNvPr id="3523" name="027e7c26-76ac-4cc4-b45d-c00da3c472a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293e681fb1343b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3526</xdr:row>
      <xdr:rowOff>19050</xdr:rowOff>
    </xdr:from>
    <xdr:ext cx="1143000" cy="1143000"/>
    <xdr:pic>
      <xdr:nvPicPr>
        <xdr:cNvPr id="3524" name="6196bcfd-fbfd-4641-8fe0-b78bd1d498b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4f1b8c6e3b54a3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3527</xdr:row>
      <xdr:rowOff>19050</xdr:rowOff>
    </xdr:from>
    <xdr:ext cx="1143000" cy="1143000"/>
    <xdr:pic>
      <xdr:nvPicPr>
        <xdr:cNvPr id="3525" name="0c459b82-f90f-44eb-9a42-00723340b4c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edc3219a477428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3528</xdr:row>
      <xdr:rowOff>19050</xdr:rowOff>
    </xdr:from>
    <xdr:ext cx="1143000" cy="1143000"/>
    <xdr:pic>
      <xdr:nvPicPr>
        <xdr:cNvPr id="3526" name="698a062f-0cfe-43e3-a7ff-98d9238b2e3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3252dc82414403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3529</xdr:row>
      <xdr:rowOff>19050</xdr:rowOff>
    </xdr:from>
    <xdr:ext cx="1143000" cy="1143000"/>
    <xdr:pic>
      <xdr:nvPicPr>
        <xdr:cNvPr id="3527" name="fef7b253-77ed-4b32-acc0-e8027cfa0e0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49075f26d384e6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3530</xdr:row>
      <xdr:rowOff>19050</xdr:rowOff>
    </xdr:from>
    <xdr:ext cx="1143000" cy="1143000"/>
    <xdr:pic>
      <xdr:nvPicPr>
        <xdr:cNvPr id="3528" name="c77fa01c-3418-451f-b7e6-f5f23cae362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c28508070ff4b9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3531</xdr:row>
      <xdr:rowOff>19050</xdr:rowOff>
    </xdr:from>
    <xdr:ext cx="1143000" cy="1143000"/>
    <xdr:pic>
      <xdr:nvPicPr>
        <xdr:cNvPr id="3529" name="26dfe70d-fba9-4823-8860-81ac908b6a7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5e8976dd80b4b0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3532</xdr:row>
      <xdr:rowOff>19050</xdr:rowOff>
    </xdr:from>
    <xdr:ext cx="1143000" cy="1143000"/>
    <xdr:pic>
      <xdr:nvPicPr>
        <xdr:cNvPr id="3530" name="5170c96f-932c-4f76-9712-f2a80386d80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b070858d4f64dd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3533</xdr:row>
      <xdr:rowOff>19050</xdr:rowOff>
    </xdr:from>
    <xdr:ext cx="1143000" cy="1143000"/>
    <xdr:pic>
      <xdr:nvPicPr>
        <xdr:cNvPr id="3531" name="497394a6-f740-47ba-85a7-b09edb1eda6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2b31c365e8e4fb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3534</xdr:row>
      <xdr:rowOff>19050</xdr:rowOff>
    </xdr:from>
    <xdr:ext cx="1143000" cy="1143000"/>
    <xdr:pic>
      <xdr:nvPicPr>
        <xdr:cNvPr id="3532" name="a3703846-2719-4ab1-b9e9-908a9bb74da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1b9dc03b99e499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3535</xdr:row>
      <xdr:rowOff>19050</xdr:rowOff>
    </xdr:from>
    <xdr:ext cx="1143000" cy="1143000"/>
    <xdr:pic>
      <xdr:nvPicPr>
        <xdr:cNvPr id="3533" name="6f707b06-7e5b-42a6-9c2f-085a9f36202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62a0a2c3ab8473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3536</xdr:row>
      <xdr:rowOff>19050</xdr:rowOff>
    </xdr:from>
    <xdr:ext cx="1143000" cy="1143000"/>
    <xdr:pic>
      <xdr:nvPicPr>
        <xdr:cNvPr id="3534" name="61c2a126-7eeb-49c9-97d4-d2e5a1a6efc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f61845278c449b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3537</xdr:row>
      <xdr:rowOff>19050</xdr:rowOff>
    </xdr:from>
    <xdr:ext cx="1143000" cy="1143000"/>
    <xdr:pic>
      <xdr:nvPicPr>
        <xdr:cNvPr id="3535" name="d342edc5-7ff2-44ef-aa9b-101613c3fb5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a5186f7bb5a4b3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3538</xdr:row>
      <xdr:rowOff>19050</xdr:rowOff>
    </xdr:from>
    <xdr:ext cx="1143000" cy="1143000"/>
    <xdr:pic>
      <xdr:nvPicPr>
        <xdr:cNvPr id="3536" name="2b726b63-7864-47f8-8ce3-489f0daa9ca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67d50fc5d46409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3539</xdr:row>
      <xdr:rowOff>19050</xdr:rowOff>
    </xdr:from>
    <xdr:ext cx="1143000" cy="1143000"/>
    <xdr:pic>
      <xdr:nvPicPr>
        <xdr:cNvPr id="3537" name="21f66627-d2e4-44ae-b6d0-3d5d1daa704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da69b6ab837437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3540</xdr:row>
      <xdr:rowOff>19050</xdr:rowOff>
    </xdr:from>
    <xdr:ext cx="1143000" cy="1143000"/>
    <xdr:pic>
      <xdr:nvPicPr>
        <xdr:cNvPr id="3538" name="8828c1b7-b051-422d-82fd-447b492f91e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ef276ab27c9449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3541</xdr:row>
      <xdr:rowOff>19050</xdr:rowOff>
    </xdr:from>
    <xdr:ext cx="1143000" cy="1143000"/>
    <xdr:pic>
      <xdr:nvPicPr>
        <xdr:cNvPr id="3539" name="6855ca68-dab1-447d-8e26-30855bd5943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47a5ab8daf0410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3542</xdr:row>
      <xdr:rowOff>19050</xdr:rowOff>
    </xdr:from>
    <xdr:ext cx="1143000" cy="1143000"/>
    <xdr:pic>
      <xdr:nvPicPr>
        <xdr:cNvPr id="3540" name="a291f708-7d0a-4dd7-99c8-6e7b45750f3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51841e0332e468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3543</xdr:row>
      <xdr:rowOff>19050</xdr:rowOff>
    </xdr:from>
    <xdr:ext cx="1143000" cy="1143000"/>
    <xdr:pic>
      <xdr:nvPicPr>
        <xdr:cNvPr id="3541" name="605e2452-6473-4d78-8679-7068cbc87cb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6920a4be4ab45c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3544</xdr:row>
      <xdr:rowOff>19050</xdr:rowOff>
    </xdr:from>
    <xdr:ext cx="1143000" cy="1143000"/>
    <xdr:pic>
      <xdr:nvPicPr>
        <xdr:cNvPr id="3542" name="4b15a568-c55a-4092-b28d-2ccf2f2b772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5b0f651fe10404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3545</xdr:row>
      <xdr:rowOff>19050</xdr:rowOff>
    </xdr:from>
    <xdr:ext cx="1143000" cy="1143000"/>
    <xdr:pic>
      <xdr:nvPicPr>
        <xdr:cNvPr id="3543" name="4cbc6396-6abc-4774-8b69-cd07e280df0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4c9b4441eeb464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3546</xdr:row>
      <xdr:rowOff>19050</xdr:rowOff>
    </xdr:from>
    <xdr:ext cx="1143000" cy="1143000"/>
    <xdr:pic>
      <xdr:nvPicPr>
        <xdr:cNvPr id="3544" name="d607a83b-12e6-4093-8c70-bc62dfdf901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8254546250a45f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3547</xdr:row>
      <xdr:rowOff>19050</xdr:rowOff>
    </xdr:from>
    <xdr:ext cx="1143000" cy="1143000"/>
    <xdr:pic>
      <xdr:nvPicPr>
        <xdr:cNvPr id="3545" name="b2689d59-0e5f-4db8-95e6-c03a5620563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36357bbe76b481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3548</xdr:row>
      <xdr:rowOff>19050</xdr:rowOff>
    </xdr:from>
    <xdr:ext cx="1143000" cy="1143000"/>
    <xdr:pic>
      <xdr:nvPicPr>
        <xdr:cNvPr id="3546" name="de1349c0-341b-4a92-bcfe-0652d972e2c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7fa20a6e3ea443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3549</xdr:row>
      <xdr:rowOff>19050</xdr:rowOff>
    </xdr:from>
    <xdr:ext cx="1143000" cy="1143000"/>
    <xdr:pic>
      <xdr:nvPicPr>
        <xdr:cNvPr id="3547" name="78a49f85-ef9c-4792-ae08-e6f8355ee54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3b8643fe639464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3550</xdr:row>
      <xdr:rowOff>19050</xdr:rowOff>
    </xdr:from>
    <xdr:ext cx="1143000" cy="1143000"/>
    <xdr:pic>
      <xdr:nvPicPr>
        <xdr:cNvPr id="3548" name="201a8118-22c8-43db-968f-2667cef1c40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148c92cdeea440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3551</xdr:row>
      <xdr:rowOff>19050</xdr:rowOff>
    </xdr:from>
    <xdr:ext cx="1143000" cy="1143000"/>
    <xdr:pic>
      <xdr:nvPicPr>
        <xdr:cNvPr id="3549" name="8afa96b5-e008-4fc2-abaa-58a42c08ad2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c2ebc65c377488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3552</xdr:row>
      <xdr:rowOff>19050</xdr:rowOff>
    </xdr:from>
    <xdr:ext cx="1143000" cy="1143000"/>
    <xdr:pic>
      <xdr:nvPicPr>
        <xdr:cNvPr id="3550" name="2b94c5fd-a0cb-4c06-b978-41277ae5e2c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176d307b87f43e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3553</xdr:row>
      <xdr:rowOff>19050</xdr:rowOff>
    </xdr:from>
    <xdr:ext cx="1143000" cy="1143000"/>
    <xdr:pic>
      <xdr:nvPicPr>
        <xdr:cNvPr id="3551" name="ccde8a79-769e-4914-ba94-ad65f309111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3bc513eb7f3410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3554</xdr:row>
      <xdr:rowOff>19050</xdr:rowOff>
    </xdr:from>
    <xdr:ext cx="1143000" cy="1143000"/>
    <xdr:pic>
      <xdr:nvPicPr>
        <xdr:cNvPr id="3552" name="37d0c522-a016-4f03-97cb-09ce9895a85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994ea06e56f4a1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3555</xdr:row>
      <xdr:rowOff>19050</xdr:rowOff>
    </xdr:from>
    <xdr:ext cx="1143000" cy="1143000"/>
    <xdr:pic>
      <xdr:nvPicPr>
        <xdr:cNvPr id="3553" name="f0e29415-27eb-4753-a9e3-4b925172acd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c92df0348b849c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3556</xdr:row>
      <xdr:rowOff>19050</xdr:rowOff>
    </xdr:from>
    <xdr:ext cx="1143000" cy="1143000"/>
    <xdr:pic>
      <xdr:nvPicPr>
        <xdr:cNvPr id="3554" name="bb17623c-6e69-4e44-a125-7f6de08d122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9824e3c2efb459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3557</xdr:row>
      <xdr:rowOff>19050</xdr:rowOff>
    </xdr:from>
    <xdr:ext cx="1143000" cy="1143000"/>
    <xdr:pic>
      <xdr:nvPicPr>
        <xdr:cNvPr id="3555" name="846e8a70-57ec-48cb-995b-bdc83d93c4e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72767423a18445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3558</xdr:row>
      <xdr:rowOff>19050</xdr:rowOff>
    </xdr:from>
    <xdr:ext cx="1143000" cy="1143000"/>
    <xdr:pic>
      <xdr:nvPicPr>
        <xdr:cNvPr id="3556" name="0a06e680-adc3-4f96-96fc-5f0e8d63595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53bfe826c31430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3559</xdr:row>
      <xdr:rowOff>19050</xdr:rowOff>
    </xdr:from>
    <xdr:ext cx="1143000" cy="1143000"/>
    <xdr:pic>
      <xdr:nvPicPr>
        <xdr:cNvPr id="3557" name="850b137e-8655-4748-866e-f0782000261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fcffde46dc74a9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3560</xdr:row>
      <xdr:rowOff>19050</xdr:rowOff>
    </xdr:from>
    <xdr:ext cx="1143000" cy="1143000"/>
    <xdr:pic>
      <xdr:nvPicPr>
        <xdr:cNvPr id="3558" name="fa6c0463-ed88-4027-b63f-e0421dedb0c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38607e0e7944ae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3561</xdr:row>
      <xdr:rowOff>19050</xdr:rowOff>
    </xdr:from>
    <xdr:ext cx="1143000" cy="1143000"/>
    <xdr:pic>
      <xdr:nvPicPr>
        <xdr:cNvPr id="3559" name="5dae27a5-5927-4cfc-9739-18606414ff8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b38f6c870f4488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3562</xdr:row>
      <xdr:rowOff>19050</xdr:rowOff>
    </xdr:from>
    <xdr:ext cx="1143000" cy="1143000"/>
    <xdr:pic>
      <xdr:nvPicPr>
        <xdr:cNvPr id="3560" name="84d4c961-2903-482d-b8c1-1cf3f37c863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c71ba50a0d14ec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3563</xdr:row>
      <xdr:rowOff>19050</xdr:rowOff>
    </xdr:from>
    <xdr:ext cx="1143000" cy="1143000"/>
    <xdr:pic>
      <xdr:nvPicPr>
        <xdr:cNvPr id="3561" name="2d6528bd-51ca-4c7a-8721-adb90daba29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a85214681a8453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3564</xdr:row>
      <xdr:rowOff>19050</xdr:rowOff>
    </xdr:from>
    <xdr:ext cx="1143000" cy="1143000"/>
    <xdr:pic>
      <xdr:nvPicPr>
        <xdr:cNvPr id="3562" name="08e0514e-0708-44ac-8452-03f2fbfb69f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4f35b283b554bc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3565</xdr:row>
      <xdr:rowOff>19050</xdr:rowOff>
    </xdr:from>
    <xdr:ext cx="1143000" cy="1143000"/>
    <xdr:pic>
      <xdr:nvPicPr>
        <xdr:cNvPr id="3563" name="6f20ff68-2c9d-4f50-a562-4b8b6254908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f3a3ce76833453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3566</xdr:row>
      <xdr:rowOff>19050</xdr:rowOff>
    </xdr:from>
    <xdr:ext cx="1143000" cy="1143000"/>
    <xdr:pic>
      <xdr:nvPicPr>
        <xdr:cNvPr id="3564" name="07879c2e-fc20-4cc7-8050-3bf7f34f4a7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6f546596079499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3567</xdr:row>
      <xdr:rowOff>19050</xdr:rowOff>
    </xdr:from>
    <xdr:ext cx="1143000" cy="1143000"/>
    <xdr:pic>
      <xdr:nvPicPr>
        <xdr:cNvPr id="3565" name="23b6810f-e601-43f4-95a2-e0957096616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a33ab92e1bc483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3568</xdr:row>
      <xdr:rowOff>19050</xdr:rowOff>
    </xdr:from>
    <xdr:ext cx="1143000" cy="1143000"/>
    <xdr:pic>
      <xdr:nvPicPr>
        <xdr:cNvPr id="3566" name="b0438d79-d5b7-42db-893c-9a8c450beab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c69d7cd93f94e4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3569</xdr:row>
      <xdr:rowOff>19050</xdr:rowOff>
    </xdr:from>
    <xdr:ext cx="1143000" cy="1143000"/>
    <xdr:pic>
      <xdr:nvPicPr>
        <xdr:cNvPr id="3567" name="f1f995be-5d6a-480e-bc65-406df9f4b48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7ed1003e781499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3570</xdr:row>
      <xdr:rowOff>19050</xdr:rowOff>
    </xdr:from>
    <xdr:ext cx="1143000" cy="1143000"/>
    <xdr:pic>
      <xdr:nvPicPr>
        <xdr:cNvPr id="3568" name="cedebe9b-0f35-4066-b5ce-c1eee3608e7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2a15c0255b3466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3571</xdr:row>
      <xdr:rowOff>19050</xdr:rowOff>
    </xdr:from>
    <xdr:ext cx="1143000" cy="1143000"/>
    <xdr:pic>
      <xdr:nvPicPr>
        <xdr:cNvPr id="3569" name="42b92486-7947-43f0-a61f-732cd9855e6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283c6f31b9f4c5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3572</xdr:row>
      <xdr:rowOff>19050</xdr:rowOff>
    </xdr:from>
    <xdr:ext cx="1143000" cy="1143000"/>
    <xdr:pic>
      <xdr:nvPicPr>
        <xdr:cNvPr id="3570" name="b8282bd6-4457-4108-a766-6318da9e394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4fc8338a2bb4c9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3573</xdr:row>
      <xdr:rowOff>19050</xdr:rowOff>
    </xdr:from>
    <xdr:ext cx="1143000" cy="1143000"/>
    <xdr:pic>
      <xdr:nvPicPr>
        <xdr:cNvPr id="3571" name="a2f9f5dd-ac60-4b03-bd2d-4b1929cfae8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19be48f3ebe4a9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3574</xdr:row>
      <xdr:rowOff>19050</xdr:rowOff>
    </xdr:from>
    <xdr:ext cx="1143000" cy="1143000"/>
    <xdr:pic>
      <xdr:nvPicPr>
        <xdr:cNvPr id="3572" name="6ea11ade-028e-44aa-b0cc-a419cc9a120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8852abae491448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3575</xdr:row>
      <xdr:rowOff>19050</xdr:rowOff>
    </xdr:from>
    <xdr:ext cx="1143000" cy="1143000"/>
    <xdr:pic>
      <xdr:nvPicPr>
        <xdr:cNvPr id="3573" name="473fcaee-3fb3-4234-a2a7-cce41b2ccee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6ed10920e49443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3576</xdr:row>
      <xdr:rowOff>19050</xdr:rowOff>
    </xdr:from>
    <xdr:ext cx="1143000" cy="1143000"/>
    <xdr:pic>
      <xdr:nvPicPr>
        <xdr:cNvPr id="3574" name="f271040e-ab46-48ec-92e9-df503bca826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a385bfddf7b44b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3577</xdr:row>
      <xdr:rowOff>19050</xdr:rowOff>
    </xdr:from>
    <xdr:ext cx="1143000" cy="1143000"/>
    <xdr:pic>
      <xdr:nvPicPr>
        <xdr:cNvPr id="3575" name="be48a335-407e-417f-8696-ae0befdadc0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cfe5667c3ea4d8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3578</xdr:row>
      <xdr:rowOff>19050</xdr:rowOff>
    </xdr:from>
    <xdr:ext cx="1143000" cy="1143000"/>
    <xdr:pic>
      <xdr:nvPicPr>
        <xdr:cNvPr id="3576" name="07787d5d-6a89-4be2-b716-d283cd6d46f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e61fe16f90942d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3579</xdr:row>
      <xdr:rowOff>19050</xdr:rowOff>
    </xdr:from>
    <xdr:ext cx="1143000" cy="1143000"/>
    <xdr:pic>
      <xdr:nvPicPr>
        <xdr:cNvPr id="3577" name="bc0f8edc-caa2-47c0-b26a-64179d2d20b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d84d2509377417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3580</xdr:row>
      <xdr:rowOff>19050</xdr:rowOff>
    </xdr:from>
    <xdr:ext cx="1143000" cy="1143000"/>
    <xdr:pic>
      <xdr:nvPicPr>
        <xdr:cNvPr id="3578" name="7326ee30-effe-4485-bfec-92a46dbe18b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85c9d822a3f477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3581</xdr:row>
      <xdr:rowOff>19050</xdr:rowOff>
    </xdr:from>
    <xdr:ext cx="1143000" cy="1143000"/>
    <xdr:pic>
      <xdr:nvPicPr>
        <xdr:cNvPr id="3579" name="b65fbac1-1fa4-4b7d-8d36-38debb24933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1985e4499b5414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3582</xdr:row>
      <xdr:rowOff>19050</xdr:rowOff>
    </xdr:from>
    <xdr:ext cx="1143000" cy="1143000"/>
    <xdr:pic>
      <xdr:nvPicPr>
        <xdr:cNvPr id="3580" name="a7b3ea9c-c510-46e5-95d6-80ef5467d65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4bebcf879a844e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3583</xdr:row>
      <xdr:rowOff>19050</xdr:rowOff>
    </xdr:from>
    <xdr:ext cx="1143000" cy="1143000"/>
    <xdr:pic>
      <xdr:nvPicPr>
        <xdr:cNvPr id="3581" name="8bd0acb2-3204-41c3-98b5-e60f123b64c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6bfcc9b98554cc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3584</xdr:row>
      <xdr:rowOff>19050</xdr:rowOff>
    </xdr:from>
    <xdr:ext cx="1143000" cy="1143000"/>
    <xdr:pic>
      <xdr:nvPicPr>
        <xdr:cNvPr id="3582" name="94493472-9864-40ce-a057-5281a1d531a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efb7fa2ecc54d5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3585</xdr:row>
      <xdr:rowOff>19050</xdr:rowOff>
    </xdr:from>
    <xdr:ext cx="1143000" cy="1143000"/>
    <xdr:pic>
      <xdr:nvPicPr>
        <xdr:cNvPr id="3583" name="c0e140e5-f8f8-45fe-b639-195df40a8a0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daf809b1ce646b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3586</xdr:row>
      <xdr:rowOff>19050</xdr:rowOff>
    </xdr:from>
    <xdr:ext cx="1143000" cy="1143000"/>
    <xdr:pic>
      <xdr:nvPicPr>
        <xdr:cNvPr id="3584" name="ae037eec-87fe-4d7c-911d-2339d58d29f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fe9abad8366440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3587</xdr:row>
      <xdr:rowOff>19050</xdr:rowOff>
    </xdr:from>
    <xdr:ext cx="1143000" cy="1143000"/>
    <xdr:pic>
      <xdr:nvPicPr>
        <xdr:cNvPr id="3585" name="f35678f8-faeb-491d-837e-56a9b7f95fd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579747efe794e6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3588</xdr:row>
      <xdr:rowOff>19050</xdr:rowOff>
    </xdr:from>
    <xdr:ext cx="1143000" cy="1143000"/>
    <xdr:pic>
      <xdr:nvPicPr>
        <xdr:cNvPr id="3586" name="f7bff9ef-5ca2-4855-ae82-d1ae7b1822e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97b9d2f8ffb445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3589</xdr:row>
      <xdr:rowOff>19050</xdr:rowOff>
    </xdr:from>
    <xdr:ext cx="1143000" cy="1143000"/>
    <xdr:pic>
      <xdr:nvPicPr>
        <xdr:cNvPr id="3587" name="a5cba830-e398-4cfe-bd12-7c43f448432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75c7383002d46c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3590</xdr:row>
      <xdr:rowOff>19050</xdr:rowOff>
    </xdr:from>
    <xdr:ext cx="1143000" cy="1143000"/>
    <xdr:pic>
      <xdr:nvPicPr>
        <xdr:cNvPr id="3588" name="66c12ced-2dde-44ef-ace4-4b5b766a5d7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33927c958a5452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3591</xdr:row>
      <xdr:rowOff>19050</xdr:rowOff>
    </xdr:from>
    <xdr:ext cx="1143000" cy="1143000"/>
    <xdr:pic>
      <xdr:nvPicPr>
        <xdr:cNvPr id="3589" name="57bb4492-99c7-4bcc-a4d7-d7e3b9bf0e6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6204b9079a74a4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3592</xdr:row>
      <xdr:rowOff>19050</xdr:rowOff>
    </xdr:from>
    <xdr:ext cx="1143000" cy="1143000"/>
    <xdr:pic>
      <xdr:nvPicPr>
        <xdr:cNvPr id="3590" name="fc972157-e0fc-4f54-ae2f-f4fbc721d47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8c9067658af418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3593</xdr:row>
      <xdr:rowOff>19050</xdr:rowOff>
    </xdr:from>
    <xdr:ext cx="1143000" cy="1143000"/>
    <xdr:pic>
      <xdr:nvPicPr>
        <xdr:cNvPr id="3591" name="ded34d4c-cf5a-4423-b30e-ed1b3e736e1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5fae0bc3e5c4b2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3594</xdr:row>
      <xdr:rowOff>19050</xdr:rowOff>
    </xdr:from>
    <xdr:ext cx="1143000" cy="1143000"/>
    <xdr:pic>
      <xdr:nvPicPr>
        <xdr:cNvPr id="3592" name="9cbb5a7b-ad70-4888-902d-5c378c32a0b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849e0c7356f4cd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3595</xdr:row>
      <xdr:rowOff>19050</xdr:rowOff>
    </xdr:from>
    <xdr:ext cx="1143000" cy="1143000"/>
    <xdr:pic>
      <xdr:nvPicPr>
        <xdr:cNvPr id="3593" name="ab81e585-acab-4e76-b0ab-19ef448c4b6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4ad2c1b16bb48f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3596</xdr:row>
      <xdr:rowOff>19050</xdr:rowOff>
    </xdr:from>
    <xdr:ext cx="1143000" cy="1143000"/>
    <xdr:pic>
      <xdr:nvPicPr>
        <xdr:cNvPr id="3594" name="b41ba005-df3c-418b-8a16-2cdb40034f7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d99c5f0bcdb4b1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3597</xdr:row>
      <xdr:rowOff>19050</xdr:rowOff>
    </xdr:from>
    <xdr:ext cx="1143000" cy="1143000"/>
    <xdr:pic>
      <xdr:nvPicPr>
        <xdr:cNvPr id="3595" name="11e58701-1f48-4995-b836-4e0313d7627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d1eed8ccccc40a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3598</xdr:row>
      <xdr:rowOff>19050</xdr:rowOff>
    </xdr:from>
    <xdr:ext cx="1143000" cy="1143000"/>
    <xdr:pic>
      <xdr:nvPicPr>
        <xdr:cNvPr id="3596" name="7ffafa51-3ca0-4a3e-a63a-92613c3d888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74ce5906ded436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3599</xdr:row>
      <xdr:rowOff>19050</xdr:rowOff>
    </xdr:from>
    <xdr:ext cx="1143000" cy="1143000"/>
    <xdr:pic>
      <xdr:nvPicPr>
        <xdr:cNvPr id="3597" name="f3a23fff-e56a-41d7-9ad1-560749d8b91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3f87e157c024ae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3600</xdr:row>
      <xdr:rowOff>19050</xdr:rowOff>
    </xdr:from>
    <xdr:ext cx="1143000" cy="1143000"/>
    <xdr:pic>
      <xdr:nvPicPr>
        <xdr:cNvPr id="3598" name="000b92a9-b9a9-4523-8595-775bd992e56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248da17248f4fb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3601</xdr:row>
      <xdr:rowOff>19050</xdr:rowOff>
    </xdr:from>
    <xdr:ext cx="1143000" cy="1143000"/>
    <xdr:pic>
      <xdr:nvPicPr>
        <xdr:cNvPr id="3599" name="f4e78e4e-1c2e-40cb-ad40-4c4127c90ae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2a95f61abde4b8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3602</xdr:row>
      <xdr:rowOff>19050</xdr:rowOff>
    </xdr:from>
    <xdr:ext cx="1143000" cy="1143000"/>
    <xdr:pic>
      <xdr:nvPicPr>
        <xdr:cNvPr id="3600" name="2c3b9b5d-448b-410f-bb46-be83818f24c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ba3f9fc65e1487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3603</xdr:row>
      <xdr:rowOff>19050</xdr:rowOff>
    </xdr:from>
    <xdr:ext cx="1143000" cy="1143000"/>
    <xdr:pic>
      <xdr:nvPicPr>
        <xdr:cNvPr id="3601" name="ccde8d17-cef8-45cb-b351-abd61c2ab89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4176099f38b4f1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3604</xdr:row>
      <xdr:rowOff>19050</xdr:rowOff>
    </xdr:from>
    <xdr:ext cx="1143000" cy="1143000"/>
    <xdr:pic>
      <xdr:nvPicPr>
        <xdr:cNvPr id="3602" name="9a31714c-efa8-4301-90ec-04353e75141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ef6e35cddb542b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3605</xdr:row>
      <xdr:rowOff>19050</xdr:rowOff>
    </xdr:from>
    <xdr:ext cx="1143000" cy="1143000"/>
    <xdr:pic>
      <xdr:nvPicPr>
        <xdr:cNvPr id="3603" name="8b36d16b-3f84-4d2a-a529-69cfa644d6d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d8967cc76f74b1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3606</xdr:row>
      <xdr:rowOff>19050</xdr:rowOff>
    </xdr:from>
    <xdr:ext cx="1143000" cy="1143000"/>
    <xdr:pic>
      <xdr:nvPicPr>
        <xdr:cNvPr id="3604" name="df5e4726-5b6b-4d66-9de2-eec378ed073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0890de6eb6145f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3607</xdr:row>
      <xdr:rowOff>19050</xdr:rowOff>
    </xdr:from>
    <xdr:ext cx="1143000" cy="1143000"/>
    <xdr:pic>
      <xdr:nvPicPr>
        <xdr:cNvPr id="3605" name="6107a80b-5759-46c2-8531-fae319a89f2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5fe5b789f67423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3608</xdr:row>
      <xdr:rowOff>19050</xdr:rowOff>
    </xdr:from>
    <xdr:ext cx="1143000" cy="1143000"/>
    <xdr:pic>
      <xdr:nvPicPr>
        <xdr:cNvPr id="3606" name="074afe38-e2c4-49d5-824d-6e4ddf35a20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1613262ab94427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3609</xdr:row>
      <xdr:rowOff>19050</xdr:rowOff>
    </xdr:from>
    <xdr:ext cx="1143000" cy="1143000"/>
    <xdr:pic>
      <xdr:nvPicPr>
        <xdr:cNvPr id="3607" name="0c33e453-622b-4c02-b88a-22fd1d437d5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a096e1d55db4e8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3610</xdr:row>
      <xdr:rowOff>19050</xdr:rowOff>
    </xdr:from>
    <xdr:ext cx="1143000" cy="1143000"/>
    <xdr:pic>
      <xdr:nvPicPr>
        <xdr:cNvPr id="3608" name="9560a0c7-664c-4d02-b6c5-11a9ea81161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98670bf5f0b479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3611</xdr:row>
      <xdr:rowOff>19050</xdr:rowOff>
    </xdr:from>
    <xdr:ext cx="1143000" cy="1143000"/>
    <xdr:pic>
      <xdr:nvPicPr>
        <xdr:cNvPr id="3609" name="6216fe78-fc4b-49ea-9a2f-fc9fcd27162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b9ad9b43f2641f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3612</xdr:row>
      <xdr:rowOff>19050</xdr:rowOff>
    </xdr:from>
    <xdr:ext cx="1143000" cy="1143000"/>
    <xdr:pic>
      <xdr:nvPicPr>
        <xdr:cNvPr id="3610" name="a6f7ad74-dff1-4351-87a2-f3bb1070cfd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190411e919d422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3613</xdr:row>
      <xdr:rowOff>19050</xdr:rowOff>
    </xdr:from>
    <xdr:ext cx="1143000" cy="1143000"/>
    <xdr:pic>
      <xdr:nvPicPr>
        <xdr:cNvPr id="3611" name="fb12b39b-4dcd-4e1d-93f1-769b919d5c2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5033cd7243348d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3614</xdr:row>
      <xdr:rowOff>19050</xdr:rowOff>
    </xdr:from>
    <xdr:ext cx="1143000" cy="1143000"/>
    <xdr:pic>
      <xdr:nvPicPr>
        <xdr:cNvPr id="3612" name="169966be-2952-417c-a68b-f46aeb4034a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436f56d405b4dd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3615</xdr:row>
      <xdr:rowOff>19050</xdr:rowOff>
    </xdr:from>
    <xdr:ext cx="1143000" cy="1143000"/>
    <xdr:pic>
      <xdr:nvPicPr>
        <xdr:cNvPr id="3613" name="76df2be0-d639-4904-aa8e-b71389ce3dc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fcde3a21d51423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3616</xdr:row>
      <xdr:rowOff>19050</xdr:rowOff>
    </xdr:from>
    <xdr:ext cx="1143000" cy="1143000"/>
    <xdr:pic>
      <xdr:nvPicPr>
        <xdr:cNvPr id="3614" name="653109a7-4d29-462e-952c-8020514d6e9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33395326977437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3617</xdr:row>
      <xdr:rowOff>19050</xdr:rowOff>
    </xdr:from>
    <xdr:ext cx="1143000" cy="1143000"/>
    <xdr:pic>
      <xdr:nvPicPr>
        <xdr:cNvPr id="3615" name="053968bb-2340-4eaa-aa9a-adebe9d710b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5c3b6ab4f0d4af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3618</xdr:row>
      <xdr:rowOff>19050</xdr:rowOff>
    </xdr:from>
    <xdr:ext cx="1143000" cy="1143000"/>
    <xdr:pic>
      <xdr:nvPicPr>
        <xdr:cNvPr id="3616" name="c327a7ea-bb1c-44e7-85bf-f616be2761a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376e7b75aab401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3619</xdr:row>
      <xdr:rowOff>19050</xdr:rowOff>
    </xdr:from>
    <xdr:ext cx="1143000" cy="1143000"/>
    <xdr:pic>
      <xdr:nvPicPr>
        <xdr:cNvPr id="3617" name="dac2041d-ca85-4ca5-b705-3f4e2fa5593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f891c3932bd4dc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3620</xdr:row>
      <xdr:rowOff>19050</xdr:rowOff>
    </xdr:from>
    <xdr:ext cx="1143000" cy="1143000"/>
    <xdr:pic>
      <xdr:nvPicPr>
        <xdr:cNvPr id="3618" name="01e9352c-03a6-4d52-b472-07e0b541e70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da99058a59d447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3621</xdr:row>
      <xdr:rowOff>19050</xdr:rowOff>
    </xdr:from>
    <xdr:ext cx="1143000" cy="1143000"/>
    <xdr:pic>
      <xdr:nvPicPr>
        <xdr:cNvPr id="3619" name="c7241b60-f4cf-44d2-bf28-c8f8c43df95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b3b35d960b8433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3622</xdr:row>
      <xdr:rowOff>19050</xdr:rowOff>
    </xdr:from>
    <xdr:ext cx="1143000" cy="1143000"/>
    <xdr:pic>
      <xdr:nvPicPr>
        <xdr:cNvPr id="3620" name="9ff0f536-28f6-477a-88e1-b3aa8aaf1e8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49452cf32034d7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3623</xdr:row>
      <xdr:rowOff>19050</xdr:rowOff>
    </xdr:from>
    <xdr:ext cx="1143000" cy="1143000"/>
    <xdr:pic>
      <xdr:nvPicPr>
        <xdr:cNvPr id="3621" name="9e0d3ecc-50cb-414f-b992-c0b7017fc89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75665718ae5451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3624</xdr:row>
      <xdr:rowOff>19050</xdr:rowOff>
    </xdr:from>
    <xdr:ext cx="1143000" cy="1143000"/>
    <xdr:pic>
      <xdr:nvPicPr>
        <xdr:cNvPr id="3622" name="0f61c70f-638b-4943-896a-99ea794b2f8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47707539a62466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3625</xdr:row>
      <xdr:rowOff>19050</xdr:rowOff>
    </xdr:from>
    <xdr:ext cx="1143000" cy="1143000"/>
    <xdr:pic>
      <xdr:nvPicPr>
        <xdr:cNvPr id="3623" name="e5dd2164-88f2-46a9-b253-337e0c79239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e77c8cabefc4cc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3626</xdr:row>
      <xdr:rowOff>19050</xdr:rowOff>
    </xdr:from>
    <xdr:ext cx="1143000" cy="1143000"/>
    <xdr:pic>
      <xdr:nvPicPr>
        <xdr:cNvPr id="3624" name="85284a04-c1e8-4b5d-9724-d33b1782dbf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c3048d130c8450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3627</xdr:row>
      <xdr:rowOff>19050</xdr:rowOff>
    </xdr:from>
    <xdr:ext cx="1143000" cy="1143000"/>
    <xdr:pic>
      <xdr:nvPicPr>
        <xdr:cNvPr id="3625" name="73f7bbd3-880d-4314-8341-1d7975e89d3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1cf3dedb37548e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3628</xdr:row>
      <xdr:rowOff>19050</xdr:rowOff>
    </xdr:from>
    <xdr:ext cx="1143000" cy="1143000"/>
    <xdr:pic>
      <xdr:nvPicPr>
        <xdr:cNvPr id="3626" name="245a185d-b85a-49bb-a83c-63fc5f7184f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a173d0af77a404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3629</xdr:row>
      <xdr:rowOff>19050</xdr:rowOff>
    </xdr:from>
    <xdr:ext cx="1143000" cy="1143000"/>
    <xdr:pic>
      <xdr:nvPicPr>
        <xdr:cNvPr id="3627" name="9a666a76-21f3-478c-b9b0-b0570e7c7d1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c19bb1b16ac4a9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3630</xdr:row>
      <xdr:rowOff>19050</xdr:rowOff>
    </xdr:from>
    <xdr:ext cx="1143000" cy="1143000"/>
    <xdr:pic>
      <xdr:nvPicPr>
        <xdr:cNvPr id="3628" name="b2abc592-526c-4f3d-93b6-b24f6fd9939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6423098d58b4de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3631</xdr:row>
      <xdr:rowOff>19050</xdr:rowOff>
    </xdr:from>
    <xdr:ext cx="1143000" cy="1143000"/>
    <xdr:pic>
      <xdr:nvPicPr>
        <xdr:cNvPr id="3629" name="0f6b712e-0f1f-4e8d-b0d0-203e672951f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8baa5ecaf31467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3632</xdr:row>
      <xdr:rowOff>19050</xdr:rowOff>
    </xdr:from>
    <xdr:ext cx="1143000" cy="1143000"/>
    <xdr:pic>
      <xdr:nvPicPr>
        <xdr:cNvPr id="3630" name="085bb2d8-8c5d-4e93-91eb-25d69e2dda6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c5f4ad9e6da499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3633</xdr:row>
      <xdr:rowOff>19050</xdr:rowOff>
    </xdr:from>
    <xdr:ext cx="1143000" cy="1143000"/>
    <xdr:pic>
      <xdr:nvPicPr>
        <xdr:cNvPr id="3631" name="bfad74d9-d6ea-42e1-a861-6f74426b02d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4681b580712409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3634</xdr:row>
      <xdr:rowOff>19050</xdr:rowOff>
    </xdr:from>
    <xdr:ext cx="1143000" cy="1143000"/>
    <xdr:pic>
      <xdr:nvPicPr>
        <xdr:cNvPr id="3632" name="f09c4a6b-a541-484e-a79d-ce4d7ba7469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30c29b1942e446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3635</xdr:row>
      <xdr:rowOff>19050</xdr:rowOff>
    </xdr:from>
    <xdr:ext cx="1143000" cy="1143000"/>
    <xdr:pic>
      <xdr:nvPicPr>
        <xdr:cNvPr id="3633" name="9e64f337-a218-4b76-b668-573d1a7ca1f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4333016bff447f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3636</xdr:row>
      <xdr:rowOff>19050</xdr:rowOff>
    </xdr:from>
    <xdr:ext cx="1143000" cy="1143000"/>
    <xdr:pic>
      <xdr:nvPicPr>
        <xdr:cNvPr id="3634" name="65bf1b82-f3ee-4eba-9574-dd60420a2a0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edeb75112b248f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3637</xdr:row>
      <xdr:rowOff>19050</xdr:rowOff>
    </xdr:from>
    <xdr:ext cx="1143000" cy="1143000"/>
    <xdr:pic>
      <xdr:nvPicPr>
        <xdr:cNvPr id="3635" name="dfd44b84-f734-45ba-810f-21211ad2472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ffd1b6b90f2480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3638</xdr:row>
      <xdr:rowOff>19050</xdr:rowOff>
    </xdr:from>
    <xdr:ext cx="1143000" cy="1143000"/>
    <xdr:pic>
      <xdr:nvPicPr>
        <xdr:cNvPr id="3636" name="3a172f38-ce38-4cb2-967f-b07e5574693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9860d024bde462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3639</xdr:row>
      <xdr:rowOff>19050</xdr:rowOff>
    </xdr:from>
    <xdr:ext cx="1143000" cy="1143000"/>
    <xdr:pic>
      <xdr:nvPicPr>
        <xdr:cNvPr id="3637" name="f0ede648-e995-4423-8caa-0293b432e63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8da3eeb02e3427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3640</xdr:row>
      <xdr:rowOff>19050</xdr:rowOff>
    </xdr:from>
    <xdr:ext cx="1143000" cy="1143000"/>
    <xdr:pic>
      <xdr:nvPicPr>
        <xdr:cNvPr id="3638" name="b445e191-6168-4760-8709-ceec956965e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d7a19ada19c405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3641</xdr:row>
      <xdr:rowOff>19050</xdr:rowOff>
    </xdr:from>
    <xdr:ext cx="1143000" cy="1143000"/>
    <xdr:pic>
      <xdr:nvPicPr>
        <xdr:cNvPr id="3639" name="68068f36-9d52-4fc4-a3ec-d354ab4d1c1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bae7818e15b403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3642</xdr:row>
      <xdr:rowOff>19050</xdr:rowOff>
    </xdr:from>
    <xdr:ext cx="1143000" cy="1143000"/>
    <xdr:pic>
      <xdr:nvPicPr>
        <xdr:cNvPr id="3640" name="1b1fbae8-cda7-4c1a-9453-4a3b93787c1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eb0f7d04f0b4f0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3643</xdr:row>
      <xdr:rowOff>19050</xdr:rowOff>
    </xdr:from>
    <xdr:ext cx="1143000" cy="1143000"/>
    <xdr:pic>
      <xdr:nvPicPr>
        <xdr:cNvPr id="3641" name="3e734858-8c76-4719-92b0-591c6c8ef75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bbd44aa745d4d1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3644</xdr:row>
      <xdr:rowOff>19050</xdr:rowOff>
    </xdr:from>
    <xdr:ext cx="1143000" cy="1143000"/>
    <xdr:pic>
      <xdr:nvPicPr>
        <xdr:cNvPr id="3642" name="e5bc33e3-8341-4ea3-8286-3807ab309ea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8ba81b70208417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3645</xdr:row>
      <xdr:rowOff>19050</xdr:rowOff>
    </xdr:from>
    <xdr:ext cx="1143000" cy="1143000"/>
    <xdr:pic>
      <xdr:nvPicPr>
        <xdr:cNvPr id="3643" name="472c3a03-9be4-4bc6-a8a7-cc502496802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02746ede7d7491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3646</xdr:row>
      <xdr:rowOff>19050</xdr:rowOff>
    </xdr:from>
    <xdr:ext cx="1143000" cy="1143000"/>
    <xdr:pic>
      <xdr:nvPicPr>
        <xdr:cNvPr id="3644" name="9da397d9-db6c-4a43-8bd7-411300b4881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a488901cd79422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3647</xdr:row>
      <xdr:rowOff>19050</xdr:rowOff>
    </xdr:from>
    <xdr:ext cx="1143000" cy="1143000"/>
    <xdr:pic>
      <xdr:nvPicPr>
        <xdr:cNvPr id="3645" name="f9704c35-ce03-46a9-8a0f-310aba111f1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08c766721144e1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3648</xdr:row>
      <xdr:rowOff>19050</xdr:rowOff>
    </xdr:from>
    <xdr:ext cx="1143000" cy="1143000"/>
    <xdr:pic>
      <xdr:nvPicPr>
        <xdr:cNvPr id="3646" name="5e541be0-5257-48bd-9c56-f7fbad23fd8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7945a7378cb42a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3649</xdr:row>
      <xdr:rowOff>19050</xdr:rowOff>
    </xdr:from>
    <xdr:ext cx="1143000" cy="1143000"/>
    <xdr:pic>
      <xdr:nvPicPr>
        <xdr:cNvPr id="3647" name="99ed88ff-3308-4799-bb21-e566825ad71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bcf26cf10dd4b0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3650</xdr:row>
      <xdr:rowOff>19050</xdr:rowOff>
    </xdr:from>
    <xdr:ext cx="1143000" cy="1143000"/>
    <xdr:pic>
      <xdr:nvPicPr>
        <xdr:cNvPr id="3648" name="d28cdf3d-556c-475f-b645-0bd1d30948a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39fa11dc39f4eb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3651</xdr:row>
      <xdr:rowOff>19050</xdr:rowOff>
    </xdr:from>
    <xdr:ext cx="1143000" cy="1143000"/>
    <xdr:pic>
      <xdr:nvPicPr>
        <xdr:cNvPr id="3649" name="866adb94-e706-4a04-a6f3-ffeca7fd01a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06930f54060471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3652</xdr:row>
      <xdr:rowOff>19050</xdr:rowOff>
    </xdr:from>
    <xdr:ext cx="1143000" cy="1143000"/>
    <xdr:pic>
      <xdr:nvPicPr>
        <xdr:cNvPr id="3650" name="5a47f895-89ba-475c-8f09-26a68dce422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d702d4a96b7421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3653</xdr:row>
      <xdr:rowOff>19050</xdr:rowOff>
    </xdr:from>
    <xdr:ext cx="1143000" cy="1143000"/>
    <xdr:pic>
      <xdr:nvPicPr>
        <xdr:cNvPr id="3651" name="9225ae1b-9e09-43ab-aad5-4f323c86ce3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32281ba7f044e4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3654</xdr:row>
      <xdr:rowOff>19050</xdr:rowOff>
    </xdr:from>
    <xdr:ext cx="1143000" cy="1143000"/>
    <xdr:pic>
      <xdr:nvPicPr>
        <xdr:cNvPr id="3652" name="5bf82da9-2fe5-4f96-8ae6-add88b65002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37b1875c2ff4e6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3655</xdr:row>
      <xdr:rowOff>19050</xdr:rowOff>
    </xdr:from>
    <xdr:ext cx="1143000" cy="1143000"/>
    <xdr:pic>
      <xdr:nvPicPr>
        <xdr:cNvPr id="3653" name="909df8f3-54f5-442f-beb2-d65cd975b3b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1b39bc1882a4db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3656</xdr:row>
      <xdr:rowOff>19050</xdr:rowOff>
    </xdr:from>
    <xdr:ext cx="1143000" cy="1143000"/>
    <xdr:pic>
      <xdr:nvPicPr>
        <xdr:cNvPr id="3654" name="6fafc1c2-73d3-4dfa-9044-0b3f2c9c102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b62aa17ab3545b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3657</xdr:row>
      <xdr:rowOff>19050</xdr:rowOff>
    </xdr:from>
    <xdr:ext cx="1143000" cy="1143000"/>
    <xdr:pic>
      <xdr:nvPicPr>
        <xdr:cNvPr id="3655" name="4ed7dc8d-f40a-4f60-98eb-c07dbfd953b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9256dbf58d943c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3658</xdr:row>
      <xdr:rowOff>19050</xdr:rowOff>
    </xdr:from>
    <xdr:ext cx="1143000" cy="1143000"/>
    <xdr:pic>
      <xdr:nvPicPr>
        <xdr:cNvPr id="3656" name="ab42319a-b9ed-4b2d-ae68-334aa64647d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c2a803fe68548e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3659</xdr:row>
      <xdr:rowOff>19050</xdr:rowOff>
    </xdr:from>
    <xdr:ext cx="1143000" cy="1143000"/>
    <xdr:pic>
      <xdr:nvPicPr>
        <xdr:cNvPr id="3657" name="7317085c-a859-45d5-8296-7a8f90e7f3d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4f052ebbe31403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3660</xdr:row>
      <xdr:rowOff>19050</xdr:rowOff>
    </xdr:from>
    <xdr:ext cx="1143000" cy="1143000"/>
    <xdr:pic>
      <xdr:nvPicPr>
        <xdr:cNvPr id="3658" name="aa2a80fe-b4a7-406a-b014-d6c47923ea1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fbc2bb51ca84c0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3661</xdr:row>
      <xdr:rowOff>19050</xdr:rowOff>
    </xdr:from>
    <xdr:ext cx="1143000" cy="1143000"/>
    <xdr:pic>
      <xdr:nvPicPr>
        <xdr:cNvPr id="3659" name="2eb359d4-cdb7-4bb6-a333-6af40d53aac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9982126925d4d0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3662</xdr:row>
      <xdr:rowOff>19050</xdr:rowOff>
    </xdr:from>
    <xdr:ext cx="1143000" cy="1143000"/>
    <xdr:pic>
      <xdr:nvPicPr>
        <xdr:cNvPr id="3660" name="45c20a97-7700-4b17-916d-9e381d79aa6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65e2b68fa784d7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3663</xdr:row>
      <xdr:rowOff>19050</xdr:rowOff>
    </xdr:from>
    <xdr:ext cx="1143000" cy="1143000"/>
    <xdr:pic>
      <xdr:nvPicPr>
        <xdr:cNvPr id="3661" name="b1c3d0cd-c37f-4ccf-9548-05ce48a849c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253f1010216444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3664</xdr:row>
      <xdr:rowOff>19050</xdr:rowOff>
    </xdr:from>
    <xdr:ext cx="1143000" cy="1143000"/>
    <xdr:pic>
      <xdr:nvPicPr>
        <xdr:cNvPr id="3662" name="2f6a3675-7ec2-4978-9b4c-2c6e20cb44d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cc7d6ea0f424fb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3665</xdr:row>
      <xdr:rowOff>19050</xdr:rowOff>
    </xdr:from>
    <xdr:ext cx="1143000" cy="1143000"/>
    <xdr:pic>
      <xdr:nvPicPr>
        <xdr:cNvPr id="3663" name="da927dbc-f20f-42cc-b175-6773fe2640f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9ef395a2dff4a9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3666</xdr:row>
      <xdr:rowOff>19050</xdr:rowOff>
    </xdr:from>
    <xdr:ext cx="1143000" cy="1143000"/>
    <xdr:pic>
      <xdr:nvPicPr>
        <xdr:cNvPr id="3664" name="ba2011f8-7345-4d99-937c-8ad9628864d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4212548a5984c9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3667</xdr:row>
      <xdr:rowOff>19050</xdr:rowOff>
    </xdr:from>
    <xdr:ext cx="1143000" cy="1143000"/>
    <xdr:pic>
      <xdr:nvPicPr>
        <xdr:cNvPr id="3665" name="dfd72016-69d7-4095-9198-f987c225728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05e788bafd34f3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3668</xdr:row>
      <xdr:rowOff>19050</xdr:rowOff>
    </xdr:from>
    <xdr:ext cx="1143000" cy="1143000"/>
    <xdr:pic>
      <xdr:nvPicPr>
        <xdr:cNvPr id="3666" name="f2f64e45-c521-4334-809c-287e161a9ae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eb25d3b77f8443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3669</xdr:row>
      <xdr:rowOff>19050</xdr:rowOff>
    </xdr:from>
    <xdr:ext cx="1143000" cy="1143000"/>
    <xdr:pic>
      <xdr:nvPicPr>
        <xdr:cNvPr id="3667" name="ae73310b-9f5d-4f8f-849b-d80220579cd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a278fab77b64e1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3670</xdr:row>
      <xdr:rowOff>19050</xdr:rowOff>
    </xdr:from>
    <xdr:ext cx="1143000" cy="1143000"/>
    <xdr:pic>
      <xdr:nvPicPr>
        <xdr:cNvPr id="3668" name="ab3f9c15-e2dc-4473-b03c-7f94e38e51c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df19616dc794c0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3671</xdr:row>
      <xdr:rowOff>19050</xdr:rowOff>
    </xdr:from>
    <xdr:ext cx="1143000" cy="1143000"/>
    <xdr:pic>
      <xdr:nvPicPr>
        <xdr:cNvPr id="3669" name="cea199f1-b398-429f-bb7c-8f688af5605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8ae0d7392c845c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3672</xdr:row>
      <xdr:rowOff>19050</xdr:rowOff>
    </xdr:from>
    <xdr:ext cx="1143000" cy="1143000"/>
    <xdr:pic>
      <xdr:nvPicPr>
        <xdr:cNvPr id="3670" name="9ea26b87-a323-4cf3-9ee0-cf115678e02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55a52a8804e401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3673</xdr:row>
      <xdr:rowOff>19050</xdr:rowOff>
    </xdr:from>
    <xdr:ext cx="1143000" cy="1143000"/>
    <xdr:pic>
      <xdr:nvPicPr>
        <xdr:cNvPr id="3671" name="741e5795-682f-42fc-9629-754a891f610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0c0f9ff554b42a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3674</xdr:row>
      <xdr:rowOff>19050</xdr:rowOff>
    </xdr:from>
    <xdr:ext cx="1143000" cy="1143000"/>
    <xdr:pic>
      <xdr:nvPicPr>
        <xdr:cNvPr id="3672" name="e8b1c8bf-aeb0-4ece-8042-40315a7b786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3a6d07f9f41477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3675</xdr:row>
      <xdr:rowOff>19050</xdr:rowOff>
    </xdr:from>
    <xdr:ext cx="1143000" cy="1143000"/>
    <xdr:pic>
      <xdr:nvPicPr>
        <xdr:cNvPr id="3673" name="12a454db-57c3-4730-bd70-e33040b22e3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b2b60dfce6a4ff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3676</xdr:row>
      <xdr:rowOff>19050</xdr:rowOff>
    </xdr:from>
    <xdr:ext cx="1143000" cy="1143000"/>
    <xdr:pic>
      <xdr:nvPicPr>
        <xdr:cNvPr id="3674" name="ef908436-74dc-4ebe-ad7c-4f110f7765a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aa6620b24214df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3677</xdr:row>
      <xdr:rowOff>19050</xdr:rowOff>
    </xdr:from>
    <xdr:ext cx="1143000" cy="1143000"/>
    <xdr:pic>
      <xdr:nvPicPr>
        <xdr:cNvPr id="3675" name="58ee9bb5-b355-42e5-8cee-7b41db2121c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913cbb0f9d14ee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3678</xdr:row>
      <xdr:rowOff>19050</xdr:rowOff>
    </xdr:from>
    <xdr:ext cx="1143000" cy="1143000"/>
    <xdr:pic>
      <xdr:nvPicPr>
        <xdr:cNvPr id="3676" name="74dbdd0d-8e37-48aa-9e20-ad5e63a1b81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39772c5082b425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3679</xdr:row>
      <xdr:rowOff>19050</xdr:rowOff>
    </xdr:from>
    <xdr:ext cx="1143000" cy="1143000"/>
    <xdr:pic>
      <xdr:nvPicPr>
        <xdr:cNvPr id="3677" name="96ce009c-9500-42c7-a647-d9308a623c7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dd666c81f4842b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3680</xdr:row>
      <xdr:rowOff>19050</xdr:rowOff>
    </xdr:from>
    <xdr:ext cx="1143000" cy="1143000"/>
    <xdr:pic>
      <xdr:nvPicPr>
        <xdr:cNvPr id="3678" name="852516e4-36c9-4d8b-ab36-ed4fc9ed0e8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dd2b8c3e5224a8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3681</xdr:row>
      <xdr:rowOff>19050</xdr:rowOff>
    </xdr:from>
    <xdr:ext cx="1143000" cy="1143000"/>
    <xdr:pic>
      <xdr:nvPicPr>
        <xdr:cNvPr id="3679" name="78d43775-f066-49d9-a9a9-65b97cd4c76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34e30ef49e4413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3682</xdr:row>
      <xdr:rowOff>19050</xdr:rowOff>
    </xdr:from>
    <xdr:ext cx="1143000" cy="1143000"/>
    <xdr:pic>
      <xdr:nvPicPr>
        <xdr:cNvPr id="3680" name="c37441f2-bd21-480f-bfdf-b5ea65fb811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fd063dfecee43c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3683</xdr:row>
      <xdr:rowOff>19050</xdr:rowOff>
    </xdr:from>
    <xdr:ext cx="1143000" cy="1143000"/>
    <xdr:pic>
      <xdr:nvPicPr>
        <xdr:cNvPr id="3681" name="3cb8bd54-55fe-4467-a2ef-f0081391654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0794274f049454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3684</xdr:row>
      <xdr:rowOff>19050</xdr:rowOff>
    </xdr:from>
    <xdr:ext cx="1143000" cy="1143000"/>
    <xdr:pic>
      <xdr:nvPicPr>
        <xdr:cNvPr id="3682" name="a870e1be-c927-468c-8d81-96bbb42b20d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63c5a86fee64e2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3685</xdr:row>
      <xdr:rowOff>19050</xdr:rowOff>
    </xdr:from>
    <xdr:ext cx="1143000" cy="1143000"/>
    <xdr:pic>
      <xdr:nvPicPr>
        <xdr:cNvPr id="3683" name="929fe990-4962-4e9d-a834-1872244e9ce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49676abef154b4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3686</xdr:row>
      <xdr:rowOff>19050</xdr:rowOff>
    </xdr:from>
    <xdr:ext cx="1143000" cy="1143000"/>
    <xdr:pic>
      <xdr:nvPicPr>
        <xdr:cNvPr id="3684" name="2ac89888-edff-4ffb-abd1-6ea31d86d5c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a025960bb1f40e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3687</xdr:row>
      <xdr:rowOff>19050</xdr:rowOff>
    </xdr:from>
    <xdr:ext cx="1143000" cy="1143000"/>
    <xdr:pic>
      <xdr:nvPicPr>
        <xdr:cNvPr id="3685" name="5c777dce-adc8-449e-8fb5-4f45dfb14b2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7cb9a0892f747b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3688</xdr:row>
      <xdr:rowOff>19050</xdr:rowOff>
    </xdr:from>
    <xdr:ext cx="1143000" cy="1143000"/>
    <xdr:pic>
      <xdr:nvPicPr>
        <xdr:cNvPr id="3686" name="49bbdbbc-95d6-4ba6-ab3e-38cf01de1b4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206f2e2fdce4b5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3689</xdr:row>
      <xdr:rowOff>19050</xdr:rowOff>
    </xdr:from>
    <xdr:ext cx="1143000" cy="1143000"/>
    <xdr:pic>
      <xdr:nvPicPr>
        <xdr:cNvPr id="3687" name="0637d5f9-5fb5-4cad-aa30-49b5347ffd5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1cee09b2e8749e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3690</xdr:row>
      <xdr:rowOff>19050</xdr:rowOff>
    </xdr:from>
    <xdr:ext cx="1143000" cy="1143000"/>
    <xdr:pic>
      <xdr:nvPicPr>
        <xdr:cNvPr id="3688" name="7760967e-a7ee-4c32-8f31-2f75a48775d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fb3383cd91442f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3691</xdr:row>
      <xdr:rowOff>19050</xdr:rowOff>
    </xdr:from>
    <xdr:ext cx="1143000" cy="1143000"/>
    <xdr:pic>
      <xdr:nvPicPr>
        <xdr:cNvPr id="3689" name="902da6b0-7e56-4fe4-9381-288927a1366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1fb710e1502414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3692</xdr:row>
      <xdr:rowOff>19050</xdr:rowOff>
    </xdr:from>
    <xdr:ext cx="1143000" cy="1143000"/>
    <xdr:pic>
      <xdr:nvPicPr>
        <xdr:cNvPr id="3690" name="74165c37-bdf8-4f96-b3a2-26e283f0cdb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3d96f1b1f63423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3693</xdr:row>
      <xdr:rowOff>19050</xdr:rowOff>
    </xdr:from>
    <xdr:ext cx="1143000" cy="1143000"/>
    <xdr:pic>
      <xdr:nvPicPr>
        <xdr:cNvPr id="3691" name="dc069582-346e-4533-b276-a6acd125f0d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f3fe6e1ce2a4a8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3694</xdr:row>
      <xdr:rowOff>19050</xdr:rowOff>
    </xdr:from>
    <xdr:ext cx="1143000" cy="1143000"/>
    <xdr:pic>
      <xdr:nvPicPr>
        <xdr:cNvPr id="3692" name="be80849c-4fa0-4a77-a448-f5006a8aec0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0dcc0f25ca14e5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3695</xdr:row>
      <xdr:rowOff>19050</xdr:rowOff>
    </xdr:from>
    <xdr:ext cx="1143000" cy="1143000"/>
    <xdr:pic>
      <xdr:nvPicPr>
        <xdr:cNvPr id="3693" name="449e2bd6-02fa-41a6-9b72-83e34e8c6aa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5b907c1397a4b8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3696</xdr:row>
      <xdr:rowOff>19050</xdr:rowOff>
    </xdr:from>
    <xdr:ext cx="1143000" cy="1143000"/>
    <xdr:pic>
      <xdr:nvPicPr>
        <xdr:cNvPr id="3694" name="8edf1a60-3e2b-45fc-9a75-0ec792afc1d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468d79cdace44f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3697</xdr:row>
      <xdr:rowOff>19050</xdr:rowOff>
    </xdr:from>
    <xdr:ext cx="1143000" cy="1143000"/>
    <xdr:pic>
      <xdr:nvPicPr>
        <xdr:cNvPr id="3695" name="720f4985-0bf6-4566-94e4-429d627ce7d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8ae8fde3f76493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3698</xdr:row>
      <xdr:rowOff>19050</xdr:rowOff>
    </xdr:from>
    <xdr:ext cx="1143000" cy="1143000"/>
    <xdr:pic>
      <xdr:nvPicPr>
        <xdr:cNvPr id="3696" name="30f6deba-ea27-4fc7-a344-5a42da62cbe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c6a9f9c76de4e5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3699</xdr:row>
      <xdr:rowOff>19050</xdr:rowOff>
    </xdr:from>
    <xdr:ext cx="1143000" cy="1143000"/>
    <xdr:pic>
      <xdr:nvPicPr>
        <xdr:cNvPr id="3697" name="b9b675d7-a0b2-4b09-8725-4f0df6cb7d4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7a564931ff9457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3700</xdr:row>
      <xdr:rowOff>19050</xdr:rowOff>
    </xdr:from>
    <xdr:ext cx="1143000" cy="1143000"/>
    <xdr:pic>
      <xdr:nvPicPr>
        <xdr:cNvPr id="3698" name="b7363e5a-be78-4393-8cd0-1a99c16a3cf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494786439da459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3701</xdr:row>
      <xdr:rowOff>19050</xdr:rowOff>
    </xdr:from>
    <xdr:ext cx="1143000" cy="1143000"/>
    <xdr:pic>
      <xdr:nvPicPr>
        <xdr:cNvPr id="3699" name="6c4743c6-149c-4879-b596-c7751ac2723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5d877c182d24a0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3702</xdr:row>
      <xdr:rowOff>19050</xdr:rowOff>
    </xdr:from>
    <xdr:ext cx="1143000" cy="1143000"/>
    <xdr:pic>
      <xdr:nvPicPr>
        <xdr:cNvPr id="3700" name="e87d9fed-ba0e-4b99-a430-144dc123d38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996c140dca7407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3703</xdr:row>
      <xdr:rowOff>19050</xdr:rowOff>
    </xdr:from>
    <xdr:ext cx="1143000" cy="1143000"/>
    <xdr:pic>
      <xdr:nvPicPr>
        <xdr:cNvPr id="3701" name="3c88abb8-912b-4b1f-ba3c-83da429ed7f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ffd4e5e94ca436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3704</xdr:row>
      <xdr:rowOff>19050</xdr:rowOff>
    </xdr:from>
    <xdr:ext cx="1143000" cy="1143000"/>
    <xdr:pic>
      <xdr:nvPicPr>
        <xdr:cNvPr id="3702" name="83371b44-91f9-4756-b58e-59b6d0911a6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602c0f25609417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3705</xdr:row>
      <xdr:rowOff>19050</xdr:rowOff>
    </xdr:from>
    <xdr:ext cx="1143000" cy="1143000"/>
    <xdr:pic>
      <xdr:nvPicPr>
        <xdr:cNvPr id="3703" name="324bd6f6-9ddb-4327-8204-a362416fee4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e55f5f392ec495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3706</xdr:row>
      <xdr:rowOff>19050</xdr:rowOff>
    </xdr:from>
    <xdr:ext cx="1143000" cy="1143000"/>
    <xdr:pic>
      <xdr:nvPicPr>
        <xdr:cNvPr id="3704" name="328a8a4e-b174-4f67-a9bb-3ec2bbda587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bd18d1925f94c6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3707</xdr:row>
      <xdr:rowOff>19050</xdr:rowOff>
    </xdr:from>
    <xdr:ext cx="1143000" cy="1143000"/>
    <xdr:pic>
      <xdr:nvPicPr>
        <xdr:cNvPr id="3705" name="4ce24ce9-ec27-4104-be24-db0bcd61251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e6eabc18bd446a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3708</xdr:row>
      <xdr:rowOff>19050</xdr:rowOff>
    </xdr:from>
    <xdr:ext cx="1143000" cy="1143000"/>
    <xdr:pic>
      <xdr:nvPicPr>
        <xdr:cNvPr id="3706" name="e9dbce0a-a366-4362-a8fe-4ff44f4a28f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4782d87c98d499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3709</xdr:row>
      <xdr:rowOff>19050</xdr:rowOff>
    </xdr:from>
    <xdr:ext cx="1143000" cy="1143000"/>
    <xdr:pic>
      <xdr:nvPicPr>
        <xdr:cNvPr id="3707" name="50b3fdcc-b6a2-4471-bfb0-b0c2c635b61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a804f26916c426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3710</xdr:row>
      <xdr:rowOff>19050</xdr:rowOff>
    </xdr:from>
    <xdr:ext cx="1143000" cy="1143000"/>
    <xdr:pic>
      <xdr:nvPicPr>
        <xdr:cNvPr id="3708" name="ce831056-12e0-4faf-b356-c31da749caa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b3da46cde98401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3711</xdr:row>
      <xdr:rowOff>19050</xdr:rowOff>
    </xdr:from>
    <xdr:ext cx="1143000" cy="1143000"/>
    <xdr:pic>
      <xdr:nvPicPr>
        <xdr:cNvPr id="3709" name="8970f41a-e610-4821-8890-ea304e597e9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8f4dbd592e84e7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3712</xdr:row>
      <xdr:rowOff>19050</xdr:rowOff>
    </xdr:from>
    <xdr:ext cx="1143000" cy="1143000"/>
    <xdr:pic>
      <xdr:nvPicPr>
        <xdr:cNvPr id="3710" name="55a038b6-491f-4acf-a1fa-5bc465b360a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887edaa30e048e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3713</xdr:row>
      <xdr:rowOff>19050</xdr:rowOff>
    </xdr:from>
    <xdr:ext cx="1143000" cy="1143000"/>
    <xdr:pic>
      <xdr:nvPicPr>
        <xdr:cNvPr id="3711" name="197d706e-fc70-4c67-a193-ac38dbd4cfa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f44c04343c74ec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3714</xdr:row>
      <xdr:rowOff>19050</xdr:rowOff>
    </xdr:from>
    <xdr:ext cx="1143000" cy="1143000"/>
    <xdr:pic>
      <xdr:nvPicPr>
        <xdr:cNvPr id="3712" name="0f6cde9b-99b8-4f97-8a5c-fa67f3aa7b0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5e14ad14993464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3715</xdr:row>
      <xdr:rowOff>19050</xdr:rowOff>
    </xdr:from>
    <xdr:ext cx="1143000" cy="1143000"/>
    <xdr:pic>
      <xdr:nvPicPr>
        <xdr:cNvPr id="3713" name="8c1f6486-bfca-4194-8525-4838d8af774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d976c8c27864de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3716</xdr:row>
      <xdr:rowOff>19050</xdr:rowOff>
    </xdr:from>
    <xdr:ext cx="1143000" cy="1143000"/>
    <xdr:pic>
      <xdr:nvPicPr>
        <xdr:cNvPr id="3714" name="6490413b-a0b4-443b-b307-b048b8f283f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ecda0d2e84f4f7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3717</xdr:row>
      <xdr:rowOff>19050</xdr:rowOff>
    </xdr:from>
    <xdr:ext cx="1143000" cy="1143000"/>
    <xdr:pic>
      <xdr:nvPicPr>
        <xdr:cNvPr id="3715" name="dc869855-117a-4218-8f69-3006a65cbb4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da27f84a4c04a9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3718</xdr:row>
      <xdr:rowOff>19050</xdr:rowOff>
    </xdr:from>
    <xdr:ext cx="1143000" cy="1143000"/>
    <xdr:pic>
      <xdr:nvPicPr>
        <xdr:cNvPr id="3716" name="e0577e6b-b45f-4728-a679-dfa69450cb9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49f67053dc7485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3719</xdr:row>
      <xdr:rowOff>19050</xdr:rowOff>
    </xdr:from>
    <xdr:ext cx="1143000" cy="1143000"/>
    <xdr:pic>
      <xdr:nvPicPr>
        <xdr:cNvPr id="3717" name="0a81d199-9345-461c-ad8e-54ab67e6c4b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ecdcf1c1c85481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3720</xdr:row>
      <xdr:rowOff>19050</xdr:rowOff>
    </xdr:from>
    <xdr:ext cx="1143000" cy="1143000"/>
    <xdr:pic>
      <xdr:nvPicPr>
        <xdr:cNvPr id="3718" name="81403e8c-de4d-4c5d-bc26-079779f34cd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54c11be2b3d44f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3721</xdr:row>
      <xdr:rowOff>19050</xdr:rowOff>
    </xdr:from>
    <xdr:ext cx="1143000" cy="1143000"/>
    <xdr:pic>
      <xdr:nvPicPr>
        <xdr:cNvPr id="3719" name="20d66800-abd7-462d-bd2a-3293bea9349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d1c94edc71d44c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3722</xdr:row>
      <xdr:rowOff>19050</xdr:rowOff>
    </xdr:from>
    <xdr:ext cx="1143000" cy="1143000"/>
    <xdr:pic>
      <xdr:nvPicPr>
        <xdr:cNvPr id="3720" name="5e939e64-39cd-4948-8261-44afd814530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3409236bb8b4ab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3723</xdr:row>
      <xdr:rowOff>19050</xdr:rowOff>
    </xdr:from>
    <xdr:ext cx="1143000" cy="1143000"/>
    <xdr:pic>
      <xdr:nvPicPr>
        <xdr:cNvPr id="3721" name="aca3ef5b-40aa-4137-886a-3ff7c06ce2a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6a9f52af556492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3724</xdr:row>
      <xdr:rowOff>19050</xdr:rowOff>
    </xdr:from>
    <xdr:ext cx="1143000" cy="1143000"/>
    <xdr:pic>
      <xdr:nvPicPr>
        <xdr:cNvPr id="3722" name="e28b4d86-a72b-4bff-931b-2e0320c2313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f2e8e13d24345d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3725</xdr:row>
      <xdr:rowOff>19050</xdr:rowOff>
    </xdr:from>
    <xdr:ext cx="1143000" cy="1143000"/>
    <xdr:pic>
      <xdr:nvPicPr>
        <xdr:cNvPr id="3723" name="f206d70a-1446-4791-afa6-29a19a42c19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d3910758b6e4c7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3726</xdr:row>
      <xdr:rowOff>19050</xdr:rowOff>
    </xdr:from>
    <xdr:ext cx="1143000" cy="1143000"/>
    <xdr:pic>
      <xdr:nvPicPr>
        <xdr:cNvPr id="3724" name="a29b4c68-52e8-40a5-8eda-0bec0640200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7525ef87f70443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3727</xdr:row>
      <xdr:rowOff>19050</xdr:rowOff>
    </xdr:from>
    <xdr:ext cx="1143000" cy="1143000"/>
    <xdr:pic>
      <xdr:nvPicPr>
        <xdr:cNvPr id="3725" name="69caef77-f5b4-43eb-8973-a00e4d91eb2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559c0fb464f44e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3728</xdr:row>
      <xdr:rowOff>19050</xdr:rowOff>
    </xdr:from>
    <xdr:ext cx="1143000" cy="1143000"/>
    <xdr:pic>
      <xdr:nvPicPr>
        <xdr:cNvPr id="3726" name="c9b46bc5-7a06-4c4e-898b-b60c41ecc49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8517fbdbff041f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3729</xdr:row>
      <xdr:rowOff>19050</xdr:rowOff>
    </xdr:from>
    <xdr:ext cx="1143000" cy="1143000"/>
    <xdr:pic>
      <xdr:nvPicPr>
        <xdr:cNvPr id="3727" name="5b000712-b545-4d27-80a6-60fcf9f0961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8e5e45eda75416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3730</xdr:row>
      <xdr:rowOff>19050</xdr:rowOff>
    </xdr:from>
    <xdr:ext cx="1143000" cy="1143000"/>
    <xdr:pic>
      <xdr:nvPicPr>
        <xdr:cNvPr id="3728" name="da5fec73-bda2-4bb5-b7ec-a7caeffb03b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14db3ba487c497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3731</xdr:row>
      <xdr:rowOff>19050</xdr:rowOff>
    </xdr:from>
    <xdr:ext cx="1143000" cy="1143000"/>
    <xdr:pic>
      <xdr:nvPicPr>
        <xdr:cNvPr id="3729" name="a49e1532-c300-43ef-941f-db7303dcadb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93197bf33da4eb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3732</xdr:row>
      <xdr:rowOff>19050</xdr:rowOff>
    </xdr:from>
    <xdr:ext cx="1143000" cy="1143000"/>
    <xdr:pic>
      <xdr:nvPicPr>
        <xdr:cNvPr id="3730" name="cdb9a088-6aae-4c1d-aa01-4ab4f8df329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208f50c08304ec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3733</xdr:row>
      <xdr:rowOff>19050</xdr:rowOff>
    </xdr:from>
    <xdr:ext cx="1143000" cy="1143000"/>
    <xdr:pic>
      <xdr:nvPicPr>
        <xdr:cNvPr id="3731" name="ccc7cf56-e7a7-4696-9288-a216a8998ca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3a7138c2e35403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3734</xdr:row>
      <xdr:rowOff>19050</xdr:rowOff>
    </xdr:from>
    <xdr:ext cx="1143000" cy="1143000"/>
    <xdr:pic>
      <xdr:nvPicPr>
        <xdr:cNvPr id="3732" name="69992e37-795d-4a2f-9d67-a4aa6bf6d6c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50d1ea485d445b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3735</xdr:row>
      <xdr:rowOff>19050</xdr:rowOff>
    </xdr:from>
    <xdr:ext cx="1143000" cy="1143000"/>
    <xdr:pic>
      <xdr:nvPicPr>
        <xdr:cNvPr id="3733" name="b520abeb-f170-4024-8cb8-981d225bb4f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1b0917f99e84fe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3736</xdr:row>
      <xdr:rowOff>19050</xdr:rowOff>
    </xdr:from>
    <xdr:ext cx="1143000" cy="1143000"/>
    <xdr:pic>
      <xdr:nvPicPr>
        <xdr:cNvPr id="3734" name="f9b8bf62-7807-4576-b3f0-5dcb5e4586c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30aaa9f28fe4db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3737</xdr:row>
      <xdr:rowOff>19050</xdr:rowOff>
    </xdr:from>
    <xdr:ext cx="1143000" cy="1143000"/>
    <xdr:pic>
      <xdr:nvPicPr>
        <xdr:cNvPr id="3735" name="b2babbee-358f-464b-bb54-08feee8173f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6ce88be3213428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3738</xdr:row>
      <xdr:rowOff>19050</xdr:rowOff>
    </xdr:from>
    <xdr:ext cx="1143000" cy="1143000"/>
    <xdr:pic>
      <xdr:nvPicPr>
        <xdr:cNvPr id="3736" name="b7239def-9fe7-4a31-b47c-e965e4ee41c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712d4e1e443476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3739</xdr:row>
      <xdr:rowOff>19050</xdr:rowOff>
    </xdr:from>
    <xdr:ext cx="1143000" cy="1143000"/>
    <xdr:pic>
      <xdr:nvPicPr>
        <xdr:cNvPr id="3737" name="d7061d16-1bcb-4662-9381-1cc4d4c7466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7add27fa2a84a0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3740</xdr:row>
      <xdr:rowOff>19050</xdr:rowOff>
    </xdr:from>
    <xdr:ext cx="1143000" cy="1143000"/>
    <xdr:pic>
      <xdr:nvPicPr>
        <xdr:cNvPr id="3738" name="ec48cd5f-c029-4a7c-b41a-421e1efc3b6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84c32dd4df146c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3741</xdr:row>
      <xdr:rowOff>19050</xdr:rowOff>
    </xdr:from>
    <xdr:ext cx="1143000" cy="1143000"/>
    <xdr:pic>
      <xdr:nvPicPr>
        <xdr:cNvPr id="3739" name="548be7c7-b4b2-4ab0-a24a-214d74a41d6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92191de018c459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3742</xdr:row>
      <xdr:rowOff>19050</xdr:rowOff>
    </xdr:from>
    <xdr:ext cx="1143000" cy="1143000"/>
    <xdr:pic>
      <xdr:nvPicPr>
        <xdr:cNvPr id="3740" name="74267ebc-96e6-46be-b317-fcd27beb76e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ee40f4a09c64fd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3743</xdr:row>
      <xdr:rowOff>19050</xdr:rowOff>
    </xdr:from>
    <xdr:ext cx="1143000" cy="1143000"/>
    <xdr:pic>
      <xdr:nvPicPr>
        <xdr:cNvPr id="3741" name="2609d056-abbd-42d8-b953-d90dae1c32d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a94caadedfe4fb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3744</xdr:row>
      <xdr:rowOff>19050</xdr:rowOff>
    </xdr:from>
    <xdr:ext cx="1143000" cy="1143000"/>
    <xdr:pic>
      <xdr:nvPicPr>
        <xdr:cNvPr id="3742" name="78972b27-244f-464e-ac29-0457fe0508b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56087a7cea34ea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3745</xdr:row>
      <xdr:rowOff>19050</xdr:rowOff>
    </xdr:from>
    <xdr:ext cx="1143000" cy="1143000"/>
    <xdr:pic>
      <xdr:nvPicPr>
        <xdr:cNvPr id="3743" name="c3431d5e-8ca4-4a2b-867e-e47f8ccad66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1184a888415441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3746</xdr:row>
      <xdr:rowOff>19050</xdr:rowOff>
    </xdr:from>
    <xdr:ext cx="1143000" cy="1143000"/>
    <xdr:pic>
      <xdr:nvPicPr>
        <xdr:cNvPr id="3744" name="a7c0ea4d-22f3-4e0a-afd7-d0f9bdf1221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f11e1be835e4f6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3747</xdr:row>
      <xdr:rowOff>19050</xdr:rowOff>
    </xdr:from>
    <xdr:ext cx="1143000" cy="1143000"/>
    <xdr:pic>
      <xdr:nvPicPr>
        <xdr:cNvPr id="3745" name="a16f9fda-d5a7-4dea-a961-330637e486d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d476fce49ec445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3748</xdr:row>
      <xdr:rowOff>19050</xdr:rowOff>
    </xdr:from>
    <xdr:ext cx="1143000" cy="1143000"/>
    <xdr:pic>
      <xdr:nvPicPr>
        <xdr:cNvPr id="3746" name="37e6b68f-368b-4c19-8c1e-5598ae421f6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3828eb763a7483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3749</xdr:row>
      <xdr:rowOff>19050</xdr:rowOff>
    </xdr:from>
    <xdr:ext cx="1143000" cy="1143000"/>
    <xdr:pic>
      <xdr:nvPicPr>
        <xdr:cNvPr id="3747" name="7a0ae690-e17d-420d-85e4-b2e1ee22623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d5428f469d8477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3750</xdr:row>
      <xdr:rowOff>19050</xdr:rowOff>
    </xdr:from>
    <xdr:ext cx="1143000" cy="1143000"/>
    <xdr:pic>
      <xdr:nvPicPr>
        <xdr:cNvPr id="3748" name="6ab8fc09-fdaf-4a55-8f49-93061bd25d7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9108f8af520456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3751</xdr:row>
      <xdr:rowOff>19050</xdr:rowOff>
    </xdr:from>
    <xdr:ext cx="1143000" cy="1143000"/>
    <xdr:pic>
      <xdr:nvPicPr>
        <xdr:cNvPr id="3749" name="48f4fb7d-6661-4df4-98f6-dc6399f4eb6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cf14c42e31c482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3752</xdr:row>
      <xdr:rowOff>19050</xdr:rowOff>
    </xdr:from>
    <xdr:ext cx="1143000" cy="1143000"/>
    <xdr:pic>
      <xdr:nvPicPr>
        <xdr:cNvPr id="3750" name="f3b8966a-8819-4db4-a494-5ac7f9abf2a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8eb436a77cf48f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3753</xdr:row>
      <xdr:rowOff>19050</xdr:rowOff>
    </xdr:from>
    <xdr:ext cx="1143000" cy="1143000"/>
    <xdr:pic>
      <xdr:nvPicPr>
        <xdr:cNvPr id="3751" name="ad2625b9-97ed-479f-900f-2ea51f3c144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ef0ccf7f414479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3754</xdr:row>
      <xdr:rowOff>19050</xdr:rowOff>
    </xdr:from>
    <xdr:ext cx="1143000" cy="1143000"/>
    <xdr:pic>
      <xdr:nvPicPr>
        <xdr:cNvPr id="3752" name="7164ddfc-dfc4-4eaf-9a68-e82b08a7d6a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65ca729549c40d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3755</xdr:row>
      <xdr:rowOff>19050</xdr:rowOff>
    </xdr:from>
    <xdr:ext cx="1143000" cy="1143000"/>
    <xdr:pic>
      <xdr:nvPicPr>
        <xdr:cNvPr id="3753" name="ed1b3268-80ee-40d8-9d8a-27f2f55b4e3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16f3fd68d284e9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3756</xdr:row>
      <xdr:rowOff>19050</xdr:rowOff>
    </xdr:from>
    <xdr:ext cx="1143000" cy="1143000"/>
    <xdr:pic>
      <xdr:nvPicPr>
        <xdr:cNvPr id="3754" name="5fff802d-8574-4a29-b560-0253f82333a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bf2818690a94cf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3757</xdr:row>
      <xdr:rowOff>19050</xdr:rowOff>
    </xdr:from>
    <xdr:ext cx="1143000" cy="1143000"/>
    <xdr:pic>
      <xdr:nvPicPr>
        <xdr:cNvPr id="3755" name="1eda7700-b1d4-4f56-82dd-22535e8165f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86435ed30254bd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3758</xdr:row>
      <xdr:rowOff>19050</xdr:rowOff>
    </xdr:from>
    <xdr:ext cx="1143000" cy="1143000"/>
    <xdr:pic>
      <xdr:nvPicPr>
        <xdr:cNvPr id="3756" name="b053ff00-b832-4b02-b8d5-2259ea3d2fe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93249141b32429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3759</xdr:row>
      <xdr:rowOff>19050</xdr:rowOff>
    </xdr:from>
    <xdr:ext cx="1143000" cy="1143000"/>
    <xdr:pic>
      <xdr:nvPicPr>
        <xdr:cNvPr id="3757" name="c6b964b7-79c4-41f5-9d03-8b4376c669b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84bad0b7fe5469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3760</xdr:row>
      <xdr:rowOff>19050</xdr:rowOff>
    </xdr:from>
    <xdr:ext cx="1143000" cy="1143000"/>
    <xdr:pic>
      <xdr:nvPicPr>
        <xdr:cNvPr id="3758" name="008647d9-6be1-4fef-90f3-5b847bfe048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744341be0344b0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3761</xdr:row>
      <xdr:rowOff>19050</xdr:rowOff>
    </xdr:from>
    <xdr:ext cx="1143000" cy="1143000"/>
    <xdr:pic>
      <xdr:nvPicPr>
        <xdr:cNvPr id="3759" name="5539bce6-5fcb-4622-981c-781c94b8d4d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5b2595ef075481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3762</xdr:row>
      <xdr:rowOff>19050</xdr:rowOff>
    </xdr:from>
    <xdr:ext cx="1143000" cy="1143000"/>
    <xdr:pic>
      <xdr:nvPicPr>
        <xdr:cNvPr id="3760" name="56658980-78fc-4590-9b6e-84a14ecc87e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468826d625d418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3763</xdr:row>
      <xdr:rowOff>19050</xdr:rowOff>
    </xdr:from>
    <xdr:ext cx="1143000" cy="1143000"/>
    <xdr:pic>
      <xdr:nvPicPr>
        <xdr:cNvPr id="3761" name="f7e7bd08-f8a4-4f9c-8382-a490eaf0c96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d675978a23645a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3764</xdr:row>
      <xdr:rowOff>19050</xdr:rowOff>
    </xdr:from>
    <xdr:ext cx="1143000" cy="1143000"/>
    <xdr:pic>
      <xdr:nvPicPr>
        <xdr:cNvPr id="3762" name="67a39317-0f0c-4581-9614-8ea0d04c5db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e3bd0141713488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3765</xdr:row>
      <xdr:rowOff>19050</xdr:rowOff>
    </xdr:from>
    <xdr:ext cx="1143000" cy="1143000"/>
    <xdr:pic>
      <xdr:nvPicPr>
        <xdr:cNvPr id="3763" name="d2abee73-55aa-4ea9-80e7-de8befe4c9c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d22490da36d42e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3766</xdr:row>
      <xdr:rowOff>19050</xdr:rowOff>
    </xdr:from>
    <xdr:ext cx="1143000" cy="1143000"/>
    <xdr:pic>
      <xdr:nvPicPr>
        <xdr:cNvPr id="3764" name="4e812d7f-6bf6-41f9-b8e4-821bc427ee0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4df010a60a543d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3767</xdr:row>
      <xdr:rowOff>19050</xdr:rowOff>
    </xdr:from>
    <xdr:ext cx="1143000" cy="1143000"/>
    <xdr:pic>
      <xdr:nvPicPr>
        <xdr:cNvPr id="3765" name="136d8b03-300b-44ce-af82-8b6c571dfb5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f886c182fde4b7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3768</xdr:row>
      <xdr:rowOff>19050</xdr:rowOff>
    </xdr:from>
    <xdr:ext cx="1143000" cy="1143000"/>
    <xdr:pic>
      <xdr:nvPicPr>
        <xdr:cNvPr id="3766" name="d8a9741a-c5f2-40f6-aac7-7d24829e284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8575fc3cbda489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3769</xdr:row>
      <xdr:rowOff>19050</xdr:rowOff>
    </xdr:from>
    <xdr:ext cx="1143000" cy="1143000"/>
    <xdr:pic>
      <xdr:nvPicPr>
        <xdr:cNvPr id="3767" name="cb0ccd31-7977-4e3f-9832-4ae2cdc64f2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163a16437784cd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3770</xdr:row>
      <xdr:rowOff>19050</xdr:rowOff>
    </xdr:from>
    <xdr:ext cx="1143000" cy="1143000"/>
    <xdr:pic>
      <xdr:nvPicPr>
        <xdr:cNvPr id="3768" name="f007c576-08b4-4282-8e00-f528b5b327f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53f2aadf421464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3771</xdr:row>
      <xdr:rowOff>19050</xdr:rowOff>
    </xdr:from>
    <xdr:ext cx="1143000" cy="1143000"/>
    <xdr:pic>
      <xdr:nvPicPr>
        <xdr:cNvPr id="3769" name="97922ba6-7dd6-4a3a-bb88-0db51ea0e12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b914448be2e4a4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3772</xdr:row>
      <xdr:rowOff>19050</xdr:rowOff>
    </xdr:from>
    <xdr:ext cx="1143000" cy="1143000"/>
    <xdr:pic>
      <xdr:nvPicPr>
        <xdr:cNvPr id="3770" name="e717b87b-75ff-4372-a6c9-54567ce8b97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979c95759b046a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3773</xdr:row>
      <xdr:rowOff>19050</xdr:rowOff>
    </xdr:from>
    <xdr:ext cx="1143000" cy="1143000"/>
    <xdr:pic>
      <xdr:nvPicPr>
        <xdr:cNvPr id="3771" name="3deafd59-8f36-48af-b2f7-88d8e0f65a8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56db97c78e34e7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3774</xdr:row>
      <xdr:rowOff>19050</xdr:rowOff>
    </xdr:from>
    <xdr:ext cx="1143000" cy="1143000"/>
    <xdr:pic>
      <xdr:nvPicPr>
        <xdr:cNvPr id="3772" name="3e6ea9b3-6532-4f27-a93e-c4fca67ee0f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f136696c61b4eb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3775</xdr:row>
      <xdr:rowOff>19050</xdr:rowOff>
    </xdr:from>
    <xdr:ext cx="1143000" cy="1143000"/>
    <xdr:pic>
      <xdr:nvPicPr>
        <xdr:cNvPr id="3773" name="a591069b-3769-47ed-8d7e-908928d72dd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0deadd3c60847d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3776</xdr:row>
      <xdr:rowOff>19050</xdr:rowOff>
    </xdr:from>
    <xdr:ext cx="1143000" cy="1143000"/>
    <xdr:pic>
      <xdr:nvPicPr>
        <xdr:cNvPr id="3774" name="d1d857e7-a24c-4101-a3e2-e63038e1d9a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ad1c191a4df4aa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3777</xdr:row>
      <xdr:rowOff>19050</xdr:rowOff>
    </xdr:from>
    <xdr:ext cx="1143000" cy="1143000"/>
    <xdr:pic>
      <xdr:nvPicPr>
        <xdr:cNvPr id="3775" name="5b94ee79-c40a-43e7-bf5c-7436396cd7c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94f3ba64b014ea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3778</xdr:row>
      <xdr:rowOff>19050</xdr:rowOff>
    </xdr:from>
    <xdr:ext cx="1143000" cy="1143000"/>
    <xdr:pic>
      <xdr:nvPicPr>
        <xdr:cNvPr id="3776" name="95a159a1-0079-4e29-b1a4-784803662e0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2ee9b00c0df452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3779</xdr:row>
      <xdr:rowOff>19050</xdr:rowOff>
    </xdr:from>
    <xdr:ext cx="1143000" cy="1143000"/>
    <xdr:pic>
      <xdr:nvPicPr>
        <xdr:cNvPr id="3777" name="a768e033-df88-4373-86bc-b9099dc94b4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be95708ca4b40f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3780</xdr:row>
      <xdr:rowOff>19050</xdr:rowOff>
    </xdr:from>
    <xdr:ext cx="1143000" cy="1143000"/>
    <xdr:pic>
      <xdr:nvPicPr>
        <xdr:cNvPr id="3778" name="ca31d0f0-baa2-4cab-a048-d7701bbb1ba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bbcb0dd198f4d2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3781</xdr:row>
      <xdr:rowOff>19050</xdr:rowOff>
    </xdr:from>
    <xdr:ext cx="1143000" cy="1143000"/>
    <xdr:pic>
      <xdr:nvPicPr>
        <xdr:cNvPr id="3779" name="a441527c-8c5f-43aa-99ee-c632a7740d7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9e96c120c084d2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3782</xdr:row>
      <xdr:rowOff>19050</xdr:rowOff>
    </xdr:from>
    <xdr:ext cx="1143000" cy="1143000"/>
    <xdr:pic>
      <xdr:nvPicPr>
        <xdr:cNvPr id="3780" name="7e7c738c-16ac-4c3f-b590-ff1c404d8f0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3af5b3081714d7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3783</xdr:row>
      <xdr:rowOff>19050</xdr:rowOff>
    </xdr:from>
    <xdr:ext cx="1143000" cy="1143000"/>
    <xdr:pic>
      <xdr:nvPicPr>
        <xdr:cNvPr id="3781" name="108aad74-23b8-4fc6-94f0-cf34c1d4686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69b278ca0f4486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3784</xdr:row>
      <xdr:rowOff>19050</xdr:rowOff>
    </xdr:from>
    <xdr:ext cx="1143000" cy="1143000"/>
    <xdr:pic>
      <xdr:nvPicPr>
        <xdr:cNvPr id="3782" name="d6fb5688-5e8f-4748-a548-f3a084c4b08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f742f09ece4461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3785</xdr:row>
      <xdr:rowOff>19050</xdr:rowOff>
    </xdr:from>
    <xdr:ext cx="1143000" cy="1143000"/>
    <xdr:pic>
      <xdr:nvPicPr>
        <xdr:cNvPr id="3783" name="44d318d1-8f35-4fdc-9358-1badf4ac51a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eca31bd506e4e7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3786</xdr:row>
      <xdr:rowOff>19050</xdr:rowOff>
    </xdr:from>
    <xdr:ext cx="1143000" cy="1143000"/>
    <xdr:pic>
      <xdr:nvPicPr>
        <xdr:cNvPr id="3784" name="a0f28dab-efb9-48a8-a077-2a9381f776e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b9d61ba72c94e1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3787</xdr:row>
      <xdr:rowOff>19050</xdr:rowOff>
    </xdr:from>
    <xdr:ext cx="1143000" cy="1143000"/>
    <xdr:pic>
      <xdr:nvPicPr>
        <xdr:cNvPr id="3785" name="0d9d0d15-a1b8-4317-8cc9-3bbbca4a2bc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e0da68c310f4ce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3788</xdr:row>
      <xdr:rowOff>19050</xdr:rowOff>
    </xdr:from>
    <xdr:ext cx="1143000" cy="1143000"/>
    <xdr:pic>
      <xdr:nvPicPr>
        <xdr:cNvPr id="3786" name="5788fb90-f8ea-4c10-842d-1d4cdc8322d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fcee59e239a460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3789</xdr:row>
      <xdr:rowOff>19050</xdr:rowOff>
    </xdr:from>
    <xdr:ext cx="1143000" cy="1143000"/>
    <xdr:pic>
      <xdr:nvPicPr>
        <xdr:cNvPr id="3787" name="852e67ac-cf75-4989-a36d-ba6ca96bd91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bd1a5e1609948e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3790</xdr:row>
      <xdr:rowOff>19050</xdr:rowOff>
    </xdr:from>
    <xdr:ext cx="1143000" cy="1143000"/>
    <xdr:pic>
      <xdr:nvPicPr>
        <xdr:cNvPr id="3788" name="e33258b2-ca10-4990-9e0e-e07d3711c45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2b0804e72ca464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3791</xdr:row>
      <xdr:rowOff>19050</xdr:rowOff>
    </xdr:from>
    <xdr:ext cx="1143000" cy="1143000"/>
    <xdr:pic>
      <xdr:nvPicPr>
        <xdr:cNvPr id="3789" name="a1ee57ea-ed8e-4905-912c-2d80e8dc146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35adb509834492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3792</xdr:row>
      <xdr:rowOff>19050</xdr:rowOff>
    </xdr:from>
    <xdr:ext cx="1143000" cy="1143000"/>
    <xdr:pic>
      <xdr:nvPicPr>
        <xdr:cNvPr id="3790" name="c867a401-6870-4ed6-b486-2f98eaa3c04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84cf4f50cb64e7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3793</xdr:row>
      <xdr:rowOff>19050</xdr:rowOff>
    </xdr:from>
    <xdr:ext cx="1143000" cy="1143000"/>
    <xdr:pic>
      <xdr:nvPicPr>
        <xdr:cNvPr id="3791" name="079b7fe0-104a-4968-b183-19e7455cfd3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c2c97760215496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3794</xdr:row>
      <xdr:rowOff>19050</xdr:rowOff>
    </xdr:from>
    <xdr:ext cx="1143000" cy="1143000"/>
    <xdr:pic>
      <xdr:nvPicPr>
        <xdr:cNvPr id="3792" name="44951e9e-2e03-4879-ba70-dcbbdd6bc54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81ec68767e941c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3795</xdr:row>
      <xdr:rowOff>19050</xdr:rowOff>
    </xdr:from>
    <xdr:ext cx="1143000" cy="1143000"/>
    <xdr:pic>
      <xdr:nvPicPr>
        <xdr:cNvPr id="3793" name="358ee41c-7e5b-40df-8d48-38623bc3ca7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538f82c3c76478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3796</xdr:row>
      <xdr:rowOff>19050</xdr:rowOff>
    </xdr:from>
    <xdr:ext cx="1143000" cy="1143000"/>
    <xdr:pic>
      <xdr:nvPicPr>
        <xdr:cNvPr id="3794" name="f13cc58d-5227-429a-bc51-89136a1c993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9116a83df724b3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3797</xdr:row>
      <xdr:rowOff>19050</xdr:rowOff>
    </xdr:from>
    <xdr:ext cx="1143000" cy="1143000"/>
    <xdr:pic>
      <xdr:nvPicPr>
        <xdr:cNvPr id="3795" name="05032c8c-3a17-40ba-a512-aef7a740136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f677ac7cf4340f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3798</xdr:row>
      <xdr:rowOff>19050</xdr:rowOff>
    </xdr:from>
    <xdr:ext cx="1143000" cy="1143000"/>
    <xdr:pic>
      <xdr:nvPicPr>
        <xdr:cNvPr id="3796" name="a8933b7c-820c-4455-a3b1-a0fa614e52b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4636c6a9e514ae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3799</xdr:row>
      <xdr:rowOff>19050</xdr:rowOff>
    </xdr:from>
    <xdr:ext cx="1143000" cy="1143000"/>
    <xdr:pic>
      <xdr:nvPicPr>
        <xdr:cNvPr id="3797" name="084dbf9c-2326-4c42-955c-37ac4ea7959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7e0e0996c5d453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3800</xdr:row>
      <xdr:rowOff>19050</xdr:rowOff>
    </xdr:from>
    <xdr:ext cx="1143000" cy="1143000"/>
    <xdr:pic>
      <xdr:nvPicPr>
        <xdr:cNvPr id="3798" name="0a51eeeb-2f0a-42c8-98d3-acce5dfa291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252e234a56b4ae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3801</xdr:row>
      <xdr:rowOff>19050</xdr:rowOff>
    </xdr:from>
    <xdr:ext cx="1143000" cy="1143000"/>
    <xdr:pic>
      <xdr:nvPicPr>
        <xdr:cNvPr id="3799" name="1fc75bd5-5977-4a78-8565-0516c8e8100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761b627e479466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3802</xdr:row>
      <xdr:rowOff>19050</xdr:rowOff>
    </xdr:from>
    <xdr:ext cx="1143000" cy="1143000"/>
    <xdr:pic>
      <xdr:nvPicPr>
        <xdr:cNvPr id="3800" name="c0846c60-7af6-479a-8c71-3b7e9f590b0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8a544677ccb4fe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3803</xdr:row>
      <xdr:rowOff>19050</xdr:rowOff>
    </xdr:from>
    <xdr:ext cx="1143000" cy="1143000"/>
    <xdr:pic>
      <xdr:nvPicPr>
        <xdr:cNvPr id="3801" name="8dd7a05a-9def-4202-89d4-7024e83d6c7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d92e978298d4f8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3804</xdr:row>
      <xdr:rowOff>19050</xdr:rowOff>
    </xdr:from>
    <xdr:ext cx="1143000" cy="1143000"/>
    <xdr:pic>
      <xdr:nvPicPr>
        <xdr:cNvPr id="3802" name="88414a27-a982-4484-b4f6-3efe79b20cf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f8529a8a79142d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3805</xdr:row>
      <xdr:rowOff>19050</xdr:rowOff>
    </xdr:from>
    <xdr:ext cx="1143000" cy="1143000"/>
    <xdr:pic>
      <xdr:nvPicPr>
        <xdr:cNvPr id="3803" name="1bd0a221-fe2d-4e7c-837e-408162330b2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b8b579fc22845e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3806</xdr:row>
      <xdr:rowOff>19050</xdr:rowOff>
    </xdr:from>
    <xdr:ext cx="1143000" cy="1143000"/>
    <xdr:pic>
      <xdr:nvPicPr>
        <xdr:cNvPr id="3804" name="af66bb39-4f24-496f-840d-fa6add7ff51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5404a1898f94a1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3807</xdr:row>
      <xdr:rowOff>19050</xdr:rowOff>
    </xdr:from>
    <xdr:ext cx="1143000" cy="1143000"/>
    <xdr:pic>
      <xdr:nvPicPr>
        <xdr:cNvPr id="3805" name="3dc5b154-8f90-408f-939a-e9be02959d4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a2a83275f8e47f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3808</xdr:row>
      <xdr:rowOff>19050</xdr:rowOff>
    </xdr:from>
    <xdr:ext cx="1143000" cy="1143000"/>
    <xdr:pic>
      <xdr:nvPicPr>
        <xdr:cNvPr id="3806" name="4f36be48-5b37-47ee-b307-010641c96d4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835351a21e64fa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3809</xdr:row>
      <xdr:rowOff>19050</xdr:rowOff>
    </xdr:from>
    <xdr:ext cx="1143000" cy="1143000"/>
    <xdr:pic>
      <xdr:nvPicPr>
        <xdr:cNvPr id="3807" name="d88c577b-99d5-410a-bac4-a3433953587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54f4637d6464d5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3810</xdr:row>
      <xdr:rowOff>19050</xdr:rowOff>
    </xdr:from>
    <xdr:ext cx="1143000" cy="1143000"/>
    <xdr:pic>
      <xdr:nvPicPr>
        <xdr:cNvPr id="3808" name="feb4810b-7491-4409-8ab9-7a4884e49de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b6e8b5df2ad43d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3811</xdr:row>
      <xdr:rowOff>19050</xdr:rowOff>
    </xdr:from>
    <xdr:ext cx="1143000" cy="1143000"/>
    <xdr:pic>
      <xdr:nvPicPr>
        <xdr:cNvPr id="3809" name="b74d3c78-4402-4fd8-892b-bf3a6a78c1d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193eedac1d9447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3812</xdr:row>
      <xdr:rowOff>19050</xdr:rowOff>
    </xdr:from>
    <xdr:ext cx="1143000" cy="1143000"/>
    <xdr:pic>
      <xdr:nvPicPr>
        <xdr:cNvPr id="3810" name="aab9931a-0b33-43a5-8540-ccdbb6c08fe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522ff2152654aa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3813</xdr:row>
      <xdr:rowOff>19050</xdr:rowOff>
    </xdr:from>
    <xdr:ext cx="1143000" cy="1143000"/>
    <xdr:pic>
      <xdr:nvPicPr>
        <xdr:cNvPr id="3811" name="73b8e101-dca7-426c-8670-976df249411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9c41151e508498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3814</xdr:row>
      <xdr:rowOff>19050</xdr:rowOff>
    </xdr:from>
    <xdr:ext cx="1143000" cy="1143000"/>
    <xdr:pic>
      <xdr:nvPicPr>
        <xdr:cNvPr id="3812" name="36321516-b6d9-4fa5-9114-670a3620a23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c2fc1d6329746b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3815</xdr:row>
      <xdr:rowOff>19050</xdr:rowOff>
    </xdr:from>
    <xdr:ext cx="1143000" cy="1143000"/>
    <xdr:pic>
      <xdr:nvPicPr>
        <xdr:cNvPr id="3813" name="225267ce-697b-43d4-962d-38b70781c9b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7627109afa3428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3816</xdr:row>
      <xdr:rowOff>19050</xdr:rowOff>
    </xdr:from>
    <xdr:ext cx="1143000" cy="1143000"/>
    <xdr:pic>
      <xdr:nvPicPr>
        <xdr:cNvPr id="3814" name="9f3b13e8-f612-4d7e-8f41-90f6029f950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6ea2e1652984c5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3817</xdr:row>
      <xdr:rowOff>19050</xdr:rowOff>
    </xdr:from>
    <xdr:ext cx="1143000" cy="1143000"/>
    <xdr:pic>
      <xdr:nvPicPr>
        <xdr:cNvPr id="3815" name="00fd2c61-e9cd-4b32-80b1-79e3fdd9ec7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fdb19cc215f463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3818</xdr:row>
      <xdr:rowOff>19050</xdr:rowOff>
    </xdr:from>
    <xdr:ext cx="1143000" cy="1143000"/>
    <xdr:pic>
      <xdr:nvPicPr>
        <xdr:cNvPr id="3816" name="6f7be008-f055-4525-8deb-6e5c49cff87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86056dec8954ed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3819</xdr:row>
      <xdr:rowOff>19050</xdr:rowOff>
    </xdr:from>
    <xdr:ext cx="1143000" cy="1143000"/>
    <xdr:pic>
      <xdr:nvPicPr>
        <xdr:cNvPr id="3817" name="3d3209f1-d1f1-4c60-9c3f-e9f78579ed5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aea1475b7714ef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3820</xdr:row>
      <xdr:rowOff>19050</xdr:rowOff>
    </xdr:from>
    <xdr:ext cx="1143000" cy="1143000"/>
    <xdr:pic>
      <xdr:nvPicPr>
        <xdr:cNvPr id="3818" name="86ad4b54-fc6a-4aa5-b13a-0991a83f952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6140828cb0544b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3821</xdr:row>
      <xdr:rowOff>19050</xdr:rowOff>
    </xdr:from>
    <xdr:ext cx="1143000" cy="1143000"/>
    <xdr:pic>
      <xdr:nvPicPr>
        <xdr:cNvPr id="3819" name="dc16dae2-ff50-4596-b85d-324942c00bf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88c76ee2c05401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3822</xdr:row>
      <xdr:rowOff>19050</xdr:rowOff>
    </xdr:from>
    <xdr:ext cx="1143000" cy="1143000"/>
    <xdr:pic>
      <xdr:nvPicPr>
        <xdr:cNvPr id="3820" name="e4778fb8-a230-490a-9a5e-845a0065861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c673bc86ead471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3823</xdr:row>
      <xdr:rowOff>19050</xdr:rowOff>
    </xdr:from>
    <xdr:ext cx="1143000" cy="1143000"/>
    <xdr:pic>
      <xdr:nvPicPr>
        <xdr:cNvPr id="3821" name="5d8e2441-373d-4345-a329-f3dd0bd31cd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5700298919949c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3824</xdr:row>
      <xdr:rowOff>19050</xdr:rowOff>
    </xdr:from>
    <xdr:ext cx="1143000" cy="1143000"/>
    <xdr:pic>
      <xdr:nvPicPr>
        <xdr:cNvPr id="3822" name="2ddd8152-8d3e-4317-b0f6-189d98fa89f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07585952f114bf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3825</xdr:row>
      <xdr:rowOff>19050</xdr:rowOff>
    </xdr:from>
    <xdr:ext cx="1143000" cy="1143000"/>
    <xdr:pic>
      <xdr:nvPicPr>
        <xdr:cNvPr id="3823" name="c7028112-381a-409e-8662-504dddf1a5d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d1fbfbc48654bb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3826</xdr:row>
      <xdr:rowOff>19050</xdr:rowOff>
    </xdr:from>
    <xdr:ext cx="1143000" cy="1143000"/>
    <xdr:pic>
      <xdr:nvPicPr>
        <xdr:cNvPr id="3824" name="9d914c94-135d-4196-9ffa-e2bde42fbd7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73f0dd37cc64c0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3827</xdr:row>
      <xdr:rowOff>19050</xdr:rowOff>
    </xdr:from>
    <xdr:ext cx="1143000" cy="1143000"/>
    <xdr:pic>
      <xdr:nvPicPr>
        <xdr:cNvPr id="3825" name="93f83449-e8e3-4542-bcac-df7dc30f2be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beb7c9a1342497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3828</xdr:row>
      <xdr:rowOff>19050</xdr:rowOff>
    </xdr:from>
    <xdr:ext cx="1143000" cy="1143000"/>
    <xdr:pic>
      <xdr:nvPicPr>
        <xdr:cNvPr id="3826" name="0bc795aa-539c-4b2b-ab37-11f0af7aed0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02ee53eaa444a4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3829</xdr:row>
      <xdr:rowOff>19050</xdr:rowOff>
    </xdr:from>
    <xdr:ext cx="1143000" cy="1143000"/>
    <xdr:pic>
      <xdr:nvPicPr>
        <xdr:cNvPr id="3827" name="9fb65d8a-5ba7-45e1-a42f-719540b9a0a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3a12e2d19d24c4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3830</xdr:row>
      <xdr:rowOff>19050</xdr:rowOff>
    </xdr:from>
    <xdr:ext cx="1143000" cy="1143000"/>
    <xdr:pic>
      <xdr:nvPicPr>
        <xdr:cNvPr id="3828" name="104229fc-987a-410f-a5fc-ef4861971e6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a6f37e4a602459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3831</xdr:row>
      <xdr:rowOff>19050</xdr:rowOff>
    </xdr:from>
    <xdr:ext cx="1143000" cy="1143000"/>
    <xdr:pic>
      <xdr:nvPicPr>
        <xdr:cNvPr id="3829" name="28ef473b-3d75-4afa-9871-81cbecfd76a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293032af6e042b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3832</xdr:row>
      <xdr:rowOff>19050</xdr:rowOff>
    </xdr:from>
    <xdr:ext cx="1143000" cy="1143000"/>
    <xdr:pic>
      <xdr:nvPicPr>
        <xdr:cNvPr id="3830" name="11bf02e8-12d3-4998-bc24-494188cf63f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fe6f14ba2f5445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3833</xdr:row>
      <xdr:rowOff>19050</xdr:rowOff>
    </xdr:from>
    <xdr:ext cx="1143000" cy="1143000"/>
    <xdr:pic>
      <xdr:nvPicPr>
        <xdr:cNvPr id="3831" name="fe135b8d-6da0-45c6-bb6e-3b84994c7e9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17b72c00a5641f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3834</xdr:row>
      <xdr:rowOff>19050</xdr:rowOff>
    </xdr:from>
    <xdr:ext cx="1143000" cy="1143000"/>
    <xdr:pic>
      <xdr:nvPicPr>
        <xdr:cNvPr id="3832" name="b8a1c14c-4a19-4f4a-9726-35efd3c9a50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e0ea54b24c1410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3835</xdr:row>
      <xdr:rowOff>19050</xdr:rowOff>
    </xdr:from>
    <xdr:ext cx="1143000" cy="1143000"/>
    <xdr:pic>
      <xdr:nvPicPr>
        <xdr:cNvPr id="3833" name="f2c33f8f-9a2e-4563-becb-a5440c6eac9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5cf2e2750314a0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3836</xdr:row>
      <xdr:rowOff>19050</xdr:rowOff>
    </xdr:from>
    <xdr:ext cx="1143000" cy="1143000"/>
    <xdr:pic>
      <xdr:nvPicPr>
        <xdr:cNvPr id="3834" name="33c4bf15-dd25-4993-bb6b-d21db3bcff3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5355f9f4a46495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3837</xdr:row>
      <xdr:rowOff>19050</xdr:rowOff>
    </xdr:from>
    <xdr:ext cx="1143000" cy="1143000"/>
    <xdr:pic>
      <xdr:nvPicPr>
        <xdr:cNvPr id="3835" name="a5ddb360-33e0-48c4-a636-cc6c485bc74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21d056b6a7645b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3838</xdr:row>
      <xdr:rowOff>19050</xdr:rowOff>
    </xdr:from>
    <xdr:ext cx="1143000" cy="1143000"/>
    <xdr:pic>
      <xdr:nvPicPr>
        <xdr:cNvPr id="3836" name="3566ccf4-a627-4f38-a862-83af556e8de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4238c1eacad466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3839</xdr:row>
      <xdr:rowOff>19050</xdr:rowOff>
    </xdr:from>
    <xdr:ext cx="1143000" cy="1143000"/>
    <xdr:pic>
      <xdr:nvPicPr>
        <xdr:cNvPr id="3837" name="6759fff5-dd0e-412b-8fc7-74941ec2173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7c73f65569847b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3840</xdr:row>
      <xdr:rowOff>19050</xdr:rowOff>
    </xdr:from>
    <xdr:ext cx="1143000" cy="1143000"/>
    <xdr:pic>
      <xdr:nvPicPr>
        <xdr:cNvPr id="3838" name="bafa520e-8c76-4afa-8615-9d7d8369f5a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b544f573627492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3841</xdr:row>
      <xdr:rowOff>19050</xdr:rowOff>
    </xdr:from>
    <xdr:ext cx="1143000" cy="1143000"/>
    <xdr:pic>
      <xdr:nvPicPr>
        <xdr:cNvPr id="3839" name="fcd6605a-8868-4795-8eee-074818306e0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aa0454cceb3461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3842</xdr:row>
      <xdr:rowOff>19050</xdr:rowOff>
    </xdr:from>
    <xdr:ext cx="1143000" cy="1143000"/>
    <xdr:pic>
      <xdr:nvPicPr>
        <xdr:cNvPr id="3840" name="070c923a-145a-4ce6-8df5-5337d3e5003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ca44906e4654f8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3843</xdr:row>
      <xdr:rowOff>19050</xdr:rowOff>
    </xdr:from>
    <xdr:ext cx="1143000" cy="1143000"/>
    <xdr:pic>
      <xdr:nvPicPr>
        <xdr:cNvPr id="3841" name="0d199c6c-3195-416c-b569-5724b55fca4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b81348a74e541f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3844</xdr:row>
      <xdr:rowOff>19050</xdr:rowOff>
    </xdr:from>
    <xdr:ext cx="1143000" cy="1143000"/>
    <xdr:pic>
      <xdr:nvPicPr>
        <xdr:cNvPr id="3842" name="f508a838-6a90-4af0-b7cf-3aa8b9c0bfb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7ca9cc1efba47a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3845</xdr:row>
      <xdr:rowOff>19050</xdr:rowOff>
    </xdr:from>
    <xdr:ext cx="1143000" cy="1143000"/>
    <xdr:pic>
      <xdr:nvPicPr>
        <xdr:cNvPr id="3843" name="c5a98065-7bb2-41f4-8536-7e14ac63adc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91574a6aa6b4c6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3846</xdr:row>
      <xdr:rowOff>19050</xdr:rowOff>
    </xdr:from>
    <xdr:ext cx="1143000" cy="1143000"/>
    <xdr:pic>
      <xdr:nvPicPr>
        <xdr:cNvPr id="3844" name="22d2f2e4-2265-4f69-82bf-a90b7f2e442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e9d6221c30649d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3847</xdr:row>
      <xdr:rowOff>19050</xdr:rowOff>
    </xdr:from>
    <xdr:ext cx="1143000" cy="1143000"/>
    <xdr:pic>
      <xdr:nvPicPr>
        <xdr:cNvPr id="3845" name="89f7df48-1457-40b3-a917-0f37f2ae92c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a50e8b40b784bf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3848</xdr:row>
      <xdr:rowOff>19050</xdr:rowOff>
    </xdr:from>
    <xdr:ext cx="1143000" cy="1143000"/>
    <xdr:pic>
      <xdr:nvPicPr>
        <xdr:cNvPr id="3846" name="5402e327-d817-4c8a-b535-ef27d69dcb0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111948acfae4c0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3849</xdr:row>
      <xdr:rowOff>19050</xdr:rowOff>
    </xdr:from>
    <xdr:ext cx="1143000" cy="1143000"/>
    <xdr:pic>
      <xdr:nvPicPr>
        <xdr:cNvPr id="3847" name="14fa9e8a-c8b5-42ce-b46f-de574cfbb36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81330de408f420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3850</xdr:row>
      <xdr:rowOff>19050</xdr:rowOff>
    </xdr:from>
    <xdr:ext cx="1143000" cy="1143000"/>
    <xdr:pic>
      <xdr:nvPicPr>
        <xdr:cNvPr id="3848" name="e41e8e82-6f19-4311-a343-58bb785afd4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a294c4da5bd464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3851</xdr:row>
      <xdr:rowOff>19050</xdr:rowOff>
    </xdr:from>
    <xdr:ext cx="1143000" cy="1143000"/>
    <xdr:pic>
      <xdr:nvPicPr>
        <xdr:cNvPr id="3849" name="15379a0f-b6e0-42fc-a621-3edb34a329c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f42f8f58e0d415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3852</xdr:row>
      <xdr:rowOff>19050</xdr:rowOff>
    </xdr:from>
    <xdr:ext cx="1143000" cy="1143000"/>
    <xdr:pic>
      <xdr:nvPicPr>
        <xdr:cNvPr id="3850" name="28b328d6-7ee9-4165-b821-157f9f226da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398fee4f8fe473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3853</xdr:row>
      <xdr:rowOff>19050</xdr:rowOff>
    </xdr:from>
    <xdr:ext cx="1143000" cy="1143000"/>
    <xdr:pic>
      <xdr:nvPicPr>
        <xdr:cNvPr id="3851" name="ca4e10de-ee00-4e37-bc2e-2195ea7f18b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0f9e22ee76b495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3854</xdr:row>
      <xdr:rowOff>19050</xdr:rowOff>
    </xdr:from>
    <xdr:ext cx="1143000" cy="1143000"/>
    <xdr:pic>
      <xdr:nvPicPr>
        <xdr:cNvPr id="3852" name="b0f00cb7-e3e5-4dcb-bbe4-379fd53ede8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46e8db4898945c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3855</xdr:row>
      <xdr:rowOff>19050</xdr:rowOff>
    </xdr:from>
    <xdr:ext cx="1143000" cy="1143000"/>
    <xdr:pic>
      <xdr:nvPicPr>
        <xdr:cNvPr id="3853" name="5057a3a8-a28a-4bcb-9cf7-d787abb433a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035cc55ed7641d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3856</xdr:row>
      <xdr:rowOff>19050</xdr:rowOff>
    </xdr:from>
    <xdr:ext cx="1143000" cy="1143000"/>
    <xdr:pic>
      <xdr:nvPicPr>
        <xdr:cNvPr id="3854" name="6ddea639-d952-4fd1-829a-ef3509a74f6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80ab34058b849c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3857</xdr:row>
      <xdr:rowOff>19050</xdr:rowOff>
    </xdr:from>
    <xdr:ext cx="1143000" cy="1143000"/>
    <xdr:pic>
      <xdr:nvPicPr>
        <xdr:cNvPr id="3855" name="65bc5ae2-ef43-4744-9808-27722bb6b4e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e05aa76a947403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3858</xdr:row>
      <xdr:rowOff>19050</xdr:rowOff>
    </xdr:from>
    <xdr:ext cx="1143000" cy="1143000"/>
    <xdr:pic>
      <xdr:nvPicPr>
        <xdr:cNvPr id="3856" name="d4b270b5-743c-4c06-b437-b72f3c0228b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9d1c087e3e249b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3859</xdr:row>
      <xdr:rowOff>19050</xdr:rowOff>
    </xdr:from>
    <xdr:ext cx="1143000" cy="1143000"/>
    <xdr:pic>
      <xdr:nvPicPr>
        <xdr:cNvPr id="3857" name="6b5f04ce-d511-4cf5-8aa9-e5d4ae5331b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8da792a6199495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3860</xdr:row>
      <xdr:rowOff>19050</xdr:rowOff>
    </xdr:from>
    <xdr:ext cx="1143000" cy="1143000"/>
    <xdr:pic>
      <xdr:nvPicPr>
        <xdr:cNvPr id="3858" name="97303999-c8ed-4b19-9284-eaa160de151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f45144c106e43f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3861</xdr:row>
      <xdr:rowOff>19050</xdr:rowOff>
    </xdr:from>
    <xdr:ext cx="1143000" cy="1143000"/>
    <xdr:pic>
      <xdr:nvPicPr>
        <xdr:cNvPr id="3859" name="e03d29ad-0c75-44de-bef3-aeab0c6bb44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1e9fcf020f647c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3862</xdr:row>
      <xdr:rowOff>19050</xdr:rowOff>
    </xdr:from>
    <xdr:ext cx="1143000" cy="1143000"/>
    <xdr:pic>
      <xdr:nvPicPr>
        <xdr:cNvPr id="3860" name="1655ca3a-fc56-4837-ac65-fd644ff8ac3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83a4a538d2c4c6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3863</xdr:row>
      <xdr:rowOff>19050</xdr:rowOff>
    </xdr:from>
    <xdr:ext cx="1143000" cy="1143000"/>
    <xdr:pic>
      <xdr:nvPicPr>
        <xdr:cNvPr id="3861" name="2127209a-774c-4fa7-9053-4d58c440eba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00da0d7ff9c416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3864</xdr:row>
      <xdr:rowOff>19050</xdr:rowOff>
    </xdr:from>
    <xdr:ext cx="1143000" cy="1143000"/>
    <xdr:pic>
      <xdr:nvPicPr>
        <xdr:cNvPr id="3862" name="c66cf0fd-85df-40d2-ae8f-49b3f30ab7a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f51171e14fb4ac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3865</xdr:row>
      <xdr:rowOff>19050</xdr:rowOff>
    </xdr:from>
    <xdr:ext cx="1143000" cy="1143000"/>
    <xdr:pic>
      <xdr:nvPicPr>
        <xdr:cNvPr id="3863" name="b6695fcf-a2d4-4030-8bff-a2262d76b41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dd4fa2b4df946a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3866</xdr:row>
      <xdr:rowOff>19050</xdr:rowOff>
    </xdr:from>
    <xdr:ext cx="1143000" cy="1143000"/>
    <xdr:pic>
      <xdr:nvPicPr>
        <xdr:cNvPr id="3864" name="36248816-5e20-4929-b98b-db81ee0faf6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57f4dc8841d4b4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3867</xdr:row>
      <xdr:rowOff>19050</xdr:rowOff>
    </xdr:from>
    <xdr:ext cx="1143000" cy="1143000"/>
    <xdr:pic>
      <xdr:nvPicPr>
        <xdr:cNvPr id="3865" name="2556b3c7-1bfb-4d9c-98f2-2d63e5fc21a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9dff1692cbf4ee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3868</xdr:row>
      <xdr:rowOff>19050</xdr:rowOff>
    </xdr:from>
    <xdr:ext cx="1143000" cy="1143000"/>
    <xdr:pic>
      <xdr:nvPicPr>
        <xdr:cNvPr id="3866" name="39c046b0-2ea1-433f-9a56-29dda678f20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7c6a927b6e9405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3869</xdr:row>
      <xdr:rowOff>19050</xdr:rowOff>
    </xdr:from>
    <xdr:ext cx="1143000" cy="1143000"/>
    <xdr:pic>
      <xdr:nvPicPr>
        <xdr:cNvPr id="3867" name="f6c67aba-4297-4723-bd40-f0930bc961e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46c8fe561fc4bd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3870</xdr:row>
      <xdr:rowOff>19050</xdr:rowOff>
    </xdr:from>
    <xdr:ext cx="1143000" cy="1143000"/>
    <xdr:pic>
      <xdr:nvPicPr>
        <xdr:cNvPr id="3868" name="349a25d4-f898-4b2a-a386-9fd00046587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59adba0d73b485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3871</xdr:row>
      <xdr:rowOff>19050</xdr:rowOff>
    </xdr:from>
    <xdr:ext cx="1143000" cy="1143000"/>
    <xdr:pic>
      <xdr:nvPicPr>
        <xdr:cNvPr id="3869" name="a6381dda-ae3c-4beb-a5b5-25b570c1a41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37fefb0cb29402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3872</xdr:row>
      <xdr:rowOff>19050</xdr:rowOff>
    </xdr:from>
    <xdr:ext cx="1143000" cy="1143000"/>
    <xdr:pic>
      <xdr:nvPicPr>
        <xdr:cNvPr id="3870" name="48229618-2b5b-4a29-aa88-a292831d51c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d7e23a9ec15475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3873</xdr:row>
      <xdr:rowOff>19050</xdr:rowOff>
    </xdr:from>
    <xdr:ext cx="1143000" cy="1143000"/>
    <xdr:pic>
      <xdr:nvPicPr>
        <xdr:cNvPr id="3871" name="090028c3-4f36-4c6b-82e6-16d35612dce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79e9eb67c13456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3874</xdr:row>
      <xdr:rowOff>19050</xdr:rowOff>
    </xdr:from>
    <xdr:ext cx="1143000" cy="1143000"/>
    <xdr:pic>
      <xdr:nvPicPr>
        <xdr:cNvPr id="3872" name="e30bea4b-ef3f-4287-b2b9-014d0191e87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c027edaf09f4d7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3875</xdr:row>
      <xdr:rowOff>19050</xdr:rowOff>
    </xdr:from>
    <xdr:ext cx="1143000" cy="1143000"/>
    <xdr:pic>
      <xdr:nvPicPr>
        <xdr:cNvPr id="3873" name="3d9f4ea1-1ae7-4763-9cd9-d589b8ca247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2df2fb788a448d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3876</xdr:row>
      <xdr:rowOff>19050</xdr:rowOff>
    </xdr:from>
    <xdr:ext cx="1143000" cy="1143000"/>
    <xdr:pic>
      <xdr:nvPicPr>
        <xdr:cNvPr id="3874" name="9c9fec72-82e9-4b6c-9383-1f32e7ee0ef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2ebe8b2c9634af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3877</xdr:row>
      <xdr:rowOff>19050</xdr:rowOff>
    </xdr:from>
    <xdr:ext cx="1143000" cy="1143000"/>
    <xdr:pic>
      <xdr:nvPicPr>
        <xdr:cNvPr id="3875" name="cfb8b3f9-426d-4f72-b87d-9c74a393f6e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66d16fb107241b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3878</xdr:row>
      <xdr:rowOff>19050</xdr:rowOff>
    </xdr:from>
    <xdr:ext cx="1143000" cy="1143000"/>
    <xdr:pic>
      <xdr:nvPicPr>
        <xdr:cNvPr id="3876" name="e44355ab-5df0-4007-abb2-5ac31dc9e8f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9c8ad3fd90f4ad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3879</xdr:row>
      <xdr:rowOff>19050</xdr:rowOff>
    </xdr:from>
    <xdr:ext cx="1143000" cy="1143000"/>
    <xdr:pic>
      <xdr:nvPicPr>
        <xdr:cNvPr id="3877" name="e5754c85-e3fb-4283-89ca-d9842886b23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188b7271c6c4db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3880</xdr:row>
      <xdr:rowOff>19050</xdr:rowOff>
    </xdr:from>
    <xdr:ext cx="1143000" cy="1143000"/>
    <xdr:pic>
      <xdr:nvPicPr>
        <xdr:cNvPr id="3878" name="c8e1355e-bf66-4bd1-85ef-b630a514d54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20c3dc3fb7d464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3881</xdr:row>
      <xdr:rowOff>19050</xdr:rowOff>
    </xdr:from>
    <xdr:ext cx="1143000" cy="1143000"/>
    <xdr:pic>
      <xdr:nvPicPr>
        <xdr:cNvPr id="3879" name="f74a5e3a-a9c7-4157-9de1-035db58bb76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a218c928ac64b3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3882</xdr:row>
      <xdr:rowOff>19050</xdr:rowOff>
    </xdr:from>
    <xdr:ext cx="1143000" cy="1143000"/>
    <xdr:pic>
      <xdr:nvPicPr>
        <xdr:cNvPr id="3880" name="573c4bda-ebf6-4bcc-8fdf-dbb8c10fc24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044702da59a454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3883</xdr:row>
      <xdr:rowOff>19050</xdr:rowOff>
    </xdr:from>
    <xdr:ext cx="1143000" cy="1143000"/>
    <xdr:pic>
      <xdr:nvPicPr>
        <xdr:cNvPr id="3881" name="f9607ba1-8181-42a0-938e-47c7735da29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4b30ae811874a8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3884</xdr:row>
      <xdr:rowOff>19050</xdr:rowOff>
    </xdr:from>
    <xdr:ext cx="1143000" cy="1143000"/>
    <xdr:pic>
      <xdr:nvPicPr>
        <xdr:cNvPr id="3882" name="f00dc036-13ea-42d5-9e78-93d618fabf1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4efd42275dc4f4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3885</xdr:row>
      <xdr:rowOff>19050</xdr:rowOff>
    </xdr:from>
    <xdr:ext cx="1143000" cy="1143000"/>
    <xdr:pic>
      <xdr:nvPicPr>
        <xdr:cNvPr id="3883" name="9af33c4a-c817-4ea8-91c1-29287110042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0c9df081e7f491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3886</xdr:row>
      <xdr:rowOff>19050</xdr:rowOff>
    </xdr:from>
    <xdr:ext cx="1143000" cy="1143000"/>
    <xdr:pic>
      <xdr:nvPicPr>
        <xdr:cNvPr id="3884" name="f0f2ebca-c4ca-4545-8277-26f3bff661e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3990ba2ec06439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3887</xdr:row>
      <xdr:rowOff>19050</xdr:rowOff>
    </xdr:from>
    <xdr:ext cx="1143000" cy="1143000"/>
    <xdr:pic>
      <xdr:nvPicPr>
        <xdr:cNvPr id="3885" name="8a01ed38-147f-4693-a722-c56c09238db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6c3f2a99e1b416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3888</xdr:row>
      <xdr:rowOff>19050</xdr:rowOff>
    </xdr:from>
    <xdr:ext cx="1143000" cy="1143000"/>
    <xdr:pic>
      <xdr:nvPicPr>
        <xdr:cNvPr id="3886" name="b2bee2e9-47dc-4212-8061-2d14993cca1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25fb4ccaaf94a9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3889</xdr:row>
      <xdr:rowOff>19050</xdr:rowOff>
    </xdr:from>
    <xdr:ext cx="1143000" cy="1143000"/>
    <xdr:pic>
      <xdr:nvPicPr>
        <xdr:cNvPr id="3887" name="7d4ffbf8-76c4-4399-86b9-3d1a985bf78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2734864fad3437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3890</xdr:row>
      <xdr:rowOff>19050</xdr:rowOff>
    </xdr:from>
    <xdr:ext cx="1143000" cy="1143000"/>
    <xdr:pic>
      <xdr:nvPicPr>
        <xdr:cNvPr id="3888" name="4f1e6569-045a-4795-a245-014e4163e72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d4508d4a70b4db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3891</xdr:row>
      <xdr:rowOff>19050</xdr:rowOff>
    </xdr:from>
    <xdr:ext cx="1143000" cy="1143000"/>
    <xdr:pic>
      <xdr:nvPicPr>
        <xdr:cNvPr id="3889" name="5bebe33b-ac0f-4182-aa72-468dbb12b6e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e0a64bfb914467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3892</xdr:row>
      <xdr:rowOff>19050</xdr:rowOff>
    </xdr:from>
    <xdr:ext cx="1143000" cy="1143000"/>
    <xdr:pic>
      <xdr:nvPicPr>
        <xdr:cNvPr id="3890" name="311a5c66-fc6f-4369-944f-85a8afa69b6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3a83e9255a9420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3893</xdr:row>
      <xdr:rowOff>19050</xdr:rowOff>
    </xdr:from>
    <xdr:ext cx="1143000" cy="1143000"/>
    <xdr:pic>
      <xdr:nvPicPr>
        <xdr:cNvPr id="3891" name="4644391e-8fa5-47fb-87cd-46b5559c69e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d7a7a273079447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3894</xdr:row>
      <xdr:rowOff>19050</xdr:rowOff>
    </xdr:from>
    <xdr:ext cx="1143000" cy="1143000"/>
    <xdr:pic>
      <xdr:nvPicPr>
        <xdr:cNvPr id="3892" name="e09dfc7e-d6c6-4e03-a71f-00f0e630622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eb1a748227d444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3895</xdr:row>
      <xdr:rowOff>19050</xdr:rowOff>
    </xdr:from>
    <xdr:ext cx="1143000" cy="1143000"/>
    <xdr:pic>
      <xdr:nvPicPr>
        <xdr:cNvPr id="3893" name="a9017529-f3bc-41ab-88aa-e46dbbcecfd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e443610453545d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3896</xdr:row>
      <xdr:rowOff>19050</xdr:rowOff>
    </xdr:from>
    <xdr:ext cx="1143000" cy="1143000"/>
    <xdr:pic>
      <xdr:nvPicPr>
        <xdr:cNvPr id="3894" name="d07bdbba-7048-4d91-9e56-99da6fedd25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048e44aaf1947e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3897</xdr:row>
      <xdr:rowOff>19050</xdr:rowOff>
    </xdr:from>
    <xdr:ext cx="1143000" cy="1143000"/>
    <xdr:pic>
      <xdr:nvPicPr>
        <xdr:cNvPr id="3895" name="267718f5-467d-44f7-a162-224d6724920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2e60c489060486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3898</xdr:row>
      <xdr:rowOff>19050</xdr:rowOff>
    </xdr:from>
    <xdr:ext cx="1143000" cy="1143000"/>
    <xdr:pic>
      <xdr:nvPicPr>
        <xdr:cNvPr id="3896" name="cebb3408-aebf-4232-accf-06b93c2a584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f77f2ae46594aa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3899</xdr:row>
      <xdr:rowOff>19050</xdr:rowOff>
    </xdr:from>
    <xdr:ext cx="1143000" cy="1143000"/>
    <xdr:pic>
      <xdr:nvPicPr>
        <xdr:cNvPr id="3897" name="e2f4dfaf-3087-49df-9a73-1a1fa34f47a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5d35c5b0b904db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3900</xdr:row>
      <xdr:rowOff>19050</xdr:rowOff>
    </xdr:from>
    <xdr:ext cx="1143000" cy="1143000"/>
    <xdr:pic>
      <xdr:nvPicPr>
        <xdr:cNvPr id="3898" name="02f1eac4-41e5-4833-ae20-3998d61ca49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51c3aba141b416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3901</xdr:row>
      <xdr:rowOff>19050</xdr:rowOff>
    </xdr:from>
    <xdr:ext cx="1143000" cy="1143000"/>
    <xdr:pic>
      <xdr:nvPicPr>
        <xdr:cNvPr id="3899" name="36699baa-5b02-48ed-b722-8600a397114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3eafbcd42f94bd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3902</xdr:row>
      <xdr:rowOff>19050</xdr:rowOff>
    </xdr:from>
    <xdr:ext cx="1143000" cy="1143000"/>
    <xdr:pic>
      <xdr:nvPicPr>
        <xdr:cNvPr id="3900" name="13c2f941-24d4-401c-8854-25136d3dc36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65c9f442a7a407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3903</xdr:row>
      <xdr:rowOff>19050</xdr:rowOff>
    </xdr:from>
    <xdr:ext cx="1143000" cy="1143000"/>
    <xdr:pic>
      <xdr:nvPicPr>
        <xdr:cNvPr id="3901" name="64aa4bd6-a227-4338-bbb4-2b165615953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ff82226cbd24e0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3904</xdr:row>
      <xdr:rowOff>19050</xdr:rowOff>
    </xdr:from>
    <xdr:ext cx="1143000" cy="1143000"/>
    <xdr:pic>
      <xdr:nvPicPr>
        <xdr:cNvPr id="3902" name="5f563b82-4a02-4945-be72-65a56699ef9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a40c05666da46d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3905</xdr:row>
      <xdr:rowOff>19050</xdr:rowOff>
    </xdr:from>
    <xdr:ext cx="1143000" cy="1143000"/>
    <xdr:pic>
      <xdr:nvPicPr>
        <xdr:cNvPr id="3903" name="84d80e55-88e4-4074-8527-a237620b624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4a46dff1bcd409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3906</xdr:row>
      <xdr:rowOff>19050</xdr:rowOff>
    </xdr:from>
    <xdr:ext cx="1143000" cy="1143000"/>
    <xdr:pic>
      <xdr:nvPicPr>
        <xdr:cNvPr id="3904" name="d5e8bbb3-2062-4e03-a646-2f915ec6df4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551f3aa9c954dc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3907</xdr:row>
      <xdr:rowOff>19050</xdr:rowOff>
    </xdr:from>
    <xdr:ext cx="1143000" cy="1143000"/>
    <xdr:pic>
      <xdr:nvPicPr>
        <xdr:cNvPr id="3905" name="7175014e-8978-4097-98ae-56873c01d2b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f82153bee42410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3908</xdr:row>
      <xdr:rowOff>19050</xdr:rowOff>
    </xdr:from>
    <xdr:ext cx="1143000" cy="1143000"/>
    <xdr:pic>
      <xdr:nvPicPr>
        <xdr:cNvPr id="3906" name="07637511-57f8-4dd8-a87d-2d2be081e2c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19c41b63dd44c9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3909</xdr:row>
      <xdr:rowOff>19050</xdr:rowOff>
    </xdr:from>
    <xdr:ext cx="1143000" cy="1143000"/>
    <xdr:pic>
      <xdr:nvPicPr>
        <xdr:cNvPr id="3907" name="d07e19fd-54c6-4936-b47d-fcf46e06055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9d036868b3543d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3910</xdr:row>
      <xdr:rowOff>19050</xdr:rowOff>
    </xdr:from>
    <xdr:ext cx="1143000" cy="1143000"/>
    <xdr:pic>
      <xdr:nvPicPr>
        <xdr:cNvPr id="3908" name="8bc60750-c07d-462b-bbe3-5bdeea183cd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316714aeb7c45e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3911</xdr:row>
      <xdr:rowOff>19050</xdr:rowOff>
    </xdr:from>
    <xdr:ext cx="1143000" cy="1143000"/>
    <xdr:pic>
      <xdr:nvPicPr>
        <xdr:cNvPr id="3909" name="d08f0b26-6123-482b-858a-3db8b8d7704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4ba4924ea5741a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3912</xdr:row>
      <xdr:rowOff>19050</xdr:rowOff>
    </xdr:from>
    <xdr:ext cx="1143000" cy="1143000"/>
    <xdr:pic>
      <xdr:nvPicPr>
        <xdr:cNvPr id="3910" name="30090fc2-757c-429d-8e27-c0b39640a32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5146b23dbab476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3913</xdr:row>
      <xdr:rowOff>19050</xdr:rowOff>
    </xdr:from>
    <xdr:ext cx="1143000" cy="1143000"/>
    <xdr:pic>
      <xdr:nvPicPr>
        <xdr:cNvPr id="3911" name="ee7c5d8c-2a0f-44e1-b554-f3010895c62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3b9ec30504c471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3914</xdr:row>
      <xdr:rowOff>19050</xdr:rowOff>
    </xdr:from>
    <xdr:ext cx="1143000" cy="1143000"/>
    <xdr:pic>
      <xdr:nvPicPr>
        <xdr:cNvPr id="3912" name="00fa25f1-7191-463a-bd21-175cb20d491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4521a6fe774499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3915</xdr:row>
      <xdr:rowOff>19050</xdr:rowOff>
    </xdr:from>
    <xdr:ext cx="1143000" cy="1143000"/>
    <xdr:pic>
      <xdr:nvPicPr>
        <xdr:cNvPr id="3913" name="25a26842-d774-44fe-bc3c-abfe39e0761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586a934e3c7419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3916</xdr:row>
      <xdr:rowOff>19050</xdr:rowOff>
    </xdr:from>
    <xdr:ext cx="1143000" cy="1143000"/>
    <xdr:pic>
      <xdr:nvPicPr>
        <xdr:cNvPr id="3914" name="ed6c6e8e-2c8c-4cb9-b32d-133ecd32a86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65a44f4856d4ec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3917</xdr:row>
      <xdr:rowOff>19050</xdr:rowOff>
    </xdr:from>
    <xdr:ext cx="1143000" cy="1143000"/>
    <xdr:pic>
      <xdr:nvPicPr>
        <xdr:cNvPr id="3915" name="a76c7a4e-aaab-436e-bd8d-7cfd3078489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9522df1d3304a6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3918</xdr:row>
      <xdr:rowOff>19050</xdr:rowOff>
    </xdr:from>
    <xdr:ext cx="1143000" cy="1143000"/>
    <xdr:pic>
      <xdr:nvPicPr>
        <xdr:cNvPr id="3916" name="4a0d765d-b088-406b-909e-66dee435331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5088c249fa541a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3919</xdr:row>
      <xdr:rowOff>19050</xdr:rowOff>
    </xdr:from>
    <xdr:ext cx="1143000" cy="1143000"/>
    <xdr:pic>
      <xdr:nvPicPr>
        <xdr:cNvPr id="3917" name="6a9147eb-00ac-4862-8df5-57f79077406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5407800e2f3464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3920</xdr:row>
      <xdr:rowOff>19050</xdr:rowOff>
    </xdr:from>
    <xdr:ext cx="1143000" cy="1143000"/>
    <xdr:pic>
      <xdr:nvPicPr>
        <xdr:cNvPr id="3918" name="1456b805-7e94-42e3-80ee-12e8a52b84d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768d2ea7c5e4d3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3921</xdr:row>
      <xdr:rowOff>19050</xdr:rowOff>
    </xdr:from>
    <xdr:ext cx="1143000" cy="1143000"/>
    <xdr:pic>
      <xdr:nvPicPr>
        <xdr:cNvPr id="3919" name="83bcec9d-849e-46e4-a6f9-13665d9a38f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9b71ba513ec454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3922</xdr:row>
      <xdr:rowOff>19050</xdr:rowOff>
    </xdr:from>
    <xdr:ext cx="1143000" cy="1143000"/>
    <xdr:pic>
      <xdr:nvPicPr>
        <xdr:cNvPr id="3920" name="347430ee-af6f-4804-8d2a-61e1cc869d0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68d294b6a9341c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3923</xdr:row>
      <xdr:rowOff>19050</xdr:rowOff>
    </xdr:from>
    <xdr:ext cx="1143000" cy="1143000"/>
    <xdr:pic>
      <xdr:nvPicPr>
        <xdr:cNvPr id="3921" name="445fb950-acab-44af-a3f2-62964f83dce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97036257e9d41c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3924</xdr:row>
      <xdr:rowOff>19050</xdr:rowOff>
    </xdr:from>
    <xdr:ext cx="1143000" cy="1143000"/>
    <xdr:pic>
      <xdr:nvPicPr>
        <xdr:cNvPr id="3922" name="123cd93d-583e-4427-bdc9-0792a30f3da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8c3e2b310ed4a3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3925</xdr:row>
      <xdr:rowOff>19050</xdr:rowOff>
    </xdr:from>
    <xdr:ext cx="1143000" cy="1143000"/>
    <xdr:pic>
      <xdr:nvPicPr>
        <xdr:cNvPr id="3923" name="775321e0-aa1f-4e85-bf56-5ce4ce8d8d2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806676db25f4d3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3926</xdr:row>
      <xdr:rowOff>19050</xdr:rowOff>
    </xdr:from>
    <xdr:ext cx="1143000" cy="1143000"/>
    <xdr:pic>
      <xdr:nvPicPr>
        <xdr:cNvPr id="3924" name="7d7de36b-b8ca-4c24-974b-c8f3729b4a7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66ddc6d5e8a46c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3927</xdr:row>
      <xdr:rowOff>19050</xdr:rowOff>
    </xdr:from>
    <xdr:ext cx="1143000" cy="1143000"/>
    <xdr:pic>
      <xdr:nvPicPr>
        <xdr:cNvPr id="3925" name="14449f79-4018-4757-aec6-9bf6b00dcd1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90a679caf194e0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3928</xdr:row>
      <xdr:rowOff>19050</xdr:rowOff>
    </xdr:from>
    <xdr:ext cx="1143000" cy="1143000"/>
    <xdr:pic>
      <xdr:nvPicPr>
        <xdr:cNvPr id="3926" name="a9a45096-9467-4563-b35e-9358276294b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481ddeaf8354ad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3929</xdr:row>
      <xdr:rowOff>19050</xdr:rowOff>
    </xdr:from>
    <xdr:ext cx="1143000" cy="1143000"/>
    <xdr:pic>
      <xdr:nvPicPr>
        <xdr:cNvPr id="3927" name="bb279280-f382-4e75-910d-9af6c78aefa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e087e6654654df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3930</xdr:row>
      <xdr:rowOff>19050</xdr:rowOff>
    </xdr:from>
    <xdr:ext cx="1143000" cy="1143000"/>
    <xdr:pic>
      <xdr:nvPicPr>
        <xdr:cNvPr id="3928" name="d39a3590-1c05-4acd-8b8f-de68f9ca2ef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e69645a9072439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3931</xdr:row>
      <xdr:rowOff>19050</xdr:rowOff>
    </xdr:from>
    <xdr:ext cx="1143000" cy="1143000"/>
    <xdr:pic>
      <xdr:nvPicPr>
        <xdr:cNvPr id="3929" name="01b8f762-5d77-41ca-a3dd-50ee27c382d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04f852b4cc54b7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3932</xdr:row>
      <xdr:rowOff>19050</xdr:rowOff>
    </xdr:from>
    <xdr:ext cx="1143000" cy="1143000"/>
    <xdr:pic>
      <xdr:nvPicPr>
        <xdr:cNvPr id="3930" name="a99b5e02-96c7-4477-8ffe-64ad43f9e00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4c2f408308d401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3933</xdr:row>
      <xdr:rowOff>19050</xdr:rowOff>
    </xdr:from>
    <xdr:ext cx="1143000" cy="1143000"/>
    <xdr:pic>
      <xdr:nvPicPr>
        <xdr:cNvPr id="3931" name="e5717eec-bc30-4281-8744-3e9a2a58373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d7538b50dd24dd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3934</xdr:row>
      <xdr:rowOff>19050</xdr:rowOff>
    </xdr:from>
    <xdr:ext cx="1143000" cy="1143000"/>
    <xdr:pic>
      <xdr:nvPicPr>
        <xdr:cNvPr id="3932" name="7cc043a9-83a2-4646-9a83-81c87e2a645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74433bfc8814ed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3935</xdr:row>
      <xdr:rowOff>19050</xdr:rowOff>
    </xdr:from>
    <xdr:ext cx="1143000" cy="1143000"/>
    <xdr:pic>
      <xdr:nvPicPr>
        <xdr:cNvPr id="3933" name="f6f4620c-7b84-47ff-995a-da46435ef2f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515bdb8111645b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3936</xdr:row>
      <xdr:rowOff>19050</xdr:rowOff>
    </xdr:from>
    <xdr:ext cx="1143000" cy="1143000"/>
    <xdr:pic>
      <xdr:nvPicPr>
        <xdr:cNvPr id="3934" name="04636864-eb35-4969-a859-e93f2f29cf9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cb1c178e0844b1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3937</xdr:row>
      <xdr:rowOff>19050</xdr:rowOff>
    </xdr:from>
    <xdr:ext cx="1143000" cy="1143000"/>
    <xdr:pic>
      <xdr:nvPicPr>
        <xdr:cNvPr id="3935" name="453d70c6-a707-4bf9-90cc-daf35ded7fd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ccab79e9335400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3938</xdr:row>
      <xdr:rowOff>19050</xdr:rowOff>
    </xdr:from>
    <xdr:ext cx="1143000" cy="1143000"/>
    <xdr:pic>
      <xdr:nvPicPr>
        <xdr:cNvPr id="3936" name="f5a47655-a774-4326-b7af-097b79f3209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d6470d9a6dd40b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3939</xdr:row>
      <xdr:rowOff>19050</xdr:rowOff>
    </xdr:from>
    <xdr:ext cx="1143000" cy="1143000"/>
    <xdr:pic>
      <xdr:nvPicPr>
        <xdr:cNvPr id="3937" name="10743241-ebab-4c24-b558-415a1466d19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4b7141ad7484f6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3940</xdr:row>
      <xdr:rowOff>19050</xdr:rowOff>
    </xdr:from>
    <xdr:ext cx="1143000" cy="1143000"/>
    <xdr:pic>
      <xdr:nvPicPr>
        <xdr:cNvPr id="3938" name="ac36c8ec-54ce-449f-b73b-b5fd36e3475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e87bddd9d8a4b5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3941</xdr:row>
      <xdr:rowOff>19050</xdr:rowOff>
    </xdr:from>
    <xdr:ext cx="1143000" cy="1143000"/>
    <xdr:pic>
      <xdr:nvPicPr>
        <xdr:cNvPr id="3939" name="3af26cf6-f3ac-4b7e-a8c0-b7bae70377a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cb0f461144a413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3942</xdr:row>
      <xdr:rowOff>19050</xdr:rowOff>
    </xdr:from>
    <xdr:ext cx="1143000" cy="1143000"/>
    <xdr:pic>
      <xdr:nvPicPr>
        <xdr:cNvPr id="3940" name="fa18f7af-9af3-46ad-9882-32edaa6d10b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0e18a20ef674df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3943</xdr:row>
      <xdr:rowOff>19050</xdr:rowOff>
    </xdr:from>
    <xdr:ext cx="1143000" cy="1143000"/>
    <xdr:pic>
      <xdr:nvPicPr>
        <xdr:cNvPr id="3941" name="6eae85e7-7fa0-48a4-bba0-00eec7d3910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12099f54eda431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3944</xdr:row>
      <xdr:rowOff>19050</xdr:rowOff>
    </xdr:from>
    <xdr:ext cx="1143000" cy="1143000"/>
    <xdr:pic>
      <xdr:nvPicPr>
        <xdr:cNvPr id="3942" name="585cfb88-74ab-4f68-ba9f-4e3d208b52a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e6f233c38fe415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3945</xdr:row>
      <xdr:rowOff>19050</xdr:rowOff>
    </xdr:from>
    <xdr:ext cx="1143000" cy="1143000"/>
    <xdr:pic>
      <xdr:nvPicPr>
        <xdr:cNvPr id="3943" name="69729f3a-e1b1-4ea4-87d1-11dbb8b48f1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9c2923f147f4a3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3946</xdr:row>
      <xdr:rowOff>19050</xdr:rowOff>
    </xdr:from>
    <xdr:ext cx="1143000" cy="1143000"/>
    <xdr:pic>
      <xdr:nvPicPr>
        <xdr:cNvPr id="3944" name="fbebe32a-cda3-4a86-83dc-847da6621a8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6e8f6b8ed474b4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3947</xdr:row>
      <xdr:rowOff>19050</xdr:rowOff>
    </xdr:from>
    <xdr:ext cx="1143000" cy="1143000"/>
    <xdr:pic>
      <xdr:nvPicPr>
        <xdr:cNvPr id="3945" name="15ae61db-37d9-4f19-9ec6-2c0a784edf8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40504214fe5461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3948</xdr:row>
      <xdr:rowOff>19050</xdr:rowOff>
    </xdr:from>
    <xdr:ext cx="1143000" cy="1143000"/>
    <xdr:pic>
      <xdr:nvPicPr>
        <xdr:cNvPr id="3946" name="ba76413a-227d-4b9d-98c3-212910bb670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a51953102fd491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3949</xdr:row>
      <xdr:rowOff>19050</xdr:rowOff>
    </xdr:from>
    <xdr:ext cx="1143000" cy="1143000"/>
    <xdr:pic>
      <xdr:nvPicPr>
        <xdr:cNvPr id="3947" name="fc0f092d-c370-4974-9db5-9645d8813e9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c87d2f06c2c4d1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3950</xdr:row>
      <xdr:rowOff>19050</xdr:rowOff>
    </xdr:from>
    <xdr:ext cx="1143000" cy="1143000"/>
    <xdr:pic>
      <xdr:nvPicPr>
        <xdr:cNvPr id="3948" name="2a008762-17f6-44e5-ab89-10c8a7b914a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4ae313b60034a7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3951</xdr:row>
      <xdr:rowOff>19050</xdr:rowOff>
    </xdr:from>
    <xdr:ext cx="1143000" cy="1143000"/>
    <xdr:pic>
      <xdr:nvPicPr>
        <xdr:cNvPr id="3949" name="8df70173-dac5-4b72-9e3d-0c464754d98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ad6e1ea8304425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3952</xdr:row>
      <xdr:rowOff>19050</xdr:rowOff>
    </xdr:from>
    <xdr:ext cx="1143000" cy="1143000"/>
    <xdr:pic>
      <xdr:nvPicPr>
        <xdr:cNvPr id="3950" name="85026988-433c-4241-b688-a25e30caa36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9a1fa55670d422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3953</xdr:row>
      <xdr:rowOff>19050</xdr:rowOff>
    </xdr:from>
    <xdr:ext cx="1143000" cy="1143000"/>
    <xdr:pic>
      <xdr:nvPicPr>
        <xdr:cNvPr id="3951" name="13439a21-5805-4c99-8ed2-5b6c61f68c0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395d00db9194ae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3954</xdr:row>
      <xdr:rowOff>19050</xdr:rowOff>
    </xdr:from>
    <xdr:ext cx="1143000" cy="1143000"/>
    <xdr:pic>
      <xdr:nvPicPr>
        <xdr:cNvPr id="3952" name="3b50800c-0737-4d8c-a20a-8bf883c1c54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5cb811e5877401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3955</xdr:row>
      <xdr:rowOff>19050</xdr:rowOff>
    </xdr:from>
    <xdr:ext cx="1143000" cy="1143000"/>
    <xdr:pic>
      <xdr:nvPicPr>
        <xdr:cNvPr id="3953" name="146c8b8f-754e-45df-ba70-790e1b10e3c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d19009b8d3f479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3956</xdr:row>
      <xdr:rowOff>19050</xdr:rowOff>
    </xdr:from>
    <xdr:ext cx="1143000" cy="1143000"/>
    <xdr:pic>
      <xdr:nvPicPr>
        <xdr:cNvPr id="3954" name="b290766a-79a3-49ef-8ce9-11b14d48e75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5527759f6bd404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3957</xdr:row>
      <xdr:rowOff>19050</xdr:rowOff>
    </xdr:from>
    <xdr:ext cx="1143000" cy="1143000"/>
    <xdr:pic>
      <xdr:nvPicPr>
        <xdr:cNvPr id="3955" name="9cd3276a-2104-408e-a6a1-bb0a219cf03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961a52ea6194f6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3958</xdr:row>
      <xdr:rowOff>19050</xdr:rowOff>
    </xdr:from>
    <xdr:ext cx="1143000" cy="1143000"/>
    <xdr:pic>
      <xdr:nvPicPr>
        <xdr:cNvPr id="3956" name="03468bc9-06b8-4661-92dc-b1582dd1d4f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9261d5e4bbe424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3959</xdr:row>
      <xdr:rowOff>19050</xdr:rowOff>
    </xdr:from>
    <xdr:ext cx="1143000" cy="1143000"/>
    <xdr:pic>
      <xdr:nvPicPr>
        <xdr:cNvPr id="3957" name="3d6b8f7c-113b-48a8-9bcc-a44ec580092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3a86088da44487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3960</xdr:row>
      <xdr:rowOff>19050</xdr:rowOff>
    </xdr:from>
    <xdr:ext cx="1143000" cy="1143000"/>
    <xdr:pic>
      <xdr:nvPicPr>
        <xdr:cNvPr id="3958" name="8bc7d778-c536-4c16-8e07-a5c43a13f09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3cd3c54ff31487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3961</xdr:row>
      <xdr:rowOff>19050</xdr:rowOff>
    </xdr:from>
    <xdr:ext cx="1143000" cy="1143000"/>
    <xdr:pic>
      <xdr:nvPicPr>
        <xdr:cNvPr id="3959" name="be3f9eb0-8648-4bf6-a2aa-6fd59028a78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990e9ef94504bf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3962</xdr:row>
      <xdr:rowOff>19050</xdr:rowOff>
    </xdr:from>
    <xdr:ext cx="1143000" cy="1143000"/>
    <xdr:pic>
      <xdr:nvPicPr>
        <xdr:cNvPr id="3960" name="e256fdfc-b533-499b-a273-fe3801bc280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ca30d9f08ac4b0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3963</xdr:row>
      <xdr:rowOff>19050</xdr:rowOff>
    </xdr:from>
    <xdr:ext cx="1143000" cy="1143000"/>
    <xdr:pic>
      <xdr:nvPicPr>
        <xdr:cNvPr id="3961" name="1776f8f8-1964-4cfa-85cd-c34ca8797ee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c8fe052e3a4460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3964</xdr:row>
      <xdr:rowOff>19050</xdr:rowOff>
    </xdr:from>
    <xdr:ext cx="1143000" cy="1143000"/>
    <xdr:pic>
      <xdr:nvPicPr>
        <xdr:cNvPr id="3962" name="456660f4-fd88-4b32-8cb0-52d74728a74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bde0c5d0dff4c7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3965</xdr:row>
      <xdr:rowOff>19050</xdr:rowOff>
    </xdr:from>
    <xdr:ext cx="1143000" cy="1143000"/>
    <xdr:pic>
      <xdr:nvPicPr>
        <xdr:cNvPr id="3963" name="cad6fd07-9af1-41f0-8a97-af80ae354f7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f6520954829445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3966</xdr:row>
      <xdr:rowOff>19050</xdr:rowOff>
    </xdr:from>
    <xdr:ext cx="1143000" cy="1143000"/>
    <xdr:pic>
      <xdr:nvPicPr>
        <xdr:cNvPr id="3964" name="c32446a1-63b8-4819-99af-2b03d6de244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acf7eef7f7c4a3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3967</xdr:row>
      <xdr:rowOff>19050</xdr:rowOff>
    </xdr:from>
    <xdr:ext cx="1143000" cy="1143000"/>
    <xdr:pic>
      <xdr:nvPicPr>
        <xdr:cNvPr id="3965" name="026f6aff-423c-48d3-8b14-6e83027dd99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f6bf948e7704ed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3968</xdr:row>
      <xdr:rowOff>19050</xdr:rowOff>
    </xdr:from>
    <xdr:ext cx="1143000" cy="1143000"/>
    <xdr:pic>
      <xdr:nvPicPr>
        <xdr:cNvPr id="3966" name="6ebaee2e-9f37-4523-b264-4830349a0fa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1a2bc786fb2464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3969</xdr:row>
      <xdr:rowOff>19050</xdr:rowOff>
    </xdr:from>
    <xdr:ext cx="1143000" cy="1143000"/>
    <xdr:pic>
      <xdr:nvPicPr>
        <xdr:cNvPr id="3967" name="4ffd6780-5045-409b-b91d-79b2b309aca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3ac603857594d4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3970</xdr:row>
      <xdr:rowOff>19050</xdr:rowOff>
    </xdr:from>
    <xdr:ext cx="1143000" cy="1143000"/>
    <xdr:pic>
      <xdr:nvPicPr>
        <xdr:cNvPr id="3968" name="495926e4-c08d-4ede-b941-4be0e08aa1d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6eb58c248724dc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3971</xdr:row>
      <xdr:rowOff>19050</xdr:rowOff>
    </xdr:from>
    <xdr:ext cx="1143000" cy="1143000"/>
    <xdr:pic>
      <xdr:nvPicPr>
        <xdr:cNvPr id="3969" name="38d554f3-2456-4d83-a514-b5564d59e97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70438f319de43a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3972</xdr:row>
      <xdr:rowOff>19050</xdr:rowOff>
    </xdr:from>
    <xdr:ext cx="1143000" cy="1143000"/>
    <xdr:pic>
      <xdr:nvPicPr>
        <xdr:cNvPr id="3970" name="b495da09-0315-46bf-8daf-f520ddc5800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2ce3c1c1d3143d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3973</xdr:row>
      <xdr:rowOff>19050</xdr:rowOff>
    </xdr:from>
    <xdr:ext cx="1143000" cy="1143000"/>
    <xdr:pic>
      <xdr:nvPicPr>
        <xdr:cNvPr id="3971" name="6dd62bc8-a918-4ac9-99a8-601b56ec0ab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c81a144188447a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3974</xdr:row>
      <xdr:rowOff>19050</xdr:rowOff>
    </xdr:from>
    <xdr:ext cx="1143000" cy="1143000"/>
    <xdr:pic>
      <xdr:nvPicPr>
        <xdr:cNvPr id="3972" name="d94c8e9d-4d0e-413b-b305-43709b4a211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e9c6424c241440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3975</xdr:row>
      <xdr:rowOff>19050</xdr:rowOff>
    </xdr:from>
    <xdr:ext cx="1143000" cy="1143000"/>
    <xdr:pic>
      <xdr:nvPicPr>
        <xdr:cNvPr id="3973" name="41938e24-6b6f-42ef-b099-09a2d07b25d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c0932c892d44f7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3976</xdr:row>
      <xdr:rowOff>19050</xdr:rowOff>
    </xdr:from>
    <xdr:ext cx="1143000" cy="1143000"/>
    <xdr:pic>
      <xdr:nvPicPr>
        <xdr:cNvPr id="3974" name="0275d25d-f1a0-4e78-bc78-bff8743c25f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3eb7653735b4f3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3977</xdr:row>
      <xdr:rowOff>19050</xdr:rowOff>
    </xdr:from>
    <xdr:ext cx="1143000" cy="1143000"/>
    <xdr:pic>
      <xdr:nvPicPr>
        <xdr:cNvPr id="3975" name="1151ee7e-7651-4050-b5f2-7ae39df9ca8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87a2f023df1448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3978</xdr:row>
      <xdr:rowOff>19050</xdr:rowOff>
    </xdr:from>
    <xdr:ext cx="1143000" cy="1143000"/>
    <xdr:pic>
      <xdr:nvPicPr>
        <xdr:cNvPr id="3976" name="0dd9f317-7773-4218-ab9c-02bc731916a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4a58662e6014c4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3979</xdr:row>
      <xdr:rowOff>19050</xdr:rowOff>
    </xdr:from>
    <xdr:ext cx="1143000" cy="1143000"/>
    <xdr:pic>
      <xdr:nvPicPr>
        <xdr:cNvPr id="3977" name="30603a9b-b95a-4ed2-87b8-5af6fa0854c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3de2fd1f8504ee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3980</xdr:row>
      <xdr:rowOff>19050</xdr:rowOff>
    </xdr:from>
    <xdr:ext cx="1143000" cy="1143000"/>
    <xdr:pic>
      <xdr:nvPicPr>
        <xdr:cNvPr id="3978" name="2e36e088-dd26-4cd2-bd53-9e09ed6a621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c97cbe417d8470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3981</xdr:row>
      <xdr:rowOff>19050</xdr:rowOff>
    </xdr:from>
    <xdr:ext cx="1143000" cy="1143000"/>
    <xdr:pic>
      <xdr:nvPicPr>
        <xdr:cNvPr id="3979" name="41c64ebc-519d-40c7-9c15-44abc5c556b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86cc9a9390a4c7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3982</xdr:row>
      <xdr:rowOff>19050</xdr:rowOff>
    </xdr:from>
    <xdr:ext cx="1143000" cy="1143000"/>
    <xdr:pic>
      <xdr:nvPicPr>
        <xdr:cNvPr id="3980" name="f7289f1f-9f12-42e0-b833-05d1186e36a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f02a3b4c45b45b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3983</xdr:row>
      <xdr:rowOff>19050</xdr:rowOff>
    </xdr:from>
    <xdr:ext cx="1143000" cy="1143000"/>
    <xdr:pic>
      <xdr:nvPicPr>
        <xdr:cNvPr id="3981" name="91c05552-f892-4078-a16b-d39c89f09a9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ae5b6d44dc645a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3984</xdr:row>
      <xdr:rowOff>19050</xdr:rowOff>
    </xdr:from>
    <xdr:ext cx="1143000" cy="1143000"/>
    <xdr:pic>
      <xdr:nvPicPr>
        <xdr:cNvPr id="3982" name="d62d2e74-65f0-409c-b80b-155f41fac4c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a89408f314d489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3985</xdr:row>
      <xdr:rowOff>19050</xdr:rowOff>
    </xdr:from>
    <xdr:ext cx="1143000" cy="1143000"/>
    <xdr:pic>
      <xdr:nvPicPr>
        <xdr:cNvPr id="3983" name="57bd2cfb-56de-4bda-955f-461cc757239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70ee930d8b943a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3986</xdr:row>
      <xdr:rowOff>19050</xdr:rowOff>
    </xdr:from>
    <xdr:ext cx="1143000" cy="1143000"/>
    <xdr:pic>
      <xdr:nvPicPr>
        <xdr:cNvPr id="3984" name="c0721c5c-5b70-4621-bf7f-8e2a18f338c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9db5a0f87be47e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3987</xdr:row>
      <xdr:rowOff>19050</xdr:rowOff>
    </xdr:from>
    <xdr:ext cx="1143000" cy="1143000"/>
    <xdr:pic>
      <xdr:nvPicPr>
        <xdr:cNvPr id="3985" name="f17f7894-b6ac-40b6-8973-c78d0c09b7b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1ff05171e1f4a5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3988</xdr:row>
      <xdr:rowOff>19050</xdr:rowOff>
    </xdr:from>
    <xdr:ext cx="1143000" cy="1143000"/>
    <xdr:pic>
      <xdr:nvPicPr>
        <xdr:cNvPr id="3986" name="2bab6d14-8349-452d-be98-39b9a789236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cc713203d464fc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3989</xdr:row>
      <xdr:rowOff>19050</xdr:rowOff>
    </xdr:from>
    <xdr:ext cx="1143000" cy="1143000"/>
    <xdr:pic>
      <xdr:nvPicPr>
        <xdr:cNvPr id="3987" name="a130af27-8728-41af-89f3-54170d04afa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a451a944113415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3990</xdr:row>
      <xdr:rowOff>19050</xdr:rowOff>
    </xdr:from>
    <xdr:ext cx="1143000" cy="1143000"/>
    <xdr:pic>
      <xdr:nvPicPr>
        <xdr:cNvPr id="3988" name="d4358a9d-6170-4e68-8cc0-d57d194bb39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d7262660284480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3991</xdr:row>
      <xdr:rowOff>19050</xdr:rowOff>
    </xdr:from>
    <xdr:ext cx="1143000" cy="1143000"/>
    <xdr:pic>
      <xdr:nvPicPr>
        <xdr:cNvPr id="3989" name="67839c75-1f7d-4154-862b-8d38351a652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d7ac409d1f3472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3992</xdr:row>
      <xdr:rowOff>19050</xdr:rowOff>
    </xdr:from>
    <xdr:ext cx="1143000" cy="1143000"/>
    <xdr:pic>
      <xdr:nvPicPr>
        <xdr:cNvPr id="3990" name="e1ca3128-4930-4980-9a58-228cff7c6a6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a6e93e20fc94e4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3993</xdr:row>
      <xdr:rowOff>19050</xdr:rowOff>
    </xdr:from>
    <xdr:ext cx="1143000" cy="1143000"/>
    <xdr:pic>
      <xdr:nvPicPr>
        <xdr:cNvPr id="3991" name="0c0a858d-bcba-49ff-816a-3a17415f63b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04b88b607fe4dd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3994</xdr:row>
      <xdr:rowOff>19050</xdr:rowOff>
    </xdr:from>
    <xdr:ext cx="1143000" cy="1143000"/>
    <xdr:pic>
      <xdr:nvPicPr>
        <xdr:cNvPr id="3992" name="21f07366-5283-4007-a46e-9dca3d629f9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b14cfd48e8f417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3995</xdr:row>
      <xdr:rowOff>19050</xdr:rowOff>
    </xdr:from>
    <xdr:ext cx="1143000" cy="1143000"/>
    <xdr:pic>
      <xdr:nvPicPr>
        <xdr:cNvPr id="3993" name="ee5979cf-b8d1-42a9-907a-cecb497b8e5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b4b83fc5f9f477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3996</xdr:row>
      <xdr:rowOff>19050</xdr:rowOff>
    </xdr:from>
    <xdr:ext cx="1143000" cy="1143000"/>
    <xdr:pic>
      <xdr:nvPicPr>
        <xdr:cNvPr id="3994" name="b94c34e7-1770-406b-892c-6f0d4f39eb4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7337bb6b0fe4a7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3997</xdr:row>
      <xdr:rowOff>19050</xdr:rowOff>
    </xdr:from>
    <xdr:ext cx="1143000" cy="1143000"/>
    <xdr:pic>
      <xdr:nvPicPr>
        <xdr:cNvPr id="3995" name="952a48ab-0ddd-4b2e-952b-c48b1ba2e2a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74d9002dae3449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3998</xdr:row>
      <xdr:rowOff>19050</xdr:rowOff>
    </xdr:from>
    <xdr:ext cx="1143000" cy="1143000"/>
    <xdr:pic>
      <xdr:nvPicPr>
        <xdr:cNvPr id="3996" name="366d1216-02bd-4cba-82da-210eae7c530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52e571fbd57425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3999</xdr:row>
      <xdr:rowOff>19050</xdr:rowOff>
    </xdr:from>
    <xdr:ext cx="1143000" cy="1143000"/>
    <xdr:pic>
      <xdr:nvPicPr>
        <xdr:cNvPr id="3997" name="64c5e93f-e626-4a09-b1fa-ee3b287dd3f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99f2f7dc76141c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4000</xdr:row>
      <xdr:rowOff>19050</xdr:rowOff>
    </xdr:from>
    <xdr:ext cx="1143000" cy="1143000"/>
    <xdr:pic>
      <xdr:nvPicPr>
        <xdr:cNvPr id="3998" name="230c218f-40e0-4ee8-88d9-c660b9df0e0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df40191f89a481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4001</xdr:row>
      <xdr:rowOff>19050</xdr:rowOff>
    </xdr:from>
    <xdr:ext cx="1143000" cy="1143000"/>
    <xdr:pic>
      <xdr:nvPicPr>
        <xdr:cNvPr id="3999" name="2d69e514-dd07-4699-854f-150f83c79a8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0008c12107e448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4002</xdr:row>
      <xdr:rowOff>19050</xdr:rowOff>
    </xdr:from>
    <xdr:ext cx="1143000" cy="1143000"/>
    <xdr:pic>
      <xdr:nvPicPr>
        <xdr:cNvPr id="4000" name="04e341bf-1c18-46ae-83d8-65bd1813e24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efd2c576a33457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4003</xdr:row>
      <xdr:rowOff>19050</xdr:rowOff>
    </xdr:from>
    <xdr:ext cx="1143000" cy="1143000"/>
    <xdr:pic>
      <xdr:nvPicPr>
        <xdr:cNvPr id="4001" name="1787700a-d5ed-4da7-b06e-feec73fb854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c749279372d40d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4004</xdr:row>
      <xdr:rowOff>19050</xdr:rowOff>
    </xdr:from>
    <xdr:ext cx="1143000" cy="1143000"/>
    <xdr:pic>
      <xdr:nvPicPr>
        <xdr:cNvPr id="4002" name="2a88cbc4-b4f6-4783-a5c9-17c967b5613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864db3fb448487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4005</xdr:row>
      <xdr:rowOff>19050</xdr:rowOff>
    </xdr:from>
    <xdr:ext cx="1143000" cy="1143000"/>
    <xdr:pic>
      <xdr:nvPicPr>
        <xdr:cNvPr id="4003" name="2f46dfc5-328f-475b-9fc5-6e0ecaaa38e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c42fd1b97104ff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4006</xdr:row>
      <xdr:rowOff>19050</xdr:rowOff>
    </xdr:from>
    <xdr:ext cx="1143000" cy="1143000"/>
    <xdr:pic>
      <xdr:nvPicPr>
        <xdr:cNvPr id="4004" name="d1444a5c-397f-4031-9e29-b3686a99f06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eb2b1e391124fb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4007</xdr:row>
      <xdr:rowOff>19050</xdr:rowOff>
    </xdr:from>
    <xdr:ext cx="1143000" cy="1143000"/>
    <xdr:pic>
      <xdr:nvPicPr>
        <xdr:cNvPr id="4005" name="c153cc5d-568d-46c9-9145-9368fedb3a1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0569d6e519c437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4008</xdr:row>
      <xdr:rowOff>19050</xdr:rowOff>
    </xdr:from>
    <xdr:ext cx="1143000" cy="1143000"/>
    <xdr:pic>
      <xdr:nvPicPr>
        <xdr:cNvPr id="4006" name="ff1014e2-6a4a-4c2f-8672-73a5d0aa1a9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9d3cd912064427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4009</xdr:row>
      <xdr:rowOff>19050</xdr:rowOff>
    </xdr:from>
    <xdr:ext cx="1143000" cy="1143000"/>
    <xdr:pic>
      <xdr:nvPicPr>
        <xdr:cNvPr id="4007" name="cf16e948-c736-4adb-bfe0-bfcf3cc3db4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16b867ac97a403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4010</xdr:row>
      <xdr:rowOff>19050</xdr:rowOff>
    </xdr:from>
    <xdr:ext cx="1143000" cy="1143000"/>
    <xdr:pic>
      <xdr:nvPicPr>
        <xdr:cNvPr id="4008" name="3739e499-527c-4adb-b0a7-627c52ef515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6893c5be8554e8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4011</xdr:row>
      <xdr:rowOff>19050</xdr:rowOff>
    </xdr:from>
    <xdr:ext cx="1143000" cy="1143000"/>
    <xdr:pic>
      <xdr:nvPicPr>
        <xdr:cNvPr id="4009" name="4e390a31-2fc6-4ce7-b827-99df68936df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2051680bc89422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4012</xdr:row>
      <xdr:rowOff>19050</xdr:rowOff>
    </xdr:from>
    <xdr:ext cx="1143000" cy="1143000"/>
    <xdr:pic>
      <xdr:nvPicPr>
        <xdr:cNvPr id="4010" name="d610ed77-f97b-4132-adb4-38e23058433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2f60075551d445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4013</xdr:row>
      <xdr:rowOff>19050</xdr:rowOff>
    </xdr:from>
    <xdr:ext cx="1143000" cy="1143000"/>
    <xdr:pic>
      <xdr:nvPicPr>
        <xdr:cNvPr id="4011" name="51e6c851-ef36-4a28-b33f-eab52bbbe02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9e8da3cef8742e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4014</xdr:row>
      <xdr:rowOff>19050</xdr:rowOff>
    </xdr:from>
    <xdr:ext cx="1143000" cy="1143000"/>
    <xdr:pic>
      <xdr:nvPicPr>
        <xdr:cNvPr id="4012" name="067d1d56-598c-49ab-bad6-a9049b705b4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532a105c1c349b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4015</xdr:row>
      <xdr:rowOff>19050</xdr:rowOff>
    </xdr:from>
    <xdr:ext cx="1143000" cy="1143000"/>
    <xdr:pic>
      <xdr:nvPicPr>
        <xdr:cNvPr id="4013" name="c77bcea0-c564-4c14-8982-a044e73379f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5f932bbdd1b429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4016</xdr:row>
      <xdr:rowOff>19050</xdr:rowOff>
    </xdr:from>
    <xdr:ext cx="1143000" cy="1143000"/>
    <xdr:pic>
      <xdr:nvPicPr>
        <xdr:cNvPr id="4014" name="98b547f9-10d2-4566-af6d-c6aa0112849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0cb1fb144c6455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4017</xdr:row>
      <xdr:rowOff>19050</xdr:rowOff>
    </xdr:from>
    <xdr:ext cx="1143000" cy="1143000"/>
    <xdr:pic>
      <xdr:nvPicPr>
        <xdr:cNvPr id="4015" name="04bdca40-7b9d-434c-a75a-2c8be2f1618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528d7cc559a4ad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4018</xdr:row>
      <xdr:rowOff>19050</xdr:rowOff>
    </xdr:from>
    <xdr:ext cx="1143000" cy="1143000"/>
    <xdr:pic>
      <xdr:nvPicPr>
        <xdr:cNvPr id="4016" name="1cf37fec-8ef0-407a-8487-0a0c817e034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043d610bd72444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4019</xdr:row>
      <xdr:rowOff>19050</xdr:rowOff>
    </xdr:from>
    <xdr:ext cx="1143000" cy="1143000"/>
    <xdr:pic>
      <xdr:nvPicPr>
        <xdr:cNvPr id="4017" name="ddf0bc18-d2dc-493b-b3cd-5e6ad190eca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9d34e9a7502445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4020</xdr:row>
      <xdr:rowOff>19050</xdr:rowOff>
    </xdr:from>
    <xdr:ext cx="1143000" cy="1143000"/>
    <xdr:pic>
      <xdr:nvPicPr>
        <xdr:cNvPr id="4018" name="45899f3b-1430-4e39-9cf0-b1f52db9658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1e53c46cd29479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4021</xdr:row>
      <xdr:rowOff>19050</xdr:rowOff>
    </xdr:from>
    <xdr:ext cx="1143000" cy="1143000"/>
    <xdr:pic>
      <xdr:nvPicPr>
        <xdr:cNvPr id="4019" name="899624d3-99a9-43f1-9680-c4c14c23f80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82a3817e1304f9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4022</xdr:row>
      <xdr:rowOff>19050</xdr:rowOff>
    </xdr:from>
    <xdr:ext cx="1143000" cy="1143000"/>
    <xdr:pic>
      <xdr:nvPicPr>
        <xdr:cNvPr id="4020" name="bdb9ac78-547d-4265-a852-795ee06a4aa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f4f440b0e9b4ab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4023</xdr:row>
      <xdr:rowOff>19050</xdr:rowOff>
    </xdr:from>
    <xdr:ext cx="1143000" cy="1143000"/>
    <xdr:pic>
      <xdr:nvPicPr>
        <xdr:cNvPr id="4021" name="efd9692b-857e-44c7-898e-718835d232a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d77237464fb446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4024</xdr:row>
      <xdr:rowOff>19050</xdr:rowOff>
    </xdr:from>
    <xdr:ext cx="1143000" cy="1143000"/>
    <xdr:pic>
      <xdr:nvPicPr>
        <xdr:cNvPr id="4022" name="b2dba55a-daa0-47e0-b0f1-1ea228af099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1af650babc5498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4025</xdr:row>
      <xdr:rowOff>19050</xdr:rowOff>
    </xdr:from>
    <xdr:ext cx="1143000" cy="1143000"/>
    <xdr:pic>
      <xdr:nvPicPr>
        <xdr:cNvPr id="4023" name="99811e40-3530-4670-ba66-95024ac82c8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4033adb1e1c41d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4026</xdr:row>
      <xdr:rowOff>19050</xdr:rowOff>
    </xdr:from>
    <xdr:ext cx="1143000" cy="1143000"/>
    <xdr:pic>
      <xdr:nvPicPr>
        <xdr:cNvPr id="4024" name="e0d138bd-7659-42c2-8c4c-2e472f4e5f0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3342a13dde04ae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4027</xdr:row>
      <xdr:rowOff>19050</xdr:rowOff>
    </xdr:from>
    <xdr:ext cx="1143000" cy="1143000"/>
    <xdr:pic>
      <xdr:nvPicPr>
        <xdr:cNvPr id="4025" name="fb66cf00-10ea-46e4-b3d0-5056db398c4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f9be8055140435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4028</xdr:row>
      <xdr:rowOff>19050</xdr:rowOff>
    </xdr:from>
    <xdr:ext cx="1143000" cy="1143000"/>
    <xdr:pic>
      <xdr:nvPicPr>
        <xdr:cNvPr id="4026" name="d98530d1-f170-4f28-98e9-4db0c381d77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3742fd402d34b8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4029</xdr:row>
      <xdr:rowOff>19050</xdr:rowOff>
    </xdr:from>
    <xdr:ext cx="1143000" cy="1143000"/>
    <xdr:pic>
      <xdr:nvPicPr>
        <xdr:cNvPr id="4027" name="773fa0d7-6e7b-47cf-9bbf-f4308a71edc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7be1c743f1c401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4030</xdr:row>
      <xdr:rowOff>19050</xdr:rowOff>
    </xdr:from>
    <xdr:ext cx="1143000" cy="1143000"/>
    <xdr:pic>
      <xdr:nvPicPr>
        <xdr:cNvPr id="4028" name="b4bf9d06-7b4e-4fc6-a9f6-2c8846efff5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70e69a367e94f6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4031</xdr:row>
      <xdr:rowOff>19050</xdr:rowOff>
    </xdr:from>
    <xdr:ext cx="1143000" cy="1143000"/>
    <xdr:pic>
      <xdr:nvPicPr>
        <xdr:cNvPr id="4029" name="e080d63a-9c2d-44c9-894a-61ce559ef49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4485b8367064fa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4032</xdr:row>
      <xdr:rowOff>19050</xdr:rowOff>
    </xdr:from>
    <xdr:ext cx="1143000" cy="1143000"/>
    <xdr:pic>
      <xdr:nvPicPr>
        <xdr:cNvPr id="4030" name="5cb86612-a281-4cf1-b4bc-f3cbd72bfb6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8032fb35d44431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4033</xdr:row>
      <xdr:rowOff>19050</xdr:rowOff>
    </xdr:from>
    <xdr:ext cx="1143000" cy="1143000"/>
    <xdr:pic>
      <xdr:nvPicPr>
        <xdr:cNvPr id="4031" name="ed2cd9c7-548e-4683-904a-f3673c752c1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3079bbaf0c74a6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4034</xdr:row>
      <xdr:rowOff>19050</xdr:rowOff>
    </xdr:from>
    <xdr:ext cx="1143000" cy="1143000"/>
    <xdr:pic>
      <xdr:nvPicPr>
        <xdr:cNvPr id="4032" name="96df5736-2269-4808-b687-5ea982a6c23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1e27f6f217444a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4035</xdr:row>
      <xdr:rowOff>19050</xdr:rowOff>
    </xdr:from>
    <xdr:ext cx="1143000" cy="1143000"/>
    <xdr:pic>
      <xdr:nvPicPr>
        <xdr:cNvPr id="4033" name="c06fd08c-de6b-43be-9538-a95719d3651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76f2825d4a2431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4036</xdr:row>
      <xdr:rowOff>19050</xdr:rowOff>
    </xdr:from>
    <xdr:ext cx="1143000" cy="1143000"/>
    <xdr:pic>
      <xdr:nvPicPr>
        <xdr:cNvPr id="4034" name="320d2a49-0b53-4fde-9c2e-43cbd05afa9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0fda12092cd42b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4037</xdr:row>
      <xdr:rowOff>19050</xdr:rowOff>
    </xdr:from>
    <xdr:ext cx="1143000" cy="1143000"/>
    <xdr:pic>
      <xdr:nvPicPr>
        <xdr:cNvPr id="4035" name="17da09c8-8fd2-4ed3-8af3-e30f7c7f58a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17d15341b5d45a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4038</xdr:row>
      <xdr:rowOff>19050</xdr:rowOff>
    </xdr:from>
    <xdr:ext cx="1143000" cy="1143000"/>
    <xdr:pic>
      <xdr:nvPicPr>
        <xdr:cNvPr id="4036" name="0609c8ae-81cb-41da-9883-910d1937511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e9d6003fb8b4fc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4039</xdr:row>
      <xdr:rowOff>19050</xdr:rowOff>
    </xdr:from>
    <xdr:ext cx="1143000" cy="1143000"/>
    <xdr:pic>
      <xdr:nvPicPr>
        <xdr:cNvPr id="4037" name="870ced13-3e9f-4723-af6b-94e0fdf9396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7f5357fdfd0490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4040</xdr:row>
      <xdr:rowOff>19050</xdr:rowOff>
    </xdr:from>
    <xdr:ext cx="1143000" cy="1143000"/>
    <xdr:pic>
      <xdr:nvPicPr>
        <xdr:cNvPr id="4038" name="76adb777-8b00-4923-a6ff-d901a6289e5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4e26df526a7452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4041</xdr:row>
      <xdr:rowOff>19050</xdr:rowOff>
    </xdr:from>
    <xdr:ext cx="1143000" cy="1143000"/>
    <xdr:pic>
      <xdr:nvPicPr>
        <xdr:cNvPr id="4039" name="bc0aae79-cbef-4a13-8f64-4a98ce23063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3a2d1a18b2e4ad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4042</xdr:row>
      <xdr:rowOff>19050</xdr:rowOff>
    </xdr:from>
    <xdr:ext cx="1143000" cy="1143000"/>
    <xdr:pic>
      <xdr:nvPicPr>
        <xdr:cNvPr id="4040" name="1b0ebf0b-cbf8-456f-8116-c8eb944776b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4a0f2da31244d3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4043</xdr:row>
      <xdr:rowOff>19050</xdr:rowOff>
    </xdr:from>
    <xdr:ext cx="1143000" cy="1143000"/>
    <xdr:pic>
      <xdr:nvPicPr>
        <xdr:cNvPr id="4041" name="830d02b2-5cbf-495d-894d-eee5ad75aeb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8f44a303994442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4044</xdr:row>
      <xdr:rowOff>19050</xdr:rowOff>
    </xdr:from>
    <xdr:ext cx="1143000" cy="1143000"/>
    <xdr:pic>
      <xdr:nvPicPr>
        <xdr:cNvPr id="4042" name="861a3036-7d73-4c39-9f26-2fdce08b3ef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d60f47354f148b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4045</xdr:row>
      <xdr:rowOff>19050</xdr:rowOff>
    </xdr:from>
    <xdr:ext cx="1143000" cy="1143000"/>
    <xdr:pic>
      <xdr:nvPicPr>
        <xdr:cNvPr id="4043" name="93a08a1a-9fd4-4578-b4e9-47c7facaac3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bf8f403ebce47a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4046</xdr:row>
      <xdr:rowOff>19050</xdr:rowOff>
    </xdr:from>
    <xdr:ext cx="1143000" cy="1143000"/>
    <xdr:pic>
      <xdr:nvPicPr>
        <xdr:cNvPr id="4044" name="34340e65-0be4-45ec-bb55-e0000821234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4eec2f2d56a430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4047</xdr:row>
      <xdr:rowOff>19050</xdr:rowOff>
    </xdr:from>
    <xdr:ext cx="1143000" cy="1143000"/>
    <xdr:pic>
      <xdr:nvPicPr>
        <xdr:cNvPr id="4045" name="3a48c0a7-d5e3-46a3-bd03-d676b525c3b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27cc84ab1c845b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4048</xdr:row>
      <xdr:rowOff>19050</xdr:rowOff>
    </xdr:from>
    <xdr:ext cx="1143000" cy="1143000"/>
    <xdr:pic>
      <xdr:nvPicPr>
        <xdr:cNvPr id="4046" name="0196be5e-7b80-4b97-9563-4e0ee6480a7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f74edd4adc6474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4049</xdr:row>
      <xdr:rowOff>19050</xdr:rowOff>
    </xdr:from>
    <xdr:ext cx="1143000" cy="1143000"/>
    <xdr:pic>
      <xdr:nvPicPr>
        <xdr:cNvPr id="4047" name="28b2bcf2-67c4-41d5-bb2b-50e1bb9daea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ce5d97b7e20454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4050</xdr:row>
      <xdr:rowOff>19050</xdr:rowOff>
    </xdr:from>
    <xdr:ext cx="1143000" cy="1143000"/>
    <xdr:pic>
      <xdr:nvPicPr>
        <xdr:cNvPr id="4048" name="393e0828-e553-4b47-8c5e-bcf6f67bca3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d4d0777699f43c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4051</xdr:row>
      <xdr:rowOff>19050</xdr:rowOff>
    </xdr:from>
    <xdr:ext cx="1143000" cy="1143000"/>
    <xdr:pic>
      <xdr:nvPicPr>
        <xdr:cNvPr id="4049" name="94332b97-04f1-4131-bb99-22c4e439644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76fa4ef3d1d47d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4052</xdr:row>
      <xdr:rowOff>19050</xdr:rowOff>
    </xdr:from>
    <xdr:ext cx="1143000" cy="1143000"/>
    <xdr:pic>
      <xdr:nvPicPr>
        <xdr:cNvPr id="4050" name="b692b204-4351-4781-984a-0205d02f59f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7238c6d499f471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4053</xdr:row>
      <xdr:rowOff>19050</xdr:rowOff>
    </xdr:from>
    <xdr:ext cx="1143000" cy="1143000"/>
    <xdr:pic>
      <xdr:nvPicPr>
        <xdr:cNvPr id="4051" name="542c7d93-3659-4a14-9567-f043dbba2f8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ce34bcdaf0f43e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4054</xdr:row>
      <xdr:rowOff>19050</xdr:rowOff>
    </xdr:from>
    <xdr:ext cx="1143000" cy="1143000"/>
    <xdr:pic>
      <xdr:nvPicPr>
        <xdr:cNvPr id="4052" name="52f4ddb7-e545-42ae-b4d1-e87784871f2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ea478f97bd0436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4055</xdr:row>
      <xdr:rowOff>19050</xdr:rowOff>
    </xdr:from>
    <xdr:ext cx="1143000" cy="1143000"/>
    <xdr:pic>
      <xdr:nvPicPr>
        <xdr:cNvPr id="4053" name="68a3630d-fe30-4ab7-8801-687900056fb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e8dd90b11b94e7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4056</xdr:row>
      <xdr:rowOff>19050</xdr:rowOff>
    </xdr:from>
    <xdr:ext cx="1143000" cy="1143000"/>
    <xdr:pic>
      <xdr:nvPicPr>
        <xdr:cNvPr id="4054" name="fe51252c-f26e-4ff5-9b9b-28f58daeb0f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0b7a79972ee4f8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4057</xdr:row>
      <xdr:rowOff>19050</xdr:rowOff>
    </xdr:from>
    <xdr:ext cx="1143000" cy="1143000"/>
    <xdr:pic>
      <xdr:nvPicPr>
        <xdr:cNvPr id="4055" name="b0ba51bf-5138-4fbf-b801-bf4a0d9f264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00ec848090048f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4058</xdr:row>
      <xdr:rowOff>19050</xdr:rowOff>
    </xdr:from>
    <xdr:ext cx="1143000" cy="1143000"/>
    <xdr:pic>
      <xdr:nvPicPr>
        <xdr:cNvPr id="4056" name="dd8c1a27-bda3-47ae-921c-b9f46af0901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1919ed27cfa48d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4059</xdr:row>
      <xdr:rowOff>19050</xdr:rowOff>
    </xdr:from>
    <xdr:ext cx="1143000" cy="1143000"/>
    <xdr:pic>
      <xdr:nvPicPr>
        <xdr:cNvPr id="4057" name="e82c24ff-7008-43e9-bf21-2e2fbf75c29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6636ab57c5f44c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4060</xdr:row>
      <xdr:rowOff>19050</xdr:rowOff>
    </xdr:from>
    <xdr:ext cx="1143000" cy="1143000"/>
    <xdr:pic>
      <xdr:nvPicPr>
        <xdr:cNvPr id="4058" name="8049be78-43f1-4a06-9cee-5a44453e260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9118e478df44f6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4061</xdr:row>
      <xdr:rowOff>19050</xdr:rowOff>
    </xdr:from>
    <xdr:ext cx="1143000" cy="1143000"/>
    <xdr:pic>
      <xdr:nvPicPr>
        <xdr:cNvPr id="4059" name="1dd7d862-38da-44b6-8c5b-da8aa8051e5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1d699be3946422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4062</xdr:row>
      <xdr:rowOff>19050</xdr:rowOff>
    </xdr:from>
    <xdr:ext cx="1143000" cy="1143000"/>
    <xdr:pic>
      <xdr:nvPicPr>
        <xdr:cNvPr id="4060" name="a373a59e-6407-465b-b510-971bc699625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81b3a3fdcc747c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4063</xdr:row>
      <xdr:rowOff>19050</xdr:rowOff>
    </xdr:from>
    <xdr:ext cx="1143000" cy="1143000"/>
    <xdr:pic>
      <xdr:nvPicPr>
        <xdr:cNvPr id="4061" name="ac45321f-3309-40c9-b854-9cea8b03a12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b867c10b2b4464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4064</xdr:row>
      <xdr:rowOff>19050</xdr:rowOff>
    </xdr:from>
    <xdr:ext cx="1143000" cy="1143000"/>
    <xdr:pic>
      <xdr:nvPicPr>
        <xdr:cNvPr id="4062" name="e9615110-8fe1-4c2c-bf14-5130f509882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2fe394cde01456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4065</xdr:row>
      <xdr:rowOff>19050</xdr:rowOff>
    </xdr:from>
    <xdr:ext cx="1143000" cy="1143000"/>
    <xdr:pic>
      <xdr:nvPicPr>
        <xdr:cNvPr id="4063" name="66d7cc35-240a-422e-aec0-2cdd99ef2b9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5ecd8a33a18463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4066</xdr:row>
      <xdr:rowOff>19050</xdr:rowOff>
    </xdr:from>
    <xdr:ext cx="1143000" cy="1143000"/>
    <xdr:pic>
      <xdr:nvPicPr>
        <xdr:cNvPr id="4064" name="82ea57d5-6fae-4cd1-8682-0624fc1f8f6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062055438ea43c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4067</xdr:row>
      <xdr:rowOff>19050</xdr:rowOff>
    </xdr:from>
    <xdr:ext cx="1143000" cy="1143000"/>
    <xdr:pic>
      <xdr:nvPicPr>
        <xdr:cNvPr id="4065" name="4ab39e1a-d3b3-4cf8-bc51-54b038144da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083361fa0664bd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4068</xdr:row>
      <xdr:rowOff>19050</xdr:rowOff>
    </xdr:from>
    <xdr:ext cx="1143000" cy="1143000"/>
    <xdr:pic>
      <xdr:nvPicPr>
        <xdr:cNvPr id="4066" name="971f5d7d-b531-45dc-8f26-1762b8f2c13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6822adaee1b44b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4069</xdr:row>
      <xdr:rowOff>19050</xdr:rowOff>
    </xdr:from>
    <xdr:ext cx="1143000" cy="1143000"/>
    <xdr:pic>
      <xdr:nvPicPr>
        <xdr:cNvPr id="4067" name="974ba045-ab4a-4b74-ac2d-88ace516144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510f3b63ecf437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4070</xdr:row>
      <xdr:rowOff>19050</xdr:rowOff>
    </xdr:from>
    <xdr:ext cx="1143000" cy="1143000"/>
    <xdr:pic>
      <xdr:nvPicPr>
        <xdr:cNvPr id="4068" name="919c981b-d161-4330-9d4b-1cf6bba520d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227dd79252943d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4071</xdr:row>
      <xdr:rowOff>19050</xdr:rowOff>
    </xdr:from>
    <xdr:ext cx="1143000" cy="1143000"/>
    <xdr:pic>
      <xdr:nvPicPr>
        <xdr:cNvPr id="4069" name="e1441796-af8b-4765-ba36-eb68dba0e05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8d2c808abc346c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4072</xdr:row>
      <xdr:rowOff>19050</xdr:rowOff>
    </xdr:from>
    <xdr:ext cx="1143000" cy="1143000"/>
    <xdr:pic>
      <xdr:nvPicPr>
        <xdr:cNvPr id="4070" name="9724a670-aad5-42ff-bc3b-a7719cbbebb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85f7054fa004c2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4073</xdr:row>
      <xdr:rowOff>19050</xdr:rowOff>
    </xdr:from>
    <xdr:ext cx="1143000" cy="1143000"/>
    <xdr:pic>
      <xdr:nvPicPr>
        <xdr:cNvPr id="4071" name="dc6eb5ef-3eaf-4533-9cab-ba186331c04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f6e76af50e44af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4074</xdr:row>
      <xdr:rowOff>19050</xdr:rowOff>
    </xdr:from>
    <xdr:ext cx="1143000" cy="1143000"/>
    <xdr:pic>
      <xdr:nvPicPr>
        <xdr:cNvPr id="4072" name="4c6cf771-5f05-4563-9c52-d0c09753abf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b70fb36c1264ae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4075</xdr:row>
      <xdr:rowOff>19050</xdr:rowOff>
    </xdr:from>
    <xdr:ext cx="1143000" cy="1143000"/>
    <xdr:pic>
      <xdr:nvPicPr>
        <xdr:cNvPr id="4073" name="9b4c8b93-e827-456e-aea3-fd535134bcd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eb4eecbf8f745a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4076</xdr:row>
      <xdr:rowOff>19050</xdr:rowOff>
    </xdr:from>
    <xdr:ext cx="1143000" cy="1143000"/>
    <xdr:pic>
      <xdr:nvPicPr>
        <xdr:cNvPr id="4074" name="434f6d2a-f377-4139-a860-46b7f73b4c0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7119c48647a427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4077</xdr:row>
      <xdr:rowOff>19050</xdr:rowOff>
    </xdr:from>
    <xdr:ext cx="1143000" cy="1143000"/>
    <xdr:pic>
      <xdr:nvPicPr>
        <xdr:cNvPr id="4075" name="8130b460-82a1-4f71-9dd4-75a62bff868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860c066c10047e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4078</xdr:row>
      <xdr:rowOff>19050</xdr:rowOff>
    </xdr:from>
    <xdr:ext cx="1143000" cy="1143000"/>
    <xdr:pic>
      <xdr:nvPicPr>
        <xdr:cNvPr id="4076" name="64344e97-4a2f-468c-9fff-93de25335b4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5ad08a7ecc143d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4079</xdr:row>
      <xdr:rowOff>19050</xdr:rowOff>
    </xdr:from>
    <xdr:ext cx="1143000" cy="1143000"/>
    <xdr:pic>
      <xdr:nvPicPr>
        <xdr:cNvPr id="4077" name="4bccb7ae-d6c3-4fa7-82a1-dda70ebe462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8f0fae78a6b458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4080</xdr:row>
      <xdr:rowOff>19050</xdr:rowOff>
    </xdr:from>
    <xdr:ext cx="1143000" cy="1143000"/>
    <xdr:pic>
      <xdr:nvPicPr>
        <xdr:cNvPr id="4078" name="05d324aa-5f3c-4b0f-9b27-75f60e21daa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d05a80ddac5446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4081</xdr:row>
      <xdr:rowOff>19050</xdr:rowOff>
    </xdr:from>
    <xdr:ext cx="1143000" cy="1143000"/>
    <xdr:pic>
      <xdr:nvPicPr>
        <xdr:cNvPr id="4079" name="01fb71db-c180-4179-a591-b775bc3e8fa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bbe1db738814db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4082</xdr:row>
      <xdr:rowOff>19050</xdr:rowOff>
    </xdr:from>
    <xdr:ext cx="1143000" cy="1143000"/>
    <xdr:pic>
      <xdr:nvPicPr>
        <xdr:cNvPr id="4080" name="b94fa69f-c2f6-4986-96a8-8eaf72c4159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423874facb74f0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4083</xdr:row>
      <xdr:rowOff>19050</xdr:rowOff>
    </xdr:from>
    <xdr:ext cx="1143000" cy="1143000"/>
    <xdr:pic>
      <xdr:nvPicPr>
        <xdr:cNvPr id="4081" name="5d8dadaf-47d1-478b-9282-e3bcd503244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9e10e8b396747d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4084</xdr:row>
      <xdr:rowOff>19050</xdr:rowOff>
    </xdr:from>
    <xdr:ext cx="1143000" cy="1143000"/>
    <xdr:pic>
      <xdr:nvPicPr>
        <xdr:cNvPr id="4082" name="1e36779e-891b-4ac3-af32-680140d498a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235c3a2ba37429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4085</xdr:row>
      <xdr:rowOff>19050</xdr:rowOff>
    </xdr:from>
    <xdr:ext cx="1143000" cy="1143000"/>
    <xdr:pic>
      <xdr:nvPicPr>
        <xdr:cNvPr id="4083" name="77959c67-3c70-4105-b88e-4279a191e81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ef7327855d54a8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4086</xdr:row>
      <xdr:rowOff>19050</xdr:rowOff>
    </xdr:from>
    <xdr:ext cx="1143000" cy="1143000"/>
    <xdr:pic>
      <xdr:nvPicPr>
        <xdr:cNvPr id="4084" name="ef5b3bc9-1ee8-4e1f-a8f7-013e03eac3c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6d3f85c0f8f4f9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4087</xdr:row>
      <xdr:rowOff>19050</xdr:rowOff>
    </xdr:from>
    <xdr:ext cx="1143000" cy="1143000"/>
    <xdr:pic>
      <xdr:nvPicPr>
        <xdr:cNvPr id="4085" name="0c76acfa-9d93-420f-b46a-fde3adb795e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2be5268cd2a413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4088</xdr:row>
      <xdr:rowOff>19050</xdr:rowOff>
    </xdr:from>
    <xdr:ext cx="1143000" cy="1143000"/>
    <xdr:pic>
      <xdr:nvPicPr>
        <xdr:cNvPr id="4086" name="d4df1504-60dc-43cb-9789-2f8b4463322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dc695b41a44420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4089</xdr:row>
      <xdr:rowOff>19050</xdr:rowOff>
    </xdr:from>
    <xdr:ext cx="1143000" cy="1143000"/>
    <xdr:pic>
      <xdr:nvPicPr>
        <xdr:cNvPr id="4087" name="3ac45b78-d94a-4330-9792-52bf96e1dab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18ba86b78cd4cb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4090</xdr:row>
      <xdr:rowOff>19050</xdr:rowOff>
    </xdr:from>
    <xdr:ext cx="1143000" cy="1143000"/>
    <xdr:pic>
      <xdr:nvPicPr>
        <xdr:cNvPr id="4088" name="b9461b05-ea66-4e10-b21f-e176c558fbc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3aacad623664d3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4091</xdr:row>
      <xdr:rowOff>19050</xdr:rowOff>
    </xdr:from>
    <xdr:ext cx="1143000" cy="1143000"/>
    <xdr:pic>
      <xdr:nvPicPr>
        <xdr:cNvPr id="4089" name="93284b58-f244-43b5-91ef-2e4e9dbf50b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ae5c50afcdf4ee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4092</xdr:row>
      <xdr:rowOff>19050</xdr:rowOff>
    </xdr:from>
    <xdr:ext cx="1143000" cy="1143000"/>
    <xdr:pic>
      <xdr:nvPicPr>
        <xdr:cNvPr id="4090" name="d61ea2ab-aa68-472f-8c8b-ee98217eaf2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c81ff127674433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4093</xdr:row>
      <xdr:rowOff>19050</xdr:rowOff>
    </xdr:from>
    <xdr:ext cx="1143000" cy="1143000"/>
    <xdr:pic>
      <xdr:nvPicPr>
        <xdr:cNvPr id="4091" name="3500d7da-99d5-4170-a8b8-45fa4f3aee0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530e977c3f44ca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4094</xdr:row>
      <xdr:rowOff>19050</xdr:rowOff>
    </xdr:from>
    <xdr:ext cx="1143000" cy="1143000"/>
    <xdr:pic>
      <xdr:nvPicPr>
        <xdr:cNvPr id="4092" name="e88197b9-235d-4060-8357-6b3cf2f51c1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a87c5dfaed9490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4095</xdr:row>
      <xdr:rowOff>19050</xdr:rowOff>
    </xdr:from>
    <xdr:ext cx="1143000" cy="1143000"/>
    <xdr:pic>
      <xdr:nvPicPr>
        <xdr:cNvPr id="4093" name="90799111-065b-4eec-94ac-9368d0af381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3da44713d1e435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4096</xdr:row>
      <xdr:rowOff>19050</xdr:rowOff>
    </xdr:from>
    <xdr:ext cx="1143000" cy="1143000"/>
    <xdr:pic>
      <xdr:nvPicPr>
        <xdr:cNvPr id="4094" name="67679cae-0ebb-4829-819d-bfa622d8cd2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0acaab5935b415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4097</xdr:row>
      <xdr:rowOff>19050</xdr:rowOff>
    </xdr:from>
    <xdr:ext cx="1143000" cy="1143000"/>
    <xdr:pic>
      <xdr:nvPicPr>
        <xdr:cNvPr id="4095" name="13460dc2-afe5-45b5-89bf-63fc9e2a06f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9ab4943f1e245d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4098</xdr:row>
      <xdr:rowOff>19050</xdr:rowOff>
    </xdr:from>
    <xdr:ext cx="1143000" cy="1143000"/>
    <xdr:pic>
      <xdr:nvPicPr>
        <xdr:cNvPr id="4096" name="9b9910a2-3a2c-4a26-a243-3dc45ef4694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ad1983eee6944b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4099</xdr:row>
      <xdr:rowOff>19050</xdr:rowOff>
    </xdr:from>
    <xdr:ext cx="1143000" cy="1143000"/>
    <xdr:pic>
      <xdr:nvPicPr>
        <xdr:cNvPr id="4097" name="0fbf2218-3d6d-4f96-bf60-a5853c76710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62f1702ae0345e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4100</xdr:row>
      <xdr:rowOff>19050</xdr:rowOff>
    </xdr:from>
    <xdr:ext cx="1143000" cy="1143000"/>
    <xdr:pic>
      <xdr:nvPicPr>
        <xdr:cNvPr id="4098" name="a88c4d5a-3ac4-4e5e-8c16-12170bbcb25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095e235336c451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4101</xdr:row>
      <xdr:rowOff>19050</xdr:rowOff>
    </xdr:from>
    <xdr:ext cx="1143000" cy="1143000"/>
    <xdr:pic>
      <xdr:nvPicPr>
        <xdr:cNvPr id="4099" name="8cecfeea-cf26-4162-aa8e-07653f91b86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6c7a2f7035d4b1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4102</xdr:row>
      <xdr:rowOff>19050</xdr:rowOff>
    </xdr:from>
    <xdr:ext cx="1143000" cy="1143000"/>
    <xdr:pic>
      <xdr:nvPicPr>
        <xdr:cNvPr id="4100" name="351de8bf-0a65-417f-9da5-5c8d58338ad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3174d923ac34e0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4103</xdr:row>
      <xdr:rowOff>19050</xdr:rowOff>
    </xdr:from>
    <xdr:ext cx="1143000" cy="1143000"/>
    <xdr:pic>
      <xdr:nvPicPr>
        <xdr:cNvPr id="4101" name="22f38665-04e3-4a13-9e3e-49f002ab138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08e144918f64fc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4104</xdr:row>
      <xdr:rowOff>19050</xdr:rowOff>
    </xdr:from>
    <xdr:ext cx="1143000" cy="1143000"/>
    <xdr:pic>
      <xdr:nvPicPr>
        <xdr:cNvPr id="4102" name="e056f257-8727-447b-bf39-3e88e067d36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e791caffd6e42e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4105</xdr:row>
      <xdr:rowOff>19050</xdr:rowOff>
    </xdr:from>
    <xdr:ext cx="1143000" cy="1143000"/>
    <xdr:pic>
      <xdr:nvPicPr>
        <xdr:cNvPr id="4103" name="e3306f4e-b108-4e34-934f-4f1c7dd646d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0e3cdb7aa1e4fc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4106</xdr:row>
      <xdr:rowOff>19050</xdr:rowOff>
    </xdr:from>
    <xdr:ext cx="1143000" cy="1143000"/>
    <xdr:pic>
      <xdr:nvPicPr>
        <xdr:cNvPr id="4104" name="e762a11e-365d-4978-b7c1-959eee07fa9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d04ab24436a44a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4107</xdr:row>
      <xdr:rowOff>19050</xdr:rowOff>
    </xdr:from>
    <xdr:ext cx="1143000" cy="1143000"/>
    <xdr:pic>
      <xdr:nvPicPr>
        <xdr:cNvPr id="4105" name="c6db83d9-577c-430d-9640-a1ae8f4fe44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9795531d12a4a9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4108</xdr:row>
      <xdr:rowOff>19050</xdr:rowOff>
    </xdr:from>
    <xdr:ext cx="1143000" cy="1143000"/>
    <xdr:pic>
      <xdr:nvPicPr>
        <xdr:cNvPr id="4106" name="1090617f-e067-4204-8b4e-97a90bd0340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20bfa7a895e420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4109</xdr:row>
      <xdr:rowOff>19050</xdr:rowOff>
    </xdr:from>
    <xdr:ext cx="1143000" cy="1143000"/>
    <xdr:pic>
      <xdr:nvPicPr>
        <xdr:cNvPr id="4107" name="49ac6f35-a308-4cb2-8fe1-95142212c48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db3ab2acdb6447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4110</xdr:row>
      <xdr:rowOff>19050</xdr:rowOff>
    </xdr:from>
    <xdr:ext cx="1143000" cy="1143000"/>
    <xdr:pic>
      <xdr:nvPicPr>
        <xdr:cNvPr id="4108" name="7ee941ea-d09d-4a0c-96e7-c96186d0ce2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2b276d5e96248e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4111</xdr:row>
      <xdr:rowOff>19050</xdr:rowOff>
    </xdr:from>
    <xdr:ext cx="1143000" cy="1143000"/>
    <xdr:pic>
      <xdr:nvPicPr>
        <xdr:cNvPr id="4109" name="a6584703-54ca-45c1-aedf-8c35f368947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2d8a2b640504bd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4112</xdr:row>
      <xdr:rowOff>19050</xdr:rowOff>
    </xdr:from>
    <xdr:ext cx="1143000" cy="1143000"/>
    <xdr:pic>
      <xdr:nvPicPr>
        <xdr:cNvPr id="4110" name="e94a690b-3e9c-4040-b2ac-ff425864042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e0b67f8852b4dc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4113</xdr:row>
      <xdr:rowOff>19050</xdr:rowOff>
    </xdr:from>
    <xdr:ext cx="1143000" cy="1143000"/>
    <xdr:pic>
      <xdr:nvPicPr>
        <xdr:cNvPr id="4111" name="62aadeb9-9786-4b2a-b53c-44a11e3f0f3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773e86471cc4ff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4114</xdr:row>
      <xdr:rowOff>19050</xdr:rowOff>
    </xdr:from>
    <xdr:ext cx="1143000" cy="1143000"/>
    <xdr:pic>
      <xdr:nvPicPr>
        <xdr:cNvPr id="4112" name="a8cd36ee-26ce-4e2a-b20e-0df687a7507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30669e37b4a4e0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4115</xdr:row>
      <xdr:rowOff>19050</xdr:rowOff>
    </xdr:from>
    <xdr:ext cx="1143000" cy="1143000"/>
    <xdr:pic>
      <xdr:nvPicPr>
        <xdr:cNvPr id="4113" name="69409751-bc2f-4318-92cc-c9350241b4b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177f1d3130d457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4116</xdr:row>
      <xdr:rowOff>19050</xdr:rowOff>
    </xdr:from>
    <xdr:ext cx="1143000" cy="1143000"/>
    <xdr:pic>
      <xdr:nvPicPr>
        <xdr:cNvPr id="4114" name="5f95e8b8-4e61-4e4e-8ead-8dbfec579b6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d252965253d460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4117</xdr:row>
      <xdr:rowOff>19050</xdr:rowOff>
    </xdr:from>
    <xdr:ext cx="1143000" cy="1143000"/>
    <xdr:pic>
      <xdr:nvPicPr>
        <xdr:cNvPr id="4115" name="03690e8a-7102-4225-ae82-ab7c35f6596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1a7686227eb48c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4118</xdr:row>
      <xdr:rowOff>19050</xdr:rowOff>
    </xdr:from>
    <xdr:ext cx="1143000" cy="1143000"/>
    <xdr:pic>
      <xdr:nvPicPr>
        <xdr:cNvPr id="4116" name="df5522c9-5d5c-4c0b-a0f1-d704c41cd7c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6bde0f176454ac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4119</xdr:row>
      <xdr:rowOff>19050</xdr:rowOff>
    </xdr:from>
    <xdr:ext cx="1143000" cy="1143000"/>
    <xdr:pic>
      <xdr:nvPicPr>
        <xdr:cNvPr id="4117" name="a8bbddc0-a38b-4bc4-abb9-9c8709e924c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c95e557237b43d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4120</xdr:row>
      <xdr:rowOff>19050</xdr:rowOff>
    </xdr:from>
    <xdr:ext cx="1143000" cy="1143000"/>
    <xdr:pic>
      <xdr:nvPicPr>
        <xdr:cNvPr id="4118" name="9d5646e2-ff81-4db4-bc22-613be048bb1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f7b105cf7ed41a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4121</xdr:row>
      <xdr:rowOff>19050</xdr:rowOff>
    </xdr:from>
    <xdr:ext cx="1143000" cy="1143000"/>
    <xdr:pic>
      <xdr:nvPicPr>
        <xdr:cNvPr id="4119" name="064deca1-72bb-4981-81ab-35fbe5a08b5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5d013ebf5c646d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4122</xdr:row>
      <xdr:rowOff>19050</xdr:rowOff>
    </xdr:from>
    <xdr:ext cx="1143000" cy="1143000"/>
    <xdr:pic>
      <xdr:nvPicPr>
        <xdr:cNvPr id="4120" name="4f80177d-6567-415b-b4ca-4929ac5c102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7999e284c2540f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4123</xdr:row>
      <xdr:rowOff>19050</xdr:rowOff>
    </xdr:from>
    <xdr:ext cx="1143000" cy="1143000"/>
    <xdr:pic>
      <xdr:nvPicPr>
        <xdr:cNvPr id="4121" name="4826c39f-86fe-4480-80ae-14076ab4622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b71371fed774b5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4124</xdr:row>
      <xdr:rowOff>19050</xdr:rowOff>
    </xdr:from>
    <xdr:ext cx="1143000" cy="1143000"/>
    <xdr:pic>
      <xdr:nvPicPr>
        <xdr:cNvPr id="4122" name="db10c170-46cc-46a4-a868-c2bdfff632c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612f8e8dc2d4e7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4125</xdr:row>
      <xdr:rowOff>19050</xdr:rowOff>
    </xdr:from>
    <xdr:ext cx="1143000" cy="1143000"/>
    <xdr:pic>
      <xdr:nvPicPr>
        <xdr:cNvPr id="4123" name="6e93b933-666a-4fda-97aa-6075f6d5c3a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e21505aab76461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4126</xdr:row>
      <xdr:rowOff>19050</xdr:rowOff>
    </xdr:from>
    <xdr:ext cx="1143000" cy="1143000"/>
    <xdr:pic>
      <xdr:nvPicPr>
        <xdr:cNvPr id="4124" name="58dd41d1-bd64-4c53-9fdb-4868bb8665c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6006d796c704d9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4127</xdr:row>
      <xdr:rowOff>19050</xdr:rowOff>
    </xdr:from>
    <xdr:ext cx="1143000" cy="1143000"/>
    <xdr:pic>
      <xdr:nvPicPr>
        <xdr:cNvPr id="4125" name="37b7b099-c81b-4d3f-a67c-41c3ad72367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b28c89b62324c4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4128</xdr:row>
      <xdr:rowOff>19050</xdr:rowOff>
    </xdr:from>
    <xdr:ext cx="1143000" cy="1143000"/>
    <xdr:pic>
      <xdr:nvPicPr>
        <xdr:cNvPr id="4126" name="5ce641d9-9c78-4f3d-a82e-7bc9561f442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d205a7041d1474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4129</xdr:row>
      <xdr:rowOff>19050</xdr:rowOff>
    </xdr:from>
    <xdr:ext cx="1143000" cy="1143000"/>
    <xdr:pic>
      <xdr:nvPicPr>
        <xdr:cNvPr id="4127" name="43dab87f-f232-4c7b-a0ae-1ae8b3bb499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dbe5cfe37984b1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4130</xdr:row>
      <xdr:rowOff>19050</xdr:rowOff>
    </xdr:from>
    <xdr:ext cx="1143000" cy="1143000"/>
    <xdr:pic>
      <xdr:nvPicPr>
        <xdr:cNvPr id="4128" name="781866f5-4ee3-4e19-9f4f-58ae2e95e0a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563596ba6fb4ca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4131</xdr:row>
      <xdr:rowOff>19050</xdr:rowOff>
    </xdr:from>
    <xdr:ext cx="1143000" cy="1143000"/>
    <xdr:pic>
      <xdr:nvPicPr>
        <xdr:cNvPr id="4129" name="b4a6e9dc-6d48-44e3-bf60-1e84cc719a2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63892d2259f442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4132</xdr:row>
      <xdr:rowOff>19050</xdr:rowOff>
    </xdr:from>
    <xdr:ext cx="1143000" cy="1143000"/>
    <xdr:pic>
      <xdr:nvPicPr>
        <xdr:cNvPr id="4130" name="028107d8-d639-4a74-8687-133013780c7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c8d8a2706dc4c4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4133</xdr:row>
      <xdr:rowOff>19050</xdr:rowOff>
    </xdr:from>
    <xdr:ext cx="1143000" cy="1143000"/>
    <xdr:pic>
      <xdr:nvPicPr>
        <xdr:cNvPr id="4131" name="34f73d34-4c56-4cac-a288-92712965813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6f8e7d761224a5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4134</xdr:row>
      <xdr:rowOff>19050</xdr:rowOff>
    </xdr:from>
    <xdr:ext cx="1143000" cy="1143000"/>
    <xdr:pic>
      <xdr:nvPicPr>
        <xdr:cNvPr id="4132" name="39861cd4-a650-455d-abf4-a79eaafc221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1d9fb5bc32a4e1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4135</xdr:row>
      <xdr:rowOff>19050</xdr:rowOff>
    </xdr:from>
    <xdr:ext cx="1143000" cy="1143000"/>
    <xdr:pic>
      <xdr:nvPicPr>
        <xdr:cNvPr id="4133" name="02b33b96-6b4f-4e80-842c-4db228c7837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ae7521364b24ea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4136</xdr:row>
      <xdr:rowOff>19050</xdr:rowOff>
    </xdr:from>
    <xdr:ext cx="1143000" cy="1143000"/>
    <xdr:pic>
      <xdr:nvPicPr>
        <xdr:cNvPr id="4134" name="b0a58362-1b81-4046-95a4-89ea7088579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21900a325eb447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4137</xdr:row>
      <xdr:rowOff>19050</xdr:rowOff>
    </xdr:from>
    <xdr:ext cx="1143000" cy="1143000"/>
    <xdr:pic>
      <xdr:nvPicPr>
        <xdr:cNvPr id="4135" name="b6a1684c-c175-44ec-b1f2-ec078b444a3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7dcdbb29cf7458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4138</xdr:row>
      <xdr:rowOff>19050</xdr:rowOff>
    </xdr:from>
    <xdr:ext cx="1143000" cy="1143000"/>
    <xdr:pic>
      <xdr:nvPicPr>
        <xdr:cNvPr id="4136" name="bf27cfc4-390e-4b6e-a980-f2778d44e88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7932be4898a4f5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4139</xdr:row>
      <xdr:rowOff>19050</xdr:rowOff>
    </xdr:from>
    <xdr:ext cx="1143000" cy="1143000"/>
    <xdr:pic>
      <xdr:nvPicPr>
        <xdr:cNvPr id="4137" name="9f5368c6-4287-4c54-9746-69395417daf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6fdf404954f4ce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4140</xdr:row>
      <xdr:rowOff>19050</xdr:rowOff>
    </xdr:from>
    <xdr:ext cx="1143000" cy="1143000"/>
    <xdr:pic>
      <xdr:nvPicPr>
        <xdr:cNvPr id="4138" name="73701dc6-b9ac-4bcb-b7e7-acf2fba081c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45fb6c767994da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4141</xdr:row>
      <xdr:rowOff>19050</xdr:rowOff>
    </xdr:from>
    <xdr:ext cx="1143000" cy="1143000"/>
    <xdr:pic>
      <xdr:nvPicPr>
        <xdr:cNvPr id="4139" name="3d85735a-3e96-423a-9cf8-4ca5ffe4a18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c85bd299a08434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4142</xdr:row>
      <xdr:rowOff>19050</xdr:rowOff>
    </xdr:from>
    <xdr:ext cx="1143000" cy="1143000"/>
    <xdr:pic>
      <xdr:nvPicPr>
        <xdr:cNvPr id="4140" name="8742d767-84bb-4bcd-84ff-22beb79a4a3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931fef1d26d460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4143</xdr:row>
      <xdr:rowOff>19050</xdr:rowOff>
    </xdr:from>
    <xdr:ext cx="1143000" cy="1143000"/>
    <xdr:pic>
      <xdr:nvPicPr>
        <xdr:cNvPr id="4141" name="8de00c1d-ba41-4718-87d6-64f3f6c8824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e33a95457ca4e5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4144</xdr:row>
      <xdr:rowOff>19050</xdr:rowOff>
    </xdr:from>
    <xdr:ext cx="1143000" cy="1143000"/>
    <xdr:pic>
      <xdr:nvPicPr>
        <xdr:cNvPr id="4142" name="6f7b9244-4219-4acf-8f96-1eda6d40a70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549e9142c0b494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4145</xdr:row>
      <xdr:rowOff>19050</xdr:rowOff>
    </xdr:from>
    <xdr:ext cx="1143000" cy="1143000"/>
    <xdr:pic>
      <xdr:nvPicPr>
        <xdr:cNvPr id="4143" name="f9dc9c4c-8d9d-4975-887f-8daf5d0b248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d08d9ccd2934ef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4146</xdr:row>
      <xdr:rowOff>19050</xdr:rowOff>
    </xdr:from>
    <xdr:ext cx="1143000" cy="1143000"/>
    <xdr:pic>
      <xdr:nvPicPr>
        <xdr:cNvPr id="4144" name="982c30b8-c601-4fed-af3a-7e58198d741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93d774f679a4e2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4147</xdr:row>
      <xdr:rowOff>19050</xdr:rowOff>
    </xdr:from>
    <xdr:ext cx="1143000" cy="1143000"/>
    <xdr:pic>
      <xdr:nvPicPr>
        <xdr:cNvPr id="4145" name="43b6bbd6-d70d-4e1a-986e-90f1dd35607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6849c55fba44cb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4148</xdr:row>
      <xdr:rowOff>19050</xdr:rowOff>
    </xdr:from>
    <xdr:ext cx="1143000" cy="1143000"/>
    <xdr:pic>
      <xdr:nvPicPr>
        <xdr:cNvPr id="4146" name="e73a6016-c412-47b3-b819-1a37bff3dd0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23f2d1aa309466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4149</xdr:row>
      <xdr:rowOff>19050</xdr:rowOff>
    </xdr:from>
    <xdr:ext cx="1143000" cy="1143000"/>
    <xdr:pic>
      <xdr:nvPicPr>
        <xdr:cNvPr id="4147" name="8732e6a6-81c3-4c11-9077-1a817c5f7bb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8e3d94ff5ef4ab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4150</xdr:row>
      <xdr:rowOff>19050</xdr:rowOff>
    </xdr:from>
    <xdr:ext cx="1143000" cy="1143000"/>
    <xdr:pic>
      <xdr:nvPicPr>
        <xdr:cNvPr id="4148" name="89c1ec1f-13ea-415d-98a7-0eafef20388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7c5e710b506497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4151</xdr:row>
      <xdr:rowOff>19050</xdr:rowOff>
    </xdr:from>
    <xdr:ext cx="1143000" cy="1143000"/>
    <xdr:pic>
      <xdr:nvPicPr>
        <xdr:cNvPr id="4149" name="6c2d60bd-67d1-4462-83d3-997551ff91f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85a243543294ef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4152</xdr:row>
      <xdr:rowOff>19050</xdr:rowOff>
    </xdr:from>
    <xdr:ext cx="1143000" cy="1143000"/>
    <xdr:pic>
      <xdr:nvPicPr>
        <xdr:cNvPr id="4150" name="e968eaa4-0fa2-497c-b257-ca42ba0fa28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793d22dd7674b2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4153</xdr:row>
      <xdr:rowOff>19050</xdr:rowOff>
    </xdr:from>
    <xdr:ext cx="1143000" cy="1143000"/>
    <xdr:pic>
      <xdr:nvPicPr>
        <xdr:cNvPr id="4151" name="a47edfa0-fd23-4149-9f70-4d4daabf57a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85164800b274e2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4154</xdr:row>
      <xdr:rowOff>19050</xdr:rowOff>
    </xdr:from>
    <xdr:ext cx="1143000" cy="1143000"/>
    <xdr:pic>
      <xdr:nvPicPr>
        <xdr:cNvPr id="4152" name="de554a6e-e46d-412d-9c57-315e9f8b35e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183cf91de6041a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4155</xdr:row>
      <xdr:rowOff>19050</xdr:rowOff>
    </xdr:from>
    <xdr:ext cx="1143000" cy="1143000"/>
    <xdr:pic>
      <xdr:nvPicPr>
        <xdr:cNvPr id="4153" name="b482b39f-76fa-41d8-a272-eb358d34552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8326c3e9b0e45e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4156</xdr:row>
      <xdr:rowOff>19050</xdr:rowOff>
    </xdr:from>
    <xdr:ext cx="1143000" cy="1143000"/>
    <xdr:pic>
      <xdr:nvPicPr>
        <xdr:cNvPr id="4154" name="91b456a9-9199-4c38-94ba-aa73d768128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23838055df54b6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4157</xdr:row>
      <xdr:rowOff>19050</xdr:rowOff>
    </xdr:from>
    <xdr:ext cx="1143000" cy="1143000"/>
    <xdr:pic>
      <xdr:nvPicPr>
        <xdr:cNvPr id="4155" name="73705f15-e7c3-4e3d-85f1-03f79fc1dbc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9e11549399b4a6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4158</xdr:row>
      <xdr:rowOff>19050</xdr:rowOff>
    </xdr:from>
    <xdr:ext cx="1143000" cy="1143000"/>
    <xdr:pic>
      <xdr:nvPicPr>
        <xdr:cNvPr id="4156" name="d1cf2974-535b-4e6f-88b8-e12bc380d60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38940db30d4410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4159</xdr:row>
      <xdr:rowOff>19050</xdr:rowOff>
    </xdr:from>
    <xdr:ext cx="1143000" cy="1143000"/>
    <xdr:pic>
      <xdr:nvPicPr>
        <xdr:cNvPr id="4157" name="e0f9ca49-943c-48c6-ab49-b0ee9f6f709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9876991ea1c4ee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4160</xdr:row>
      <xdr:rowOff>19050</xdr:rowOff>
    </xdr:from>
    <xdr:ext cx="1143000" cy="1143000"/>
    <xdr:pic>
      <xdr:nvPicPr>
        <xdr:cNvPr id="4158" name="0dd5e2ca-9037-42df-ad26-6f53588ed9a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72512ba4bc74f9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4161</xdr:row>
      <xdr:rowOff>19050</xdr:rowOff>
    </xdr:from>
    <xdr:ext cx="1143000" cy="1143000"/>
    <xdr:pic>
      <xdr:nvPicPr>
        <xdr:cNvPr id="4159" name="4cf803f2-649d-4e27-bd20-909e237aefd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923fe6187844ba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4162</xdr:row>
      <xdr:rowOff>19050</xdr:rowOff>
    </xdr:from>
    <xdr:ext cx="1143000" cy="1143000"/>
    <xdr:pic>
      <xdr:nvPicPr>
        <xdr:cNvPr id="4160" name="213bf40e-03f6-4154-ad13-8416f9ac016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88b26761a02488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4163</xdr:row>
      <xdr:rowOff>19050</xdr:rowOff>
    </xdr:from>
    <xdr:ext cx="1143000" cy="1143000"/>
    <xdr:pic>
      <xdr:nvPicPr>
        <xdr:cNvPr id="4161" name="ddf26c88-ac55-49a8-b7f3-e1123f6108c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7ea41c6349245b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4164</xdr:row>
      <xdr:rowOff>19050</xdr:rowOff>
    </xdr:from>
    <xdr:ext cx="1143000" cy="1143000"/>
    <xdr:pic>
      <xdr:nvPicPr>
        <xdr:cNvPr id="4162" name="5b56905c-72ec-4cb0-bf3f-ec884727c94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f6b1f2e96a84f2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4165</xdr:row>
      <xdr:rowOff>19050</xdr:rowOff>
    </xdr:from>
    <xdr:ext cx="1143000" cy="1143000"/>
    <xdr:pic>
      <xdr:nvPicPr>
        <xdr:cNvPr id="4163" name="a2254f80-a616-4edf-9b3b-9fe9268dbbe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d525d8ad543468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4166</xdr:row>
      <xdr:rowOff>19050</xdr:rowOff>
    </xdr:from>
    <xdr:ext cx="1143000" cy="1143000"/>
    <xdr:pic>
      <xdr:nvPicPr>
        <xdr:cNvPr id="4164" name="5c0356f1-8c99-47b4-a268-07bd9d3a9c7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b7160edfeee4b0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4167</xdr:row>
      <xdr:rowOff>19050</xdr:rowOff>
    </xdr:from>
    <xdr:ext cx="1143000" cy="1143000"/>
    <xdr:pic>
      <xdr:nvPicPr>
        <xdr:cNvPr id="4165" name="426b6b07-925c-478f-8b30-75917127b4f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fc864678f9a41f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4168</xdr:row>
      <xdr:rowOff>19050</xdr:rowOff>
    </xdr:from>
    <xdr:ext cx="1143000" cy="1143000"/>
    <xdr:pic>
      <xdr:nvPicPr>
        <xdr:cNvPr id="4166" name="40fcac90-cd6f-4a86-98ea-58ff8dda8a2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ae8e3b28b60431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4169</xdr:row>
      <xdr:rowOff>19050</xdr:rowOff>
    </xdr:from>
    <xdr:ext cx="1143000" cy="1143000"/>
    <xdr:pic>
      <xdr:nvPicPr>
        <xdr:cNvPr id="4167" name="f8d4f84a-afef-4c87-ba03-7373b2e5b03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59ce84fd6ec4eb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4170</xdr:row>
      <xdr:rowOff>19050</xdr:rowOff>
    </xdr:from>
    <xdr:ext cx="1143000" cy="1143000"/>
    <xdr:pic>
      <xdr:nvPicPr>
        <xdr:cNvPr id="4168" name="cff632c9-8385-4a93-b57d-6653bd8929a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7ed8b6c1d2f479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4171</xdr:row>
      <xdr:rowOff>19050</xdr:rowOff>
    </xdr:from>
    <xdr:ext cx="1143000" cy="1143000"/>
    <xdr:pic>
      <xdr:nvPicPr>
        <xdr:cNvPr id="4169" name="ffa29dc9-0ee4-44b8-8c69-8e42fe45c7a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b5c495d3c0a48d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4172</xdr:row>
      <xdr:rowOff>19050</xdr:rowOff>
    </xdr:from>
    <xdr:ext cx="1143000" cy="1143000"/>
    <xdr:pic>
      <xdr:nvPicPr>
        <xdr:cNvPr id="4170" name="6b6bd1cd-aef4-4ccb-a7b7-9b4fd52b073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363857dfed64d9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4173</xdr:row>
      <xdr:rowOff>19050</xdr:rowOff>
    </xdr:from>
    <xdr:ext cx="1143000" cy="1143000"/>
    <xdr:pic>
      <xdr:nvPicPr>
        <xdr:cNvPr id="4171" name="f50eca86-5b88-4909-8129-af2d7d76e41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9ca101945ed4bd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4174</xdr:row>
      <xdr:rowOff>19050</xdr:rowOff>
    </xdr:from>
    <xdr:ext cx="1143000" cy="1143000"/>
    <xdr:pic>
      <xdr:nvPicPr>
        <xdr:cNvPr id="4172" name="49cd6d68-f46b-4892-ad06-c2b40f74905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de65a324064427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4175</xdr:row>
      <xdr:rowOff>19050</xdr:rowOff>
    </xdr:from>
    <xdr:ext cx="1143000" cy="1143000"/>
    <xdr:pic>
      <xdr:nvPicPr>
        <xdr:cNvPr id="4173" name="ff2c937e-462a-4dd0-8727-864669181ca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938e155fd71419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4176</xdr:row>
      <xdr:rowOff>19050</xdr:rowOff>
    </xdr:from>
    <xdr:ext cx="1143000" cy="1143000"/>
    <xdr:pic>
      <xdr:nvPicPr>
        <xdr:cNvPr id="4174" name="cc872e32-b1ca-4eb9-a9de-5bf42266a74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567ea05f575468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4177</xdr:row>
      <xdr:rowOff>19050</xdr:rowOff>
    </xdr:from>
    <xdr:ext cx="1143000" cy="1143000"/>
    <xdr:pic>
      <xdr:nvPicPr>
        <xdr:cNvPr id="4175" name="1bda1d75-849b-4013-964e-320183632d7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22826484565401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4178</xdr:row>
      <xdr:rowOff>19050</xdr:rowOff>
    </xdr:from>
    <xdr:ext cx="1143000" cy="1143000"/>
    <xdr:pic>
      <xdr:nvPicPr>
        <xdr:cNvPr id="4176" name="d5c05632-ab2f-4d23-b286-36ca44c807c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511d6071dd7488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4179</xdr:row>
      <xdr:rowOff>19050</xdr:rowOff>
    </xdr:from>
    <xdr:ext cx="1143000" cy="1143000"/>
    <xdr:pic>
      <xdr:nvPicPr>
        <xdr:cNvPr id="4177" name="452cd8a6-9a58-41e3-85b7-5f9d095974d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11322b21122450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4180</xdr:row>
      <xdr:rowOff>19050</xdr:rowOff>
    </xdr:from>
    <xdr:ext cx="1143000" cy="1143000"/>
    <xdr:pic>
      <xdr:nvPicPr>
        <xdr:cNvPr id="4178" name="a2cf5355-fa27-4a0e-b244-93b5c33c230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295c580beff4d2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4181</xdr:row>
      <xdr:rowOff>19050</xdr:rowOff>
    </xdr:from>
    <xdr:ext cx="1143000" cy="1143000"/>
    <xdr:pic>
      <xdr:nvPicPr>
        <xdr:cNvPr id="4179" name="1937123a-1607-4caa-a653-9ae7055fcd3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69a1b733c5e43e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4182</xdr:row>
      <xdr:rowOff>19050</xdr:rowOff>
    </xdr:from>
    <xdr:ext cx="1143000" cy="1143000"/>
    <xdr:pic>
      <xdr:nvPicPr>
        <xdr:cNvPr id="4180" name="006e91d2-9153-49d2-bcf1-27f064e4b98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76f4d2a676d4ea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4183</xdr:row>
      <xdr:rowOff>19050</xdr:rowOff>
    </xdr:from>
    <xdr:ext cx="1143000" cy="1143000"/>
    <xdr:pic>
      <xdr:nvPicPr>
        <xdr:cNvPr id="4181" name="131db287-11b6-4830-8c28-b9119860e9f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31c3b3926bd4bf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4184</xdr:row>
      <xdr:rowOff>19050</xdr:rowOff>
    </xdr:from>
    <xdr:ext cx="1143000" cy="1143000"/>
    <xdr:pic>
      <xdr:nvPicPr>
        <xdr:cNvPr id="4182" name="b1cfa1e1-7a42-41eb-83db-d00b7deb280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6e2d2caad06475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4185</xdr:row>
      <xdr:rowOff>19050</xdr:rowOff>
    </xdr:from>
    <xdr:ext cx="1143000" cy="1143000"/>
    <xdr:pic>
      <xdr:nvPicPr>
        <xdr:cNvPr id="4183" name="d1de76a6-0ae2-4b18-b31b-4dd071385b1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73b3d3793e24fe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4186</xdr:row>
      <xdr:rowOff>19050</xdr:rowOff>
    </xdr:from>
    <xdr:ext cx="1143000" cy="1143000"/>
    <xdr:pic>
      <xdr:nvPicPr>
        <xdr:cNvPr id="4184" name="bfce2ed0-06cc-4c78-8ca0-3afa21b6867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7a7a093f35545c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4187</xdr:row>
      <xdr:rowOff>19050</xdr:rowOff>
    </xdr:from>
    <xdr:ext cx="1143000" cy="1143000"/>
    <xdr:pic>
      <xdr:nvPicPr>
        <xdr:cNvPr id="4185" name="18af8e24-d634-427d-b116-06b057fbcdc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6533614b1a84bf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4188</xdr:row>
      <xdr:rowOff>19050</xdr:rowOff>
    </xdr:from>
    <xdr:ext cx="1143000" cy="1143000"/>
    <xdr:pic>
      <xdr:nvPicPr>
        <xdr:cNvPr id="4186" name="c2240296-0cf3-48b0-b03f-621f0e1d5f7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f448ecb4fc744f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4189</xdr:row>
      <xdr:rowOff>19050</xdr:rowOff>
    </xdr:from>
    <xdr:ext cx="1143000" cy="1143000"/>
    <xdr:pic>
      <xdr:nvPicPr>
        <xdr:cNvPr id="4187" name="072c297d-30b7-4468-becc-e6ecbd1f8b0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4e029720cd4410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4190</xdr:row>
      <xdr:rowOff>19050</xdr:rowOff>
    </xdr:from>
    <xdr:ext cx="1143000" cy="1143000"/>
    <xdr:pic>
      <xdr:nvPicPr>
        <xdr:cNvPr id="4188" name="b302c2e5-b7e7-4f35-ba12-a5d0f049062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986e561397a4f0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4191</xdr:row>
      <xdr:rowOff>19050</xdr:rowOff>
    </xdr:from>
    <xdr:ext cx="1143000" cy="1143000"/>
    <xdr:pic>
      <xdr:nvPicPr>
        <xdr:cNvPr id="4189" name="8d75ae72-8476-4e55-ba94-45c83d75872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ac8308dd4cb474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4192</xdr:row>
      <xdr:rowOff>19050</xdr:rowOff>
    </xdr:from>
    <xdr:ext cx="1143000" cy="1143000"/>
    <xdr:pic>
      <xdr:nvPicPr>
        <xdr:cNvPr id="4190" name="1b814c7e-1c14-40ff-8ed1-979a94fcb30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8be34ca41f149f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4193</xdr:row>
      <xdr:rowOff>19050</xdr:rowOff>
    </xdr:from>
    <xdr:ext cx="1143000" cy="1143000"/>
    <xdr:pic>
      <xdr:nvPicPr>
        <xdr:cNvPr id="4191" name="3e63fb70-3cce-4796-a0ac-d31fdd1af47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355bcab1dc0442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4194</xdr:row>
      <xdr:rowOff>19050</xdr:rowOff>
    </xdr:from>
    <xdr:ext cx="1143000" cy="1143000"/>
    <xdr:pic>
      <xdr:nvPicPr>
        <xdr:cNvPr id="4192" name="d0cb23e3-11b7-4be4-8c29-bd82bef5656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b1d4f2025f64cd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4195</xdr:row>
      <xdr:rowOff>19050</xdr:rowOff>
    </xdr:from>
    <xdr:ext cx="1143000" cy="1143000"/>
    <xdr:pic>
      <xdr:nvPicPr>
        <xdr:cNvPr id="4193" name="d2616ab4-2f79-4bba-85f0-7a70569a591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6fe2a67dcb7453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4196</xdr:row>
      <xdr:rowOff>19050</xdr:rowOff>
    </xdr:from>
    <xdr:ext cx="1143000" cy="1143000"/>
    <xdr:pic>
      <xdr:nvPicPr>
        <xdr:cNvPr id="4194" name="2ccf297e-6d86-4e86-8ebd-7a34cbfd508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38c035368614b0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4197</xdr:row>
      <xdr:rowOff>19050</xdr:rowOff>
    </xdr:from>
    <xdr:ext cx="1143000" cy="1143000"/>
    <xdr:pic>
      <xdr:nvPicPr>
        <xdr:cNvPr id="4195" name="90983d80-e52b-40eb-a8e1-49e31d4bb05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5e6ae6d51704b6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4198</xdr:row>
      <xdr:rowOff>19050</xdr:rowOff>
    </xdr:from>
    <xdr:ext cx="1143000" cy="1143000"/>
    <xdr:pic>
      <xdr:nvPicPr>
        <xdr:cNvPr id="4196" name="6cc5682b-ba00-4465-ad64-4306ea068c5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2eee2939d3d443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4199</xdr:row>
      <xdr:rowOff>19050</xdr:rowOff>
    </xdr:from>
    <xdr:ext cx="1143000" cy="1143000"/>
    <xdr:pic>
      <xdr:nvPicPr>
        <xdr:cNvPr id="4197" name="fe2948ca-63d2-44cd-aa10-2e227f3ddd5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cf152de778d4e1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4200</xdr:row>
      <xdr:rowOff>19050</xdr:rowOff>
    </xdr:from>
    <xdr:ext cx="1143000" cy="1143000"/>
    <xdr:pic>
      <xdr:nvPicPr>
        <xdr:cNvPr id="4198" name="6233d74c-5f9c-4873-89c0-e2e71f1a650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1defa205eef463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4201</xdr:row>
      <xdr:rowOff>19050</xdr:rowOff>
    </xdr:from>
    <xdr:ext cx="1143000" cy="1143000"/>
    <xdr:pic>
      <xdr:nvPicPr>
        <xdr:cNvPr id="4199" name="839b9232-8065-4928-8af4-204fc602977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d2aaf4cff2e4b8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4202</xdr:row>
      <xdr:rowOff>19050</xdr:rowOff>
    </xdr:from>
    <xdr:ext cx="1143000" cy="1143000"/>
    <xdr:pic>
      <xdr:nvPicPr>
        <xdr:cNvPr id="4200" name="fc27b917-4d58-4601-b871-4d2d6fadddd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e0ce3be8c464b3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4203</xdr:row>
      <xdr:rowOff>19050</xdr:rowOff>
    </xdr:from>
    <xdr:ext cx="1143000" cy="1143000"/>
    <xdr:pic>
      <xdr:nvPicPr>
        <xdr:cNvPr id="4201" name="2775ef8c-28c7-45c9-ac88-37a0ea47017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10cf770e6be45b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4204</xdr:row>
      <xdr:rowOff>19050</xdr:rowOff>
    </xdr:from>
    <xdr:ext cx="1143000" cy="1143000"/>
    <xdr:pic>
      <xdr:nvPicPr>
        <xdr:cNvPr id="4202" name="d54d812a-f154-4030-bd07-fac814aa10a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ec962d6991a4de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4205</xdr:row>
      <xdr:rowOff>19050</xdr:rowOff>
    </xdr:from>
    <xdr:ext cx="1143000" cy="1143000"/>
    <xdr:pic>
      <xdr:nvPicPr>
        <xdr:cNvPr id="4203" name="5b5eed47-ada3-4b0b-87f9-c94049c2cf6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c0b3a0d974b46b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4206</xdr:row>
      <xdr:rowOff>19050</xdr:rowOff>
    </xdr:from>
    <xdr:ext cx="1143000" cy="1143000"/>
    <xdr:pic>
      <xdr:nvPicPr>
        <xdr:cNvPr id="4204" name="a6bd93a7-86d6-4046-a228-0787748886c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878c840e9cf4c0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4207</xdr:row>
      <xdr:rowOff>19050</xdr:rowOff>
    </xdr:from>
    <xdr:ext cx="1143000" cy="1143000"/>
    <xdr:pic>
      <xdr:nvPicPr>
        <xdr:cNvPr id="4205" name="fc9b243f-dfc4-4dbe-bf77-a4bc6c22664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6d8f45e4c14447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4208</xdr:row>
      <xdr:rowOff>19050</xdr:rowOff>
    </xdr:from>
    <xdr:ext cx="1143000" cy="1143000"/>
    <xdr:pic>
      <xdr:nvPicPr>
        <xdr:cNvPr id="4206" name="715340fb-2c09-4557-8ac4-43a3608f46c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91cc8c855e74f0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4209</xdr:row>
      <xdr:rowOff>19050</xdr:rowOff>
    </xdr:from>
    <xdr:ext cx="1143000" cy="1143000"/>
    <xdr:pic>
      <xdr:nvPicPr>
        <xdr:cNvPr id="4207" name="8befc975-cdba-42b9-bfe7-4b7ff55b474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a6f98fffda84fa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4210</xdr:row>
      <xdr:rowOff>19050</xdr:rowOff>
    </xdr:from>
    <xdr:ext cx="1143000" cy="1143000"/>
    <xdr:pic>
      <xdr:nvPicPr>
        <xdr:cNvPr id="4208" name="5d208f9e-8e69-4d15-9936-8c3d7729afc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0cc6ba972ee4da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4211</xdr:row>
      <xdr:rowOff>19050</xdr:rowOff>
    </xdr:from>
    <xdr:ext cx="1143000" cy="1143000"/>
    <xdr:pic>
      <xdr:nvPicPr>
        <xdr:cNvPr id="4209" name="2dcd50fc-240a-436b-b123-2a9fc35f4e5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66d2d4454a640c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4212</xdr:row>
      <xdr:rowOff>19050</xdr:rowOff>
    </xdr:from>
    <xdr:ext cx="1143000" cy="1143000"/>
    <xdr:pic>
      <xdr:nvPicPr>
        <xdr:cNvPr id="4210" name="43e97067-fd24-4578-af17-bd8c07aca4c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3217fe93a25448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4213</xdr:row>
      <xdr:rowOff>19050</xdr:rowOff>
    </xdr:from>
    <xdr:ext cx="1143000" cy="1143000"/>
    <xdr:pic>
      <xdr:nvPicPr>
        <xdr:cNvPr id="4211" name="7e0374fe-2693-414f-8a79-19fb1472354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7be1bde005b49d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4214</xdr:row>
      <xdr:rowOff>19050</xdr:rowOff>
    </xdr:from>
    <xdr:ext cx="1143000" cy="1143000"/>
    <xdr:pic>
      <xdr:nvPicPr>
        <xdr:cNvPr id="4212" name="e0432638-e060-4f20-a8c4-3e3596745be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f879ee8f1d24d4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4215</xdr:row>
      <xdr:rowOff>19050</xdr:rowOff>
    </xdr:from>
    <xdr:ext cx="1143000" cy="1143000"/>
    <xdr:pic>
      <xdr:nvPicPr>
        <xdr:cNvPr id="4213" name="be8de8f7-6ae7-410d-a710-411e41320c2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d4d2e5e385048e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4216</xdr:row>
      <xdr:rowOff>19050</xdr:rowOff>
    </xdr:from>
    <xdr:ext cx="1143000" cy="1143000"/>
    <xdr:pic>
      <xdr:nvPicPr>
        <xdr:cNvPr id="4214" name="da8af200-4f88-48f4-9363-d23e7db2e3c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2e2483389e845e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4217</xdr:row>
      <xdr:rowOff>19050</xdr:rowOff>
    </xdr:from>
    <xdr:ext cx="1143000" cy="1143000"/>
    <xdr:pic>
      <xdr:nvPicPr>
        <xdr:cNvPr id="4215" name="ee627d1b-164c-40dd-b467-f4ee6aeb2e8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f43ee8ed92d48f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4218</xdr:row>
      <xdr:rowOff>19050</xdr:rowOff>
    </xdr:from>
    <xdr:ext cx="1143000" cy="1143000"/>
    <xdr:pic>
      <xdr:nvPicPr>
        <xdr:cNvPr id="4216" name="97d7d2f7-4db8-4aa4-bbdf-4d592ea9964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bdf5ff12b964d5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4219</xdr:row>
      <xdr:rowOff>19050</xdr:rowOff>
    </xdr:from>
    <xdr:ext cx="1143000" cy="1143000"/>
    <xdr:pic>
      <xdr:nvPicPr>
        <xdr:cNvPr id="4217" name="1261aa0d-ece5-42b6-bd6e-41b24ff5413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b58ebe5fe7e4b5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4220</xdr:row>
      <xdr:rowOff>19050</xdr:rowOff>
    </xdr:from>
    <xdr:ext cx="1143000" cy="1143000"/>
    <xdr:pic>
      <xdr:nvPicPr>
        <xdr:cNvPr id="4218" name="bd42daa8-8dd4-4e13-96e7-536e7374966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438a3e8c69549f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4221</xdr:row>
      <xdr:rowOff>19050</xdr:rowOff>
    </xdr:from>
    <xdr:ext cx="1143000" cy="1143000"/>
    <xdr:pic>
      <xdr:nvPicPr>
        <xdr:cNvPr id="4219" name="b900eb0c-5b75-4aeb-ba63-d999871052f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04804c9021847f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4222</xdr:row>
      <xdr:rowOff>19050</xdr:rowOff>
    </xdr:from>
    <xdr:ext cx="1143000" cy="1143000"/>
    <xdr:pic>
      <xdr:nvPicPr>
        <xdr:cNvPr id="4220" name="5f532a91-d7de-464b-8c96-7dca786e0a4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9e007c7876b49d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4223</xdr:row>
      <xdr:rowOff>19050</xdr:rowOff>
    </xdr:from>
    <xdr:ext cx="1143000" cy="1143000"/>
    <xdr:pic>
      <xdr:nvPicPr>
        <xdr:cNvPr id="4221" name="2fdede08-bbe9-48dc-8535-292179a952a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4433f14267241d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4224</xdr:row>
      <xdr:rowOff>19050</xdr:rowOff>
    </xdr:from>
    <xdr:ext cx="1143000" cy="1143000"/>
    <xdr:pic>
      <xdr:nvPicPr>
        <xdr:cNvPr id="4222" name="5906b1cf-2cca-4049-9bd1-3dde2c2dbe6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f251debcff5406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4225</xdr:row>
      <xdr:rowOff>19050</xdr:rowOff>
    </xdr:from>
    <xdr:ext cx="1143000" cy="1143000"/>
    <xdr:pic>
      <xdr:nvPicPr>
        <xdr:cNvPr id="4223" name="4794f0cb-e366-4595-8732-4eea99391e7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ecac876be8f46b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4226</xdr:row>
      <xdr:rowOff>19050</xdr:rowOff>
    </xdr:from>
    <xdr:ext cx="1143000" cy="1143000"/>
    <xdr:pic>
      <xdr:nvPicPr>
        <xdr:cNvPr id="4224" name="854c8ada-c588-45c2-a5d5-e7a6c66dc75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e5164a5d07948a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4227</xdr:row>
      <xdr:rowOff>19050</xdr:rowOff>
    </xdr:from>
    <xdr:ext cx="1143000" cy="1143000"/>
    <xdr:pic>
      <xdr:nvPicPr>
        <xdr:cNvPr id="4225" name="3eb10c37-7696-428f-83ef-af68a20809b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705fd39a76e49b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4228</xdr:row>
      <xdr:rowOff>19050</xdr:rowOff>
    </xdr:from>
    <xdr:ext cx="1143000" cy="1143000"/>
    <xdr:pic>
      <xdr:nvPicPr>
        <xdr:cNvPr id="4226" name="0115e2ed-0a1e-40a7-bb0d-d9acda8784a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374d273f1364fd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4229</xdr:row>
      <xdr:rowOff>19050</xdr:rowOff>
    </xdr:from>
    <xdr:ext cx="1143000" cy="1143000"/>
    <xdr:pic>
      <xdr:nvPicPr>
        <xdr:cNvPr id="4227" name="1d7e3537-048f-4fa1-9203-feefeda7141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7ff69c664474db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4230</xdr:row>
      <xdr:rowOff>19050</xdr:rowOff>
    </xdr:from>
    <xdr:ext cx="1143000" cy="1143000"/>
    <xdr:pic>
      <xdr:nvPicPr>
        <xdr:cNvPr id="4228" name="314724bb-2b43-4a3f-b170-493e54ca515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720c8191031410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4231</xdr:row>
      <xdr:rowOff>19050</xdr:rowOff>
    </xdr:from>
    <xdr:ext cx="1143000" cy="1143000"/>
    <xdr:pic>
      <xdr:nvPicPr>
        <xdr:cNvPr id="4229" name="eda336c3-c79c-47ee-ae24-755563213db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6fa2cf1aee14a8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4232</xdr:row>
      <xdr:rowOff>19050</xdr:rowOff>
    </xdr:from>
    <xdr:ext cx="1143000" cy="1143000"/>
    <xdr:pic>
      <xdr:nvPicPr>
        <xdr:cNvPr id="4230" name="6c7bb850-0176-4123-82a8-16ef0086b6a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855d62b68b5457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4233</xdr:row>
      <xdr:rowOff>19050</xdr:rowOff>
    </xdr:from>
    <xdr:ext cx="1143000" cy="1143000"/>
    <xdr:pic>
      <xdr:nvPicPr>
        <xdr:cNvPr id="4231" name="7a39a167-6acb-43db-a7a4-9d6d0c855ab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4def913de6b411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4234</xdr:row>
      <xdr:rowOff>19050</xdr:rowOff>
    </xdr:from>
    <xdr:ext cx="1143000" cy="1143000"/>
    <xdr:pic>
      <xdr:nvPicPr>
        <xdr:cNvPr id="4232" name="a0bf0753-a488-4c96-9617-127d85b2323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a8c0634c92141e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4235</xdr:row>
      <xdr:rowOff>19050</xdr:rowOff>
    </xdr:from>
    <xdr:ext cx="1143000" cy="1143000"/>
    <xdr:pic>
      <xdr:nvPicPr>
        <xdr:cNvPr id="4233" name="2799c95c-3c9b-48d7-acb6-aa8be2f49cb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213a8d1ee9045d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4236</xdr:row>
      <xdr:rowOff>19050</xdr:rowOff>
    </xdr:from>
    <xdr:ext cx="1143000" cy="1143000"/>
    <xdr:pic>
      <xdr:nvPicPr>
        <xdr:cNvPr id="4234" name="240dcf46-f70a-4f13-9562-7decec15b3c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a1a92614d0f423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4237</xdr:row>
      <xdr:rowOff>19050</xdr:rowOff>
    </xdr:from>
    <xdr:ext cx="1143000" cy="1143000"/>
    <xdr:pic>
      <xdr:nvPicPr>
        <xdr:cNvPr id="4235" name="43d966da-5c22-4933-8e91-27ec97c0d45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a1cee2f4560467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4238</xdr:row>
      <xdr:rowOff>19050</xdr:rowOff>
    </xdr:from>
    <xdr:ext cx="1143000" cy="1143000"/>
    <xdr:pic>
      <xdr:nvPicPr>
        <xdr:cNvPr id="4236" name="f3a7ec52-a487-442e-924e-95de9474ac4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558ea42b4e242f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4239</xdr:row>
      <xdr:rowOff>19050</xdr:rowOff>
    </xdr:from>
    <xdr:ext cx="1143000" cy="1143000"/>
    <xdr:pic>
      <xdr:nvPicPr>
        <xdr:cNvPr id="4237" name="f6d26bd3-3e8d-4aa0-8af7-2cbba9181eb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fc34f1e3a8248d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4240</xdr:row>
      <xdr:rowOff>19050</xdr:rowOff>
    </xdr:from>
    <xdr:ext cx="1143000" cy="1143000"/>
    <xdr:pic>
      <xdr:nvPicPr>
        <xdr:cNvPr id="4238" name="d21214ba-324d-4683-bf2d-5a9596287fd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2823a81d8fb48e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4241</xdr:row>
      <xdr:rowOff>19050</xdr:rowOff>
    </xdr:from>
    <xdr:ext cx="1143000" cy="1143000"/>
    <xdr:pic>
      <xdr:nvPicPr>
        <xdr:cNvPr id="4239" name="bac74965-303b-4d9b-8be0-09668e97379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63e8346f7324f9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4242</xdr:row>
      <xdr:rowOff>19050</xdr:rowOff>
    </xdr:from>
    <xdr:ext cx="1143000" cy="1143000"/>
    <xdr:pic>
      <xdr:nvPicPr>
        <xdr:cNvPr id="4240" name="29adf440-8c77-4d5a-bba4-a3e0bb2ebce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713671a058f482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4243</xdr:row>
      <xdr:rowOff>19050</xdr:rowOff>
    </xdr:from>
    <xdr:ext cx="1143000" cy="1143000"/>
    <xdr:pic>
      <xdr:nvPicPr>
        <xdr:cNvPr id="4241" name="63c35827-2910-4354-8783-4ac13649190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95e950b143a488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4244</xdr:row>
      <xdr:rowOff>19050</xdr:rowOff>
    </xdr:from>
    <xdr:ext cx="1143000" cy="1143000"/>
    <xdr:pic>
      <xdr:nvPicPr>
        <xdr:cNvPr id="4242" name="067af3f4-ed95-4729-99c1-200ab154acb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492008464ec4be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4245</xdr:row>
      <xdr:rowOff>19050</xdr:rowOff>
    </xdr:from>
    <xdr:ext cx="1143000" cy="1143000"/>
    <xdr:pic>
      <xdr:nvPicPr>
        <xdr:cNvPr id="4243" name="3ea3e0bf-0c92-4e0c-b0b1-e4d8832eed6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96f644d772f4c6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4246</xdr:row>
      <xdr:rowOff>19050</xdr:rowOff>
    </xdr:from>
    <xdr:ext cx="1143000" cy="1143000"/>
    <xdr:pic>
      <xdr:nvPicPr>
        <xdr:cNvPr id="4244" name="201e5b80-5765-482d-8028-abb531c3216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7e16d870386448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4247</xdr:row>
      <xdr:rowOff>19050</xdr:rowOff>
    </xdr:from>
    <xdr:ext cx="1143000" cy="1143000"/>
    <xdr:pic>
      <xdr:nvPicPr>
        <xdr:cNvPr id="4245" name="ab617588-b4c6-466e-9e0d-5ec6ef88152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da285b6a0f6476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4248</xdr:row>
      <xdr:rowOff>19050</xdr:rowOff>
    </xdr:from>
    <xdr:ext cx="1143000" cy="1143000"/>
    <xdr:pic>
      <xdr:nvPicPr>
        <xdr:cNvPr id="4246" name="dd60d996-3e7b-40bb-92d4-9ee7b7599f8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bbde9ae60a746e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4249</xdr:row>
      <xdr:rowOff>19050</xdr:rowOff>
    </xdr:from>
    <xdr:ext cx="1143000" cy="1143000"/>
    <xdr:pic>
      <xdr:nvPicPr>
        <xdr:cNvPr id="4247" name="85c26453-8e4a-4469-a8eb-4c24904659b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2e6d1fdc6ad4ab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4250</xdr:row>
      <xdr:rowOff>19050</xdr:rowOff>
    </xdr:from>
    <xdr:ext cx="1143000" cy="1143000"/>
    <xdr:pic>
      <xdr:nvPicPr>
        <xdr:cNvPr id="4248" name="cab8057f-6dbf-49c2-8a4a-05e26001913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bde57087492435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4251</xdr:row>
      <xdr:rowOff>19050</xdr:rowOff>
    </xdr:from>
    <xdr:ext cx="1143000" cy="1143000"/>
    <xdr:pic>
      <xdr:nvPicPr>
        <xdr:cNvPr id="4249" name="fe278f45-b3aa-4de8-b793-6e03703b242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e36ff04df6c460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4252</xdr:row>
      <xdr:rowOff>19050</xdr:rowOff>
    </xdr:from>
    <xdr:ext cx="1143000" cy="1143000"/>
    <xdr:pic>
      <xdr:nvPicPr>
        <xdr:cNvPr id="4250" name="f23fec3b-a1b9-4781-af68-6f8ccbe2cc2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8d905d7db1648d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4253</xdr:row>
      <xdr:rowOff>19050</xdr:rowOff>
    </xdr:from>
    <xdr:ext cx="1143000" cy="1143000"/>
    <xdr:pic>
      <xdr:nvPicPr>
        <xdr:cNvPr id="4251" name="5112a80d-6103-4c06-a313-a78c7ae598f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c3c7b960f0b4ac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4254</xdr:row>
      <xdr:rowOff>19050</xdr:rowOff>
    </xdr:from>
    <xdr:ext cx="1143000" cy="1143000"/>
    <xdr:pic>
      <xdr:nvPicPr>
        <xdr:cNvPr id="4252" name="a49f9b1a-dd4b-4202-8dbb-c69aad8d0ef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0f5ae49f396491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4255</xdr:row>
      <xdr:rowOff>19050</xdr:rowOff>
    </xdr:from>
    <xdr:ext cx="1143000" cy="1143000"/>
    <xdr:pic>
      <xdr:nvPicPr>
        <xdr:cNvPr id="4253" name="6ebfe73d-2ef3-44f8-9881-7144efe776d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1829a398f70454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4256</xdr:row>
      <xdr:rowOff>19050</xdr:rowOff>
    </xdr:from>
    <xdr:ext cx="1143000" cy="1143000"/>
    <xdr:pic>
      <xdr:nvPicPr>
        <xdr:cNvPr id="4254" name="347da7e7-13f4-42df-8eed-e943447425d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cabbc6af056482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4257</xdr:row>
      <xdr:rowOff>19050</xdr:rowOff>
    </xdr:from>
    <xdr:ext cx="1143000" cy="1143000"/>
    <xdr:pic>
      <xdr:nvPicPr>
        <xdr:cNvPr id="4255" name="c12eaf23-1468-4460-95fa-a31e8260fa5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24f7c9843874c8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4258</xdr:row>
      <xdr:rowOff>19050</xdr:rowOff>
    </xdr:from>
    <xdr:ext cx="1143000" cy="1143000"/>
    <xdr:pic>
      <xdr:nvPicPr>
        <xdr:cNvPr id="4256" name="ca90ffd6-fe2b-408f-925f-1256323f1ae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3cdc38599f948a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4259</xdr:row>
      <xdr:rowOff>19050</xdr:rowOff>
    </xdr:from>
    <xdr:ext cx="1143000" cy="1143000"/>
    <xdr:pic>
      <xdr:nvPicPr>
        <xdr:cNvPr id="4257" name="ed175aa8-bd06-4735-8807-4d624d188cb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892498f11df447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4260</xdr:row>
      <xdr:rowOff>19050</xdr:rowOff>
    </xdr:from>
    <xdr:ext cx="1143000" cy="1143000"/>
    <xdr:pic>
      <xdr:nvPicPr>
        <xdr:cNvPr id="4258" name="2b0c9cb8-5516-4e8d-a721-146294a9dac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d844aa95773435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4261</xdr:row>
      <xdr:rowOff>19050</xdr:rowOff>
    </xdr:from>
    <xdr:ext cx="1143000" cy="1143000"/>
    <xdr:pic>
      <xdr:nvPicPr>
        <xdr:cNvPr id="4259" name="31f2c161-eda1-416b-be80-b3194c9b648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f991d1b912d44b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4262</xdr:row>
      <xdr:rowOff>19050</xdr:rowOff>
    </xdr:from>
    <xdr:ext cx="1143000" cy="1143000"/>
    <xdr:pic>
      <xdr:nvPicPr>
        <xdr:cNvPr id="4260" name="ca710944-d45a-4898-abfd-7e9db81fe60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f74bfca890a47b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4263</xdr:row>
      <xdr:rowOff>19050</xdr:rowOff>
    </xdr:from>
    <xdr:ext cx="1143000" cy="1143000"/>
    <xdr:pic>
      <xdr:nvPicPr>
        <xdr:cNvPr id="4261" name="5c1c3fda-1c71-4e23-8968-eebc2a6c5cb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c0dc71f546d4d3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4264</xdr:row>
      <xdr:rowOff>19050</xdr:rowOff>
    </xdr:from>
    <xdr:ext cx="1143000" cy="1143000"/>
    <xdr:pic>
      <xdr:nvPicPr>
        <xdr:cNvPr id="4262" name="f2bc16fb-ce6c-48b8-a651-20581412e4c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f71ab1b052a4aa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4265</xdr:row>
      <xdr:rowOff>19050</xdr:rowOff>
    </xdr:from>
    <xdr:ext cx="1143000" cy="1143000"/>
    <xdr:pic>
      <xdr:nvPicPr>
        <xdr:cNvPr id="4263" name="09844c23-79ad-41f3-9b68-339e45a41ec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9dc0108ee294dd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4266</xdr:row>
      <xdr:rowOff>19050</xdr:rowOff>
    </xdr:from>
    <xdr:ext cx="1143000" cy="1143000"/>
    <xdr:pic>
      <xdr:nvPicPr>
        <xdr:cNvPr id="4264" name="07317a29-351c-4f99-b39d-fee748a7d36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390044e8a87431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4267</xdr:row>
      <xdr:rowOff>19050</xdr:rowOff>
    </xdr:from>
    <xdr:ext cx="1143000" cy="1143000"/>
    <xdr:pic>
      <xdr:nvPicPr>
        <xdr:cNvPr id="4265" name="d00b552d-b01e-4c2f-a5cd-0689d12a2ce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8dd85ffdd4244a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4268</xdr:row>
      <xdr:rowOff>19050</xdr:rowOff>
    </xdr:from>
    <xdr:ext cx="1143000" cy="1143000"/>
    <xdr:pic>
      <xdr:nvPicPr>
        <xdr:cNvPr id="4266" name="44a4de64-2925-4782-930b-1be6d33ea1c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da6f0b468fd47b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4269</xdr:row>
      <xdr:rowOff>19050</xdr:rowOff>
    </xdr:from>
    <xdr:ext cx="1143000" cy="1143000"/>
    <xdr:pic>
      <xdr:nvPicPr>
        <xdr:cNvPr id="4267" name="9e63cd83-c082-4dbf-8188-756812cda9c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be3a485279649d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4270</xdr:row>
      <xdr:rowOff>19050</xdr:rowOff>
    </xdr:from>
    <xdr:ext cx="1143000" cy="1143000"/>
    <xdr:pic>
      <xdr:nvPicPr>
        <xdr:cNvPr id="4268" name="86dbc699-0141-429e-9056-9eb42e95d3e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eb1bdab65e04c8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4271</xdr:row>
      <xdr:rowOff>19050</xdr:rowOff>
    </xdr:from>
    <xdr:ext cx="1143000" cy="1143000"/>
    <xdr:pic>
      <xdr:nvPicPr>
        <xdr:cNvPr id="4269" name="58ac8626-b3ac-476b-a86f-cd984e069ab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3f5ad7ea2a94e9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4272</xdr:row>
      <xdr:rowOff>19050</xdr:rowOff>
    </xdr:from>
    <xdr:ext cx="1143000" cy="1143000"/>
    <xdr:pic>
      <xdr:nvPicPr>
        <xdr:cNvPr id="4270" name="a16cfd80-406c-4fe9-beac-53712b666e6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f4cc25370884c8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4273</xdr:row>
      <xdr:rowOff>19050</xdr:rowOff>
    </xdr:from>
    <xdr:ext cx="1143000" cy="1143000"/>
    <xdr:pic>
      <xdr:nvPicPr>
        <xdr:cNvPr id="4271" name="76d8ad7f-344b-4606-9188-596996f487f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f5864243a8f4b1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4274</xdr:row>
      <xdr:rowOff>19050</xdr:rowOff>
    </xdr:from>
    <xdr:ext cx="1143000" cy="1143000"/>
    <xdr:pic>
      <xdr:nvPicPr>
        <xdr:cNvPr id="4272" name="f1ccddab-870d-43db-ad48-0cd062b341f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e4d8f05ae834fc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4275</xdr:row>
      <xdr:rowOff>19050</xdr:rowOff>
    </xdr:from>
    <xdr:ext cx="1143000" cy="1143000"/>
    <xdr:pic>
      <xdr:nvPicPr>
        <xdr:cNvPr id="4273" name="69b3695f-eea2-45e6-8251-78026e10bcb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a5493558c4349e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4276</xdr:row>
      <xdr:rowOff>19050</xdr:rowOff>
    </xdr:from>
    <xdr:ext cx="1143000" cy="1143000"/>
    <xdr:pic>
      <xdr:nvPicPr>
        <xdr:cNvPr id="4274" name="aa402e15-d859-4994-945e-3b8be72cdca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d53b70a78124f1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4277</xdr:row>
      <xdr:rowOff>19050</xdr:rowOff>
    </xdr:from>
    <xdr:ext cx="1143000" cy="1143000"/>
    <xdr:pic>
      <xdr:nvPicPr>
        <xdr:cNvPr id="4275" name="d844792b-0695-4748-b92c-c94b6315996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261297c0355418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4278</xdr:row>
      <xdr:rowOff>19050</xdr:rowOff>
    </xdr:from>
    <xdr:ext cx="1143000" cy="1143000"/>
    <xdr:pic>
      <xdr:nvPicPr>
        <xdr:cNvPr id="4276" name="d0bf6fb1-a8a0-4664-8710-fde8436bdd6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8c29d04717e449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4279</xdr:row>
      <xdr:rowOff>19050</xdr:rowOff>
    </xdr:from>
    <xdr:ext cx="1143000" cy="1143000"/>
    <xdr:pic>
      <xdr:nvPicPr>
        <xdr:cNvPr id="4277" name="70b975ba-e2f0-4ea9-a23c-4e6c3f5036d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92727114c774c0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4280</xdr:row>
      <xdr:rowOff>19050</xdr:rowOff>
    </xdr:from>
    <xdr:ext cx="1143000" cy="1143000"/>
    <xdr:pic>
      <xdr:nvPicPr>
        <xdr:cNvPr id="4278" name="7405ac22-de6d-4216-a928-aa4d323dded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2ac7e7439fb4c4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4281</xdr:row>
      <xdr:rowOff>19050</xdr:rowOff>
    </xdr:from>
    <xdr:ext cx="1143000" cy="1143000"/>
    <xdr:pic>
      <xdr:nvPicPr>
        <xdr:cNvPr id="4279" name="43966c69-914c-430d-a27e-05c9bd2dfa6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b4dfcc2a503406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4282</xdr:row>
      <xdr:rowOff>19050</xdr:rowOff>
    </xdr:from>
    <xdr:ext cx="1143000" cy="1143000"/>
    <xdr:pic>
      <xdr:nvPicPr>
        <xdr:cNvPr id="4280" name="02e2c522-b6e1-46ba-80b7-254ebb3f51f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4ad5a3089c8460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4283</xdr:row>
      <xdr:rowOff>19050</xdr:rowOff>
    </xdr:from>
    <xdr:ext cx="1143000" cy="1143000"/>
    <xdr:pic>
      <xdr:nvPicPr>
        <xdr:cNvPr id="4281" name="a3b034b0-f0dc-4060-80fa-dc3a7600572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799537614d644e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4284</xdr:row>
      <xdr:rowOff>19050</xdr:rowOff>
    </xdr:from>
    <xdr:ext cx="1143000" cy="1143000"/>
    <xdr:pic>
      <xdr:nvPicPr>
        <xdr:cNvPr id="4282" name="38225b53-346a-4ef0-9de9-6139ddb5fc7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7955eae2be743a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4285</xdr:row>
      <xdr:rowOff>19050</xdr:rowOff>
    </xdr:from>
    <xdr:ext cx="1143000" cy="1143000"/>
    <xdr:pic>
      <xdr:nvPicPr>
        <xdr:cNvPr id="4283" name="94281717-fd99-480f-b25c-1ef84e0d11b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daa4d435ee5463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4286</xdr:row>
      <xdr:rowOff>19050</xdr:rowOff>
    </xdr:from>
    <xdr:ext cx="1143000" cy="1143000"/>
    <xdr:pic>
      <xdr:nvPicPr>
        <xdr:cNvPr id="4284" name="a3276172-df96-419f-bb72-93ddd61274e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1bac96815f2498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4287</xdr:row>
      <xdr:rowOff>19050</xdr:rowOff>
    </xdr:from>
    <xdr:ext cx="1143000" cy="1143000"/>
    <xdr:pic>
      <xdr:nvPicPr>
        <xdr:cNvPr id="4285" name="c5109488-ac23-4941-9b41-326a909a16d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9d7ee79ad08412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4288</xdr:row>
      <xdr:rowOff>19050</xdr:rowOff>
    </xdr:from>
    <xdr:ext cx="1143000" cy="1143000"/>
    <xdr:pic>
      <xdr:nvPicPr>
        <xdr:cNvPr id="4286" name="d73b75c5-ed21-4086-b10c-d6fd0114878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c6e3ce75adf419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4289</xdr:row>
      <xdr:rowOff>19050</xdr:rowOff>
    </xdr:from>
    <xdr:ext cx="1143000" cy="1143000"/>
    <xdr:pic>
      <xdr:nvPicPr>
        <xdr:cNvPr id="4287" name="8e5826fc-aa0f-4d9f-a167-cef3495dce3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87989232d01469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4290</xdr:row>
      <xdr:rowOff>19050</xdr:rowOff>
    </xdr:from>
    <xdr:ext cx="1143000" cy="1143000"/>
    <xdr:pic>
      <xdr:nvPicPr>
        <xdr:cNvPr id="4288" name="8d6f1e3c-bb9b-47bb-bc22-a85408d406d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30e794cab8d48c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4291</xdr:row>
      <xdr:rowOff>19050</xdr:rowOff>
    </xdr:from>
    <xdr:ext cx="1143000" cy="1143000"/>
    <xdr:pic>
      <xdr:nvPicPr>
        <xdr:cNvPr id="4289" name="fa736d5c-140b-4e5a-8c11-a668e7e7fd0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c72e97968ff4b5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4292</xdr:row>
      <xdr:rowOff>19050</xdr:rowOff>
    </xdr:from>
    <xdr:ext cx="1143000" cy="1143000"/>
    <xdr:pic>
      <xdr:nvPicPr>
        <xdr:cNvPr id="4290" name="123a30fa-696a-4547-8fd0-64a7ebdfc48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c4409874642434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4293</xdr:row>
      <xdr:rowOff>19050</xdr:rowOff>
    </xdr:from>
    <xdr:ext cx="1143000" cy="1143000"/>
    <xdr:pic>
      <xdr:nvPicPr>
        <xdr:cNvPr id="4291" name="ed588de0-e9e3-4305-9835-a10517e5ddf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83689f648414e7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4294</xdr:row>
      <xdr:rowOff>19050</xdr:rowOff>
    </xdr:from>
    <xdr:ext cx="1143000" cy="1143000"/>
    <xdr:pic>
      <xdr:nvPicPr>
        <xdr:cNvPr id="4292" name="4001788c-f56e-4752-81de-a7ffa1ecabe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93a8f1de1fa4b2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4295</xdr:row>
      <xdr:rowOff>19050</xdr:rowOff>
    </xdr:from>
    <xdr:ext cx="1143000" cy="1143000"/>
    <xdr:pic>
      <xdr:nvPicPr>
        <xdr:cNvPr id="4293" name="1d830cd4-7517-4c52-9508-9a2a28d753e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ca90d240dfd4bf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4296</xdr:row>
      <xdr:rowOff>19050</xdr:rowOff>
    </xdr:from>
    <xdr:ext cx="1143000" cy="1143000"/>
    <xdr:pic>
      <xdr:nvPicPr>
        <xdr:cNvPr id="4294" name="a2928bfb-0686-4d6b-8a1d-a5ccf588c55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c1ccd77959a4c8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4297</xdr:row>
      <xdr:rowOff>19050</xdr:rowOff>
    </xdr:from>
    <xdr:ext cx="1143000" cy="1143000"/>
    <xdr:pic>
      <xdr:nvPicPr>
        <xdr:cNvPr id="4295" name="6af48a73-4d95-4b02-8af1-12c73ad6431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87fbbf3b4c443e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4298</xdr:row>
      <xdr:rowOff>19050</xdr:rowOff>
    </xdr:from>
    <xdr:ext cx="1143000" cy="1143000"/>
    <xdr:pic>
      <xdr:nvPicPr>
        <xdr:cNvPr id="4296" name="ac48b546-0beb-4e82-af0f-b9698dd7b2a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f6ce99877fc4e5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4299</xdr:row>
      <xdr:rowOff>19050</xdr:rowOff>
    </xdr:from>
    <xdr:ext cx="1143000" cy="1143000"/>
    <xdr:pic>
      <xdr:nvPicPr>
        <xdr:cNvPr id="4297" name="b393320a-8a2d-43e5-9a9c-c473cb64250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b8131228cf8497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4300</xdr:row>
      <xdr:rowOff>19050</xdr:rowOff>
    </xdr:from>
    <xdr:ext cx="1143000" cy="1143000"/>
    <xdr:pic>
      <xdr:nvPicPr>
        <xdr:cNvPr id="4298" name="5f3915a5-6464-40f3-bcd7-4c6a66637bd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91791d9fc194dd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4301</xdr:row>
      <xdr:rowOff>19050</xdr:rowOff>
    </xdr:from>
    <xdr:ext cx="1143000" cy="1143000"/>
    <xdr:pic>
      <xdr:nvPicPr>
        <xdr:cNvPr id="4299" name="818e4cee-1aca-47df-a16f-01da5f53093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25a8a1c286b4e0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4302</xdr:row>
      <xdr:rowOff>19050</xdr:rowOff>
    </xdr:from>
    <xdr:ext cx="1143000" cy="1143000"/>
    <xdr:pic>
      <xdr:nvPicPr>
        <xdr:cNvPr id="4300" name="082e5c0c-442b-44fe-95ee-16199e887ad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d5af0f4d98f4ed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4303</xdr:row>
      <xdr:rowOff>19050</xdr:rowOff>
    </xdr:from>
    <xdr:ext cx="1143000" cy="1143000"/>
    <xdr:pic>
      <xdr:nvPicPr>
        <xdr:cNvPr id="4301" name="4e972596-4e76-4b54-9cc4-ce924f55bb2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f17834912de415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4304</xdr:row>
      <xdr:rowOff>19050</xdr:rowOff>
    </xdr:from>
    <xdr:ext cx="1143000" cy="1143000"/>
    <xdr:pic>
      <xdr:nvPicPr>
        <xdr:cNvPr id="4302" name="ba1d4e65-8cdd-4910-b796-f295cf171bb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56088c8136b42f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4305</xdr:row>
      <xdr:rowOff>19050</xdr:rowOff>
    </xdr:from>
    <xdr:ext cx="1143000" cy="1143000"/>
    <xdr:pic>
      <xdr:nvPicPr>
        <xdr:cNvPr id="4303" name="39c45149-027f-4e3d-81aa-0470fc096f2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91cd20f1204429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4306</xdr:row>
      <xdr:rowOff>19050</xdr:rowOff>
    </xdr:from>
    <xdr:ext cx="1143000" cy="1143000"/>
    <xdr:pic>
      <xdr:nvPicPr>
        <xdr:cNvPr id="4304" name="76b4699d-8d21-4504-8100-ed77d05bc1e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a586e2b185845b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4307</xdr:row>
      <xdr:rowOff>19050</xdr:rowOff>
    </xdr:from>
    <xdr:ext cx="1143000" cy="1143000"/>
    <xdr:pic>
      <xdr:nvPicPr>
        <xdr:cNvPr id="4305" name="054e8e96-38f1-4f02-bceb-a7b0d66948a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d9e37b65bd347c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4308</xdr:row>
      <xdr:rowOff>19050</xdr:rowOff>
    </xdr:from>
    <xdr:ext cx="1143000" cy="1143000"/>
    <xdr:pic>
      <xdr:nvPicPr>
        <xdr:cNvPr id="4306" name="374b649d-6785-418c-906f-e6d0b0ff0aa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6e0e309f466456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4309</xdr:row>
      <xdr:rowOff>19050</xdr:rowOff>
    </xdr:from>
    <xdr:ext cx="1143000" cy="1143000"/>
    <xdr:pic>
      <xdr:nvPicPr>
        <xdr:cNvPr id="4307" name="99f9c7c8-7328-402c-a136-452b5666b4b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9cedfac5040477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4310</xdr:row>
      <xdr:rowOff>19050</xdr:rowOff>
    </xdr:from>
    <xdr:ext cx="1143000" cy="1143000"/>
    <xdr:pic>
      <xdr:nvPicPr>
        <xdr:cNvPr id="4308" name="0b7a0ee8-aa06-4fb0-9afe-63ce0c2d1b7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4e16693bf84448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4311</xdr:row>
      <xdr:rowOff>19050</xdr:rowOff>
    </xdr:from>
    <xdr:ext cx="1143000" cy="1143000"/>
    <xdr:pic>
      <xdr:nvPicPr>
        <xdr:cNvPr id="4309" name="d020148e-b649-4b64-bc20-136775501d9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1603f9ec31c47e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4312</xdr:row>
      <xdr:rowOff>19050</xdr:rowOff>
    </xdr:from>
    <xdr:ext cx="1143000" cy="1143000"/>
    <xdr:pic>
      <xdr:nvPicPr>
        <xdr:cNvPr id="4310" name="aa6aff79-07de-49b2-a011-d3793093a67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f0867a5aa1f479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4313</xdr:row>
      <xdr:rowOff>19050</xdr:rowOff>
    </xdr:from>
    <xdr:ext cx="1143000" cy="1143000"/>
    <xdr:pic>
      <xdr:nvPicPr>
        <xdr:cNvPr id="4311" name="0ef0e644-149e-41ee-aa88-b2a43f60d00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9f909cc8194438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4314</xdr:row>
      <xdr:rowOff>19050</xdr:rowOff>
    </xdr:from>
    <xdr:ext cx="1143000" cy="1143000"/>
    <xdr:pic>
      <xdr:nvPicPr>
        <xdr:cNvPr id="4312" name="399b5e17-4cb2-4052-8d36-450250fe543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fef0cb6392046e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4315</xdr:row>
      <xdr:rowOff>19050</xdr:rowOff>
    </xdr:from>
    <xdr:ext cx="1143000" cy="1143000"/>
    <xdr:pic>
      <xdr:nvPicPr>
        <xdr:cNvPr id="4313" name="bd7f7bfd-b98b-4615-abf3-398c2743cd9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08f83b51a7d40e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4316</xdr:row>
      <xdr:rowOff>19050</xdr:rowOff>
    </xdr:from>
    <xdr:ext cx="1143000" cy="1143000"/>
    <xdr:pic>
      <xdr:nvPicPr>
        <xdr:cNvPr id="4314" name="89b02132-ba51-42c1-a71c-d97f985a04b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5a289d877324f6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4317</xdr:row>
      <xdr:rowOff>19050</xdr:rowOff>
    </xdr:from>
    <xdr:ext cx="1143000" cy="1143000"/>
    <xdr:pic>
      <xdr:nvPicPr>
        <xdr:cNvPr id="4315" name="ae4f472a-3330-4497-a8cf-1accaaa6b12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e97bc76def64bb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4318</xdr:row>
      <xdr:rowOff>19050</xdr:rowOff>
    </xdr:from>
    <xdr:ext cx="1143000" cy="1143000"/>
    <xdr:pic>
      <xdr:nvPicPr>
        <xdr:cNvPr id="4316" name="b5ef411a-521e-4494-b7d2-970ced8c10a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145813555f8435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4319</xdr:row>
      <xdr:rowOff>19050</xdr:rowOff>
    </xdr:from>
    <xdr:ext cx="1143000" cy="1143000"/>
    <xdr:pic>
      <xdr:nvPicPr>
        <xdr:cNvPr id="4317" name="abfea79b-7461-4a7b-bc90-f9fcc8184fc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cca9d9954e1439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4320</xdr:row>
      <xdr:rowOff>19050</xdr:rowOff>
    </xdr:from>
    <xdr:ext cx="1143000" cy="1143000"/>
    <xdr:pic>
      <xdr:nvPicPr>
        <xdr:cNvPr id="4318" name="b727111d-8b62-4457-8a2a-95b2b704f5f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c78eb6cbf8a41f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4321</xdr:row>
      <xdr:rowOff>19050</xdr:rowOff>
    </xdr:from>
    <xdr:ext cx="1143000" cy="1143000"/>
    <xdr:pic>
      <xdr:nvPicPr>
        <xdr:cNvPr id="4319" name="284cf5df-f3da-48c6-85f6-1cda6147e47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55c0a1e92b444a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4322</xdr:row>
      <xdr:rowOff>19050</xdr:rowOff>
    </xdr:from>
    <xdr:ext cx="1143000" cy="1143000"/>
    <xdr:pic>
      <xdr:nvPicPr>
        <xdr:cNvPr id="4320" name="89584163-36f5-4c49-9a8b-671354e8461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6e15b056be148d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4323</xdr:row>
      <xdr:rowOff>19050</xdr:rowOff>
    </xdr:from>
    <xdr:ext cx="1143000" cy="1143000"/>
    <xdr:pic>
      <xdr:nvPicPr>
        <xdr:cNvPr id="4321" name="7aca9829-d85f-42d9-87e5-49242724c15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c891af21a60437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4324</xdr:row>
      <xdr:rowOff>19050</xdr:rowOff>
    </xdr:from>
    <xdr:ext cx="1143000" cy="1143000"/>
    <xdr:pic>
      <xdr:nvPicPr>
        <xdr:cNvPr id="4322" name="0e4f1aac-3d9b-4c47-b36c-b2b9f069513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9103272517a489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4325</xdr:row>
      <xdr:rowOff>19050</xdr:rowOff>
    </xdr:from>
    <xdr:ext cx="1143000" cy="1143000"/>
    <xdr:pic>
      <xdr:nvPicPr>
        <xdr:cNvPr id="4323" name="e7867e8e-35be-4b4e-bfb9-1e2ae8a8953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0b2b8b86f88404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4326</xdr:row>
      <xdr:rowOff>19050</xdr:rowOff>
    </xdr:from>
    <xdr:ext cx="1143000" cy="1143000"/>
    <xdr:pic>
      <xdr:nvPicPr>
        <xdr:cNvPr id="4324" name="f5d652d2-fc08-4abf-9cd7-5237f98d653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718bc49ea59442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4327</xdr:row>
      <xdr:rowOff>19050</xdr:rowOff>
    </xdr:from>
    <xdr:ext cx="1143000" cy="1143000"/>
    <xdr:pic>
      <xdr:nvPicPr>
        <xdr:cNvPr id="4325" name="4b9f5fcd-429c-44e6-8089-d929e44d30f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520d19301f84bb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4328</xdr:row>
      <xdr:rowOff>19050</xdr:rowOff>
    </xdr:from>
    <xdr:ext cx="1143000" cy="1143000"/>
    <xdr:pic>
      <xdr:nvPicPr>
        <xdr:cNvPr id="4326" name="dc23b70e-0ea6-4a4a-b7f7-a342b634f82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4ec4ae85da8425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4329</xdr:row>
      <xdr:rowOff>19050</xdr:rowOff>
    </xdr:from>
    <xdr:ext cx="1143000" cy="1143000"/>
    <xdr:pic>
      <xdr:nvPicPr>
        <xdr:cNvPr id="4327" name="33509996-6ffc-46fb-95a5-56ec4232f3e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d99b302bb474bb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4330</xdr:row>
      <xdr:rowOff>19050</xdr:rowOff>
    </xdr:from>
    <xdr:ext cx="1143000" cy="1143000"/>
    <xdr:pic>
      <xdr:nvPicPr>
        <xdr:cNvPr id="4328" name="9bf709df-6ac4-491f-be40-324cc296477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05897414103406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4331</xdr:row>
      <xdr:rowOff>19050</xdr:rowOff>
    </xdr:from>
    <xdr:ext cx="1143000" cy="1143000"/>
    <xdr:pic>
      <xdr:nvPicPr>
        <xdr:cNvPr id="4329" name="0b944a25-e611-4476-ae05-969ce2f09f2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d5dc75ce8aa403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4332</xdr:row>
      <xdr:rowOff>19050</xdr:rowOff>
    </xdr:from>
    <xdr:ext cx="1143000" cy="1143000"/>
    <xdr:pic>
      <xdr:nvPicPr>
        <xdr:cNvPr id="4330" name="a71a0e2c-6393-41b6-9001-b6bfa84e5ba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b513ae552c7422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4333</xdr:row>
      <xdr:rowOff>19050</xdr:rowOff>
    </xdr:from>
    <xdr:ext cx="1143000" cy="1143000"/>
    <xdr:pic>
      <xdr:nvPicPr>
        <xdr:cNvPr id="4331" name="6ff782d1-b056-4f00-a2dd-968b86dc33c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8421e5afa454ff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4334</xdr:row>
      <xdr:rowOff>19050</xdr:rowOff>
    </xdr:from>
    <xdr:ext cx="1143000" cy="1143000"/>
    <xdr:pic>
      <xdr:nvPicPr>
        <xdr:cNvPr id="4332" name="dda9ff79-1095-4921-b26a-87279f45b26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51d2d1a3b054c5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4335</xdr:row>
      <xdr:rowOff>19050</xdr:rowOff>
    </xdr:from>
    <xdr:ext cx="1143000" cy="1143000"/>
    <xdr:pic>
      <xdr:nvPicPr>
        <xdr:cNvPr id="4333" name="b555a815-5bd7-4025-b2fd-2a54b0dc68e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2c1d6c40316439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4336</xdr:row>
      <xdr:rowOff>19050</xdr:rowOff>
    </xdr:from>
    <xdr:ext cx="1143000" cy="1143000"/>
    <xdr:pic>
      <xdr:nvPicPr>
        <xdr:cNvPr id="4334" name="39d376e5-c663-4197-b083-01d393440e7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d0fb5a803ce42e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4337</xdr:row>
      <xdr:rowOff>19050</xdr:rowOff>
    </xdr:from>
    <xdr:ext cx="1143000" cy="1143000"/>
    <xdr:pic>
      <xdr:nvPicPr>
        <xdr:cNvPr id="4335" name="e8f3aacb-2259-4918-9b09-ab26b0dfcb8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319bd91059f4e9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4338</xdr:row>
      <xdr:rowOff>19050</xdr:rowOff>
    </xdr:from>
    <xdr:ext cx="1143000" cy="1143000"/>
    <xdr:pic>
      <xdr:nvPicPr>
        <xdr:cNvPr id="4336" name="b5b034e6-d558-471c-814f-7af63a62de2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280d40c9366460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4339</xdr:row>
      <xdr:rowOff>19050</xdr:rowOff>
    </xdr:from>
    <xdr:ext cx="1143000" cy="1143000"/>
    <xdr:pic>
      <xdr:nvPicPr>
        <xdr:cNvPr id="4337" name="6ffc0812-164f-4246-b1f9-4bf2ad33fec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94dc03460cc431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4340</xdr:row>
      <xdr:rowOff>19050</xdr:rowOff>
    </xdr:from>
    <xdr:ext cx="1143000" cy="1143000"/>
    <xdr:pic>
      <xdr:nvPicPr>
        <xdr:cNvPr id="4338" name="1d5ca3a3-cb3a-4a2e-af55-0a32e147323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f635a7fa4154bb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4341</xdr:row>
      <xdr:rowOff>19050</xdr:rowOff>
    </xdr:from>
    <xdr:ext cx="1143000" cy="1143000"/>
    <xdr:pic>
      <xdr:nvPicPr>
        <xdr:cNvPr id="4339" name="4145f2d5-c7c9-4f67-9cec-8c2757d5f47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3111103ab52495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4342</xdr:row>
      <xdr:rowOff>19050</xdr:rowOff>
    </xdr:from>
    <xdr:ext cx="1143000" cy="1143000"/>
    <xdr:pic>
      <xdr:nvPicPr>
        <xdr:cNvPr id="4340" name="26e9aa1f-e141-4dd5-a8e3-4ce1e3ee203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f2fdb35325d454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4343</xdr:row>
      <xdr:rowOff>19050</xdr:rowOff>
    </xdr:from>
    <xdr:ext cx="1143000" cy="1143000"/>
    <xdr:pic>
      <xdr:nvPicPr>
        <xdr:cNvPr id="4341" name="c2606dbf-3988-4689-a9c9-8909ebbb618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738ed7dfbc5496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4344</xdr:row>
      <xdr:rowOff>19050</xdr:rowOff>
    </xdr:from>
    <xdr:ext cx="1143000" cy="1143000"/>
    <xdr:pic>
      <xdr:nvPicPr>
        <xdr:cNvPr id="4342" name="99acd973-0729-4c12-9fbb-0cac15c3215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e93c21e3ceb47d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4345</xdr:row>
      <xdr:rowOff>19050</xdr:rowOff>
    </xdr:from>
    <xdr:ext cx="1143000" cy="1143000"/>
    <xdr:pic>
      <xdr:nvPicPr>
        <xdr:cNvPr id="4343" name="59ff5c61-6cfc-416f-b63c-90a9d8de6e2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3a749ea018f42e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4346</xdr:row>
      <xdr:rowOff>19050</xdr:rowOff>
    </xdr:from>
    <xdr:ext cx="1143000" cy="1143000"/>
    <xdr:pic>
      <xdr:nvPicPr>
        <xdr:cNvPr id="4344" name="aa885f5b-2a4a-4d7c-818b-5a79dea700f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650a79d9a7b465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4347</xdr:row>
      <xdr:rowOff>19050</xdr:rowOff>
    </xdr:from>
    <xdr:ext cx="1143000" cy="1143000"/>
    <xdr:pic>
      <xdr:nvPicPr>
        <xdr:cNvPr id="4345" name="2651ef07-b91c-4473-a797-aa9e4029b30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24e82b6ce7d41c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4348</xdr:row>
      <xdr:rowOff>19050</xdr:rowOff>
    </xdr:from>
    <xdr:ext cx="1143000" cy="1143000"/>
    <xdr:pic>
      <xdr:nvPicPr>
        <xdr:cNvPr id="4346" name="67ce9e23-656a-4bab-ad00-1db5a5ea19c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9721ea351b84cf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4349</xdr:row>
      <xdr:rowOff>19050</xdr:rowOff>
    </xdr:from>
    <xdr:ext cx="1143000" cy="1143000"/>
    <xdr:pic>
      <xdr:nvPicPr>
        <xdr:cNvPr id="4347" name="88593077-a11d-4cc1-9260-bba857560df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e319210c2044c5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4350</xdr:row>
      <xdr:rowOff>19050</xdr:rowOff>
    </xdr:from>
    <xdr:ext cx="1143000" cy="1143000"/>
    <xdr:pic>
      <xdr:nvPicPr>
        <xdr:cNvPr id="4348" name="2b4ac2c0-7c3e-4340-84fe-181c5161c3f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4fc70b1709d4ba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4351</xdr:row>
      <xdr:rowOff>19050</xdr:rowOff>
    </xdr:from>
    <xdr:ext cx="1143000" cy="1143000"/>
    <xdr:pic>
      <xdr:nvPicPr>
        <xdr:cNvPr id="4349" name="5af7c35c-bd48-43cb-97b7-b583dbd0dee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9cfa2fa096d4ad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4352</xdr:row>
      <xdr:rowOff>19050</xdr:rowOff>
    </xdr:from>
    <xdr:ext cx="1143000" cy="1143000"/>
    <xdr:pic>
      <xdr:nvPicPr>
        <xdr:cNvPr id="4350" name="d31ae100-4f5d-48c5-b1da-ab634a8f750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48fdfd6593b445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4353</xdr:row>
      <xdr:rowOff>19050</xdr:rowOff>
    </xdr:from>
    <xdr:ext cx="1143000" cy="1143000"/>
    <xdr:pic>
      <xdr:nvPicPr>
        <xdr:cNvPr id="4351" name="17b93493-d193-41f9-87d6-2bb82b5c48c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ce43b2136ad408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4354</xdr:row>
      <xdr:rowOff>19050</xdr:rowOff>
    </xdr:from>
    <xdr:ext cx="1143000" cy="1143000"/>
    <xdr:pic>
      <xdr:nvPicPr>
        <xdr:cNvPr id="4352" name="faa36eb7-0c56-4aea-8279-939a4342273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c86047aada94be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4355</xdr:row>
      <xdr:rowOff>19050</xdr:rowOff>
    </xdr:from>
    <xdr:ext cx="1143000" cy="1143000"/>
    <xdr:pic>
      <xdr:nvPicPr>
        <xdr:cNvPr id="4353" name="b35a8ec4-49ea-43bb-8ef7-e181ccd7140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9fa26de952546d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4356</xdr:row>
      <xdr:rowOff>19050</xdr:rowOff>
    </xdr:from>
    <xdr:ext cx="1143000" cy="1143000"/>
    <xdr:pic>
      <xdr:nvPicPr>
        <xdr:cNvPr id="4354" name="343612ad-c713-4e44-8f13-2fcc799c192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b0a1fe5ab28434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4357</xdr:row>
      <xdr:rowOff>19050</xdr:rowOff>
    </xdr:from>
    <xdr:ext cx="1143000" cy="1143000"/>
    <xdr:pic>
      <xdr:nvPicPr>
        <xdr:cNvPr id="4355" name="43301a32-04cc-4e54-a7f9-f8bd0653eb1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c865b30997141a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4358</xdr:row>
      <xdr:rowOff>19050</xdr:rowOff>
    </xdr:from>
    <xdr:ext cx="1143000" cy="1143000"/>
    <xdr:pic>
      <xdr:nvPicPr>
        <xdr:cNvPr id="4356" name="e660c2aa-f902-4a58-85b9-d5861cc2798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5c284840a564b7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4359</xdr:row>
      <xdr:rowOff>19050</xdr:rowOff>
    </xdr:from>
    <xdr:ext cx="1143000" cy="1143000"/>
    <xdr:pic>
      <xdr:nvPicPr>
        <xdr:cNvPr id="4357" name="1e65a739-2747-4a29-a319-cd5960c4bb5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855b4a82c6845c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4360</xdr:row>
      <xdr:rowOff>19050</xdr:rowOff>
    </xdr:from>
    <xdr:ext cx="1143000" cy="1143000"/>
    <xdr:pic>
      <xdr:nvPicPr>
        <xdr:cNvPr id="4358" name="b30df511-468c-4469-8bfa-3c155c2b0a0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97a018c5b514e1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4361</xdr:row>
      <xdr:rowOff>19050</xdr:rowOff>
    </xdr:from>
    <xdr:ext cx="1143000" cy="1143000"/>
    <xdr:pic>
      <xdr:nvPicPr>
        <xdr:cNvPr id="4359" name="218e0e6f-11e8-460b-a7ef-c372dc19d36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cac3bf626d7455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4362</xdr:row>
      <xdr:rowOff>19050</xdr:rowOff>
    </xdr:from>
    <xdr:ext cx="1143000" cy="1143000"/>
    <xdr:pic>
      <xdr:nvPicPr>
        <xdr:cNvPr id="4360" name="256489c6-224c-4cad-9ddf-47d6de4976c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603d0c4f1e4483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4363</xdr:row>
      <xdr:rowOff>19050</xdr:rowOff>
    </xdr:from>
    <xdr:ext cx="1143000" cy="1143000"/>
    <xdr:pic>
      <xdr:nvPicPr>
        <xdr:cNvPr id="4361" name="dd601b11-7d25-40eb-9278-10cab4d5f50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dd40931f165495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4364</xdr:row>
      <xdr:rowOff>19050</xdr:rowOff>
    </xdr:from>
    <xdr:ext cx="1143000" cy="1143000"/>
    <xdr:pic>
      <xdr:nvPicPr>
        <xdr:cNvPr id="4362" name="ff91fc17-bc12-427d-8aa0-a479e37a861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bf7bcfafa8e491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4365</xdr:row>
      <xdr:rowOff>19050</xdr:rowOff>
    </xdr:from>
    <xdr:ext cx="1143000" cy="1143000"/>
    <xdr:pic>
      <xdr:nvPicPr>
        <xdr:cNvPr id="4363" name="c9c5dc86-32f8-4e17-92d2-b5387bc62f4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c57fb0524cb458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4366</xdr:row>
      <xdr:rowOff>19050</xdr:rowOff>
    </xdr:from>
    <xdr:ext cx="1143000" cy="1143000"/>
    <xdr:pic>
      <xdr:nvPicPr>
        <xdr:cNvPr id="4364" name="a0d8c40b-66ff-467b-b859-364e2d238d6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8c8f337ce0a48d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4367</xdr:row>
      <xdr:rowOff>19050</xdr:rowOff>
    </xdr:from>
    <xdr:ext cx="1143000" cy="1143000"/>
    <xdr:pic>
      <xdr:nvPicPr>
        <xdr:cNvPr id="4365" name="63398278-8ece-4e48-8310-53b11afcf2c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3323beb9567427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4368</xdr:row>
      <xdr:rowOff>19050</xdr:rowOff>
    </xdr:from>
    <xdr:ext cx="1143000" cy="1143000"/>
    <xdr:pic>
      <xdr:nvPicPr>
        <xdr:cNvPr id="4366" name="dfa04335-2674-4181-96ed-d4c14a5f4d4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8b13cb6a8784c9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4369</xdr:row>
      <xdr:rowOff>19050</xdr:rowOff>
    </xdr:from>
    <xdr:ext cx="1143000" cy="1143000"/>
    <xdr:pic>
      <xdr:nvPicPr>
        <xdr:cNvPr id="4367" name="0ab01e25-cd77-4f80-b512-edbc5657739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f5bf1809a9941a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4370</xdr:row>
      <xdr:rowOff>19050</xdr:rowOff>
    </xdr:from>
    <xdr:ext cx="1143000" cy="1143000"/>
    <xdr:pic>
      <xdr:nvPicPr>
        <xdr:cNvPr id="4368" name="28d8b5ef-ad3a-4ff5-9579-a217e996dbc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7dac87b5d3d490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4371</xdr:row>
      <xdr:rowOff>19050</xdr:rowOff>
    </xdr:from>
    <xdr:ext cx="1143000" cy="1143000"/>
    <xdr:pic>
      <xdr:nvPicPr>
        <xdr:cNvPr id="4369" name="bdb6e709-8bbd-4513-9ac8-58d7a0c7540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7ae73080e5e4b1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4372</xdr:row>
      <xdr:rowOff>19050</xdr:rowOff>
    </xdr:from>
    <xdr:ext cx="1143000" cy="1143000"/>
    <xdr:pic>
      <xdr:nvPicPr>
        <xdr:cNvPr id="4370" name="97a8fee2-7880-4e1b-8319-c6030caab8f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1c8ba4d29494dc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4373</xdr:row>
      <xdr:rowOff>19050</xdr:rowOff>
    </xdr:from>
    <xdr:ext cx="1143000" cy="1143000"/>
    <xdr:pic>
      <xdr:nvPicPr>
        <xdr:cNvPr id="4371" name="2641fa9f-7dd2-4952-b11f-ee840dc288f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50994d7f319491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4374</xdr:row>
      <xdr:rowOff>19050</xdr:rowOff>
    </xdr:from>
    <xdr:ext cx="1143000" cy="1143000"/>
    <xdr:pic>
      <xdr:nvPicPr>
        <xdr:cNvPr id="4372" name="b54fc126-147b-4e5d-92d1-7a27ff953bd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8ac2976d1ab406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4375</xdr:row>
      <xdr:rowOff>19050</xdr:rowOff>
    </xdr:from>
    <xdr:ext cx="1143000" cy="1143000"/>
    <xdr:pic>
      <xdr:nvPicPr>
        <xdr:cNvPr id="4373" name="b56b77d7-ca46-4d30-9749-7cf67ce3f40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07317c3d4894b1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4376</xdr:row>
      <xdr:rowOff>19050</xdr:rowOff>
    </xdr:from>
    <xdr:ext cx="1143000" cy="1143000"/>
    <xdr:pic>
      <xdr:nvPicPr>
        <xdr:cNvPr id="4374" name="7cbd747d-2429-46be-91b9-cc3c7a4649d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9000babbce3414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4377</xdr:row>
      <xdr:rowOff>19050</xdr:rowOff>
    </xdr:from>
    <xdr:ext cx="1143000" cy="1143000"/>
    <xdr:pic>
      <xdr:nvPicPr>
        <xdr:cNvPr id="4375" name="874709b8-d684-4298-8f88-d62be9b2fd9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c43f22366964b6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4378</xdr:row>
      <xdr:rowOff>19050</xdr:rowOff>
    </xdr:from>
    <xdr:ext cx="1143000" cy="1143000"/>
    <xdr:pic>
      <xdr:nvPicPr>
        <xdr:cNvPr id="4376" name="92fa6b99-62d3-40a2-bf15-471a5f3ecba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9eb7f91b32c402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4379</xdr:row>
      <xdr:rowOff>19050</xdr:rowOff>
    </xdr:from>
    <xdr:ext cx="1143000" cy="1143000"/>
    <xdr:pic>
      <xdr:nvPicPr>
        <xdr:cNvPr id="4377" name="c12e45fb-1c51-4eca-871b-45bdfd92ed8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27ed859e5484c4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4380</xdr:row>
      <xdr:rowOff>19050</xdr:rowOff>
    </xdr:from>
    <xdr:ext cx="1143000" cy="1143000"/>
    <xdr:pic>
      <xdr:nvPicPr>
        <xdr:cNvPr id="4378" name="f60aca54-2f39-4e9c-b445-f6ab803a74d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f3e271fdb3f401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4381</xdr:row>
      <xdr:rowOff>19050</xdr:rowOff>
    </xdr:from>
    <xdr:ext cx="1143000" cy="1143000"/>
    <xdr:pic>
      <xdr:nvPicPr>
        <xdr:cNvPr id="4379" name="8cf1c694-53be-4b7c-a0e5-71b84d3b5ec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c26342d08da478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4382</xdr:row>
      <xdr:rowOff>19050</xdr:rowOff>
    </xdr:from>
    <xdr:ext cx="1143000" cy="1143000"/>
    <xdr:pic>
      <xdr:nvPicPr>
        <xdr:cNvPr id="4380" name="6d13e796-88b2-4fd4-bc56-499deffc49e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add3fcbb5b6407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4383</xdr:row>
      <xdr:rowOff>19050</xdr:rowOff>
    </xdr:from>
    <xdr:ext cx="1143000" cy="1143000"/>
    <xdr:pic>
      <xdr:nvPicPr>
        <xdr:cNvPr id="4381" name="7a7830a2-60db-4b8c-a1ad-80a9f0f4484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2071ca3ce75483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4384</xdr:row>
      <xdr:rowOff>19050</xdr:rowOff>
    </xdr:from>
    <xdr:ext cx="1143000" cy="1143000"/>
    <xdr:pic>
      <xdr:nvPicPr>
        <xdr:cNvPr id="4382" name="3af8bc3a-5c11-41b1-b579-674182d8218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a06b0213b5148e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4385</xdr:row>
      <xdr:rowOff>19050</xdr:rowOff>
    </xdr:from>
    <xdr:ext cx="1143000" cy="1143000"/>
    <xdr:pic>
      <xdr:nvPicPr>
        <xdr:cNvPr id="4383" name="3abe5648-f2ba-4aef-bd9c-af865f40828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cc81cabac8641e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4386</xdr:row>
      <xdr:rowOff>19050</xdr:rowOff>
    </xdr:from>
    <xdr:ext cx="1143000" cy="1143000"/>
    <xdr:pic>
      <xdr:nvPicPr>
        <xdr:cNvPr id="4384" name="a297c573-6843-49cd-a91a-923d5fb7fad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d63b72fe214456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4387</xdr:row>
      <xdr:rowOff>19050</xdr:rowOff>
    </xdr:from>
    <xdr:ext cx="1143000" cy="1143000"/>
    <xdr:pic>
      <xdr:nvPicPr>
        <xdr:cNvPr id="4385" name="be0591d8-07f0-433f-9702-8d4887d14a7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7273f414c674f6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4388</xdr:row>
      <xdr:rowOff>19050</xdr:rowOff>
    </xdr:from>
    <xdr:ext cx="1143000" cy="1143000"/>
    <xdr:pic>
      <xdr:nvPicPr>
        <xdr:cNvPr id="4386" name="a4dfeed0-e3e6-442c-b7bc-f0307d8706a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33062652212465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4389</xdr:row>
      <xdr:rowOff>19050</xdr:rowOff>
    </xdr:from>
    <xdr:ext cx="1143000" cy="1143000"/>
    <xdr:pic>
      <xdr:nvPicPr>
        <xdr:cNvPr id="4387" name="5636e7b5-eb4b-4419-8367-923ae0e57e1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906609821aa48a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4390</xdr:row>
      <xdr:rowOff>19050</xdr:rowOff>
    </xdr:from>
    <xdr:ext cx="1143000" cy="1143000"/>
    <xdr:pic>
      <xdr:nvPicPr>
        <xdr:cNvPr id="4388" name="873306a9-ab6e-41ea-b710-7b6788a437a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d9180222f30493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4391</xdr:row>
      <xdr:rowOff>19050</xdr:rowOff>
    </xdr:from>
    <xdr:ext cx="1143000" cy="1143000"/>
    <xdr:pic>
      <xdr:nvPicPr>
        <xdr:cNvPr id="4389" name="64d5909e-377f-4d36-ad5b-44e3554329e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d9b26f25f884a1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4392</xdr:row>
      <xdr:rowOff>19050</xdr:rowOff>
    </xdr:from>
    <xdr:ext cx="1143000" cy="1143000"/>
    <xdr:pic>
      <xdr:nvPicPr>
        <xdr:cNvPr id="4390" name="2de52913-1858-4599-9b63-b8509832c37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aa433736e4d41e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4393</xdr:row>
      <xdr:rowOff>19050</xdr:rowOff>
    </xdr:from>
    <xdr:ext cx="1143000" cy="1143000"/>
    <xdr:pic>
      <xdr:nvPicPr>
        <xdr:cNvPr id="4391" name="e9bffde4-0cbe-4ea2-8f56-f92377a14ca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b8e8f86e55d4aa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4394</xdr:row>
      <xdr:rowOff>19050</xdr:rowOff>
    </xdr:from>
    <xdr:ext cx="1143000" cy="1143000"/>
    <xdr:pic>
      <xdr:nvPicPr>
        <xdr:cNvPr id="4392" name="246d5ad2-58ce-4619-a576-1d9c79afd16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405e0259c3b405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4395</xdr:row>
      <xdr:rowOff>19050</xdr:rowOff>
    </xdr:from>
    <xdr:ext cx="1143000" cy="1143000"/>
    <xdr:pic>
      <xdr:nvPicPr>
        <xdr:cNvPr id="4393" name="587f4a8b-e00e-4bbf-bab1-dd8e8840365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a7ee07d90f24e9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4396</xdr:row>
      <xdr:rowOff>19050</xdr:rowOff>
    </xdr:from>
    <xdr:ext cx="1143000" cy="1143000"/>
    <xdr:pic>
      <xdr:nvPicPr>
        <xdr:cNvPr id="4394" name="6cd4b85e-20ec-4377-a742-b6544a95784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2e6a9004f56473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4397</xdr:row>
      <xdr:rowOff>19050</xdr:rowOff>
    </xdr:from>
    <xdr:ext cx="1143000" cy="1143000"/>
    <xdr:pic>
      <xdr:nvPicPr>
        <xdr:cNvPr id="4395" name="05557998-1ce7-4879-839d-7a35986bcc4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187b6653a9f4ea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4398</xdr:row>
      <xdr:rowOff>19050</xdr:rowOff>
    </xdr:from>
    <xdr:ext cx="1143000" cy="1143000"/>
    <xdr:pic>
      <xdr:nvPicPr>
        <xdr:cNvPr id="4396" name="a1b0e780-91c4-4619-a244-5547e1303c6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268ac7016bc478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4399</xdr:row>
      <xdr:rowOff>19050</xdr:rowOff>
    </xdr:from>
    <xdr:ext cx="1143000" cy="1143000"/>
    <xdr:pic>
      <xdr:nvPicPr>
        <xdr:cNvPr id="4397" name="fb49b4dd-09c2-4274-8f08-793c06c58f1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2280cd6b53b413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4400</xdr:row>
      <xdr:rowOff>19050</xdr:rowOff>
    </xdr:from>
    <xdr:ext cx="1143000" cy="1143000"/>
    <xdr:pic>
      <xdr:nvPicPr>
        <xdr:cNvPr id="4398" name="4ec75241-add4-4938-9fa1-2dd24ab211a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abf72590907461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4401</xdr:row>
      <xdr:rowOff>19050</xdr:rowOff>
    </xdr:from>
    <xdr:ext cx="1143000" cy="1143000"/>
    <xdr:pic>
      <xdr:nvPicPr>
        <xdr:cNvPr id="4399" name="71f937bf-f2c5-406a-8c73-3f8c5f7c323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5979d562cee498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4402</xdr:row>
      <xdr:rowOff>19050</xdr:rowOff>
    </xdr:from>
    <xdr:ext cx="1143000" cy="1143000"/>
    <xdr:pic>
      <xdr:nvPicPr>
        <xdr:cNvPr id="4400" name="97b5cbf9-756a-4788-a659-361790e47d2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929ebe8ee7e4d2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4403</xdr:row>
      <xdr:rowOff>19050</xdr:rowOff>
    </xdr:from>
    <xdr:ext cx="1143000" cy="1143000"/>
    <xdr:pic>
      <xdr:nvPicPr>
        <xdr:cNvPr id="4401" name="3f514f32-21f6-47e2-b2ff-0a5746caba1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10eb6b5815d44e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4404</xdr:row>
      <xdr:rowOff>19050</xdr:rowOff>
    </xdr:from>
    <xdr:ext cx="1143000" cy="1143000"/>
    <xdr:pic>
      <xdr:nvPicPr>
        <xdr:cNvPr id="4402" name="de4f1014-adac-4d02-a7b8-6ce0b12abcb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56dfbb38203460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4405</xdr:row>
      <xdr:rowOff>19050</xdr:rowOff>
    </xdr:from>
    <xdr:ext cx="1143000" cy="1143000"/>
    <xdr:pic>
      <xdr:nvPicPr>
        <xdr:cNvPr id="4403" name="9676f748-40e8-438d-971c-1430f03f253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90800d890ad4e1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4406</xdr:row>
      <xdr:rowOff>19050</xdr:rowOff>
    </xdr:from>
    <xdr:ext cx="1143000" cy="1143000"/>
    <xdr:pic>
      <xdr:nvPicPr>
        <xdr:cNvPr id="4404" name="066801cd-019d-4a02-bcd3-312682bfd91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9836f0516eb4f7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4407</xdr:row>
      <xdr:rowOff>19050</xdr:rowOff>
    </xdr:from>
    <xdr:ext cx="1143000" cy="1143000"/>
    <xdr:pic>
      <xdr:nvPicPr>
        <xdr:cNvPr id="4405" name="819542d0-543a-4f2a-85a2-08c33b73fea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a4f013c31d64af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4408</xdr:row>
      <xdr:rowOff>19050</xdr:rowOff>
    </xdr:from>
    <xdr:ext cx="1143000" cy="1143000"/>
    <xdr:pic>
      <xdr:nvPicPr>
        <xdr:cNvPr id="4406" name="bcc77802-6753-44c0-9a7e-70732f38b6a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b86ec2e997545e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4409</xdr:row>
      <xdr:rowOff>19050</xdr:rowOff>
    </xdr:from>
    <xdr:ext cx="1143000" cy="1143000"/>
    <xdr:pic>
      <xdr:nvPicPr>
        <xdr:cNvPr id="4407" name="cb344f61-8a0c-4600-a1cc-d2ce1a6d5bf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b5342a4604b42f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4410</xdr:row>
      <xdr:rowOff>19050</xdr:rowOff>
    </xdr:from>
    <xdr:ext cx="1143000" cy="1143000"/>
    <xdr:pic>
      <xdr:nvPicPr>
        <xdr:cNvPr id="4408" name="60c73417-e60b-4404-b5d5-0902693cc1c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f6abaf3e8c6456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4411</xdr:row>
      <xdr:rowOff>19050</xdr:rowOff>
    </xdr:from>
    <xdr:ext cx="1143000" cy="1143000"/>
    <xdr:pic>
      <xdr:nvPicPr>
        <xdr:cNvPr id="4409" name="4f981aae-f9a9-491a-a949-81ad0008dc7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d08f09aab73451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4412</xdr:row>
      <xdr:rowOff>19050</xdr:rowOff>
    </xdr:from>
    <xdr:ext cx="1143000" cy="1143000"/>
    <xdr:pic>
      <xdr:nvPicPr>
        <xdr:cNvPr id="4410" name="29446051-6247-4976-a48b-d903a90efc5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f0d23c18b614d9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4413</xdr:row>
      <xdr:rowOff>19050</xdr:rowOff>
    </xdr:from>
    <xdr:ext cx="1143000" cy="1143000"/>
    <xdr:pic>
      <xdr:nvPicPr>
        <xdr:cNvPr id="4411" name="29ffe319-4e4a-4715-9838-acb33137467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740e6f085c7414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4414</xdr:row>
      <xdr:rowOff>19050</xdr:rowOff>
    </xdr:from>
    <xdr:ext cx="1143000" cy="1143000"/>
    <xdr:pic>
      <xdr:nvPicPr>
        <xdr:cNvPr id="4412" name="ce1cb753-7dff-4c32-845f-aa8f0a1839c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507597bc60543f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4415</xdr:row>
      <xdr:rowOff>19050</xdr:rowOff>
    </xdr:from>
    <xdr:ext cx="1143000" cy="1143000"/>
    <xdr:pic>
      <xdr:nvPicPr>
        <xdr:cNvPr id="4413" name="cfebc254-b3f8-492f-a813-e68e3d2ab45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3c9a21f52f542d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4416</xdr:row>
      <xdr:rowOff>19050</xdr:rowOff>
    </xdr:from>
    <xdr:ext cx="1143000" cy="1143000"/>
    <xdr:pic>
      <xdr:nvPicPr>
        <xdr:cNvPr id="4414" name="e8eaca9c-cf24-488f-95c3-cc6c8fa03af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de41e4d446b4ed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4417</xdr:row>
      <xdr:rowOff>19050</xdr:rowOff>
    </xdr:from>
    <xdr:ext cx="1143000" cy="1143000"/>
    <xdr:pic>
      <xdr:nvPicPr>
        <xdr:cNvPr id="4415" name="37c04f08-306b-4636-8a86-5c5f8b5c02c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7aac014871a411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4418</xdr:row>
      <xdr:rowOff>19050</xdr:rowOff>
    </xdr:from>
    <xdr:ext cx="1143000" cy="1143000"/>
    <xdr:pic>
      <xdr:nvPicPr>
        <xdr:cNvPr id="4416" name="bb49066b-f40d-4e77-bde7-c710193362b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ba1839fa5d6432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4419</xdr:row>
      <xdr:rowOff>19050</xdr:rowOff>
    </xdr:from>
    <xdr:ext cx="1143000" cy="1143000"/>
    <xdr:pic>
      <xdr:nvPicPr>
        <xdr:cNvPr id="4417" name="e67c6689-2395-4478-9c3e-58bdb14285f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69876c27b434b2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4420</xdr:row>
      <xdr:rowOff>19050</xdr:rowOff>
    </xdr:from>
    <xdr:ext cx="1143000" cy="1143000"/>
    <xdr:pic>
      <xdr:nvPicPr>
        <xdr:cNvPr id="4418" name="c7fba91e-1be1-4c0b-9ddb-c489b5ff518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24c98fa980a41d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4421</xdr:row>
      <xdr:rowOff>19050</xdr:rowOff>
    </xdr:from>
    <xdr:ext cx="1143000" cy="1143000"/>
    <xdr:pic>
      <xdr:nvPicPr>
        <xdr:cNvPr id="4419" name="5fa9fe59-f5ab-4814-94c2-e217379bfc8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cc5a6ef407f4bd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4422</xdr:row>
      <xdr:rowOff>19050</xdr:rowOff>
    </xdr:from>
    <xdr:ext cx="1143000" cy="1143000"/>
    <xdr:pic>
      <xdr:nvPicPr>
        <xdr:cNvPr id="4420" name="e911dda4-f76c-44ef-ba5f-5426bb3f6f2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b7eb1d401064c8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4423</xdr:row>
      <xdr:rowOff>19050</xdr:rowOff>
    </xdr:from>
    <xdr:ext cx="1143000" cy="1143000"/>
    <xdr:pic>
      <xdr:nvPicPr>
        <xdr:cNvPr id="4421" name="9d135a53-3295-4207-94b3-695d3f3b505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15ab735d241489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4424</xdr:row>
      <xdr:rowOff>19050</xdr:rowOff>
    </xdr:from>
    <xdr:ext cx="1143000" cy="1143000"/>
    <xdr:pic>
      <xdr:nvPicPr>
        <xdr:cNvPr id="4422" name="76556865-4ec3-4898-b325-44673428fa4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03a5365b72842c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4425</xdr:row>
      <xdr:rowOff>19050</xdr:rowOff>
    </xdr:from>
    <xdr:ext cx="1143000" cy="1143000"/>
    <xdr:pic>
      <xdr:nvPicPr>
        <xdr:cNvPr id="4423" name="237ec4e5-39ba-461d-a8fb-fa3e8afaf83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86323023d3d451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4426</xdr:row>
      <xdr:rowOff>19050</xdr:rowOff>
    </xdr:from>
    <xdr:ext cx="1143000" cy="1143000"/>
    <xdr:pic>
      <xdr:nvPicPr>
        <xdr:cNvPr id="4424" name="94bb6fe4-34d8-41cd-812d-6b7fc269512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e3396936aab4f7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4427</xdr:row>
      <xdr:rowOff>19050</xdr:rowOff>
    </xdr:from>
    <xdr:ext cx="1143000" cy="1143000"/>
    <xdr:pic>
      <xdr:nvPicPr>
        <xdr:cNvPr id="4425" name="21463dad-f658-4d74-a252-a002e291792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01109953371493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4428</xdr:row>
      <xdr:rowOff>19050</xdr:rowOff>
    </xdr:from>
    <xdr:ext cx="1143000" cy="1143000"/>
    <xdr:pic>
      <xdr:nvPicPr>
        <xdr:cNvPr id="4426" name="44cabbad-92e0-42cf-9b00-eaa95b055da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4816d1074f4451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4429</xdr:row>
      <xdr:rowOff>19050</xdr:rowOff>
    </xdr:from>
    <xdr:ext cx="1143000" cy="1143000"/>
    <xdr:pic>
      <xdr:nvPicPr>
        <xdr:cNvPr id="4427" name="b687e7f2-9e97-491e-a03e-4dc2ec5036d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087721d3a0c4fd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4430</xdr:row>
      <xdr:rowOff>19050</xdr:rowOff>
    </xdr:from>
    <xdr:ext cx="1143000" cy="1143000"/>
    <xdr:pic>
      <xdr:nvPicPr>
        <xdr:cNvPr id="4428" name="40cc2977-11e6-4600-bb14-1a41b858a56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6fd24adb35a416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4431</xdr:row>
      <xdr:rowOff>19050</xdr:rowOff>
    </xdr:from>
    <xdr:ext cx="1143000" cy="1143000"/>
    <xdr:pic>
      <xdr:nvPicPr>
        <xdr:cNvPr id="4429" name="604c9f04-6b95-4073-b3ae-b884ec66ae5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386cebe84f249d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4432</xdr:row>
      <xdr:rowOff>19050</xdr:rowOff>
    </xdr:from>
    <xdr:ext cx="1143000" cy="1143000"/>
    <xdr:pic>
      <xdr:nvPicPr>
        <xdr:cNvPr id="4430" name="08830ec1-ac41-4d2e-bb62-34bfc6a57c1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43bb502ef414ae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4433</xdr:row>
      <xdr:rowOff>19050</xdr:rowOff>
    </xdr:from>
    <xdr:ext cx="1143000" cy="1143000"/>
    <xdr:pic>
      <xdr:nvPicPr>
        <xdr:cNvPr id="4431" name="9881f8f0-c8ed-41e2-9a00-290a97549a6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eace826852e471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4434</xdr:row>
      <xdr:rowOff>19050</xdr:rowOff>
    </xdr:from>
    <xdr:ext cx="1143000" cy="1143000"/>
    <xdr:pic>
      <xdr:nvPicPr>
        <xdr:cNvPr id="4432" name="b935d1e5-fb87-4f7c-8b0a-706b19b0d4b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5162813b735454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4435</xdr:row>
      <xdr:rowOff>19050</xdr:rowOff>
    </xdr:from>
    <xdr:ext cx="1143000" cy="1143000"/>
    <xdr:pic>
      <xdr:nvPicPr>
        <xdr:cNvPr id="4433" name="fc067fa0-df36-48c3-9027-c37dec4df68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aa5a168415d416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4436</xdr:row>
      <xdr:rowOff>19050</xdr:rowOff>
    </xdr:from>
    <xdr:ext cx="1143000" cy="1143000"/>
    <xdr:pic>
      <xdr:nvPicPr>
        <xdr:cNvPr id="4434" name="d488fd77-d51c-4405-a29f-a42203a126d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6f4e61175aa45e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4437</xdr:row>
      <xdr:rowOff>19050</xdr:rowOff>
    </xdr:from>
    <xdr:ext cx="1143000" cy="1143000"/>
    <xdr:pic>
      <xdr:nvPicPr>
        <xdr:cNvPr id="4435" name="31e93e85-9302-441d-a415-c7efa39735d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44a6e8b094d4a2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4438</xdr:row>
      <xdr:rowOff>19050</xdr:rowOff>
    </xdr:from>
    <xdr:ext cx="1143000" cy="1143000"/>
    <xdr:pic>
      <xdr:nvPicPr>
        <xdr:cNvPr id="4436" name="3dfdee11-7dbd-49db-bdb6-e0a5289339e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18a6673426c4ff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4439</xdr:row>
      <xdr:rowOff>19050</xdr:rowOff>
    </xdr:from>
    <xdr:ext cx="1143000" cy="1143000"/>
    <xdr:pic>
      <xdr:nvPicPr>
        <xdr:cNvPr id="4437" name="7e338df0-ddc4-4b79-aa9a-f74fd211e43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13546e9955f44b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4440</xdr:row>
      <xdr:rowOff>19050</xdr:rowOff>
    </xdr:from>
    <xdr:ext cx="1143000" cy="1143000"/>
    <xdr:pic>
      <xdr:nvPicPr>
        <xdr:cNvPr id="4438" name="28528c73-8df7-4f60-83c9-0bad3d61264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685ff17b0e2425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4441</xdr:row>
      <xdr:rowOff>19050</xdr:rowOff>
    </xdr:from>
    <xdr:ext cx="1143000" cy="1143000"/>
    <xdr:pic>
      <xdr:nvPicPr>
        <xdr:cNvPr id="4439" name="ad34e8b2-61ed-4dc3-ad37-294d7fe0eca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82646665ad343b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4442</xdr:row>
      <xdr:rowOff>19050</xdr:rowOff>
    </xdr:from>
    <xdr:ext cx="1143000" cy="1143000"/>
    <xdr:pic>
      <xdr:nvPicPr>
        <xdr:cNvPr id="4440" name="a4baccad-44db-46c5-97b0-17779d008c7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f44b6677f51458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4443</xdr:row>
      <xdr:rowOff>19050</xdr:rowOff>
    </xdr:from>
    <xdr:ext cx="1143000" cy="1143000"/>
    <xdr:pic>
      <xdr:nvPicPr>
        <xdr:cNvPr id="4441" name="9bb676fb-17df-4c7e-a1e4-d01f4f7f899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6d77d6b349e4d9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4444</xdr:row>
      <xdr:rowOff>19050</xdr:rowOff>
    </xdr:from>
    <xdr:ext cx="1143000" cy="1143000"/>
    <xdr:pic>
      <xdr:nvPicPr>
        <xdr:cNvPr id="4442" name="91c4bf1b-f222-4c07-a47c-cfc1280f73c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6117830cf9141f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4445</xdr:row>
      <xdr:rowOff>19050</xdr:rowOff>
    </xdr:from>
    <xdr:ext cx="1143000" cy="1143000"/>
    <xdr:pic>
      <xdr:nvPicPr>
        <xdr:cNvPr id="4443" name="7f40b0ca-5d93-47f0-95ff-84f0708c0b3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153595ab0d74cc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4446</xdr:row>
      <xdr:rowOff>19050</xdr:rowOff>
    </xdr:from>
    <xdr:ext cx="1143000" cy="1143000"/>
    <xdr:pic>
      <xdr:nvPicPr>
        <xdr:cNvPr id="4444" name="327d4e78-b6e6-4b20-8307-e87bdc926e3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2298e9c5aef42f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4447</xdr:row>
      <xdr:rowOff>19050</xdr:rowOff>
    </xdr:from>
    <xdr:ext cx="1143000" cy="1143000"/>
    <xdr:pic>
      <xdr:nvPicPr>
        <xdr:cNvPr id="4445" name="c5468938-c6ea-4e27-8f12-75bfbdd95da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1e097cdf2914ef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4448</xdr:row>
      <xdr:rowOff>19050</xdr:rowOff>
    </xdr:from>
    <xdr:ext cx="1143000" cy="1143000"/>
    <xdr:pic>
      <xdr:nvPicPr>
        <xdr:cNvPr id="4446" name="ddde706a-689e-4207-8e27-cc9848f4920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37bf2582a004a6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4449</xdr:row>
      <xdr:rowOff>19050</xdr:rowOff>
    </xdr:from>
    <xdr:ext cx="1143000" cy="1143000"/>
    <xdr:pic>
      <xdr:nvPicPr>
        <xdr:cNvPr id="4447" name="a48a6053-c346-4230-ba07-21479503d05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1a9862388b446d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4450</xdr:row>
      <xdr:rowOff>19050</xdr:rowOff>
    </xdr:from>
    <xdr:ext cx="1143000" cy="1143000"/>
    <xdr:pic>
      <xdr:nvPicPr>
        <xdr:cNvPr id="4448" name="26d7b41a-07d1-4174-8ae1-55483ae0920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137337f7d424af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4451</xdr:row>
      <xdr:rowOff>19050</xdr:rowOff>
    </xdr:from>
    <xdr:ext cx="1143000" cy="1143000"/>
    <xdr:pic>
      <xdr:nvPicPr>
        <xdr:cNvPr id="4449" name="0c3ca08e-eb4e-426a-8061-d2bee098805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3dc804c7e79444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4452</xdr:row>
      <xdr:rowOff>19050</xdr:rowOff>
    </xdr:from>
    <xdr:ext cx="1143000" cy="1143000"/>
    <xdr:pic>
      <xdr:nvPicPr>
        <xdr:cNvPr id="4450" name="617208b9-50f8-4463-a506-f53406b5ce8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6c31494185740d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4453</xdr:row>
      <xdr:rowOff>19050</xdr:rowOff>
    </xdr:from>
    <xdr:ext cx="1143000" cy="1143000"/>
    <xdr:pic>
      <xdr:nvPicPr>
        <xdr:cNvPr id="4451" name="22de6f46-6469-43ae-ad26-6ab53d6eb01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361f4e9ba384b5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4454</xdr:row>
      <xdr:rowOff>19050</xdr:rowOff>
    </xdr:from>
    <xdr:ext cx="1143000" cy="1143000"/>
    <xdr:pic>
      <xdr:nvPicPr>
        <xdr:cNvPr id="4452" name="c6b489b2-fcf7-45c7-b44f-21a8f6f3b19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cc9a08d83d240c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4455</xdr:row>
      <xdr:rowOff>19050</xdr:rowOff>
    </xdr:from>
    <xdr:ext cx="1143000" cy="1143000"/>
    <xdr:pic>
      <xdr:nvPicPr>
        <xdr:cNvPr id="4453" name="e53155cc-a2e3-40c2-8062-3e349034f1a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ff1bfd3cc6b4eb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4456</xdr:row>
      <xdr:rowOff>19050</xdr:rowOff>
    </xdr:from>
    <xdr:ext cx="1143000" cy="1143000"/>
    <xdr:pic>
      <xdr:nvPicPr>
        <xdr:cNvPr id="4454" name="47fc97ae-cb63-4904-bf27-364d7140119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a1c4e1eedce426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4457</xdr:row>
      <xdr:rowOff>19050</xdr:rowOff>
    </xdr:from>
    <xdr:ext cx="1143000" cy="1143000"/>
    <xdr:pic>
      <xdr:nvPicPr>
        <xdr:cNvPr id="4455" name="1372947d-ea8e-4121-b7ef-50db543c922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acd7167fc7e408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4458</xdr:row>
      <xdr:rowOff>19050</xdr:rowOff>
    </xdr:from>
    <xdr:ext cx="1143000" cy="1143000"/>
    <xdr:pic>
      <xdr:nvPicPr>
        <xdr:cNvPr id="4456" name="61818814-f300-4f88-81f7-0e0b9becebd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426949cf49d4f6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4459</xdr:row>
      <xdr:rowOff>19050</xdr:rowOff>
    </xdr:from>
    <xdr:ext cx="1143000" cy="1143000"/>
    <xdr:pic>
      <xdr:nvPicPr>
        <xdr:cNvPr id="4457" name="54100d41-e95f-4495-9bfa-9add7a484b0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517a9e9e350489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4460</xdr:row>
      <xdr:rowOff>19050</xdr:rowOff>
    </xdr:from>
    <xdr:ext cx="1143000" cy="1143000"/>
    <xdr:pic>
      <xdr:nvPicPr>
        <xdr:cNvPr id="4458" name="a86f63f0-3a56-4e91-a8a4-70bbcce3ec5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94d9dfc05b84be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4461</xdr:row>
      <xdr:rowOff>19050</xdr:rowOff>
    </xdr:from>
    <xdr:ext cx="1143000" cy="1143000"/>
    <xdr:pic>
      <xdr:nvPicPr>
        <xdr:cNvPr id="4459" name="4b4f698f-2c75-4633-913e-d7a77b7eb3f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f375f1adbe8494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4462</xdr:row>
      <xdr:rowOff>19050</xdr:rowOff>
    </xdr:from>
    <xdr:ext cx="1143000" cy="1143000"/>
    <xdr:pic>
      <xdr:nvPicPr>
        <xdr:cNvPr id="4460" name="f94ecbc3-66c4-4dba-b84e-7c81f65790a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f9bf1dd7fa3439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4463</xdr:row>
      <xdr:rowOff>19050</xdr:rowOff>
    </xdr:from>
    <xdr:ext cx="1143000" cy="1143000"/>
    <xdr:pic>
      <xdr:nvPicPr>
        <xdr:cNvPr id="4461" name="016b8707-0091-4beb-8787-51ab99a68a4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1809faa498449f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4464</xdr:row>
      <xdr:rowOff>19050</xdr:rowOff>
    </xdr:from>
    <xdr:ext cx="1143000" cy="1143000"/>
    <xdr:pic>
      <xdr:nvPicPr>
        <xdr:cNvPr id="4462" name="dea76696-55cb-4cc4-a665-9a4ecc04c58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2c1f70dfd334b2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4465</xdr:row>
      <xdr:rowOff>19050</xdr:rowOff>
    </xdr:from>
    <xdr:ext cx="1143000" cy="1143000"/>
    <xdr:pic>
      <xdr:nvPicPr>
        <xdr:cNvPr id="4463" name="372f6878-cb56-401e-8e56-693837d6b1b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3ebd76bba5d4c7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4466</xdr:row>
      <xdr:rowOff>19050</xdr:rowOff>
    </xdr:from>
    <xdr:ext cx="1143000" cy="1143000"/>
    <xdr:pic>
      <xdr:nvPicPr>
        <xdr:cNvPr id="4464" name="b9de6589-7afb-45a3-ba6a-d3372f454bf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7017d97c5d1490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4467</xdr:row>
      <xdr:rowOff>19050</xdr:rowOff>
    </xdr:from>
    <xdr:ext cx="1143000" cy="1143000"/>
    <xdr:pic>
      <xdr:nvPicPr>
        <xdr:cNvPr id="4465" name="c2babc1c-905e-4f22-8140-9f68c12b5ab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f5e24829b5e433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4468</xdr:row>
      <xdr:rowOff>19050</xdr:rowOff>
    </xdr:from>
    <xdr:ext cx="1143000" cy="1143000"/>
    <xdr:pic>
      <xdr:nvPicPr>
        <xdr:cNvPr id="4466" name="c8375441-5e14-4355-a067-31e94e205c5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0c18cab4586425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4469</xdr:row>
      <xdr:rowOff>19050</xdr:rowOff>
    </xdr:from>
    <xdr:ext cx="1143000" cy="1143000"/>
    <xdr:pic>
      <xdr:nvPicPr>
        <xdr:cNvPr id="4467" name="3b9fd74a-0076-4fcb-9412-9564bdde787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faa877729a44f3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4470</xdr:row>
      <xdr:rowOff>19050</xdr:rowOff>
    </xdr:from>
    <xdr:ext cx="1143000" cy="1143000"/>
    <xdr:pic>
      <xdr:nvPicPr>
        <xdr:cNvPr id="4468" name="542fb853-b6c5-461b-8c1c-527fa794039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2f53af33a7b430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4471</xdr:row>
      <xdr:rowOff>19050</xdr:rowOff>
    </xdr:from>
    <xdr:ext cx="1143000" cy="1143000"/>
    <xdr:pic>
      <xdr:nvPicPr>
        <xdr:cNvPr id="4469" name="530b403b-e240-487b-ab89-d81db44a56f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8e05e75e9884a5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4472</xdr:row>
      <xdr:rowOff>19050</xdr:rowOff>
    </xdr:from>
    <xdr:ext cx="1143000" cy="1143000"/>
    <xdr:pic>
      <xdr:nvPicPr>
        <xdr:cNvPr id="4470" name="6cf722b8-1084-476b-806d-7fc9b977584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ff2c60ba48146e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4473</xdr:row>
      <xdr:rowOff>19050</xdr:rowOff>
    </xdr:from>
    <xdr:ext cx="1143000" cy="1143000"/>
    <xdr:pic>
      <xdr:nvPicPr>
        <xdr:cNvPr id="4471" name="21341ddb-4de1-4857-b2a0-51dbb93e1be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d8cb993bfe1471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4474</xdr:row>
      <xdr:rowOff>19050</xdr:rowOff>
    </xdr:from>
    <xdr:ext cx="1143000" cy="1143000"/>
    <xdr:pic>
      <xdr:nvPicPr>
        <xdr:cNvPr id="4472" name="f9d59271-b58c-462c-8aa2-2ccdc302231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b9b4d3d0b1f44c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4475</xdr:row>
      <xdr:rowOff>19050</xdr:rowOff>
    </xdr:from>
    <xdr:ext cx="1143000" cy="1143000"/>
    <xdr:pic>
      <xdr:nvPicPr>
        <xdr:cNvPr id="4473" name="31bd5f28-ba5d-472f-bab6-3bbea901a3a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011b89eb36e40d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4476</xdr:row>
      <xdr:rowOff>19050</xdr:rowOff>
    </xdr:from>
    <xdr:ext cx="1143000" cy="1143000"/>
    <xdr:pic>
      <xdr:nvPicPr>
        <xdr:cNvPr id="4474" name="3140ef96-fbbf-4356-a95c-ff19771fda7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0c35abffa114b6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4477</xdr:row>
      <xdr:rowOff>19050</xdr:rowOff>
    </xdr:from>
    <xdr:ext cx="1143000" cy="1143000"/>
    <xdr:pic>
      <xdr:nvPicPr>
        <xdr:cNvPr id="4475" name="e87ceefb-6f02-4cb4-b118-609af455591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9f5804f8c6445d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4478</xdr:row>
      <xdr:rowOff>19050</xdr:rowOff>
    </xdr:from>
    <xdr:ext cx="1143000" cy="1143000"/>
    <xdr:pic>
      <xdr:nvPicPr>
        <xdr:cNvPr id="4476" name="6cccd7e2-ddb6-4548-be26-3399d0d5ef5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d9ad063809a431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4479</xdr:row>
      <xdr:rowOff>19050</xdr:rowOff>
    </xdr:from>
    <xdr:ext cx="1143000" cy="1143000"/>
    <xdr:pic>
      <xdr:nvPicPr>
        <xdr:cNvPr id="4477" name="2da59216-cabf-48a2-a288-6c55ebe21cd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612f77c3223445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4480</xdr:row>
      <xdr:rowOff>19050</xdr:rowOff>
    </xdr:from>
    <xdr:ext cx="1143000" cy="1143000"/>
    <xdr:pic>
      <xdr:nvPicPr>
        <xdr:cNvPr id="4478" name="d025b612-322e-4b89-aed6-d36ab607b82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91be7ca47b5470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4481</xdr:row>
      <xdr:rowOff>19050</xdr:rowOff>
    </xdr:from>
    <xdr:ext cx="1143000" cy="1143000"/>
    <xdr:pic>
      <xdr:nvPicPr>
        <xdr:cNvPr id="4479" name="55ed6e97-f33a-4875-85bf-a0a81cb54d1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67bf9dcc95f41b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4482</xdr:row>
      <xdr:rowOff>19050</xdr:rowOff>
    </xdr:from>
    <xdr:ext cx="1143000" cy="1143000"/>
    <xdr:pic>
      <xdr:nvPicPr>
        <xdr:cNvPr id="4480" name="9ad4975c-fcf4-412f-a7b5-b9ea6eb720e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7b57c239e67465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4483</xdr:row>
      <xdr:rowOff>19050</xdr:rowOff>
    </xdr:from>
    <xdr:ext cx="1143000" cy="1143000"/>
    <xdr:pic>
      <xdr:nvPicPr>
        <xdr:cNvPr id="4481" name="4fdd6f92-d8be-456c-88ab-a1ab7ca98b0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b217fec1e7e459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4484</xdr:row>
      <xdr:rowOff>19050</xdr:rowOff>
    </xdr:from>
    <xdr:ext cx="1143000" cy="1143000"/>
    <xdr:pic>
      <xdr:nvPicPr>
        <xdr:cNvPr id="4482" name="450f5d39-d432-4d19-899d-106f0724ec2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cff6bc9fe7f413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4485</xdr:row>
      <xdr:rowOff>19050</xdr:rowOff>
    </xdr:from>
    <xdr:ext cx="1143000" cy="1143000"/>
    <xdr:pic>
      <xdr:nvPicPr>
        <xdr:cNvPr id="4483" name="a4efe1b9-df32-48f4-a6b5-40f796d5bd7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4c0ed7921204b1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4486</xdr:row>
      <xdr:rowOff>19050</xdr:rowOff>
    </xdr:from>
    <xdr:ext cx="1143000" cy="1143000"/>
    <xdr:pic>
      <xdr:nvPicPr>
        <xdr:cNvPr id="4484" name="23079725-64a5-4047-bd8f-9b4625b5ba3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568e94ad39b472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4487</xdr:row>
      <xdr:rowOff>19050</xdr:rowOff>
    </xdr:from>
    <xdr:ext cx="1143000" cy="1143000"/>
    <xdr:pic>
      <xdr:nvPicPr>
        <xdr:cNvPr id="4485" name="c76d276d-aeaf-4be5-a61a-f125f63ea3f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01cd6460dfe423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4488</xdr:row>
      <xdr:rowOff>19050</xdr:rowOff>
    </xdr:from>
    <xdr:ext cx="1143000" cy="1143000"/>
    <xdr:pic>
      <xdr:nvPicPr>
        <xdr:cNvPr id="4486" name="dd99c8a8-4dfe-4b66-8111-8fa7c7210e8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bd5ee24dd84485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4489</xdr:row>
      <xdr:rowOff>19050</xdr:rowOff>
    </xdr:from>
    <xdr:ext cx="1143000" cy="1143000"/>
    <xdr:pic>
      <xdr:nvPicPr>
        <xdr:cNvPr id="4487" name="247fe959-3dd6-4b7f-9a63-9854004d2de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bf5e03d002d4d8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4490</xdr:row>
      <xdr:rowOff>19050</xdr:rowOff>
    </xdr:from>
    <xdr:ext cx="1143000" cy="1143000"/>
    <xdr:pic>
      <xdr:nvPicPr>
        <xdr:cNvPr id="4488" name="efb9b4d9-661b-42ed-9d5d-4e5de1cae50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2a5eb43c47d460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4491</xdr:row>
      <xdr:rowOff>19050</xdr:rowOff>
    </xdr:from>
    <xdr:ext cx="1143000" cy="1143000"/>
    <xdr:pic>
      <xdr:nvPicPr>
        <xdr:cNvPr id="4489" name="936313e2-3ce6-4d27-b988-44f46f94544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428ccf9b5e6417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4492</xdr:row>
      <xdr:rowOff>19050</xdr:rowOff>
    </xdr:from>
    <xdr:ext cx="1143000" cy="1143000"/>
    <xdr:pic>
      <xdr:nvPicPr>
        <xdr:cNvPr id="4490" name="24f736af-17bf-46f8-b2c4-dc4a2af7055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4064e182eb94b7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4493</xdr:row>
      <xdr:rowOff>19050</xdr:rowOff>
    </xdr:from>
    <xdr:ext cx="1143000" cy="1143000"/>
    <xdr:pic>
      <xdr:nvPicPr>
        <xdr:cNvPr id="4491" name="b50dc6cb-6254-4c7a-a269-b0d233cb348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0db46827abf42a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4494</xdr:row>
      <xdr:rowOff>19050</xdr:rowOff>
    </xdr:from>
    <xdr:ext cx="1143000" cy="1143000"/>
    <xdr:pic>
      <xdr:nvPicPr>
        <xdr:cNvPr id="4492" name="fccbf3df-d751-484a-9dc0-23c1e662431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c449c2c50234aa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4495</xdr:row>
      <xdr:rowOff>19050</xdr:rowOff>
    </xdr:from>
    <xdr:ext cx="1143000" cy="1143000"/>
    <xdr:pic>
      <xdr:nvPicPr>
        <xdr:cNvPr id="4493" name="6f815c9a-e824-46c8-8c41-abe05584c2d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5b39c7bd8aa4a3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4496</xdr:row>
      <xdr:rowOff>19050</xdr:rowOff>
    </xdr:from>
    <xdr:ext cx="1143000" cy="1143000"/>
    <xdr:pic>
      <xdr:nvPicPr>
        <xdr:cNvPr id="4494" name="77eff9f3-4b27-4efd-9295-7de456eb347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f9bec27517e4fc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4497</xdr:row>
      <xdr:rowOff>19050</xdr:rowOff>
    </xdr:from>
    <xdr:ext cx="1143000" cy="1143000"/>
    <xdr:pic>
      <xdr:nvPicPr>
        <xdr:cNvPr id="4495" name="8773deec-1eda-43db-a197-98adf0d05d9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881e43ba4d9426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4498</xdr:row>
      <xdr:rowOff>19050</xdr:rowOff>
    </xdr:from>
    <xdr:ext cx="1143000" cy="1143000"/>
    <xdr:pic>
      <xdr:nvPicPr>
        <xdr:cNvPr id="4496" name="74c80757-e572-4a87-a28e-08f590ef8da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1d639207ae7425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4499</xdr:row>
      <xdr:rowOff>19050</xdr:rowOff>
    </xdr:from>
    <xdr:ext cx="1143000" cy="1143000"/>
    <xdr:pic>
      <xdr:nvPicPr>
        <xdr:cNvPr id="4497" name="95c2367f-347f-40ce-bd14-f8a60601d1c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7bc26113010412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4500</xdr:row>
      <xdr:rowOff>19050</xdr:rowOff>
    </xdr:from>
    <xdr:ext cx="1143000" cy="1143000"/>
    <xdr:pic>
      <xdr:nvPicPr>
        <xdr:cNvPr id="4498" name="49a858f6-c6c3-4fde-a63e-6658a8b48dc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34446ea6484413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4501</xdr:row>
      <xdr:rowOff>19050</xdr:rowOff>
    </xdr:from>
    <xdr:ext cx="1143000" cy="1143000"/>
    <xdr:pic>
      <xdr:nvPicPr>
        <xdr:cNvPr id="4499" name="fc5106e6-9fbf-4a42-95cc-5a58e596736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55b1e2cc3bf46e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4502</xdr:row>
      <xdr:rowOff>19050</xdr:rowOff>
    </xdr:from>
    <xdr:ext cx="1143000" cy="1143000"/>
    <xdr:pic>
      <xdr:nvPicPr>
        <xdr:cNvPr id="4500" name="e763146b-d388-40fb-8d4a-010ccb11a90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a94a908beed41b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4503</xdr:row>
      <xdr:rowOff>19050</xdr:rowOff>
    </xdr:from>
    <xdr:ext cx="1143000" cy="1143000"/>
    <xdr:pic>
      <xdr:nvPicPr>
        <xdr:cNvPr id="4501" name="718d8290-a9fa-4ae1-9de6-8cdbb44b489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97933f292d943b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4504</xdr:row>
      <xdr:rowOff>19050</xdr:rowOff>
    </xdr:from>
    <xdr:ext cx="1143000" cy="1143000"/>
    <xdr:pic>
      <xdr:nvPicPr>
        <xdr:cNvPr id="4502" name="ba22d256-233c-4936-99f6-c35245421b8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b2d86504d9f4a6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4505</xdr:row>
      <xdr:rowOff>19050</xdr:rowOff>
    </xdr:from>
    <xdr:ext cx="1143000" cy="1143000"/>
    <xdr:pic>
      <xdr:nvPicPr>
        <xdr:cNvPr id="4503" name="3b547e56-1a33-4706-8d82-d516d354ef1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fd3421968494a7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4506</xdr:row>
      <xdr:rowOff>19050</xdr:rowOff>
    </xdr:from>
    <xdr:ext cx="1143000" cy="1143000"/>
    <xdr:pic>
      <xdr:nvPicPr>
        <xdr:cNvPr id="4504" name="3c0f8223-e167-4073-bfd9-b213747a12f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813a51c205e470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4507</xdr:row>
      <xdr:rowOff>19050</xdr:rowOff>
    </xdr:from>
    <xdr:ext cx="1143000" cy="1143000"/>
    <xdr:pic>
      <xdr:nvPicPr>
        <xdr:cNvPr id="4505" name="07c2d196-0a39-4146-b79d-610ba0fb2e2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0e83a311051470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4508</xdr:row>
      <xdr:rowOff>19050</xdr:rowOff>
    </xdr:from>
    <xdr:ext cx="1143000" cy="1143000"/>
    <xdr:pic>
      <xdr:nvPicPr>
        <xdr:cNvPr id="4506" name="2b5ba6a5-6084-45f4-9860-e4530b378ef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b6ca87bfdb94a5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4509</xdr:row>
      <xdr:rowOff>19050</xdr:rowOff>
    </xdr:from>
    <xdr:ext cx="1143000" cy="1143000"/>
    <xdr:pic>
      <xdr:nvPicPr>
        <xdr:cNvPr id="4507" name="6d475e8a-3bf0-4f46-a560-09a6e5e785e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ca07aa806bb4a1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4510</xdr:row>
      <xdr:rowOff>19050</xdr:rowOff>
    </xdr:from>
    <xdr:ext cx="1143000" cy="1143000"/>
    <xdr:pic>
      <xdr:nvPicPr>
        <xdr:cNvPr id="4508" name="bf6ad83b-ea25-4af5-923a-4af10dde62b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5ed803c438a460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4511</xdr:row>
      <xdr:rowOff>19050</xdr:rowOff>
    </xdr:from>
    <xdr:ext cx="1143000" cy="1143000"/>
    <xdr:pic>
      <xdr:nvPicPr>
        <xdr:cNvPr id="4509" name="b4fe9537-f43b-4e42-9f8e-f3a841f22f4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2351e95a9f14fc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4512</xdr:row>
      <xdr:rowOff>19050</xdr:rowOff>
    </xdr:from>
    <xdr:ext cx="1143000" cy="1143000"/>
    <xdr:pic>
      <xdr:nvPicPr>
        <xdr:cNvPr id="4510" name="dd7f49d5-ccad-4c33-968c-93a0bb66cb7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f05ea8c14da480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4513</xdr:row>
      <xdr:rowOff>19050</xdr:rowOff>
    </xdr:from>
    <xdr:ext cx="1143000" cy="1143000"/>
    <xdr:pic>
      <xdr:nvPicPr>
        <xdr:cNvPr id="4511" name="da42f06d-1edc-49c7-9cd7-7cdf98747b8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d443816b2a0485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4514</xdr:row>
      <xdr:rowOff>19050</xdr:rowOff>
    </xdr:from>
    <xdr:ext cx="1143000" cy="1143000"/>
    <xdr:pic>
      <xdr:nvPicPr>
        <xdr:cNvPr id="4512" name="1c3b087b-ef67-4ab7-b952-5624effa410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c295c912bcf431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4515</xdr:row>
      <xdr:rowOff>19050</xdr:rowOff>
    </xdr:from>
    <xdr:ext cx="1143000" cy="1143000"/>
    <xdr:pic>
      <xdr:nvPicPr>
        <xdr:cNvPr id="4513" name="7e3a212f-aa36-4586-9cd4-42f4e9b5188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03853eac3e3493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4516</xdr:row>
      <xdr:rowOff>19050</xdr:rowOff>
    </xdr:from>
    <xdr:ext cx="1143000" cy="1143000"/>
    <xdr:pic>
      <xdr:nvPicPr>
        <xdr:cNvPr id="4514" name="fbf1e831-789f-44c6-81df-32f07470ac4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d151749417a485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4517</xdr:row>
      <xdr:rowOff>19050</xdr:rowOff>
    </xdr:from>
    <xdr:ext cx="1143000" cy="1143000"/>
    <xdr:pic>
      <xdr:nvPicPr>
        <xdr:cNvPr id="4515" name="4585fa1d-112b-4bec-9b71-6054beb8e06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068f0813a2c41a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4518</xdr:row>
      <xdr:rowOff>19050</xdr:rowOff>
    </xdr:from>
    <xdr:ext cx="1143000" cy="1143000"/>
    <xdr:pic>
      <xdr:nvPicPr>
        <xdr:cNvPr id="4516" name="b8c21768-dbea-4b74-8aa1-fd1b74b3ceb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7e6ac652554463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4519</xdr:row>
      <xdr:rowOff>19050</xdr:rowOff>
    </xdr:from>
    <xdr:ext cx="1143000" cy="1143000"/>
    <xdr:pic>
      <xdr:nvPicPr>
        <xdr:cNvPr id="4517" name="a6278428-ceaf-489e-bab4-a010629d50f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91e4c0633bd48e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4520</xdr:row>
      <xdr:rowOff>19050</xdr:rowOff>
    </xdr:from>
    <xdr:ext cx="1143000" cy="1143000"/>
    <xdr:pic>
      <xdr:nvPicPr>
        <xdr:cNvPr id="4518" name="10c05474-0f03-4d8e-8241-b038a9a82df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4f0bb9cd6d541b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4521</xdr:row>
      <xdr:rowOff>19050</xdr:rowOff>
    </xdr:from>
    <xdr:ext cx="1143000" cy="1143000"/>
    <xdr:pic>
      <xdr:nvPicPr>
        <xdr:cNvPr id="4519" name="aa5f6ef5-e5e1-44d5-ab4d-b36e2c23908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a4d45e2d0ad4e7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4522</xdr:row>
      <xdr:rowOff>19050</xdr:rowOff>
    </xdr:from>
    <xdr:ext cx="1143000" cy="1143000"/>
    <xdr:pic>
      <xdr:nvPicPr>
        <xdr:cNvPr id="4520" name="6e497c05-38ce-4d16-97c9-508c05c57d1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d367692bcdb4be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4523</xdr:row>
      <xdr:rowOff>19050</xdr:rowOff>
    </xdr:from>
    <xdr:ext cx="1143000" cy="1143000"/>
    <xdr:pic>
      <xdr:nvPicPr>
        <xdr:cNvPr id="4521" name="ebd2aee7-61ef-490f-a8b6-e2affba34ee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2897b494484491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4524</xdr:row>
      <xdr:rowOff>19050</xdr:rowOff>
    </xdr:from>
    <xdr:ext cx="1143000" cy="1143000"/>
    <xdr:pic>
      <xdr:nvPicPr>
        <xdr:cNvPr id="4522" name="3a276765-4fdc-4ac2-9682-b23d45faa5f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11a556133a34e4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4525</xdr:row>
      <xdr:rowOff>19050</xdr:rowOff>
    </xdr:from>
    <xdr:ext cx="1143000" cy="1143000"/>
    <xdr:pic>
      <xdr:nvPicPr>
        <xdr:cNvPr id="4523" name="ef59090e-a5fc-4751-89ce-591dee3fbd9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49ff01b2baf46e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4526</xdr:row>
      <xdr:rowOff>19050</xdr:rowOff>
    </xdr:from>
    <xdr:ext cx="1143000" cy="1143000"/>
    <xdr:pic>
      <xdr:nvPicPr>
        <xdr:cNvPr id="4524" name="2f316e07-9fe0-4b8b-b719-bf754d62c46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af75f558e964c9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4527</xdr:row>
      <xdr:rowOff>19050</xdr:rowOff>
    </xdr:from>
    <xdr:ext cx="1143000" cy="1143000"/>
    <xdr:pic>
      <xdr:nvPicPr>
        <xdr:cNvPr id="4525" name="6352619a-62b8-4f75-b9fa-6c163db47b9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50d98fac6bb4eb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4528</xdr:row>
      <xdr:rowOff>19050</xdr:rowOff>
    </xdr:from>
    <xdr:ext cx="1143000" cy="1143000"/>
    <xdr:pic>
      <xdr:nvPicPr>
        <xdr:cNvPr id="4526" name="676a5e14-c23c-452d-967b-6f982875292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56542b70a47485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4529</xdr:row>
      <xdr:rowOff>19050</xdr:rowOff>
    </xdr:from>
    <xdr:ext cx="1143000" cy="1143000"/>
    <xdr:pic>
      <xdr:nvPicPr>
        <xdr:cNvPr id="4527" name="df83d016-f8e7-4131-9bde-7f194c2814e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eb4f578ce8447b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4530</xdr:row>
      <xdr:rowOff>19050</xdr:rowOff>
    </xdr:from>
    <xdr:ext cx="1143000" cy="1143000"/>
    <xdr:pic>
      <xdr:nvPicPr>
        <xdr:cNvPr id="4528" name="cfc8efea-0b72-4fe2-bb41-a93e72978c0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fa203c1fa674ae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4531</xdr:row>
      <xdr:rowOff>19050</xdr:rowOff>
    </xdr:from>
    <xdr:ext cx="1143000" cy="1143000"/>
    <xdr:pic>
      <xdr:nvPicPr>
        <xdr:cNvPr id="4529" name="e94132b7-51f4-4e7b-8b93-4ca0d24e9a2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db56e7782e2450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4532</xdr:row>
      <xdr:rowOff>19050</xdr:rowOff>
    </xdr:from>
    <xdr:ext cx="1143000" cy="1143000"/>
    <xdr:pic>
      <xdr:nvPicPr>
        <xdr:cNvPr id="4530" name="eda5c04f-ad5b-4473-a513-57f2b0ddf56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d7803743f524e8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4533</xdr:row>
      <xdr:rowOff>19050</xdr:rowOff>
    </xdr:from>
    <xdr:ext cx="1143000" cy="1143000"/>
    <xdr:pic>
      <xdr:nvPicPr>
        <xdr:cNvPr id="4531" name="2a25f513-6f57-4790-86a3-6e58a8d2350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a2e47b04e07442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4534</xdr:row>
      <xdr:rowOff>19050</xdr:rowOff>
    </xdr:from>
    <xdr:ext cx="1143000" cy="1143000"/>
    <xdr:pic>
      <xdr:nvPicPr>
        <xdr:cNvPr id="4532" name="e90bbb67-1fda-401c-97e9-e1d4511ad57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e4ae29673da409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4535</xdr:row>
      <xdr:rowOff>19050</xdr:rowOff>
    </xdr:from>
    <xdr:ext cx="1143000" cy="1143000"/>
    <xdr:pic>
      <xdr:nvPicPr>
        <xdr:cNvPr id="4533" name="346d9939-7a31-4713-a87d-3d4297c7809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0b4341cf1b7459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4536</xdr:row>
      <xdr:rowOff>19050</xdr:rowOff>
    </xdr:from>
    <xdr:ext cx="1143000" cy="1143000"/>
    <xdr:pic>
      <xdr:nvPicPr>
        <xdr:cNvPr id="4534" name="1306d00e-df41-4087-a7b8-fbd36aca2b1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c579e09e7c64fc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4537</xdr:row>
      <xdr:rowOff>19050</xdr:rowOff>
    </xdr:from>
    <xdr:ext cx="1143000" cy="1143000"/>
    <xdr:pic>
      <xdr:nvPicPr>
        <xdr:cNvPr id="4535" name="632124f4-5ca3-47fa-a205-a66b0f77ca6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5b807b513c148c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4538</xdr:row>
      <xdr:rowOff>19050</xdr:rowOff>
    </xdr:from>
    <xdr:ext cx="1143000" cy="1143000"/>
    <xdr:pic>
      <xdr:nvPicPr>
        <xdr:cNvPr id="4536" name="96970279-9bc9-40f3-92ba-7d9812d5a44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b2a4cb2293347d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4539</xdr:row>
      <xdr:rowOff>19050</xdr:rowOff>
    </xdr:from>
    <xdr:ext cx="1143000" cy="1143000"/>
    <xdr:pic>
      <xdr:nvPicPr>
        <xdr:cNvPr id="4537" name="52d0476a-fad5-486f-a878-937f1391274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b4025632e7d457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4540</xdr:row>
      <xdr:rowOff>19050</xdr:rowOff>
    </xdr:from>
    <xdr:ext cx="1143000" cy="1143000"/>
    <xdr:pic>
      <xdr:nvPicPr>
        <xdr:cNvPr id="4538" name="8847aa58-1f4c-44e1-9558-c1969b3cb81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41abe301355454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4541</xdr:row>
      <xdr:rowOff>19050</xdr:rowOff>
    </xdr:from>
    <xdr:ext cx="1143000" cy="1143000"/>
    <xdr:pic>
      <xdr:nvPicPr>
        <xdr:cNvPr id="4539" name="e24bc861-a5f3-4cab-af29-44d9e179379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cb8c4e87a9c42b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4542</xdr:row>
      <xdr:rowOff>19050</xdr:rowOff>
    </xdr:from>
    <xdr:ext cx="1143000" cy="1143000"/>
    <xdr:pic>
      <xdr:nvPicPr>
        <xdr:cNvPr id="4540" name="96e90d6b-a5a8-4cea-9fa2-f1bf8be079c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55d519603684e2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4543</xdr:row>
      <xdr:rowOff>19050</xdr:rowOff>
    </xdr:from>
    <xdr:ext cx="1143000" cy="1143000"/>
    <xdr:pic>
      <xdr:nvPicPr>
        <xdr:cNvPr id="4541" name="28473159-da61-41e2-b4cc-6354e34fb57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184cd245516418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4544</xdr:row>
      <xdr:rowOff>19050</xdr:rowOff>
    </xdr:from>
    <xdr:ext cx="1143000" cy="1143000"/>
    <xdr:pic>
      <xdr:nvPicPr>
        <xdr:cNvPr id="4542" name="effdd3e3-e128-42e3-a15c-a5e26b9d82c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b0acd774cf040e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4545</xdr:row>
      <xdr:rowOff>19050</xdr:rowOff>
    </xdr:from>
    <xdr:ext cx="1143000" cy="1143000"/>
    <xdr:pic>
      <xdr:nvPicPr>
        <xdr:cNvPr id="4543" name="09fa5f2b-371d-4c19-86fb-cf6269823ad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c7e3b1f50d9450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4546</xdr:row>
      <xdr:rowOff>19050</xdr:rowOff>
    </xdr:from>
    <xdr:ext cx="1143000" cy="1143000"/>
    <xdr:pic>
      <xdr:nvPicPr>
        <xdr:cNvPr id="4544" name="003df32d-8e47-42b8-a92c-2d2aea4d41b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b1f0b16c144468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4547</xdr:row>
      <xdr:rowOff>19050</xdr:rowOff>
    </xdr:from>
    <xdr:ext cx="1143000" cy="1143000"/>
    <xdr:pic>
      <xdr:nvPicPr>
        <xdr:cNvPr id="4545" name="33aee40e-86b2-47da-89fc-8140bd5bd87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8549435f5334c2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4548</xdr:row>
      <xdr:rowOff>19050</xdr:rowOff>
    </xdr:from>
    <xdr:ext cx="1143000" cy="1143000"/>
    <xdr:pic>
      <xdr:nvPicPr>
        <xdr:cNvPr id="4546" name="018701ea-3544-4beb-b45c-1afcb754b5b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388cc490dc54fd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4549</xdr:row>
      <xdr:rowOff>19050</xdr:rowOff>
    </xdr:from>
    <xdr:ext cx="1143000" cy="1143000"/>
    <xdr:pic>
      <xdr:nvPicPr>
        <xdr:cNvPr id="4547" name="b39e6bfb-2263-40c3-8adc-c50034890e5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9ec33b344ed487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4550</xdr:row>
      <xdr:rowOff>19050</xdr:rowOff>
    </xdr:from>
    <xdr:ext cx="1143000" cy="1143000"/>
    <xdr:pic>
      <xdr:nvPicPr>
        <xdr:cNvPr id="4548" name="e233e54b-9c9d-48b1-989e-6f8280ac92e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fc204975f25467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4551</xdr:row>
      <xdr:rowOff>19050</xdr:rowOff>
    </xdr:from>
    <xdr:ext cx="1143000" cy="1143000"/>
    <xdr:pic>
      <xdr:nvPicPr>
        <xdr:cNvPr id="4549" name="b31035c5-8eb3-47e1-aba6-452ed9a539a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7fcabd55413452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4552</xdr:row>
      <xdr:rowOff>19050</xdr:rowOff>
    </xdr:from>
    <xdr:ext cx="1143000" cy="1143000"/>
    <xdr:pic>
      <xdr:nvPicPr>
        <xdr:cNvPr id="4550" name="4abf5296-5fdd-4158-93e2-38a671de7d1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bcee0e9b50542a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4553</xdr:row>
      <xdr:rowOff>19050</xdr:rowOff>
    </xdr:from>
    <xdr:ext cx="1143000" cy="1143000"/>
    <xdr:pic>
      <xdr:nvPicPr>
        <xdr:cNvPr id="4551" name="f22d0c97-06d0-49df-81eb-e3b19576cdf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edf6c74cb07459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4554</xdr:row>
      <xdr:rowOff>19050</xdr:rowOff>
    </xdr:from>
    <xdr:ext cx="1143000" cy="1143000"/>
    <xdr:pic>
      <xdr:nvPicPr>
        <xdr:cNvPr id="4552" name="7508c575-cde3-4f00-8825-29be9338d41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eb750dd5e74482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4555</xdr:row>
      <xdr:rowOff>19050</xdr:rowOff>
    </xdr:from>
    <xdr:ext cx="1143000" cy="1143000"/>
    <xdr:pic>
      <xdr:nvPicPr>
        <xdr:cNvPr id="4553" name="ee386ad0-c106-4ca5-b566-141d2389fca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a209bbbd525443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4556</xdr:row>
      <xdr:rowOff>19050</xdr:rowOff>
    </xdr:from>
    <xdr:ext cx="1143000" cy="1143000"/>
    <xdr:pic>
      <xdr:nvPicPr>
        <xdr:cNvPr id="4554" name="f1b38e29-1535-4fa1-9111-d7c1aa2607f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c2087ef97ef4fe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4557</xdr:row>
      <xdr:rowOff>19050</xdr:rowOff>
    </xdr:from>
    <xdr:ext cx="1143000" cy="1143000"/>
    <xdr:pic>
      <xdr:nvPicPr>
        <xdr:cNvPr id="4555" name="53cdc776-a559-492a-b14e-9efcdfe0ad7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f53542c64094fd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4558</xdr:row>
      <xdr:rowOff>19050</xdr:rowOff>
    </xdr:from>
    <xdr:ext cx="1143000" cy="1143000"/>
    <xdr:pic>
      <xdr:nvPicPr>
        <xdr:cNvPr id="4556" name="52016c7e-d562-4d5a-af5f-34aa42b8408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0064e9549524bc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4559</xdr:row>
      <xdr:rowOff>19050</xdr:rowOff>
    </xdr:from>
    <xdr:ext cx="1143000" cy="1143000"/>
    <xdr:pic>
      <xdr:nvPicPr>
        <xdr:cNvPr id="4557" name="17887dca-4289-4db0-937f-7a16070ff2d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fbc3479653245f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4560</xdr:row>
      <xdr:rowOff>19050</xdr:rowOff>
    </xdr:from>
    <xdr:ext cx="1143000" cy="1143000"/>
    <xdr:pic>
      <xdr:nvPicPr>
        <xdr:cNvPr id="4558" name="3eaa2a38-3571-4ab9-ae85-fa684311dd5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f735fd044644d2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4561</xdr:row>
      <xdr:rowOff>19050</xdr:rowOff>
    </xdr:from>
    <xdr:ext cx="1143000" cy="1143000"/>
    <xdr:pic>
      <xdr:nvPicPr>
        <xdr:cNvPr id="4559" name="8f80ab7b-0dcd-4b98-a507-e8e4885ff19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5fbf5060a6947e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4562</xdr:row>
      <xdr:rowOff>19050</xdr:rowOff>
    </xdr:from>
    <xdr:ext cx="1143000" cy="1143000"/>
    <xdr:pic>
      <xdr:nvPicPr>
        <xdr:cNvPr id="4560" name="bc9caad5-7e30-438a-8b93-04934581350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15bd8405c5b4b8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4563</xdr:row>
      <xdr:rowOff>19050</xdr:rowOff>
    </xdr:from>
    <xdr:ext cx="1143000" cy="1143000"/>
    <xdr:pic>
      <xdr:nvPicPr>
        <xdr:cNvPr id="4561" name="d0f4dc29-e6f0-41eb-830e-12a020599f9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09f0b739d04456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4564</xdr:row>
      <xdr:rowOff>19050</xdr:rowOff>
    </xdr:from>
    <xdr:ext cx="1143000" cy="1143000"/>
    <xdr:pic>
      <xdr:nvPicPr>
        <xdr:cNvPr id="4562" name="d3a0b232-fd03-48c4-858f-eb5970a7c2b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49c005dbbf9464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4565</xdr:row>
      <xdr:rowOff>19050</xdr:rowOff>
    </xdr:from>
    <xdr:ext cx="1143000" cy="1143000"/>
    <xdr:pic>
      <xdr:nvPicPr>
        <xdr:cNvPr id="4563" name="9017e9a7-87d6-497a-983a-2bd2da75e8d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f2455a562f64c9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4566</xdr:row>
      <xdr:rowOff>19050</xdr:rowOff>
    </xdr:from>
    <xdr:ext cx="1143000" cy="1143000"/>
    <xdr:pic>
      <xdr:nvPicPr>
        <xdr:cNvPr id="4564" name="508f64ba-9ee4-4b69-bc23-432e1098f58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d2aa1e3580642e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4567</xdr:row>
      <xdr:rowOff>19050</xdr:rowOff>
    </xdr:from>
    <xdr:ext cx="1143000" cy="1143000"/>
    <xdr:pic>
      <xdr:nvPicPr>
        <xdr:cNvPr id="4565" name="fc5855a5-2a94-41a2-aa65-9665ad8ab13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0835a34b9ec449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4568</xdr:row>
      <xdr:rowOff>19050</xdr:rowOff>
    </xdr:from>
    <xdr:ext cx="1143000" cy="1143000"/>
    <xdr:pic>
      <xdr:nvPicPr>
        <xdr:cNvPr id="4566" name="7659336a-2452-4c51-8ab2-5f10c8e25bc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5ac9b69b5ef4e5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4569</xdr:row>
      <xdr:rowOff>19050</xdr:rowOff>
    </xdr:from>
    <xdr:ext cx="1143000" cy="1143000"/>
    <xdr:pic>
      <xdr:nvPicPr>
        <xdr:cNvPr id="4567" name="e7865a1f-b024-4952-8257-b58ae8256d8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2ff9a1abefa410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4570</xdr:row>
      <xdr:rowOff>19050</xdr:rowOff>
    </xdr:from>
    <xdr:ext cx="1143000" cy="1143000"/>
    <xdr:pic>
      <xdr:nvPicPr>
        <xdr:cNvPr id="4568" name="f0d1e674-223a-4b65-bcb8-3921acb73fd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9386643ba9a4c9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4571</xdr:row>
      <xdr:rowOff>19050</xdr:rowOff>
    </xdr:from>
    <xdr:ext cx="1143000" cy="1143000"/>
    <xdr:pic>
      <xdr:nvPicPr>
        <xdr:cNvPr id="4569" name="e2d5cabb-091f-4562-9170-d96cc24dd92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693df02e3a64bd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4572</xdr:row>
      <xdr:rowOff>19050</xdr:rowOff>
    </xdr:from>
    <xdr:ext cx="1143000" cy="1143000"/>
    <xdr:pic>
      <xdr:nvPicPr>
        <xdr:cNvPr id="4570" name="d5e6550f-2ac9-4657-9423-f70e31ad39a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84399d1cd4349a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4573</xdr:row>
      <xdr:rowOff>19050</xdr:rowOff>
    </xdr:from>
    <xdr:ext cx="1143000" cy="1143000"/>
    <xdr:pic>
      <xdr:nvPicPr>
        <xdr:cNvPr id="4571" name="62971867-8af9-45fa-b3b5-77345b456d4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5aeec99334a4fb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4574</xdr:row>
      <xdr:rowOff>19050</xdr:rowOff>
    </xdr:from>
    <xdr:ext cx="1143000" cy="1143000"/>
    <xdr:pic>
      <xdr:nvPicPr>
        <xdr:cNvPr id="4572" name="6c7cc7ea-f621-4a9f-a46c-508149d16fb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78f5ed2bc85466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4575</xdr:row>
      <xdr:rowOff>19050</xdr:rowOff>
    </xdr:from>
    <xdr:ext cx="1143000" cy="1143000"/>
    <xdr:pic>
      <xdr:nvPicPr>
        <xdr:cNvPr id="4573" name="f2d2cd8b-115a-4578-9dd6-b5218b922b7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d7679e07e784e8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4576</xdr:row>
      <xdr:rowOff>19050</xdr:rowOff>
    </xdr:from>
    <xdr:ext cx="1143000" cy="1143000"/>
    <xdr:pic>
      <xdr:nvPicPr>
        <xdr:cNvPr id="4574" name="c6589b6c-ca5a-4978-875f-9a744e2a1a0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431cb0643cf4a4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4577</xdr:row>
      <xdr:rowOff>19050</xdr:rowOff>
    </xdr:from>
    <xdr:ext cx="1143000" cy="1143000"/>
    <xdr:pic>
      <xdr:nvPicPr>
        <xdr:cNvPr id="4575" name="b9704652-7175-45b3-93e5-df580cc9675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75acb0b1de7432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4578</xdr:row>
      <xdr:rowOff>19050</xdr:rowOff>
    </xdr:from>
    <xdr:ext cx="1143000" cy="1143000"/>
    <xdr:pic>
      <xdr:nvPicPr>
        <xdr:cNvPr id="4576" name="760c6395-66f9-458a-8246-b2d2e5f54fe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e4c0136220b480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4579</xdr:row>
      <xdr:rowOff>19050</xdr:rowOff>
    </xdr:from>
    <xdr:ext cx="1143000" cy="1143000"/>
    <xdr:pic>
      <xdr:nvPicPr>
        <xdr:cNvPr id="4577" name="c6434b8b-ec00-4a6b-9f8c-85ecca17497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b83519d024248b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4580</xdr:row>
      <xdr:rowOff>19050</xdr:rowOff>
    </xdr:from>
    <xdr:ext cx="1143000" cy="1143000"/>
    <xdr:pic>
      <xdr:nvPicPr>
        <xdr:cNvPr id="4578" name="d39b76bd-910f-46b9-84a4-5e24def223d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7bbeb2dc8be45d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4581</xdr:row>
      <xdr:rowOff>19050</xdr:rowOff>
    </xdr:from>
    <xdr:ext cx="1143000" cy="1143000"/>
    <xdr:pic>
      <xdr:nvPicPr>
        <xdr:cNvPr id="4579" name="50863b1d-e5d8-4fd4-be81-734258f2fb7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fd9c1df4a4f434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4582</xdr:row>
      <xdr:rowOff>19050</xdr:rowOff>
    </xdr:from>
    <xdr:ext cx="1143000" cy="1143000"/>
    <xdr:pic>
      <xdr:nvPicPr>
        <xdr:cNvPr id="4580" name="268cba75-a157-43aa-9972-7b689b9fcf8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bfbafc0ef24488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4583</xdr:row>
      <xdr:rowOff>19050</xdr:rowOff>
    </xdr:from>
    <xdr:ext cx="1143000" cy="1143000"/>
    <xdr:pic>
      <xdr:nvPicPr>
        <xdr:cNvPr id="4581" name="7d6bde05-c901-4228-946c-6f5db29db06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891dfceabb44df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4584</xdr:row>
      <xdr:rowOff>19050</xdr:rowOff>
    </xdr:from>
    <xdr:ext cx="1143000" cy="1143000"/>
    <xdr:pic>
      <xdr:nvPicPr>
        <xdr:cNvPr id="4582" name="4a474b91-15d3-4c34-b4ef-74c0937be94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14ee3f7345b471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4585</xdr:row>
      <xdr:rowOff>19050</xdr:rowOff>
    </xdr:from>
    <xdr:ext cx="1143000" cy="1143000"/>
    <xdr:pic>
      <xdr:nvPicPr>
        <xdr:cNvPr id="4583" name="0acb2bf4-af48-4feb-a883-92f52fb173b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42511c691f647f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4586</xdr:row>
      <xdr:rowOff>19050</xdr:rowOff>
    </xdr:from>
    <xdr:ext cx="1143000" cy="1143000"/>
    <xdr:pic>
      <xdr:nvPicPr>
        <xdr:cNvPr id="4584" name="cbab0282-f265-41ac-ae1f-b761e5df564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588bbc9fa634de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4587</xdr:row>
      <xdr:rowOff>19050</xdr:rowOff>
    </xdr:from>
    <xdr:ext cx="1143000" cy="1143000"/>
    <xdr:pic>
      <xdr:nvPicPr>
        <xdr:cNvPr id="4585" name="b4cc2814-8c22-4496-8cd3-c15b21c7a1e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25021e2d342492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4588</xdr:row>
      <xdr:rowOff>19050</xdr:rowOff>
    </xdr:from>
    <xdr:ext cx="1143000" cy="1143000"/>
    <xdr:pic>
      <xdr:nvPicPr>
        <xdr:cNvPr id="4586" name="d0648bda-f633-45cd-ae30-be1fcadcb9f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5870ed11576451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4589</xdr:row>
      <xdr:rowOff>19050</xdr:rowOff>
    </xdr:from>
    <xdr:ext cx="1143000" cy="1143000"/>
    <xdr:pic>
      <xdr:nvPicPr>
        <xdr:cNvPr id="4587" name="86c876df-43c9-4213-aa47-c191f4ca5f7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0b92804a7ff411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4590</xdr:row>
      <xdr:rowOff>19050</xdr:rowOff>
    </xdr:from>
    <xdr:ext cx="1143000" cy="1143000"/>
    <xdr:pic>
      <xdr:nvPicPr>
        <xdr:cNvPr id="4588" name="13b4f277-52ce-4d87-86cf-8f6915551be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83c7fdd793d4d3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4591</xdr:row>
      <xdr:rowOff>19050</xdr:rowOff>
    </xdr:from>
    <xdr:ext cx="1143000" cy="1143000"/>
    <xdr:pic>
      <xdr:nvPicPr>
        <xdr:cNvPr id="4589" name="5595fa98-96bc-47a1-9255-4d8587372fc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490cb4f5cc8457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4592</xdr:row>
      <xdr:rowOff>19050</xdr:rowOff>
    </xdr:from>
    <xdr:ext cx="1143000" cy="1143000"/>
    <xdr:pic>
      <xdr:nvPicPr>
        <xdr:cNvPr id="4590" name="de47360a-5ec8-4e3c-93ac-97ebd720a43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41537db51cb441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4593</xdr:row>
      <xdr:rowOff>19050</xdr:rowOff>
    </xdr:from>
    <xdr:ext cx="1143000" cy="1143000"/>
    <xdr:pic>
      <xdr:nvPicPr>
        <xdr:cNvPr id="4591" name="5448c022-311b-4a9b-9719-ff03201808c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972b34b5914479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4594</xdr:row>
      <xdr:rowOff>19050</xdr:rowOff>
    </xdr:from>
    <xdr:ext cx="1143000" cy="1143000"/>
    <xdr:pic>
      <xdr:nvPicPr>
        <xdr:cNvPr id="4592" name="10adc7b8-9b1c-4872-ba72-a13c4d3add4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3e55ca3fc8444a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4595</xdr:row>
      <xdr:rowOff>19050</xdr:rowOff>
    </xdr:from>
    <xdr:ext cx="1143000" cy="1143000"/>
    <xdr:pic>
      <xdr:nvPicPr>
        <xdr:cNvPr id="4593" name="be661335-987b-4119-bb9a-558a644db7f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e77f30e95914c9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4596</xdr:row>
      <xdr:rowOff>19050</xdr:rowOff>
    </xdr:from>
    <xdr:ext cx="1143000" cy="1143000"/>
    <xdr:pic>
      <xdr:nvPicPr>
        <xdr:cNvPr id="4594" name="1a6e116c-d57c-4a41-882f-bfb6243801a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ec5e60142b2401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4597</xdr:row>
      <xdr:rowOff>19050</xdr:rowOff>
    </xdr:from>
    <xdr:ext cx="1143000" cy="1143000"/>
    <xdr:pic>
      <xdr:nvPicPr>
        <xdr:cNvPr id="4595" name="fefb85ff-c3f7-4f2f-9611-11fef7cc6a3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e7f6ea4bdd64e2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4598</xdr:row>
      <xdr:rowOff>19050</xdr:rowOff>
    </xdr:from>
    <xdr:ext cx="1143000" cy="1143000"/>
    <xdr:pic>
      <xdr:nvPicPr>
        <xdr:cNvPr id="4596" name="8276335e-a7a1-4707-b3ac-918d07229bd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a8c9aedaa954ec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4599</xdr:row>
      <xdr:rowOff>19050</xdr:rowOff>
    </xdr:from>
    <xdr:ext cx="1143000" cy="1143000"/>
    <xdr:pic>
      <xdr:nvPicPr>
        <xdr:cNvPr id="4597" name="6d782dfc-cd91-4ae0-b947-0648385025c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53b9a519f7e422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4600</xdr:row>
      <xdr:rowOff>19050</xdr:rowOff>
    </xdr:from>
    <xdr:ext cx="1143000" cy="1143000"/>
    <xdr:pic>
      <xdr:nvPicPr>
        <xdr:cNvPr id="4598" name="3bae4b7d-b50e-4ac1-a2fc-b38d2166792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d793af9567548b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4601</xdr:row>
      <xdr:rowOff>19050</xdr:rowOff>
    </xdr:from>
    <xdr:ext cx="1143000" cy="1143000"/>
    <xdr:pic>
      <xdr:nvPicPr>
        <xdr:cNvPr id="4599" name="c182b5e8-31ba-45fe-b3f3-7b0311b0ba4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80e8707f04445a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4602</xdr:row>
      <xdr:rowOff>19050</xdr:rowOff>
    </xdr:from>
    <xdr:ext cx="1143000" cy="1143000"/>
    <xdr:pic>
      <xdr:nvPicPr>
        <xdr:cNvPr id="4600" name="47117035-e1ee-4d0f-92d3-833427546a3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527c541cb95489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4603</xdr:row>
      <xdr:rowOff>19050</xdr:rowOff>
    </xdr:from>
    <xdr:ext cx="1143000" cy="1143000"/>
    <xdr:pic>
      <xdr:nvPicPr>
        <xdr:cNvPr id="4601" name="6fb60813-a661-4131-8ab9-b39e90adb3f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0b28cf704f141e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4604</xdr:row>
      <xdr:rowOff>19050</xdr:rowOff>
    </xdr:from>
    <xdr:ext cx="1143000" cy="1143000"/>
    <xdr:pic>
      <xdr:nvPicPr>
        <xdr:cNvPr id="4602" name="e4a16d63-e4e9-4a81-a5d3-6bd948a6b8b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92a931f0dbe474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4605</xdr:row>
      <xdr:rowOff>19050</xdr:rowOff>
    </xdr:from>
    <xdr:ext cx="1143000" cy="1143000"/>
    <xdr:pic>
      <xdr:nvPicPr>
        <xdr:cNvPr id="4603" name="136dffad-6907-4096-9bf7-de9b9a30684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2a0a87879a14e9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4606</xdr:row>
      <xdr:rowOff>19050</xdr:rowOff>
    </xdr:from>
    <xdr:ext cx="1143000" cy="1143000"/>
    <xdr:pic>
      <xdr:nvPicPr>
        <xdr:cNvPr id="4604" name="92821a85-67f1-4315-81fc-263eb964182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53120e59b914af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4607</xdr:row>
      <xdr:rowOff>19050</xdr:rowOff>
    </xdr:from>
    <xdr:ext cx="1143000" cy="1143000"/>
    <xdr:pic>
      <xdr:nvPicPr>
        <xdr:cNvPr id="4605" name="fa8c3e29-bee7-47ab-bfa5-7ca8b15568f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cfdcb8502cf49c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4608</xdr:row>
      <xdr:rowOff>19050</xdr:rowOff>
    </xdr:from>
    <xdr:ext cx="1143000" cy="1143000"/>
    <xdr:pic>
      <xdr:nvPicPr>
        <xdr:cNvPr id="4606" name="e9651008-a60c-411e-bb64-1930ec5c153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ca1cfd97bdb422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4609</xdr:row>
      <xdr:rowOff>19050</xdr:rowOff>
    </xdr:from>
    <xdr:ext cx="1143000" cy="1143000"/>
    <xdr:pic>
      <xdr:nvPicPr>
        <xdr:cNvPr id="4607" name="d5a75fde-10fa-4569-b82e-0e698c17464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8991593aaa2422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4610</xdr:row>
      <xdr:rowOff>19050</xdr:rowOff>
    </xdr:from>
    <xdr:ext cx="1143000" cy="1143000"/>
    <xdr:pic>
      <xdr:nvPicPr>
        <xdr:cNvPr id="4608" name="d0cfe95f-bd04-4bc8-81ef-a6aa5bde91c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b01b1c64404406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4611</xdr:row>
      <xdr:rowOff>19050</xdr:rowOff>
    </xdr:from>
    <xdr:ext cx="1143000" cy="1143000"/>
    <xdr:pic>
      <xdr:nvPicPr>
        <xdr:cNvPr id="4609" name="7e64dd54-321a-4abe-bab1-d529f7f4ad9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cb04b47ef7c41c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4612</xdr:row>
      <xdr:rowOff>19050</xdr:rowOff>
    </xdr:from>
    <xdr:ext cx="1143000" cy="1143000"/>
    <xdr:pic>
      <xdr:nvPicPr>
        <xdr:cNvPr id="4610" name="69061fbe-9608-45e1-bbe4-ea2b5dd8c11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c22b841f43241f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4613</xdr:row>
      <xdr:rowOff>19050</xdr:rowOff>
    </xdr:from>
    <xdr:ext cx="1143000" cy="1143000"/>
    <xdr:pic>
      <xdr:nvPicPr>
        <xdr:cNvPr id="4611" name="c4dd5e47-1374-4a53-b36b-85e3eda6f6c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50df243d8f7434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4614</xdr:row>
      <xdr:rowOff>19050</xdr:rowOff>
    </xdr:from>
    <xdr:ext cx="1143000" cy="1143000"/>
    <xdr:pic>
      <xdr:nvPicPr>
        <xdr:cNvPr id="4612" name="92a6593b-9fc4-49f9-80a4-0bc20f0746f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6858a9a373b414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4615</xdr:row>
      <xdr:rowOff>19050</xdr:rowOff>
    </xdr:from>
    <xdr:ext cx="1143000" cy="1143000"/>
    <xdr:pic>
      <xdr:nvPicPr>
        <xdr:cNvPr id="4613" name="7f9d5e4a-d6e7-4f04-ac81-361131fd56e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5e79256f9e8450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4616</xdr:row>
      <xdr:rowOff>19050</xdr:rowOff>
    </xdr:from>
    <xdr:ext cx="1143000" cy="1143000"/>
    <xdr:pic>
      <xdr:nvPicPr>
        <xdr:cNvPr id="4614" name="58ce16aa-bab8-4ddc-900d-4f15efb16f0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ff5acd80df6438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4617</xdr:row>
      <xdr:rowOff>19050</xdr:rowOff>
    </xdr:from>
    <xdr:ext cx="1143000" cy="1143000"/>
    <xdr:pic>
      <xdr:nvPicPr>
        <xdr:cNvPr id="4615" name="1bec2655-c474-4902-9ae7-b097807e4bd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e54cb9ac1214a9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4618</xdr:row>
      <xdr:rowOff>19050</xdr:rowOff>
    </xdr:from>
    <xdr:ext cx="1143000" cy="1143000"/>
    <xdr:pic>
      <xdr:nvPicPr>
        <xdr:cNvPr id="4616" name="3b1b1068-c7f3-42df-b87a-18b5ec5a0af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f5c1b71ef04407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4619</xdr:row>
      <xdr:rowOff>19050</xdr:rowOff>
    </xdr:from>
    <xdr:ext cx="1143000" cy="1143000"/>
    <xdr:pic>
      <xdr:nvPicPr>
        <xdr:cNvPr id="4617" name="0a87e05e-c6a8-4dc7-bb3d-eec8df26624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a13af18043c448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4620</xdr:row>
      <xdr:rowOff>19050</xdr:rowOff>
    </xdr:from>
    <xdr:ext cx="1143000" cy="1143000"/>
    <xdr:pic>
      <xdr:nvPicPr>
        <xdr:cNvPr id="4618" name="bd46f547-78eb-4f87-b824-9f4f1f15b0f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e0458c41af14f3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4621</xdr:row>
      <xdr:rowOff>19050</xdr:rowOff>
    </xdr:from>
    <xdr:ext cx="1143000" cy="1143000"/>
    <xdr:pic>
      <xdr:nvPicPr>
        <xdr:cNvPr id="4619" name="1b9c33a1-0518-4099-b098-5c420749963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404cc34721b4c2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4622</xdr:row>
      <xdr:rowOff>19050</xdr:rowOff>
    </xdr:from>
    <xdr:ext cx="1143000" cy="1143000"/>
    <xdr:pic>
      <xdr:nvPicPr>
        <xdr:cNvPr id="4620" name="ec84c7c9-b2d5-4fe0-970b-9406beb1432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a390c77da7f4f0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4623</xdr:row>
      <xdr:rowOff>19050</xdr:rowOff>
    </xdr:from>
    <xdr:ext cx="1143000" cy="1143000"/>
    <xdr:pic>
      <xdr:nvPicPr>
        <xdr:cNvPr id="4621" name="beb06a7d-1912-450d-930d-fc9976b0c97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e755406e4d0471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4624</xdr:row>
      <xdr:rowOff>19050</xdr:rowOff>
    </xdr:from>
    <xdr:ext cx="1143000" cy="1143000"/>
    <xdr:pic>
      <xdr:nvPicPr>
        <xdr:cNvPr id="4622" name="3b7aa4d6-39b1-45d6-8d71-31ce342ea37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d084f4097d84df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4625</xdr:row>
      <xdr:rowOff>19050</xdr:rowOff>
    </xdr:from>
    <xdr:ext cx="1143000" cy="1143000"/>
    <xdr:pic>
      <xdr:nvPicPr>
        <xdr:cNvPr id="4623" name="9b2fe07f-3da5-41b7-85c6-e62f0a84f32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040fa89f57a457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4626</xdr:row>
      <xdr:rowOff>19050</xdr:rowOff>
    </xdr:from>
    <xdr:ext cx="1143000" cy="1143000"/>
    <xdr:pic>
      <xdr:nvPicPr>
        <xdr:cNvPr id="4624" name="d5a50e8e-b354-4dba-bf71-f01966baedd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7dfeab9f89d4e9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4627</xdr:row>
      <xdr:rowOff>19050</xdr:rowOff>
    </xdr:from>
    <xdr:ext cx="1143000" cy="1143000"/>
    <xdr:pic>
      <xdr:nvPicPr>
        <xdr:cNvPr id="4625" name="f411eee5-4c10-421b-aae0-4bcd401cad2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bd1fb9e959d4b3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4628</xdr:row>
      <xdr:rowOff>19050</xdr:rowOff>
    </xdr:from>
    <xdr:ext cx="1143000" cy="1143000"/>
    <xdr:pic>
      <xdr:nvPicPr>
        <xdr:cNvPr id="4626" name="9f7d9f05-c11f-42c2-bb30-217822ed081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53e3ae5333243b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4629</xdr:row>
      <xdr:rowOff>19050</xdr:rowOff>
    </xdr:from>
    <xdr:ext cx="1143000" cy="1143000"/>
    <xdr:pic>
      <xdr:nvPicPr>
        <xdr:cNvPr id="4627" name="e0a8b6e7-6b7c-4ae0-b5a2-91af3b8506d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ccf556ba06d4cb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4630</xdr:row>
      <xdr:rowOff>19050</xdr:rowOff>
    </xdr:from>
    <xdr:ext cx="1143000" cy="1143000"/>
    <xdr:pic>
      <xdr:nvPicPr>
        <xdr:cNvPr id="4628" name="76452064-6a00-4ae4-b0da-3a671867548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1f37183bcac4ae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4631</xdr:row>
      <xdr:rowOff>19050</xdr:rowOff>
    </xdr:from>
    <xdr:ext cx="1143000" cy="1143000"/>
    <xdr:pic>
      <xdr:nvPicPr>
        <xdr:cNvPr id="4629" name="e1fc6ea1-ed21-448d-9248-85a4ca97a0c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e149187119b44d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4632</xdr:row>
      <xdr:rowOff>19050</xdr:rowOff>
    </xdr:from>
    <xdr:ext cx="1143000" cy="1143000"/>
    <xdr:pic>
      <xdr:nvPicPr>
        <xdr:cNvPr id="4630" name="bf867374-4453-4550-b597-1082c730969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a7a15d0b0b9424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4633</xdr:row>
      <xdr:rowOff>19050</xdr:rowOff>
    </xdr:from>
    <xdr:ext cx="1143000" cy="1143000"/>
    <xdr:pic>
      <xdr:nvPicPr>
        <xdr:cNvPr id="4631" name="a65405fe-c89f-4880-afaf-ead2914db3e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1879c787d8a47c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4634</xdr:row>
      <xdr:rowOff>19050</xdr:rowOff>
    </xdr:from>
    <xdr:ext cx="1143000" cy="1143000"/>
    <xdr:pic>
      <xdr:nvPicPr>
        <xdr:cNvPr id="4632" name="e4837c92-9cdc-42d9-b243-2603f5aeb06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dd2d40008dd48c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4635</xdr:row>
      <xdr:rowOff>19050</xdr:rowOff>
    </xdr:from>
    <xdr:ext cx="1143000" cy="1143000"/>
    <xdr:pic>
      <xdr:nvPicPr>
        <xdr:cNvPr id="4633" name="7c7ddb12-7d33-43f3-bcdf-4b686fb0bc4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5d8b9dcdce6473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4636</xdr:row>
      <xdr:rowOff>19050</xdr:rowOff>
    </xdr:from>
    <xdr:ext cx="1143000" cy="1143000"/>
    <xdr:pic>
      <xdr:nvPicPr>
        <xdr:cNvPr id="4634" name="e0c6e01b-8057-4246-bcca-ab27e921687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a38725d581747c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4637</xdr:row>
      <xdr:rowOff>19050</xdr:rowOff>
    </xdr:from>
    <xdr:ext cx="1143000" cy="1143000"/>
    <xdr:pic>
      <xdr:nvPicPr>
        <xdr:cNvPr id="4635" name="8065935c-94f2-474d-bbff-4a90bdbf86a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4fe3ebe2a25421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4638</xdr:row>
      <xdr:rowOff>19050</xdr:rowOff>
    </xdr:from>
    <xdr:ext cx="1143000" cy="1143000"/>
    <xdr:pic>
      <xdr:nvPicPr>
        <xdr:cNvPr id="4636" name="3d291066-4823-4231-8c11-41fc1d1405c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1e85b6106bc400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4639</xdr:row>
      <xdr:rowOff>19050</xdr:rowOff>
    </xdr:from>
    <xdr:ext cx="1143000" cy="1143000"/>
    <xdr:pic>
      <xdr:nvPicPr>
        <xdr:cNvPr id="4637" name="ecc362e6-3a40-428c-a148-0cdeef4f320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e195d9d794e448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4640</xdr:row>
      <xdr:rowOff>19050</xdr:rowOff>
    </xdr:from>
    <xdr:ext cx="1143000" cy="1143000"/>
    <xdr:pic>
      <xdr:nvPicPr>
        <xdr:cNvPr id="4638" name="5fe79e44-83a3-4e9e-bf31-2aeccd617c6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d1422489dc84c5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4641</xdr:row>
      <xdr:rowOff>19050</xdr:rowOff>
    </xdr:from>
    <xdr:ext cx="1143000" cy="1143000"/>
    <xdr:pic>
      <xdr:nvPicPr>
        <xdr:cNvPr id="4639" name="63d7c793-fc54-4258-a230-73b51700043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af0d6a69f7e419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4642</xdr:row>
      <xdr:rowOff>19050</xdr:rowOff>
    </xdr:from>
    <xdr:ext cx="1143000" cy="1143000"/>
    <xdr:pic>
      <xdr:nvPicPr>
        <xdr:cNvPr id="4640" name="d67f1299-991f-4005-a530-23ccfc488a4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5206a7517034e0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4643</xdr:row>
      <xdr:rowOff>19050</xdr:rowOff>
    </xdr:from>
    <xdr:ext cx="1143000" cy="1143000"/>
    <xdr:pic>
      <xdr:nvPicPr>
        <xdr:cNvPr id="4641" name="4bef79fa-8d48-496a-964b-cc4b034e5ac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90640eb8ea44de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4644</xdr:row>
      <xdr:rowOff>19050</xdr:rowOff>
    </xdr:from>
    <xdr:ext cx="1143000" cy="1143000"/>
    <xdr:pic>
      <xdr:nvPicPr>
        <xdr:cNvPr id="4642" name="5af487ff-0846-4ba7-a4ce-4c31718fe5d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940ec35c57a429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4645</xdr:row>
      <xdr:rowOff>19050</xdr:rowOff>
    </xdr:from>
    <xdr:ext cx="1143000" cy="1143000"/>
    <xdr:pic>
      <xdr:nvPicPr>
        <xdr:cNvPr id="4643" name="f6fbcec3-4143-4f99-963d-f2c91da92b0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fd0a93a92e94f6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4646</xdr:row>
      <xdr:rowOff>19050</xdr:rowOff>
    </xdr:from>
    <xdr:ext cx="1143000" cy="1143000"/>
    <xdr:pic>
      <xdr:nvPicPr>
        <xdr:cNvPr id="4644" name="36a1884f-655d-48e3-91cb-10e20fafd5c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733c172c97f4d6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4647</xdr:row>
      <xdr:rowOff>19050</xdr:rowOff>
    </xdr:from>
    <xdr:ext cx="1143000" cy="1143000"/>
    <xdr:pic>
      <xdr:nvPicPr>
        <xdr:cNvPr id="4645" name="263afdf3-f667-4bbf-acd5-871452bd76d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aa1edb89c15462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4648</xdr:row>
      <xdr:rowOff>19050</xdr:rowOff>
    </xdr:from>
    <xdr:ext cx="1143000" cy="1143000"/>
    <xdr:pic>
      <xdr:nvPicPr>
        <xdr:cNvPr id="4646" name="bac501ae-c942-47aa-88f4-67507ca1683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d0f95e8004c405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4649</xdr:row>
      <xdr:rowOff>19050</xdr:rowOff>
    </xdr:from>
    <xdr:ext cx="1143000" cy="1143000"/>
    <xdr:pic>
      <xdr:nvPicPr>
        <xdr:cNvPr id="4647" name="4c759455-1491-47c0-98b0-9b935d5665b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f84bb8ad2b2466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4650</xdr:row>
      <xdr:rowOff>19050</xdr:rowOff>
    </xdr:from>
    <xdr:ext cx="1143000" cy="1143000"/>
    <xdr:pic>
      <xdr:nvPicPr>
        <xdr:cNvPr id="4648" name="d0b83f24-45d9-4a44-ace4-4cb51f9b66c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a1e26b6ddd445c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4651</xdr:row>
      <xdr:rowOff>19050</xdr:rowOff>
    </xdr:from>
    <xdr:ext cx="1143000" cy="1143000"/>
    <xdr:pic>
      <xdr:nvPicPr>
        <xdr:cNvPr id="4649" name="898d88fd-5749-4efb-89e6-852c237c240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9b6ca7f5838440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4652</xdr:row>
      <xdr:rowOff>19050</xdr:rowOff>
    </xdr:from>
    <xdr:ext cx="1143000" cy="1143000"/>
    <xdr:pic>
      <xdr:nvPicPr>
        <xdr:cNvPr id="4650" name="585757d1-e58a-4ab8-b200-81ee65c5112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2771ea88c40434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4653</xdr:row>
      <xdr:rowOff>19050</xdr:rowOff>
    </xdr:from>
    <xdr:ext cx="1143000" cy="1143000"/>
    <xdr:pic>
      <xdr:nvPicPr>
        <xdr:cNvPr id="4651" name="34789466-fca3-4bcc-976f-8b1dc96f797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04cff3051ff4e3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4654</xdr:row>
      <xdr:rowOff>19050</xdr:rowOff>
    </xdr:from>
    <xdr:ext cx="1143000" cy="1143000"/>
    <xdr:pic>
      <xdr:nvPicPr>
        <xdr:cNvPr id="4652" name="0eb1b8c3-fc5c-4e37-b277-8c1523e74a7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34342bb53f64d2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4655</xdr:row>
      <xdr:rowOff>19050</xdr:rowOff>
    </xdr:from>
    <xdr:ext cx="1143000" cy="1143000"/>
    <xdr:pic>
      <xdr:nvPicPr>
        <xdr:cNvPr id="4653" name="80878fc5-e968-4a7e-a0bf-fe6f00b15de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0a6eaff665a4ae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4656</xdr:row>
      <xdr:rowOff>19050</xdr:rowOff>
    </xdr:from>
    <xdr:ext cx="1143000" cy="1143000"/>
    <xdr:pic>
      <xdr:nvPicPr>
        <xdr:cNvPr id="4654" name="037dace8-22a0-4304-a854-ec4615b0a4c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e9323369fd543e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4657</xdr:row>
      <xdr:rowOff>19050</xdr:rowOff>
    </xdr:from>
    <xdr:ext cx="1143000" cy="1143000"/>
    <xdr:pic>
      <xdr:nvPicPr>
        <xdr:cNvPr id="4655" name="f7062ceb-9ee4-45f8-84e3-18e2702287f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9b6e54469e54eb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4658</xdr:row>
      <xdr:rowOff>19050</xdr:rowOff>
    </xdr:from>
    <xdr:ext cx="1143000" cy="1143000"/>
    <xdr:pic>
      <xdr:nvPicPr>
        <xdr:cNvPr id="4656" name="649881f4-169c-4a32-ad5f-7b0a170378d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034fcf567a5491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4659</xdr:row>
      <xdr:rowOff>19050</xdr:rowOff>
    </xdr:from>
    <xdr:ext cx="1143000" cy="1143000"/>
    <xdr:pic>
      <xdr:nvPicPr>
        <xdr:cNvPr id="4657" name="6d4e1f59-fe97-4a30-83fa-e528b57501e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71fed6b1870454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4660</xdr:row>
      <xdr:rowOff>19050</xdr:rowOff>
    </xdr:from>
    <xdr:ext cx="1143000" cy="1143000"/>
    <xdr:pic>
      <xdr:nvPicPr>
        <xdr:cNvPr id="4658" name="6223da9e-a992-423a-be40-c15991bee4a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a4c83182df84c8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4661</xdr:row>
      <xdr:rowOff>19050</xdr:rowOff>
    </xdr:from>
    <xdr:ext cx="1143000" cy="1143000"/>
    <xdr:pic>
      <xdr:nvPicPr>
        <xdr:cNvPr id="4659" name="a4d3c83a-8e7a-4cc9-8d85-97432e276bf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0139bd7c9fb45f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4662</xdr:row>
      <xdr:rowOff>19050</xdr:rowOff>
    </xdr:from>
    <xdr:ext cx="1143000" cy="1143000"/>
    <xdr:pic>
      <xdr:nvPicPr>
        <xdr:cNvPr id="4660" name="8b8270cb-5193-4f16-b35b-a3a0c8af0f8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4f5e365c93241b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4663</xdr:row>
      <xdr:rowOff>19050</xdr:rowOff>
    </xdr:from>
    <xdr:ext cx="1143000" cy="1143000"/>
    <xdr:pic>
      <xdr:nvPicPr>
        <xdr:cNvPr id="4661" name="4bcc32b2-e1d4-4131-b0e8-1f15af5957b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3e6ed263e7443b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4664</xdr:row>
      <xdr:rowOff>19050</xdr:rowOff>
    </xdr:from>
    <xdr:ext cx="1143000" cy="1143000"/>
    <xdr:pic>
      <xdr:nvPicPr>
        <xdr:cNvPr id="4662" name="9e1a1655-9178-44b2-b92a-a6fbf9eb347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a3948d590a54ab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4665</xdr:row>
      <xdr:rowOff>19050</xdr:rowOff>
    </xdr:from>
    <xdr:ext cx="1143000" cy="1143000"/>
    <xdr:pic>
      <xdr:nvPicPr>
        <xdr:cNvPr id="4663" name="dc8a289c-ad39-4080-ba9a-199e8330fe3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13129a9a15444f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4666</xdr:row>
      <xdr:rowOff>19050</xdr:rowOff>
    </xdr:from>
    <xdr:ext cx="1143000" cy="1143000"/>
    <xdr:pic>
      <xdr:nvPicPr>
        <xdr:cNvPr id="4664" name="da12dd18-930e-4e81-8eb8-ff45cf80081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8793ae0fd46468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4667</xdr:row>
      <xdr:rowOff>19050</xdr:rowOff>
    </xdr:from>
    <xdr:ext cx="1143000" cy="1143000"/>
    <xdr:pic>
      <xdr:nvPicPr>
        <xdr:cNvPr id="4665" name="29da25f5-8ac8-4780-ad7e-29ba21dc904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6835e85dc00465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4668</xdr:row>
      <xdr:rowOff>19050</xdr:rowOff>
    </xdr:from>
    <xdr:ext cx="1143000" cy="1143000"/>
    <xdr:pic>
      <xdr:nvPicPr>
        <xdr:cNvPr id="4666" name="bd653882-6185-43f4-928c-12e5bb1e535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6f78abe63fc445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4669</xdr:row>
      <xdr:rowOff>19050</xdr:rowOff>
    </xdr:from>
    <xdr:ext cx="1143000" cy="1143000"/>
    <xdr:pic>
      <xdr:nvPicPr>
        <xdr:cNvPr id="4667" name="89b1ddf2-1cc5-41de-8d66-24285b64c0a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49df160189442e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4670</xdr:row>
      <xdr:rowOff>19050</xdr:rowOff>
    </xdr:from>
    <xdr:ext cx="1143000" cy="1143000"/>
    <xdr:pic>
      <xdr:nvPicPr>
        <xdr:cNvPr id="4668" name="0acffd5a-e7fa-4b81-8bc5-206d2adc125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b0968113b794f8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4671</xdr:row>
      <xdr:rowOff>19050</xdr:rowOff>
    </xdr:from>
    <xdr:ext cx="1143000" cy="1143000"/>
    <xdr:pic>
      <xdr:nvPicPr>
        <xdr:cNvPr id="4669" name="813c27ee-1fb4-4da8-bac7-8eb39b92ea0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4067787bee742b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4672</xdr:row>
      <xdr:rowOff>19050</xdr:rowOff>
    </xdr:from>
    <xdr:ext cx="1143000" cy="1143000"/>
    <xdr:pic>
      <xdr:nvPicPr>
        <xdr:cNvPr id="4670" name="a2ad3334-5b98-4530-aa7a-95e46c075db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701af717fc44ca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4673</xdr:row>
      <xdr:rowOff>19050</xdr:rowOff>
    </xdr:from>
    <xdr:ext cx="1143000" cy="1143000"/>
    <xdr:pic>
      <xdr:nvPicPr>
        <xdr:cNvPr id="4671" name="1bbfa006-2f1f-4c5c-a3f4-d2fc19492c0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432f18db3b94c1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4674</xdr:row>
      <xdr:rowOff>19050</xdr:rowOff>
    </xdr:from>
    <xdr:ext cx="1143000" cy="1143000"/>
    <xdr:pic>
      <xdr:nvPicPr>
        <xdr:cNvPr id="4672" name="0af91a44-d6e9-46ea-8efe-029b121baeb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eaf2255dfb44ad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4675</xdr:row>
      <xdr:rowOff>19050</xdr:rowOff>
    </xdr:from>
    <xdr:ext cx="1143000" cy="1143000"/>
    <xdr:pic>
      <xdr:nvPicPr>
        <xdr:cNvPr id="4673" name="53d30005-9c1c-4792-bc71-383c790d93f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222fd53c36b405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4676</xdr:row>
      <xdr:rowOff>19050</xdr:rowOff>
    </xdr:from>
    <xdr:ext cx="1143000" cy="1143000"/>
    <xdr:pic>
      <xdr:nvPicPr>
        <xdr:cNvPr id="4674" name="07636028-948c-4956-b132-b27e50a87c7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c9a3020fc634ea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4677</xdr:row>
      <xdr:rowOff>19050</xdr:rowOff>
    </xdr:from>
    <xdr:ext cx="1143000" cy="1143000"/>
    <xdr:pic>
      <xdr:nvPicPr>
        <xdr:cNvPr id="4675" name="1e2762f3-1638-4d68-b0b4-8a84554e06e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5737ed91bf04ec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4678</xdr:row>
      <xdr:rowOff>19050</xdr:rowOff>
    </xdr:from>
    <xdr:ext cx="1143000" cy="1143000"/>
    <xdr:pic>
      <xdr:nvPicPr>
        <xdr:cNvPr id="4676" name="60abfcc1-1302-4b73-9700-2fb5cf95aff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06128f02fe54f7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4679</xdr:row>
      <xdr:rowOff>19050</xdr:rowOff>
    </xdr:from>
    <xdr:ext cx="1143000" cy="1143000"/>
    <xdr:pic>
      <xdr:nvPicPr>
        <xdr:cNvPr id="4677" name="68c14589-4a54-4148-bca4-2e1d643514b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12fbbfa6bae415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4680</xdr:row>
      <xdr:rowOff>19050</xdr:rowOff>
    </xdr:from>
    <xdr:ext cx="1143000" cy="1143000"/>
    <xdr:pic>
      <xdr:nvPicPr>
        <xdr:cNvPr id="4678" name="69ad20fa-22e2-4ff9-9224-adce4fe04af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dbf3d78f35d4b0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4681</xdr:row>
      <xdr:rowOff>19050</xdr:rowOff>
    </xdr:from>
    <xdr:ext cx="1143000" cy="1143000"/>
    <xdr:pic>
      <xdr:nvPicPr>
        <xdr:cNvPr id="4679" name="ee2ad09b-645d-4b7d-bb1f-c3177fe35be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dbda4046f47496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4682</xdr:row>
      <xdr:rowOff>19050</xdr:rowOff>
    </xdr:from>
    <xdr:ext cx="1143000" cy="1143000"/>
    <xdr:pic>
      <xdr:nvPicPr>
        <xdr:cNvPr id="4680" name="f4cb34fe-d88f-4edf-a855-d010acf8e6c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f65212b2fae450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4683</xdr:row>
      <xdr:rowOff>19050</xdr:rowOff>
    </xdr:from>
    <xdr:ext cx="1143000" cy="1143000"/>
    <xdr:pic>
      <xdr:nvPicPr>
        <xdr:cNvPr id="4681" name="79bb7514-528e-44e2-9274-1e4966fa6a5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080808b06b4414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4684</xdr:row>
      <xdr:rowOff>19050</xdr:rowOff>
    </xdr:from>
    <xdr:ext cx="1143000" cy="1143000"/>
    <xdr:pic>
      <xdr:nvPicPr>
        <xdr:cNvPr id="4682" name="71093486-f3d5-4f1a-b344-04884315def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af075058d9443e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4685</xdr:row>
      <xdr:rowOff>19050</xdr:rowOff>
    </xdr:from>
    <xdr:ext cx="1143000" cy="1143000"/>
    <xdr:pic>
      <xdr:nvPicPr>
        <xdr:cNvPr id="4683" name="d34d4c80-0788-4f73-9fd0-bc68f1da021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838d11d26e2406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4686</xdr:row>
      <xdr:rowOff>19050</xdr:rowOff>
    </xdr:from>
    <xdr:ext cx="1143000" cy="1143000"/>
    <xdr:pic>
      <xdr:nvPicPr>
        <xdr:cNvPr id="4684" name="e3ee71b5-2da0-4505-b2ba-87485bf7d52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1b07778313f4c1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4687</xdr:row>
      <xdr:rowOff>19050</xdr:rowOff>
    </xdr:from>
    <xdr:ext cx="1143000" cy="1143000"/>
    <xdr:pic>
      <xdr:nvPicPr>
        <xdr:cNvPr id="4685" name="e7b1d148-645a-48b7-aff3-55ed1f3e49d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c7f182d85c6417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4688</xdr:row>
      <xdr:rowOff>19050</xdr:rowOff>
    </xdr:from>
    <xdr:ext cx="1143000" cy="1143000"/>
    <xdr:pic>
      <xdr:nvPicPr>
        <xdr:cNvPr id="4686" name="fc76e424-2991-456d-8ade-2e4a8facbfe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3a0ecd0a7ba471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4689</xdr:row>
      <xdr:rowOff>19050</xdr:rowOff>
    </xdr:from>
    <xdr:ext cx="1143000" cy="1143000"/>
    <xdr:pic>
      <xdr:nvPicPr>
        <xdr:cNvPr id="4687" name="2b22b390-28d0-4d45-8e24-c364964b2c3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2e0b2fb52a34a2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4690</xdr:row>
      <xdr:rowOff>19050</xdr:rowOff>
    </xdr:from>
    <xdr:ext cx="1143000" cy="1143000"/>
    <xdr:pic>
      <xdr:nvPicPr>
        <xdr:cNvPr id="4688" name="0adde273-8d81-4b73-a527-a10bda2146f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cbf38bdba24459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4691</xdr:row>
      <xdr:rowOff>19050</xdr:rowOff>
    </xdr:from>
    <xdr:ext cx="1143000" cy="1143000"/>
    <xdr:pic>
      <xdr:nvPicPr>
        <xdr:cNvPr id="4689" name="f6c682b6-2cbb-49bf-adb7-658b4773663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20dba3a4c4345b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4692</xdr:row>
      <xdr:rowOff>19050</xdr:rowOff>
    </xdr:from>
    <xdr:ext cx="1143000" cy="1143000"/>
    <xdr:pic>
      <xdr:nvPicPr>
        <xdr:cNvPr id="4690" name="11c8ead1-defa-4d1a-97f0-4de602a2c7a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6fc7dd2b7594b0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4693</xdr:row>
      <xdr:rowOff>19050</xdr:rowOff>
    </xdr:from>
    <xdr:ext cx="1143000" cy="1143000"/>
    <xdr:pic>
      <xdr:nvPicPr>
        <xdr:cNvPr id="4691" name="279a4311-c2e5-4282-86cb-aa5e1255cd0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a7bf469010f4bf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4694</xdr:row>
      <xdr:rowOff>19050</xdr:rowOff>
    </xdr:from>
    <xdr:ext cx="1143000" cy="1143000"/>
    <xdr:pic>
      <xdr:nvPicPr>
        <xdr:cNvPr id="4692" name="dc7cfc6d-c110-4562-a884-a10f7922ad7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f3bba1e364542e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4695</xdr:row>
      <xdr:rowOff>19050</xdr:rowOff>
    </xdr:from>
    <xdr:ext cx="1143000" cy="1143000"/>
    <xdr:pic>
      <xdr:nvPicPr>
        <xdr:cNvPr id="4693" name="73a62fb6-9245-4df5-974e-a9c559ae0df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66d46572537433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4696</xdr:row>
      <xdr:rowOff>19050</xdr:rowOff>
    </xdr:from>
    <xdr:ext cx="1143000" cy="1143000"/>
    <xdr:pic>
      <xdr:nvPicPr>
        <xdr:cNvPr id="4694" name="0ce60b85-3e8d-406f-8ec0-4cc54d17e17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25e8f5eff5044d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4697</xdr:row>
      <xdr:rowOff>19050</xdr:rowOff>
    </xdr:from>
    <xdr:ext cx="1143000" cy="1143000"/>
    <xdr:pic>
      <xdr:nvPicPr>
        <xdr:cNvPr id="4695" name="2297463d-c47c-4702-928e-f415f414ca0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26391772c8647f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4698</xdr:row>
      <xdr:rowOff>19050</xdr:rowOff>
    </xdr:from>
    <xdr:ext cx="1143000" cy="1143000"/>
    <xdr:pic>
      <xdr:nvPicPr>
        <xdr:cNvPr id="4696" name="da082e7b-1006-4e41-9604-94a08ec4584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a86e8bde3bc44b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4699</xdr:row>
      <xdr:rowOff>19050</xdr:rowOff>
    </xdr:from>
    <xdr:ext cx="1143000" cy="1143000"/>
    <xdr:pic>
      <xdr:nvPicPr>
        <xdr:cNvPr id="4697" name="021e0f70-fceb-4f34-97c4-5cdd87bf322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04a3e8f5f6b422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4700</xdr:row>
      <xdr:rowOff>19050</xdr:rowOff>
    </xdr:from>
    <xdr:ext cx="1143000" cy="1143000"/>
    <xdr:pic>
      <xdr:nvPicPr>
        <xdr:cNvPr id="4698" name="22ee45f1-63e5-43a3-9da6-41f1cab9552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f3d3d38ceaf436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4701</xdr:row>
      <xdr:rowOff>19050</xdr:rowOff>
    </xdr:from>
    <xdr:ext cx="1143000" cy="1143000"/>
    <xdr:pic>
      <xdr:nvPicPr>
        <xdr:cNvPr id="4699" name="a7cd3b11-cf94-4e0e-82bb-4cc7f7ee048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bc22b10bb6b49a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4702</xdr:row>
      <xdr:rowOff>19050</xdr:rowOff>
    </xdr:from>
    <xdr:ext cx="1143000" cy="1143000"/>
    <xdr:pic>
      <xdr:nvPicPr>
        <xdr:cNvPr id="4700" name="f1a9c4bd-9b60-4c2e-a82e-b61669eda67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80512414c05479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4703</xdr:row>
      <xdr:rowOff>19050</xdr:rowOff>
    </xdr:from>
    <xdr:ext cx="1143000" cy="1143000"/>
    <xdr:pic>
      <xdr:nvPicPr>
        <xdr:cNvPr id="4701" name="bd5d27da-06a1-47e3-9825-9753b3e6dca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f633638299743a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4704</xdr:row>
      <xdr:rowOff>19050</xdr:rowOff>
    </xdr:from>
    <xdr:ext cx="1143000" cy="1143000"/>
    <xdr:pic>
      <xdr:nvPicPr>
        <xdr:cNvPr id="4702" name="3d6a9d12-a2b1-4cba-b610-6b242f96c29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b23e8808638480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4705</xdr:row>
      <xdr:rowOff>19050</xdr:rowOff>
    </xdr:from>
    <xdr:ext cx="1143000" cy="1143000"/>
    <xdr:pic>
      <xdr:nvPicPr>
        <xdr:cNvPr id="4703" name="3d3e6648-587b-4dbb-865d-f200b23e12d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2f3b8f019b144d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4706</xdr:row>
      <xdr:rowOff>19050</xdr:rowOff>
    </xdr:from>
    <xdr:ext cx="1143000" cy="1143000"/>
    <xdr:pic>
      <xdr:nvPicPr>
        <xdr:cNvPr id="4704" name="f0b6015c-fd61-4319-be8a-c4712c20573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97aa79af28a47e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4707</xdr:row>
      <xdr:rowOff>19050</xdr:rowOff>
    </xdr:from>
    <xdr:ext cx="1143000" cy="1143000"/>
    <xdr:pic>
      <xdr:nvPicPr>
        <xdr:cNvPr id="4705" name="26c26409-e892-4641-a10c-5afc5876815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67a88fb9e584d3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4708</xdr:row>
      <xdr:rowOff>19050</xdr:rowOff>
    </xdr:from>
    <xdr:ext cx="1143000" cy="1143000"/>
    <xdr:pic>
      <xdr:nvPicPr>
        <xdr:cNvPr id="4706" name="6a93d75f-e6c5-4f8a-bac5-a587cefb161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f32bc1550b7462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4709</xdr:row>
      <xdr:rowOff>19050</xdr:rowOff>
    </xdr:from>
    <xdr:ext cx="1143000" cy="1143000"/>
    <xdr:pic>
      <xdr:nvPicPr>
        <xdr:cNvPr id="4707" name="d5b0f9b0-51f2-4412-b1ca-e4d8f048288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b6fe5fa28304f6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4710</xdr:row>
      <xdr:rowOff>19050</xdr:rowOff>
    </xdr:from>
    <xdr:ext cx="1143000" cy="1143000"/>
    <xdr:pic>
      <xdr:nvPicPr>
        <xdr:cNvPr id="4708" name="29f28305-5ec4-4a3d-bc47-fa714b3be5e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582799d7566405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4711</xdr:row>
      <xdr:rowOff>19050</xdr:rowOff>
    </xdr:from>
    <xdr:ext cx="1143000" cy="1143000"/>
    <xdr:pic>
      <xdr:nvPicPr>
        <xdr:cNvPr id="4709" name="c37a65a1-15e0-4ab2-84e6-b290f35ce79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adf4f8a41334c1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4712</xdr:row>
      <xdr:rowOff>19050</xdr:rowOff>
    </xdr:from>
    <xdr:ext cx="1143000" cy="1143000"/>
    <xdr:pic>
      <xdr:nvPicPr>
        <xdr:cNvPr id="4710" name="1c4befe1-f20e-4c57-80a8-399c30bd0ee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88b2fae2828477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4713</xdr:row>
      <xdr:rowOff>19050</xdr:rowOff>
    </xdr:from>
    <xdr:ext cx="1143000" cy="1143000"/>
    <xdr:pic>
      <xdr:nvPicPr>
        <xdr:cNvPr id="4711" name="70cb6718-e5a3-4aa0-986e-21ee861d7d2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aedf4d4bd3e450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4714</xdr:row>
      <xdr:rowOff>19050</xdr:rowOff>
    </xdr:from>
    <xdr:ext cx="1143000" cy="1143000"/>
    <xdr:pic>
      <xdr:nvPicPr>
        <xdr:cNvPr id="4712" name="a73c39bc-97da-4f4b-9744-fa07f499e7a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b0ecbdbfde84e8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4715</xdr:row>
      <xdr:rowOff>19050</xdr:rowOff>
    </xdr:from>
    <xdr:ext cx="1143000" cy="1143000"/>
    <xdr:pic>
      <xdr:nvPicPr>
        <xdr:cNvPr id="4713" name="3949c3fb-3914-45a2-83c7-9a51852624a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b8531f23e6849b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4716</xdr:row>
      <xdr:rowOff>19050</xdr:rowOff>
    </xdr:from>
    <xdr:ext cx="1143000" cy="1143000"/>
    <xdr:pic>
      <xdr:nvPicPr>
        <xdr:cNvPr id="4714" name="beae22f0-5956-437b-96a0-896a8acc980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37870974aba4b4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4717</xdr:row>
      <xdr:rowOff>19050</xdr:rowOff>
    </xdr:from>
    <xdr:ext cx="1143000" cy="1143000"/>
    <xdr:pic>
      <xdr:nvPicPr>
        <xdr:cNvPr id="4715" name="a20d7674-153c-449b-b0a1-ffef00d8b06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2a01705b816405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4718</xdr:row>
      <xdr:rowOff>19050</xdr:rowOff>
    </xdr:from>
    <xdr:ext cx="1143000" cy="1143000"/>
    <xdr:pic>
      <xdr:nvPicPr>
        <xdr:cNvPr id="4716" name="de73ad53-dafd-4bff-9de1-a7f5af8ce3c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1c5aa8ef62c447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4719</xdr:row>
      <xdr:rowOff>19050</xdr:rowOff>
    </xdr:from>
    <xdr:ext cx="1143000" cy="1143000"/>
    <xdr:pic>
      <xdr:nvPicPr>
        <xdr:cNvPr id="4717" name="2f407c23-3a33-497c-8acb-1885069368a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bf2ff0cd4634fa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4720</xdr:row>
      <xdr:rowOff>19050</xdr:rowOff>
    </xdr:from>
    <xdr:ext cx="1143000" cy="1143000"/>
    <xdr:pic>
      <xdr:nvPicPr>
        <xdr:cNvPr id="4718" name="2ad28ca8-9325-48a6-b0e9-44d8d60346a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95cecec69a5499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4721</xdr:row>
      <xdr:rowOff>19050</xdr:rowOff>
    </xdr:from>
    <xdr:ext cx="1143000" cy="1143000"/>
    <xdr:pic>
      <xdr:nvPicPr>
        <xdr:cNvPr id="4719" name="e057fa72-0b23-4cc5-b8cc-000bb1c0337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b86976b799148b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4722</xdr:row>
      <xdr:rowOff>19050</xdr:rowOff>
    </xdr:from>
    <xdr:ext cx="1143000" cy="1143000"/>
    <xdr:pic>
      <xdr:nvPicPr>
        <xdr:cNvPr id="4720" name="0e8b4a79-4ef6-4dc6-badc-08fd64ec726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2c464e03c49461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4723</xdr:row>
      <xdr:rowOff>19050</xdr:rowOff>
    </xdr:from>
    <xdr:ext cx="1143000" cy="1143000"/>
    <xdr:pic>
      <xdr:nvPicPr>
        <xdr:cNvPr id="4721" name="2212d36e-80e2-4ad6-ab49-674819a66eb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b35728dfea947f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4724</xdr:row>
      <xdr:rowOff>19050</xdr:rowOff>
    </xdr:from>
    <xdr:ext cx="1143000" cy="1143000"/>
    <xdr:pic>
      <xdr:nvPicPr>
        <xdr:cNvPr id="4722" name="e7b49a9c-9151-4385-92ea-a3f87e09cb8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d6cabd045a24bb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4725</xdr:row>
      <xdr:rowOff>19050</xdr:rowOff>
    </xdr:from>
    <xdr:ext cx="1143000" cy="1143000"/>
    <xdr:pic>
      <xdr:nvPicPr>
        <xdr:cNvPr id="4723" name="3954f80b-56e0-4095-a92b-63d1b3b1d03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4f52d45ba50464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4726</xdr:row>
      <xdr:rowOff>19050</xdr:rowOff>
    </xdr:from>
    <xdr:ext cx="1143000" cy="1143000"/>
    <xdr:pic>
      <xdr:nvPicPr>
        <xdr:cNvPr id="4724" name="b6e8e508-dce4-4a0b-a950-21c43040d94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3f36e6f99174bb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4727</xdr:row>
      <xdr:rowOff>19050</xdr:rowOff>
    </xdr:from>
    <xdr:ext cx="1143000" cy="1143000"/>
    <xdr:pic>
      <xdr:nvPicPr>
        <xdr:cNvPr id="4725" name="24032e35-e84d-4c0b-a952-eea11d2aed4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c26bb9e48b5445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4728</xdr:row>
      <xdr:rowOff>19050</xdr:rowOff>
    </xdr:from>
    <xdr:ext cx="1143000" cy="1143000"/>
    <xdr:pic>
      <xdr:nvPicPr>
        <xdr:cNvPr id="4726" name="293509ff-3815-40d1-9159-261a652e3ab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430130924854de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4729</xdr:row>
      <xdr:rowOff>19050</xdr:rowOff>
    </xdr:from>
    <xdr:ext cx="1143000" cy="1143000"/>
    <xdr:pic>
      <xdr:nvPicPr>
        <xdr:cNvPr id="4727" name="44e63c1f-7b9e-4e1c-94ca-e269cbbb828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83070074f574e1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4730</xdr:row>
      <xdr:rowOff>19050</xdr:rowOff>
    </xdr:from>
    <xdr:ext cx="1143000" cy="1143000"/>
    <xdr:pic>
      <xdr:nvPicPr>
        <xdr:cNvPr id="4728" name="0d84a39e-b869-4e85-a97a-160b9c3c8c5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2cbe4bb61604ab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4731</xdr:row>
      <xdr:rowOff>19050</xdr:rowOff>
    </xdr:from>
    <xdr:ext cx="1143000" cy="1143000"/>
    <xdr:pic>
      <xdr:nvPicPr>
        <xdr:cNvPr id="4729" name="c320f81a-790c-4557-8b9b-09153eed488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598011cf2d44c5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4732</xdr:row>
      <xdr:rowOff>19050</xdr:rowOff>
    </xdr:from>
    <xdr:ext cx="1143000" cy="1143000"/>
    <xdr:pic>
      <xdr:nvPicPr>
        <xdr:cNvPr id="4730" name="7bea872e-e71e-4b6d-9040-0a265d8d034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e84a143fc7e48f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4733</xdr:row>
      <xdr:rowOff>19050</xdr:rowOff>
    </xdr:from>
    <xdr:ext cx="1143000" cy="1143000"/>
    <xdr:pic>
      <xdr:nvPicPr>
        <xdr:cNvPr id="4731" name="374eff14-f702-409b-99de-7e269d4c8c2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126ebe506a1408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4734</xdr:row>
      <xdr:rowOff>19050</xdr:rowOff>
    </xdr:from>
    <xdr:ext cx="1143000" cy="1143000"/>
    <xdr:pic>
      <xdr:nvPicPr>
        <xdr:cNvPr id="4732" name="e0537bfc-5fe7-4983-9aaa-d4da9e68442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5d419e25f9546c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4735</xdr:row>
      <xdr:rowOff>19050</xdr:rowOff>
    </xdr:from>
    <xdr:ext cx="1143000" cy="1143000"/>
    <xdr:pic>
      <xdr:nvPicPr>
        <xdr:cNvPr id="4733" name="9a40b6fe-270a-4d72-bdf1-6d038a8cd2b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79bd457c0434ed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4736</xdr:row>
      <xdr:rowOff>19050</xdr:rowOff>
    </xdr:from>
    <xdr:ext cx="1143000" cy="1143000"/>
    <xdr:pic>
      <xdr:nvPicPr>
        <xdr:cNvPr id="4734" name="95cf6d17-c9fc-44b0-9ca1-1cfc6424357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80aafbe4c4740e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4737</xdr:row>
      <xdr:rowOff>19050</xdr:rowOff>
    </xdr:from>
    <xdr:ext cx="1143000" cy="1143000"/>
    <xdr:pic>
      <xdr:nvPicPr>
        <xdr:cNvPr id="4735" name="9050f546-5920-4e31-82bd-bf4cbc73950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604ae467ea64aa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4738</xdr:row>
      <xdr:rowOff>19050</xdr:rowOff>
    </xdr:from>
    <xdr:ext cx="1143000" cy="1143000"/>
    <xdr:pic>
      <xdr:nvPicPr>
        <xdr:cNvPr id="4736" name="55ee684f-f24c-417d-b8e0-16589239d54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67983a8728f4f8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4739</xdr:row>
      <xdr:rowOff>19050</xdr:rowOff>
    </xdr:from>
    <xdr:ext cx="1143000" cy="1143000"/>
    <xdr:pic>
      <xdr:nvPicPr>
        <xdr:cNvPr id="4737" name="f347b499-a775-4aab-a242-4b086751a39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30fa47a19d24ba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4740</xdr:row>
      <xdr:rowOff>19050</xdr:rowOff>
    </xdr:from>
    <xdr:ext cx="1143000" cy="1143000"/>
    <xdr:pic>
      <xdr:nvPicPr>
        <xdr:cNvPr id="4738" name="22366059-ddb2-4317-8c87-fb8f1cc3a1f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1616ea368104b4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4741</xdr:row>
      <xdr:rowOff>19050</xdr:rowOff>
    </xdr:from>
    <xdr:ext cx="1143000" cy="1143000"/>
    <xdr:pic>
      <xdr:nvPicPr>
        <xdr:cNvPr id="4739" name="35f97b8f-9898-4f15-81a7-2dcf6302bad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0d5719c6c554de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4742</xdr:row>
      <xdr:rowOff>19050</xdr:rowOff>
    </xdr:from>
    <xdr:ext cx="1143000" cy="1143000"/>
    <xdr:pic>
      <xdr:nvPicPr>
        <xdr:cNvPr id="4740" name="cbf248b6-e5e9-4335-a328-9ee99c32faf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25083fce5a34f9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4743</xdr:row>
      <xdr:rowOff>19050</xdr:rowOff>
    </xdr:from>
    <xdr:ext cx="1143000" cy="1143000"/>
    <xdr:pic>
      <xdr:nvPicPr>
        <xdr:cNvPr id="4741" name="a0aa5d76-af14-480d-b838-e11b6927afe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528f7617a1a441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4744</xdr:row>
      <xdr:rowOff>19050</xdr:rowOff>
    </xdr:from>
    <xdr:ext cx="1143000" cy="1143000"/>
    <xdr:pic>
      <xdr:nvPicPr>
        <xdr:cNvPr id="4742" name="e50f757d-ad48-4aa9-adfc-3ab69d08534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13a42aec28444c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4745</xdr:row>
      <xdr:rowOff>19050</xdr:rowOff>
    </xdr:from>
    <xdr:ext cx="1143000" cy="1143000"/>
    <xdr:pic>
      <xdr:nvPicPr>
        <xdr:cNvPr id="4743" name="996474cd-33be-4c72-a863-e761bb37fe1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0a11298a661433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4746</xdr:row>
      <xdr:rowOff>19050</xdr:rowOff>
    </xdr:from>
    <xdr:ext cx="1143000" cy="1143000"/>
    <xdr:pic>
      <xdr:nvPicPr>
        <xdr:cNvPr id="4744" name="56fe4a3a-20c3-479e-97c0-caf62a7f86f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fd5ea263058482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4747</xdr:row>
      <xdr:rowOff>19050</xdr:rowOff>
    </xdr:from>
    <xdr:ext cx="1143000" cy="1143000"/>
    <xdr:pic>
      <xdr:nvPicPr>
        <xdr:cNvPr id="4745" name="e1571e2e-cf2c-47aa-902d-e87df0343d2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a007a4cbdb9453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4748</xdr:row>
      <xdr:rowOff>19050</xdr:rowOff>
    </xdr:from>
    <xdr:ext cx="1143000" cy="1143000"/>
    <xdr:pic>
      <xdr:nvPicPr>
        <xdr:cNvPr id="4746" name="deb18b07-26cc-48b5-b614-effa001a8fd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9a84d90e3ec45b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4749</xdr:row>
      <xdr:rowOff>19050</xdr:rowOff>
    </xdr:from>
    <xdr:ext cx="1143000" cy="1143000"/>
    <xdr:pic>
      <xdr:nvPicPr>
        <xdr:cNvPr id="4747" name="3585f5c1-cf94-4d31-a6c6-7555c412a8a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b42daf030a7404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4750</xdr:row>
      <xdr:rowOff>19050</xdr:rowOff>
    </xdr:from>
    <xdr:ext cx="1143000" cy="1143000"/>
    <xdr:pic>
      <xdr:nvPicPr>
        <xdr:cNvPr id="4748" name="0e4b397d-37d9-4182-a924-91bb74a12c6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2fe4cffb7fa4f3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4751</xdr:row>
      <xdr:rowOff>19050</xdr:rowOff>
    </xdr:from>
    <xdr:ext cx="1143000" cy="1143000"/>
    <xdr:pic>
      <xdr:nvPicPr>
        <xdr:cNvPr id="4749" name="acbe72ac-0e0c-4952-901a-2dee04cb9a3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7e94ca748124ee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4752</xdr:row>
      <xdr:rowOff>19050</xdr:rowOff>
    </xdr:from>
    <xdr:ext cx="1143000" cy="1143000"/>
    <xdr:pic>
      <xdr:nvPicPr>
        <xdr:cNvPr id="4750" name="bcadab21-00e8-42e5-9943-56a40a269fb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854dc29890a4e1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4753</xdr:row>
      <xdr:rowOff>19050</xdr:rowOff>
    </xdr:from>
    <xdr:ext cx="1143000" cy="1143000"/>
    <xdr:pic>
      <xdr:nvPicPr>
        <xdr:cNvPr id="4751" name="c77f1523-756c-4bbd-8d72-7113ad7d071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63138d38aa9443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4754</xdr:row>
      <xdr:rowOff>19050</xdr:rowOff>
    </xdr:from>
    <xdr:ext cx="1143000" cy="1143000"/>
    <xdr:pic>
      <xdr:nvPicPr>
        <xdr:cNvPr id="4752" name="8ea059a8-95e7-4d40-935e-332de867be8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7291a9abcf846b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4755</xdr:row>
      <xdr:rowOff>19050</xdr:rowOff>
    </xdr:from>
    <xdr:ext cx="1143000" cy="1143000"/>
    <xdr:pic>
      <xdr:nvPicPr>
        <xdr:cNvPr id="4753" name="e7393518-9eff-4571-b2ee-0a6d5aec2cd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a3c2e76d1d6455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4756</xdr:row>
      <xdr:rowOff>19050</xdr:rowOff>
    </xdr:from>
    <xdr:ext cx="1143000" cy="1143000"/>
    <xdr:pic>
      <xdr:nvPicPr>
        <xdr:cNvPr id="4754" name="46e79717-d91d-4862-b973-4f0f7a2c860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e21504a2f63473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4757</xdr:row>
      <xdr:rowOff>19050</xdr:rowOff>
    </xdr:from>
    <xdr:ext cx="1143000" cy="1143000"/>
    <xdr:pic>
      <xdr:nvPicPr>
        <xdr:cNvPr id="4755" name="a7887852-bd31-4cc9-935b-957b529d41c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8c08ebfcb0841b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4758</xdr:row>
      <xdr:rowOff>19050</xdr:rowOff>
    </xdr:from>
    <xdr:ext cx="1143000" cy="1143000"/>
    <xdr:pic>
      <xdr:nvPicPr>
        <xdr:cNvPr id="4756" name="7e525179-4c94-4b9e-b13b-f7cffa18a9b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af1ba8e30f74ae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4759</xdr:row>
      <xdr:rowOff>19050</xdr:rowOff>
    </xdr:from>
    <xdr:ext cx="1143000" cy="1143000"/>
    <xdr:pic>
      <xdr:nvPicPr>
        <xdr:cNvPr id="4757" name="a684c196-4ce5-41bf-9335-8f69a5a5f94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5171fa714bf4e0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4760</xdr:row>
      <xdr:rowOff>19050</xdr:rowOff>
    </xdr:from>
    <xdr:ext cx="1143000" cy="1143000"/>
    <xdr:pic>
      <xdr:nvPicPr>
        <xdr:cNvPr id="4758" name="5511aff1-fb18-4b15-8c74-4fb5afeacd4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fc4a802103c4e6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4761</xdr:row>
      <xdr:rowOff>19050</xdr:rowOff>
    </xdr:from>
    <xdr:ext cx="1143000" cy="1143000"/>
    <xdr:pic>
      <xdr:nvPicPr>
        <xdr:cNvPr id="4759" name="88910cbb-4831-44a3-9424-85f6d0fd7c7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ca10be5f7004ba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4762</xdr:row>
      <xdr:rowOff>19050</xdr:rowOff>
    </xdr:from>
    <xdr:ext cx="1143000" cy="1143000"/>
    <xdr:pic>
      <xdr:nvPicPr>
        <xdr:cNvPr id="4760" name="9cf1ea74-2404-494e-bff1-b8e03f06f54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26bda3860db4cb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4763</xdr:row>
      <xdr:rowOff>19050</xdr:rowOff>
    </xdr:from>
    <xdr:ext cx="1143000" cy="1143000"/>
    <xdr:pic>
      <xdr:nvPicPr>
        <xdr:cNvPr id="4761" name="56834ebf-bcca-4d1b-9c45-bdcae839bd6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89fc5f6f9674ba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4764</xdr:row>
      <xdr:rowOff>19050</xdr:rowOff>
    </xdr:from>
    <xdr:ext cx="1143000" cy="1143000"/>
    <xdr:pic>
      <xdr:nvPicPr>
        <xdr:cNvPr id="4762" name="0828ed63-22d7-4541-b841-e6ae3d3dac4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18d354385fd46a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4765</xdr:row>
      <xdr:rowOff>19050</xdr:rowOff>
    </xdr:from>
    <xdr:ext cx="1143000" cy="1143000"/>
    <xdr:pic>
      <xdr:nvPicPr>
        <xdr:cNvPr id="4763" name="db7d3317-6ee6-46ca-9123-1e425d275a6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dfef468bae94d6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4766</xdr:row>
      <xdr:rowOff>19050</xdr:rowOff>
    </xdr:from>
    <xdr:ext cx="1143000" cy="1143000"/>
    <xdr:pic>
      <xdr:nvPicPr>
        <xdr:cNvPr id="4764" name="d228d968-9c9c-4f58-949d-a2f190ffc1e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507c44f6f2f48a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4767</xdr:row>
      <xdr:rowOff>19050</xdr:rowOff>
    </xdr:from>
    <xdr:ext cx="1143000" cy="1143000"/>
    <xdr:pic>
      <xdr:nvPicPr>
        <xdr:cNvPr id="4765" name="6d0dc627-8ab7-44c9-b719-5672391174f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23d52d7c0af468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4768</xdr:row>
      <xdr:rowOff>19050</xdr:rowOff>
    </xdr:from>
    <xdr:ext cx="1143000" cy="1143000"/>
    <xdr:pic>
      <xdr:nvPicPr>
        <xdr:cNvPr id="4766" name="e56f9516-b18c-424c-a116-6ad5ec0c277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097ee3f50be4b7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4769</xdr:row>
      <xdr:rowOff>19050</xdr:rowOff>
    </xdr:from>
    <xdr:ext cx="1143000" cy="1143000"/>
    <xdr:pic>
      <xdr:nvPicPr>
        <xdr:cNvPr id="4767" name="95e08a7b-c78f-46af-9e7a-222fdc4e309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d118a3ccf9c427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4770</xdr:row>
      <xdr:rowOff>19050</xdr:rowOff>
    </xdr:from>
    <xdr:ext cx="1143000" cy="1143000"/>
    <xdr:pic>
      <xdr:nvPicPr>
        <xdr:cNvPr id="4768" name="c0a41451-e005-474a-8960-b1388b3dc14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d6fbc2b58cb4ee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4771</xdr:row>
      <xdr:rowOff>19050</xdr:rowOff>
    </xdr:from>
    <xdr:ext cx="1143000" cy="1143000"/>
    <xdr:pic>
      <xdr:nvPicPr>
        <xdr:cNvPr id="4769" name="64412ba2-19d7-462d-81a8-d7615d99481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fb9f77162e2456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4772</xdr:row>
      <xdr:rowOff>19050</xdr:rowOff>
    </xdr:from>
    <xdr:ext cx="1143000" cy="1143000"/>
    <xdr:pic>
      <xdr:nvPicPr>
        <xdr:cNvPr id="4770" name="8ebcbef8-1a05-4c55-994a-b89cd390869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8a38420253443c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4773</xdr:row>
      <xdr:rowOff>19050</xdr:rowOff>
    </xdr:from>
    <xdr:ext cx="1143000" cy="1143000"/>
    <xdr:pic>
      <xdr:nvPicPr>
        <xdr:cNvPr id="4771" name="4167edda-e0bf-4deb-a359-aa7c26dcf7d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0288496ac11423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4774</xdr:row>
      <xdr:rowOff>19050</xdr:rowOff>
    </xdr:from>
    <xdr:ext cx="1143000" cy="1143000"/>
    <xdr:pic>
      <xdr:nvPicPr>
        <xdr:cNvPr id="4772" name="3c58a2d3-1643-4648-8a1e-c0be5bb8eb9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707e804562648a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4775</xdr:row>
      <xdr:rowOff>19050</xdr:rowOff>
    </xdr:from>
    <xdr:ext cx="1143000" cy="1143000"/>
    <xdr:pic>
      <xdr:nvPicPr>
        <xdr:cNvPr id="4773" name="3b598af0-c6ad-4656-b18e-55fcb93a79e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311f43a14084ea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4776</xdr:row>
      <xdr:rowOff>19050</xdr:rowOff>
    </xdr:from>
    <xdr:ext cx="1143000" cy="1143000"/>
    <xdr:pic>
      <xdr:nvPicPr>
        <xdr:cNvPr id="4774" name="3640281a-35cc-4714-b612-47a5f7e9704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8ff38c5840e407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4777</xdr:row>
      <xdr:rowOff>19050</xdr:rowOff>
    </xdr:from>
    <xdr:ext cx="1143000" cy="1143000"/>
    <xdr:pic>
      <xdr:nvPicPr>
        <xdr:cNvPr id="4775" name="df190a7e-96a2-4064-9c00-8e3f23d151d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5becc5d05fb420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4778</xdr:row>
      <xdr:rowOff>19050</xdr:rowOff>
    </xdr:from>
    <xdr:ext cx="1143000" cy="1143000"/>
    <xdr:pic>
      <xdr:nvPicPr>
        <xdr:cNvPr id="4776" name="4a7ef7de-7994-46ce-8cf1-be83ea646fb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d25ed32e7bd4d2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4779</xdr:row>
      <xdr:rowOff>19050</xdr:rowOff>
    </xdr:from>
    <xdr:ext cx="1143000" cy="1143000"/>
    <xdr:pic>
      <xdr:nvPicPr>
        <xdr:cNvPr id="4777" name="60342cd7-abe2-452b-b8c5-90a8d04dbb3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4c37eed3d7646d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4780</xdr:row>
      <xdr:rowOff>19050</xdr:rowOff>
    </xdr:from>
    <xdr:ext cx="1143000" cy="1143000"/>
    <xdr:pic>
      <xdr:nvPicPr>
        <xdr:cNvPr id="4778" name="0a66f04b-ced0-4059-a553-1c24e3d2082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c9fe8a67b32402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4781</xdr:row>
      <xdr:rowOff>19050</xdr:rowOff>
    </xdr:from>
    <xdr:ext cx="1143000" cy="1143000"/>
    <xdr:pic>
      <xdr:nvPicPr>
        <xdr:cNvPr id="4779" name="02f6be4a-6f08-4ab2-a725-f238b4e4bf1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33bcdaa4ab94ce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4782</xdr:row>
      <xdr:rowOff>19050</xdr:rowOff>
    </xdr:from>
    <xdr:ext cx="1143000" cy="1143000"/>
    <xdr:pic>
      <xdr:nvPicPr>
        <xdr:cNvPr id="4780" name="ba0aa664-087f-4825-9a9e-3edff9bd8b0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e0a4d21831f44a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4783</xdr:row>
      <xdr:rowOff>19050</xdr:rowOff>
    </xdr:from>
    <xdr:ext cx="1143000" cy="1143000"/>
    <xdr:pic>
      <xdr:nvPicPr>
        <xdr:cNvPr id="4781" name="2010af63-2a0c-44d0-91b8-5ad674587a4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e547b3629af45e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4784</xdr:row>
      <xdr:rowOff>19050</xdr:rowOff>
    </xdr:from>
    <xdr:ext cx="1143000" cy="1143000"/>
    <xdr:pic>
      <xdr:nvPicPr>
        <xdr:cNvPr id="4782" name="f5c4ea94-e040-4de3-80e1-29a9f0dd5d1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eab9bfdad4c4f6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4785</xdr:row>
      <xdr:rowOff>19050</xdr:rowOff>
    </xdr:from>
    <xdr:ext cx="1143000" cy="1143000"/>
    <xdr:pic>
      <xdr:nvPicPr>
        <xdr:cNvPr id="4783" name="0b434e59-251d-4d8f-a115-4e5a37f8308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aa76b6b9de747a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4786</xdr:row>
      <xdr:rowOff>19050</xdr:rowOff>
    </xdr:from>
    <xdr:ext cx="1143000" cy="1143000"/>
    <xdr:pic>
      <xdr:nvPicPr>
        <xdr:cNvPr id="4784" name="2f2d7cd9-4867-44bb-ac29-6aa8a3547c5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4a17cd502b743b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4787</xdr:row>
      <xdr:rowOff>19050</xdr:rowOff>
    </xdr:from>
    <xdr:ext cx="1143000" cy="1143000"/>
    <xdr:pic>
      <xdr:nvPicPr>
        <xdr:cNvPr id="4785" name="1e77d85a-68ca-4a1b-99c2-efcd5c46a02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32a64e1d29b4c3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4788</xdr:row>
      <xdr:rowOff>19050</xdr:rowOff>
    </xdr:from>
    <xdr:ext cx="1143000" cy="1143000"/>
    <xdr:pic>
      <xdr:nvPicPr>
        <xdr:cNvPr id="4786" name="13a96e4e-d658-4be6-bcaa-188c39933f2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a9e1e6d24934ec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4789</xdr:row>
      <xdr:rowOff>19050</xdr:rowOff>
    </xdr:from>
    <xdr:ext cx="1143000" cy="1143000"/>
    <xdr:pic>
      <xdr:nvPicPr>
        <xdr:cNvPr id="4787" name="92f1cfe4-c9da-44ec-bd91-27dcb6ad051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7d5c08005c74cd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4790</xdr:row>
      <xdr:rowOff>19050</xdr:rowOff>
    </xdr:from>
    <xdr:ext cx="1143000" cy="1143000"/>
    <xdr:pic>
      <xdr:nvPicPr>
        <xdr:cNvPr id="4788" name="c892703d-586e-490d-9599-3f89aa8ab4e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9db0f87f310463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4791</xdr:row>
      <xdr:rowOff>19050</xdr:rowOff>
    </xdr:from>
    <xdr:ext cx="1143000" cy="1143000"/>
    <xdr:pic>
      <xdr:nvPicPr>
        <xdr:cNvPr id="4789" name="b56e272b-1532-4c4b-a3e0-f485cf97404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924eb103a1b480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4792</xdr:row>
      <xdr:rowOff>19050</xdr:rowOff>
    </xdr:from>
    <xdr:ext cx="1143000" cy="1143000"/>
    <xdr:pic>
      <xdr:nvPicPr>
        <xdr:cNvPr id="4790" name="8faa8a81-e759-457f-9b20-a6ad96409ba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3edce151e104e0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4793</xdr:row>
      <xdr:rowOff>19050</xdr:rowOff>
    </xdr:from>
    <xdr:ext cx="1143000" cy="1143000"/>
    <xdr:pic>
      <xdr:nvPicPr>
        <xdr:cNvPr id="4791" name="f8a4ae33-fac7-41f3-ac84-3b919aa0135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6994f37904d431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4794</xdr:row>
      <xdr:rowOff>19050</xdr:rowOff>
    </xdr:from>
    <xdr:ext cx="1143000" cy="1143000"/>
    <xdr:pic>
      <xdr:nvPicPr>
        <xdr:cNvPr id="4792" name="6a8091ed-ad08-4542-937d-38cb86683a2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6105629c5a8464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4795</xdr:row>
      <xdr:rowOff>19050</xdr:rowOff>
    </xdr:from>
    <xdr:ext cx="1143000" cy="1143000"/>
    <xdr:pic>
      <xdr:nvPicPr>
        <xdr:cNvPr id="4793" name="28d7cf4a-6733-4579-834a-119525a89fb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4abcf177ab8468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4796</xdr:row>
      <xdr:rowOff>19050</xdr:rowOff>
    </xdr:from>
    <xdr:ext cx="1143000" cy="1143000"/>
    <xdr:pic>
      <xdr:nvPicPr>
        <xdr:cNvPr id="4794" name="2dc07734-187f-4d24-a393-e9eea31518f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3824ed2941b458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4797</xdr:row>
      <xdr:rowOff>19050</xdr:rowOff>
    </xdr:from>
    <xdr:ext cx="1143000" cy="1143000"/>
    <xdr:pic>
      <xdr:nvPicPr>
        <xdr:cNvPr id="4795" name="5c831ee4-9aa4-4467-99ac-7d257151480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7ad29028ee34e1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4798</xdr:row>
      <xdr:rowOff>19050</xdr:rowOff>
    </xdr:from>
    <xdr:ext cx="1143000" cy="1143000"/>
    <xdr:pic>
      <xdr:nvPicPr>
        <xdr:cNvPr id="4796" name="fb24dd36-e3aa-47f7-a63c-213366958ea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cd77014891d4b2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4799</xdr:row>
      <xdr:rowOff>19050</xdr:rowOff>
    </xdr:from>
    <xdr:ext cx="1143000" cy="1143000"/>
    <xdr:pic>
      <xdr:nvPicPr>
        <xdr:cNvPr id="4797" name="068684bd-f605-4d4f-9531-a760c84ef05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5c16877b6ad4f3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4800</xdr:row>
      <xdr:rowOff>19050</xdr:rowOff>
    </xdr:from>
    <xdr:ext cx="1143000" cy="1143000"/>
    <xdr:pic>
      <xdr:nvPicPr>
        <xdr:cNvPr id="4798" name="cfc80884-e242-403a-84b5-b020b81ce9d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dde9791265d461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4801</xdr:row>
      <xdr:rowOff>19050</xdr:rowOff>
    </xdr:from>
    <xdr:ext cx="1143000" cy="1143000"/>
    <xdr:pic>
      <xdr:nvPicPr>
        <xdr:cNvPr id="4799" name="d1fa07cd-b326-4946-bc72-29291b3ddd3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f87a3bfaeca439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4802</xdr:row>
      <xdr:rowOff>19050</xdr:rowOff>
    </xdr:from>
    <xdr:ext cx="1143000" cy="1143000"/>
    <xdr:pic>
      <xdr:nvPicPr>
        <xdr:cNvPr id="4800" name="374f536a-0ce9-4e12-8fc4-fab7014a063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a5c5db09bac4cb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4803</xdr:row>
      <xdr:rowOff>19050</xdr:rowOff>
    </xdr:from>
    <xdr:ext cx="1143000" cy="1143000"/>
    <xdr:pic>
      <xdr:nvPicPr>
        <xdr:cNvPr id="4801" name="b23f107b-a821-4326-82be-c8558daad46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e04efad0d60479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4804</xdr:row>
      <xdr:rowOff>19050</xdr:rowOff>
    </xdr:from>
    <xdr:ext cx="1143000" cy="1143000"/>
    <xdr:pic>
      <xdr:nvPicPr>
        <xdr:cNvPr id="4802" name="6a42498c-3192-4de8-8fc6-b2d21e24d23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41a75bca49f40d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4805</xdr:row>
      <xdr:rowOff>19050</xdr:rowOff>
    </xdr:from>
    <xdr:ext cx="1143000" cy="1143000"/>
    <xdr:pic>
      <xdr:nvPicPr>
        <xdr:cNvPr id="4803" name="41f9cecb-4db9-45e4-874f-f1e0189d924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e5bed85a15742b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4806</xdr:row>
      <xdr:rowOff>19050</xdr:rowOff>
    </xdr:from>
    <xdr:ext cx="1143000" cy="1143000"/>
    <xdr:pic>
      <xdr:nvPicPr>
        <xdr:cNvPr id="4804" name="821d2990-400d-4eb6-9812-47665b1739c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2fa47ea13774c9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4807</xdr:row>
      <xdr:rowOff>19050</xdr:rowOff>
    </xdr:from>
    <xdr:ext cx="1143000" cy="1143000"/>
    <xdr:pic>
      <xdr:nvPicPr>
        <xdr:cNvPr id="4805" name="b40e8266-6c3b-43a8-ad73-b7107b0a703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bc7da988aa84eb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4808</xdr:row>
      <xdr:rowOff>19050</xdr:rowOff>
    </xdr:from>
    <xdr:ext cx="1143000" cy="1143000"/>
    <xdr:pic>
      <xdr:nvPicPr>
        <xdr:cNvPr id="4806" name="9fc877ba-3819-4317-b7af-81ec931d21b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b0ac4095b6c45a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4809</xdr:row>
      <xdr:rowOff>19050</xdr:rowOff>
    </xdr:from>
    <xdr:ext cx="1143000" cy="1143000"/>
    <xdr:pic>
      <xdr:nvPicPr>
        <xdr:cNvPr id="4807" name="022bee1e-b568-4b53-b22e-585c5cc2133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5e19e72ac43457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4810</xdr:row>
      <xdr:rowOff>19050</xdr:rowOff>
    </xdr:from>
    <xdr:ext cx="1143000" cy="1143000"/>
    <xdr:pic>
      <xdr:nvPicPr>
        <xdr:cNvPr id="4808" name="d6e7f232-72c3-4cbf-b3fd-82a2c75a627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e392e9929194c0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4811</xdr:row>
      <xdr:rowOff>19050</xdr:rowOff>
    </xdr:from>
    <xdr:ext cx="1143000" cy="1143000"/>
    <xdr:pic>
      <xdr:nvPicPr>
        <xdr:cNvPr id="4809" name="80720e02-cbef-4ce2-aa86-6547ee47421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c0b1564c2a1405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4812</xdr:row>
      <xdr:rowOff>19050</xdr:rowOff>
    </xdr:from>
    <xdr:ext cx="1143000" cy="1143000"/>
    <xdr:pic>
      <xdr:nvPicPr>
        <xdr:cNvPr id="4810" name="43df418f-5306-46f1-96cc-4b283a4bd28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716a78990aa470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4813</xdr:row>
      <xdr:rowOff>19050</xdr:rowOff>
    </xdr:from>
    <xdr:ext cx="1143000" cy="1143000"/>
    <xdr:pic>
      <xdr:nvPicPr>
        <xdr:cNvPr id="4811" name="8591eca8-632e-4049-ae66-9db206f95ce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4c81f8654654c1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4814</xdr:row>
      <xdr:rowOff>19050</xdr:rowOff>
    </xdr:from>
    <xdr:ext cx="1143000" cy="1143000"/>
    <xdr:pic>
      <xdr:nvPicPr>
        <xdr:cNvPr id="4812" name="e011c263-28c3-4ad7-9eae-07d90ffbdc5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8b6e94e0bd14f3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4815</xdr:row>
      <xdr:rowOff>19050</xdr:rowOff>
    </xdr:from>
    <xdr:ext cx="1143000" cy="1143000"/>
    <xdr:pic>
      <xdr:nvPicPr>
        <xdr:cNvPr id="4813" name="62e5e35c-3f15-4a3b-864a-eb78ac5ebbf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9e25822c486427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4816</xdr:row>
      <xdr:rowOff>19050</xdr:rowOff>
    </xdr:from>
    <xdr:ext cx="1143000" cy="1143000"/>
    <xdr:pic>
      <xdr:nvPicPr>
        <xdr:cNvPr id="4814" name="6183991a-2429-478e-9877-c15f84c9958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547282e3eab48a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4817</xdr:row>
      <xdr:rowOff>19050</xdr:rowOff>
    </xdr:from>
    <xdr:ext cx="1143000" cy="1143000"/>
    <xdr:pic>
      <xdr:nvPicPr>
        <xdr:cNvPr id="4815" name="beca9af7-0097-49a4-8348-78bdd15e4e4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8cd661369d14cb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4818</xdr:row>
      <xdr:rowOff>19050</xdr:rowOff>
    </xdr:from>
    <xdr:ext cx="1143000" cy="1143000"/>
    <xdr:pic>
      <xdr:nvPicPr>
        <xdr:cNvPr id="4816" name="759dfc3d-4287-4564-b0c4-fe1503d3b09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4b7c725d22f466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4819</xdr:row>
      <xdr:rowOff>19050</xdr:rowOff>
    </xdr:from>
    <xdr:ext cx="1143000" cy="1143000"/>
    <xdr:pic>
      <xdr:nvPicPr>
        <xdr:cNvPr id="4817" name="da7b3a66-77fb-4ee0-b2e3-0d4d9228fb5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1bc83c0ad374c1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4820</xdr:row>
      <xdr:rowOff>19050</xdr:rowOff>
    </xdr:from>
    <xdr:ext cx="1143000" cy="1143000"/>
    <xdr:pic>
      <xdr:nvPicPr>
        <xdr:cNvPr id="4818" name="595d9628-0033-4632-898a-7fa24d72387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06ee93717154ea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4821</xdr:row>
      <xdr:rowOff>19050</xdr:rowOff>
    </xdr:from>
    <xdr:ext cx="1143000" cy="1143000"/>
    <xdr:pic>
      <xdr:nvPicPr>
        <xdr:cNvPr id="4819" name="6359d8e2-75de-4f0e-afd7-9756653b97f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477a019483a41e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4822</xdr:row>
      <xdr:rowOff>19050</xdr:rowOff>
    </xdr:from>
    <xdr:ext cx="1143000" cy="1143000"/>
    <xdr:pic>
      <xdr:nvPicPr>
        <xdr:cNvPr id="4820" name="bf7ee5af-9203-46e8-b027-c2a08a5076f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aed7938573b431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4823</xdr:row>
      <xdr:rowOff>19050</xdr:rowOff>
    </xdr:from>
    <xdr:ext cx="1143000" cy="1143000"/>
    <xdr:pic>
      <xdr:nvPicPr>
        <xdr:cNvPr id="4821" name="19c7ba76-8454-4826-b993-bafa2517049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62cd7ab7a0d46b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4824</xdr:row>
      <xdr:rowOff>19050</xdr:rowOff>
    </xdr:from>
    <xdr:ext cx="1143000" cy="1143000"/>
    <xdr:pic>
      <xdr:nvPicPr>
        <xdr:cNvPr id="4822" name="d340e633-403f-48d7-a413-be74ebe18c9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3ce72137436449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4825</xdr:row>
      <xdr:rowOff>19050</xdr:rowOff>
    </xdr:from>
    <xdr:ext cx="1143000" cy="1143000"/>
    <xdr:pic>
      <xdr:nvPicPr>
        <xdr:cNvPr id="4823" name="f6f6447e-f191-4013-946e-187393bd035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270ff4577f74ea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4826</xdr:row>
      <xdr:rowOff>19050</xdr:rowOff>
    </xdr:from>
    <xdr:ext cx="1143000" cy="1143000"/>
    <xdr:pic>
      <xdr:nvPicPr>
        <xdr:cNvPr id="4824" name="94b2c9fb-1bfc-409e-80f2-e12f89f7212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7496a5d453843b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4827</xdr:row>
      <xdr:rowOff>19050</xdr:rowOff>
    </xdr:from>
    <xdr:ext cx="1143000" cy="1143000"/>
    <xdr:pic>
      <xdr:nvPicPr>
        <xdr:cNvPr id="4825" name="8dc400a2-3cbe-4f94-a4ce-818dbf6011c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f081198bda043f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4828</xdr:row>
      <xdr:rowOff>19050</xdr:rowOff>
    </xdr:from>
    <xdr:ext cx="1143000" cy="1143000"/>
    <xdr:pic>
      <xdr:nvPicPr>
        <xdr:cNvPr id="4826" name="6b695abd-5c68-4da5-8368-1f7b62579a0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80a1b55d016471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4829</xdr:row>
      <xdr:rowOff>19050</xdr:rowOff>
    </xdr:from>
    <xdr:ext cx="1143000" cy="1143000"/>
    <xdr:pic>
      <xdr:nvPicPr>
        <xdr:cNvPr id="4827" name="9c551f8f-911c-4104-b25f-073bcc2e80e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d712e44d11b450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4830</xdr:row>
      <xdr:rowOff>19050</xdr:rowOff>
    </xdr:from>
    <xdr:ext cx="1143000" cy="1143000"/>
    <xdr:pic>
      <xdr:nvPicPr>
        <xdr:cNvPr id="4828" name="e02fbd6b-dbac-46b6-8c96-1684dd4b2f1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9c39ddd7cdb4bd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4831</xdr:row>
      <xdr:rowOff>19050</xdr:rowOff>
    </xdr:from>
    <xdr:ext cx="1143000" cy="1143000"/>
    <xdr:pic>
      <xdr:nvPicPr>
        <xdr:cNvPr id="4829" name="f5eaa830-f5d7-4e58-8c33-353781512e8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70b535f7713443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4832</xdr:row>
      <xdr:rowOff>19050</xdr:rowOff>
    </xdr:from>
    <xdr:ext cx="1143000" cy="1143000"/>
    <xdr:pic>
      <xdr:nvPicPr>
        <xdr:cNvPr id="4830" name="f584f8ff-6f17-4670-8add-bf30d8ad609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fa8efc3d66e415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4833</xdr:row>
      <xdr:rowOff>19050</xdr:rowOff>
    </xdr:from>
    <xdr:ext cx="1143000" cy="1143000"/>
    <xdr:pic>
      <xdr:nvPicPr>
        <xdr:cNvPr id="4831" name="ab6d987e-13aa-44fc-ad19-ee259f6d03a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6f2dae686974b8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4834</xdr:row>
      <xdr:rowOff>19050</xdr:rowOff>
    </xdr:from>
    <xdr:ext cx="1143000" cy="1143000"/>
    <xdr:pic>
      <xdr:nvPicPr>
        <xdr:cNvPr id="4832" name="c5638bc5-1c4c-427b-9040-849f9f73406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46b1507676b482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4835</xdr:row>
      <xdr:rowOff>19050</xdr:rowOff>
    </xdr:from>
    <xdr:ext cx="1143000" cy="1143000"/>
    <xdr:pic>
      <xdr:nvPicPr>
        <xdr:cNvPr id="4833" name="70957ac7-6368-45ff-b3d6-078348d8026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022130b6e3b422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4836</xdr:row>
      <xdr:rowOff>19050</xdr:rowOff>
    </xdr:from>
    <xdr:ext cx="1143000" cy="1143000"/>
    <xdr:pic>
      <xdr:nvPicPr>
        <xdr:cNvPr id="4834" name="86020e16-9ed8-4a24-80ea-27982fc64c5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1b9b8e7b8004f9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4837</xdr:row>
      <xdr:rowOff>19050</xdr:rowOff>
    </xdr:from>
    <xdr:ext cx="1143000" cy="1143000"/>
    <xdr:pic>
      <xdr:nvPicPr>
        <xdr:cNvPr id="4835" name="3f11dbe2-0fd0-4618-918d-3e7b12edc0a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2830f5896bc422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4838</xdr:row>
      <xdr:rowOff>19050</xdr:rowOff>
    </xdr:from>
    <xdr:ext cx="1143000" cy="1143000"/>
    <xdr:pic>
      <xdr:nvPicPr>
        <xdr:cNvPr id="4836" name="45120c70-3411-4690-91e5-118f316dcfd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d65168ea3a74ea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4839</xdr:row>
      <xdr:rowOff>19050</xdr:rowOff>
    </xdr:from>
    <xdr:ext cx="1143000" cy="1143000"/>
    <xdr:pic>
      <xdr:nvPicPr>
        <xdr:cNvPr id="4837" name="d5738179-569c-462f-9b75-f556fd586a2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4d34036420d4eb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4840</xdr:row>
      <xdr:rowOff>19050</xdr:rowOff>
    </xdr:from>
    <xdr:ext cx="1143000" cy="1143000"/>
    <xdr:pic>
      <xdr:nvPicPr>
        <xdr:cNvPr id="4838" name="7db6cce6-1022-4509-8bfa-3d67f3c547c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73da03bd9d04db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4841</xdr:row>
      <xdr:rowOff>19050</xdr:rowOff>
    </xdr:from>
    <xdr:ext cx="1143000" cy="1143000"/>
    <xdr:pic>
      <xdr:nvPicPr>
        <xdr:cNvPr id="4839" name="2a132aac-18b3-4084-8bcc-bda428d4ee6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652d22c529d4b5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4842</xdr:row>
      <xdr:rowOff>19050</xdr:rowOff>
    </xdr:from>
    <xdr:ext cx="1143000" cy="1143000"/>
    <xdr:pic>
      <xdr:nvPicPr>
        <xdr:cNvPr id="4840" name="09640a0b-62e0-46f7-b094-609bb11718b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5d77c79707f48c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4843</xdr:row>
      <xdr:rowOff>19050</xdr:rowOff>
    </xdr:from>
    <xdr:ext cx="1143000" cy="1143000"/>
    <xdr:pic>
      <xdr:nvPicPr>
        <xdr:cNvPr id="4841" name="99f9519f-8b19-4996-93d8-38774c3e16f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132f2d56b75482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4844</xdr:row>
      <xdr:rowOff>19050</xdr:rowOff>
    </xdr:from>
    <xdr:ext cx="1143000" cy="1143000"/>
    <xdr:pic>
      <xdr:nvPicPr>
        <xdr:cNvPr id="4842" name="21616285-9bb4-49b6-812a-e4633431b32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ea9ffe838884fa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4845</xdr:row>
      <xdr:rowOff>19050</xdr:rowOff>
    </xdr:from>
    <xdr:ext cx="1143000" cy="1143000"/>
    <xdr:pic>
      <xdr:nvPicPr>
        <xdr:cNvPr id="4843" name="0d435f30-332e-4d7d-85ea-d074b15e17e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30ccc77d74f46e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4846</xdr:row>
      <xdr:rowOff>19050</xdr:rowOff>
    </xdr:from>
    <xdr:ext cx="1143000" cy="1143000"/>
    <xdr:pic>
      <xdr:nvPicPr>
        <xdr:cNvPr id="4844" name="f14ba682-3d81-4f01-b0e2-69f7eec1696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46820a3b7fb4a5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4847</xdr:row>
      <xdr:rowOff>19050</xdr:rowOff>
    </xdr:from>
    <xdr:ext cx="1143000" cy="1143000"/>
    <xdr:pic>
      <xdr:nvPicPr>
        <xdr:cNvPr id="4845" name="50faba90-dba9-441b-b77a-8453afe7f59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28786a523a64a6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4848</xdr:row>
      <xdr:rowOff>19050</xdr:rowOff>
    </xdr:from>
    <xdr:ext cx="1143000" cy="1143000"/>
    <xdr:pic>
      <xdr:nvPicPr>
        <xdr:cNvPr id="4846" name="84d4647c-4201-422c-972a-0f90ccef455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25a4d8fd98740b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4849</xdr:row>
      <xdr:rowOff>19050</xdr:rowOff>
    </xdr:from>
    <xdr:ext cx="1143000" cy="1143000"/>
    <xdr:pic>
      <xdr:nvPicPr>
        <xdr:cNvPr id="4847" name="42a26451-0fb3-4372-8044-7fb8a4d6191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7b13890f7c34dd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4850</xdr:row>
      <xdr:rowOff>19050</xdr:rowOff>
    </xdr:from>
    <xdr:ext cx="1143000" cy="1143000"/>
    <xdr:pic>
      <xdr:nvPicPr>
        <xdr:cNvPr id="4848" name="f467c776-dbf5-4143-a45c-1e2811d3460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3f958bb49954d7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4851</xdr:row>
      <xdr:rowOff>19050</xdr:rowOff>
    </xdr:from>
    <xdr:ext cx="1143000" cy="1143000"/>
    <xdr:pic>
      <xdr:nvPicPr>
        <xdr:cNvPr id="4849" name="d357f003-b6ae-48b6-8026-9a4ac035b89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5e89329cca64c6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4852</xdr:row>
      <xdr:rowOff>19050</xdr:rowOff>
    </xdr:from>
    <xdr:ext cx="1143000" cy="1143000"/>
    <xdr:pic>
      <xdr:nvPicPr>
        <xdr:cNvPr id="4850" name="3aafcf28-70aa-488b-976a-d60de3ed61b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19dd6a5cce1471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4853</xdr:row>
      <xdr:rowOff>19050</xdr:rowOff>
    </xdr:from>
    <xdr:ext cx="1143000" cy="1143000"/>
    <xdr:pic>
      <xdr:nvPicPr>
        <xdr:cNvPr id="4851" name="7d758059-50e2-4d4f-979a-0d87ea4b7c4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3ed437002dc4da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4854</xdr:row>
      <xdr:rowOff>19050</xdr:rowOff>
    </xdr:from>
    <xdr:ext cx="1143000" cy="1143000"/>
    <xdr:pic>
      <xdr:nvPicPr>
        <xdr:cNvPr id="4852" name="80b11aff-8336-4d36-88ff-c9af6987031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a074783f39047f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4855</xdr:row>
      <xdr:rowOff>19050</xdr:rowOff>
    </xdr:from>
    <xdr:ext cx="1143000" cy="1143000"/>
    <xdr:pic>
      <xdr:nvPicPr>
        <xdr:cNvPr id="4853" name="55357ea2-9eaa-4e8b-a00b-08fbe0a38ae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858db23950944c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4856</xdr:row>
      <xdr:rowOff>19050</xdr:rowOff>
    </xdr:from>
    <xdr:ext cx="1143000" cy="1143000"/>
    <xdr:pic>
      <xdr:nvPicPr>
        <xdr:cNvPr id="4854" name="18822429-e706-4d24-880f-4cdd6b97bc5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f85615e50f4406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4857</xdr:row>
      <xdr:rowOff>19050</xdr:rowOff>
    </xdr:from>
    <xdr:ext cx="1143000" cy="1143000"/>
    <xdr:pic>
      <xdr:nvPicPr>
        <xdr:cNvPr id="4855" name="11027cfd-3ba9-4860-bfaa-b6f5c760974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04103c2496d451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4858</xdr:row>
      <xdr:rowOff>19050</xdr:rowOff>
    </xdr:from>
    <xdr:ext cx="1143000" cy="1143000"/>
    <xdr:pic>
      <xdr:nvPicPr>
        <xdr:cNvPr id="4856" name="f45b2b71-c857-46fa-9017-708381d2e9a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63ebcff46984f3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4859</xdr:row>
      <xdr:rowOff>19050</xdr:rowOff>
    </xdr:from>
    <xdr:ext cx="1143000" cy="1143000"/>
    <xdr:pic>
      <xdr:nvPicPr>
        <xdr:cNvPr id="4857" name="1d0713f7-9a70-4d91-9894-267c778a9c4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2900a3d42e44ed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4860</xdr:row>
      <xdr:rowOff>19050</xdr:rowOff>
    </xdr:from>
    <xdr:ext cx="1143000" cy="1143000"/>
    <xdr:pic>
      <xdr:nvPicPr>
        <xdr:cNvPr id="4858" name="c8f4ed04-4c5c-4893-b76a-9879c0e1586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17d6472210e44b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4861</xdr:row>
      <xdr:rowOff>19050</xdr:rowOff>
    </xdr:from>
    <xdr:ext cx="1143000" cy="1143000"/>
    <xdr:pic>
      <xdr:nvPicPr>
        <xdr:cNvPr id="4859" name="72ed2b20-6185-42fb-8af9-70bbfb74958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dbfac88226e41e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4862</xdr:row>
      <xdr:rowOff>19050</xdr:rowOff>
    </xdr:from>
    <xdr:ext cx="1143000" cy="1143000"/>
    <xdr:pic>
      <xdr:nvPicPr>
        <xdr:cNvPr id="4860" name="85bd7fdb-571b-4cea-b4b6-8b91fa44a4b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cb50ae454a04ae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4863</xdr:row>
      <xdr:rowOff>19050</xdr:rowOff>
    </xdr:from>
    <xdr:ext cx="1143000" cy="1143000"/>
    <xdr:pic>
      <xdr:nvPicPr>
        <xdr:cNvPr id="4861" name="d04dd260-737f-4728-ae0e-c204e26f559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53a1d207310488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4864</xdr:row>
      <xdr:rowOff>19050</xdr:rowOff>
    </xdr:from>
    <xdr:ext cx="1143000" cy="1143000"/>
    <xdr:pic>
      <xdr:nvPicPr>
        <xdr:cNvPr id="4862" name="a8dedf41-f984-4def-a906-e2fc4455117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52b6575487c436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4865</xdr:row>
      <xdr:rowOff>19050</xdr:rowOff>
    </xdr:from>
    <xdr:ext cx="1143000" cy="1143000"/>
    <xdr:pic>
      <xdr:nvPicPr>
        <xdr:cNvPr id="4863" name="e38afcf8-a08b-42e9-8312-0b5f92cbb8c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a7ae31533744ec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4866</xdr:row>
      <xdr:rowOff>19050</xdr:rowOff>
    </xdr:from>
    <xdr:ext cx="1143000" cy="1143000"/>
    <xdr:pic>
      <xdr:nvPicPr>
        <xdr:cNvPr id="4864" name="f05165ff-4a90-4deb-ae62-2e0641802c1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4d3ce579c9c41e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4867</xdr:row>
      <xdr:rowOff>19050</xdr:rowOff>
    </xdr:from>
    <xdr:ext cx="1143000" cy="1143000"/>
    <xdr:pic>
      <xdr:nvPicPr>
        <xdr:cNvPr id="4865" name="e5225b95-903a-4068-943c-b3f0fd26f1e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fb0e7f353564e8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4868</xdr:row>
      <xdr:rowOff>19050</xdr:rowOff>
    </xdr:from>
    <xdr:ext cx="1143000" cy="1143000"/>
    <xdr:pic>
      <xdr:nvPicPr>
        <xdr:cNvPr id="4866" name="2a43e0c5-b606-46eb-b60c-645208a1603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2030802277e441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4869</xdr:row>
      <xdr:rowOff>19050</xdr:rowOff>
    </xdr:from>
    <xdr:ext cx="1143000" cy="1143000"/>
    <xdr:pic>
      <xdr:nvPicPr>
        <xdr:cNvPr id="4867" name="1dc0d57f-84a2-4181-b06c-38f2e5f01c7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6c142c8c82446b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4870</xdr:row>
      <xdr:rowOff>19050</xdr:rowOff>
    </xdr:from>
    <xdr:ext cx="1143000" cy="1143000"/>
    <xdr:pic>
      <xdr:nvPicPr>
        <xdr:cNvPr id="4868" name="306f48d5-e638-4ae4-8e13-3c7510ac348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b86ad1cf4324e1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4871</xdr:row>
      <xdr:rowOff>19050</xdr:rowOff>
    </xdr:from>
    <xdr:ext cx="1143000" cy="1143000"/>
    <xdr:pic>
      <xdr:nvPicPr>
        <xdr:cNvPr id="4869" name="f0cd40cf-8553-4769-b540-7f55d72a481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004a7ab91db487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4872</xdr:row>
      <xdr:rowOff>19050</xdr:rowOff>
    </xdr:from>
    <xdr:ext cx="1143000" cy="1143000"/>
    <xdr:pic>
      <xdr:nvPicPr>
        <xdr:cNvPr id="4870" name="bf540719-e559-46d5-a884-ef6f382a192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1a7d428ddc141d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4873</xdr:row>
      <xdr:rowOff>19050</xdr:rowOff>
    </xdr:from>
    <xdr:ext cx="1143000" cy="1143000"/>
    <xdr:pic>
      <xdr:nvPicPr>
        <xdr:cNvPr id="4871" name="fe525c21-2cdf-420c-88dd-e34ac6edcd6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4a5053b0f7e426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4874</xdr:row>
      <xdr:rowOff>19050</xdr:rowOff>
    </xdr:from>
    <xdr:ext cx="1143000" cy="1143000"/>
    <xdr:pic>
      <xdr:nvPicPr>
        <xdr:cNvPr id="4872" name="4e4ea113-b7f2-49c8-a315-e783146533f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104d90a719a451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4875</xdr:row>
      <xdr:rowOff>19050</xdr:rowOff>
    </xdr:from>
    <xdr:ext cx="1143000" cy="1143000"/>
    <xdr:pic>
      <xdr:nvPicPr>
        <xdr:cNvPr id="4873" name="57e148f6-9c42-4b7d-b5a6-68de217ae0e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d381de73ae543f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4876</xdr:row>
      <xdr:rowOff>19050</xdr:rowOff>
    </xdr:from>
    <xdr:ext cx="1143000" cy="1143000"/>
    <xdr:pic>
      <xdr:nvPicPr>
        <xdr:cNvPr id="4874" name="ee37cb2c-b680-49ac-874b-347dc9375d2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33f7deb78fb40a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4877</xdr:row>
      <xdr:rowOff>19050</xdr:rowOff>
    </xdr:from>
    <xdr:ext cx="1143000" cy="1143000"/>
    <xdr:pic>
      <xdr:nvPicPr>
        <xdr:cNvPr id="4875" name="c5059da6-16e0-41ff-a3f1-b81d82d6c5a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9391aa476af49f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4878</xdr:row>
      <xdr:rowOff>19050</xdr:rowOff>
    </xdr:from>
    <xdr:ext cx="1143000" cy="1143000"/>
    <xdr:pic>
      <xdr:nvPicPr>
        <xdr:cNvPr id="4876" name="545c003b-e328-4cb8-94f6-4f76824ee22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95ba6c18d4546d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4879</xdr:row>
      <xdr:rowOff>19050</xdr:rowOff>
    </xdr:from>
    <xdr:ext cx="1143000" cy="1143000"/>
    <xdr:pic>
      <xdr:nvPicPr>
        <xdr:cNvPr id="4877" name="059f6025-5e44-41a9-9a9a-63ed8c140bc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56146592063417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4880</xdr:row>
      <xdr:rowOff>19050</xdr:rowOff>
    </xdr:from>
    <xdr:ext cx="1143000" cy="1143000"/>
    <xdr:pic>
      <xdr:nvPicPr>
        <xdr:cNvPr id="4878" name="e2697674-9c09-4d14-9d9f-dc3ad407705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79890dda1494b2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4881</xdr:row>
      <xdr:rowOff>19050</xdr:rowOff>
    </xdr:from>
    <xdr:ext cx="1143000" cy="1143000"/>
    <xdr:pic>
      <xdr:nvPicPr>
        <xdr:cNvPr id="4879" name="8cac0b22-28b7-4ff4-98d6-89d86e25d4b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ee96a15bfc9497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4882</xdr:row>
      <xdr:rowOff>19050</xdr:rowOff>
    </xdr:from>
    <xdr:ext cx="1143000" cy="1143000"/>
    <xdr:pic>
      <xdr:nvPicPr>
        <xdr:cNvPr id="4880" name="6c5c21da-c6db-4247-b70a-5dcc9892d6f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05e0e0c66844b0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4883</xdr:row>
      <xdr:rowOff>19050</xdr:rowOff>
    </xdr:from>
    <xdr:ext cx="1143000" cy="1143000"/>
    <xdr:pic>
      <xdr:nvPicPr>
        <xdr:cNvPr id="4881" name="2cff234b-794c-439c-bcdf-56d4daf1f22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bc96f3957e3497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4884</xdr:row>
      <xdr:rowOff>19050</xdr:rowOff>
    </xdr:from>
    <xdr:ext cx="1143000" cy="1143000"/>
    <xdr:pic>
      <xdr:nvPicPr>
        <xdr:cNvPr id="4882" name="db20ab60-4cc7-425e-8a5a-eddb2826b71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09743570ca647a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4885</xdr:row>
      <xdr:rowOff>19050</xdr:rowOff>
    </xdr:from>
    <xdr:ext cx="1143000" cy="1143000"/>
    <xdr:pic>
      <xdr:nvPicPr>
        <xdr:cNvPr id="4883" name="567835f2-3c72-4b05-9bd2-e4687faa295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1fe10109f4042c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4886</xdr:row>
      <xdr:rowOff>19050</xdr:rowOff>
    </xdr:from>
    <xdr:ext cx="1143000" cy="1143000"/>
    <xdr:pic>
      <xdr:nvPicPr>
        <xdr:cNvPr id="4884" name="d689b8c2-99fb-4ddb-9a9e-56b9ddc4ccd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fcc06bc36b5440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4887</xdr:row>
      <xdr:rowOff>19050</xdr:rowOff>
    </xdr:from>
    <xdr:ext cx="1143000" cy="1143000"/>
    <xdr:pic>
      <xdr:nvPicPr>
        <xdr:cNvPr id="4885" name="0c63cb4e-90cf-4464-9052-825d6ed7fd9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324e54a508e4f5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4888</xdr:row>
      <xdr:rowOff>19050</xdr:rowOff>
    </xdr:from>
    <xdr:ext cx="1143000" cy="1143000"/>
    <xdr:pic>
      <xdr:nvPicPr>
        <xdr:cNvPr id="4886" name="1b241eb3-e2cc-49ab-80f3-df47e2f8e15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9a2b15cd950438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4889</xdr:row>
      <xdr:rowOff>19050</xdr:rowOff>
    </xdr:from>
    <xdr:ext cx="1143000" cy="1143000"/>
    <xdr:pic>
      <xdr:nvPicPr>
        <xdr:cNvPr id="4887" name="4147b1a3-aea7-4a7f-b2cf-818d433aa87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f865ec3a33644b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4890</xdr:row>
      <xdr:rowOff>19050</xdr:rowOff>
    </xdr:from>
    <xdr:ext cx="1143000" cy="1143000"/>
    <xdr:pic>
      <xdr:nvPicPr>
        <xdr:cNvPr id="4888" name="d8ca8b11-ab81-4d0c-8d6f-f39d83a3d8f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7630081d0284f3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4891</xdr:row>
      <xdr:rowOff>19050</xdr:rowOff>
    </xdr:from>
    <xdr:ext cx="1143000" cy="1143000"/>
    <xdr:pic>
      <xdr:nvPicPr>
        <xdr:cNvPr id="4889" name="d270fec6-fff6-4809-b32a-99b44b5e4c6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fef4095baa8466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4892</xdr:row>
      <xdr:rowOff>19050</xdr:rowOff>
    </xdr:from>
    <xdr:ext cx="1143000" cy="1143000"/>
    <xdr:pic>
      <xdr:nvPicPr>
        <xdr:cNvPr id="4890" name="1d7e747c-e464-4f89-8bc5-76c3bc02587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63f4d76983b4ae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4893</xdr:row>
      <xdr:rowOff>19050</xdr:rowOff>
    </xdr:from>
    <xdr:ext cx="1143000" cy="1143000"/>
    <xdr:pic>
      <xdr:nvPicPr>
        <xdr:cNvPr id="4891" name="12536991-b9b2-4b93-9dae-83d9f1b743c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8ae11b3ec97492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4894</xdr:row>
      <xdr:rowOff>19050</xdr:rowOff>
    </xdr:from>
    <xdr:ext cx="1143000" cy="1143000"/>
    <xdr:pic>
      <xdr:nvPicPr>
        <xdr:cNvPr id="4892" name="d5cc4947-45f4-41d2-af9d-46f0438a381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0c0d08c6ded448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4895</xdr:row>
      <xdr:rowOff>19050</xdr:rowOff>
    </xdr:from>
    <xdr:ext cx="1143000" cy="1143000"/>
    <xdr:pic>
      <xdr:nvPicPr>
        <xdr:cNvPr id="4893" name="1c682444-4ab4-4b9f-8dc1-eed519028b6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bad45c46555411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4896</xdr:row>
      <xdr:rowOff>19050</xdr:rowOff>
    </xdr:from>
    <xdr:ext cx="1143000" cy="1143000"/>
    <xdr:pic>
      <xdr:nvPicPr>
        <xdr:cNvPr id="4894" name="5fb19c9e-1999-4f09-90db-9fc589a2365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8e4523f6f53417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4897</xdr:row>
      <xdr:rowOff>19050</xdr:rowOff>
    </xdr:from>
    <xdr:ext cx="1143000" cy="1143000"/>
    <xdr:pic>
      <xdr:nvPicPr>
        <xdr:cNvPr id="4895" name="5a63987b-90de-4450-8a15-e1b7eaf7e57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6350f225f914a6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4898</xdr:row>
      <xdr:rowOff>19050</xdr:rowOff>
    </xdr:from>
    <xdr:ext cx="1143000" cy="1143000"/>
    <xdr:pic>
      <xdr:nvPicPr>
        <xdr:cNvPr id="4896" name="97237905-29c2-4763-92b6-5ff11a1014c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bb50210b4f4405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4899</xdr:row>
      <xdr:rowOff>19050</xdr:rowOff>
    </xdr:from>
    <xdr:ext cx="1143000" cy="1143000"/>
    <xdr:pic>
      <xdr:nvPicPr>
        <xdr:cNvPr id="4897" name="cde70cdb-d643-4074-8df7-9546ee5f115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e4408eb1de9490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4900</xdr:row>
      <xdr:rowOff>19050</xdr:rowOff>
    </xdr:from>
    <xdr:ext cx="1143000" cy="1143000"/>
    <xdr:pic>
      <xdr:nvPicPr>
        <xdr:cNvPr id="4898" name="03437e55-400a-4ee8-8242-ae21b0e5b88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f89d9e6824e496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4901</xdr:row>
      <xdr:rowOff>19050</xdr:rowOff>
    </xdr:from>
    <xdr:ext cx="1143000" cy="1143000"/>
    <xdr:pic>
      <xdr:nvPicPr>
        <xdr:cNvPr id="4899" name="a381318a-31cd-4ad4-b07d-7572d6079e6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c2eebf19f6f421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4902</xdr:row>
      <xdr:rowOff>19050</xdr:rowOff>
    </xdr:from>
    <xdr:ext cx="1143000" cy="1143000"/>
    <xdr:pic>
      <xdr:nvPicPr>
        <xdr:cNvPr id="4900" name="9608948c-a560-45da-b727-a599961aca7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ab0dd2ad36b418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4903</xdr:row>
      <xdr:rowOff>19050</xdr:rowOff>
    </xdr:from>
    <xdr:ext cx="1143000" cy="1143000"/>
    <xdr:pic>
      <xdr:nvPicPr>
        <xdr:cNvPr id="4901" name="f8328458-fef6-4ca4-9c71-83819b315ba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b4df2c6015b473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4904</xdr:row>
      <xdr:rowOff>19050</xdr:rowOff>
    </xdr:from>
    <xdr:ext cx="1143000" cy="1143000"/>
    <xdr:pic>
      <xdr:nvPicPr>
        <xdr:cNvPr id="4902" name="7945eed1-e48e-40e4-aa3d-68dfb7a2f8a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94b563b050e447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4905</xdr:row>
      <xdr:rowOff>19050</xdr:rowOff>
    </xdr:from>
    <xdr:ext cx="1143000" cy="1143000"/>
    <xdr:pic>
      <xdr:nvPicPr>
        <xdr:cNvPr id="4903" name="0e2c8112-2cfe-4094-8f65-eb9054c7c37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05e97d770814c5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4906</xdr:row>
      <xdr:rowOff>19050</xdr:rowOff>
    </xdr:from>
    <xdr:ext cx="1143000" cy="1143000"/>
    <xdr:pic>
      <xdr:nvPicPr>
        <xdr:cNvPr id="4904" name="318125ed-87bd-4dec-a57f-cf441681ab5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4f7159e5c074aa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4907</xdr:row>
      <xdr:rowOff>19050</xdr:rowOff>
    </xdr:from>
    <xdr:ext cx="1143000" cy="1143000"/>
    <xdr:pic>
      <xdr:nvPicPr>
        <xdr:cNvPr id="4905" name="f090b78d-b637-45bf-b1ac-3ca0451f0fb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2c2ae9353b84a4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4908</xdr:row>
      <xdr:rowOff>19050</xdr:rowOff>
    </xdr:from>
    <xdr:ext cx="1143000" cy="1143000"/>
    <xdr:pic>
      <xdr:nvPicPr>
        <xdr:cNvPr id="4906" name="4418080d-3e05-4292-8de0-dc3ea09a75a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8bc0b5ec31d4ae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4909</xdr:row>
      <xdr:rowOff>19050</xdr:rowOff>
    </xdr:from>
    <xdr:ext cx="1143000" cy="1143000"/>
    <xdr:pic>
      <xdr:nvPicPr>
        <xdr:cNvPr id="4907" name="64733e34-297c-4e52-b839-04e1da4080b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71681bc2603447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4910</xdr:row>
      <xdr:rowOff>19050</xdr:rowOff>
    </xdr:from>
    <xdr:ext cx="1143000" cy="1143000"/>
    <xdr:pic>
      <xdr:nvPicPr>
        <xdr:cNvPr id="4908" name="89a95ce7-38b5-4e9e-bdc1-f21fb51d80b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b4dc95e1ae0436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4911</xdr:row>
      <xdr:rowOff>19050</xdr:rowOff>
    </xdr:from>
    <xdr:ext cx="1143000" cy="1143000"/>
    <xdr:pic>
      <xdr:nvPicPr>
        <xdr:cNvPr id="4909" name="5b3b4676-7d9e-46c8-a48c-a9a1ef729b1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70cc0b76324436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4912</xdr:row>
      <xdr:rowOff>19050</xdr:rowOff>
    </xdr:from>
    <xdr:ext cx="1143000" cy="1143000"/>
    <xdr:pic>
      <xdr:nvPicPr>
        <xdr:cNvPr id="4910" name="6afab079-e986-4f3f-8178-67046869bbe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69db2602340476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4913</xdr:row>
      <xdr:rowOff>19050</xdr:rowOff>
    </xdr:from>
    <xdr:ext cx="1143000" cy="1143000"/>
    <xdr:pic>
      <xdr:nvPicPr>
        <xdr:cNvPr id="4911" name="822dc6fa-9a63-4709-a931-2a442957172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b05ffbc3571433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4914</xdr:row>
      <xdr:rowOff>19050</xdr:rowOff>
    </xdr:from>
    <xdr:ext cx="1143000" cy="1143000"/>
    <xdr:pic>
      <xdr:nvPicPr>
        <xdr:cNvPr id="4912" name="e94ebe7b-919d-4049-a77f-1ad5f992e20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9debba7a3fe403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4915</xdr:row>
      <xdr:rowOff>19050</xdr:rowOff>
    </xdr:from>
    <xdr:ext cx="1143000" cy="1143000"/>
    <xdr:pic>
      <xdr:nvPicPr>
        <xdr:cNvPr id="4913" name="6db31ed2-50cb-47c9-8c4e-d2b85603b31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9ab1df282d7415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4916</xdr:row>
      <xdr:rowOff>19050</xdr:rowOff>
    </xdr:from>
    <xdr:ext cx="1143000" cy="1143000"/>
    <xdr:pic>
      <xdr:nvPicPr>
        <xdr:cNvPr id="4914" name="9c444d57-b813-42f6-975d-2080fea29ce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03329a56825497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4917</xdr:row>
      <xdr:rowOff>19050</xdr:rowOff>
    </xdr:from>
    <xdr:ext cx="1143000" cy="1143000"/>
    <xdr:pic>
      <xdr:nvPicPr>
        <xdr:cNvPr id="4915" name="aefbef86-898c-4ea4-81b0-3853de07b6d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407b5baaec1463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4918</xdr:row>
      <xdr:rowOff>19050</xdr:rowOff>
    </xdr:from>
    <xdr:ext cx="1143000" cy="1143000"/>
    <xdr:pic>
      <xdr:nvPicPr>
        <xdr:cNvPr id="4916" name="c11cd10a-495a-4f37-ad85-a443d935601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2a5f426dce94bd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4919</xdr:row>
      <xdr:rowOff>19050</xdr:rowOff>
    </xdr:from>
    <xdr:ext cx="1143000" cy="1143000"/>
    <xdr:pic>
      <xdr:nvPicPr>
        <xdr:cNvPr id="4917" name="961e2762-ed20-455c-8f72-a62a583aea2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5772f3b4d1448e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4920</xdr:row>
      <xdr:rowOff>19050</xdr:rowOff>
    </xdr:from>
    <xdr:ext cx="1143000" cy="1143000"/>
    <xdr:pic>
      <xdr:nvPicPr>
        <xdr:cNvPr id="4918" name="6fc49a0a-d938-484e-858e-26be1b61812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6d78f3cb937463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4921</xdr:row>
      <xdr:rowOff>19050</xdr:rowOff>
    </xdr:from>
    <xdr:ext cx="1143000" cy="1143000"/>
    <xdr:pic>
      <xdr:nvPicPr>
        <xdr:cNvPr id="4919" name="b540d925-1e8e-4b88-8fff-b04989c98f6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ada3eb73bed443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4922</xdr:row>
      <xdr:rowOff>19050</xdr:rowOff>
    </xdr:from>
    <xdr:ext cx="1143000" cy="1143000"/>
    <xdr:pic>
      <xdr:nvPicPr>
        <xdr:cNvPr id="4920" name="d25475ca-12f1-47e3-9d4a-dcc18af182e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a7d44b9a3994f6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4923</xdr:row>
      <xdr:rowOff>19050</xdr:rowOff>
    </xdr:from>
    <xdr:ext cx="1143000" cy="1143000"/>
    <xdr:pic>
      <xdr:nvPicPr>
        <xdr:cNvPr id="4921" name="06eab536-385d-46ad-bc5d-fc77456218c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0c597d70e07494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4924</xdr:row>
      <xdr:rowOff>19050</xdr:rowOff>
    </xdr:from>
    <xdr:ext cx="1143000" cy="1143000"/>
    <xdr:pic>
      <xdr:nvPicPr>
        <xdr:cNvPr id="4922" name="5090a2ed-4e85-4cce-a785-6d137825295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e24487dfb22476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4925</xdr:row>
      <xdr:rowOff>19050</xdr:rowOff>
    </xdr:from>
    <xdr:ext cx="1143000" cy="1143000"/>
    <xdr:pic>
      <xdr:nvPicPr>
        <xdr:cNvPr id="4923" name="1da23045-7507-402b-b7bb-c41fae9caaf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4943634c5f7411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4926</xdr:row>
      <xdr:rowOff>19050</xdr:rowOff>
    </xdr:from>
    <xdr:ext cx="1143000" cy="1143000"/>
    <xdr:pic>
      <xdr:nvPicPr>
        <xdr:cNvPr id="4924" name="8a2332fd-8ad7-4622-8888-0e1d481b284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f04aa952989495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4927</xdr:row>
      <xdr:rowOff>19050</xdr:rowOff>
    </xdr:from>
    <xdr:ext cx="1143000" cy="1143000"/>
    <xdr:pic>
      <xdr:nvPicPr>
        <xdr:cNvPr id="4925" name="9b9c07ab-a44b-463c-b02c-22e64fe3149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7b0dadb47ca495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4928</xdr:row>
      <xdr:rowOff>19050</xdr:rowOff>
    </xdr:from>
    <xdr:ext cx="1143000" cy="1143000"/>
    <xdr:pic>
      <xdr:nvPicPr>
        <xdr:cNvPr id="4926" name="919a2c38-6a2c-437e-be70-1867d57e5da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26bb50d9e9b4f5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4929</xdr:row>
      <xdr:rowOff>19050</xdr:rowOff>
    </xdr:from>
    <xdr:ext cx="1143000" cy="1143000"/>
    <xdr:pic>
      <xdr:nvPicPr>
        <xdr:cNvPr id="4927" name="0d83b284-9001-4ca4-9ffc-4663c3db8f9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da835752bf34a0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4930</xdr:row>
      <xdr:rowOff>19050</xdr:rowOff>
    </xdr:from>
    <xdr:ext cx="1143000" cy="1143000"/>
    <xdr:pic>
      <xdr:nvPicPr>
        <xdr:cNvPr id="4928" name="d2a341db-6de8-4b15-8bef-bd1e8f5e75a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30e0b3c77ef492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4931</xdr:row>
      <xdr:rowOff>19050</xdr:rowOff>
    </xdr:from>
    <xdr:ext cx="1143000" cy="1143000"/>
    <xdr:pic>
      <xdr:nvPicPr>
        <xdr:cNvPr id="4929" name="cd569f1f-24b3-46a9-8427-aca56b8d71b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19e77fdc1ff41f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4932</xdr:row>
      <xdr:rowOff>19050</xdr:rowOff>
    </xdr:from>
    <xdr:ext cx="1143000" cy="1143000"/>
    <xdr:pic>
      <xdr:nvPicPr>
        <xdr:cNvPr id="4930" name="4b5e9601-ce8a-4e07-9042-5d89f3e59c9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93c824921dd4b6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4933</xdr:row>
      <xdr:rowOff>19050</xdr:rowOff>
    </xdr:from>
    <xdr:ext cx="1143000" cy="1143000"/>
    <xdr:pic>
      <xdr:nvPicPr>
        <xdr:cNvPr id="4931" name="f568e403-c3be-4a39-8b1b-d9cfa847763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caf9b8087d8432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4934</xdr:row>
      <xdr:rowOff>19050</xdr:rowOff>
    </xdr:from>
    <xdr:ext cx="1143000" cy="1143000"/>
    <xdr:pic>
      <xdr:nvPicPr>
        <xdr:cNvPr id="4932" name="8fb8943e-438f-4165-b1cf-a125e2750f2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e6025d0d23745b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4935</xdr:row>
      <xdr:rowOff>19050</xdr:rowOff>
    </xdr:from>
    <xdr:ext cx="1143000" cy="1143000"/>
    <xdr:pic>
      <xdr:nvPicPr>
        <xdr:cNvPr id="4933" name="189b4928-bf22-4d16-b000-c5f9f2a6cb1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97ce67116934fd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4936</xdr:row>
      <xdr:rowOff>19050</xdr:rowOff>
    </xdr:from>
    <xdr:ext cx="1143000" cy="1143000"/>
    <xdr:pic>
      <xdr:nvPicPr>
        <xdr:cNvPr id="4934" name="4ec49494-180b-4870-aee2-599a5c1ec84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0670564371e4d9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4937</xdr:row>
      <xdr:rowOff>19050</xdr:rowOff>
    </xdr:from>
    <xdr:ext cx="1143000" cy="1143000"/>
    <xdr:pic>
      <xdr:nvPicPr>
        <xdr:cNvPr id="4935" name="ae9235c3-9807-458e-83fb-07c5009ac5b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a882065e066497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4938</xdr:row>
      <xdr:rowOff>19050</xdr:rowOff>
    </xdr:from>
    <xdr:ext cx="1143000" cy="1143000"/>
    <xdr:pic>
      <xdr:nvPicPr>
        <xdr:cNvPr id="4936" name="13e7596a-bef2-4dbb-b9c3-c47d57f2efb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0ce0d8825fd439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4939</xdr:row>
      <xdr:rowOff>19050</xdr:rowOff>
    </xdr:from>
    <xdr:ext cx="1143000" cy="1143000"/>
    <xdr:pic>
      <xdr:nvPicPr>
        <xdr:cNvPr id="4937" name="bfd4936c-5fbd-4e76-8a67-3e0c3f0ff80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95d116d559b463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4940</xdr:row>
      <xdr:rowOff>19050</xdr:rowOff>
    </xdr:from>
    <xdr:ext cx="1143000" cy="1143000"/>
    <xdr:pic>
      <xdr:nvPicPr>
        <xdr:cNvPr id="4938" name="af8ba75a-07e3-4bfc-9f60-cfec4ca2fb0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3c72b032efd469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4941</xdr:row>
      <xdr:rowOff>19050</xdr:rowOff>
    </xdr:from>
    <xdr:ext cx="1143000" cy="1143000"/>
    <xdr:pic>
      <xdr:nvPicPr>
        <xdr:cNvPr id="4939" name="ddba2c8a-c855-4581-9581-83bc92027e0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47957f124da4c0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4942</xdr:row>
      <xdr:rowOff>19050</xdr:rowOff>
    </xdr:from>
    <xdr:ext cx="1143000" cy="1143000"/>
    <xdr:pic>
      <xdr:nvPicPr>
        <xdr:cNvPr id="4940" name="8c05e519-c818-4c62-a9dd-fe644d66463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7116eb5d1ba4d2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4943</xdr:row>
      <xdr:rowOff>19050</xdr:rowOff>
    </xdr:from>
    <xdr:ext cx="1143000" cy="1143000"/>
    <xdr:pic>
      <xdr:nvPicPr>
        <xdr:cNvPr id="4941" name="dbd721c0-31cf-47c3-b0f8-9a49933ed69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c790818b1e24c1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4944</xdr:row>
      <xdr:rowOff>19050</xdr:rowOff>
    </xdr:from>
    <xdr:ext cx="1143000" cy="1143000"/>
    <xdr:pic>
      <xdr:nvPicPr>
        <xdr:cNvPr id="4942" name="20e917ed-8a67-4855-a797-bc5a26c2f30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c6b34233fae410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4945</xdr:row>
      <xdr:rowOff>19050</xdr:rowOff>
    </xdr:from>
    <xdr:ext cx="1143000" cy="1143000"/>
    <xdr:pic>
      <xdr:nvPicPr>
        <xdr:cNvPr id="4943" name="4bf87b8b-e724-42aa-aa24-6ec56416665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df465c4bf344bc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4946</xdr:row>
      <xdr:rowOff>19050</xdr:rowOff>
    </xdr:from>
    <xdr:ext cx="1143000" cy="1143000"/>
    <xdr:pic>
      <xdr:nvPicPr>
        <xdr:cNvPr id="4944" name="611436b0-09b5-4214-bac6-375663e378b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432151c056f486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4947</xdr:row>
      <xdr:rowOff>19050</xdr:rowOff>
    </xdr:from>
    <xdr:ext cx="1143000" cy="1143000"/>
    <xdr:pic>
      <xdr:nvPicPr>
        <xdr:cNvPr id="4945" name="11ecbd70-0a73-4808-8bab-aa849851fdc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c627ce467944b5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4948</xdr:row>
      <xdr:rowOff>19050</xdr:rowOff>
    </xdr:from>
    <xdr:ext cx="1143000" cy="1143000"/>
    <xdr:pic>
      <xdr:nvPicPr>
        <xdr:cNvPr id="4946" name="2a26956a-bdea-4333-adec-9995117c524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5710ae3c3d5438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4949</xdr:row>
      <xdr:rowOff>19050</xdr:rowOff>
    </xdr:from>
    <xdr:ext cx="1143000" cy="1143000"/>
    <xdr:pic>
      <xdr:nvPicPr>
        <xdr:cNvPr id="4947" name="ae17299a-ec71-4c49-8933-f05dbcf1f69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be8527a195343e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4950</xdr:row>
      <xdr:rowOff>19050</xdr:rowOff>
    </xdr:from>
    <xdr:ext cx="1143000" cy="1143000"/>
    <xdr:pic>
      <xdr:nvPicPr>
        <xdr:cNvPr id="4948" name="035200cc-ad22-4353-b80c-1833efad6b4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f270c1d9b0d404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4951</xdr:row>
      <xdr:rowOff>19050</xdr:rowOff>
    </xdr:from>
    <xdr:ext cx="1143000" cy="1143000"/>
    <xdr:pic>
      <xdr:nvPicPr>
        <xdr:cNvPr id="4949" name="8b59c3c0-fd11-447c-ab4c-6afe3177200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fed01a61bc04a4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4952</xdr:row>
      <xdr:rowOff>19050</xdr:rowOff>
    </xdr:from>
    <xdr:ext cx="1143000" cy="1143000"/>
    <xdr:pic>
      <xdr:nvPicPr>
        <xdr:cNvPr id="4950" name="e004e956-b1ea-4dbb-aa70-eac4fc0be00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293038f1ad6405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4953</xdr:row>
      <xdr:rowOff>19050</xdr:rowOff>
    </xdr:from>
    <xdr:ext cx="1143000" cy="1143000"/>
    <xdr:pic>
      <xdr:nvPicPr>
        <xdr:cNvPr id="4951" name="d7903de7-8f33-4687-9402-f2043f59f78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10bf4d8a8144f5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4954</xdr:row>
      <xdr:rowOff>19050</xdr:rowOff>
    </xdr:from>
    <xdr:ext cx="1143000" cy="1143000"/>
    <xdr:pic>
      <xdr:nvPicPr>
        <xdr:cNvPr id="4952" name="5e748059-989c-4608-92d9-2e8cbf8c3bb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70253faf4d547f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4955</xdr:row>
      <xdr:rowOff>19050</xdr:rowOff>
    </xdr:from>
    <xdr:ext cx="1143000" cy="1143000"/>
    <xdr:pic>
      <xdr:nvPicPr>
        <xdr:cNvPr id="4953" name="377a3940-cdfb-4693-a18b-56a63fe201e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9d1b5916d3e4f6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4956</xdr:row>
      <xdr:rowOff>19050</xdr:rowOff>
    </xdr:from>
    <xdr:ext cx="1143000" cy="1143000"/>
    <xdr:pic>
      <xdr:nvPicPr>
        <xdr:cNvPr id="4954" name="d81b5c69-745f-4cdc-9ff0-2848380075e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a733b79414e4a1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4957</xdr:row>
      <xdr:rowOff>19050</xdr:rowOff>
    </xdr:from>
    <xdr:ext cx="1143000" cy="1143000"/>
    <xdr:pic>
      <xdr:nvPicPr>
        <xdr:cNvPr id="4955" name="d6e8ef4e-50dd-40b3-97ad-e540d61f2b9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452762bf5d94db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4958</xdr:row>
      <xdr:rowOff>19050</xdr:rowOff>
    </xdr:from>
    <xdr:ext cx="1143000" cy="1143000"/>
    <xdr:pic>
      <xdr:nvPicPr>
        <xdr:cNvPr id="4956" name="3a65c927-5316-4cf8-a621-2a10782515a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5309a6428fa48f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4959</xdr:row>
      <xdr:rowOff>19050</xdr:rowOff>
    </xdr:from>
    <xdr:ext cx="1143000" cy="1143000"/>
    <xdr:pic>
      <xdr:nvPicPr>
        <xdr:cNvPr id="4957" name="726dfbec-f7cf-4f28-91a9-858e9f1c308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9aaceb386c946d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4960</xdr:row>
      <xdr:rowOff>19050</xdr:rowOff>
    </xdr:from>
    <xdr:ext cx="1143000" cy="1143000"/>
    <xdr:pic>
      <xdr:nvPicPr>
        <xdr:cNvPr id="4958" name="00e36b11-9c31-4e56-92c2-c396d1da46f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d99f540a5d0467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4961</xdr:row>
      <xdr:rowOff>19050</xdr:rowOff>
    </xdr:from>
    <xdr:ext cx="1143000" cy="1143000"/>
    <xdr:pic>
      <xdr:nvPicPr>
        <xdr:cNvPr id="4959" name="20c2410b-0bea-4f30-b312-ff7c6653cf6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e2993730a43442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4962</xdr:row>
      <xdr:rowOff>19050</xdr:rowOff>
    </xdr:from>
    <xdr:ext cx="1143000" cy="1143000"/>
    <xdr:pic>
      <xdr:nvPicPr>
        <xdr:cNvPr id="4960" name="5e815147-fb57-4159-ae37-4b8e500f9e0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00762ef5dbe46e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4963</xdr:row>
      <xdr:rowOff>19050</xdr:rowOff>
    </xdr:from>
    <xdr:ext cx="1143000" cy="1143000"/>
    <xdr:pic>
      <xdr:nvPicPr>
        <xdr:cNvPr id="4961" name="00b818ba-ede4-42f0-aa5a-addde3bbc60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50be8441652458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4964</xdr:row>
      <xdr:rowOff>19050</xdr:rowOff>
    </xdr:from>
    <xdr:ext cx="1143000" cy="1143000"/>
    <xdr:pic>
      <xdr:nvPicPr>
        <xdr:cNvPr id="4962" name="4263af0d-1652-415d-b546-7f1d5ae2b73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f5a897d8c3e4c4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4965</xdr:row>
      <xdr:rowOff>19050</xdr:rowOff>
    </xdr:from>
    <xdr:ext cx="1143000" cy="1143000"/>
    <xdr:pic>
      <xdr:nvPicPr>
        <xdr:cNvPr id="4963" name="58be8f25-8919-42d9-bcbb-9df5961f70e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d9ecdf260b9430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4966</xdr:row>
      <xdr:rowOff>19050</xdr:rowOff>
    </xdr:from>
    <xdr:ext cx="1143000" cy="1143000"/>
    <xdr:pic>
      <xdr:nvPicPr>
        <xdr:cNvPr id="4964" name="f8987978-675f-480b-96e7-4c080bce876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5fc39725c03460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4967</xdr:row>
      <xdr:rowOff>19050</xdr:rowOff>
    </xdr:from>
    <xdr:ext cx="1143000" cy="1143000"/>
    <xdr:pic>
      <xdr:nvPicPr>
        <xdr:cNvPr id="4965" name="f6e672c0-ce94-443f-87eb-ff4892677d6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f655e8c6261472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4968</xdr:row>
      <xdr:rowOff>19050</xdr:rowOff>
    </xdr:from>
    <xdr:ext cx="1143000" cy="1143000"/>
    <xdr:pic>
      <xdr:nvPicPr>
        <xdr:cNvPr id="4966" name="392242f6-ac13-4e5b-bdbe-738aa8a6ca8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447ffe7e3b14ca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4969</xdr:row>
      <xdr:rowOff>19050</xdr:rowOff>
    </xdr:from>
    <xdr:ext cx="1143000" cy="1143000"/>
    <xdr:pic>
      <xdr:nvPicPr>
        <xdr:cNvPr id="4967" name="d0614bcb-6a61-4f5f-b8e2-209f4de5ca9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d74f109c6404a7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4970</xdr:row>
      <xdr:rowOff>19050</xdr:rowOff>
    </xdr:from>
    <xdr:ext cx="1143000" cy="1143000"/>
    <xdr:pic>
      <xdr:nvPicPr>
        <xdr:cNvPr id="4968" name="76a1a6d9-f3cb-4956-80d3-662b8860fc6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da24d419ad84c6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4971</xdr:row>
      <xdr:rowOff>19050</xdr:rowOff>
    </xdr:from>
    <xdr:ext cx="1143000" cy="1143000"/>
    <xdr:pic>
      <xdr:nvPicPr>
        <xdr:cNvPr id="4969" name="b0b453f6-e915-4d58-bed4-7d1fbaf5c2e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6d86f568ccb4be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4972</xdr:row>
      <xdr:rowOff>19050</xdr:rowOff>
    </xdr:from>
    <xdr:ext cx="1143000" cy="1143000"/>
    <xdr:pic>
      <xdr:nvPicPr>
        <xdr:cNvPr id="4970" name="6d20b1ef-d7f9-4310-bf71-fac4d210b05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67494bdb8f14fb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4973</xdr:row>
      <xdr:rowOff>19050</xdr:rowOff>
    </xdr:from>
    <xdr:ext cx="1143000" cy="1143000"/>
    <xdr:pic>
      <xdr:nvPicPr>
        <xdr:cNvPr id="4971" name="7a7f60ea-1f36-4a35-9e94-9aca4db53e8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20617dcf50e4df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4974</xdr:row>
      <xdr:rowOff>19050</xdr:rowOff>
    </xdr:from>
    <xdr:ext cx="1143000" cy="1143000"/>
    <xdr:pic>
      <xdr:nvPicPr>
        <xdr:cNvPr id="4972" name="021193a2-4da5-47d7-a9ab-33abf53f5f2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a8fc0627caf434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4975</xdr:row>
      <xdr:rowOff>19050</xdr:rowOff>
    </xdr:from>
    <xdr:ext cx="1143000" cy="1143000"/>
    <xdr:pic>
      <xdr:nvPicPr>
        <xdr:cNvPr id="4973" name="b27b8d8e-fd66-406e-a717-38a9f22a82a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ced82454d224ee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4976</xdr:row>
      <xdr:rowOff>19050</xdr:rowOff>
    </xdr:from>
    <xdr:ext cx="1143000" cy="1143000"/>
    <xdr:pic>
      <xdr:nvPicPr>
        <xdr:cNvPr id="4974" name="82659c55-3542-4e8e-bb07-e007785d8f4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a96ad89d269462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4977</xdr:row>
      <xdr:rowOff>19050</xdr:rowOff>
    </xdr:from>
    <xdr:ext cx="1143000" cy="1143000"/>
    <xdr:pic>
      <xdr:nvPicPr>
        <xdr:cNvPr id="4975" name="7a9f747e-5859-4ccf-bac9-e9c29250f98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9637bb763bb4e2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4978</xdr:row>
      <xdr:rowOff>19050</xdr:rowOff>
    </xdr:from>
    <xdr:ext cx="1143000" cy="1143000"/>
    <xdr:pic>
      <xdr:nvPicPr>
        <xdr:cNvPr id="4976" name="908ecdce-6500-4277-b4a3-f919565bf3e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84896808005459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4979</xdr:row>
      <xdr:rowOff>19050</xdr:rowOff>
    </xdr:from>
    <xdr:ext cx="1143000" cy="1143000"/>
    <xdr:pic>
      <xdr:nvPicPr>
        <xdr:cNvPr id="4977" name="44907166-4723-4bc5-97b3-d8dc5063a7e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29a122486cc497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4980</xdr:row>
      <xdr:rowOff>19050</xdr:rowOff>
    </xdr:from>
    <xdr:ext cx="1143000" cy="1143000"/>
    <xdr:pic>
      <xdr:nvPicPr>
        <xdr:cNvPr id="4978" name="ade88162-18c5-4e83-a492-b22711ed10c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55b190a7eaa4fd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4981</xdr:row>
      <xdr:rowOff>19050</xdr:rowOff>
    </xdr:from>
    <xdr:ext cx="1143000" cy="1143000"/>
    <xdr:pic>
      <xdr:nvPicPr>
        <xdr:cNvPr id="4979" name="6f609e47-01a3-4ad5-bff1-caad5bf6256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56b871a99df497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4982</xdr:row>
      <xdr:rowOff>19050</xdr:rowOff>
    </xdr:from>
    <xdr:ext cx="1143000" cy="1143000"/>
    <xdr:pic>
      <xdr:nvPicPr>
        <xdr:cNvPr id="4980" name="3c2099a1-427d-4c3b-a403-28a13cfc38a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d511fa06bc4416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4983</xdr:row>
      <xdr:rowOff>19050</xdr:rowOff>
    </xdr:from>
    <xdr:ext cx="1143000" cy="1143000"/>
    <xdr:pic>
      <xdr:nvPicPr>
        <xdr:cNvPr id="4981" name="46b6a283-ed33-45ac-bfdb-fd563da4652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19409c0a9de4a2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4984</xdr:row>
      <xdr:rowOff>19050</xdr:rowOff>
    </xdr:from>
    <xdr:ext cx="1143000" cy="1143000"/>
    <xdr:pic>
      <xdr:nvPicPr>
        <xdr:cNvPr id="4982" name="0546c84c-8ab2-4c64-876a-31739e64aea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e566ed77e56436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4985</xdr:row>
      <xdr:rowOff>19050</xdr:rowOff>
    </xdr:from>
    <xdr:ext cx="1143000" cy="1143000"/>
    <xdr:pic>
      <xdr:nvPicPr>
        <xdr:cNvPr id="4983" name="50c2d335-5e8b-4d64-96b8-295f36750a4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f82361564924d1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4986</xdr:row>
      <xdr:rowOff>19050</xdr:rowOff>
    </xdr:from>
    <xdr:ext cx="1143000" cy="1143000"/>
    <xdr:pic>
      <xdr:nvPicPr>
        <xdr:cNvPr id="4984" name="e66d5fa4-0b5e-4e0e-923b-af6eec8ac28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73aad662f15440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4987</xdr:row>
      <xdr:rowOff>19050</xdr:rowOff>
    </xdr:from>
    <xdr:ext cx="1143000" cy="1143000"/>
    <xdr:pic>
      <xdr:nvPicPr>
        <xdr:cNvPr id="4985" name="e66d7c63-34ad-49e9-a9de-14930aa323a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4cf8f1b3bb74bb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4988</xdr:row>
      <xdr:rowOff>19050</xdr:rowOff>
    </xdr:from>
    <xdr:ext cx="1143000" cy="1143000"/>
    <xdr:pic>
      <xdr:nvPicPr>
        <xdr:cNvPr id="4986" name="640f2e65-cfde-426a-a252-93fd2d93c1c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e0129dbee52431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4989</xdr:row>
      <xdr:rowOff>19050</xdr:rowOff>
    </xdr:from>
    <xdr:ext cx="1143000" cy="1143000"/>
    <xdr:pic>
      <xdr:nvPicPr>
        <xdr:cNvPr id="4987" name="c8fe0284-8634-412a-955c-9fc2a976d27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cf8cdfb1695461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4990</xdr:row>
      <xdr:rowOff>19050</xdr:rowOff>
    </xdr:from>
    <xdr:ext cx="1143000" cy="1143000"/>
    <xdr:pic>
      <xdr:nvPicPr>
        <xdr:cNvPr id="4988" name="5034a4d2-5d90-4b87-80ee-a84954eb45f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32777e98cb947e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4991</xdr:row>
      <xdr:rowOff>19050</xdr:rowOff>
    </xdr:from>
    <xdr:ext cx="1143000" cy="1143000"/>
    <xdr:pic>
      <xdr:nvPicPr>
        <xdr:cNvPr id="4989" name="d853b45a-03c2-4b5e-8f73-d3107fef687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cbb1b3aa7cc457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4992</xdr:row>
      <xdr:rowOff>19050</xdr:rowOff>
    </xdr:from>
    <xdr:ext cx="1143000" cy="1143000"/>
    <xdr:pic>
      <xdr:nvPicPr>
        <xdr:cNvPr id="4990" name="c71da727-38e8-4469-92e9-f01d9da43b0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f5f7dea991447a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4993</xdr:row>
      <xdr:rowOff>19050</xdr:rowOff>
    </xdr:from>
    <xdr:ext cx="1143000" cy="1143000"/>
    <xdr:pic>
      <xdr:nvPicPr>
        <xdr:cNvPr id="4991" name="a5f44858-4204-4b8f-9599-e06010c1ca4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6762ca408cb41b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4994</xdr:row>
      <xdr:rowOff>19050</xdr:rowOff>
    </xdr:from>
    <xdr:ext cx="1143000" cy="1143000"/>
    <xdr:pic>
      <xdr:nvPicPr>
        <xdr:cNvPr id="4992" name="4a3d8521-9e21-4ffa-a0fb-77f5d111383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4549026b0984a9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4995</xdr:row>
      <xdr:rowOff>19050</xdr:rowOff>
    </xdr:from>
    <xdr:ext cx="1143000" cy="1143000"/>
    <xdr:pic>
      <xdr:nvPicPr>
        <xdr:cNvPr id="4993" name="dcad612c-ca69-453a-915d-c7a936f3eff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1d9abc465384b0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4996</xdr:row>
      <xdr:rowOff>19050</xdr:rowOff>
    </xdr:from>
    <xdr:ext cx="1143000" cy="1143000"/>
    <xdr:pic>
      <xdr:nvPicPr>
        <xdr:cNvPr id="4994" name="c98bf595-b523-47d4-8ced-941c823c9c6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abf2467b726494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4997</xdr:row>
      <xdr:rowOff>19050</xdr:rowOff>
    </xdr:from>
    <xdr:ext cx="1143000" cy="1143000"/>
    <xdr:pic>
      <xdr:nvPicPr>
        <xdr:cNvPr id="4995" name="c54c9b19-bf86-4b15-9b5b-4c4babbe04e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724c5d8a8714df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4998</xdr:row>
      <xdr:rowOff>19050</xdr:rowOff>
    </xdr:from>
    <xdr:ext cx="1143000" cy="1143000"/>
    <xdr:pic>
      <xdr:nvPicPr>
        <xdr:cNvPr id="4996" name="447d905d-29e4-4586-a051-68baf4e1cf3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9050405b6dc4a3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4999</xdr:row>
      <xdr:rowOff>19050</xdr:rowOff>
    </xdr:from>
    <xdr:ext cx="1143000" cy="1143000"/>
    <xdr:pic>
      <xdr:nvPicPr>
        <xdr:cNvPr id="4997" name="918c1506-e293-4243-b4ed-1f9c6a4d501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93e6d4d8b56409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5000</xdr:row>
      <xdr:rowOff>19050</xdr:rowOff>
    </xdr:from>
    <xdr:ext cx="1143000" cy="1143000"/>
    <xdr:pic>
      <xdr:nvPicPr>
        <xdr:cNvPr id="4998" name="0ed869f0-b908-4f68-b7ed-4dd8f0b3d51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961a5d93ed1467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5001</xdr:row>
      <xdr:rowOff>19050</xdr:rowOff>
    </xdr:from>
    <xdr:ext cx="1143000" cy="1143000"/>
    <xdr:pic>
      <xdr:nvPicPr>
        <xdr:cNvPr id="4999" name="c689560f-9928-4689-b92a-32f42d02eb3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d0c881273ac408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5002</xdr:row>
      <xdr:rowOff>19050</xdr:rowOff>
    </xdr:from>
    <xdr:ext cx="1143000" cy="1143000"/>
    <xdr:pic>
      <xdr:nvPicPr>
        <xdr:cNvPr id="5000" name="050b88aa-a5a0-4bf5-b836-8e2dc8a933d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d4b5bccc58749e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5003</xdr:row>
      <xdr:rowOff>19050</xdr:rowOff>
    </xdr:from>
    <xdr:ext cx="1143000" cy="1143000"/>
    <xdr:pic>
      <xdr:nvPicPr>
        <xdr:cNvPr id="5001" name="76b81ecc-7e77-468b-910e-362d22cceba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0ca13e9ba3740e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5004</xdr:row>
      <xdr:rowOff>19050</xdr:rowOff>
    </xdr:from>
    <xdr:ext cx="1143000" cy="1143000"/>
    <xdr:pic>
      <xdr:nvPicPr>
        <xdr:cNvPr id="5002" name="823907de-3ab3-434d-bc70-d919a177c0e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c79b7f3b8d6452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5005</xdr:row>
      <xdr:rowOff>19050</xdr:rowOff>
    </xdr:from>
    <xdr:ext cx="1143000" cy="1143000"/>
    <xdr:pic>
      <xdr:nvPicPr>
        <xdr:cNvPr id="5003" name="86b9db04-a0c1-4cf4-adb1-5460bbf78fb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a3a37a1577b4d7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5006</xdr:row>
      <xdr:rowOff>19050</xdr:rowOff>
    </xdr:from>
    <xdr:ext cx="1143000" cy="1143000"/>
    <xdr:pic>
      <xdr:nvPicPr>
        <xdr:cNvPr id="5004" name="e4bad2c4-b7ea-46dd-b682-15dba11c912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cd2d85f4b874da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5007</xdr:row>
      <xdr:rowOff>19050</xdr:rowOff>
    </xdr:from>
    <xdr:ext cx="1143000" cy="1143000"/>
    <xdr:pic>
      <xdr:nvPicPr>
        <xdr:cNvPr id="5005" name="d7ee39eb-764d-43f1-b4f6-e63ab1e1581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583d076e8b346d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5008</xdr:row>
      <xdr:rowOff>19050</xdr:rowOff>
    </xdr:from>
    <xdr:ext cx="1143000" cy="1143000"/>
    <xdr:pic>
      <xdr:nvPicPr>
        <xdr:cNvPr id="5006" name="de413b62-5380-48ed-917a-7d98888cb87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f4b9c2a2c7f4b8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5009</xdr:row>
      <xdr:rowOff>19050</xdr:rowOff>
    </xdr:from>
    <xdr:ext cx="1143000" cy="1143000"/>
    <xdr:pic>
      <xdr:nvPicPr>
        <xdr:cNvPr id="5007" name="2738b08c-3be0-4078-aef1-7446be1c276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9af306c6976465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5010</xdr:row>
      <xdr:rowOff>19050</xdr:rowOff>
    </xdr:from>
    <xdr:ext cx="1143000" cy="1143000"/>
    <xdr:pic>
      <xdr:nvPicPr>
        <xdr:cNvPr id="5008" name="a4502ff2-6c18-4d5b-9e3c-3397d84b79c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69273c5c8544b8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5011</xdr:row>
      <xdr:rowOff>19050</xdr:rowOff>
    </xdr:from>
    <xdr:ext cx="1143000" cy="1143000"/>
    <xdr:pic>
      <xdr:nvPicPr>
        <xdr:cNvPr id="5009" name="ce0b9e1d-14c8-45b6-8b9b-a0c7ae1ca59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39bf2c608c3403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5012</xdr:row>
      <xdr:rowOff>19050</xdr:rowOff>
    </xdr:from>
    <xdr:ext cx="1143000" cy="1143000"/>
    <xdr:pic>
      <xdr:nvPicPr>
        <xdr:cNvPr id="5010" name="31972293-86f5-4a3e-858c-ec34bec946a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ccdd8f2b239461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5013</xdr:row>
      <xdr:rowOff>19050</xdr:rowOff>
    </xdr:from>
    <xdr:ext cx="1143000" cy="1143000"/>
    <xdr:pic>
      <xdr:nvPicPr>
        <xdr:cNvPr id="5011" name="d221bb98-a9fe-464c-801e-240c7f3114e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8b81a07821b4fe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5014</xdr:row>
      <xdr:rowOff>19050</xdr:rowOff>
    </xdr:from>
    <xdr:ext cx="1143000" cy="1143000"/>
    <xdr:pic>
      <xdr:nvPicPr>
        <xdr:cNvPr id="5012" name="690a6f52-9242-4e78-86e8-3bc795ac05b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c0c5925dd784c6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5015</xdr:row>
      <xdr:rowOff>19050</xdr:rowOff>
    </xdr:from>
    <xdr:ext cx="1143000" cy="1143000"/>
    <xdr:pic>
      <xdr:nvPicPr>
        <xdr:cNvPr id="5013" name="3ee36f86-6170-432e-a54c-0734a9d494c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3a21545cf8b4ac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5016</xdr:row>
      <xdr:rowOff>19050</xdr:rowOff>
    </xdr:from>
    <xdr:ext cx="1143000" cy="1143000"/>
    <xdr:pic>
      <xdr:nvPicPr>
        <xdr:cNvPr id="5014" name="e0bddbab-f2f1-4787-9aa1-d22ca655fc0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498937eff7a4fb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5017</xdr:row>
      <xdr:rowOff>19050</xdr:rowOff>
    </xdr:from>
    <xdr:ext cx="1143000" cy="1143000"/>
    <xdr:pic>
      <xdr:nvPicPr>
        <xdr:cNvPr id="5015" name="428de883-4922-471f-b891-87e91f67051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bd6cf7393964e1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5018</xdr:row>
      <xdr:rowOff>19050</xdr:rowOff>
    </xdr:from>
    <xdr:ext cx="1143000" cy="1143000"/>
    <xdr:pic>
      <xdr:nvPicPr>
        <xdr:cNvPr id="5016" name="7fa15742-0006-4f33-a482-7f8524e62ae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31ec6c490a640d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5019</xdr:row>
      <xdr:rowOff>19050</xdr:rowOff>
    </xdr:from>
    <xdr:ext cx="1143000" cy="1143000"/>
    <xdr:pic>
      <xdr:nvPicPr>
        <xdr:cNvPr id="5017" name="f857114f-7dfe-4531-92ca-6bd0e6b5b4c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9a9bd92afa94d5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5020</xdr:row>
      <xdr:rowOff>19050</xdr:rowOff>
    </xdr:from>
    <xdr:ext cx="1143000" cy="1143000"/>
    <xdr:pic>
      <xdr:nvPicPr>
        <xdr:cNvPr id="5018" name="36d03b6e-c018-4253-b64a-2955de0fd49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a570903db794d5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5021</xdr:row>
      <xdr:rowOff>19050</xdr:rowOff>
    </xdr:from>
    <xdr:ext cx="1143000" cy="1143000"/>
    <xdr:pic>
      <xdr:nvPicPr>
        <xdr:cNvPr id="5019" name="355b6dc6-7ce0-4801-9971-1f20b5bea5c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0d636409feb4c9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5022</xdr:row>
      <xdr:rowOff>19050</xdr:rowOff>
    </xdr:from>
    <xdr:ext cx="1143000" cy="1143000"/>
    <xdr:pic>
      <xdr:nvPicPr>
        <xdr:cNvPr id="5020" name="7e83d597-1eac-4576-add9-2adca9f68e5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775e3832e1a435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5023</xdr:row>
      <xdr:rowOff>19050</xdr:rowOff>
    </xdr:from>
    <xdr:ext cx="1143000" cy="1143000"/>
    <xdr:pic>
      <xdr:nvPicPr>
        <xdr:cNvPr id="5021" name="05984749-fec8-4a07-8405-75241e6588c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bce98c57392416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5024</xdr:row>
      <xdr:rowOff>19050</xdr:rowOff>
    </xdr:from>
    <xdr:ext cx="1143000" cy="1143000"/>
    <xdr:pic>
      <xdr:nvPicPr>
        <xdr:cNvPr id="5022" name="02af2118-77ef-4f70-856a-25e321e0ca6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db55357373e497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5025</xdr:row>
      <xdr:rowOff>19050</xdr:rowOff>
    </xdr:from>
    <xdr:ext cx="1143000" cy="1143000"/>
    <xdr:pic>
      <xdr:nvPicPr>
        <xdr:cNvPr id="5023" name="702df5e7-7c23-49af-a62e-eecb42cf29f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8ab3f4046e7438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5026</xdr:row>
      <xdr:rowOff>19050</xdr:rowOff>
    </xdr:from>
    <xdr:ext cx="1143000" cy="1143000"/>
    <xdr:pic>
      <xdr:nvPicPr>
        <xdr:cNvPr id="5024" name="cc9cf77a-3ffe-42ca-9915-dc6439a52f4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6340e5936aa4fb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5027</xdr:row>
      <xdr:rowOff>19050</xdr:rowOff>
    </xdr:from>
    <xdr:ext cx="1143000" cy="1143000"/>
    <xdr:pic>
      <xdr:nvPicPr>
        <xdr:cNvPr id="5025" name="6610c392-5534-4deb-bd3b-aff22ccc6f3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cb8e5af1e094a8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5028</xdr:row>
      <xdr:rowOff>19050</xdr:rowOff>
    </xdr:from>
    <xdr:ext cx="1143000" cy="1143000"/>
    <xdr:pic>
      <xdr:nvPicPr>
        <xdr:cNvPr id="5026" name="3f472ccb-1120-4408-969f-620a62c1d52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a2ab2d747134e6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5029</xdr:row>
      <xdr:rowOff>19050</xdr:rowOff>
    </xdr:from>
    <xdr:ext cx="1143000" cy="1143000"/>
    <xdr:pic>
      <xdr:nvPicPr>
        <xdr:cNvPr id="5027" name="27972bcd-65a4-4992-bc0f-aecc2312820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54eeb38078a400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5030</xdr:row>
      <xdr:rowOff>19050</xdr:rowOff>
    </xdr:from>
    <xdr:ext cx="1143000" cy="1143000"/>
    <xdr:pic>
      <xdr:nvPicPr>
        <xdr:cNvPr id="5028" name="ae15232e-eb9e-4727-ab86-a55185e3b57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bb55956de0544f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5031</xdr:row>
      <xdr:rowOff>19050</xdr:rowOff>
    </xdr:from>
    <xdr:ext cx="1143000" cy="1143000"/>
    <xdr:pic>
      <xdr:nvPicPr>
        <xdr:cNvPr id="5029" name="02d86c94-e50a-40df-82b7-32f375c80dd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3ec1f59943f4e9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5032</xdr:row>
      <xdr:rowOff>19050</xdr:rowOff>
    </xdr:from>
    <xdr:ext cx="1143000" cy="1143000"/>
    <xdr:pic>
      <xdr:nvPicPr>
        <xdr:cNvPr id="5030" name="16a8683e-3a1e-486d-815e-0352434bd8e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5e2eb42bf5446e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5033</xdr:row>
      <xdr:rowOff>19050</xdr:rowOff>
    </xdr:from>
    <xdr:ext cx="1143000" cy="1143000"/>
    <xdr:pic>
      <xdr:nvPicPr>
        <xdr:cNvPr id="5031" name="eda3a114-1774-477a-b69b-fd36f11a282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ad9c57f5c53411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5034</xdr:row>
      <xdr:rowOff>19050</xdr:rowOff>
    </xdr:from>
    <xdr:ext cx="1143000" cy="1143000"/>
    <xdr:pic>
      <xdr:nvPicPr>
        <xdr:cNvPr id="5032" name="35a76840-1738-4e49-8dc0-4b36450a247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9e6d15af2ea420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5035</xdr:row>
      <xdr:rowOff>19050</xdr:rowOff>
    </xdr:from>
    <xdr:ext cx="1143000" cy="1143000"/>
    <xdr:pic>
      <xdr:nvPicPr>
        <xdr:cNvPr id="5033" name="4c29cdc8-8ca6-46c6-be7a-41bccf2966a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5db4e350c0442e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5036</xdr:row>
      <xdr:rowOff>19050</xdr:rowOff>
    </xdr:from>
    <xdr:ext cx="1143000" cy="1143000"/>
    <xdr:pic>
      <xdr:nvPicPr>
        <xdr:cNvPr id="5034" name="82c20a26-9e98-474e-a9e6-5becb09e530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a2cd04b715d4c9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5037</xdr:row>
      <xdr:rowOff>19050</xdr:rowOff>
    </xdr:from>
    <xdr:ext cx="1143000" cy="1143000"/>
    <xdr:pic>
      <xdr:nvPicPr>
        <xdr:cNvPr id="5035" name="a655d883-7ed5-49ec-9319-5f674260a54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c16610bd5e241d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5038</xdr:row>
      <xdr:rowOff>19050</xdr:rowOff>
    </xdr:from>
    <xdr:ext cx="1143000" cy="1143000"/>
    <xdr:pic>
      <xdr:nvPicPr>
        <xdr:cNvPr id="5036" name="a33d2d70-026e-42e7-b844-760b062cf1c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a3fa4019524410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5039</xdr:row>
      <xdr:rowOff>19050</xdr:rowOff>
    </xdr:from>
    <xdr:ext cx="1143000" cy="1143000"/>
    <xdr:pic>
      <xdr:nvPicPr>
        <xdr:cNvPr id="5037" name="557a91fe-3670-48dd-a9f8-16feb11bb30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30984c01b6d4bc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5040</xdr:row>
      <xdr:rowOff>19050</xdr:rowOff>
    </xdr:from>
    <xdr:ext cx="1143000" cy="1143000"/>
    <xdr:pic>
      <xdr:nvPicPr>
        <xdr:cNvPr id="5038" name="e886edc8-df81-4544-a232-67130b14068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ba10992b75b4c4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5041</xdr:row>
      <xdr:rowOff>19050</xdr:rowOff>
    </xdr:from>
    <xdr:ext cx="1143000" cy="1143000"/>
    <xdr:pic>
      <xdr:nvPicPr>
        <xdr:cNvPr id="5039" name="8cbfc35c-6e24-4c9a-b5da-7d266fb2d13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c8934f738a64d4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5042</xdr:row>
      <xdr:rowOff>19050</xdr:rowOff>
    </xdr:from>
    <xdr:ext cx="1143000" cy="1143000"/>
    <xdr:pic>
      <xdr:nvPicPr>
        <xdr:cNvPr id="5040" name="718cff72-9051-43b1-9119-1cab3a7b2a1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fb28b9eaa75401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5043</xdr:row>
      <xdr:rowOff>19050</xdr:rowOff>
    </xdr:from>
    <xdr:ext cx="1143000" cy="1143000"/>
    <xdr:pic>
      <xdr:nvPicPr>
        <xdr:cNvPr id="5041" name="28a00217-df7b-46c4-af1e-9ef7fc41aef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a855077aaea4e6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5044</xdr:row>
      <xdr:rowOff>19050</xdr:rowOff>
    </xdr:from>
    <xdr:ext cx="1143000" cy="1143000"/>
    <xdr:pic>
      <xdr:nvPicPr>
        <xdr:cNvPr id="5042" name="d7b056ff-a37e-486d-801c-bfe62f3d4ca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a5528b240994d5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5045</xdr:row>
      <xdr:rowOff>19050</xdr:rowOff>
    </xdr:from>
    <xdr:ext cx="1143000" cy="1143000"/>
    <xdr:pic>
      <xdr:nvPicPr>
        <xdr:cNvPr id="5043" name="8c7f4935-fde4-49b0-aa62-0d3509baf82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90586a7a7b64b3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5046</xdr:row>
      <xdr:rowOff>19050</xdr:rowOff>
    </xdr:from>
    <xdr:ext cx="1143000" cy="1143000"/>
    <xdr:pic>
      <xdr:nvPicPr>
        <xdr:cNvPr id="5044" name="81c81894-3025-4d5f-aacf-9fd62b477cb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86f29d7266c471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5047</xdr:row>
      <xdr:rowOff>19050</xdr:rowOff>
    </xdr:from>
    <xdr:ext cx="1143000" cy="1143000"/>
    <xdr:pic>
      <xdr:nvPicPr>
        <xdr:cNvPr id="5045" name="19842c23-62ef-4763-b8cb-06bb5ab10fa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6a64632a468473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5048</xdr:row>
      <xdr:rowOff>19050</xdr:rowOff>
    </xdr:from>
    <xdr:ext cx="1143000" cy="1143000"/>
    <xdr:pic>
      <xdr:nvPicPr>
        <xdr:cNvPr id="5046" name="9e829bc5-b76b-48bb-9fde-66bd524e381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298387c7c254d4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5049</xdr:row>
      <xdr:rowOff>19050</xdr:rowOff>
    </xdr:from>
    <xdr:ext cx="1143000" cy="1143000"/>
    <xdr:pic>
      <xdr:nvPicPr>
        <xdr:cNvPr id="5047" name="45362b71-7c91-4474-bcee-e55f7d68bb7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a100f052fce41c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5050</xdr:row>
      <xdr:rowOff>19050</xdr:rowOff>
    </xdr:from>
    <xdr:ext cx="1143000" cy="1143000"/>
    <xdr:pic>
      <xdr:nvPicPr>
        <xdr:cNvPr id="5048" name="ef77036c-19f5-4a71-b8fe-9981a5cd043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9e6b7c21fd7430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5051</xdr:row>
      <xdr:rowOff>19050</xdr:rowOff>
    </xdr:from>
    <xdr:ext cx="1143000" cy="1143000"/>
    <xdr:pic>
      <xdr:nvPicPr>
        <xdr:cNvPr id="5049" name="8fcbd0fa-295b-4500-841a-ca1d41c5337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63f7f06bb5b406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5052</xdr:row>
      <xdr:rowOff>19050</xdr:rowOff>
    </xdr:from>
    <xdr:ext cx="1143000" cy="1143000"/>
    <xdr:pic>
      <xdr:nvPicPr>
        <xdr:cNvPr id="5050" name="31eeb0d5-62fd-40b9-b7d0-2839c75c702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1ea06d4f9a248d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5053</xdr:row>
      <xdr:rowOff>19050</xdr:rowOff>
    </xdr:from>
    <xdr:ext cx="1143000" cy="1143000"/>
    <xdr:pic>
      <xdr:nvPicPr>
        <xdr:cNvPr id="5051" name="fca6be3e-6d0c-4a8c-bed3-439e05c039f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fd7dc5728a04d9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5054</xdr:row>
      <xdr:rowOff>19050</xdr:rowOff>
    </xdr:from>
    <xdr:ext cx="1143000" cy="1143000"/>
    <xdr:pic>
      <xdr:nvPicPr>
        <xdr:cNvPr id="5052" name="8636b74d-9e4d-4527-9154-e4da949111e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a1e31fe919c43c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5055</xdr:row>
      <xdr:rowOff>19050</xdr:rowOff>
    </xdr:from>
    <xdr:ext cx="1143000" cy="1143000"/>
    <xdr:pic>
      <xdr:nvPicPr>
        <xdr:cNvPr id="5053" name="dc7b3ab6-31d1-4b86-92ca-b6853b8876c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8f677cfc64e4dd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5056</xdr:row>
      <xdr:rowOff>19050</xdr:rowOff>
    </xdr:from>
    <xdr:ext cx="1143000" cy="1143000"/>
    <xdr:pic>
      <xdr:nvPicPr>
        <xdr:cNvPr id="5054" name="6b9ff310-83d3-4332-b596-0d47e6d2fa6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e01066edb954c2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5057</xdr:row>
      <xdr:rowOff>19050</xdr:rowOff>
    </xdr:from>
    <xdr:ext cx="1143000" cy="1143000"/>
    <xdr:pic>
      <xdr:nvPicPr>
        <xdr:cNvPr id="5055" name="c18b1950-883b-4e4f-bc47-b88dde12890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c4ad13c01c246b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5058</xdr:row>
      <xdr:rowOff>19050</xdr:rowOff>
    </xdr:from>
    <xdr:ext cx="1143000" cy="1143000"/>
    <xdr:pic>
      <xdr:nvPicPr>
        <xdr:cNvPr id="5056" name="8c72b062-fd06-4ac2-adaa-d07b4eb0a0d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946a7b1f5b14c8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5059</xdr:row>
      <xdr:rowOff>19050</xdr:rowOff>
    </xdr:from>
    <xdr:ext cx="1143000" cy="1143000"/>
    <xdr:pic>
      <xdr:nvPicPr>
        <xdr:cNvPr id="5057" name="a6029bb3-1ff0-4586-88cf-339b0b2b2f9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909efb40c594cf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5060</xdr:row>
      <xdr:rowOff>19050</xdr:rowOff>
    </xdr:from>
    <xdr:ext cx="1143000" cy="1143000"/>
    <xdr:pic>
      <xdr:nvPicPr>
        <xdr:cNvPr id="5058" name="40f2f7e5-4215-4d91-9ae6-5d130aba3fb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2aba70c7a354db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5061</xdr:row>
      <xdr:rowOff>19050</xdr:rowOff>
    </xdr:from>
    <xdr:ext cx="1143000" cy="1143000"/>
    <xdr:pic>
      <xdr:nvPicPr>
        <xdr:cNvPr id="5059" name="4a261e5b-38ff-409f-97f5-24f03e6a41c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91fb9a6aa34490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5062</xdr:row>
      <xdr:rowOff>19050</xdr:rowOff>
    </xdr:from>
    <xdr:ext cx="1143000" cy="1143000"/>
    <xdr:pic>
      <xdr:nvPicPr>
        <xdr:cNvPr id="5060" name="9e475945-ca2f-4c23-a5d2-1331b362314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155b70fa7d04fc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5063</xdr:row>
      <xdr:rowOff>19050</xdr:rowOff>
    </xdr:from>
    <xdr:ext cx="1143000" cy="1143000"/>
    <xdr:pic>
      <xdr:nvPicPr>
        <xdr:cNvPr id="5061" name="6b2c5f95-32b9-48ec-97e6-519a3a76ba3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2378452127f44c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5064</xdr:row>
      <xdr:rowOff>19050</xdr:rowOff>
    </xdr:from>
    <xdr:ext cx="1143000" cy="1143000"/>
    <xdr:pic>
      <xdr:nvPicPr>
        <xdr:cNvPr id="5062" name="e07f7ddf-b7cb-4781-8117-d1c6b8e1d21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a0958ff76c7463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5065</xdr:row>
      <xdr:rowOff>19050</xdr:rowOff>
    </xdr:from>
    <xdr:ext cx="1143000" cy="1143000"/>
    <xdr:pic>
      <xdr:nvPicPr>
        <xdr:cNvPr id="5063" name="2a607c23-5c7a-4a28-ab19-46d76bc86ad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6db97bbb2bf419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5066</xdr:row>
      <xdr:rowOff>19050</xdr:rowOff>
    </xdr:from>
    <xdr:ext cx="1143000" cy="1143000"/>
    <xdr:pic>
      <xdr:nvPicPr>
        <xdr:cNvPr id="5064" name="d2630556-070e-44b7-8953-6fe6aff7f88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151aeb554ed41b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5067</xdr:row>
      <xdr:rowOff>19050</xdr:rowOff>
    </xdr:from>
    <xdr:ext cx="1143000" cy="1143000"/>
    <xdr:pic>
      <xdr:nvPicPr>
        <xdr:cNvPr id="5065" name="11e81dfe-3aff-4e7a-baea-26ebef93fe2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ac84645aaf54b0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5068</xdr:row>
      <xdr:rowOff>19050</xdr:rowOff>
    </xdr:from>
    <xdr:ext cx="1143000" cy="1143000"/>
    <xdr:pic>
      <xdr:nvPicPr>
        <xdr:cNvPr id="5066" name="014be2aa-2d00-4930-9949-a208ed8aa65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b164ec26b7345a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5069</xdr:row>
      <xdr:rowOff>19050</xdr:rowOff>
    </xdr:from>
    <xdr:ext cx="1143000" cy="1143000"/>
    <xdr:pic>
      <xdr:nvPicPr>
        <xdr:cNvPr id="5067" name="20d284d0-1529-412c-a330-781d55f8845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7e52d82b46f495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5070</xdr:row>
      <xdr:rowOff>19050</xdr:rowOff>
    </xdr:from>
    <xdr:ext cx="1143000" cy="1143000"/>
    <xdr:pic>
      <xdr:nvPicPr>
        <xdr:cNvPr id="5068" name="5df3318d-2726-4f2f-bf06-0b7188e5b8a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97dc22f893341b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5071</xdr:row>
      <xdr:rowOff>19050</xdr:rowOff>
    </xdr:from>
    <xdr:ext cx="1143000" cy="1143000"/>
    <xdr:pic>
      <xdr:nvPicPr>
        <xdr:cNvPr id="5069" name="7dc94e48-0fec-48d9-97ef-feb6c3d3a8b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86de30b91a54d4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5072</xdr:row>
      <xdr:rowOff>19050</xdr:rowOff>
    </xdr:from>
    <xdr:ext cx="1143000" cy="1143000"/>
    <xdr:pic>
      <xdr:nvPicPr>
        <xdr:cNvPr id="5070" name="a945412c-c0f5-44f7-ad31-9091444b811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b4101b9b8f4487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5073</xdr:row>
      <xdr:rowOff>19050</xdr:rowOff>
    </xdr:from>
    <xdr:ext cx="1143000" cy="1143000"/>
    <xdr:pic>
      <xdr:nvPicPr>
        <xdr:cNvPr id="5071" name="f3a8bc1e-de30-4b9a-a958-15b04d72642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178776e0abe4fd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5074</xdr:row>
      <xdr:rowOff>19050</xdr:rowOff>
    </xdr:from>
    <xdr:ext cx="1143000" cy="1143000"/>
    <xdr:pic>
      <xdr:nvPicPr>
        <xdr:cNvPr id="5072" name="ddd33e4b-7792-4e41-852c-32c71575670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aee358527b7409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5075</xdr:row>
      <xdr:rowOff>19050</xdr:rowOff>
    </xdr:from>
    <xdr:ext cx="1143000" cy="1143000"/>
    <xdr:pic>
      <xdr:nvPicPr>
        <xdr:cNvPr id="5073" name="8553571c-df2f-4693-87b5-1f667e11eff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52239a0c363467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5076</xdr:row>
      <xdr:rowOff>19050</xdr:rowOff>
    </xdr:from>
    <xdr:ext cx="1143000" cy="1143000"/>
    <xdr:pic>
      <xdr:nvPicPr>
        <xdr:cNvPr id="5074" name="246bcaed-0a26-404f-a963-764534d8895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7c62a2005184d8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5077</xdr:row>
      <xdr:rowOff>19050</xdr:rowOff>
    </xdr:from>
    <xdr:ext cx="1143000" cy="1143000"/>
    <xdr:pic>
      <xdr:nvPicPr>
        <xdr:cNvPr id="5075" name="135f7966-ae30-4619-a75e-aad249d33ad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5412544c65d469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5078</xdr:row>
      <xdr:rowOff>19050</xdr:rowOff>
    </xdr:from>
    <xdr:ext cx="1143000" cy="1143000"/>
    <xdr:pic>
      <xdr:nvPicPr>
        <xdr:cNvPr id="5076" name="96d8f228-493f-40f3-866e-0e18a1e747f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c193c4aa1ec437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5079</xdr:row>
      <xdr:rowOff>19050</xdr:rowOff>
    </xdr:from>
    <xdr:ext cx="1143000" cy="1143000"/>
    <xdr:pic>
      <xdr:nvPicPr>
        <xdr:cNvPr id="5077" name="94d7ce40-68b8-4207-8754-30d4f603f31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483c892d28b40c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5080</xdr:row>
      <xdr:rowOff>19050</xdr:rowOff>
    </xdr:from>
    <xdr:ext cx="1143000" cy="1143000"/>
    <xdr:pic>
      <xdr:nvPicPr>
        <xdr:cNvPr id="5078" name="c5f0e6c1-0d33-4068-9bec-d51929fec0b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a8cd64a5d3141b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5081</xdr:row>
      <xdr:rowOff>19050</xdr:rowOff>
    </xdr:from>
    <xdr:ext cx="1143000" cy="1143000"/>
    <xdr:pic>
      <xdr:nvPicPr>
        <xdr:cNvPr id="5079" name="e2cdfca8-3eb5-4b65-90ab-974fa90150b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5dcbbbcd4a744b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5082</xdr:row>
      <xdr:rowOff>19050</xdr:rowOff>
    </xdr:from>
    <xdr:ext cx="1143000" cy="1143000"/>
    <xdr:pic>
      <xdr:nvPicPr>
        <xdr:cNvPr id="5080" name="9e40e3f4-d637-405a-8b09-80e68ac7095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632f11c80ad495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5083</xdr:row>
      <xdr:rowOff>19050</xdr:rowOff>
    </xdr:from>
    <xdr:ext cx="1143000" cy="1143000"/>
    <xdr:pic>
      <xdr:nvPicPr>
        <xdr:cNvPr id="5081" name="4763715d-05a5-4ec5-b03e-77aa66b6dcc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dc32db669a44e4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5084</xdr:row>
      <xdr:rowOff>19050</xdr:rowOff>
    </xdr:from>
    <xdr:ext cx="1143000" cy="1143000"/>
    <xdr:pic>
      <xdr:nvPicPr>
        <xdr:cNvPr id="5082" name="7e914483-af4f-4a7b-9bd3-cb42b87115c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9d59b65e7534d8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5085</xdr:row>
      <xdr:rowOff>19050</xdr:rowOff>
    </xdr:from>
    <xdr:ext cx="1143000" cy="1143000"/>
    <xdr:pic>
      <xdr:nvPicPr>
        <xdr:cNvPr id="5083" name="071e87c1-cb39-4e81-8642-0a3ee769bf1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83d273a2586439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5086</xdr:row>
      <xdr:rowOff>19050</xdr:rowOff>
    </xdr:from>
    <xdr:ext cx="1143000" cy="1143000"/>
    <xdr:pic>
      <xdr:nvPicPr>
        <xdr:cNvPr id="5084" name="df25a933-cf44-4dd9-af99-979e6eaeb64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5bebb70dcdb43d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5087</xdr:row>
      <xdr:rowOff>19050</xdr:rowOff>
    </xdr:from>
    <xdr:ext cx="1143000" cy="1143000"/>
    <xdr:pic>
      <xdr:nvPicPr>
        <xdr:cNvPr id="5085" name="469bf25f-0fbf-4300-9dbe-fdeb7bf0d54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4358ec7a63d44a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5088</xdr:row>
      <xdr:rowOff>19050</xdr:rowOff>
    </xdr:from>
    <xdr:ext cx="1143000" cy="1143000"/>
    <xdr:pic>
      <xdr:nvPicPr>
        <xdr:cNvPr id="5086" name="77995103-4efb-47c7-9d45-a76553a3b2b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74fcdaeb94c424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5089</xdr:row>
      <xdr:rowOff>19050</xdr:rowOff>
    </xdr:from>
    <xdr:ext cx="1143000" cy="1143000"/>
    <xdr:pic>
      <xdr:nvPicPr>
        <xdr:cNvPr id="5087" name="68dab4a8-628b-4ddc-89c3-19907812819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92b4f32112040d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5090</xdr:row>
      <xdr:rowOff>19050</xdr:rowOff>
    </xdr:from>
    <xdr:ext cx="1143000" cy="1143000"/>
    <xdr:pic>
      <xdr:nvPicPr>
        <xdr:cNvPr id="5088" name="b34e0867-e551-4425-8408-0254dfd3b9d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88394026ec743c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5091</xdr:row>
      <xdr:rowOff>19050</xdr:rowOff>
    </xdr:from>
    <xdr:ext cx="1143000" cy="1143000"/>
    <xdr:pic>
      <xdr:nvPicPr>
        <xdr:cNvPr id="5089" name="6a4bc54f-d8b7-4280-abad-9a86a577f5a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661ed5ad37f4f2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5092</xdr:row>
      <xdr:rowOff>19050</xdr:rowOff>
    </xdr:from>
    <xdr:ext cx="1143000" cy="1143000"/>
    <xdr:pic>
      <xdr:nvPicPr>
        <xdr:cNvPr id="5090" name="0e3e394d-acd5-4bc2-9ec4-462d4e67876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927f21f02b346a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5093</xdr:row>
      <xdr:rowOff>19050</xdr:rowOff>
    </xdr:from>
    <xdr:ext cx="1143000" cy="1143000"/>
    <xdr:pic>
      <xdr:nvPicPr>
        <xdr:cNvPr id="5091" name="567a0075-d60b-4057-b738-3c6b9540516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a3c6e354a2b499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5094</xdr:row>
      <xdr:rowOff>19050</xdr:rowOff>
    </xdr:from>
    <xdr:ext cx="1143000" cy="1143000"/>
    <xdr:pic>
      <xdr:nvPicPr>
        <xdr:cNvPr id="5092" name="37eb6f2b-8adb-4bdc-a0af-f66652757a4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8a9be3f59374a0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5095</xdr:row>
      <xdr:rowOff>19050</xdr:rowOff>
    </xdr:from>
    <xdr:ext cx="1143000" cy="1143000"/>
    <xdr:pic>
      <xdr:nvPicPr>
        <xdr:cNvPr id="5093" name="f0b014eb-d394-4aaf-9637-a66f61d73db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0957477c3a94c9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5096</xdr:row>
      <xdr:rowOff>19050</xdr:rowOff>
    </xdr:from>
    <xdr:ext cx="1143000" cy="1143000"/>
    <xdr:pic>
      <xdr:nvPicPr>
        <xdr:cNvPr id="5094" name="5d29018d-53f2-4db1-9e88-ef20891ee25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742bad5c09a41c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5097</xdr:row>
      <xdr:rowOff>19050</xdr:rowOff>
    </xdr:from>
    <xdr:ext cx="1143000" cy="1143000"/>
    <xdr:pic>
      <xdr:nvPicPr>
        <xdr:cNvPr id="5095" name="16f257d9-a3ec-4a6a-9327-f2eca84b2f5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b2b2053741a4dd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5098</xdr:row>
      <xdr:rowOff>19050</xdr:rowOff>
    </xdr:from>
    <xdr:ext cx="1143000" cy="1143000"/>
    <xdr:pic>
      <xdr:nvPicPr>
        <xdr:cNvPr id="5096" name="624e4982-2189-42c0-8da7-f25fb6dcc01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72e383518d04eb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5099</xdr:row>
      <xdr:rowOff>19050</xdr:rowOff>
    </xdr:from>
    <xdr:ext cx="1143000" cy="1143000"/>
    <xdr:pic>
      <xdr:nvPicPr>
        <xdr:cNvPr id="5097" name="38c547a5-4e6b-424b-8d95-18170588da2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f39c843341244b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5100</xdr:row>
      <xdr:rowOff>19050</xdr:rowOff>
    </xdr:from>
    <xdr:ext cx="1143000" cy="1143000"/>
    <xdr:pic>
      <xdr:nvPicPr>
        <xdr:cNvPr id="5098" name="2840977f-f006-48b2-83ed-5f4b2b70a92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0a535d3b3a449e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5101</xdr:row>
      <xdr:rowOff>19050</xdr:rowOff>
    </xdr:from>
    <xdr:ext cx="1143000" cy="1143000"/>
    <xdr:pic>
      <xdr:nvPicPr>
        <xdr:cNvPr id="5099" name="eb549be0-3ef2-48d0-8520-0326323d665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1b35a93605f42c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5102</xdr:row>
      <xdr:rowOff>19050</xdr:rowOff>
    </xdr:from>
    <xdr:ext cx="1143000" cy="1143000"/>
    <xdr:pic>
      <xdr:nvPicPr>
        <xdr:cNvPr id="5100" name="d216688a-8798-48ed-9884-8ab91bf7b49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fb116cd6d1a4fd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5103</xdr:row>
      <xdr:rowOff>19050</xdr:rowOff>
    </xdr:from>
    <xdr:ext cx="1143000" cy="1143000"/>
    <xdr:pic>
      <xdr:nvPicPr>
        <xdr:cNvPr id="5101" name="00550e7e-e70b-469b-838c-770a6014e23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9e038de509d4be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5104</xdr:row>
      <xdr:rowOff>19050</xdr:rowOff>
    </xdr:from>
    <xdr:ext cx="1143000" cy="1143000"/>
    <xdr:pic>
      <xdr:nvPicPr>
        <xdr:cNvPr id="5102" name="33547c75-32b3-43f0-bba5-e77da17cd9b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01526c32297410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5105</xdr:row>
      <xdr:rowOff>19050</xdr:rowOff>
    </xdr:from>
    <xdr:ext cx="1143000" cy="1143000"/>
    <xdr:pic>
      <xdr:nvPicPr>
        <xdr:cNvPr id="5103" name="69585d36-0f49-4e52-801d-ee8c0d6006e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83f43a98dee4ff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5106</xdr:row>
      <xdr:rowOff>19050</xdr:rowOff>
    </xdr:from>
    <xdr:ext cx="1143000" cy="1143000"/>
    <xdr:pic>
      <xdr:nvPicPr>
        <xdr:cNvPr id="5104" name="8339d621-4159-4f5d-8a73-ceacf5dd21f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df7f8411e134ea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5107</xdr:row>
      <xdr:rowOff>19050</xdr:rowOff>
    </xdr:from>
    <xdr:ext cx="1143000" cy="1143000"/>
    <xdr:pic>
      <xdr:nvPicPr>
        <xdr:cNvPr id="5105" name="7f56b409-432c-433c-b9ac-4672090130a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69e6d45d15d43c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5108</xdr:row>
      <xdr:rowOff>19050</xdr:rowOff>
    </xdr:from>
    <xdr:ext cx="1143000" cy="1143000"/>
    <xdr:pic>
      <xdr:nvPicPr>
        <xdr:cNvPr id="5106" name="59eed74d-77fe-4076-9cd7-b6eabaffaa6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115572ec346450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5109</xdr:row>
      <xdr:rowOff>19050</xdr:rowOff>
    </xdr:from>
    <xdr:ext cx="1143000" cy="1143000"/>
    <xdr:pic>
      <xdr:nvPicPr>
        <xdr:cNvPr id="5107" name="d748b38f-7953-4d0c-809b-4a452d26727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55a8b75d867453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5110</xdr:row>
      <xdr:rowOff>19050</xdr:rowOff>
    </xdr:from>
    <xdr:ext cx="1143000" cy="1143000"/>
    <xdr:pic>
      <xdr:nvPicPr>
        <xdr:cNvPr id="5108" name="0a0776d8-a46f-4e6a-992b-dfe3ce899b2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36f04826cac4cf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5111</xdr:row>
      <xdr:rowOff>19050</xdr:rowOff>
    </xdr:from>
    <xdr:ext cx="1143000" cy="1143000"/>
    <xdr:pic>
      <xdr:nvPicPr>
        <xdr:cNvPr id="5109" name="93bc7d23-efc4-4a95-8358-c9220f93e8c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9ecf7ade6c74db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5112</xdr:row>
      <xdr:rowOff>19050</xdr:rowOff>
    </xdr:from>
    <xdr:ext cx="1143000" cy="1143000"/>
    <xdr:pic>
      <xdr:nvPicPr>
        <xdr:cNvPr id="5110" name="b6abfe43-0e28-4f03-8afb-fc208f0aab4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8329687eed8456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5113</xdr:row>
      <xdr:rowOff>19050</xdr:rowOff>
    </xdr:from>
    <xdr:ext cx="1143000" cy="1143000"/>
    <xdr:pic>
      <xdr:nvPicPr>
        <xdr:cNvPr id="5111" name="3f57338f-cafd-4696-8501-cbc02c1eea7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a93ab4392044e3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5114</xdr:row>
      <xdr:rowOff>19050</xdr:rowOff>
    </xdr:from>
    <xdr:ext cx="1143000" cy="1143000"/>
    <xdr:pic>
      <xdr:nvPicPr>
        <xdr:cNvPr id="5112" name="15714106-38b3-4c2d-b877-84f7654e782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5559d830e26466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5115</xdr:row>
      <xdr:rowOff>19050</xdr:rowOff>
    </xdr:from>
    <xdr:ext cx="1143000" cy="1143000"/>
    <xdr:pic>
      <xdr:nvPicPr>
        <xdr:cNvPr id="5113" name="effc63d0-07e6-4ea9-9df9-79ed791f9f4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59fc3bd9308467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5116</xdr:row>
      <xdr:rowOff>19050</xdr:rowOff>
    </xdr:from>
    <xdr:ext cx="1143000" cy="1143000"/>
    <xdr:pic>
      <xdr:nvPicPr>
        <xdr:cNvPr id="5114" name="149a1672-b661-46a9-81d5-a11f7822d1b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bc2d649a5c842a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5117</xdr:row>
      <xdr:rowOff>19050</xdr:rowOff>
    </xdr:from>
    <xdr:ext cx="1143000" cy="1143000"/>
    <xdr:pic>
      <xdr:nvPicPr>
        <xdr:cNvPr id="5115" name="6a9e492c-bcc7-40e4-9d1d-25505fe2dba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e457036de23400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5118</xdr:row>
      <xdr:rowOff>19050</xdr:rowOff>
    </xdr:from>
    <xdr:ext cx="1143000" cy="1143000"/>
    <xdr:pic>
      <xdr:nvPicPr>
        <xdr:cNvPr id="5116" name="926e6f76-b730-4072-8743-60c4a8da164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719866ed6d44fc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5119</xdr:row>
      <xdr:rowOff>19050</xdr:rowOff>
    </xdr:from>
    <xdr:ext cx="1143000" cy="1143000"/>
    <xdr:pic>
      <xdr:nvPicPr>
        <xdr:cNvPr id="5117" name="ace8231d-6674-41d1-bcd3-468c7a1e339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0535e37f461413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5120</xdr:row>
      <xdr:rowOff>19050</xdr:rowOff>
    </xdr:from>
    <xdr:ext cx="1143000" cy="1143000"/>
    <xdr:pic>
      <xdr:nvPicPr>
        <xdr:cNvPr id="5118" name="1f61d0ed-b0d1-4766-bf54-e775b33bdae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20933d816d4494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5121</xdr:row>
      <xdr:rowOff>19050</xdr:rowOff>
    </xdr:from>
    <xdr:ext cx="1143000" cy="1143000"/>
    <xdr:pic>
      <xdr:nvPicPr>
        <xdr:cNvPr id="5119" name="afb98282-de71-4c8e-b018-2132b082aa1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2e650e7ee5f414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5122</xdr:row>
      <xdr:rowOff>19050</xdr:rowOff>
    </xdr:from>
    <xdr:ext cx="1143000" cy="1143000"/>
    <xdr:pic>
      <xdr:nvPicPr>
        <xdr:cNvPr id="5120" name="707e75fa-34b0-4510-af3e-088311ed752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e10fb3a491c469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5123</xdr:row>
      <xdr:rowOff>19050</xdr:rowOff>
    </xdr:from>
    <xdr:ext cx="1143000" cy="1143000"/>
    <xdr:pic>
      <xdr:nvPicPr>
        <xdr:cNvPr id="5121" name="0efdabf9-e1c0-4931-894e-f132adeb5a1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1aeb28ad589460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5124</xdr:row>
      <xdr:rowOff>19050</xdr:rowOff>
    </xdr:from>
    <xdr:ext cx="1143000" cy="1143000"/>
    <xdr:pic>
      <xdr:nvPicPr>
        <xdr:cNvPr id="5122" name="cb113077-99bb-4e99-8ce6-fa30ccb39ff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16c1a810b65400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5125</xdr:row>
      <xdr:rowOff>19050</xdr:rowOff>
    </xdr:from>
    <xdr:ext cx="1143000" cy="1143000"/>
    <xdr:pic>
      <xdr:nvPicPr>
        <xdr:cNvPr id="5123" name="a2637617-a290-4e00-8e3e-970f318ad3b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994731f041746f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5126</xdr:row>
      <xdr:rowOff>19050</xdr:rowOff>
    </xdr:from>
    <xdr:ext cx="1143000" cy="1143000"/>
    <xdr:pic>
      <xdr:nvPicPr>
        <xdr:cNvPr id="5124" name="73ef8358-b72f-4ecf-b45d-f1a195c1c25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b1c2be00972440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5127</xdr:row>
      <xdr:rowOff>19050</xdr:rowOff>
    </xdr:from>
    <xdr:ext cx="1143000" cy="1143000"/>
    <xdr:pic>
      <xdr:nvPicPr>
        <xdr:cNvPr id="5125" name="d1ff0649-1e2e-4652-8b54-a4258b7cc8e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27df8e467f1443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5128</xdr:row>
      <xdr:rowOff>19050</xdr:rowOff>
    </xdr:from>
    <xdr:ext cx="1143000" cy="1143000"/>
    <xdr:pic>
      <xdr:nvPicPr>
        <xdr:cNvPr id="5126" name="1ee947e1-8738-4374-9317-3f9b123347e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7a393cda7b7449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5129</xdr:row>
      <xdr:rowOff>19050</xdr:rowOff>
    </xdr:from>
    <xdr:ext cx="1143000" cy="1143000"/>
    <xdr:pic>
      <xdr:nvPicPr>
        <xdr:cNvPr id="5127" name="f8b98098-e83a-47fb-b07d-6a3f9a725b9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89dfa2c3007447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5130</xdr:row>
      <xdr:rowOff>19050</xdr:rowOff>
    </xdr:from>
    <xdr:ext cx="1143000" cy="1143000"/>
    <xdr:pic>
      <xdr:nvPicPr>
        <xdr:cNvPr id="5128" name="3048385b-5324-4de1-ab64-3ebc8211b27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3d322f154af40c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5131</xdr:row>
      <xdr:rowOff>19050</xdr:rowOff>
    </xdr:from>
    <xdr:ext cx="1143000" cy="1143000"/>
    <xdr:pic>
      <xdr:nvPicPr>
        <xdr:cNvPr id="5129" name="dd7d8712-5850-4d7f-9aba-47bfa259eba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9cebf9a34fd43a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5132</xdr:row>
      <xdr:rowOff>19050</xdr:rowOff>
    </xdr:from>
    <xdr:ext cx="1143000" cy="1143000"/>
    <xdr:pic>
      <xdr:nvPicPr>
        <xdr:cNvPr id="5130" name="74feb4ea-0e97-4886-925d-49303fa876a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2fc16ab76854e7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5133</xdr:row>
      <xdr:rowOff>19050</xdr:rowOff>
    </xdr:from>
    <xdr:ext cx="1143000" cy="1143000"/>
    <xdr:pic>
      <xdr:nvPicPr>
        <xdr:cNvPr id="5131" name="22befb48-8403-4ae3-b325-e76c9e005d4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a7ea05c38fc40b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5134</xdr:row>
      <xdr:rowOff>19050</xdr:rowOff>
    </xdr:from>
    <xdr:ext cx="1143000" cy="1143000"/>
    <xdr:pic>
      <xdr:nvPicPr>
        <xdr:cNvPr id="5132" name="a298be91-ce2a-4278-b7a6-a1d27a375b0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24a6c9bbc6d4a0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5135</xdr:row>
      <xdr:rowOff>19050</xdr:rowOff>
    </xdr:from>
    <xdr:ext cx="1143000" cy="1143000"/>
    <xdr:pic>
      <xdr:nvPicPr>
        <xdr:cNvPr id="5133" name="5e248bf5-cd43-4c4c-8d6a-b37c4b2b82c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14d95131bd84b6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5136</xdr:row>
      <xdr:rowOff>19050</xdr:rowOff>
    </xdr:from>
    <xdr:ext cx="1143000" cy="1143000"/>
    <xdr:pic>
      <xdr:nvPicPr>
        <xdr:cNvPr id="5134" name="2f82402b-c195-4617-a65e-0051d454720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6474a2df033444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5137</xdr:row>
      <xdr:rowOff>19050</xdr:rowOff>
    </xdr:from>
    <xdr:ext cx="1143000" cy="1143000"/>
    <xdr:pic>
      <xdr:nvPicPr>
        <xdr:cNvPr id="5135" name="32aa1cb0-9b5d-49ec-b024-cf49c3f50a4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312de67b552405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5138</xdr:row>
      <xdr:rowOff>19050</xdr:rowOff>
    </xdr:from>
    <xdr:ext cx="1143000" cy="1143000"/>
    <xdr:pic>
      <xdr:nvPicPr>
        <xdr:cNvPr id="5136" name="b053ca72-086f-4260-ab71-ded248526b5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1cb7aad8a5043d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5139</xdr:row>
      <xdr:rowOff>19050</xdr:rowOff>
    </xdr:from>
    <xdr:ext cx="1143000" cy="1143000"/>
    <xdr:pic>
      <xdr:nvPicPr>
        <xdr:cNvPr id="5137" name="c690800e-15fa-486c-b8fd-57fb8384d84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64b1cd8623945a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5140</xdr:row>
      <xdr:rowOff>19050</xdr:rowOff>
    </xdr:from>
    <xdr:ext cx="1143000" cy="1143000"/>
    <xdr:pic>
      <xdr:nvPicPr>
        <xdr:cNvPr id="5138" name="2cf4cc54-ab74-4b4b-8460-b1a50e6b2bf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56b37400e87493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5141</xdr:row>
      <xdr:rowOff>19050</xdr:rowOff>
    </xdr:from>
    <xdr:ext cx="1143000" cy="1143000"/>
    <xdr:pic>
      <xdr:nvPicPr>
        <xdr:cNvPr id="5139" name="51b4febe-adea-4957-8ca1-bbf626e4e8c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0336ca066a54d5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5142</xdr:row>
      <xdr:rowOff>19050</xdr:rowOff>
    </xdr:from>
    <xdr:ext cx="1143000" cy="1143000"/>
    <xdr:pic>
      <xdr:nvPicPr>
        <xdr:cNvPr id="5140" name="d7713636-da6d-4e13-b9db-b89ea51dffa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e12b6bb0254469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5143</xdr:row>
      <xdr:rowOff>19050</xdr:rowOff>
    </xdr:from>
    <xdr:ext cx="1143000" cy="1143000"/>
    <xdr:pic>
      <xdr:nvPicPr>
        <xdr:cNvPr id="5141" name="d89e28d2-29a6-4eae-b086-b9c5a6ada7d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b71b593527e46b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5144</xdr:row>
      <xdr:rowOff>19050</xdr:rowOff>
    </xdr:from>
    <xdr:ext cx="1143000" cy="1143000"/>
    <xdr:pic>
      <xdr:nvPicPr>
        <xdr:cNvPr id="5142" name="686cc133-ed4b-42a5-905e-055e3ffd880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944f5ba371041e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5145</xdr:row>
      <xdr:rowOff>19050</xdr:rowOff>
    </xdr:from>
    <xdr:ext cx="1143000" cy="1143000"/>
    <xdr:pic>
      <xdr:nvPicPr>
        <xdr:cNvPr id="5143" name="bfd616fb-03ca-43fa-8bac-d820c2ef161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5d8265640a747c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5146</xdr:row>
      <xdr:rowOff>19050</xdr:rowOff>
    </xdr:from>
    <xdr:ext cx="1143000" cy="1143000"/>
    <xdr:pic>
      <xdr:nvPicPr>
        <xdr:cNvPr id="5144" name="bf39bf70-02d7-4ba8-bbd7-c50a82a7248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8350336b3c443d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5147</xdr:row>
      <xdr:rowOff>19050</xdr:rowOff>
    </xdr:from>
    <xdr:ext cx="1143000" cy="1143000"/>
    <xdr:pic>
      <xdr:nvPicPr>
        <xdr:cNvPr id="5145" name="8bc2d4dc-cdef-479c-a92f-dc2084bb22f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68dff1df152420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5148</xdr:row>
      <xdr:rowOff>19050</xdr:rowOff>
    </xdr:from>
    <xdr:ext cx="1143000" cy="1143000"/>
    <xdr:pic>
      <xdr:nvPicPr>
        <xdr:cNvPr id="5146" name="a0dec3ea-5e68-4210-b1cb-d1d3b10bfaf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c3bb52614ab4c3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5149</xdr:row>
      <xdr:rowOff>19050</xdr:rowOff>
    </xdr:from>
    <xdr:ext cx="1143000" cy="1143000"/>
    <xdr:pic>
      <xdr:nvPicPr>
        <xdr:cNvPr id="5147" name="c5b709c5-6764-46e5-bb72-b0b991c0256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f3bf5983a6b456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5150</xdr:row>
      <xdr:rowOff>19050</xdr:rowOff>
    </xdr:from>
    <xdr:ext cx="1143000" cy="1143000"/>
    <xdr:pic>
      <xdr:nvPicPr>
        <xdr:cNvPr id="5148" name="70d53179-e3e2-4a3c-9089-5b44b1a05bc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e8b6b6552a340e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5151</xdr:row>
      <xdr:rowOff>19050</xdr:rowOff>
    </xdr:from>
    <xdr:ext cx="1143000" cy="1143000"/>
    <xdr:pic>
      <xdr:nvPicPr>
        <xdr:cNvPr id="5149" name="2cbb1387-f358-4479-ad58-2c5165e4998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702d1a050f4486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5152</xdr:row>
      <xdr:rowOff>19050</xdr:rowOff>
    </xdr:from>
    <xdr:ext cx="1143000" cy="1143000"/>
    <xdr:pic>
      <xdr:nvPicPr>
        <xdr:cNvPr id="5150" name="c123c8ad-4c74-482a-be84-bb2b77069f5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478c135287a4a7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5153</xdr:row>
      <xdr:rowOff>19050</xdr:rowOff>
    </xdr:from>
    <xdr:ext cx="1143000" cy="1143000"/>
    <xdr:pic>
      <xdr:nvPicPr>
        <xdr:cNvPr id="5151" name="d1d6e74f-faeb-4c2b-a946-0e924e61840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90fa83b3fb9482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5154</xdr:row>
      <xdr:rowOff>19050</xdr:rowOff>
    </xdr:from>
    <xdr:ext cx="1143000" cy="1143000"/>
    <xdr:pic>
      <xdr:nvPicPr>
        <xdr:cNvPr id="5152" name="8c84de59-2884-4162-9e5e-73500389311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659602e61fa469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5155</xdr:row>
      <xdr:rowOff>19050</xdr:rowOff>
    </xdr:from>
    <xdr:ext cx="1143000" cy="1143000"/>
    <xdr:pic>
      <xdr:nvPicPr>
        <xdr:cNvPr id="5153" name="37bb5951-48a2-4a90-b271-07e59eee519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de0936ac3a8427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5156</xdr:row>
      <xdr:rowOff>19050</xdr:rowOff>
    </xdr:from>
    <xdr:ext cx="1143000" cy="1143000"/>
    <xdr:pic>
      <xdr:nvPicPr>
        <xdr:cNvPr id="5154" name="40fc4d69-67a1-4aa6-92c6-d049fd873df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c543051596a474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5157</xdr:row>
      <xdr:rowOff>19050</xdr:rowOff>
    </xdr:from>
    <xdr:ext cx="1143000" cy="1143000"/>
    <xdr:pic>
      <xdr:nvPicPr>
        <xdr:cNvPr id="5155" name="4bcd7683-8b0b-406b-838e-224d6b01f15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c2498f59639454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5158</xdr:row>
      <xdr:rowOff>19050</xdr:rowOff>
    </xdr:from>
    <xdr:ext cx="1143000" cy="1143000"/>
    <xdr:pic>
      <xdr:nvPicPr>
        <xdr:cNvPr id="5156" name="48226956-d4b9-4547-94e0-55e4a791028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db574d72a9d4ef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5159</xdr:row>
      <xdr:rowOff>19050</xdr:rowOff>
    </xdr:from>
    <xdr:ext cx="1143000" cy="1143000"/>
    <xdr:pic>
      <xdr:nvPicPr>
        <xdr:cNvPr id="5157" name="ac1615c8-12b4-4568-8c42-534f05a0de4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721048b9f874eb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5160</xdr:row>
      <xdr:rowOff>19050</xdr:rowOff>
    </xdr:from>
    <xdr:ext cx="1143000" cy="1143000"/>
    <xdr:pic>
      <xdr:nvPicPr>
        <xdr:cNvPr id="5158" name="a37be463-fbe5-4aac-b84b-4f6fefcc378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c897ca72cde400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5161</xdr:row>
      <xdr:rowOff>19050</xdr:rowOff>
    </xdr:from>
    <xdr:ext cx="1143000" cy="1143000"/>
    <xdr:pic>
      <xdr:nvPicPr>
        <xdr:cNvPr id="5159" name="beba1e90-b355-4bca-bf95-13aad99b138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1276be5dc5b454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5162</xdr:row>
      <xdr:rowOff>19050</xdr:rowOff>
    </xdr:from>
    <xdr:ext cx="1143000" cy="1143000"/>
    <xdr:pic>
      <xdr:nvPicPr>
        <xdr:cNvPr id="5160" name="e1fc050b-77bb-4f03-b08f-98ef566ba31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073e2ce20db462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5163</xdr:row>
      <xdr:rowOff>19050</xdr:rowOff>
    </xdr:from>
    <xdr:ext cx="1143000" cy="1143000"/>
    <xdr:pic>
      <xdr:nvPicPr>
        <xdr:cNvPr id="5161" name="27111ca3-3a3a-47a5-8ff2-d10c7d0fc7f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9d36dfb248c4c2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5164</xdr:row>
      <xdr:rowOff>19050</xdr:rowOff>
    </xdr:from>
    <xdr:ext cx="1143000" cy="1143000"/>
    <xdr:pic>
      <xdr:nvPicPr>
        <xdr:cNvPr id="5162" name="523fa0a1-01c5-4616-a087-28f75fa1def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d5612527889414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5165</xdr:row>
      <xdr:rowOff>19050</xdr:rowOff>
    </xdr:from>
    <xdr:ext cx="1143000" cy="1143000"/>
    <xdr:pic>
      <xdr:nvPicPr>
        <xdr:cNvPr id="5163" name="0a2912f5-2c0a-4e26-83c0-d295ff3f897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2432c631c0645a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5166</xdr:row>
      <xdr:rowOff>19050</xdr:rowOff>
    </xdr:from>
    <xdr:ext cx="1143000" cy="1143000"/>
    <xdr:pic>
      <xdr:nvPicPr>
        <xdr:cNvPr id="5164" name="8ec4e30c-52e1-4a1e-8972-b3df74cdb47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0427d3895524e7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5167</xdr:row>
      <xdr:rowOff>19050</xdr:rowOff>
    </xdr:from>
    <xdr:ext cx="1143000" cy="1143000"/>
    <xdr:pic>
      <xdr:nvPicPr>
        <xdr:cNvPr id="5165" name="699255c3-42c9-4237-973f-25782aeffb8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2efa31cbb944ca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5168</xdr:row>
      <xdr:rowOff>19050</xdr:rowOff>
    </xdr:from>
    <xdr:ext cx="1143000" cy="1143000"/>
    <xdr:pic>
      <xdr:nvPicPr>
        <xdr:cNvPr id="5166" name="90ed496b-a368-4ada-b3a7-d79d9f859c1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7ecf98fd14f45d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5169</xdr:row>
      <xdr:rowOff>19050</xdr:rowOff>
    </xdr:from>
    <xdr:ext cx="1143000" cy="1143000"/>
    <xdr:pic>
      <xdr:nvPicPr>
        <xdr:cNvPr id="5167" name="30afbe0e-1c1a-40f7-9da9-dcba334b545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73aa1f47e704b5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5170</xdr:row>
      <xdr:rowOff>19050</xdr:rowOff>
    </xdr:from>
    <xdr:ext cx="1143000" cy="1143000"/>
    <xdr:pic>
      <xdr:nvPicPr>
        <xdr:cNvPr id="5168" name="ddf5638b-8cbb-4905-ac3e-9b4e69bc4c7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4456f931749494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5171</xdr:row>
      <xdr:rowOff>19050</xdr:rowOff>
    </xdr:from>
    <xdr:ext cx="1143000" cy="1143000"/>
    <xdr:pic>
      <xdr:nvPicPr>
        <xdr:cNvPr id="5169" name="91469eb9-1aa7-456b-b13f-6b96fe53f16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220b8a98ad84a9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5172</xdr:row>
      <xdr:rowOff>19050</xdr:rowOff>
    </xdr:from>
    <xdr:ext cx="1143000" cy="1143000"/>
    <xdr:pic>
      <xdr:nvPicPr>
        <xdr:cNvPr id="5170" name="2cc1dcd3-3f4d-44fe-9391-0f90e8fc439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cb066691396446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5173</xdr:row>
      <xdr:rowOff>19050</xdr:rowOff>
    </xdr:from>
    <xdr:ext cx="1143000" cy="1143000"/>
    <xdr:pic>
      <xdr:nvPicPr>
        <xdr:cNvPr id="5171" name="dce3a26d-6337-49f7-88a2-695081a7309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d22a1a235e74a5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5174</xdr:row>
      <xdr:rowOff>19050</xdr:rowOff>
    </xdr:from>
    <xdr:ext cx="1143000" cy="1143000"/>
    <xdr:pic>
      <xdr:nvPicPr>
        <xdr:cNvPr id="5172" name="4a608983-4ea1-46e8-9bcd-e38c151ac42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16146b6f7c444b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5175</xdr:row>
      <xdr:rowOff>19050</xdr:rowOff>
    </xdr:from>
    <xdr:ext cx="1143000" cy="1143000"/>
    <xdr:pic>
      <xdr:nvPicPr>
        <xdr:cNvPr id="5173" name="8e744371-418d-4d67-9c2a-ba176ca6a07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14242e200c14d6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5176</xdr:row>
      <xdr:rowOff>19050</xdr:rowOff>
    </xdr:from>
    <xdr:ext cx="1143000" cy="1143000"/>
    <xdr:pic>
      <xdr:nvPicPr>
        <xdr:cNvPr id="5174" name="e7c2c030-4397-45aa-8822-0a566097f7c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b1e69270990460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5177</xdr:row>
      <xdr:rowOff>19050</xdr:rowOff>
    </xdr:from>
    <xdr:ext cx="1143000" cy="1143000"/>
    <xdr:pic>
      <xdr:nvPicPr>
        <xdr:cNvPr id="5175" name="60a59df0-b72f-4f5b-9905-b49b4a267d4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61a4718ed5c4dd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5178</xdr:row>
      <xdr:rowOff>19050</xdr:rowOff>
    </xdr:from>
    <xdr:ext cx="1143000" cy="1143000"/>
    <xdr:pic>
      <xdr:nvPicPr>
        <xdr:cNvPr id="5176" name="d257bf38-4d20-4bbe-a0a5-2add7d21a26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166aee200e14a3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5179</xdr:row>
      <xdr:rowOff>19050</xdr:rowOff>
    </xdr:from>
    <xdr:ext cx="1143000" cy="1143000"/>
    <xdr:pic>
      <xdr:nvPicPr>
        <xdr:cNvPr id="5177" name="3df2bfe2-61e9-43df-b516-2e2fa02ec9d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8b515f0789a4e0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5180</xdr:row>
      <xdr:rowOff>19050</xdr:rowOff>
    </xdr:from>
    <xdr:ext cx="1143000" cy="1143000"/>
    <xdr:pic>
      <xdr:nvPicPr>
        <xdr:cNvPr id="5178" name="7b643151-3607-401e-9c7a-520065ea528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e562f8ab93d430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5181</xdr:row>
      <xdr:rowOff>19050</xdr:rowOff>
    </xdr:from>
    <xdr:ext cx="1143000" cy="1143000"/>
    <xdr:pic>
      <xdr:nvPicPr>
        <xdr:cNvPr id="5179" name="d9014c2f-bdfb-4dc4-9d38-80618a42a48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d88b267e113469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5182</xdr:row>
      <xdr:rowOff>19050</xdr:rowOff>
    </xdr:from>
    <xdr:ext cx="1143000" cy="1143000"/>
    <xdr:pic>
      <xdr:nvPicPr>
        <xdr:cNvPr id="5180" name="1281100d-404c-4f9a-b467-cec39a12c98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38c40fa9b2d4d5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5183</xdr:row>
      <xdr:rowOff>19050</xdr:rowOff>
    </xdr:from>
    <xdr:ext cx="1143000" cy="1143000"/>
    <xdr:pic>
      <xdr:nvPicPr>
        <xdr:cNvPr id="5181" name="62d0fca0-bffa-411b-aa24-6bb2aab4cfc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1f09b59edac406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5184</xdr:row>
      <xdr:rowOff>19050</xdr:rowOff>
    </xdr:from>
    <xdr:ext cx="1143000" cy="1143000"/>
    <xdr:pic>
      <xdr:nvPicPr>
        <xdr:cNvPr id="5182" name="b754d2bb-f4ed-4cc7-a603-57d3d1a7cad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9972056ec974e3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5185</xdr:row>
      <xdr:rowOff>19050</xdr:rowOff>
    </xdr:from>
    <xdr:ext cx="1143000" cy="1143000"/>
    <xdr:pic>
      <xdr:nvPicPr>
        <xdr:cNvPr id="5183" name="ebe80a9a-10c7-4ae8-aeb4-ba89a0f256c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cd8d02c63e64fe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5186</xdr:row>
      <xdr:rowOff>19050</xdr:rowOff>
    </xdr:from>
    <xdr:ext cx="1143000" cy="1143000"/>
    <xdr:pic>
      <xdr:nvPicPr>
        <xdr:cNvPr id="5184" name="0af1b96b-8611-4bad-ac49-cb52e5068c3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d3764f562544e3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5187</xdr:row>
      <xdr:rowOff>19050</xdr:rowOff>
    </xdr:from>
    <xdr:ext cx="1143000" cy="1143000"/>
    <xdr:pic>
      <xdr:nvPicPr>
        <xdr:cNvPr id="5185" name="ac8ed487-d235-40a2-99dd-5837f43e735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120f6546bee424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5188</xdr:row>
      <xdr:rowOff>19050</xdr:rowOff>
    </xdr:from>
    <xdr:ext cx="1143000" cy="1143000"/>
    <xdr:pic>
      <xdr:nvPicPr>
        <xdr:cNvPr id="5186" name="96fd0ef5-c0b3-460c-8aa6-3f5936509eb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4688b9a64d145f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5189</xdr:row>
      <xdr:rowOff>19050</xdr:rowOff>
    </xdr:from>
    <xdr:ext cx="1143000" cy="1143000"/>
    <xdr:pic>
      <xdr:nvPicPr>
        <xdr:cNvPr id="5187" name="0f8b90f9-8d77-4384-9e4d-22199c860c2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2aa576c2e90435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5190</xdr:row>
      <xdr:rowOff>19050</xdr:rowOff>
    </xdr:from>
    <xdr:ext cx="1143000" cy="1143000"/>
    <xdr:pic>
      <xdr:nvPicPr>
        <xdr:cNvPr id="5188" name="5ca14352-521b-417c-abd7-a837f2047d2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5a3f243ab5647d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5191</xdr:row>
      <xdr:rowOff>19050</xdr:rowOff>
    </xdr:from>
    <xdr:ext cx="1143000" cy="1143000"/>
    <xdr:pic>
      <xdr:nvPicPr>
        <xdr:cNvPr id="5189" name="2def918d-bded-4b57-b60f-e0e19e4faa5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fa0dcc9ea55426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5192</xdr:row>
      <xdr:rowOff>19050</xdr:rowOff>
    </xdr:from>
    <xdr:ext cx="1143000" cy="1143000"/>
    <xdr:pic>
      <xdr:nvPicPr>
        <xdr:cNvPr id="5190" name="c2f8a3a8-7d99-48f4-bd87-ce874db6af1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5efcfaf7ce1463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5193</xdr:row>
      <xdr:rowOff>19050</xdr:rowOff>
    </xdr:from>
    <xdr:ext cx="1143000" cy="1143000"/>
    <xdr:pic>
      <xdr:nvPicPr>
        <xdr:cNvPr id="5191" name="7be30f37-4fd3-4264-9d54-24f33240ec9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f697986ce704e7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5194</xdr:row>
      <xdr:rowOff>19050</xdr:rowOff>
    </xdr:from>
    <xdr:ext cx="1143000" cy="1143000"/>
    <xdr:pic>
      <xdr:nvPicPr>
        <xdr:cNvPr id="5192" name="e030a943-a487-47be-8d73-f078a857ab9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64a4b02f2d9423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5195</xdr:row>
      <xdr:rowOff>19050</xdr:rowOff>
    </xdr:from>
    <xdr:ext cx="1143000" cy="1143000"/>
    <xdr:pic>
      <xdr:nvPicPr>
        <xdr:cNvPr id="5193" name="66761a27-44f0-4389-bb94-50fd4c678f3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c66837f40f5458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5196</xdr:row>
      <xdr:rowOff>19050</xdr:rowOff>
    </xdr:from>
    <xdr:ext cx="1143000" cy="1143000"/>
    <xdr:pic>
      <xdr:nvPicPr>
        <xdr:cNvPr id="5194" name="dead2526-cef6-4a6f-9561-cd82aaffc94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8ba722d9aea4fd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5197</xdr:row>
      <xdr:rowOff>19050</xdr:rowOff>
    </xdr:from>
    <xdr:ext cx="1143000" cy="1143000"/>
    <xdr:pic>
      <xdr:nvPicPr>
        <xdr:cNvPr id="5195" name="f520aea7-b5c4-407d-9300-f26b82852a5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fc05602a90f46a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5198</xdr:row>
      <xdr:rowOff>19050</xdr:rowOff>
    </xdr:from>
    <xdr:ext cx="1143000" cy="1143000"/>
    <xdr:pic>
      <xdr:nvPicPr>
        <xdr:cNvPr id="5196" name="6f82ef26-bb75-49da-8624-96ce3fa8991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380cbce75964c2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5199</xdr:row>
      <xdr:rowOff>19050</xdr:rowOff>
    </xdr:from>
    <xdr:ext cx="1143000" cy="1143000"/>
    <xdr:pic>
      <xdr:nvPicPr>
        <xdr:cNvPr id="5197" name="99e84c3e-268d-4dc1-9f11-182e68e2e62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58948a8259e412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5200</xdr:row>
      <xdr:rowOff>19050</xdr:rowOff>
    </xdr:from>
    <xdr:ext cx="1143000" cy="1143000"/>
    <xdr:pic>
      <xdr:nvPicPr>
        <xdr:cNvPr id="5198" name="31a9335f-bead-41d4-bd00-19a54cdfbc6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b9c048224034a8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5201</xdr:row>
      <xdr:rowOff>19050</xdr:rowOff>
    </xdr:from>
    <xdr:ext cx="1143000" cy="1143000"/>
    <xdr:pic>
      <xdr:nvPicPr>
        <xdr:cNvPr id="5199" name="990389db-24a9-4b90-b9f0-5f0e5fedf21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0a6594c683d433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5202</xdr:row>
      <xdr:rowOff>19050</xdr:rowOff>
    </xdr:from>
    <xdr:ext cx="1143000" cy="1143000"/>
    <xdr:pic>
      <xdr:nvPicPr>
        <xdr:cNvPr id="5200" name="4101dffe-65fc-406d-8bee-622ab53a746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95787420f7a428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5203</xdr:row>
      <xdr:rowOff>19050</xdr:rowOff>
    </xdr:from>
    <xdr:ext cx="1143000" cy="1143000"/>
    <xdr:pic>
      <xdr:nvPicPr>
        <xdr:cNvPr id="5201" name="34bebe05-cd02-4557-b4d7-0a92667865d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a24143ff8fa4d2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5204</xdr:row>
      <xdr:rowOff>19050</xdr:rowOff>
    </xdr:from>
    <xdr:ext cx="1143000" cy="1143000"/>
    <xdr:pic>
      <xdr:nvPicPr>
        <xdr:cNvPr id="5202" name="2f79cd42-7c0e-4a5b-bd05-6acb2db0dc7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b40e18479cd400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5205</xdr:row>
      <xdr:rowOff>19050</xdr:rowOff>
    </xdr:from>
    <xdr:ext cx="1143000" cy="1143000"/>
    <xdr:pic>
      <xdr:nvPicPr>
        <xdr:cNvPr id="5203" name="3ee41d36-11bd-4b07-8e12-b0950ba1142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32e47da1586489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5206</xdr:row>
      <xdr:rowOff>19050</xdr:rowOff>
    </xdr:from>
    <xdr:ext cx="1143000" cy="1143000"/>
    <xdr:pic>
      <xdr:nvPicPr>
        <xdr:cNvPr id="5204" name="d1c0a26e-1127-47a4-af1a-2431c1f70db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f0f5a3ad8da41b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5207</xdr:row>
      <xdr:rowOff>19050</xdr:rowOff>
    </xdr:from>
    <xdr:ext cx="1143000" cy="1143000"/>
    <xdr:pic>
      <xdr:nvPicPr>
        <xdr:cNvPr id="5205" name="fc584ccd-3dcd-4620-88ac-7de8a3c9a8b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b4753ee40cc410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5208</xdr:row>
      <xdr:rowOff>19050</xdr:rowOff>
    </xdr:from>
    <xdr:ext cx="1143000" cy="1143000"/>
    <xdr:pic>
      <xdr:nvPicPr>
        <xdr:cNvPr id="5206" name="d32ea20f-584c-433f-9720-8bd4b57665e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d5a64fb6abd43c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5209</xdr:row>
      <xdr:rowOff>19050</xdr:rowOff>
    </xdr:from>
    <xdr:ext cx="1143000" cy="1143000"/>
    <xdr:pic>
      <xdr:nvPicPr>
        <xdr:cNvPr id="5207" name="36d49216-c9a9-4ea9-a982-fdd9e9a1083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f15a84baa294de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5210</xdr:row>
      <xdr:rowOff>19050</xdr:rowOff>
    </xdr:from>
    <xdr:ext cx="1143000" cy="1143000"/>
    <xdr:pic>
      <xdr:nvPicPr>
        <xdr:cNvPr id="5208" name="745886a7-d7f0-4c04-a7ce-7d02b2740da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5c2bf4ec7db4ca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5211</xdr:row>
      <xdr:rowOff>19050</xdr:rowOff>
    </xdr:from>
    <xdr:ext cx="1143000" cy="1143000"/>
    <xdr:pic>
      <xdr:nvPicPr>
        <xdr:cNvPr id="5209" name="6a9c263d-9706-4ffd-a98a-343a32d4478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28e863f12834b8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5212</xdr:row>
      <xdr:rowOff>19050</xdr:rowOff>
    </xdr:from>
    <xdr:ext cx="1143000" cy="1143000"/>
    <xdr:pic>
      <xdr:nvPicPr>
        <xdr:cNvPr id="5210" name="a9bfcea7-a7de-4a17-ac89-518fd7c5df8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17dd756833d453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5213</xdr:row>
      <xdr:rowOff>19050</xdr:rowOff>
    </xdr:from>
    <xdr:ext cx="1143000" cy="1143000"/>
    <xdr:pic>
      <xdr:nvPicPr>
        <xdr:cNvPr id="5211" name="22d04f4b-dcb4-4af1-afa9-a3bdd12e8e8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acc4d5ce55a40e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5214</xdr:row>
      <xdr:rowOff>19050</xdr:rowOff>
    </xdr:from>
    <xdr:ext cx="1143000" cy="1143000"/>
    <xdr:pic>
      <xdr:nvPicPr>
        <xdr:cNvPr id="5212" name="a65ae87b-45c4-4c84-bc09-8d4c7c483a1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29af6a12e9c4f3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5215</xdr:row>
      <xdr:rowOff>19050</xdr:rowOff>
    </xdr:from>
    <xdr:ext cx="1143000" cy="1143000"/>
    <xdr:pic>
      <xdr:nvPicPr>
        <xdr:cNvPr id="5213" name="a0062998-ca70-4e86-82a8-3889bb317d2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9af1cd43ad74ec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5216</xdr:row>
      <xdr:rowOff>19050</xdr:rowOff>
    </xdr:from>
    <xdr:ext cx="1143000" cy="1143000"/>
    <xdr:pic>
      <xdr:nvPicPr>
        <xdr:cNvPr id="5214" name="07d7e627-dced-4877-9f88-b50c89a65ea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c72714759b349a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5217</xdr:row>
      <xdr:rowOff>19050</xdr:rowOff>
    </xdr:from>
    <xdr:ext cx="1143000" cy="1143000"/>
    <xdr:pic>
      <xdr:nvPicPr>
        <xdr:cNvPr id="5215" name="51f89659-03de-43e5-aab7-6aa79ddef13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3b920bded64492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5218</xdr:row>
      <xdr:rowOff>19050</xdr:rowOff>
    </xdr:from>
    <xdr:ext cx="1143000" cy="1143000"/>
    <xdr:pic>
      <xdr:nvPicPr>
        <xdr:cNvPr id="5216" name="70c93495-f2db-47b4-b92f-c2930db44c2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885f7679cc4492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5219</xdr:row>
      <xdr:rowOff>19050</xdr:rowOff>
    </xdr:from>
    <xdr:ext cx="1143000" cy="1143000"/>
    <xdr:pic>
      <xdr:nvPicPr>
        <xdr:cNvPr id="5217" name="cd12944b-4783-42f7-9f0a-b6ceaeef8bc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a3d5c66ce884b9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5220</xdr:row>
      <xdr:rowOff>19050</xdr:rowOff>
    </xdr:from>
    <xdr:ext cx="1143000" cy="1143000"/>
    <xdr:pic>
      <xdr:nvPicPr>
        <xdr:cNvPr id="5218" name="e57ff11e-3f17-42ba-aa8e-aa4754e05e8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5853e6801fc4a1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5221</xdr:row>
      <xdr:rowOff>19050</xdr:rowOff>
    </xdr:from>
    <xdr:ext cx="1143000" cy="1143000"/>
    <xdr:pic>
      <xdr:nvPicPr>
        <xdr:cNvPr id="5219" name="826147a7-f4ba-4631-a3d8-2586cbce5cc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bca22903c90483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5222</xdr:row>
      <xdr:rowOff>19050</xdr:rowOff>
    </xdr:from>
    <xdr:ext cx="1143000" cy="1143000"/>
    <xdr:pic>
      <xdr:nvPicPr>
        <xdr:cNvPr id="5220" name="da7353f4-d9d0-4d53-9e5c-ac98dd4b5d8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887dd5f15db4d2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5223</xdr:row>
      <xdr:rowOff>19050</xdr:rowOff>
    </xdr:from>
    <xdr:ext cx="1143000" cy="1143000"/>
    <xdr:pic>
      <xdr:nvPicPr>
        <xdr:cNvPr id="5221" name="11156f1f-8ca0-42df-bc2b-338a7facee4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5f7a16620c241b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5224</xdr:row>
      <xdr:rowOff>19050</xdr:rowOff>
    </xdr:from>
    <xdr:ext cx="1143000" cy="1143000"/>
    <xdr:pic>
      <xdr:nvPicPr>
        <xdr:cNvPr id="5222" name="4bcff80b-bc10-4465-a3e6-0769ef0d2f0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d078db75a864d9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5225</xdr:row>
      <xdr:rowOff>19050</xdr:rowOff>
    </xdr:from>
    <xdr:ext cx="1143000" cy="1143000"/>
    <xdr:pic>
      <xdr:nvPicPr>
        <xdr:cNvPr id="5223" name="dd14d0ef-a122-41a4-ab06-c0903bbfba4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e975b3c409e40d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5226</xdr:row>
      <xdr:rowOff>19050</xdr:rowOff>
    </xdr:from>
    <xdr:ext cx="1143000" cy="1143000"/>
    <xdr:pic>
      <xdr:nvPicPr>
        <xdr:cNvPr id="5224" name="2440a771-2014-49d4-923d-c61e9ac18c2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a80ce51bef8489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5227</xdr:row>
      <xdr:rowOff>19050</xdr:rowOff>
    </xdr:from>
    <xdr:ext cx="1143000" cy="1143000"/>
    <xdr:pic>
      <xdr:nvPicPr>
        <xdr:cNvPr id="5225" name="3e893dba-57a5-46b1-ad63-3c2a2209e5f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6bc9ab8354345e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5228</xdr:row>
      <xdr:rowOff>19050</xdr:rowOff>
    </xdr:from>
    <xdr:ext cx="1143000" cy="1143000"/>
    <xdr:pic>
      <xdr:nvPicPr>
        <xdr:cNvPr id="5226" name="dd05f9ff-5e31-4f97-99ae-97accf18c5b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fd9bc8542904f8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5229</xdr:row>
      <xdr:rowOff>19050</xdr:rowOff>
    </xdr:from>
    <xdr:ext cx="1143000" cy="1143000"/>
    <xdr:pic>
      <xdr:nvPicPr>
        <xdr:cNvPr id="5227" name="1ce04e8a-f4e0-4f81-9cda-d82d4154398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642553c624d499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5230</xdr:row>
      <xdr:rowOff>19050</xdr:rowOff>
    </xdr:from>
    <xdr:ext cx="1143000" cy="1143000"/>
    <xdr:pic>
      <xdr:nvPicPr>
        <xdr:cNvPr id="5228" name="bccdd6fe-d0a3-4c80-b31a-b94dbc42138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c636eb057e34ee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5231</xdr:row>
      <xdr:rowOff>19050</xdr:rowOff>
    </xdr:from>
    <xdr:ext cx="1143000" cy="1143000"/>
    <xdr:pic>
      <xdr:nvPicPr>
        <xdr:cNvPr id="5229" name="3b73f4d9-2812-4102-8f57-b1ec81ed8e5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83a594ea5c442b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5232</xdr:row>
      <xdr:rowOff>19050</xdr:rowOff>
    </xdr:from>
    <xdr:ext cx="1143000" cy="1143000"/>
    <xdr:pic>
      <xdr:nvPicPr>
        <xdr:cNvPr id="5230" name="0dd36fcc-2cf9-44f7-bbbb-2c4c6beaab7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44dc1ab1ae6407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5233</xdr:row>
      <xdr:rowOff>19050</xdr:rowOff>
    </xdr:from>
    <xdr:ext cx="1143000" cy="1143000"/>
    <xdr:pic>
      <xdr:nvPicPr>
        <xdr:cNvPr id="5231" name="a2ef2adf-1544-4f57-ab23-bfb8a129f3e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0e4e3174cb84b5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5234</xdr:row>
      <xdr:rowOff>19050</xdr:rowOff>
    </xdr:from>
    <xdr:ext cx="1143000" cy="1143000"/>
    <xdr:pic>
      <xdr:nvPicPr>
        <xdr:cNvPr id="5232" name="16a4d8f1-b01d-4449-8b88-db7f83e3e7e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601c77b41e744c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5235</xdr:row>
      <xdr:rowOff>19050</xdr:rowOff>
    </xdr:from>
    <xdr:ext cx="1143000" cy="1143000"/>
    <xdr:pic>
      <xdr:nvPicPr>
        <xdr:cNvPr id="5233" name="1e3f9b8a-ee3b-46d8-80bd-87081286a87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4b59d411d0e41b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5236</xdr:row>
      <xdr:rowOff>19050</xdr:rowOff>
    </xdr:from>
    <xdr:ext cx="1143000" cy="1143000"/>
    <xdr:pic>
      <xdr:nvPicPr>
        <xdr:cNvPr id="5234" name="254d28bb-5033-4905-962b-c10df7b6e4e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17dfb9f64cf4ff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5237</xdr:row>
      <xdr:rowOff>19050</xdr:rowOff>
    </xdr:from>
    <xdr:ext cx="1143000" cy="1143000"/>
    <xdr:pic>
      <xdr:nvPicPr>
        <xdr:cNvPr id="5235" name="c9666a33-a71d-41cf-9d37-60c725d3c63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4cbe3696ac04b7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5238</xdr:row>
      <xdr:rowOff>19050</xdr:rowOff>
    </xdr:from>
    <xdr:ext cx="1143000" cy="1143000"/>
    <xdr:pic>
      <xdr:nvPicPr>
        <xdr:cNvPr id="5236" name="27b57218-7e6f-439b-bda5-9fc37737760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c8cc640282e425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5239</xdr:row>
      <xdr:rowOff>19050</xdr:rowOff>
    </xdr:from>
    <xdr:ext cx="1143000" cy="1143000"/>
    <xdr:pic>
      <xdr:nvPicPr>
        <xdr:cNvPr id="5237" name="483fef1a-8ee1-4fcf-ae3e-848276b4b37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5e8673a163a4ac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5240</xdr:row>
      <xdr:rowOff>19050</xdr:rowOff>
    </xdr:from>
    <xdr:ext cx="1143000" cy="1143000"/>
    <xdr:pic>
      <xdr:nvPicPr>
        <xdr:cNvPr id="5238" name="2de6b9b2-6250-4529-b55e-644ef29cc87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ba80c4653764da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5241</xdr:row>
      <xdr:rowOff>19050</xdr:rowOff>
    </xdr:from>
    <xdr:ext cx="1143000" cy="1143000"/>
    <xdr:pic>
      <xdr:nvPicPr>
        <xdr:cNvPr id="5239" name="fdc4450a-493f-4b36-a47f-d7fe4758800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65b241a02294b4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5242</xdr:row>
      <xdr:rowOff>19050</xdr:rowOff>
    </xdr:from>
    <xdr:ext cx="1143000" cy="1143000"/>
    <xdr:pic>
      <xdr:nvPicPr>
        <xdr:cNvPr id="5240" name="69e3e3e5-20ab-4480-9f7e-76fef467938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0e9a8d5667b41d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5243</xdr:row>
      <xdr:rowOff>19050</xdr:rowOff>
    </xdr:from>
    <xdr:ext cx="1143000" cy="1143000"/>
    <xdr:pic>
      <xdr:nvPicPr>
        <xdr:cNvPr id="5241" name="23f0f8d9-d645-40a0-a8dd-b543b4eb2cb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900f3d299214f5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5244</xdr:row>
      <xdr:rowOff>19050</xdr:rowOff>
    </xdr:from>
    <xdr:ext cx="1143000" cy="1143000"/>
    <xdr:pic>
      <xdr:nvPicPr>
        <xdr:cNvPr id="5242" name="29e45505-ccd8-424f-a752-5152ee1968f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3b63547601e4f3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5245</xdr:row>
      <xdr:rowOff>19050</xdr:rowOff>
    </xdr:from>
    <xdr:ext cx="1143000" cy="1143000"/>
    <xdr:pic>
      <xdr:nvPicPr>
        <xdr:cNvPr id="5243" name="a8403bf7-48cd-4934-a437-14f45a48683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e3e28583c7f4b7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5246</xdr:row>
      <xdr:rowOff>19050</xdr:rowOff>
    </xdr:from>
    <xdr:ext cx="1143000" cy="1143000"/>
    <xdr:pic>
      <xdr:nvPicPr>
        <xdr:cNvPr id="5244" name="2e0fbfc2-a559-43b1-bebf-f667b1c15c5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658826c31cf46a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5247</xdr:row>
      <xdr:rowOff>19050</xdr:rowOff>
    </xdr:from>
    <xdr:ext cx="1143000" cy="1143000"/>
    <xdr:pic>
      <xdr:nvPicPr>
        <xdr:cNvPr id="5245" name="12919f4e-5a60-4ecc-9b78-380a421fc17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22bc2d136ca4e3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5248</xdr:row>
      <xdr:rowOff>19050</xdr:rowOff>
    </xdr:from>
    <xdr:ext cx="1143000" cy="1143000"/>
    <xdr:pic>
      <xdr:nvPicPr>
        <xdr:cNvPr id="5246" name="20fdc5e8-a8da-4ba5-ab17-f0dbf502f93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a34c4d50aab4ae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5249</xdr:row>
      <xdr:rowOff>19050</xdr:rowOff>
    </xdr:from>
    <xdr:ext cx="1143000" cy="1143000"/>
    <xdr:pic>
      <xdr:nvPicPr>
        <xdr:cNvPr id="5247" name="c5c8ae12-59b2-4971-abe5-9e7b6c426de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9dc675b6276400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5250</xdr:row>
      <xdr:rowOff>19050</xdr:rowOff>
    </xdr:from>
    <xdr:ext cx="1143000" cy="1143000"/>
    <xdr:pic>
      <xdr:nvPicPr>
        <xdr:cNvPr id="5248" name="8512d08d-111b-42d1-800f-2f16a275554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6dd61806aba41e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5251</xdr:row>
      <xdr:rowOff>19050</xdr:rowOff>
    </xdr:from>
    <xdr:ext cx="1143000" cy="1143000"/>
    <xdr:pic>
      <xdr:nvPicPr>
        <xdr:cNvPr id="5249" name="7eb6df9d-6bce-42dc-a0f3-13dd34ea38c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c4ca8c91bf542e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5252</xdr:row>
      <xdr:rowOff>19050</xdr:rowOff>
    </xdr:from>
    <xdr:ext cx="1143000" cy="1143000"/>
    <xdr:pic>
      <xdr:nvPicPr>
        <xdr:cNvPr id="5250" name="9f580535-2544-4e90-a0fc-10dcf9099c7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8781dbb424d4b1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5253</xdr:row>
      <xdr:rowOff>19050</xdr:rowOff>
    </xdr:from>
    <xdr:ext cx="1143000" cy="1143000"/>
    <xdr:pic>
      <xdr:nvPicPr>
        <xdr:cNvPr id="5251" name="d8b545a1-aff2-43a0-a755-588fb816881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c4ae02a1e5342d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5254</xdr:row>
      <xdr:rowOff>19050</xdr:rowOff>
    </xdr:from>
    <xdr:ext cx="1143000" cy="1143000"/>
    <xdr:pic>
      <xdr:nvPicPr>
        <xdr:cNvPr id="5252" name="2c8e0f79-a1d2-4c61-8251-6f8722f6370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eab94a7613645c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5255</xdr:row>
      <xdr:rowOff>19050</xdr:rowOff>
    </xdr:from>
    <xdr:ext cx="1143000" cy="1143000"/>
    <xdr:pic>
      <xdr:nvPicPr>
        <xdr:cNvPr id="5253" name="cffda17e-27d6-4590-8d45-d0e50d7e433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77ea9909e8a47c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5256</xdr:row>
      <xdr:rowOff>19050</xdr:rowOff>
    </xdr:from>
    <xdr:ext cx="1143000" cy="1143000"/>
    <xdr:pic>
      <xdr:nvPicPr>
        <xdr:cNvPr id="5254" name="c8fe2519-6e6e-45ee-a990-831d9551504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dc5fca395ca436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5257</xdr:row>
      <xdr:rowOff>19050</xdr:rowOff>
    </xdr:from>
    <xdr:ext cx="1143000" cy="1143000"/>
    <xdr:pic>
      <xdr:nvPicPr>
        <xdr:cNvPr id="5255" name="a967a20e-9436-4a97-96fe-339a681491d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40710b6de564cf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5258</xdr:row>
      <xdr:rowOff>19050</xdr:rowOff>
    </xdr:from>
    <xdr:ext cx="1143000" cy="1143000"/>
    <xdr:pic>
      <xdr:nvPicPr>
        <xdr:cNvPr id="5256" name="cc8834f4-cf95-4e7b-ae30-e444043451d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e51edbb8cee4d2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5259</xdr:row>
      <xdr:rowOff>19050</xdr:rowOff>
    </xdr:from>
    <xdr:ext cx="1143000" cy="1143000"/>
    <xdr:pic>
      <xdr:nvPicPr>
        <xdr:cNvPr id="5257" name="81bc1d6d-9465-4600-90b2-8774e6e7ced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9ae9bad21dc410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5260</xdr:row>
      <xdr:rowOff>19050</xdr:rowOff>
    </xdr:from>
    <xdr:ext cx="1143000" cy="1143000"/>
    <xdr:pic>
      <xdr:nvPicPr>
        <xdr:cNvPr id="5258" name="dfcef85b-f6a0-4574-972b-fa40eb0f2c4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384d4069c84486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5261</xdr:row>
      <xdr:rowOff>19050</xdr:rowOff>
    </xdr:from>
    <xdr:ext cx="1143000" cy="1143000"/>
    <xdr:pic>
      <xdr:nvPicPr>
        <xdr:cNvPr id="5259" name="456a2b0e-4c0f-472c-913d-296ea189b9b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de7e37512e1403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5262</xdr:row>
      <xdr:rowOff>19050</xdr:rowOff>
    </xdr:from>
    <xdr:ext cx="1143000" cy="1143000"/>
    <xdr:pic>
      <xdr:nvPicPr>
        <xdr:cNvPr id="5260" name="b44d3c50-7800-4efc-bce5-d2859a94cc6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e1af59f14164ce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5263</xdr:row>
      <xdr:rowOff>19050</xdr:rowOff>
    </xdr:from>
    <xdr:ext cx="1143000" cy="1143000"/>
    <xdr:pic>
      <xdr:nvPicPr>
        <xdr:cNvPr id="5261" name="b80ae167-7592-4f97-86ab-fb3b5e1fee9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af023af947b4b1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5264</xdr:row>
      <xdr:rowOff>19050</xdr:rowOff>
    </xdr:from>
    <xdr:ext cx="1143000" cy="1143000"/>
    <xdr:pic>
      <xdr:nvPicPr>
        <xdr:cNvPr id="5262" name="bc6b68d2-0278-469d-9f78-b44c963b8bd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fb309db36be426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5265</xdr:row>
      <xdr:rowOff>19050</xdr:rowOff>
    </xdr:from>
    <xdr:ext cx="1143000" cy="1143000"/>
    <xdr:pic>
      <xdr:nvPicPr>
        <xdr:cNvPr id="5263" name="420bac3b-92ed-406f-af1d-9315fd23bd1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209a4c4ac2742f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5266</xdr:row>
      <xdr:rowOff>19050</xdr:rowOff>
    </xdr:from>
    <xdr:ext cx="1143000" cy="1143000"/>
    <xdr:pic>
      <xdr:nvPicPr>
        <xdr:cNvPr id="5264" name="8ae5052c-cd9f-428a-a9ca-36cbd8177aa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b056a6d00ff493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5267</xdr:row>
      <xdr:rowOff>19050</xdr:rowOff>
    </xdr:from>
    <xdr:ext cx="1143000" cy="1143000"/>
    <xdr:pic>
      <xdr:nvPicPr>
        <xdr:cNvPr id="5265" name="49b47a8f-ed08-486b-955b-70022f860cb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1b1f9dd18324e5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5268</xdr:row>
      <xdr:rowOff>19050</xdr:rowOff>
    </xdr:from>
    <xdr:ext cx="1143000" cy="1143000"/>
    <xdr:pic>
      <xdr:nvPicPr>
        <xdr:cNvPr id="5266" name="0f4fc5a6-9dc9-470a-a8ae-f927bdf5fa6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04d0a8194184f6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5269</xdr:row>
      <xdr:rowOff>19050</xdr:rowOff>
    </xdr:from>
    <xdr:ext cx="1143000" cy="1143000"/>
    <xdr:pic>
      <xdr:nvPicPr>
        <xdr:cNvPr id="5267" name="2c80fab8-7da9-456a-94da-1b062e01dca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61a1ee086ee4fe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5270</xdr:row>
      <xdr:rowOff>19050</xdr:rowOff>
    </xdr:from>
    <xdr:ext cx="1143000" cy="1143000"/>
    <xdr:pic>
      <xdr:nvPicPr>
        <xdr:cNvPr id="5268" name="85f23244-befe-48e8-9674-ec31d143845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ed9b7a9184f49d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5271</xdr:row>
      <xdr:rowOff>19050</xdr:rowOff>
    </xdr:from>
    <xdr:ext cx="1143000" cy="1143000"/>
    <xdr:pic>
      <xdr:nvPicPr>
        <xdr:cNvPr id="5269" name="3f154afb-5615-4a03-9e4e-f194ff7325c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d35e553bf504b2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5272</xdr:row>
      <xdr:rowOff>19050</xdr:rowOff>
    </xdr:from>
    <xdr:ext cx="1143000" cy="1143000"/>
    <xdr:pic>
      <xdr:nvPicPr>
        <xdr:cNvPr id="5270" name="73eb0c76-7517-4646-99fe-028b9f7af10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0df3ed92f174f6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5273</xdr:row>
      <xdr:rowOff>19050</xdr:rowOff>
    </xdr:from>
    <xdr:ext cx="1143000" cy="1143000"/>
    <xdr:pic>
      <xdr:nvPicPr>
        <xdr:cNvPr id="5271" name="3453f761-5553-4287-9296-2564cb1de9a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fbdf852db37467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5274</xdr:row>
      <xdr:rowOff>19050</xdr:rowOff>
    </xdr:from>
    <xdr:ext cx="1143000" cy="1143000"/>
    <xdr:pic>
      <xdr:nvPicPr>
        <xdr:cNvPr id="5272" name="22cf8f9b-005c-4cd0-bdad-65c3d7a0c5d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927dfcdddbf400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5275</xdr:row>
      <xdr:rowOff>19050</xdr:rowOff>
    </xdr:from>
    <xdr:ext cx="1143000" cy="1143000"/>
    <xdr:pic>
      <xdr:nvPicPr>
        <xdr:cNvPr id="5273" name="81b22a2d-9ba2-4a0d-9234-72616312b40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1bca052d7054f8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5276</xdr:row>
      <xdr:rowOff>19050</xdr:rowOff>
    </xdr:from>
    <xdr:ext cx="1143000" cy="1143000"/>
    <xdr:pic>
      <xdr:nvPicPr>
        <xdr:cNvPr id="5274" name="4a8f6c65-c9a4-4cab-85c4-50b2d7934b0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0c28c9441454bf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5277</xdr:row>
      <xdr:rowOff>19050</xdr:rowOff>
    </xdr:from>
    <xdr:ext cx="1143000" cy="1143000"/>
    <xdr:pic>
      <xdr:nvPicPr>
        <xdr:cNvPr id="5275" name="34b0ea6f-c8a0-4b07-82ee-bd378a2b652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52c1d8ee178428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5278</xdr:row>
      <xdr:rowOff>19050</xdr:rowOff>
    </xdr:from>
    <xdr:ext cx="1143000" cy="1143000"/>
    <xdr:pic>
      <xdr:nvPicPr>
        <xdr:cNvPr id="5276" name="9950d567-c35c-41b2-a744-0272f91e7c3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c15bddcbfa544b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5279</xdr:row>
      <xdr:rowOff>19050</xdr:rowOff>
    </xdr:from>
    <xdr:ext cx="1143000" cy="1143000"/>
    <xdr:pic>
      <xdr:nvPicPr>
        <xdr:cNvPr id="5277" name="59ddadb9-e1ee-4032-b548-9872b1a40bc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ad5c3ba46044c9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5280</xdr:row>
      <xdr:rowOff>19050</xdr:rowOff>
    </xdr:from>
    <xdr:ext cx="1143000" cy="1143000"/>
    <xdr:pic>
      <xdr:nvPicPr>
        <xdr:cNvPr id="5278" name="479ab380-e953-46d8-9442-a186ae1b6b7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43b81b1a855447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5281</xdr:row>
      <xdr:rowOff>19050</xdr:rowOff>
    </xdr:from>
    <xdr:ext cx="1143000" cy="1143000"/>
    <xdr:pic>
      <xdr:nvPicPr>
        <xdr:cNvPr id="5279" name="10d75ad2-8805-4b18-abff-1ba4284c648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de7adb0b55d442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5282</xdr:row>
      <xdr:rowOff>19050</xdr:rowOff>
    </xdr:from>
    <xdr:ext cx="1143000" cy="1143000"/>
    <xdr:pic>
      <xdr:nvPicPr>
        <xdr:cNvPr id="5280" name="54ced9b3-85a8-46ba-893c-034a39c1bfe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fba6b0de19a4a0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5283</xdr:row>
      <xdr:rowOff>19050</xdr:rowOff>
    </xdr:from>
    <xdr:ext cx="1143000" cy="1143000"/>
    <xdr:pic>
      <xdr:nvPicPr>
        <xdr:cNvPr id="5281" name="f77d3b55-cf14-450b-9d37-792448f3e9e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f02462109434e8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5284</xdr:row>
      <xdr:rowOff>19050</xdr:rowOff>
    </xdr:from>
    <xdr:ext cx="1143000" cy="1143000"/>
    <xdr:pic>
      <xdr:nvPicPr>
        <xdr:cNvPr id="5282" name="83639cdd-f83f-464b-960f-056b0c20841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bf1051dabb148a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5285</xdr:row>
      <xdr:rowOff>19050</xdr:rowOff>
    </xdr:from>
    <xdr:ext cx="1143000" cy="1143000"/>
    <xdr:pic>
      <xdr:nvPicPr>
        <xdr:cNvPr id="5283" name="5e03b5a6-e984-4652-a320-76d2ef6c8f4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b637e00f5de495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5286</xdr:row>
      <xdr:rowOff>19050</xdr:rowOff>
    </xdr:from>
    <xdr:ext cx="1143000" cy="1143000"/>
    <xdr:pic>
      <xdr:nvPicPr>
        <xdr:cNvPr id="5284" name="760fd597-f0be-4bec-883a-adcfe04dc49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6b9afb22ff14e2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5287</xdr:row>
      <xdr:rowOff>19050</xdr:rowOff>
    </xdr:from>
    <xdr:ext cx="1143000" cy="1143000"/>
    <xdr:pic>
      <xdr:nvPicPr>
        <xdr:cNvPr id="5285" name="1e4e61a4-a42a-46be-b07a-a0d35443c8b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91fcbb7d29a46b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5288</xdr:row>
      <xdr:rowOff>19050</xdr:rowOff>
    </xdr:from>
    <xdr:ext cx="1143000" cy="1143000"/>
    <xdr:pic>
      <xdr:nvPicPr>
        <xdr:cNvPr id="5286" name="2a061085-fc05-4aab-995c-895b2c1b5ba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cc3d18317ca453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5289</xdr:row>
      <xdr:rowOff>19050</xdr:rowOff>
    </xdr:from>
    <xdr:ext cx="1143000" cy="1143000"/>
    <xdr:pic>
      <xdr:nvPicPr>
        <xdr:cNvPr id="5287" name="3b0626dc-0648-42de-9446-9adeb256d74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1436e7124a94ea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5290</xdr:row>
      <xdr:rowOff>19050</xdr:rowOff>
    </xdr:from>
    <xdr:ext cx="1143000" cy="1143000"/>
    <xdr:pic>
      <xdr:nvPicPr>
        <xdr:cNvPr id="5288" name="05a2e0df-6c5a-4d25-886b-5a61583b5dc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9069b607ec642a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5291</xdr:row>
      <xdr:rowOff>19050</xdr:rowOff>
    </xdr:from>
    <xdr:ext cx="1143000" cy="1143000"/>
    <xdr:pic>
      <xdr:nvPicPr>
        <xdr:cNvPr id="5289" name="5a2b2d5d-0b23-40c9-807c-5cc1c747abb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b10922e333e4df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5292</xdr:row>
      <xdr:rowOff>19050</xdr:rowOff>
    </xdr:from>
    <xdr:ext cx="1143000" cy="1143000"/>
    <xdr:pic>
      <xdr:nvPicPr>
        <xdr:cNvPr id="5290" name="75dfd1cd-4ef6-4c3b-9829-e6fbbcdef2b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eadc0a3b29b475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5293</xdr:row>
      <xdr:rowOff>19050</xdr:rowOff>
    </xdr:from>
    <xdr:ext cx="1143000" cy="1143000"/>
    <xdr:pic>
      <xdr:nvPicPr>
        <xdr:cNvPr id="5291" name="200a7023-57e1-4c41-a781-bc35ec0a757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62f5ee3da81466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5294</xdr:row>
      <xdr:rowOff>19050</xdr:rowOff>
    </xdr:from>
    <xdr:ext cx="1143000" cy="1143000"/>
    <xdr:pic>
      <xdr:nvPicPr>
        <xdr:cNvPr id="5292" name="4d7b02d9-eea4-4973-bc73-4f66d530d60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241e1a893af4e2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5295</xdr:row>
      <xdr:rowOff>19050</xdr:rowOff>
    </xdr:from>
    <xdr:ext cx="1143000" cy="1143000"/>
    <xdr:pic>
      <xdr:nvPicPr>
        <xdr:cNvPr id="5293" name="07ff58b5-9541-4d5a-b8d4-69735495f25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199b7203557445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5296</xdr:row>
      <xdr:rowOff>19050</xdr:rowOff>
    </xdr:from>
    <xdr:ext cx="1143000" cy="1143000"/>
    <xdr:pic>
      <xdr:nvPicPr>
        <xdr:cNvPr id="5294" name="3288abc8-46fe-4f50-a55e-6528a23e208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1ceaaee03c44c6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5297</xdr:row>
      <xdr:rowOff>19050</xdr:rowOff>
    </xdr:from>
    <xdr:ext cx="1143000" cy="1143000"/>
    <xdr:pic>
      <xdr:nvPicPr>
        <xdr:cNvPr id="5295" name="32493728-941d-48d3-bf2e-37da65eadf5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e90a3779dc24f3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5298</xdr:row>
      <xdr:rowOff>19050</xdr:rowOff>
    </xdr:from>
    <xdr:ext cx="1143000" cy="1143000"/>
    <xdr:pic>
      <xdr:nvPicPr>
        <xdr:cNvPr id="5296" name="849e3def-3394-4f8f-9795-f8c1c50d7bd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9fa41cab669471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5299</xdr:row>
      <xdr:rowOff>19050</xdr:rowOff>
    </xdr:from>
    <xdr:ext cx="1143000" cy="1143000"/>
    <xdr:pic>
      <xdr:nvPicPr>
        <xdr:cNvPr id="5297" name="c0b14fcd-e0cd-4229-aedf-e8437676353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c90aacdd5274c9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5300</xdr:row>
      <xdr:rowOff>19050</xdr:rowOff>
    </xdr:from>
    <xdr:ext cx="1143000" cy="1143000"/>
    <xdr:pic>
      <xdr:nvPicPr>
        <xdr:cNvPr id="5298" name="69a29c79-8468-4c97-9de9-7e34cdc5fcb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939cd14f93b4f2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5301</xdr:row>
      <xdr:rowOff>19050</xdr:rowOff>
    </xdr:from>
    <xdr:ext cx="1143000" cy="1143000"/>
    <xdr:pic>
      <xdr:nvPicPr>
        <xdr:cNvPr id="5299" name="9a17dffb-0c18-4a0a-8d90-aaa7ef1988a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b3b1bafa6ca4fc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5302</xdr:row>
      <xdr:rowOff>19050</xdr:rowOff>
    </xdr:from>
    <xdr:ext cx="1143000" cy="1143000"/>
    <xdr:pic>
      <xdr:nvPicPr>
        <xdr:cNvPr id="5300" name="088839b6-897b-4819-b5f7-7855fe52679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b65a9b5188d4e5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5303</xdr:row>
      <xdr:rowOff>19050</xdr:rowOff>
    </xdr:from>
    <xdr:ext cx="1143000" cy="1143000"/>
    <xdr:pic>
      <xdr:nvPicPr>
        <xdr:cNvPr id="5301" name="30875f2a-baf1-46f9-9778-be9a090430e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d92b700b6724f2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5304</xdr:row>
      <xdr:rowOff>19050</xdr:rowOff>
    </xdr:from>
    <xdr:ext cx="1143000" cy="1143000"/>
    <xdr:pic>
      <xdr:nvPicPr>
        <xdr:cNvPr id="5302" name="a81db083-bd0f-4b63-9478-7e06fbdc737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ed3d52bd2c148b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5305</xdr:row>
      <xdr:rowOff>19050</xdr:rowOff>
    </xdr:from>
    <xdr:ext cx="1143000" cy="1143000"/>
    <xdr:pic>
      <xdr:nvPicPr>
        <xdr:cNvPr id="5303" name="bc5e42f1-3883-4bd1-80d5-28be65620bc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5f4dbbee05447b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5306</xdr:row>
      <xdr:rowOff>19050</xdr:rowOff>
    </xdr:from>
    <xdr:ext cx="1143000" cy="1143000"/>
    <xdr:pic>
      <xdr:nvPicPr>
        <xdr:cNvPr id="5304" name="1eaf7221-9f65-4975-a59d-d8d68630147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71c064e965444e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5307</xdr:row>
      <xdr:rowOff>19050</xdr:rowOff>
    </xdr:from>
    <xdr:ext cx="1143000" cy="1143000"/>
    <xdr:pic>
      <xdr:nvPicPr>
        <xdr:cNvPr id="5305" name="cd5ac157-eebb-473d-bbad-54729d7580b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1102b77ad4144c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5308</xdr:row>
      <xdr:rowOff>19050</xdr:rowOff>
    </xdr:from>
    <xdr:ext cx="1143000" cy="1143000"/>
    <xdr:pic>
      <xdr:nvPicPr>
        <xdr:cNvPr id="5306" name="a89043d8-2081-4971-ba85-f6c6e8fcb13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93185668042475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5309</xdr:row>
      <xdr:rowOff>19050</xdr:rowOff>
    </xdr:from>
    <xdr:ext cx="1143000" cy="1143000"/>
    <xdr:pic>
      <xdr:nvPicPr>
        <xdr:cNvPr id="5307" name="4127a606-269f-4be9-b533-da6089188b9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6b538e8e6c6455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5310</xdr:row>
      <xdr:rowOff>19050</xdr:rowOff>
    </xdr:from>
    <xdr:ext cx="1143000" cy="1143000"/>
    <xdr:pic>
      <xdr:nvPicPr>
        <xdr:cNvPr id="5308" name="1b4784e9-17c3-4240-a210-8f64bc1f172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6e70a137a334a1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5311</xdr:row>
      <xdr:rowOff>19050</xdr:rowOff>
    </xdr:from>
    <xdr:ext cx="1143000" cy="1143000"/>
    <xdr:pic>
      <xdr:nvPicPr>
        <xdr:cNvPr id="5309" name="ef6e5925-c4d7-46a6-9e80-94b232b962e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894a9e94869428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5312</xdr:row>
      <xdr:rowOff>19050</xdr:rowOff>
    </xdr:from>
    <xdr:ext cx="1143000" cy="1143000"/>
    <xdr:pic>
      <xdr:nvPicPr>
        <xdr:cNvPr id="5310" name="7aad239a-6bf0-4a91-9fd1-e033a0c6eb3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bf9b3b72e35415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5313</xdr:row>
      <xdr:rowOff>19050</xdr:rowOff>
    </xdr:from>
    <xdr:ext cx="1143000" cy="1143000"/>
    <xdr:pic>
      <xdr:nvPicPr>
        <xdr:cNvPr id="5311" name="63bb1aa5-579e-4222-ab0e-74bf668951d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7a751ffdae8422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5314</xdr:row>
      <xdr:rowOff>19050</xdr:rowOff>
    </xdr:from>
    <xdr:ext cx="1143000" cy="1143000"/>
    <xdr:pic>
      <xdr:nvPicPr>
        <xdr:cNvPr id="5312" name="787f105d-c8c6-496c-a95a-e4f36de78b9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95b4451477346a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5315</xdr:row>
      <xdr:rowOff>19050</xdr:rowOff>
    </xdr:from>
    <xdr:ext cx="1143000" cy="1143000"/>
    <xdr:pic>
      <xdr:nvPicPr>
        <xdr:cNvPr id="5313" name="043179bf-b876-4825-8fb5-897861eb005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793913b2ef0463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5316</xdr:row>
      <xdr:rowOff>19050</xdr:rowOff>
    </xdr:from>
    <xdr:ext cx="1143000" cy="1143000"/>
    <xdr:pic>
      <xdr:nvPicPr>
        <xdr:cNvPr id="5314" name="ed80b391-ed54-4901-af3f-a62cb91adc1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07e141cb4704ee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5317</xdr:row>
      <xdr:rowOff>19050</xdr:rowOff>
    </xdr:from>
    <xdr:ext cx="1143000" cy="1143000"/>
    <xdr:pic>
      <xdr:nvPicPr>
        <xdr:cNvPr id="5315" name="bd4f4637-3618-4d67-b848-ef4509c48a1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72a22433c4f44f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5318</xdr:row>
      <xdr:rowOff>19050</xdr:rowOff>
    </xdr:from>
    <xdr:ext cx="1143000" cy="1143000"/>
    <xdr:pic>
      <xdr:nvPicPr>
        <xdr:cNvPr id="5316" name="014f237d-0674-4971-9cde-f05ac7c81f4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c420b828c91409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5319</xdr:row>
      <xdr:rowOff>19050</xdr:rowOff>
    </xdr:from>
    <xdr:ext cx="1143000" cy="1143000"/>
    <xdr:pic>
      <xdr:nvPicPr>
        <xdr:cNvPr id="5317" name="59e6e14d-b667-4aa1-9d5b-b6558c9286b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04baf98a4ae486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5320</xdr:row>
      <xdr:rowOff>19050</xdr:rowOff>
    </xdr:from>
    <xdr:ext cx="1143000" cy="1143000"/>
    <xdr:pic>
      <xdr:nvPicPr>
        <xdr:cNvPr id="5318" name="b7e7f0e1-f3d5-4281-9444-be65e7ac9e8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029ea5d83474a4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5321</xdr:row>
      <xdr:rowOff>19050</xdr:rowOff>
    </xdr:from>
    <xdr:ext cx="1143000" cy="1143000"/>
    <xdr:pic>
      <xdr:nvPicPr>
        <xdr:cNvPr id="5319" name="9191bcad-b6e0-472f-8b40-fc005fe5fdb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e5348f99a0b403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5322</xdr:row>
      <xdr:rowOff>19050</xdr:rowOff>
    </xdr:from>
    <xdr:ext cx="1143000" cy="1143000"/>
    <xdr:pic>
      <xdr:nvPicPr>
        <xdr:cNvPr id="5320" name="21e7accc-8218-4439-aebc-b5794f60901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c0ac12323f24a6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5323</xdr:row>
      <xdr:rowOff>19050</xdr:rowOff>
    </xdr:from>
    <xdr:ext cx="1143000" cy="1143000"/>
    <xdr:pic>
      <xdr:nvPicPr>
        <xdr:cNvPr id="5321" name="1afc028f-402b-4a4f-92ac-5def598dff3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acc229b3f014b4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5324</xdr:row>
      <xdr:rowOff>19050</xdr:rowOff>
    </xdr:from>
    <xdr:ext cx="1143000" cy="1143000"/>
    <xdr:pic>
      <xdr:nvPicPr>
        <xdr:cNvPr id="5322" name="2bcc1c83-9d49-4d05-877e-aa9ccda3a17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bb152138c6249a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5325</xdr:row>
      <xdr:rowOff>19050</xdr:rowOff>
    </xdr:from>
    <xdr:ext cx="1143000" cy="1143000"/>
    <xdr:pic>
      <xdr:nvPicPr>
        <xdr:cNvPr id="5323" name="ce2590f7-eb03-41a5-9bf5-b48f648c88a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ea6e97393aa4ed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5326</xdr:row>
      <xdr:rowOff>19050</xdr:rowOff>
    </xdr:from>
    <xdr:ext cx="1143000" cy="1143000"/>
    <xdr:pic>
      <xdr:nvPicPr>
        <xdr:cNvPr id="5324" name="325e0098-579e-42b9-8c35-afd08cb67a8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67882e10ce4436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5327</xdr:row>
      <xdr:rowOff>19050</xdr:rowOff>
    </xdr:from>
    <xdr:ext cx="1143000" cy="1143000"/>
    <xdr:pic>
      <xdr:nvPicPr>
        <xdr:cNvPr id="5325" name="9dd25d61-413b-4e98-bd2c-ac9f3f3d14a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da193f5a03b495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5328</xdr:row>
      <xdr:rowOff>19050</xdr:rowOff>
    </xdr:from>
    <xdr:ext cx="1143000" cy="1143000"/>
    <xdr:pic>
      <xdr:nvPicPr>
        <xdr:cNvPr id="5326" name="0aaf90b1-e4e7-4069-9ab0-0e4cc57fcea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699e44d1c88443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5329</xdr:row>
      <xdr:rowOff>19050</xdr:rowOff>
    </xdr:from>
    <xdr:ext cx="1143000" cy="1143000"/>
    <xdr:pic>
      <xdr:nvPicPr>
        <xdr:cNvPr id="5327" name="734df98f-3b51-4cab-8d98-5f7908339a1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9b95568c72b411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5330</xdr:row>
      <xdr:rowOff>19050</xdr:rowOff>
    </xdr:from>
    <xdr:ext cx="1143000" cy="1143000"/>
    <xdr:pic>
      <xdr:nvPicPr>
        <xdr:cNvPr id="5328" name="56ed9f91-fb0c-4d8e-9912-6a068d6240c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d9544d3426a4bc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5331</xdr:row>
      <xdr:rowOff>19050</xdr:rowOff>
    </xdr:from>
    <xdr:ext cx="1143000" cy="1143000"/>
    <xdr:pic>
      <xdr:nvPicPr>
        <xdr:cNvPr id="5329" name="3d3000af-6d70-475a-8b8f-b20e66174d7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98f1d2c955f411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5332</xdr:row>
      <xdr:rowOff>19050</xdr:rowOff>
    </xdr:from>
    <xdr:ext cx="1143000" cy="1143000"/>
    <xdr:pic>
      <xdr:nvPicPr>
        <xdr:cNvPr id="5330" name="e8cda422-0098-4843-a8f4-313650cf15f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be0ebead6384f2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5333</xdr:row>
      <xdr:rowOff>19050</xdr:rowOff>
    </xdr:from>
    <xdr:ext cx="1143000" cy="1143000"/>
    <xdr:pic>
      <xdr:nvPicPr>
        <xdr:cNvPr id="5331" name="e5b089d8-c820-4a20-a754-3531222a2e9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641c59740b1453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5334</xdr:row>
      <xdr:rowOff>19050</xdr:rowOff>
    </xdr:from>
    <xdr:ext cx="1143000" cy="1143000"/>
    <xdr:pic>
      <xdr:nvPicPr>
        <xdr:cNvPr id="5332" name="13e62ac3-42bf-4f66-9755-882be8198af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e6746b8bb854c1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5335</xdr:row>
      <xdr:rowOff>19050</xdr:rowOff>
    </xdr:from>
    <xdr:ext cx="1143000" cy="1143000"/>
    <xdr:pic>
      <xdr:nvPicPr>
        <xdr:cNvPr id="5333" name="b03e67c6-8056-4f27-b23f-5f802050b40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ffed5e963f2407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5336</xdr:row>
      <xdr:rowOff>19050</xdr:rowOff>
    </xdr:from>
    <xdr:ext cx="1143000" cy="1143000"/>
    <xdr:pic>
      <xdr:nvPicPr>
        <xdr:cNvPr id="5334" name="eae75e3e-2cf2-4176-bf58-58f58e6a666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1e06534af8a4ca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5337</xdr:row>
      <xdr:rowOff>19050</xdr:rowOff>
    </xdr:from>
    <xdr:ext cx="1143000" cy="1143000"/>
    <xdr:pic>
      <xdr:nvPicPr>
        <xdr:cNvPr id="5335" name="e2a5450b-c480-49c3-9030-23815acf90c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5bd2324ee3d421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5338</xdr:row>
      <xdr:rowOff>19050</xdr:rowOff>
    </xdr:from>
    <xdr:ext cx="1143000" cy="1143000"/>
    <xdr:pic>
      <xdr:nvPicPr>
        <xdr:cNvPr id="5336" name="ab2f81ad-d597-4099-b30e-e7a276b481e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e7c6cde0e8d4ac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5339</xdr:row>
      <xdr:rowOff>19050</xdr:rowOff>
    </xdr:from>
    <xdr:ext cx="1143000" cy="1143000"/>
    <xdr:pic>
      <xdr:nvPicPr>
        <xdr:cNvPr id="5337" name="8d0f7654-01b8-46d8-92ca-3334cff42fc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7fa555317234b8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5340</xdr:row>
      <xdr:rowOff>19050</xdr:rowOff>
    </xdr:from>
    <xdr:ext cx="1143000" cy="1143000"/>
    <xdr:pic>
      <xdr:nvPicPr>
        <xdr:cNvPr id="5338" name="ca039a2c-fcf9-4de5-808d-9cf82f76cbd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3eb30b35c8c486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5341</xdr:row>
      <xdr:rowOff>19050</xdr:rowOff>
    </xdr:from>
    <xdr:ext cx="1143000" cy="1143000"/>
    <xdr:pic>
      <xdr:nvPicPr>
        <xdr:cNvPr id="5339" name="5ae4aed0-7dea-4b5b-83cd-392f5bb0136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b3e5133c6754ec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5342</xdr:row>
      <xdr:rowOff>19050</xdr:rowOff>
    </xdr:from>
    <xdr:ext cx="1143000" cy="1143000"/>
    <xdr:pic>
      <xdr:nvPicPr>
        <xdr:cNvPr id="5340" name="6fd2fab8-c223-4492-8fa3-fc4e53da823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0fa0793b3ba4ea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5343</xdr:row>
      <xdr:rowOff>19050</xdr:rowOff>
    </xdr:from>
    <xdr:ext cx="1143000" cy="1143000"/>
    <xdr:pic>
      <xdr:nvPicPr>
        <xdr:cNvPr id="5341" name="2d542697-101e-4241-870b-e429d88d637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b38c2f756304b6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5344</xdr:row>
      <xdr:rowOff>19050</xdr:rowOff>
    </xdr:from>
    <xdr:ext cx="1143000" cy="1143000"/>
    <xdr:pic>
      <xdr:nvPicPr>
        <xdr:cNvPr id="5342" name="cef72794-618a-4088-8da4-3288b058d26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7d615800ec8468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5345</xdr:row>
      <xdr:rowOff>19050</xdr:rowOff>
    </xdr:from>
    <xdr:ext cx="1143000" cy="1143000"/>
    <xdr:pic>
      <xdr:nvPicPr>
        <xdr:cNvPr id="5343" name="f11745ea-dc81-440e-b222-f3f6dcc1fd2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98b3babe98e460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5346</xdr:row>
      <xdr:rowOff>19050</xdr:rowOff>
    </xdr:from>
    <xdr:ext cx="1143000" cy="1143000"/>
    <xdr:pic>
      <xdr:nvPicPr>
        <xdr:cNvPr id="5344" name="7555307d-4260-499a-ba3b-045c6cf4e4e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d73e74c0b9c471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5347</xdr:row>
      <xdr:rowOff>19050</xdr:rowOff>
    </xdr:from>
    <xdr:ext cx="1143000" cy="1143000"/>
    <xdr:pic>
      <xdr:nvPicPr>
        <xdr:cNvPr id="5345" name="311c123b-5f8f-4ed8-b1af-98825fcb631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9c71d6b4b554be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5348</xdr:row>
      <xdr:rowOff>19050</xdr:rowOff>
    </xdr:from>
    <xdr:ext cx="1143000" cy="1143000"/>
    <xdr:pic>
      <xdr:nvPicPr>
        <xdr:cNvPr id="5346" name="ae723615-8099-4d78-a1fe-3fc62e25375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d37a11f2291455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5349</xdr:row>
      <xdr:rowOff>19050</xdr:rowOff>
    </xdr:from>
    <xdr:ext cx="1143000" cy="1143000"/>
    <xdr:pic>
      <xdr:nvPicPr>
        <xdr:cNvPr id="5347" name="ded40dc1-aca2-4794-aa57-c2de72c0977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57f6a11594240a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5350</xdr:row>
      <xdr:rowOff>19050</xdr:rowOff>
    </xdr:from>
    <xdr:ext cx="1143000" cy="1143000"/>
    <xdr:pic>
      <xdr:nvPicPr>
        <xdr:cNvPr id="5348" name="5f162aa1-8238-40f3-8495-07565b39b18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9f6849388eb4e2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5351</xdr:row>
      <xdr:rowOff>19050</xdr:rowOff>
    </xdr:from>
    <xdr:ext cx="1143000" cy="1143000"/>
    <xdr:pic>
      <xdr:nvPicPr>
        <xdr:cNvPr id="5349" name="68286f84-7f73-4032-b413-70f01aba5f8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bf684c8ce5b4e1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5352</xdr:row>
      <xdr:rowOff>19050</xdr:rowOff>
    </xdr:from>
    <xdr:ext cx="1143000" cy="1143000"/>
    <xdr:pic>
      <xdr:nvPicPr>
        <xdr:cNvPr id="5350" name="9f151d4e-6eba-4526-8b41-05ab6507ede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3e8ae2e627947f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5353</xdr:row>
      <xdr:rowOff>19050</xdr:rowOff>
    </xdr:from>
    <xdr:ext cx="1143000" cy="1143000"/>
    <xdr:pic>
      <xdr:nvPicPr>
        <xdr:cNvPr id="5351" name="0bb880ac-8540-4f1a-9dfc-d088a9a8abe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702ce15b637419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5354</xdr:row>
      <xdr:rowOff>19050</xdr:rowOff>
    </xdr:from>
    <xdr:ext cx="1143000" cy="1143000"/>
    <xdr:pic>
      <xdr:nvPicPr>
        <xdr:cNvPr id="5352" name="9618665d-d52b-4b95-8a22-5cfb4cb0608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b876da15f17406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5355</xdr:row>
      <xdr:rowOff>19050</xdr:rowOff>
    </xdr:from>
    <xdr:ext cx="1143000" cy="1143000"/>
    <xdr:pic>
      <xdr:nvPicPr>
        <xdr:cNvPr id="5353" name="71b82685-3f15-4ceb-8a44-d7d0a2378eb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7533dc41edd473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5356</xdr:row>
      <xdr:rowOff>19050</xdr:rowOff>
    </xdr:from>
    <xdr:ext cx="1143000" cy="1143000"/>
    <xdr:pic>
      <xdr:nvPicPr>
        <xdr:cNvPr id="5354" name="3e9c2591-d0af-481a-9ece-0f87c53241e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9f1eaa36d7f457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5357</xdr:row>
      <xdr:rowOff>19050</xdr:rowOff>
    </xdr:from>
    <xdr:ext cx="1143000" cy="1143000"/>
    <xdr:pic>
      <xdr:nvPicPr>
        <xdr:cNvPr id="5355" name="b9a4c8fe-b192-4859-ade0-3b3b20fac75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ed5fb55c6e341d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5358</xdr:row>
      <xdr:rowOff>19050</xdr:rowOff>
    </xdr:from>
    <xdr:ext cx="1143000" cy="1143000"/>
    <xdr:pic>
      <xdr:nvPicPr>
        <xdr:cNvPr id="5356" name="02a74c46-d4f5-467b-80f2-b8554bf0392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4e17b49f8284af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5359</xdr:row>
      <xdr:rowOff>19050</xdr:rowOff>
    </xdr:from>
    <xdr:ext cx="1143000" cy="1143000"/>
    <xdr:pic>
      <xdr:nvPicPr>
        <xdr:cNvPr id="5357" name="f98a0b42-563f-4a50-8d18-17fc99cb6f6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d282837391d444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5360</xdr:row>
      <xdr:rowOff>19050</xdr:rowOff>
    </xdr:from>
    <xdr:ext cx="1143000" cy="1143000"/>
    <xdr:pic>
      <xdr:nvPicPr>
        <xdr:cNvPr id="5358" name="4faa072b-e336-491e-8b29-996db093a7b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e330b2ed721454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5361</xdr:row>
      <xdr:rowOff>19050</xdr:rowOff>
    </xdr:from>
    <xdr:ext cx="1143000" cy="1143000"/>
    <xdr:pic>
      <xdr:nvPicPr>
        <xdr:cNvPr id="5359" name="19c2b582-5d5f-4dc3-b378-4c4b73af319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c437812798d499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5362</xdr:row>
      <xdr:rowOff>19050</xdr:rowOff>
    </xdr:from>
    <xdr:ext cx="1143000" cy="1143000"/>
    <xdr:pic>
      <xdr:nvPicPr>
        <xdr:cNvPr id="5360" name="45d3db87-eb69-49aa-9f68-5f4d77c6cb7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55aa8bdd07d457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5363</xdr:row>
      <xdr:rowOff>19050</xdr:rowOff>
    </xdr:from>
    <xdr:ext cx="1143000" cy="1143000"/>
    <xdr:pic>
      <xdr:nvPicPr>
        <xdr:cNvPr id="5361" name="89924790-f444-49fe-a0bd-c0bbe32e555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8eef4eb632a4c8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5364</xdr:row>
      <xdr:rowOff>19050</xdr:rowOff>
    </xdr:from>
    <xdr:ext cx="1143000" cy="1143000"/>
    <xdr:pic>
      <xdr:nvPicPr>
        <xdr:cNvPr id="5362" name="ff4999c8-f1ed-41c9-8cb0-6039529e113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57db359555a458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5365</xdr:row>
      <xdr:rowOff>19050</xdr:rowOff>
    </xdr:from>
    <xdr:ext cx="1143000" cy="1143000"/>
    <xdr:pic>
      <xdr:nvPicPr>
        <xdr:cNvPr id="5363" name="1b19de0c-ebee-4e4d-a949-0e9a30f04e4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7dcf378421d490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5366</xdr:row>
      <xdr:rowOff>19050</xdr:rowOff>
    </xdr:from>
    <xdr:ext cx="1143000" cy="1143000"/>
    <xdr:pic>
      <xdr:nvPicPr>
        <xdr:cNvPr id="5364" name="959d23cb-e0ba-49da-91cd-88598629476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41b935572914b0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5367</xdr:row>
      <xdr:rowOff>19050</xdr:rowOff>
    </xdr:from>
    <xdr:ext cx="1143000" cy="1143000"/>
    <xdr:pic>
      <xdr:nvPicPr>
        <xdr:cNvPr id="5365" name="bf4ed7b0-2d06-4bbe-be51-87903892585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bc1d77914a3413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5368</xdr:row>
      <xdr:rowOff>19050</xdr:rowOff>
    </xdr:from>
    <xdr:ext cx="1143000" cy="1143000"/>
    <xdr:pic>
      <xdr:nvPicPr>
        <xdr:cNvPr id="5366" name="30856e3d-2116-4be0-a8a5-c0a01081259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e66362fc7174f8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5369</xdr:row>
      <xdr:rowOff>19050</xdr:rowOff>
    </xdr:from>
    <xdr:ext cx="1143000" cy="1143000"/>
    <xdr:pic>
      <xdr:nvPicPr>
        <xdr:cNvPr id="5367" name="fae04220-67cd-47aa-8ec8-eefafb52037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0aca658c6224d0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5370</xdr:row>
      <xdr:rowOff>19050</xdr:rowOff>
    </xdr:from>
    <xdr:ext cx="1143000" cy="1143000"/>
    <xdr:pic>
      <xdr:nvPicPr>
        <xdr:cNvPr id="5368" name="8f1daa42-7aef-492a-8b2b-d08355481af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b5a28f5fb31475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5371</xdr:row>
      <xdr:rowOff>19050</xdr:rowOff>
    </xdr:from>
    <xdr:ext cx="1143000" cy="1143000"/>
    <xdr:pic>
      <xdr:nvPicPr>
        <xdr:cNvPr id="5369" name="9c39c195-fc8e-46f3-96c1-cd863925782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9787ecb81444c0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5372</xdr:row>
      <xdr:rowOff>19050</xdr:rowOff>
    </xdr:from>
    <xdr:ext cx="1143000" cy="1143000"/>
    <xdr:pic>
      <xdr:nvPicPr>
        <xdr:cNvPr id="5370" name="0e13f131-e349-4fd4-8fbe-0b21721f64f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b155c8971694d1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5373</xdr:row>
      <xdr:rowOff>19050</xdr:rowOff>
    </xdr:from>
    <xdr:ext cx="1143000" cy="1143000"/>
    <xdr:pic>
      <xdr:nvPicPr>
        <xdr:cNvPr id="5371" name="985893d1-fadb-4ba4-a462-0d3b90fd50a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dd6a98f478e414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5374</xdr:row>
      <xdr:rowOff>19050</xdr:rowOff>
    </xdr:from>
    <xdr:ext cx="1143000" cy="1143000"/>
    <xdr:pic>
      <xdr:nvPicPr>
        <xdr:cNvPr id="5372" name="60172fa5-7557-4c0c-b4f9-204c16cd9d8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8373f833ba846a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5375</xdr:row>
      <xdr:rowOff>19050</xdr:rowOff>
    </xdr:from>
    <xdr:ext cx="1143000" cy="1143000"/>
    <xdr:pic>
      <xdr:nvPicPr>
        <xdr:cNvPr id="5373" name="4df4304a-dfdd-405b-bdbb-2e68ea5b113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531f9197fd14c1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5376</xdr:row>
      <xdr:rowOff>19050</xdr:rowOff>
    </xdr:from>
    <xdr:ext cx="1143000" cy="1143000"/>
    <xdr:pic>
      <xdr:nvPicPr>
        <xdr:cNvPr id="5374" name="275abdef-dd72-4d1c-a9b4-61dfe368006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43da97e08c9487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5377</xdr:row>
      <xdr:rowOff>19050</xdr:rowOff>
    </xdr:from>
    <xdr:ext cx="1143000" cy="1143000"/>
    <xdr:pic>
      <xdr:nvPicPr>
        <xdr:cNvPr id="5375" name="8c2e815f-4411-4d3d-b2f8-c7fbf7c9172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04f45036758471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5378</xdr:row>
      <xdr:rowOff>19050</xdr:rowOff>
    </xdr:from>
    <xdr:ext cx="1143000" cy="1143000"/>
    <xdr:pic>
      <xdr:nvPicPr>
        <xdr:cNvPr id="5376" name="37aa50cb-f743-49e0-9840-1f3730f5ffa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3d9b61c0393401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5379</xdr:row>
      <xdr:rowOff>19050</xdr:rowOff>
    </xdr:from>
    <xdr:ext cx="1143000" cy="1143000"/>
    <xdr:pic>
      <xdr:nvPicPr>
        <xdr:cNvPr id="5377" name="cc9019df-3358-4f9d-b60f-a965d8d80d3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3c212c396604c0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5380</xdr:row>
      <xdr:rowOff>19050</xdr:rowOff>
    </xdr:from>
    <xdr:ext cx="1143000" cy="1143000"/>
    <xdr:pic>
      <xdr:nvPicPr>
        <xdr:cNvPr id="5378" name="f4cc8477-3614-4f0b-9948-7d8e1d62af2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a99f9da95a94e4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5381</xdr:row>
      <xdr:rowOff>19050</xdr:rowOff>
    </xdr:from>
    <xdr:ext cx="1143000" cy="1143000"/>
    <xdr:pic>
      <xdr:nvPicPr>
        <xdr:cNvPr id="5379" name="77546d93-f55c-4881-93c8-202f83b78e3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b3c3cab53c3478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5382</xdr:row>
      <xdr:rowOff>19050</xdr:rowOff>
    </xdr:from>
    <xdr:ext cx="1143000" cy="1143000"/>
    <xdr:pic>
      <xdr:nvPicPr>
        <xdr:cNvPr id="5380" name="dfe86f54-ade8-41e7-9d9c-44241c8e412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7bc163290b8478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5383</xdr:row>
      <xdr:rowOff>19050</xdr:rowOff>
    </xdr:from>
    <xdr:ext cx="1143000" cy="1143000"/>
    <xdr:pic>
      <xdr:nvPicPr>
        <xdr:cNvPr id="5381" name="367d8fce-cec6-476b-b98a-6012d04aadf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3ea1c1b5a36464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5384</xdr:row>
      <xdr:rowOff>19050</xdr:rowOff>
    </xdr:from>
    <xdr:ext cx="1143000" cy="1143000"/>
    <xdr:pic>
      <xdr:nvPicPr>
        <xdr:cNvPr id="5382" name="eb2ccf5e-b04c-46bf-a1c5-8b5eafadbea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667b12b75ab471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5385</xdr:row>
      <xdr:rowOff>19050</xdr:rowOff>
    </xdr:from>
    <xdr:ext cx="1143000" cy="1143000"/>
    <xdr:pic>
      <xdr:nvPicPr>
        <xdr:cNvPr id="5383" name="d3882a07-6950-4e57-ba49-775d5a4f4ea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e1371ac2a8545b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5386</xdr:row>
      <xdr:rowOff>19050</xdr:rowOff>
    </xdr:from>
    <xdr:ext cx="1143000" cy="1143000"/>
    <xdr:pic>
      <xdr:nvPicPr>
        <xdr:cNvPr id="5384" name="fc08cbb0-3340-4786-8cdc-4249ec15ecf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9761f8bc64f41a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5387</xdr:row>
      <xdr:rowOff>19050</xdr:rowOff>
    </xdr:from>
    <xdr:ext cx="1143000" cy="1143000"/>
    <xdr:pic>
      <xdr:nvPicPr>
        <xdr:cNvPr id="5385" name="79952eb6-ab74-44a8-90e3-0cc92697767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38575a7f8f543b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5388</xdr:row>
      <xdr:rowOff>19050</xdr:rowOff>
    </xdr:from>
    <xdr:ext cx="1143000" cy="1143000"/>
    <xdr:pic>
      <xdr:nvPicPr>
        <xdr:cNvPr id="5386" name="d73736af-7360-4e76-bdf3-a8a54bdeda3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f4d902bf6ef475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5389</xdr:row>
      <xdr:rowOff>19050</xdr:rowOff>
    </xdr:from>
    <xdr:ext cx="1143000" cy="1143000"/>
    <xdr:pic>
      <xdr:nvPicPr>
        <xdr:cNvPr id="5387" name="41ccff06-3233-47e8-acfa-1f666903e66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4b84f2932cb4fb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5390</xdr:row>
      <xdr:rowOff>19050</xdr:rowOff>
    </xdr:from>
    <xdr:ext cx="1143000" cy="1143000"/>
    <xdr:pic>
      <xdr:nvPicPr>
        <xdr:cNvPr id="5388" name="ec1cb390-f40e-435b-8190-2794774a883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1f0718a2d8c49d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5391</xdr:row>
      <xdr:rowOff>19050</xdr:rowOff>
    </xdr:from>
    <xdr:ext cx="1143000" cy="1143000"/>
    <xdr:pic>
      <xdr:nvPicPr>
        <xdr:cNvPr id="5389" name="a7cb7584-2937-443d-b890-9f79269a3db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e6f6bf1defb48a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5392</xdr:row>
      <xdr:rowOff>19050</xdr:rowOff>
    </xdr:from>
    <xdr:ext cx="1143000" cy="1143000"/>
    <xdr:pic>
      <xdr:nvPicPr>
        <xdr:cNvPr id="5390" name="4ac701d8-2b0f-47bc-a721-b37c6910c8c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2f9b46f0b5e491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5393</xdr:row>
      <xdr:rowOff>19050</xdr:rowOff>
    </xdr:from>
    <xdr:ext cx="1143000" cy="1143000"/>
    <xdr:pic>
      <xdr:nvPicPr>
        <xdr:cNvPr id="5391" name="89e5a5c2-0ac0-46fd-9056-ae869f12139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5643bea2a94460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5394</xdr:row>
      <xdr:rowOff>19050</xdr:rowOff>
    </xdr:from>
    <xdr:ext cx="1143000" cy="1143000"/>
    <xdr:pic>
      <xdr:nvPicPr>
        <xdr:cNvPr id="5392" name="fd149bea-a935-4c45-ae62-4c2c9aac5da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27b7ba729d64ac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5395</xdr:row>
      <xdr:rowOff>19050</xdr:rowOff>
    </xdr:from>
    <xdr:ext cx="1143000" cy="1143000"/>
    <xdr:pic>
      <xdr:nvPicPr>
        <xdr:cNvPr id="5393" name="09414e6b-8cc8-409d-a2e3-5061c79d674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db7a8ab200d4a7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5396</xdr:row>
      <xdr:rowOff>19050</xdr:rowOff>
    </xdr:from>
    <xdr:ext cx="1143000" cy="1143000"/>
    <xdr:pic>
      <xdr:nvPicPr>
        <xdr:cNvPr id="5394" name="5b5cd669-b121-42a8-97e8-e393e217d8d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94388a95fed4f6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5397</xdr:row>
      <xdr:rowOff>19050</xdr:rowOff>
    </xdr:from>
    <xdr:ext cx="1143000" cy="1143000"/>
    <xdr:pic>
      <xdr:nvPicPr>
        <xdr:cNvPr id="5395" name="c222c23a-5d3d-4d71-a2ba-03f45d2a220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7e9e447ab13408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5398</xdr:row>
      <xdr:rowOff>19050</xdr:rowOff>
    </xdr:from>
    <xdr:ext cx="1143000" cy="1143000"/>
    <xdr:pic>
      <xdr:nvPicPr>
        <xdr:cNvPr id="5396" name="b84f8f65-2576-42fd-8264-00c67171cfa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835e601f540492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5399</xdr:row>
      <xdr:rowOff>19050</xdr:rowOff>
    </xdr:from>
    <xdr:ext cx="1143000" cy="1143000"/>
    <xdr:pic>
      <xdr:nvPicPr>
        <xdr:cNvPr id="5397" name="cf8aa1e9-e6e0-4491-a383-ad25e0f97cb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0fc791ab2c44e7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5400</xdr:row>
      <xdr:rowOff>19050</xdr:rowOff>
    </xdr:from>
    <xdr:ext cx="1143000" cy="1143000"/>
    <xdr:pic>
      <xdr:nvPicPr>
        <xdr:cNvPr id="5398" name="b998b429-e596-4d8d-ad9d-3fd307e8659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e093b7491214f6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5401</xdr:row>
      <xdr:rowOff>19050</xdr:rowOff>
    </xdr:from>
    <xdr:ext cx="1143000" cy="1143000"/>
    <xdr:pic>
      <xdr:nvPicPr>
        <xdr:cNvPr id="5399" name="4a955476-37bf-4994-bd1a-97e7c748aec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1993d79b3264ad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5402</xdr:row>
      <xdr:rowOff>19050</xdr:rowOff>
    </xdr:from>
    <xdr:ext cx="1143000" cy="1143000"/>
    <xdr:pic>
      <xdr:nvPicPr>
        <xdr:cNvPr id="5400" name="c548ac0e-7317-48c3-a0bd-ec6f2a3433c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f9c6e12e1d246e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5403</xdr:row>
      <xdr:rowOff>19050</xdr:rowOff>
    </xdr:from>
    <xdr:ext cx="1143000" cy="1143000"/>
    <xdr:pic>
      <xdr:nvPicPr>
        <xdr:cNvPr id="5401" name="24b33faf-31d7-48bb-aee3-1b44a6aef52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cd755005e97433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5404</xdr:row>
      <xdr:rowOff>19050</xdr:rowOff>
    </xdr:from>
    <xdr:ext cx="1143000" cy="1143000"/>
    <xdr:pic>
      <xdr:nvPicPr>
        <xdr:cNvPr id="5402" name="67e4a103-f6d0-48c7-a132-ad86b05887d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f4dda86f11044d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5405</xdr:row>
      <xdr:rowOff>19050</xdr:rowOff>
    </xdr:from>
    <xdr:ext cx="1143000" cy="1143000"/>
    <xdr:pic>
      <xdr:nvPicPr>
        <xdr:cNvPr id="5403" name="abd66e1c-d0ea-452d-ab7c-8737e734a01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2d72ac95f7549c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5406</xdr:row>
      <xdr:rowOff>19050</xdr:rowOff>
    </xdr:from>
    <xdr:ext cx="1143000" cy="1143000"/>
    <xdr:pic>
      <xdr:nvPicPr>
        <xdr:cNvPr id="5404" name="9a904120-633a-4c36-8e33-793fb0d3c92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9f84030af034a6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5407</xdr:row>
      <xdr:rowOff>19050</xdr:rowOff>
    </xdr:from>
    <xdr:ext cx="1143000" cy="1143000"/>
    <xdr:pic>
      <xdr:nvPicPr>
        <xdr:cNvPr id="5405" name="80885b9b-cdd9-4abf-bbe7-a1e18256ce0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163c6d0757b451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5408</xdr:row>
      <xdr:rowOff>19050</xdr:rowOff>
    </xdr:from>
    <xdr:ext cx="1143000" cy="1143000"/>
    <xdr:pic>
      <xdr:nvPicPr>
        <xdr:cNvPr id="5406" name="2561d2b9-8042-479e-916a-90a2790cbd6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7c078c86eae43e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5409</xdr:row>
      <xdr:rowOff>19050</xdr:rowOff>
    </xdr:from>
    <xdr:ext cx="1143000" cy="1143000"/>
    <xdr:pic>
      <xdr:nvPicPr>
        <xdr:cNvPr id="5407" name="c9824e16-eaa2-48c9-8491-c4147377f89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249d5390484484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5410</xdr:row>
      <xdr:rowOff>19050</xdr:rowOff>
    </xdr:from>
    <xdr:ext cx="1143000" cy="1143000"/>
    <xdr:pic>
      <xdr:nvPicPr>
        <xdr:cNvPr id="5408" name="43728184-bbfc-4723-aece-f2359e6d9c7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ddaab89307a4a3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5411</xdr:row>
      <xdr:rowOff>19050</xdr:rowOff>
    </xdr:from>
    <xdr:ext cx="1143000" cy="1143000"/>
    <xdr:pic>
      <xdr:nvPicPr>
        <xdr:cNvPr id="5409" name="9f2c1cf0-2e62-4b25-9ff5-b9f19fa2483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7afbf01af954d4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5412</xdr:row>
      <xdr:rowOff>19050</xdr:rowOff>
    </xdr:from>
    <xdr:ext cx="1143000" cy="1143000"/>
    <xdr:pic>
      <xdr:nvPicPr>
        <xdr:cNvPr id="5410" name="8b6df48c-fcb3-4f34-b633-ef1b2161a9d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f43fb78bbf346b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5413</xdr:row>
      <xdr:rowOff>19050</xdr:rowOff>
    </xdr:from>
    <xdr:ext cx="1143000" cy="1143000"/>
    <xdr:pic>
      <xdr:nvPicPr>
        <xdr:cNvPr id="5411" name="aa5f5cc2-9c4e-4bc8-9044-a46238ddd36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bc6aa3d189f4cb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5414</xdr:row>
      <xdr:rowOff>19050</xdr:rowOff>
    </xdr:from>
    <xdr:ext cx="1143000" cy="1143000"/>
    <xdr:pic>
      <xdr:nvPicPr>
        <xdr:cNvPr id="5412" name="fdc0a435-4037-42bb-bcaf-c99baa9f096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ce77752c89a486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5415</xdr:row>
      <xdr:rowOff>19050</xdr:rowOff>
    </xdr:from>
    <xdr:ext cx="1143000" cy="1143000"/>
    <xdr:pic>
      <xdr:nvPicPr>
        <xdr:cNvPr id="5413" name="ff8d04e4-2767-47b5-b164-d45a3dc0c2e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ea761bd113943d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5416</xdr:row>
      <xdr:rowOff>19050</xdr:rowOff>
    </xdr:from>
    <xdr:ext cx="1143000" cy="1143000"/>
    <xdr:pic>
      <xdr:nvPicPr>
        <xdr:cNvPr id="5414" name="b46e3d20-3310-419a-9942-7b7f83a0a08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17215061012472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5417</xdr:row>
      <xdr:rowOff>19050</xdr:rowOff>
    </xdr:from>
    <xdr:ext cx="1143000" cy="1143000"/>
    <xdr:pic>
      <xdr:nvPicPr>
        <xdr:cNvPr id="5415" name="48d38df7-6b48-432a-84ef-758494726de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a42ef2de358469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5418</xdr:row>
      <xdr:rowOff>19050</xdr:rowOff>
    </xdr:from>
    <xdr:ext cx="1143000" cy="1143000"/>
    <xdr:pic>
      <xdr:nvPicPr>
        <xdr:cNvPr id="5416" name="28425aa5-50e4-4b1d-835b-f6568425c60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79d8379b5ae41f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5419</xdr:row>
      <xdr:rowOff>19050</xdr:rowOff>
    </xdr:from>
    <xdr:ext cx="1143000" cy="1143000"/>
    <xdr:pic>
      <xdr:nvPicPr>
        <xdr:cNvPr id="5417" name="466ad752-e9d6-4600-9f60-0c05cf04054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b35467a27294e2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5420</xdr:row>
      <xdr:rowOff>19050</xdr:rowOff>
    </xdr:from>
    <xdr:ext cx="1143000" cy="1143000"/>
    <xdr:pic>
      <xdr:nvPicPr>
        <xdr:cNvPr id="5418" name="66892436-10df-4297-9e81-d55fe5f9b3d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3e19dfa472442b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5421</xdr:row>
      <xdr:rowOff>19050</xdr:rowOff>
    </xdr:from>
    <xdr:ext cx="1143000" cy="1143000"/>
    <xdr:pic>
      <xdr:nvPicPr>
        <xdr:cNvPr id="5419" name="a8b90ce6-f4ef-44ca-9ceb-652d27ad346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307fcbec3f3495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5422</xdr:row>
      <xdr:rowOff>19050</xdr:rowOff>
    </xdr:from>
    <xdr:ext cx="1143000" cy="1143000"/>
    <xdr:pic>
      <xdr:nvPicPr>
        <xdr:cNvPr id="5420" name="2c0c05ee-f4fa-49f9-a890-48c324ed58e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c677a9ed0c0419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5423</xdr:row>
      <xdr:rowOff>19050</xdr:rowOff>
    </xdr:from>
    <xdr:ext cx="1143000" cy="1143000"/>
    <xdr:pic>
      <xdr:nvPicPr>
        <xdr:cNvPr id="5421" name="0e8e86cb-97fa-4144-93dd-0c9435522cf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51b5f18efa1423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5424</xdr:row>
      <xdr:rowOff>19050</xdr:rowOff>
    </xdr:from>
    <xdr:ext cx="1143000" cy="1143000"/>
    <xdr:pic>
      <xdr:nvPicPr>
        <xdr:cNvPr id="5422" name="d5fdf8a1-133a-4bcd-ac95-f25c2f69a64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68daae8994b4c9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5425</xdr:row>
      <xdr:rowOff>19050</xdr:rowOff>
    </xdr:from>
    <xdr:ext cx="1143000" cy="1143000"/>
    <xdr:pic>
      <xdr:nvPicPr>
        <xdr:cNvPr id="5423" name="55c1292d-43e2-4019-a0e8-d4310211956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066d836f674477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5426</xdr:row>
      <xdr:rowOff>19050</xdr:rowOff>
    </xdr:from>
    <xdr:ext cx="1143000" cy="1143000"/>
    <xdr:pic>
      <xdr:nvPicPr>
        <xdr:cNvPr id="5424" name="b4c3ced2-df63-4fe6-a372-29ee3c8a1b8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1aa2846bba048a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5427</xdr:row>
      <xdr:rowOff>19050</xdr:rowOff>
    </xdr:from>
    <xdr:ext cx="1143000" cy="1143000"/>
    <xdr:pic>
      <xdr:nvPicPr>
        <xdr:cNvPr id="5425" name="8f2aa5f5-f15e-4450-89e0-b12df37959e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c059202334e4d6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5428</xdr:row>
      <xdr:rowOff>19050</xdr:rowOff>
    </xdr:from>
    <xdr:ext cx="1143000" cy="1143000"/>
    <xdr:pic>
      <xdr:nvPicPr>
        <xdr:cNvPr id="5426" name="7ff104b5-68cf-400a-80e4-50020c57bcf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f2dcd86f54e446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5429</xdr:row>
      <xdr:rowOff>19050</xdr:rowOff>
    </xdr:from>
    <xdr:ext cx="1143000" cy="1143000"/>
    <xdr:pic>
      <xdr:nvPicPr>
        <xdr:cNvPr id="5427" name="58256a96-cbf2-4ae6-8834-72ebfe36b0b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d8338b903bd44b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5430</xdr:row>
      <xdr:rowOff>19050</xdr:rowOff>
    </xdr:from>
    <xdr:ext cx="1143000" cy="1143000"/>
    <xdr:pic>
      <xdr:nvPicPr>
        <xdr:cNvPr id="5428" name="4feb701c-c882-4c24-ad64-fd53cc2ef5d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5e25035a878479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5431</xdr:row>
      <xdr:rowOff>19050</xdr:rowOff>
    </xdr:from>
    <xdr:ext cx="1143000" cy="1143000"/>
    <xdr:pic>
      <xdr:nvPicPr>
        <xdr:cNvPr id="5429" name="c8f5099f-53d5-4c91-be6f-7e113333d9c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b2615b33e464e5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5432</xdr:row>
      <xdr:rowOff>19050</xdr:rowOff>
    </xdr:from>
    <xdr:ext cx="1143000" cy="1143000"/>
    <xdr:pic>
      <xdr:nvPicPr>
        <xdr:cNvPr id="5430" name="8a090121-222d-4bbc-a5e8-5b048f43fa0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11932a88706451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5433</xdr:row>
      <xdr:rowOff>19050</xdr:rowOff>
    </xdr:from>
    <xdr:ext cx="1143000" cy="1143000"/>
    <xdr:pic>
      <xdr:nvPicPr>
        <xdr:cNvPr id="5431" name="2d4f2dac-9672-42f5-b532-823574dc98e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7f009fd6d21461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5434</xdr:row>
      <xdr:rowOff>19050</xdr:rowOff>
    </xdr:from>
    <xdr:ext cx="1143000" cy="1143000"/>
    <xdr:pic>
      <xdr:nvPicPr>
        <xdr:cNvPr id="5432" name="399dfbee-1551-4fb8-aea9-8e0885fd3b9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ccd73cf4e3749b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5435</xdr:row>
      <xdr:rowOff>19050</xdr:rowOff>
    </xdr:from>
    <xdr:ext cx="1143000" cy="1143000"/>
    <xdr:pic>
      <xdr:nvPicPr>
        <xdr:cNvPr id="5433" name="bb1966f8-83bb-48d4-a5a9-89dcca71d29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ff3c3ce52e84fd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5436</xdr:row>
      <xdr:rowOff>19050</xdr:rowOff>
    </xdr:from>
    <xdr:ext cx="1143000" cy="1143000"/>
    <xdr:pic>
      <xdr:nvPicPr>
        <xdr:cNvPr id="5434" name="93bd3455-9332-4de8-aab0-8ed7411977e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b089a5995584db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5437</xdr:row>
      <xdr:rowOff>19050</xdr:rowOff>
    </xdr:from>
    <xdr:ext cx="1143000" cy="1143000"/>
    <xdr:pic>
      <xdr:nvPicPr>
        <xdr:cNvPr id="5435" name="a1c3e3f1-062e-4f13-8a68-b35529fe796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ca7c2bf3d2e493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5438</xdr:row>
      <xdr:rowOff>19050</xdr:rowOff>
    </xdr:from>
    <xdr:ext cx="1143000" cy="1143000"/>
    <xdr:pic>
      <xdr:nvPicPr>
        <xdr:cNvPr id="5436" name="ec545ae7-7652-4d76-849b-d913b155d1a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c82a7cdaaa14f6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5439</xdr:row>
      <xdr:rowOff>19050</xdr:rowOff>
    </xdr:from>
    <xdr:ext cx="1143000" cy="1143000"/>
    <xdr:pic>
      <xdr:nvPicPr>
        <xdr:cNvPr id="5437" name="a8765fcb-84b6-4da1-b8b6-8a13aa68127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d6a1592fa17478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5440</xdr:row>
      <xdr:rowOff>19050</xdr:rowOff>
    </xdr:from>
    <xdr:ext cx="1143000" cy="1143000"/>
    <xdr:pic>
      <xdr:nvPicPr>
        <xdr:cNvPr id="5438" name="611a06ef-3065-411e-b35a-aa3a9459864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2471b57d46c482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5441</xdr:row>
      <xdr:rowOff>19050</xdr:rowOff>
    </xdr:from>
    <xdr:ext cx="1143000" cy="1143000"/>
    <xdr:pic>
      <xdr:nvPicPr>
        <xdr:cNvPr id="5439" name="66933c36-7731-491e-a809-786736ed5e6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261558a67e4463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5442</xdr:row>
      <xdr:rowOff>19050</xdr:rowOff>
    </xdr:from>
    <xdr:ext cx="1143000" cy="1143000"/>
    <xdr:pic>
      <xdr:nvPicPr>
        <xdr:cNvPr id="5440" name="8a5edc51-50fe-4c97-8e0b-701cc90dc3e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a44c10e24a1457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5443</xdr:row>
      <xdr:rowOff>19050</xdr:rowOff>
    </xdr:from>
    <xdr:ext cx="1143000" cy="1143000"/>
    <xdr:pic>
      <xdr:nvPicPr>
        <xdr:cNvPr id="5441" name="3e550bd5-ff61-4e6b-a11a-c9fe284c7b7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e82d7797b964c9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5444</xdr:row>
      <xdr:rowOff>19050</xdr:rowOff>
    </xdr:from>
    <xdr:ext cx="1143000" cy="1143000"/>
    <xdr:pic>
      <xdr:nvPicPr>
        <xdr:cNvPr id="5442" name="0635d95c-792f-4670-b193-964351271f7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31e1c83448d437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5445</xdr:row>
      <xdr:rowOff>19050</xdr:rowOff>
    </xdr:from>
    <xdr:ext cx="1143000" cy="1143000"/>
    <xdr:pic>
      <xdr:nvPicPr>
        <xdr:cNvPr id="5443" name="daf55530-ff22-4940-be7e-c116c581fbd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e487762bcd047b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5446</xdr:row>
      <xdr:rowOff>19050</xdr:rowOff>
    </xdr:from>
    <xdr:ext cx="1143000" cy="1143000"/>
    <xdr:pic>
      <xdr:nvPicPr>
        <xdr:cNvPr id="5444" name="118c09c7-b959-4da5-9069-f86a68682bb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a7544871afd498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5447</xdr:row>
      <xdr:rowOff>19050</xdr:rowOff>
    </xdr:from>
    <xdr:ext cx="1143000" cy="1143000"/>
    <xdr:pic>
      <xdr:nvPicPr>
        <xdr:cNvPr id="5445" name="5007c8dd-e11f-40fc-b790-5adcefcb583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a7d2d6305cd4ca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5448</xdr:row>
      <xdr:rowOff>19050</xdr:rowOff>
    </xdr:from>
    <xdr:ext cx="1143000" cy="1143000"/>
    <xdr:pic>
      <xdr:nvPicPr>
        <xdr:cNvPr id="5446" name="0da87086-8f12-48c5-81d8-cba375cb870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5abac68aae045e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5449</xdr:row>
      <xdr:rowOff>19050</xdr:rowOff>
    </xdr:from>
    <xdr:ext cx="1143000" cy="1143000"/>
    <xdr:pic>
      <xdr:nvPicPr>
        <xdr:cNvPr id="5447" name="999d6dc3-5a0e-4e3e-ae55-8519263813a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5ffbfa7654b448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5450</xdr:row>
      <xdr:rowOff>19050</xdr:rowOff>
    </xdr:from>
    <xdr:ext cx="1143000" cy="1143000"/>
    <xdr:pic>
      <xdr:nvPicPr>
        <xdr:cNvPr id="5448" name="20551ead-2525-4639-8249-f1226ef7f1c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1f4579a44294a3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5451</xdr:row>
      <xdr:rowOff>19050</xdr:rowOff>
    </xdr:from>
    <xdr:ext cx="1143000" cy="1143000"/>
    <xdr:pic>
      <xdr:nvPicPr>
        <xdr:cNvPr id="5449" name="1c99d230-a310-4d1e-90a4-43b07801ed3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a474c3b34094ad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5452</xdr:row>
      <xdr:rowOff>19050</xdr:rowOff>
    </xdr:from>
    <xdr:ext cx="1143000" cy="1143000"/>
    <xdr:pic>
      <xdr:nvPicPr>
        <xdr:cNvPr id="5450" name="8c8f11af-ead9-49ef-8b7e-670c770ce4d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4e7a3fbf0534b8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5453</xdr:row>
      <xdr:rowOff>19050</xdr:rowOff>
    </xdr:from>
    <xdr:ext cx="1143000" cy="1143000"/>
    <xdr:pic>
      <xdr:nvPicPr>
        <xdr:cNvPr id="5451" name="4a698b0c-4cb0-4d16-8c3c-89bdb804338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defc0a9149f406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5454</xdr:row>
      <xdr:rowOff>19050</xdr:rowOff>
    </xdr:from>
    <xdr:ext cx="1143000" cy="1143000"/>
    <xdr:pic>
      <xdr:nvPicPr>
        <xdr:cNvPr id="5452" name="f7bece9d-f5b0-464a-b1db-ad5a42fe523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c592f17e4894a4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5455</xdr:row>
      <xdr:rowOff>19050</xdr:rowOff>
    </xdr:from>
    <xdr:ext cx="1143000" cy="1143000"/>
    <xdr:pic>
      <xdr:nvPicPr>
        <xdr:cNvPr id="5453" name="1125dc61-9f14-4df6-b697-dac954e7048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697b724b5e241e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5456</xdr:row>
      <xdr:rowOff>19050</xdr:rowOff>
    </xdr:from>
    <xdr:ext cx="1143000" cy="1143000"/>
    <xdr:pic>
      <xdr:nvPicPr>
        <xdr:cNvPr id="5454" name="d94f3411-d276-417c-8caf-ca4c70b6432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b0c6799627a49e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5457</xdr:row>
      <xdr:rowOff>19050</xdr:rowOff>
    </xdr:from>
    <xdr:ext cx="1143000" cy="1143000"/>
    <xdr:pic>
      <xdr:nvPicPr>
        <xdr:cNvPr id="5455" name="60944796-9f0a-4d2a-b6bc-b11e93af2f8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14c0c699d6e41b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5458</xdr:row>
      <xdr:rowOff>19050</xdr:rowOff>
    </xdr:from>
    <xdr:ext cx="1143000" cy="1143000"/>
    <xdr:pic>
      <xdr:nvPicPr>
        <xdr:cNvPr id="5456" name="18f663ad-200a-44e3-ae4e-21e006c9ef9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e0df6ef484e431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5459</xdr:row>
      <xdr:rowOff>19050</xdr:rowOff>
    </xdr:from>
    <xdr:ext cx="1143000" cy="1143000"/>
    <xdr:pic>
      <xdr:nvPicPr>
        <xdr:cNvPr id="5457" name="6b80cafb-6f49-4179-91ea-8b7cc99cd82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1db0eabe0e048b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5460</xdr:row>
      <xdr:rowOff>19050</xdr:rowOff>
    </xdr:from>
    <xdr:ext cx="1143000" cy="1143000"/>
    <xdr:pic>
      <xdr:nvPicPr>
        <xdr:cNvPr id="5458" name="85fa9b23-db73-4cc2-a413-9706049d6c4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bef719714214dc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5461</xdr:row>
      <xdr:rowOff>19050</xdr:rowOff>
    </xdr:from>
    <xdr:ext cx="1143000" cy="1143000"/>
    <xdr:pic>
      <xdr:nvPicPr>
        <xdr:cNvPr id="5459" name="5dd5be2c-c4d3-4dcc-8ff3-fa6ed4c1720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01ae06c1fec450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5462</xdr:row>
      <xdr:rowOff>19050</xdr:rowOff>
    </xdr:from>
    <xdr:ext cx="1143000" cy="1143000"/>
    <xdr:pic>
      <xdr:nvPicPr>
        <xdr:cNvPr id="5460" name="4acf1a1c-d5d7-467d-843f-c4a6540ccba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66649f958364ea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5463</xdr:row>
      <xdr:rowOff>19050</xdr:rowOff>
    </xdr:from>
    <xdr:ext cx="1143000" cy="1143000"/>
    <xdr:pic>
      <xdr:nvPicPr>
        <xdr:cNvPr id="5461" name="0902af0d-e96d-4958-a58c-a31d8686727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2958e05b8764b6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5464</xdr:row>
      <xdr:rowOff>19050</xdr:rowOff>
    </xdr:from>
    <xdr:ext cx="1143000" cy="1143000"/>
    <xdr:pic>
      <xdr:nvPicPr>
        <xdr:cNvPr id="5462" name="a726f8e8-96e1-41e9-82ed-ae426460b8c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c5cda15fa714d2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5465</xdr:row>
      <xdr:rowOff>19050</xdr:rowOff>
    </xdr:from>
    <xdr:ext cx="1143000" cy="1143000"/>
    <xdr:pic>
      <xdr:nvPicPr>
        <xdr:cNvPr id="5463" name="add2720e-7843-4b22-a9a5-7e6e6fb3337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1b178345dec4d5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5466</xdr:row>
      <xdr:rowOff>19050</xdr:rowOff>
    </xdr:from>
    <xdr:ext cx="1143000" cy="1143000"/>
    <xdr:pic>
      <xdr:nvPicPr>
        <xdr:cNvPr id="5464" name="91476a11-3591-4668-993f-29242294202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7e07e26592241f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5467</xdr:row>
      <xdr:rowOff>19050</xdr:rowOff>
    </xdr:from>
    <xdr:ext cx="1143000" cy="1143000"/>
    <xdr:pic>
      <xdr:nvPicPr>
        <xdr:cNvPr id="5465" name="262f64c5-f150-4eaa-abaf-7aed64dcb96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72e63b964ce42f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5468</xdr:row>
      <xdr:rowOff>19050</xdr:rowOff>
    </xdr:from>
    <xdr:ext cx="1143000" cy="1143000"/>
    <xdr:pic>
      <xdr:nvPicPr>
        <xdr:cNvPr id="5466" name="1817c369-43e2-40f3-82ba-91429de12c9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2391c37486841e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5469</xdr:row>
      <xdr:rowOff>19050</xdr:rowOff>
    </xdr:from>
    <xdr:ext cx="1143000" cy="1143000"/>
    <xdr:pic>
      <xdr:nvPicPr>
        <xdr:cNvPr id="5467" name="64d4a3b5-67cc-4b33-b1e9-36dea15fb45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04468c25cb0493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5470</xdr:row>
      <xdr:rowOff>19050</xdr:rowOff>
    </xdr:from>
    <xdr:ext cx="1143000" cy="1143000"/>
    <xdr:pic>
      <xdr:nvPicPr>
        <xdr:cNvPr id="5468" name="546ed33e-425c-4994-8d77-9f4d7b4fc9f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c18ce4fa58046b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5471</xdr:row>
      <xdr:rowOff>19050</xdr:rowOff>
    </xdr:from>
    <xdr:ext cx="1143000" cy="1143000"/>
    <xdr:pic>
      <xdr:nvPicPr>
        <xdr:cNvPr id="5469" name="7bd85338-1024-4c87-a847-d28aa4af79d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86ad295c3b8477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5472</xdr:row>
      <xdr:rowOff>19050</xdr:rowOff>
    </xdr:from>
    <xdr:ext cx="1143000" cy="1143000"/>
    <xdr:pic>
      <xdr:nvPicPr>
        <xdr:cNvPr id="5470" name="1078e5e8-7e0e-4e76-ac99-7ffd1c58ba3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ae5a4dfb352462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5473</xdr:row>
      <xdr:rowOff>19050</xdr:rowOff>
    </xdr:from>
    <xdr:ext cx="1143000" cy="1143000"/>
    <xdr:pic>
      <xdr:nvPicPr>
        <xdr:cNvPr id="5471" name="f29551ee-268f-4c0c-8663-7110fe6bdef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d7895d85bd1429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5474</xdr:row>
      <xdr:rowOff>19050</xdr:rowOff>
    </xdr:from>
    <xdr:ext cx="1143000" cy="1143000"/>
    <xdr:pic>
      <xdr:nvPicPr>
        <xdr:cNvPr id="5472" name="df9c7cd1-ca4f-4b3d-8187-47e09a70616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ecdd52b305e4d0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5475</xdr:row>
      <xdr:rowOff>19050</xdr:rowOff>
    </xdr:from>
    <xdr:ext cx="1143000" cy="1143000"/>
    <xdr:pic>
      <xdr:nvPicPr>
        <xdr:cNvPr id="5473" name="6dcb67bf-ba73-4d2b-a416-e0ea1799742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a55937f1096444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5476</xdr:row>
      <xdr:rowOff>19050</xdr:rowOff>
    </xdr:from>
    <xdr:ext cx="1143000" cy="1143000"/>
    <xdr:pic>
      <xdr:nvPicPr>
        <xdr:cNvPr id="5474" name="f7a96be2-4582-4b8e-855b-454368ebce7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796e4d50ef14f2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5477</xdr:row>
      <xdr:rowOff>19050</xdr:rowOff>
    </xdr:from>
    <xdr:ext cx="1143000" cy="1143000"/>
    <xdr:pic>
      <xdr:nvPicPr>
        <xdr:cNvPr id="5475" name="51d04cf9-9cfa-49bd-be48-99103d23748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336306a0def4c1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5478</xdr:row>
      <xdr:rowOff>19050</xdr:rowOff>
    </xdr:from>
    <xdr:ext cx="1143000" cy="1143000"/>
    <xdr:pic>
      <xdr:nvPicPr>
        <xdr:cNvPr id="5476" name="0c384482-6537-48ef-a71f-9d0baeb87b9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dbe871fdfa9435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5479</xdr:row>
      <xdr:rowOff>19050</xdr:rowOff>
    </xdr:from>
    <xdr:ext cx="1143000" cy="1143000"/>
    <xdr:pic>
      <xdr:nvPicPr>
        <xdr:cNvPr id="5477" name="ded56123-2fbd-433b-830e-d17ec86367d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31604015537433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5480</xdr:row>
      <xdr:rowOff>19050</xdr:rowOff>
    </xdr:from>
    <xdr:ext cx="1143000" cy="1143000"/>
    <xdr:pic>
      <xdr:nvPicPr>
        <xdr:cNvPr id="5478" name="ef7e3b7b-5ad3-4b2c-b357-41518d1c502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f8f8fce9307434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5481</xdr:row>
      <xdr:rowOff>19050</xdr:rowOff>
    </xdr:from>
    <xdr:ext cx="1143000" cy="1143000"/>
    <xdr:pic>
      <xdr:nvPicPr>
        <xdr:cNvPr id="5479" name="a73bf0f6-1658-44b9-b631-8a5ac3836d5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9afae4b0ed7410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5482</xdr:row>
      <xdr:rowOff>19050</xdr:rowOff>
    </xdr:from>
    <xdr:ext cx="1143000" cy="1143000"/>
    <xdr:pic>
      <xdr:nvPicPr>
        <xdr:cNvPr id="5480" name="8008abeb-9e63-4eab-8bd7-5d4cc7ba1fc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73ce475be4741f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5483</xdr:row>
      <xdr:rowOff>19050</xdr:rowOff>
    </xdr:from>
    <xdr:ext cx="1143000" cy="1143000"/>
    <xdr:pic>
      <xdr:nvPicPr>
        <xdr:cNvPr id="5481" name="012ff1e9-305a-4fe6-bcdf-081cd177ce0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ba722e75b814f5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5484</xdr:row>
      <xdr:rowOff>19050</xdr:rowOff>
    </xdr:from>
    <xdr:ext cx="1143000" cy="1143000"/>
    <xdr:pic>
      <xdr:nvPicPr>
        <xdr:cNvPr id="5482" name="51caf98f-37ff-4fd5-8c75-03caf32ba38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8381ec118ec48f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5485</xdr:row>
      <xdr:rowOff>19050</xdr:rowOff>
    </xdr:from>
    <xdr:ext cx="1143000" cy="1143000"/>
    <xdr:pic>
      <xdr:nvPicPr>
        <xdr:cNvPr id="5483" name="ba85a22b-8a17-4c0e-9c77-b62d8280216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f694c867b294b3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5486</xdr:row>
      <xdr:rowOff>19050</xdr:rowOff>
    </xdr:from>
    <xdr:ext cx="1143000" cy="1143000"/>
    <xdr:pic>
      <xdr:nvPicPr>
        <xdr:cNvPr id="5484" name="246215cb-34f5-47ee-b065-cb8549ca4d0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d17c0d04e07408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5487</xdr:row>
      <xdr:rowOff>19050</xdr:rowOff>
    </xdr:from>
    <xdr:ext cx="1143000" cy="1143000"/>
    <xdr:pic>
      <xdr:nvPicPr>
        <xdr:cNvPr id="5485" name="deb4e8b2-5478-481c-a363-ea16252e1df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a86ec26a50345e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5488</xdr:row>
      <xdr:rowOff>19050</xdr:rowOff>
    </xdr:from>
    <xdr:ext cx="1143000" cy="1143000"/>
    <xdr:pic>
      <xdr:nvPicPr>
        <xdr:cNvPr id="5486" name="019f8f88-8ad3-4851-8dcd-2b7c6676984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8a8ea0d5d684e1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5489</xdr:row>
      <xdr:rowOff>19050</xdr:rowOff>
    </xdr:from>
    <xdr:ext cx="1143000" cy="1143000"/>
    <xdr:pic>
      <xdr:nvPicPr>
        <xdr:cNvPr id="5487" name="8b2eb020-2a77-45fc-8ff1-7875651a4e6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e28d90e32a9437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5490</xdr:row>
      <xdr:rowOff>19050</xdr:rowOff>
    </xdr:from>
    <xdr:ext cx="1143000" cy="1143000"/>
    <xdr:pic>
      <xdr:nvPicPr>
        <xdr:cNvPr id="5488" name="50c53b79-fe21-429e-a362-c438f129923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ecb2219e5a8434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5491</xdr:row>
      <xdr:rowOff>19050</xdr:rowOff>
    </xdr:from>
    <xdr:ext cx="1143000" cy="1143000"/>
    <xdr:pic>
      <xdr:nvPicPr>
        <xdr:cNvPr id="5489" name="756388ff-aac6-4469-adc9-646a66a8261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ac90e17a2ca412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5492</xdr:row>
      <xdr:rowOff>19050</xdr:rowOff>
    </xdr:from>
    <xdr:ext cx="1143000" cy="1143000"/>
    <xdr:pic>
      <xdr:nvPicPr>
        <xdr:cNvPr id="5490" name="18561ffc-e47d-4305-8469-6809ed134e4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113f2cef7e84f8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5493</xdr:row>
      <xdr:rowOff>19050</xdr:rowOff>
    </xdr:from>
    <xdr:ext cx="1143000" cy="1143000"/>
    <xdr:pic>
      <xdr:nvPicPr>
        <xdr:cNvPr id="5491" name="1c3c14eb-0626-46a4-a85d-4a72ed929c7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534ebde4fa842b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5494</xdr:row>
      <xdr:rowOff>19050</xdr:rowOff>
    </xdr:from>
    <xdr:ext cx="1143000" cy="1143000"/>
    <xdr:pic>
      <xdr:nvPicPr>
        <xdr:cNvPr id="5492" name="eb2596b5-a057-4949-9831-3bfe1c8fa5f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36c1f25e5844a6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5495</xdr:row>
      <xdr:rowOff>19050</xdr:rowOff>
    </xdr:from>
    <xdr:ext cx="1143000" cy="1143000"/>
    <xdr:pic>
      <xdr:nvPicPr>
        <xdr:cNvPr id="5493" name="5cabd8d8-6dd6-4571-8612-a81b72a9894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d09ea3ea5c4445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5496</xdr:row>
      <xdr:rowOff>19050</xdr:rowOff>
    </xdr:from>
    <xdr:ext cx="1143000" cy="1143000"/>
    <xdr:pic>
      <xdr:nvPicPr>
        <xdr:cNvPr id="5494" name="65e61dbe-a43a-4c23-a7f1-45966d5071e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f7694a4d794413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5497</xdr:row>
      <xdr:rowOff>19050</xdr:rowOff>
    </xdr:from>
    <xdr:ext cx="1143000" cy="1143000"/>
    <xdr:pic>
      <xdr:nvPicPr>
        <xdr:cNvPr id="5495" name="1087b6aa-0daa-4b5f-9601-58df6a57e18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8f5aa9791f341b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5498</xdr:row>
      <xdr:rowOff>19050</xdr:rowOff>
    </xdr:from>
    <xdr:ext cx="1143000" cy="1143000"/>
    <xdr:pic>
      <xdr:nvPicPr>
        <xdr:cNvPr id="5496" name="5e804aed-6910-4cc0-91b3-5247520903b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869e6752e6f495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5499</xdr:row>
      <xdr:rowOff>19050</xdr:rowOff>
    </xdr:from>
    <xdr:ext cx="1143000" cy="1143000"/>
    <xdr:pic>
      <xdr:nvPicPr>
        <xdr:cNvPr id="5497" name="eae78a01-ca1e-424f-b4c6-1085e6310e2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211f570f56049d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5500</xdr:row>
      <xdr:rowOff>19050</xdr:rowOff>
    </xdr:from>
    <xdr:ext cx="1143000" cy="1143000"/>
    <xdr:pic>
      <xdr:nvPicPr>
        <xdr:cNvPr id="5498" name="b648a13e-5605-47da-879c-80a8a811c90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20ead5d180b4ad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5501</xdr:row>
      <xdr:rowOff>19050</xdr:rowOff>
    </xdr:from>
    <xdr:ext cx="1143000" cy="1143000"/>
    <xdr:pic>
      <xdr:nvPicPr>
        <xdr:cNvPr id="5499" name="7c883fec-2d5b-4a80-b99a-4476500b117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6ca250eb68543a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5502</xdr:row>
      <xdr:rowOff>19050</xdr:rowOff>
    </xdr:from>
    <xdr:ext cx="1143000" cy="1143000"/>
    <xdr:pic>
      <xdr:nvPicPr>
        <xdr:cNvPr id="5500" name="58244c3d-b369-45e9-bf71-fd40522ef61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cdb4a16772c467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5503</xdr:row>
      <xdr:rowOff>19050</xdr:rowOff>
    </xdr:from>
    <xdr:ext cx="1143000" cy="1143000"/>
    <xdr:pic>
      <xdr:nvPicPr>
        <xdr:cNvPr id="5501" name="471467ec-880c-44f5-bb3a-8ff5ddebfc7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e62cc40930b427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5504</xdr:row>
      <xdr:rowOff>19050</xdr:rowOff>
    </xdr:from>
    <xdr:ext cx="1143000" cy="1143000"/>
    <xdr:pic>
      <xdr:nvPicPr>
        <xdr:cNvPr id="5502" name="044b57be-fdb6-4763-838f-027a9888543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8ab321bed10431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5505</xdr:row>
      <xdr:rowOff>19050</xdr:rowOff>
    </xdr:from>
    <xdr:ext cx="1143000" cy="1143000"/>
    <xdr:pic>
      <xdr:nvPicPr>
        <xdr:cNvPr id="5503" name="6a499397-4ceb-440e-9253-67772326d26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49a22fb033f4a4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5506</xdr:row>
      <xdr:rowOff>19050</xdr:rowOff>
    </xdr:from>
    <xdr:ext cx="1143000" cy="1143000"/>
    <xdr:pic>
      <xdr:nvPicPr>
        <xdr:cNvPr id="5504" name="714c423f-e9cc-4c14-a32d-8977ad2a216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2b11c78812d45d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5507</xdr:row>
      <xdr:rowOff>19050</xdr:rowOff>
    </xdr:from>
    <xdr:ext cx="1143000" cy="1143000"/>
    <xdr:pic>
      <xdr:nvPicPr>
        <xdr:cNvPr id="5505" name="8f91d2ff-fd07-4c27-a8f5-4d1acdc05aa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47ecf8c5125475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5508</xdr:row>
      <xdr:rowOff>19050</xdr:rowOff>
    </xdr:from>
    <xdr:ext cx="1143000" cy="1143000"/>
    <xdr:pic>
      <xdr:nvPicPr>
        <xdr:cNvPr id="5506" name="f47aa12c-21d0-46e4-9062-72204c25548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e1a7317b3014bd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5509</xdr:row>
      <xdr:rowOff>19050</xdr:rowOff>
    </xdr:from>
    <xdr:ext cx="1143000" cy="1143000"/>
    <xdr:pic>
      <xdr:nvPicPr>
        <xdr:cNvPr id="5507" name="2bf55651-9c05-47f2-a792-3b3b2fd84aa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b67c73fec9e4c9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5510</xdr:row>
      <xdr:rowOff>19050</xdr:rowOff>
    </xdr:from>
    <xdr:ext cx="1143000" cy="1143000"/>
    <xdr:pic>
      <xdr:nvPicPr>
        <xdr:cNvPr id="5508" name="ad30faba-1c65-404f-8424-fd5a953b1ad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0ac069181c2479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5511</xdr:row>
      <xdr:rowOff>19050</xdr:rowOff>
    </xdr:from>
    <xdr:ext cx="1143000" cy="1143000"/>
    <xdr:pic>
      <xdr:nvPicPr>
        <xdr:cNvPr id="5509" name="729c6740-308f-4e79-8110-8379b8ddcfc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73e7c4a6d8c4d5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5512</xdr:row>
      <xdr:rowOff>19050</xdr:rowOff>
    </xdr:from>
    <xdr:ext cx="1143000" cy="1143000"/>
    <xdr:pic>
      <xdr:nvPicPr>
        <xdr:cNvPr id="5510" name="f919be2b-d679-41a2-90e0-d72f16e6764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315469244c6421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5513</xdr:row>
      <xdr:rowOff>19050</xdr:rowOff>
    </xdr:from>
    <xdr:ext cx="1143000" cy="1143000"/>
    <xdr:pic>
      <xdr:nvPicPr>
        <xdr:cNvPr id="5511" name="6f480345-1dcf-4731-95a2-a0a95a73aad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cb779b361ef4bd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5514</xdr:row>
      <xdr:rowOff>19050</xdr:rowOff>
    </xdr:from>
    <xdr:ext cx="1143000" cy="1143000"/>
    <xdr:pic>
      <xdr:nvPicPr>
        <xdr:cNvPr id="5512" name="d0459fd9-74bd-46b8-931e-f5b7a9996ae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3a50ab698d3466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5515</xdr:row>
      <xdr:rowOff>19050</xdr:rowOff>
    </xdr:from>
    <xdr:ext cx="1143000" cy="1143000"/>
    <xdr:pic>
      <xdr:nvPicPr>
        <xdr:cNvPr id="5513" name="c7be0bab-3f36-4b0a-89e2-3239c15e43f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350c893943d400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5516</xdr:row>
      <xdr:rowOff>19050</xdr:rowOff>
    </xdr:from>
    <xdr:ext cx="1143000" cy="1143000"/>
    <xdr:pic>
      <xdr:nvPicPr>
        <xdr:cNvPr id="5514" name="bf9d054e-b66b-4a39-874e-e84f0dc8ddb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18773ae047c487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5517</xdr:row>
      <xdr:rowOff>19050</xdr:rowOff>
    </xdr:from>
    <xdr:ext cx="1143000" cy="1143000"/>
    <xdr:pic>
      <xdr:nvPicPr>
        <xdr:cNvPr id="5515" name="3c4b8621-4fff-416a-adb4-54ddbefcfb8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e560fdd35e943c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5518</xdr:row>
      <xdr:rowOff>19050</xdr:rowOff>
    </xdr:from>
    <xdr:ext cx="1143000" cy="1143000"/>
    <xdr:pic>
      <xdr:nvPicPr>
        <xdr:cNvPr id="5516" name="bf07607d-d45d-4c2f-813a-17522f09682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0617ef028cc4df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5519</xdr:row>
      <xdr:rowOff>19050</xdr:rowOff>
    </xdr:from>
    <xdr:ext cx="1143000" cy="1143000"/>
    <xdr:pic>
      <xdr:nvPicPr>
        <xdr:cNvPr id="5517" name="2643e9a8-252f-444f-9b82-5c8545759a6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fdb89dc04d147c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5520</xdr:row>
      <xdr:rowOff>19050</xdr:rowOff>
    </xdr:from>
    <xdr:ext cx="1143000" cy="1143000"/>
    <xdr:pic>
      <xdr:nvPicPr>
        <xdr:cNvPr id="5518" name="b06c38f7-324b-4706-96ac-07d0dbd9c6e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abab55a815640c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5521</xdr:row>
      <xdr:rowOff>19050</xdr:rowOff>
    </xdr:from>
    <xdr:ext cx="1143000" cy="1143000"/>
    <xdr:pic>
      <xdr:nvPicPr>
        <xdr:cNvPr id="5519" name="94c39956-f848-42a3-8b73-207641b3f40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e617503f60847f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5522</xdr:row>
      <xdr:rowOff>19050</xdr:rowOff>
    </xdr:from>
    <xdr:ext cx="1143000" cy="1143000"/>
    <xdr:pic>
      <xdr:nvPicPr>
        <xdr:cNvPr id="5520" name="6d3c1140-f1eb-44e2-bc31-c2469e01fdc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d397e77ffa04ac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5523</xdr:row>
      <xdr:rowOff>19050</xdr:rowOff>
    </xdr:from>
    <xdr:ext cx="1143000" cy="1143000"/>
    <xdr:pic>
      <xdr:nvPicPr>
        <xdr:cNvPr id="5521" name="7185a050-29a0-41c9-92e3-c03be114bcf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091c9d1f7eb408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5524</xdr:row>
      <xdr:rowOff>19050</xdr:rowOff>
    </xdr:from>
    <xdr:ext cx="1143000" cy="1143000"/>
    <xdr:pic>
      <xdr:nvPicPr>
        <xdr:cNvPr id="5522" name="37a5b103-831b-4858-aa94-fd02a83e357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de3ea169231437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5525</xdr:row>
      <xdr:rowOff>19050</xdr:rowOff>
    </xdr:from>
    <xdr:ext cx="1143000" cy="1143000"/>
    <xdr:pic>
      <xdr:nvPicPr>
        <xdr:cNvPr id="5523" name="0f2e36d5-9cf3-4415-9ace-3b084683e3a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c79774d940143b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5526</xdr:row>
      <xdr:rowOff>19050</xdr:rowOff>
    </xdr:from>
    <xdr:ext cx="1143000" cy="1143000"/>
    <xdr:pic>
      <xdr:nvPicPr>
        <xdr:cNvPr id="5524" name="f0efc97c-b11f-4c99-9cde-ba523e40204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ae6baca0dbd43d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5527</xdr:row>
      <xdr:rowOff>19050</xdr:rowOff>
    </xdr:from>
    <xdr:ext cx="1143000" cy="1143000"/>
    <xdr:pic>
      <xdr:nvPicPr>
        <xdr:cNvPr id="5525" name="15887757-f97e-4dc0-b6f3-f2da1c2a565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63ec48308364fe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5528</xdr:row>
      <xdr:rowOff>19050</xdr:rowOff>
    </xdr:from>
    <xdr:ext cx="1143000" cy="1143000"/>
    <xdr:pic>
      <xdr:nvPicPr>
        <xdr:cNvPr id="5526" name="a9bd8238-13c1-4339-b37b-444a75b82a5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187bf4e9ebd459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5529</xdr:row>
      <xdr:rowOff>19050</xdr:rowOff>
    </xdr:from>
    <xdr:ext cx="1143000" cy="1143000"/>
    <xdr:pic>
      <xdr:nvPicPr>
        <xdr:cNvPr id="5527" name="13ba86cb-e035-42f9-a606-a52502d6e21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db450804af4461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5530</xdr:row>
      <xdr:rowOff>19050</xdr:rowOff>
    </xdr:from>
    <xdr:ext cx="1143000" cy="1143000"/>
    <xdr:pic>
      <xdr:nvPicPr>
        <xdr:cNvPr id="5528" name="b2d92e34-9b06-45c7-8a54-bd8fae774fd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0cbf92ed62043d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5531</xdr:row>
      <xdr:rowOff>19050</xdr:rowOff>
    </xdr:from>
    <xdr:ext cx="1143000" cy="1143000"/>
    <xdr:pic>
      <xdr:nvPicPr>
        <xdr:cNvPr id="5529" name="27320b02-5473-4898-9baa-4dbc5856b4e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330ffc1012845e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5532</xdr:row>
      <xdr:rowOff>19050</xdr:rowOff>
    </xdr:from>
    <xdr:ext cx="1143000" cy="1143000"/>
    <xdr:pic>
      <xdr:nvPicPr>
        <xdr:cNvPr id="5530" name="eabff87d-505d-4ecc-9460-ecef2ccffca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a9d5f8b29934ec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5533</xdr:row>
      <xdr:rowOff>19050</xdr:rowOff>
    </xdr:from>
    <xdr:ext cx="1143000" cy="1143000"/>
    <xdr:pic>
      <xdr:nvPicPr>
        <xdr:cNvPr id="5531" name="5f9a69cf-c5b7-47d5-87e1-58e874a59ed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92e6ddb2c034e9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5534</xdr:row>
      <xdr:rowOff>19050</xdr:rowOff>
    </xdr:from>
    <xdr:ext cx="1143000" cy="1143000"/>
    <xdr:pic>
      <xdr:nvPicPr>
        <xdr:cNvPr id="5532" name="25c82477-6eac-47d9-9623-e555d6a9f31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35c41e403d6454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5535</xdr:row>
      <xdr:rowOff>19050</xdr:rowOff>
    </xdr:from>
    <xdr:ext cx="1143000" cy="1143000"/>
    <xdr:pic>
      <xdr:nvPicPr>
        <xdr:cNvPr id="5533" name="2f5c0432-bb07-4d73-8929-f4464e7d702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67b664f49644f6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5536</xdr:row>
      <xdr:rowOff>19050</xdr:rowOff>
    </xdr:from>
    <xdr:ext cx="1143000" cy="1143000"/>
    <xdr:pic>
      <xdr:nvPicPr>
        <xdr:cNvPr id="5534" name="3e065d5d-6a4b-46c3-90a7-c564e90be73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f7103ff3753478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5537</xdr:row>
      <xdr:rowOff>19050</xdr:rowOff>
    </xdr:from>
    <xdr:ext cx="1143000" cy="1143000"/>
    <xdr:pic>
      <xdr:nvPicPr>
        <xdr:cNvPr id="5535" name="f9cf27de-ec0f-4a0e-8054-744eb1073d3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bf9c65fa3484d2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5538</xdr:row>
      <xdr:rowOff>19050</xdr:rowOff>
    </xdr:from>
    <xdr:ext cx="1143000" cy="1143000"/>
    <xdr:pic>
      <xdr:nvPicPr>
        <xdr:cNvPr id="5536" name="980912bb-4848-4395-85eb-4a9c007e2ee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97a4a4658144d9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5539</xdr:row>
      <xdr:rowOff>19050</xdr:rowOff>
    </xdr:from>
    <xdr:ext cx="1143000" cy="1143000"/>
    <xdr:pic>
      <xdr:nvPicPr>
        <xdr:cNvPr id="5537" name="bb1e55ce-60d5-4ebb-9ce6-124d4f971c4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c6ac762152f48f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5540</xdr:row>
      <xdr:rowOff>19050</xdr:rowOff>
    </xdr:from>
    <xdr:ext cx="1143000" cy="1143000"/>
    <xdr:pic>
      <xdr:nvPicPr>
        <xdr:cNvPr id="5538" name="96658e7c-6ca2-4c3a-a868-128a1d730d6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9d362ec63e2449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5541</xdr:row>
      <xdr:rowOff>19050</xdr:rowOff>
    </xdr:from>
    <xdr:ext cx="1143000" cy="1143000"/>
    <xdr:pic>
      <xdr:nvPicPr>
        <xdr:cNvPr id="5539" name="db283696-9f8f-4dcc-a829-b94132654bf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9307c97bca647a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5542</xdr:row>
      <xdr:rowOff>19050</xdr:rowOff>
    </xdr:from>
    <xdr:ext cx="1143000" cy="1143000"/>
    <xdr:pic>
      <xdr:nvPicPr>
        <xdr:cNvPr id="5540" name="42c7ab65-abf0-423a-b062-0d337a64a5a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41eb9193f4c4f7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5543</xdr:row>
      <xdr:rowOff>19050</xdr:rowOff>
    </xdr:from>
    <xdr:ext cx="1143000" cy="1143000"/>
    <xdr:pic>
      <xdr:nvPicPr>
        <xdr:cNvPr id="5541" name="4c2ec677-d879-47c3-ac66-3982125a82a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0c3581981404fd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5544</xdr:row>
      <xdr:rowOff>19050</xdr:rowOff>
    </xdr:from>
    <xdr:ext cx="1143000" cy="1143000"/>
    <xdr:pic>
      <xdr:nvPicPr>
        <xdr:cNvPr id="5542" name="d5f02feb-022a-45eb-a11b-d5cdd371743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746d58ea16048d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5545</xdr:row>
      <xdr:rowOff>19050</xdr:rowOff>
    </xdr:from>
    <xdr:ext cx="1143000" cy="1143000"/>
    <xdr:pic>
      <xdr:nvPicPr>
        <xdr:cNvPr id="5543" name="cf3b047d-75ac-43c6-b671-65436ce7cdf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d1c2e49c55042b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5546</xdr:row>
      <xdr:rowOff>19050</xdr:rowOff>
    </xdr:from>
    <xdr:ext cx="1143000" cy="1143000"/>
    <xdr:pic>
      <xdr:nvPicPr>
        <xdr:cNvPr id="5544" name="3dbe4304-18f2-4cd3-86ce-75f2d1adde8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b311ab8b41447a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5547</xdr:row>
      <xdr:rowOff>19050</xdr:rowOff>
    </xdr:from>
    <xdr:ext cx="1143000" cy="1143000"/>
    <xdr:pic>
      <xdr:nvPicPr>
        <xdr:cNvPr id="5545" name="cc2bd44c-7a94-4e93-bc94-cafd451e7c6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688d9cdc25648f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5548</xdr:row>
      <xdr:rowOff>19050</xdr:rowOff>
    </xdr:from>
    <xdr:ext cx="1143000" cy="1143000"/>
    <xdr:pic>
      <xdr:nvPicPr>
        <xdr:cNvPr id="5546" name="1a499b10-a950-4bb2-a418-e9c7ca3edb6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1ca4127f27a4e7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5549</xdr:row>
      <xdr:rowOff>19050</xdr:rowOff>
    </xdr:from>
    <xdr:ext cx="1143000" cy="1143000"/>
    <xdr:pic>
      <xdr:nvPicPr>
        <xdr:cNvPr id="5547" name="b35cce70-33c4-4ffb-9345-f25c6d38793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9db1f785d7d4f6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5550</xdr:row>
      <xdr:rowOff>19050</xdr:rowOff>
    </xdr:from>
    <xdr:ext cx="1143000" cy="1143000"/>
    <xdr:pic>
      <xdr:nvPicPr>
        <xdr:cNvPr id="5548" name="12c46a3f-71d0-4fee-8aa8-391ee988d20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e7f92aa985043c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5551</xdr:row>
      <xdr:rowOff>19050</xdr:rowOff>
    </xdr:from>
    <xdr:ext cx="1143000" cy="1143000"/>
    <xdr:pic>
      <xdr:nvPicPr>
        <xdr:cNvPr id="5549" name="2d07e80b-4f80-474a-94ad-ff1637a18fc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ca8f7933cae4a4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5552</xdr:row>
      <xdr:rowOff>19050</xdr:rowOff>
    </xdr:from>
    <xdr:ext cx="1143000" cy="1143000"/>
    <xdr:pic>
      <xdr:nvPicPr>
        <xdr:cNvPr id="5550" name="8a840ed7-0f8c-4a8e-a6c9-75a74f42fa6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e4015d7bafe409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5553</xdr:row>
      <xdr:rowOff>19050</xdr:rowOff>
    </xdr:from>
    <xdr:ext cx="1143000" cy="1143000"/>
    <xdr:pic>
      <xdr:nvPicPr>
        <xdr:cNvPr id="5551" name="3f0624ad-9743-4347-9ee0-201ffaecd7f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bdf7b56377142e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5554</xdr:row>
      <xdr:rowOff>19050</xdr:rowOff>
    </xdr:from>
    <xdr:ext cx="1143000" cy="1143000"/>
    <xdr:pic>
      <xdr:nvPicPr>
        <xdr:cNvPr id="5552" name="c2c2e8cb-b962-46b5-a026-2eeb01ee04e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1867e756298452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5555</xdr:row>
      <xdr:rowOff>19050</xdr:rowOff>
    </xdr:from>
    <xdr:ext cx="1143000" cy="1143000"/>
    <xdr:pic>
      <xdr:nvPicPr>
        <xdr:cNvPr id="5553" name="999a8992-0c31-42d9-ae2a-d4da3109e4a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d5e70e06ac84ed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5556</xdr:row>
      <xdr:rowOff>19050</xdr:rowOff>
    </xdr:from>
    <xdr:ext cx="1143000" cy="1143000"/>
    <xdr:pic>
      <xdr:nvPicPr>
        <xdr:cNvPr id="5554" name="697b3d72-4272-46b1-bbb5-c15c66e6e8f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9b1f96b878043c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5557</xdr:row>
      <xdr:rowOff>19050</xdr:rowOff>
    </xdr:from>
    <xdr:ext cx="1143000" cy="1143000"/>
    <xdr:pic>
      <xdr:nvPicPr>
        <xdr:cNvPr id="5555" name="94d02140-5be4-4e47-8de1-e741ce890bf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0b7306cc671466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5558</xdr:row>
      <xdr:rowOff>19050</xdr:rowOff>
    </xdr:from>
    <xdr:ext cx="1143000" cy="1143000"/>
    <xdr:pic>
      <xdr:nvPicPr>
        <xdr:cNvPr id="5556" name="d4c843b8-f80b-476b-b6f4-1429b724f9a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f2660fc696b489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5559</xdr:row>
      <xdr:rowOff>19050</xdr:rowOff>
    </xdr:from>
    <xdr:ext cx="1143000" cy="1143000"/>
    <xdr:pic>
      <xdr:nvPicPr>
        <xdr:cNvPr id="5557" name="0858e0ca-4f5e-4bdf-8d35-cc42d61c250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155aea37fdc474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5560</xdr:row>
      <xdr:rowOff>19050</xdr:rowOff>
    </xdr:from>
    <xdr:ext cx="1143000" cy="1143000"/>
    <xdr:pic>
      <xdr:nvPicPr>
        <xdr:cNvPr id="5558" name="3a0b2969-136f-459c-8e15-0d053c0ca89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09b5858c716437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5561</xdr:row>
      <xdr:rowOff>19050</xdr:rowOff>
    </xdr:from>
    <xdr:ext cx="1143000" cy="1143000"/>
    <xdr:pic>
      <xdr:nvPicPr>
        <xdr:cNvPr id="5559" name="c3afd0bf-fa64-4761-b614-2851c8d4979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aea2b5d4a15419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5562</xdr:row>
      <xdr:rowOff>19050</xdr:rowOff>
    </xdr:from>
    <xdr:ext cx="1143000" cy="1143000"/>
    <xdr:pic>
      <xdr:nvPicPr>
        <xdr:cNvPr id="5560" name="d77a76f7-e38f-470a-8e42-d90029694d1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5a1355320cd40c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5563</xdr:row>
      <xdr:rowOff>19050</xdr:rowOff>
    </xdr:from>
    <xdr:ext cx="1143000" cy="1143000"/>
    <xdr:pic>
      <xdr:nvPicPr>
        <xdr:cNvPr id="5561" name="6a3db355-6950-453c-a9ff-1aaf55f7b40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154adc6f4bb4e7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5564</xdr:row>
      <xdr:rowOff>19050</xdr:rowOff>
    </xdr:from>
    <xdr:ext cx="1143000" cy="1143000"/>
    <xdr:pic>
      <xdr:nvPicPr>
        <xdr:cNvPr id="5562" name="44d7bd8e-6602-4567-bde6-471b8aa807d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6a3f08c67914bd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5565</xdr:row>
      <xdr:rowOff>19050</xdr:rowOff>
    </xdr:from>
    <xdr:ext cx="1143000" cy="1143000"/>
    <xdr:pic>
      <xdr:nvPicPr>
        <xdr:cNvPr id="5563" name="6044d1d1-b409-4196-8596-23ac394d3cc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931520fed4340d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5566</xdr:row>
      <xdr:rowOff>19050</xdr:rowOff>
    </xdr:from>
    <xdr:ext cx="1143000" cy="1143000"/>
    <xdr:pic>
      <xdr:nvPicPr>
        <xdr:cNvPr id="5564" name="9f3e3ff9-3da2-4ea2-aadb-c80cfbaa6c2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aa5a89fa1ce435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5567</xdr:row>
      <xdr:rowOff>19050</xdr:rowOff>
    </xdr:from>
    <xdr:ext cx="1143000" cy="1143000"/>
    <xdr:pic>
      <xdr:nvPicPr>
        <xdr:cNvPr id="5565" name="4579b90c-5563-4bf3-8051-c635cc3b37b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fcdd18627d7421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5568</xdr:row>
      <xdr:rowOff>19050</xdr:rowOff>
    </xdr:from>
    <xdr:ext cx="1143000" cy="1143000"/>
    <xdr:pic>
      <xdr:nvPicPr>
        <xdr:cNvPr id="5566" name="bcc06391-4c16-41c9-be4d-be04d532e57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268effe609f43b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5569</xdr:row>
      <xdr:rowOff>19050</xdr:rowOff>
    </xdr:from>
    <xdr:ext cx="1143000" cy="1143000"/>
    <xdr:pic>
      <xdr:nvPicPr>
        <xdr:cNvPr id="5567" name="959fd222-439c-4139-8bfe-dd6c8bd93e4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264d2cc8da24da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5570</xdr:row>
      <xdr:rowOff>19050</xdr:rowOff>
    </xdr:from>
    <xdr:ext cx="1143000" cy="1143000"/>
    <xdr:pic>
      <xdr:nvPicPr>
        <xdr:cNvPr id="5568" name="52385371-cf0e-4b52-aec5-b4bc9544927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39988c2d99d4e8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5571</xdr:row>
      <xdr:rowOff>19050</xdr:rowOff>
    </xdr:from>
    <xdr:ext cx="1143000" cy="1143000"/>
    <xdr:pic>
      <xdr:nvPicPr>
        <xdr:cNvPr id="5569" name="b8d08283-f93f-474e-a210-da7bb3ecc98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3f9eef7f979462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5572</xdr:row>
      <xdr:rowOff>19050</xdr:rowOff>
    </xdr:from>
    <xdr:ext cx="1143000" cy="1143000"/>
    <xdr:pic>
      <xdr:nvPicPr>
        <xdr:cNvPr id="5570" name="180cee86-6de7-42d1-b0ca-ee56b9f97e1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eff5f40024e4ca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5573</xdr:row>
      <xdr:rowOff>19050</xdr:rowOff>
    </xdr:from>
    <xdr:ext cx="1143000" cy="1143000"/>
    <xdr:pic>
      <xdr:nvPicPr>
        <xdr:cNvPr id="5571" name="bfe5c036-47df-45b9-9f5a-b4a82f2ed02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7b2e8a8aa95470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5574</xdr:row>
      <xdr:rowOff>19050</xdr:rowOff>
    </xdr:from>
    <xdr:ext cx="1143000" cy="1143000"/>
    <xdr:pic>
      <xdr:nvPicPr>
        <xdr:cNvPr id="5572" name="bf805779-c893-46e6-a1b2-3580bec13d7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6b990d9859c4fc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5575</xdr:row>
      <xdr:rowOff>19050</xdr:rowOff>
    </xdr:from>
    <xdr:ext cx="1143000" cy="1143000"/>
    <xdr:pic>
      <xdr:nvPicPr>
        <xdr:cNvPr id="5573" name="27997b23-25b7-4693-a1f2-8f6dc7b87b0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fd24453b94e4d3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5576</xdr:row>
      <xdr:rowOff>19050</xdr:rowOff>
    </xdr:from>
    <xdr:ext cx="1143000" cy="1143000"/>
    <xdr:pic>
      <xdr:nvPicPr>
        <xdr:cNvPr id="5574" name="4a924647-94e4-4f69-91b9-f1d8721f9a2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9e1d5e95f8a496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5577</xdr:row>
      <xdr:rowOff>19050</xdr:rowOff>
    </xdr:from>
    <xdr:ext cx="1143000" cy="1143000"/>
    <xdr:pic>
      <xdr:nvPicPr>
        <xdr:cNvPr id="5575" name="f1a2416d-5eac-40da-9762-70a16569abf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7ab67db2496416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5578</xdr:row>
      <xdr:rowOff>19050</xdr:rowOff>
    </xdr:from>
    <xdr:ext cx="1143000" cy="1143000"/>
    <xdr:pic>
      <xdr:nvPicPr>
        <xdr:cNvPr id="5576" name="fee8b279-ac85-4e4a-bf82-d7a5ef7c7eb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0de3bf0ae36448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5579</xdr:row>
      <xdr:rowOff>19050</xdr:rowOff>
    </xdr:from>
    <xdr:ext cx="1143000" cy="1143000"/>
    <xdr:pic>
      <xdr:nvPicPr>
        <xdr:cNvPr id="5577" name="2fb94b07-5dbd-4d26-b8f5-821b03bce12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bd8a017cbd84a5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5580</xdr:row>
      <xdr:rowOff>19050</xdr:rowOff>
    </xdr:from>
    <xdr:ext cx="1143000" cy="1143000"/>
    <xdr:pic>
      <xdr:nvPicPr>
        <xdr:cNvPr id="5578" name="e0c12913-43bf-4eef-ae45-6690a74b396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832ec4f733d4b5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5581</xdr:row>
      <xdr:rowOff>19050</xdr:rowOff>
    </xdr:from>
    <xdr:ext cx="1143000" cy="1143000"/>
    <xdr:pic>
      <xdr:nvPicPr>
        <xdr:cNvPr id="5579" name="44964e91-e069-487b-8267-86591333221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d99a1de9aed4d2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5582</xdr:row>
      <xdr:rowOff>19050</xdr:rowOff>
    </xdr:from>
    <xdr:ext cx="1143000" cy="1143000"/>
    <xdr:pic>
      <xdr:nvPicPr>
        <xdr:cNvPr id="5580" name="cad95868-3a0a-4062-9564-a2594fea992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c0377ad05cb437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5583</xdr:row>
      <xdr:rowOff>19050</xdr:rowOff>
    </xdr:from>
    <xdr:ext cx="1143000" cy="1143000"/>
    <xdr:pic>
      <xdr:nvPicPr>
        <xdr:cNvPr id="5581" name="07a1e91a-99a0-4891-b2f7-990210d4a37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1883cff40c5481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5584</xdr:row>
      <xdr:rowOff>19050</xdr:rowOff>
    </xdr:from>
    <xdr:ext cx="1143000" cy="1143000"/>
    <xdr:pic>
      <xdr:nvPicPr>
        <xdr:cNvPr id="5582" name="a90a4cc0-fa8b-4cff-be3d-01e598557a7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58018ba6169476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5585</xdr:row>
      <xdr:rowOff>19050</xdr:rowOff>
    </xdr:from>
    <xdr:ext cx="1143000" cy="1143000"/>
    <xdr:pic>
      <xdr:nvPicPr>
        <xdr:cNvPr id="5583" name="274347f7-893e-49d9-98ce-545ea5ca2ba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d023e8b45e84e7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5586</xdr:row>
      <xdr:rowOff>19050</xdr:rowOff>
    </xdr:from>
    <xdr:ext cx="1143000" cy="1143000"/>
    <xdr:pic>
      <xdr:nvPicPr>
        <xdr:cNvPr id="5584" name="639af5e0-8866-4769-8381-279dea7ad0b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4b3972fe6d24bd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5587</xdr:row>
      <xdr:rowOff>19050</xdr:rowOff>
    </xdr:from>
    <xdr:ext cx="1143000" cy="1143000"/>
    <xdr:pic>
      <xdr:nvPicPr>
        <xdr:cNvPr id="5585" name="4bb7e011-458f-49b3-8390-94fbed22725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e121b6d937e497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5588</xdr:row>
      <xdr:rowOff>19050</xdr:rowOff>
    </xdr:from>
    <xdr:ext cx="1143000" cy="1143000"/>
    <xdr:pic>
      <xdr:nvPicPr>
        <xdr:cNvPr id="5586" name="a8ccc3cb-dcf0-439e-be21-bb2b0906c5c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719fea05c57495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5589</xdr:row>
      <xdr:rowOff>19050</xdr:rowOff>
    </xdr:from>
    <xdr:ext cx="1143000" cy="1143000"/>
    <xdr:pic>
      <xdr:nvPicPr>
        <xdr:cNvPr id="5587" name="7360dbd8-63df-4418-9ef1-22a549a209f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d4a5891fd61438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5590</xdr:row>
      <xdr:rowOff>19050</xdr:rowOff>
    </xdr:from>
    <xdr:ext cx="1143000" cy="1143000"/>
    <xdr:pic>
      <xdr:nvPicPr>
        <xdr:cNvPr id="5588" name="98057d45-a44b-44c2-9567-3d4de5485c9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1acac1f41264d1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5591</xdr:row>
      <xdr:rowOff>19050</xdr:rowOff>
    </xdr:from>
    <xdr:ext cx="1143000" cy="1143000"/>
    <xdr:pic>
      <xdr:nvPicPr>
        <xdr:cNvPr id="5589" name="e1514e21-fe15-48f5-a358-de0d44b7bbe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bf5ea86bafb4af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5592</xdr:row>
      <xdr:rowOff>19050</xdr:rowOff>
    </xdr:from>
    <xdr:ext cx="1143000" cy="1143000"/>
    <xdr:pic>
      <xdr:nvPicPr>
        <xdr:cNvPr id="5590" name="020b61cd-c31a-4463-8895-2b4e8668d9e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18f58675f8b4e7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5593</xdr:row>
      <xdr:rowOff>19050</xdr:rowOff>
    </xdr:from>
    <xdr:ext cx="1143000" cy="1143000"/>
    <xdr:pic>
      <xdr:nvPicPr>
        <xdr:cNvPr id="5591" name="57f5480e-9774-45fc-be90-61a60e1929b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3ea675978d4444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5594</xdr:row>
      <xdr:rowOff>19050</xdr:rowOff>
    </xdr:from>
    <xdr:ext cx="1143000" cy="1143000"/>
    <xdr:pic>
      <xdr:nvPicPr>
        <xdr:cNvPr id="5592" name="deb0bc49-182d-4e2a-98d7-5d05ae15d5f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22fcceb0cda498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5595</xdr:row>
      <xdr:rowOff>19050</xdr:rowOff>
    </xdr:from>
    <xdr:ext cx="1143000" cy="1143000"/>
    <xdr:pic>
      <xdr:nvPicPr>
        <xdr:cNvPr id="5593" name="73a36187-69a1-45aa-a12d-498ed9aa784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4381f914e714ba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5596</xdr:row>
      <xdr:rowOff>19050</xdr:rowOff>
    </xdr:from>
    <xdr:ext cx="1143000" cy="1143000"/>
    <xdr:pic>
      <xdr:nvPicPr>
        <xdr:cNvPr id="5594" name="bc565932-0680-4d24-9e82-81898a839f7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4927736548a405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5597</xdr:row>
      <xdr:rowOff>19050</xdr:rowOff>
    </xdr:from>
    <xdr:ext cx="1143000" cy="1143000"/>
    <xdr:pic>
      <xdr:nvPicPr>
        <xdr:cNvPr id="5595" name="4f465038-c1ae-4e50-bc90-e5b53751003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69786e3ff0d4d2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5598</xdr:row>
      <xdr:rowOff>19050</xdr:rowOff>
    </xdr:from>
    <xdr:ext cx="1143000" cy="1143000"/>
    <xdr:pic>
      <xdr:nvPicPr>
        <xdr:cNvPr id="5596" name="ba11f525-a3c3-4a88-b860-c47812b5140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e919468cca348c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5599</xdr:row>
      <xdr:rowOff>19050</xdr:rowOff>
    </xdr:from>
    <xdr:ext cx="1143000" cy="1143000"/>
    <xdr:pic>
      <xdr:nvPicPr>
        <xdr:cNvPr id="5597" name="5238eac3-3083-4289-bc75-d791fdb3107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85983c6c323473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5600</xdr:row>
      <xdr:rowOff>19050</xdr:rowOff>
    </xdr:from>
    <xdr:ext cx="1143000" cy="1143000"/>
    <xdr:pic>
      <xdr:nvPicPr>
        <xdr:cNvPr id="5598" name="031f16fd-94ed-48ba-a9ca-0409ad96552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01bbc7c06b7407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5601</xdr:row>
      <xdr:rowOff>19050</xdr:rowOff>
    </xdr:from>
    <xdr:ext cx="1143000" cy="1143000"/>
    <xdr:pic>
      <xdr:nvPicPr>
        <xdr:cNvPr id="5599" name="6be24891-bb07-4b32-b19c-dcf32887b87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43f8815cc29440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5602</xdr:row>
      <xdr:rowOff>19050</xdr:rowOff>
    </xdr:from>
    <xdr:ext cx="1143000" cy="1143000"/>
    <xdr:pic>
      <xdr:nvPicPr>
        <xdr:cNvPr id="5600" name="82e4a6bd-82b7-4645-abc6-9a3dc2cc194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a2ad27ac5c746d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5603</xdr:row>
      <xdr:rowOff>19050</xdr:rowOff>
    </xdr:from>
    <xdr:ext cx="1143000" cy="1143000"/>
    <xdr:pic>
      <xdr:nvPicPr>
        <xdr:cNvPr id="5601" name="07893ec4-f316-4d95-8fc1-d70731b4336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68b09d76192406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5604</xdr:row>
      <xdr:rowOff>19050</xdr:rowOff>
    </xdr:from>
    <xdr:ext cx="1143000" cy="1143000"/>
    <xdr:pic>
      <xdr:nvPicPr>
        <xdr:cNvPr id="5602" name="0dddbe04-7582-4b40-b69c-a9ce55758f1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c13faab382f436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5605</xdr:row>
      <xdr:rowOff>19050</xdr:rowOff>
    </xdr:from>
    <xdr:ext cx="1143000" cy="1143000"/>
    <xdr:pic>
      <xdr:nvPicPr>
        <xdr:cNvPr id="5603" name="ed4a6556-fc6d-42bb-aaae-d2c2a8b23b3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16b8eb18d804e5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5606</xdr:row>
      <xdr:rowOff>19050</xdr:rowOff>
    </xdr:from>
    <xdr:ext cx="1143000" cy="1143000"/>
    <xdr:pic>
      <xdr:nvPicPr>
        <xdr:cNvPr id="5604" name="cc196f13-ebda-41ee-bcb9-9763217ed18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79be4129c1045e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5607</xdr:row>
      <xdr:rowOff>19050</xdr:rowOff>
    </xdr:from>
    <xdr:ext cx="1143000" cy="1143000"/>
    <xdr:pic>
      <xdr:nvPicPr>
        <xdr:cNvPr id="5605" name="05f586fb-7480-4af9-a0b7-60e74aaf49c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36523d3558f4b3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5608</xdr:row>
      <xdr:rowOff>19050</xdr:rowOff>
    </xdr:from>
    <xdr:ext cx="1143000" cy="1143000"/>
    <xdr:pic>
      <xdr:nvPicPr>
        <xdr:cNvPr id="5606" name="10071161-1321-4c47-87c5-46ffa1bd7ee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8b0b126aa3341c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5609</xdr:row>
      <xdr:rowOff>19050</xdr:rowOff>
    </xdr:from>
    <xdr:ext cx="1143000" cy="1143000"/>
    <xdr:pic>
      <xdr:nvPicPr>
        <xdr:cNvPr id="5607" name="aa0eb026-d1e8-41d1-a015-936747f65bb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8606f23b8a14e5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5610</xdr:row>
      <xdr:rowOff>19050</xdr:rowOff>
    </xdr:from>
    <xdr:ext cx="1143000" cy="1143000"/>
    <xdr:pic>
      <xdr:nvPicPr>
        <xdr:cNvPr id="5608" name="2c24d70b-dd39-4ccb-97bc-e910a7f9469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f8969b283d348e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5611</xdr:row>
      <xdr:rowOff>19050</xdr:rowOff>
    </xdr:from>
    <xdr:ext cx="1143000" cy="1143000"/>
    <xdr:pic>
      <xdr:nvPicPr>
        <xdr:cNvPr id="5609" name="d189c898-5ca5-4ed1-a3d5-7988c0ac963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9452ffa276046c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5612</xdr:row>
      <xdr:rowOff>19050</xdr:rowOff>
    </xdr:from>
    <xdr:ext cx="1143000" cy="1143000"/>
    <xdr:pic>
      <xdr:nvPicPr>
        <xdr:cNvPr id="5610" name="15a19e7e-b7ee-4481-8819-cded0db6f89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3e7fa773ecf4a5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5613</xdr:row>
      <xdr:rowOff>19050</xdr:rowOff>
    </xdr:from>
    <xdr:ext cx="1143000" cy="1143000"/>
    <xdr:pic>
      <xdr:nvPicPr>
        <xdr:cNvPr id="5611" name="258b7ee6-f70a-4f53-ba72-be58fdedb33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a57ab9ef769454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5614</xdr:row>
      <xdr:rowOff>19050</xdr:rowOff>
    </xdr:from>
    <xdr:ext cx="1143000" cy="1143000"/>
    <xdr:pic>
      <xdr:nvPicPr>
        <xdr:cNvPr id="5612" name="1ef97522-f95e-4473-b4f2-04badc35913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1689cc86949408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5615</xdr:row>
      <xdr:rowOff>19050</xdr:rowOff>
    </xdr:from>
    <xdr:ext cx="1143000" cy="1143000"/>
    <xdr:pic>
      <xdr:nvPicPr>
        <xdr:cNvPr id="5613" name="a5afc079-3895-4f21-a28f-89e14626f68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df156826a86455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5616</xdr:row>
      <xdr:rowOff>19050</xdr:rowOff>
    </xdr:from>
    <xdr:ext cx="1143000" cy="1143000"/>
    <xdr:pic>
      <xdr:nvPicPr>
        <xdr:cNvPr id="5614" name="95d47bcf-a8e7-4468-b1f2-29d69e8a951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425263929694ae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5617</xdr:row>
      <xdr:rowOff>19050</xdr:rowOff>
    </xdr:from>
    <xdr:ext cx="1143000" cy="1143000"/>
    <xdr:pic>
      <xdr:nvPicPr>
        <xdr:cNvPr id="5615" name="f554855e-625b-4875-86db-c4c09c17ec5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6a6467242cc470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5618</xdr:row>
      <xdr:rowOff>19050</xdr:rowOff>
    </xdr:from>
    <xdr:ext cx="1143000" cy="1143000"/>
    <xdr:pic>
      <xdr:nvPicPr>
        <xdr:cNvPr id="5616" name="ed76a01c-6edb-4076-86fa-8d96cb086d0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93388353fc34bb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5619</xdr:row>
      <xdr:rowOff>19050</xdr:rowOff>
    </xdr:from>
    <xdr:ext cx="1143000" cy="1143000"/>
    <xdr:pic>
      <xdr:nvPicPr>
        <xdr:cNvPr id="5617" name="df66f857-4479-415f-957b-5765706832f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117da87ba834ef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5620</xdr:row>
      <xdr:rowOff>19050</xdr:rowOff>
    </xdr:from>
    <xdr:ext cx="1143000" cy="1143000"/>
    <xdr:pic>
      <xdr:nvPicPr>
        <xdr:cNvPr id="5618" name="319756bc-0c4c-47f6-8fb5-a3948fbbe1c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a35a14403de41f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5621</xdr:row>
      <xdr:rowOff>19050</xdr:rowOff>
    </xdr:from>
    <xdr:ext cx="1143000" cy="1143000"/>
    <xdr:pic>
      <xdr:nvPicPr>
        <xdr:cNvPr id="5619" name="62916058-b43f-4fdd-a3a1-52470b97af8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0a38a46a7e24b4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5622</xdr:row>
      <xdr:rowOff>19050</xdr:rowOff>
    </xdr:from>
    <xdr:ext cx="1143000" cy="1143000"/>
    <xdr:pic>
      <xdr:nvPicPr>
        <xdr:cNvPr id="5620" name="fce4b3ba-9a8e-424b-bd75-9b57e9af1b5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8442531d3f2458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5623</xdr:row>
      <xdr:rowOff>19050</xdr:rowOff>
    </xdr:from>
    <xdr:ext cx="1143000" cy="1143000"/>
    <xdr:pic>
      <xdr:nvPicPr>
        <xdr:cNvPr id="5621" name="dc9c78e3-c2c7-4b0a-8df3-42373c26783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641a83c6f1a4d5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5624</xdr:row>
      <xdr:rowOff>19050</xdr:rowOff>
    </xdr:from>
    <xdr:ext cx="1143000" cy="1143000"/>
    <xdr:pic>
      <xdr:nvPicPr>
        <xdr:cNvPr id="5622" name="9f5faddc-f3e5-49fa-a5a9-dcc109be997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22c14fea84d49f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5625</xdr:row>
      <xdr:rowOff>19050</xdr:rowOff>
    </xdr:from>
    <xdr:ext cx="1143000" cy="1143000"/>
    <xdr:pic>
      <xdr:nvPicPr>
        <xdr:cNvPr id="5623" name="cbce63fa-127b-4d4c-a55f-c658214eada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3d8442f96bd431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5626</xdr:row>
      <xdr:rowOff>19050</xdr:rowOff>
    </xdr:from>
    <xdr:ext cx="1143000" cy="1143000"/>
    <xdr:pic>
      <xdr:nvPicPr>
        <xdr:cNvPr id="5624" name="4f81ab56-f058-4fe4-a3cf-a53b1610d38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f445641380044f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5627</xdr:row>
      <xdr:rowOff>19050</xdr:rowOff>
    </xdr:from>
    <xdr:ext cx="1143000" cy="1143000"/>
    <xdr:pic>
      <xdr:nvPicPr>
        <xdr:cNvPr id="5625" name="e0ccdd68-f9d5-4a1a-ab70-1d85e6c5b54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3cb1134d8ca404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5628</xdr:row>
      <xdr:rowOff>19050</xdr:rowOff>
    </xdr:from>
    <xdr:ext cx="1143000" cy="1143000"/>
    <xdr:pic>
      <xdr:nvPicPr>
        <xdr:cNvPr id="5626" name="65a9a764-f925-4cdb-b6ec-08ae99b3355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fdf60f0e1404a7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5629</xdr:row>
      <xdr:rowOff>19050</xdr:rowOff>
    </xdr:from>
    <xdr:ext cx="1143000" cy="1143000"/>
    <xdr:pic>
      <xdr:nvPicPr>
        <xdr:cNvPr id="5627" name="20b70ceb-9a04-498c-aa87-e9090086e71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49701468821423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5630</xdr:row>
      <xdr:rowOff>19050</xdr:rowOff>
    </xdr:from>
    <xdr:ext cx="1143000" cy="1143000"/>
    <xdr:pic>
      <xdr:nvPicPr>
        <xdr:cNvPr id="5628" name="918b7abc-ae49-4a00-a216-23bc7a856f4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fd4403b445040f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5631</xdr:row>
      <xdr:rowOff>19050</xdr:rowOff>
    </xdr:from>
    <xdr:ext cx="1143000" cy="1143000"/>
    <xdr:pic>
      <xdr:nvPicPr>
        <xdr:cNvPr id="5629" name="f2297991-eeec-4dcc-b3aa-9b8868ca499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865dbee30ea428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5632</xdr:row>
      <xdr:rowOff>19050</xdr:rowOff>
    </xdr:from>
    <xdr:ext cx="1143000" cy="1143000"/>
    <xdr:pic>
      <xdr:nvPicPr>
        <xdr:cNvPr id="5630" name="207dc54d-bfbe-40d9-8cc7-f713ab15fcb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8d6135e09514e0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5633</xdr:row>
      <xdr:rowOff>19050</xdr:rowOff>
    </xdr:from>
    <xdr:ext cx="1143000" cy="1143000"/>
    <xdr:pic>
      <xdr:nvPicPr>
        <xdr:cNvPr id="5631" name="4ae55e6d-eb99-4024-b56d-1ed6bd59baf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58da4cde217497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5634</xdr:row>
      <xdr:rowOff>19050</xdr:rowOff>
    </xdr:from>
    <xdr:ext cx="1143000" cy="1143000"/>
    <xdr:pic>
      <xdr:nvPicPr>
        <xdr:cNvPr id="5632" name="108c38f6-a9d2-455f-9b86-b27dce43ff3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31e2da0bfdd4d7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5635</xdr:row>
      <xdr:rowOff>19050</xdr:rowOff>
    </xdr:from>
    <xdr:ext cx="1143000" cy="1143000"/>
    <xdr:pic>
      <xdr:nvPicPr>
        <xdr:cNvPr id="5633" name="27862d50-c713-4880-bbfb-fa1b1d8049f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d84322d5a9344e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5636</xdr:row>
      <xdr:rowOff>19050</xdr:rowOff>
    </xdr:from>
    <xdr:ext cx="1143000" cy="1143000"/>
    <xdr:pic>
      <xdr:nvPicPr>
        <xdr:cNvPr id="5634" name="287d49b8-a676-4432-b0ac-a6cb34edc5d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8de2f0af99e43f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5637</xdr:row>
      <xdr:rowOff>19050</xdr:rowOff>
    </xdr:from>
    <xdr:ext cx="1143000" cy="1143000"/>
    <xdr:pic>
      <xdr:nvPicPr>
        <xdr:cNvPr id="5635" name="09382aca-dd06-498b-a536-d2540f31c34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57a5b4d5e8c4ba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5638</xdr:row>
      <xdr:rowOff>19050</xdr:rowOff>
    </xdr:from>
    <xdr:ext cx="1143000" cy="1143000"/>
    <xdr:pic>
      <xdr:nvPicPr>
        <xdr:cNvPr id="5636" name="e9c23975-e591-4daf-80a3-25b69634864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3e56dfaa8714b9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5639</xdr:row>
      <xdr:rowOff>19050</xdr:rowOff>
    </xdr:from>
    <xdr:ext cx="1143000" cy="1143000"/>
    <xdr:pic>
      <xdr:nvPicPr>
        <xdr:cNvPr id="5637" name="78848a7f-5b24-438f-a2b4-7107db53719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9e3e2f80a794c5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5640</xdr:row>
      <xdr:rowOff>19050</xdr:rowOff>
    </xdr:from>
    <xdr:ext cx="1143000" cy="1143000"/>
    <xdr:pic>
      <xdr:nvPicPr>
        <xdr:cNvPr id="5638" name="e10c009d-ae0a-44b2-b027-a1554dc631d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40560d27d074b0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5641</xdr:row>
      <xdr:rowOff>19050</xdr:rowOff>
    </xdr:from>
    <xdr:ext cx="1143000" cy="1143000"/>
    <xdr:pic>
      <xdr:nvPicPr>
        <xdr:cNvPr id="5639" name="b9056159-0320-412e-a5e5-81b87827d84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313c1b938364eb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5642</xdr:row>
      <xdr:rowOff>19050</xdr:rowOff>
    </xdr:from>
    <xdr:ext cx="1143000" cy="1143000"/>
    <xdr:pic>
      <xdr:nvPicPr>
        <xdr:cNvPr id="5640" name="ed6aedf4-0827-4d16-a651-d48128f2e6a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465230e3b98456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5643</xdr:row>
      <xdr:rowOff>19050</xdr:rowOff>
    </xdr:from>
    <xdr:ext cx="1143000" cy="1143000"/>
    <xdr:pic>
      <xdr:nvPicPr>
        <xdr:cNvPr id="5641" name="523177d2-ed08-4b97-89c6-e94b3be6031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6f1ee5f53d5457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5644</xdr:row>
      <xdr:rowOff>19050</xdr:rowOff>
    </xdr:from>
    <xdr:ext cx="1143000" cy="1143000"/>
    <xdr:pic>
      <xdr:nvPicPr>
        <xdr:cNvPr id="5642" name="e490f71b-7eaa-4e67-a3f7-1dc88799dbb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d98f9b36623424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5645</xdr:row>
      <xdr:rowOff>19050</xdr:rowOff>
    </xdr:from>
    <xdr:ext cx="1143000" cy="1143000"/>
    <xdr:pic>
      <xdr:nvPicPr>
        <xdr:cNvPr id="5643" name="855e0eaa-19c4-4b8c-8b41-bff9b07de2a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c052497ace94a1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5646</xdr:row>
      <xdr:rowOff>19050</xdr:rowOff>
    </xdr:from>
    <xdr:ext cx="1143000" cy="1143000"/>
    <xdr:pic>
      <xdr:nvPicPr>
        <xdr:cNvPr id="5644" name="b445949e-6f01-4241-8c43-637db18162e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17e523591bc4d5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5647</xdr:row>
      <xdr:rowOff>19050</xdr:rowOff>
    </xdr:from>
    <xdr:ext cx="1143000" cy="1143000"/>
    <xdr:pic>
      <xdr:nvPicPr>
        <xdr:cNvPr id="5645" name="2c4a4a88-a0b1-4081-a88a-e7ba5e21815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b99b69720374d4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5648</xdr:row>
      <xdr:rowOff>19050</xdr:rowOff>
    </xdr:from>
    <xdr:ext cx="1143000" cy="1143000"/>
    <xdr:pic>
      <xdr:nvPicPr>
        <xdr:cNvPr id="5646" name="81c4599f-a135-40a5-926d-659a0728afa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2bf9c7ff463405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5649</xdr:row>
      <xdr:rowOff>19050</xdr:rowOff>
    </xdr:from>
    <xdr:ext cx="1143000" cy="1143000"/>
    <xdr:pic>
      <xdr:nvPicPr>
        <xdr:cNvPr id="5647" name="90f3eee0-5dbc-466d-9da8-1af01190809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88b61e3a9814c7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5650</xdr:row>
      <xdr:rowOff>19050</xdr:rowOff>
    </xdr:from>
    <xdr:ext cx="1143000" cy="1143000"/>
    <xdr:pic>
      <xdr:nvPicPr>
        <xdr:cNvPr id="5648" name="667bbc0b-408c-41f5-89ef-01152cf6d46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7e06a0b61284fd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5651</xdr:row>
      <xdr:rowOff>19050</xdr:rowOff>
    </xdr:from>
    <xdr:ext cx="1143000" cy="1143000"/>
    <xdr:pic>
      <xdr:nvPicPr>
        <xdr:cNvPr id="5649" name="0b961e15-53f5-40c4-8576-b9fd233bb57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9725c14a1b54ab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5652</xdr:row>
      <xdr:rowOff>19050</xdr:rowOff>
    </xdr:from>
    <xdr:ext cx="1143000" cy="1143000"/>
    <xdr:pic>
      <xdr:nvPicPr>
        <xdr:cNvPr id="5650" name="8835cde2-b2eb-4e12-92ff-8fcf591ee19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f92243708eb42d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5653</xdr:row>
      <xdr:rowOff>19050</xdr:rowOff>
    </xdr:from>
    <xdr:ext cx="1143000" cy="1143000"/>
    <xdr:pic>
      <xdr:nvPicPr>
        <xdr:cNvPr id="5651" name="3ce8d0ad-81d5-49ec-991d-7233a3b8748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43fbeee287f4fc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5654</xdr:row>
      <xdr:rowOff>19050</xdr:rowOff>
    </xdr:from>
    <xdr:ext cx="1143000" cy="1143000"/>
    <xdr:pic>
      <xdr:nvPicPr>
        <xdr:cNvPr id="5652" name="85bdc601-066a-4898-ac4a-0c435cd9256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483703618a14aa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5655</xdr:row>
      <xdr:rowOff>19050</xdr:rowOff>
    </xdr:from>
    <xdr:ext cx="1143000" cy="1143000"/>
    <xdr:pic>
      <xdr:nvPicPr>
        <xdr:cNvPr id="5653" name="221ff721-4bb6-4d06-b571-51a9785059d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ed571270ce94e1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5656</xdr:row>
      <xdr:rowOff>19050</xdr:rowOff>
    </xdr:from>
    <xdr:ext cx="1143000" cy="1143000"/>
    <xdr:pic>
      <xdr:nvPicPr>
        <xdr:cNvPr id="5654" name="bcce705d-c716-4e04-bad1-456069e7c23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3fdd90a56bc48c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5657</xdr:row>
      <xdr:rowOff>19050</xdr:rowOff>
    </xdr:from>
    <xdr:ext cx="1143000" cy="1143000"/>
    <xdr:pic>
      <xdr:nvPicPr>
        <xdr:cNvPr id="5655" name="3de62916-70ed-4c8c-8f70-d63e6f23981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0995eab0d324e5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5658</xdr:row>
      <xdr:rowOff>19050</xdr:rowOff>
    </xdr:from>
    <xdr:ext cx="1143000" cy="1143000"/>
    <xdr:pic>
      <xdr:nvPicPr>
        <xdr:cNvPr id="5656" name="0db654cb-7fe8-494b-bb10-cee54f60f57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b83ebe62dd9433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5659</xdr:row>
      <xdr:rowOff>19050</xdr:rowOff>
    </xdr:from>
    <xdr:ext cx="1143000" cy="1143000"/>
    <xdr:pic>
      <xdr:nvPicPr>
        <xdr:cNvPr id="5657" name="941e2704-0d2f-421e-97a6-5e0828a3255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8222f9fa9a24b6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5660</xdr:row>
      <xdr:rowOff>19050</xdr:rowOff>
    </xdr:from>
    <xdr:ext cx="1143000" cy="1143000"/>
    <xdr:pic>
      <xdr:nvPicPr>
        <xdr:cNvPr id="5658" name="87c562f7-08f7-4103-a239-d8dadc6f312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4ed5be82c2742d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5661</xdr:row>
      <xdr:rowOff>19050</xdr:rowOff>
    </xdr:from>
    <xdr:ext cx="1143000" cy="1143000"/>
    <xdr:pic>
      <xdr:nvPicPr>
        <xdr:cNvPr id="5659" name="51449c65-e581-4336-8258-1d63b55ec9a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a38d992accc4a4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5662</xdr:row>
      <xdr:rowOff>19050</xdr:rowOff>
    </xdr:from>
    <xdr:ext cx="1143000" cy="1143000"/>
    <xdr:pic>
      <xdr:nvPicPr>
        <xdr:cNvPr id="5660" name="02a88ac1-bce9-4eae-be9e-c773947a33b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820d5f4f9ac41e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5663</xdr:row>
      <xdr:rowOff>19050</xdr:rowOff>
    </xdr:from>
    <xdr:ext cx="1143000" cy="1143000"/>
    <xdr:pic>
      <xdr:nvPicPr>
        <xdr:cNvPr id="5661" name="c1f6bd18-f782-4edf-8331-ec8f3279249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4fc0698e1f9428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5664</xdr:row>
      <xdr:rowOff>19050</xdr:rowOff>
    </xdr:from>
    <xdr:ext cx="1143000" cy="1143000"/>
    <xdr:pic>
      <xdr:nvPicPr>
        <xdr:cNvPr id="5662" name="cbbbca42-68cf-4850-956c-3360bba29e4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de7ef2524c7455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5665</xdr:row>
      <xdr:rowOff>19050</xdr:rowOff>
    </xdr:from>
    <xdr:ext cx="1143000" cy="1143000"/>
    <xdr:pic>
      <xdr:nvPicPr>
        <xdr:cNvPr id="5663" name="6289f27e-18f4-4796-93da-e04a388c057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f74110ec0e04b7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5666</xdr:row>
      <xdr:rowOff>19050</xdr:rowOff>
    </xdr:from>
    <xdr:ext cx="1143000" cy="1143000"/>
    <xdr:pic>
      <xdr:nvPicPr>
        <xdr:cNvPr id="5664" name="78fc9c27-976d-4d21-8f09-0abca7a729b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3538097b88840f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5667</xdr:row>
      <xdr:rowOff>19050</xdr:rowOff>
    </xdr:from>
    <xdr:ext cx="1143000" cy="1143000"/>
    <xdr:pic>
      <xdr:nvPicPr>
        <xdr:cNvPr id="5665" name="6fd35edd-ef32-4462-97f3-cb1af00b0f8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6da76031b89432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5668</xdr:row>
      <xdr:rowOff>19050</xdr:rowOff>
    </xdr:from>
    <xdr:ext cx="1143000" cy="1143000"/>
    <xdr:pic>
      <xdr:nvPicPr>
        <xdr:cNvPr id="5666" name="51d25231-f0c1-4ac8-8751-1ede6f699b4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bff8ec4095144a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5669</xdr:row>
      <xdr:rowOff>19050</xdr:rowOff>
    </xdr:from>
    <xdr:ext cx="1143000" cy="1143000"/>
    <xdr:pic>
      <xdr:nvPicPr>
        <xdr:cNvPr id="5667" name="5bb01f6a-3903-4363-a16a-c9b36d51956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df41cefc8ee402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5670</xdr:row>
      <xdr:rowOff>19050</xdr:rowOff>
    </xdr:from>
    <xdr:ext cx="1143000" cy="1143000"/>
    <xdr:pic>
      <xdr:nvPicPr>
        <xdr:cNvPr id="5668" name="7e6c2d7d-a7af-467d-bf7f-57953bbe939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44d0951a49a42b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5671</xdr:row>
      <xdr:rowOff>19050</xdr:rowOff>
    </xdr:from>
    <xdr:ext cx="1143000" cy="1143000"/>
    <xdr:pic>
      <xdr:nvPicPr>
        <xdr:cNvPr id="5669" name="4b93e8f3-bb53-45fb-abf0-3c087002e84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ba89d64cb5a409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5672</xdr:row>
      <xdr:rowOff>19050</xdr:rowOff>
    </xdr:from>
    <xdr:ext cx="1143000" cy="1143000"/>
    <xdr:pic>
      <xdr:nvPicPr>
        <xdr:cNvPr id="5670" name="4275d151-7c89-4ed5-b10b-cc875f7f0a0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b4716e133a64c1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5673</xdr:row>
      <xdr:rowOff>19050</xdr:rowOff>
    </xdr:from>
    <xdr:ext cx="1143000" cy="1143000"/>
    <xdr:pic>
      <xdr:nvPicPr>
        <xdr:cNvPr id="5671" name="52824217-ab3f-468c-b562-b56d1976e82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079e8435c4d4c9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5674</xdr:row>
      <xdr:rowOff>19050</xdr:rowOff>
    </xdr:from>
    <xdr:ext cx="1143000" cy="1143000"/>
    <xdr:pic>
      <xdr:nvPicPr>
        <xdr:cNvPr id="5672" name="e502b990-8c2b-4012-ad62-c7de4197177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dd32f864fd5485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5675</xdr:row>
      <xdr:rowOff>19050</xdr:rowOff>
    </xdr:from>
    <xdr:ext cx="1143000" cy="1143000"/>
    <xdr:pic>
      <xdr:nvPicPr>
        <xdr:cNvPr id="5673" name="709c2423-994a-4f02-916b-d09e84255c4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04dfabe5d244bc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5676</xdr:row>
      <xdr:rowOff>19050</xdr:rowOff>
    </xdr:from>
    <xdr:ext cx="1143000" cy="1143000"/>
    <xdr:pic>
      <xdr:nvPicPr>
        <xdr:cNvPr id="5674" name="08acb776-01d8-42a2-8175-748fd650270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a90689f5d7c419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5677</xdr:row>
      <xdr:rowOff>19050</xdr:rowOff>
    </xdr:from>
    <xdr:ext cx="1143000" cy="1143000"/>
    <xdr:pic>
      <xdr:nvPicPr>
        <xdr:cNvPr id="5675" name="27bd0f3b-9d30-4d28-ba8f-ee672fd970e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300ecea183c458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5678</xdr:row>
      <xdr:rowOff>19050</xdr:rowOff>
    </xdr:from>
    <xdr:ext cx="1143000" cy="1143000"/>
    <xdr:pic>
      <xdr:nvPicPr>
        <xdr:cNvPr id="5676" name="d0772e12-c8cd-4b64-9634-39abaff03a3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704b135ffe341d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5679</xdr:row>
      <xdr:rowOff>19050</xdr:rowOff>
    </xdr:from>
    <xdr:ext cx="1143000" cy="1143000"/>
    <xdr:pic>
      <xdr:nvPicPr>
        <xdr:cNvPr id="5677" name="d9c92315-5a86-4a5f-94c2-5358571a1bd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1985e1ec72d4c6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5680</xdr:row>
      <xdr:rowOff>19050</xdr:rowOff>
    </xdr:from>
    <xdr:ext cx="1143000" cy="1143000"/>
    <xdr:pic>
      <xdr:nvPicPr>
        <xdr:cNvPr id="5678" name="89894c68-045e-43b5-95d3-b263a1397d7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5a8bd3c50454b2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5681</xdr:row>
      <xdr:rowOff>19050</xdr:rowOff>
    </xdr:from>
    <xdr:ext cx="1143000" cy="1143000"/>
    <xdr:pic>
      <xdr:nvPicPr>
        <xdr:cNvPr id="5679" name="b2cf969c-796e-43b1-baf8-8d01ab292fb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db0af217f38461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5682</xdr:row>
      <xdr:rowOff>19050</xdr:rowOff>
    </xdr:from>
    <xdr:ext cx="1143000" cy="1143000"/>
    <xdr:pic>
      <xdr:nvPicPr>
        <xdr:cNvPr id="5680" name="aeb20937-9c68-475d-ba0c-efe16ea58c1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5fe4a26906e45b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5683</xdr:row>
      <xdr:rowOff>19050</xdr:rowOff>
    </xdr:from>
    <xdr:ext cx="1143000" cy="1143000"/>
    <xdr:pic>
      <xdr:nvPicPr>
        <xdr:cNvPr id="5681" name="d63d0e20-9165-410a-b076-7d2b5476bf5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68299d0aae442c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5684</xdr:row>
      <xdr:rowOff>19050</xdr:rowOff>
    </xdr:from>
    <xdr:ext cx="1143000" cy="1143000"/>
    <xdr:pic>
      <xdr:nvPicPr>
        <xdr:cNvPr id="5682" name="d6778e49-8416-4bca-a173-ed7f4a96a75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fbf754827784cf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5685</xdr:row>
      <xdr:rowOff>19050</xdr:rowOff>
    </xdr:from>
    <xdr:ext cx="1143000" cy="1143000"/>
    <xdr:pic>
      <xdr:nvPicPr>
        <xdr:cNvPr id="5683" name="17839d12-c798-49fe-8726-d9ac7a88200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7f85bb214264c4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5686</xdr:row>
      <xdr:rowOff>19050</xdr:rowOff>
    </xdr:from>
    <xdr:ext cx="1143000" cy="1143000"/>
    <xdr:pic>
      <xdr:nvPicPr>
        <xdr:cNvPr id="5684" name="45d026b7-b7a1-48ad-8a3b-d4acbfc8726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7b5ad01d09b44a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5687</xdr:row>
      <xdr:rowOff>19050</xdr:rowOff>
    </xdr:from>
    <xdr:ext cx="1143000" cy="1143000"/>
    <xdr:pic>
      <xdr:nvPicPr>
        <xdr:cNvPr id="5685" name="9efc0849-e7b7-4885-8f63-76f49b45a93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6a4c4fc7b4b402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5688</xdr:row>
      <xdr:rowOff>19050</xdr:rowOff>
    </xdr:from>
    <xdr:ext cx="1143000" cy="1143000"/>
    <xdr:pic>
      <xdr:nvPicPr>
        <xdr:cNvPr id="5686" name="7e7e84c6-a4b2-416c-aeca-df63d53af31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19677f1d42f4fb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5689</xdr:row>
      <xdr:rowOff>19050</xdr:rowOff>
    </xdr:from>
    <xdr:ext cx="1143000" cy="1143000"/>
    <xdr:pic>
      <xdr:nvPicPr>
        <xdr:cNvPr id="5687" name="50539d1f-859c-45f7-b46a-c48ac595943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06ec035aa52468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5690</xdr:row>
      <xdr:rowOff>19050</xdr:rowOff>
    </xdr:from>
    <xdr:ext cx="1143000" cy="1143000"/>
    <xdr:pic>
      <xdr:nvPicPr>
        <xdr:cNvPr id="5688" name="5a93c9f3-8498-4917-8751-88cb840fb01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4f3fc54f4a44d0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5691</xdr:row>
      <xdr:rowOff>19050</xdr:rowOff>
    </xdr:from>
    <xdr:ext cx="1143000" cy="1143000"/>
    <xdr:pic>
      <xdr:nvPicPr>
        <xdr:cNvPr id="5689" name="fcc45da2-943e-437f-a18a-961df01028e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1f5ed74cd09480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5692</xdr:row>
      <xdr:rowOff>19050</xdr:rowOff>
    </xdr:from>
    <xdr:ext cx="1143000" cy="1143000"/>
    <xdr:pic>
      <xdr:nvPicPr>
        <xdr:cNvPr id="5690" name="d4ee6efb-dcfb-40ae-885d-cffbd1d51ae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4cc4b7aec5b4ee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5693</xdr:row>
      <xdr:rowOff>19050</xdr:rowOff>
    </xdr:from>
    <xdr:ext cx="1143000" cy="1143000"/>
    <xdr:pic>
      <xdr:nvPicPr>
        <xdr:cNvPr id="5691" name="1388f991-d5c1-4c7f-9bd5-137de202833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94d12e52be247c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5694</xdr:row>
      <xdr:rowOff>19050</xdr:rowOff>
    </xdr:from>
    <xdr:ext cx="1143000" cy="1143000"/>
    <xdr:pic>
      <xdr:nvPicPr>
        <xdr:cNvPr id="5692" name="83ad0d2b-94f5-4d06-9eb7-cdb2ed825c1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a5ffc6ce2d240b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5695</xdr:row>
      <xdr:rowOff>19050</xdr:rowOff>
    </xdr:from>
    <xdr:ext cx="1143000" cy="1143000"/>
    <xdr:pic>
      <xdr:nvPicPr>
        <xdr:cNvPr id="5693" name="f2c08789-1266-47cc-b78e-a705da97791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2c7de7af5d843a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5696</xdr:row>
      <xdr:rowOff>19050</xdr:rowOff>
    </xdr:from>
    <xdr:ext cx="1143000" cy="1143000"/>
    <xdr:pic>
      <xdr:nvPicPr>
        <xdr:cNvPr id="5694" name="ce6f31b0-8f82-4e86-89c0-1b6887c6f0d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c77e4eda42d419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5697</xdr:row>
      <xdr:rowOff>19050</xdr:rowOff>
    </xdr:from>
    <xdr:ext cx="1143000" cy="1143000"/>
    <xdr:pic>
      <xdr:nvPicPr>
        <xdr:cNvPr id="5695" name="e3e61980-e16b-4d35-831e-345b7aac758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4a0880f3c81459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5698</xdr:row>
      <xdr:rowOff>19050</xdr:rowOff>
    </xdr:from>
    <xdr:ext cx="1143000" cy="1143000"/>
    <xdr:pic>
      <xdr:nvPicPr>
        <xdr:cNvPr id="5696" name="8acf2962-a099-4ae8-9626-3b6a8ede414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528d99fe5ce435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5699</xdr:row>
      <xdr:rowOff>19050</xdr:rowOff>
    </xdr:from>
    <xdr:ext cx="1143000" cy="1143000"/>
    <xdr:pic>
      <xdr:nvPicPr>
        <xdr:cNvPr id="5697" name="cb8ef4a2-9f15-40fc-8117-8364d3b4d13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1122bed2fa54a6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5700</xdr:row>
      <xdr:rowOff>19050</xdr:rowOff>
    </xdr:from>
    <xdr:ext cx="1143000" cy="1143000"/>
    <xdr:pic>
      <xdr:nvPicPr>
        <xdr:cNvPr id="5698" name="6ced152c-5e54-492b-89f5-f5d851681ee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d3bab42e4f64dd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5701</xdr:row>
      <xdr:rowOff>19050</xdr:rowOff>
    </xdr:from>
    <xdr:ext cx="1143000" cy="1143000"/>
    <xdr:pic>
      <xdr:nvPicPr>
        <xdr:cNvPr id="5699" name="7c93e533-77d5-430d-aa21-53c5c68deb6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9c4ca84fec0429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5702</xdr:row>
      <xdr:rowOff>19050</xdr:rowOff>
    </xdr:from>
    <xdr:ext cx="1143000" cy="1143000"/>
    <xdr:pic>
      <xdr:nvPicPr>
        <xdr:cNvPr id="5700" name="0ea0ff0f-f36a-4cdc-b0a7-27aa5cd1a49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e30adb1b2c84e4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5703</xdr:row>
      <xdr:rowOff>19050</xdr:rowOff>
    </xdr:from>
    <xdr:ext cx="1143000" cy="1143000"/>
    <xdr:pic>
      <xdr:nvPicPr>
        <xdr:cNvPr id="5701" name="376b2cd3-b9a0-4991-a37a-2eae2187c22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c1948c2d5a44b4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5704</xdr:row>
      <xdr:rowOff>19050</xdr:rowOff>
    </xdr:from>
    <xdr:ext cx="1143000" cy="1143000"/>
    <xdr:pic>
      <xdr:nvPicPr>
        <xdr:cNvPr id="5702" name="271ad03f-3b27-4b74-92b8-5335a673169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5a24c5788c44a0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5705</xdr:row>
      <xdr:rowOff>19050</xdr:rowOff>
    </xdr:from>
    <xdr:ext cx="1143000" cy="1143000"/>
    <xdr:pic>
      <xdr:nvPicPr>
        <xdr:cNvPr id="5703" name="483ea317-8659-4f9a-b246-d8048d5893f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c6156f6b7d5403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5706</xdr:row>
      <xdr:rowOff>19050</xdr:rowOff>
    </xdr:from>
    <xdr:ext cx="1143000" cy="1143000"/>
    <xdr:pic>
      <xdr:nvPicPr>
        <xdr:cNvPr id="5704" name="f09586d8-af78-4177-a1cd-4d2aa04478d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ac9f805a3bf4e2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5707</xdr:row>
      <xdr:rowOff>19050</xdr:rowOff>
    </xdr:from>
    <xdr:ext cx="1143000" cy="1143000"/>
    <xdr:pic>
      <xdr:nvPicPr>
        <xdr:cNvPr id="5705" name="fc99cf90-a9bc-43c9-9440-bb1b7f6301d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536eec7488d452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5708</xdr:row>
      <xdr:rowOff>19050</xdr:rowOff>
    </xdr:from>
    <xdr:ext cx="1143000" cy="1143000"/>
    <xdr:pic>
      <xdr:nvPicPr>
        <xdr:cNvPr id="5706" name="46085d53-0c97-400e-a3fa-1097674b183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149c2c8a54c4fd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5709</xdr:row>
      <xdr:rowOff>19050</xdr:rowOff>
    </xdr:from>
    <xdr:ext cx="1143000" cy="1143000"/>
    <xdr:pic>
      <xdr:nvPicPr>
        <xdr:cNvPr id="5707" name="b41a2a93-75fd-4ef8-a2cd-711147acb09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5055bd3190442c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5710</xdr:row>
      <xdr:rowOff>19050</xdr:rowOff>
    </xdr:from>
    <xdr:ext cx="1143000" cy="1143000"/>
    <xdr:pic>
      <xdr:nvPicPr>
        <xdr:cNvPr id="5708" name="700d5bae-6774-4ba1-8c90-ed382051816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b9ac45e35fa4d6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5711</xdr:row>
      <xdr:rowOff>19050</xdr:rowOff>
    </xdr:from>
    <xdr:ext cx="1143000" cy="1143000"/>
    <xdr:pic>
      <xdr:nvPicPr>
        <xdr:cNvPr id="5709" name="4ac30e7f-ebfc-4568-b397-02bbed7a30f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1ac23bb0dcb4f6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5712</xdr:row>
      <xdr:rowOff>19050</xdr:rowOff>
    </xdr:from>
    <xdr:ext cx="1143000" cy="1143000"/>
    <xdr:pic>
      <xdr:nvPicPr>
        <xdr:cNvPr id="5710" name="e8d8cd45-711a-4888-afb3-d07d8ec9f8e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858d881bbdd4d0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5713</xdr:row>
      <xdr:rowOff>19050</xdr:rowOff>
    </xdr:from>
    <xdr:ext cx="1143000" cy="1143000"/>
    <xdr:pic>
      <xdr:nvPicPr>
        <xdr:cNvPr id="5711" name="02aedc95-b7ba-42b9-b08f-b60604afa5e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318ec74d75543a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5714</xdr:row>
      <xdr:rowOff>19050</xdr:rowOff>
    </xdr:from>
    <xdr:ext cx="1143000" cy="1143000"/>
    <xdr:pic>
      <xdr:nvPicPr>
        <xdr:cNvPr id="5712" name="c3da6655-a8ed-4375-a498-b319ecdb901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128db840dcb4b7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5715</xdr:row>
      <xdr:rowOff>19050</xdr:rowOff>
    </xdr:from>
    <xdr:ext cx="1143000" cy="1143000"/>
    <xdr:pic>
      <xdr:nvPicPr>
        <xdr:cNvPr id="5713" name="ccb49002-41e8-478d-8638-c9750f5c3df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17d4c1e8a154b5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5716</xdr:row>
      <xdr:rowOff>19050</xdr:rowOff>
    </xdr:from>
    <xdr:ext cx="1143000" cy="1143000"/>
    <xdr:pic>
      <xdr:nvPicPr>
        <xdr:cNvPr id="5714" name="a79260c0-9851-42e1-be04-2829ecdb2cd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61db77c367e485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5717</xdr:row>
      <xdr:rowOff>19050</xdr:rowOff>
    </xdr:from>
    <xdr:ext cx="1143000" cy="1143000"/>
    <xdr:pic>
      <xdr:nvPicPr>
        <xdr:cNvPr id="5715" name="68e0200a-3ed6-4d6f-9666-efdf20f9368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c594c18a86e428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5718</xdr:row>
      <xdr:rowOff>19050</xdr:rowOff>
    </xdr:from>
    <xdr:ext cx="1143000" cy="1143000"/>
    <xdr:pic>
      <xdr:nvPicPr>
        <xdr:cNvPr id="5716" name="b6672985-9a97-4aeb-907b-7327228792a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d749a093f9348f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5719</xdr:row>
      <xdr:rowOff>19050</xdr:rowOff>
    </xdr:from>
    <xdr:ext cx="1143000" cy="1143000"/>
    <xdr:pic>
      <xdr:nvPicPr>
        <xdr:cNvPr id="5717" name="f4979f50-e67e-4d8b-bc5d-f8682382278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f2bf957cf7c4a5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5720</xdr:row>
      <xdr:rowOff>19050</xdr:rowOff>
    </xdr:from>
    <xdr:ext cx="1143000" cy="1143000"/>
    <xdr:pic>
      <xdr:nvPicPr>
        <xdr:cNvPr id="5718" name="cfb90209-18ba-479b-923f-71a894b7689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cf16c30bcca41d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5721</xdr:row>
      <xdr:rowOff>19050</xdr:rowOff>
    </xdr:from>
    <xdr:ext cx="1143000" cy="1143000"/>
    <xdr:pic>
      <xdr:nvPicPr>
        <xdr:cNvPr id="5719" name="e2995f1c-a969-4fa8-b709-54ee2254495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6920c25f750455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5722</xdr:row>
      <xdr:rowOff>19050</xdr:rowOff>
    </xdr:from>
    <xdr:ext cx="1143000" cy="1143000"/>
    <xdr:pic>
      <xdr:nvPicPr>
        <xdr:cNvPr id="5720" name="6bf59f7f-9b76-4de4-97d7-548c0b50a1d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5f0e90fedbf4a2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5723</xdr:row>
      <xdr:rowOff>19050</xdr:rowOff>
    </xdr:from>
    <xdr:ext cx="1143000" cy="1143000"/>
    <xdr:pic>
      <xdr:nvPicPr>
        <xdr:cNvPr id="5721" name="dcc5cc6d-8843-45ba-a893-f4141a10969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f748e48ee52431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5724</xdr:row>
      <xdr:rowOff>19050</xdr:rowOff>
    </xdr:from>
    <xdr:ext cx="1143000" cy="1143000"/>
    <xdr:pic>
      <xdr:nvPicPr>
        <xdr:cNvPr id="5722" name="ec6518ce-7641-40f7-b3a4-a2e71528f31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ff85377b85c4c4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5725</xdr:row>
      <xdr:rowOff>19050</xdr:rowOff>
    </xdr:from>
    <xdr:ext cx="1143000" cy="1143000"/>
    <xdr:pic>
      <xdr:nvPicPr>
        <xdr:cNvPr id="5723" name="b22914c9-551c-4e21-8c9c-3feb687c62e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416f05ddaec48c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5726</xdr:row>
      <xdr:rowOff>19050</xdr:rowOff>
    </xdr:from>
    <xdr:ext cx="1143000" cy="1143000"/>
    <xdr:pic>
      <xdr:nvPicPr>
        <xdr:cNvPr id="5724" name="135b454b-ea25-4dbc-9b47-d7534c775ab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d694bcfa1a446e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5727</xdr:row>
      <xdr:rowOff>19050</xdr:rowOff>
    </xdr:from>
    <xdr:ext cx="1143000" cy="1143000"/>
    <xdr:pic>
      <xdr:nvPicPr>
        <xdr:cNvPr id="5725" name="f5c2ac02-01dd-46f6-8ffd-6b30b53c213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ce0aa69ea6c451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5728</xdr:row>
      <xdr:rowOff>19050</xdr:rowOff>
    </xdr:from>
    <xdr:ext cx="1143000" cy="1143000"/>
    <xdr:pic>
      <xdr:nvPicPr>
        <xdr:cNvPr id="5726" name="be30e858-804a-4bde-b3bd-7d8ed10ebd5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b6d9d2852b6426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5729</xdr:row>
      <xdr:rowOff>19050</xdr:rowOff>
    </xdr:from>
    <xdr:ext cx="1143000" cy="1143000"/>
    <xdr:pic>
      <xdr:nvPicPr>
        <xdr:cNvPr id="5727" name="e536714e-a6f6-4384-8e97-abc4c758e3e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1e4a21b631a4ec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5730</xdr:row>
      <xdr:rowOff>19050</xdr:rowOff>
    </xdr:from>
    <xdr:ext cx="1143000" cy="1143000"/>
    <xdr:pic>
      <xdr:nvPicPr>
        <xdr:cNvPr id="5728" name="d5010829-bb1b-4087-b345-fe39be298d5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5638974fe214ae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5731</xdr:row>
      <xdr:rowOff>19050</xdr:rowOff>
    </xdr:from>
    <xdr:ext cx="1143000" cy="1143000"/>
    <xdr:pic>
      <xdr:nvPicPr>
        <xdr:cNvPr id="5729" name="8fa50263-dc94-43e8-938b-1d905628a0a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1592777f026408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5732</xdr:row>
      <xdr:rowOff>19050</xdr:rowOff>
    </xdr:from>
    <xdr:ext cx="1143000" cy="1143000"/>
    <xdr:pic>
      <xdr:nvPicPr>
        <xdr:cNvPr id="5730" name="832d6a4d-bd62-4c23-913c-3293640bb77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975fdab1db94b5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5733</xdr:row>
      <xdr:rowOff>19050</xdr:rowOff>
    </xdr:from>
    <xdr:ext cx="1143000" cy="1143000"/>
    <xdr:pic>
      <xdr:nvPicPr>
        <xdr:cNvPr id="5731" name="5452fc7e-931c-427a-880b-3b5c514b0f3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4074b58fe8b492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5734</xdr:row>
      <xdr:rowOff>19050</xdr:rowOff>
    </xdr:from>
    <xdr:ext cx="1143000" cy="1143000"/>
    <xdr:pic>
      <xdr:nvPicPr>
        <xdr:cNvPr id="5732" name="387b0887-b00c-4f72-9133-b47f2b55df0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a4cd3ec27af41d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5735</xdr:row>
      <xdr:rowOff>19050</xdr:rowOff>
    </xdr:from>
    <xdr:ext cx="1143000" cy="1143000"/>
    <xdr:pic>
      <xdr:nvPicPr>
        <xdr:cNvPr id="5733" name="953e8fdb-ccad-432f-9d2e-be432c152e5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bd3667b65334d3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5736</xdr:row>
      <xdr:rowOff>19050</xdr:rowOff>
    </xdr:from>
    <xdr:ext cx="1143000" cy="1143000"/>
    <xdr:pic>
      <xdr:nvPicPr>
        <xdr:cNvPr id="5734" name="7b23e1d7-7409-410c-ab15-0a1ffdf3fbe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a1b0d856360434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5737</xdr:row>
      <xdr:rowOff>19050</xdr:rowOff>
    </xdr:from>
    <xdr:ext cx="1143000" cy="1143000"/>
    <xdr:pic>
      <xdr:nvPicPr>
        <xdr:cNvPr id="5735" name="266ae8c3-c60a-49e5-b1fa-29995c3ff36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bae71bf3893481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5738</xdr:row>
      <xdr:rowOff>19050</xdr:rowOff>
    </xdr:from>
    <xdr:ext cx="1143000" cy="1143000"/>
    <xdr:pic>
      <xdr:nvPicPr>
        <xdr:cNvPr id="5736" name="13bd81f8-210d-4e9c-8ba2-d91ee15da4d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feb789e3b804e6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5739</xdr:row>
      <xdr:rowOff>19050</xdr:rowOff>
    </xdr:from>
    <xdr:ext cx="1143000" cy="1143000"/>
    <xdr:pic>
      <xdr:nvPicPr>
        <xdr:cNvPr id="5737" name="4d3f4f4b-e449-4c0a-87f5-cf34209c77e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858ee077aa2425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5740</xdr:row>
      <xdr:rowOff>19050</xdr:rowOff>
    </xdr:from>
    <xdr:ext cx="1143000" cy="1143000"/>
    <xdr:pic>
      <xdr:nvPicPr>
        <xdr:cNvPr id="5738" name="97aa32c0-21a5-4de4-990b-9eaa171f091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24b5261adba48c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5741</xdr:row>
      <xdr:rowOff>19050</xdr:rowOff>
    </xdr:from>
    <xdr:ext cx="1143000" cy="1143000"/>
    <xdr:pic>
      <xdr:nvPicPr>
        <xdr:cNvPr id="5739" name="cb24fe95-de00-4be3-acd2-a32ff688ed4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4a316e5707541e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5742</xdr:row>
      <xdr:rowOff>19050</xdr:rowOff>
    </xdr:from>
    <xdr:ext cx="1143000" cy="1143000"/>
    <xdr:pic>
      <xdr:nvPicPr>
        <xdr:cNvPr id="5740" name="834bd9d3-6e55-4b63-89d1-bbd2ffc6821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b4e4dee4c9749a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5743</xdr:row>
      <xdr:rowOff>19050</xdr:rowOff>
    </xdr:from>
    <xdr:ext cx="1143000" cy="1143000"/>
    <xdr:pic>
      <xdr:nvPicPr>
        <xdr:cNvPr id="5741" name="24c2f2f2-538c-4492-bed0-2710f99d2f6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1c359afe1924ff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5744</xdr:row>
      <xdr:rowOff>19050</xdr:rowOff>
    </xdr:from>
    <xdr:ext cx="1143000" cy="1143000"/>
    <xdr:pic>
      <xdr:nvPicPr>
        <xdr:cNvPr id="5742" name="a4f571ae-e67a-43b4-8977-876349ef0f4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ca4864bdd954d8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5745</xdr:row>
      <xdr:rowOff>19050</xdr:rowOff>
    </xdr:from>
    <xdr:ext cx="1143000" cy="1143000"/>
    <xdr:pic>
      <xdr:nvPicPr>
        <xdr:cNvPr id="5743" name="1f2641f2-f098-4940-bdf1-4935d1aa066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a9594986b94480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5746</xdr:row>
      <xdr:rowOff>19050</xdr:rowOff>
    </xdr:from>
    <xdr:ext cx="1143000" cy="1143000"/>
    <xdr:pic>
      <xdr:nvPicPr>
        <xdr:cNvPr id="5744" name="f9084bfa-cafd-45e8-99e4-96e099527ea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124d586f03d4dc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5747</xdr:row>
      <xdr:rowOff>19050</xdr:rowOff>
    </xdr:from>
    <xdr:ext cx="1143000" cy="1143000"/>
    <xdr:pic>
      <xdr:nvPicPr>
        <xdr:cNvPr id="5745" name="b79e2608-121d-48d0-a074-4e1a5ec81c2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2e98cd84d3f45d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5748</xdr:row>
      <xdr:rowOff>19050</xdr:rowOff>
    </xdr:from>
    <xdr:ext cx="1143000" cy="1143000"/>
    <xdr:pic>
      <xdr:nvPicPr>
        <xdr:cNvPr id="5746" name="cb57af0d-427e-4941-81a9-b08a8508b88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da1b5f7b884442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5749</xdr:row>
      <xdr:rowOff>19050</xdr:rowOff>
    </xdr:from>
    <xdr:ext cx="1143000" cy="1143000"/>
    <xdr:pic>
      <xdr:nvPicPr>
        <xdr:cNvPr id="5747" name="ae6f8f14-8fa9-4fd2-adb6-a3f82844350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45cd4bcec7e4e0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5750</xdr:row>
      <xdr:rowOff>19050</xdr:rowOff>
    </xdr:from>
    <xdr:ext cx="1143000" cy="1143000"/>
    <xdr:pic>
      <xdr:nvPicPr>
        <xdr:cNvPr id="5748" name="8debdff7-87e5-4883-a96b-261b2766a48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62d8c0e48af4cf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5751</xdr:row>
      <xdr:rowOff>19050</xdr:rowOff>
    </xdr:from>
    <xdr:ext cx="1143000" cy="1143000"/>
    <xdr:pic>
      <xdr:nvPicPr>
        <xdr:cNvPr id="5749" name="6995364e-83ae-4068-b069-ecd9d457092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92f8da2964240e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5752</xdr:row>
      <xdr:rowOff>19050</xdr:rowOff>
    </xdr:from>
    <xdr:ext cx="1143000" cy="1143000"/>
    <xdr:pic>
      <xdr:nvPicPr>
        <xdr:cNvPr id="5750" name="d8bb58ea-134c-406f-8c4b-6beb3eabf8c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c54b4570b35418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5753</xdr:row>
      <xdr:rowOff>19050</xdr:rowOff>
    </xdr:from>
    <xdr:ext cx="1143000" cy="1143000"/>
    <xdr:pic>
      <xdr:nvPicPr>
        <xdr:cNvPr id="5751" name="605789e7-af0d-4405-8dc4-bb0357a09e8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1f05fae640e429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5754</xdr:row>
      <xdr:rowOff>19050</xdr:rowOff>
    </xdr:from>
    <xdr:ext cx="1143000" cy="1143000"/>
    <xdr:pic>
      <xdr:nvPicPr>
        <xdr:cNvPr id="5752" name="f975d029-dcc9-47af-85e8-4727be066c7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98d9b5f78994ee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5755</xdr:row>
      <xdr:rowOff>19050</xdr:rowOff>
    </xdr:from>
    <xdr:ext cx="1143000" cy="1143000"/>
    <xdr:pic>
      <xdr:nvPicPr>
        <xdr:cNvPr id="5753" name="f2fb2b93-c027-498d-905c-28cd199ac33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8947d984fed469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5756</xdr:row>
      <xdr:rowOff>19050</xdr:rowOff>
    </xdr:from>
    <xdr:ext cx="1143000" cy="1143000"/>
    <xdr:pic>
      <xdr:nvPicPr>
        <xdr:cNvPr id="5754" name="358eeff6-e334-4d8d-80f2-9ea2ff0f9ed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e7d682af96041b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5757</xdr:row>
      <xdr:rowOff>19050</xdr:rowOff>
    </xdr:from>
    <xdr:ext cx="1143000" cy="1143000"/>
    <xdr:pic>
      <xdr:nvPicPr>
        <xdr:cNvPr id="5755" name="a71fed0d-5563-49c3-a01a-d5de3a6a493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4828126a18e4bf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5758</xdr:row>
      <xdr:rowOff>19050</xdr:rowOff>
    </xdr:from>
    <xdr:ext cx="1143000" cy="1143000"/>
    <xdr:pic>
      <xdr:nvPicPr>
        <xdr:cNvPr id="5756" name="cc83866a-4f9e-4d36-ac83-9b505f9b0b1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ab5916b9ee44ce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5759</xdr:row>
      <xdr:rowOff>19050</xdr:rowOff>
    </xdr:from>
    <xdr:ext cx="1143000" cy="1143000"/>
    <xdr:pic>
      <xdr:nvPicPr>
        <xdr:cNvPr id="5757" name="a751b29c-036e-4ef4-8ee6-9bd5bf7d3d4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d4ef79b610044b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5760</xdr:row>
      <xdr:rowOff>19050</xdr:rowOff>
    </xdr:from>
    <xdr:ext cx="1143000" cy="1143000"/>
    <xdr:pic>
      <xdr:nvPicPr>
        <xdr:cNvPr id="5758" name="02fe8f43-4316-4e1e-9088-60e474aff00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89536449bf94ac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5761</xdr:row>
      <xdr:rowOff>19050</xdr:rowOff>
    </xdr:from>
    <xdr:ext cx="1143000" cy="1143000"/>
    <xdr:pic>
      <xdr:nvPicPr>
        <xdr:cNvPr id="5759" name="bf26a0dd-9c12-4341-87cd-c304adfdcdb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e68da3e7296434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5762</xdr:row>
      <xdr:rowOff>19050</xdr:rowOff>
    </xdr:from>
    <xdr:ext cx="1143000" cy="1143000"/>
    <xdr:pic>
      <xdr:nvPicPr>
        <xdr:cNvPr id="5760" name="daf7526e-285d-4f5d-89b1-6c0608fb3e8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c340a342723454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5763</xdr:row>
      <xdr:rowOff>19050</xdr:rowOff>
    </xdr:from>
    <xdr:ext cx="1143000" cy="1143000"/>
    <xdr:pic>
      <xdr:nvPicPr>
        <xdr:cNvPr id="5761" name="04acffad-a57a-4faa-b5a5-25573742b2e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f62aedbe6224f0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5764</xdr:row>
      <xdr:rowOff>19050</xdr:rowOff>
    </xdr:from>
    <xdr:ext cx="1143000" cy="1143000"/>
    <xdr:pic>
      <xdr:nvPicPr>
        <xdr:cNvPr id="5762" name="b0ad142a-55bc-4149-8224-903713046b1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64f56e924f946f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5765</xdr:row>
      <xdr:rowOff>19050</xdr:rowOff>
    </xdr:from>
    <xdr:ext cx="1143000" cy="1143000"/>
    <xdr:pic>
      <xdr:nvPicPr>
        <xdr:cNvPr id="5763" name="0610a13b-8593-4095-852a-6f68140c507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280f65da580485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5766</xdr:row>
      <xdr:rowOff>19050</xdr:rowOff>
    </xdr:from>
    <xdr:ext cx="1143000" cy="1143000"/>
    <xdr:pic>
      <xdr:nvPicPr>
        <xdr:cNvPr id="5764" name="3e99d088-8d2f-44e3-b6b8-6108f4209d8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79a7aab2b984c2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5767</xdr:row>
      <xdr:rowOff>19050</xdr:rowOff>
    </xdr:from>
    <xdr:ext cx="1143000" cy="1143000"/>
    <xdr:pic>
      <xdr:nvPicPr>
        <xdr:cNvPr id="5765" name="4c76337a-112b-489f-8969-9a9f6c758de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a0fbbe0f424418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5768</xdr:row>
      <xdr:rowOff>19050</xdr:rowOff>
    </xdr:from>
    <xdr:ext cx="1143000" cy="1143000"/>
    <xdr:pic>
      <xdr:nvPicPr>
        <xdr:cNvPr id="5766" name="482936c7-66e1-43f9-918f-44369a49d99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227742a109e48c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5769</xdr:row>
      <xdr:rowOff>19050</xdr:rowOff>
    </xdr:from>
    <xdr:ext cx="1143000" cy="1143000"/>
    <xdr:pic>
      <xdr:nvPicPr>
        <xdr:cNvPr id="5767" name="d3f8f94a-3464-482d-9918-372f41ff5bc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75a2491bff14b8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5770</xdr:row>
      <xdr:rowOff>19050</xdr:rowOff>
    </xdr:from>
    <xdr:ext cx="1143000" cy="1143000"/>
    <xdr:pic>
      <xdr:nvPicPr>
        <xdr:cNvPr id="5768" name="feab1937-4547-4b42-a974-98235df58ed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3f6329e74754ce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5771</xdr:row>
      <xdr:rowOff>19050</xdr:rowOff>
    </xdr:from>
    <xdr:ext cx="1143000" cy="1143000"/>
    <xdr:pic>
      <xdr:nvPicPr>
        <xdr:cNvPr id="5769" name="b26dbb66-39a0-4bbd-bad3-b31dd94c973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b23d3dab4f8456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5772</xdr:row>
      <xdr:rowOff>19050</xdr:rowOff>
    </xdr:from>
    <xdr:ext cx="1143000" cy="1143000"/>
    <xdr:pic>
      <xdr:nvPicPr>
        <xdr:cNvPr id="5770" name="2ff8fddc-c789-48ac-8a95-b024c155797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fa3575a4685406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5773</xdr:row>
      <xdr:rowOff>19050</xdr:rowOff>
    </xdr:from>
    <xdr:ext cx="1143000" cy="1143000"/>
    <xdr:pic>
      <xdr:nvPicPr>
        <xdr:cNvPr id="5771" name="eae52bca-3baa-468e-8aca-c4cf18377e1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c624e063f134e5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5774</xdr:row>
      <xdr:rowOff>19050</xdr:rowOff>
    </xdr:from>
    <xdr:ext cx="1143000" cy="1143000"/>
    <xdr:pic>
      <xdr:nvPicPr>
        <xdr:cNvPr id="5772" name="e24b7457-f46a-4965-b652-e429c908797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9187b584337493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5775</xdr:row>
      <xdr:rowOff>19050</xdr:rowOff>
    </xdr:from>
    <xdr:ext cx="1143000" cy="1143000"/>
    <xdr:pic>
      <xdr:nvPicPr>
        <xdr:cNvPr id="5773" name="0282e6b1-0ffa-4af7-879c-0cd959f1cf6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15f46b59a254fb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5776</xdr:row>
      <xdr:rowOff>19050</xdr:rowOff>
    </xdr:from>
    <xdr:ext cx="1143000" cy="1143000"/>
    <xdr:pic>
      <xdr:nvPicPr>
        <xdr:cNvPr id="5774" name="53fc40c8-b186-4514-a9b6-301fa1b6a1f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8ae6df20e744a3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5777</xdr:row>
      <xdr:rowOff>19050</xdr:rowOff>
    </xdr:from>
    <xdr:ext cx="1143000" cy="1143000"/>
    <xdr:pic>
      <xdr:nvPicPr>
        <xdr:cNvPr id="5775" name="3c8843ea-863c-4c1d-a1d8-8f5bd8bcd9c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70704ff3dc4443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5778</xdr:row>
      <xdr:rowOff>19050</xdr:rowOff>
    </xdr:from>
    <xdr:ext cx="1143000" cy="1143000"/>
    <xdr:pic>
      <xdr:nvPicPr>
        <xdr:cNvPr id="5776" name="0931ea34-6504-40b9-b250-102da981123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63bc26d229a432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5779</xdr:row>
      <xdr:rowOff>19050</xdr:rowOff>
    </xdr:from>
    <xdr:ext cx="1143000" cy="1143000"/>
    <xdr:pic>
      <xdr:nvPicPr>
        <xdr:cNvPr id="5777" name="f28352a1-7d9e-431a-a32e-aaa56f6e069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58f6bef4c31479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5780</xdr:row>
      <xdr:rowOff>19050</xdr:rowOff>
    </xdr:from>
    <xdr:ext cx="1143000" cy="1143000"/>
    <xdr:pic>
      <xdr:nvPicPr>
        <xdr:cNvPr id="5778" name="deadf949-44eb-4435-b1ca-b19ce36230a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1b0f9d1c1a8444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5781</xdr:row>
      <xdr:rowOff>19050</xdr:rowOff>
    </xdr:from>
    <xdr:ext cx="1143000" cy="1143000"/>
    <xdr:pic>
      <xdr:nvPicPr>
        <xdr:cNvPr id="5779" name="7d0acc9f-3d72-48cd-9927-7c0278e8226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bb8d68aac314bf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5782</xdr:row>
      <xdr:rowOff>19050</xdr:rowOff>
    </xdr:from>
    <xdr:ext cx="1143000" cy="1143000"/>
    <xdr:pic>
      <xdr:nvPicPr>
        <xdr:cNvPr id="5780" name="c0ea519c-f87e-4876-8623-be3a461a977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4033d75b36e40c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5783</xdr:row>
      <xdr:rowOff>19050</xdr:rowOff>
    </xdr:from>
    <xdr:ext cx="1143000" cy="1143000"/>
    <xdr:pic>
      <xdr:nvPicPr>
        <xdr:cNvPr id="5781" name="41db52f3-a300-48bc-9f59-94738058128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d003089b7304b8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5784</xdr:row>
      <xdr:rowOff>19050</xdr:rowOff>
    </xdr:from>
    <xdr:ext cx="1143000" cy="1143000"/>
    <xdr:pic>
      <xdr:nvPicPr>
        <xdr:cNvPr id="5782" name="406eb36b-fc01-4087-985f-9267bd18bce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d06e61fe9e8460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5785</xdr:row>
      <xdr:rowOff>19050</xdr:rowOff>
    </xdr:from>
    <xdr:ext cx="1143000" cy="1143000"/>
    <xdr:pic>
      <xdr:nvPicPr>
        <xdr:cNvPr id="5783" name="5709499d-077a-4cb7-88ff-96589ca9a76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81f74d98663455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5786</xdr:row>
      <xdr:rowOff>19050</xdr:rowOff>
    </xdr:from>
    <xdr:ext cx="1143000" cy="1143000"/>
    <xdr:pic>
      <xdr:nvPicPr>
        <xdr:cNvPr id="5784" name="2e5f7c8a-5549-4b21-b49e-3fa60be4ab3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190b19d8ab1481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5787</xdr:row>
      <xdr:rowOff>19050</xdr:rowOff>
    </xdr:from>
    <xdr:ext cx="1143000" cy="1143000"/>
    <xdr:pic>
      <xdr:nvPicPr>
        <xdr:cNvPr id="5785" name="19f9da5f-fa3f-4058-ac8b-9f7bdaa2146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b2842c47c4b4e5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5788</xdr:row>
      <xdr:rowOff>19050</xdr:rowOff>
    </xdr:from>
    <xdr:ext cx="1143000" cy="1143000"/>
    <xdr:pic>
      <xdr:nvPicPr>
        <xdr:cNvPr id="5786" name="8bbd4e0a-7931-4ba7-be9d-858e46b7927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43742b6aa56455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5789</xdr:row>
      <xdr:rowOff>19050</xdr:rowOff>
    </xdr:from>
    <xdr:ext cx="1143000" cy="1143000"/>
    <xdr:pic>
      <xdr:nvPicPr>
        <xdr:cNvPr id="5787" name="f9c4f734-c77b-4ae6-bc73-3d62aee4c2d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33d86a0c8de4db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5790</xdr:row>
      <xdr:rowOff>19050</xdr:rowOff>
    </xdr:from>
    <xdr:ext cx="1143000" cy="1143000"/>
    <xdr:pic>
      <xdr:nvPicPr>
        <xdr:cNvPr id="5788" name="dde59357-ee68-4363-a37e-addb7b819ab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18b9d8c9a6c4de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5791</xdr:row>
      <xdr:rowOff>19050</xdr:rowOff>
    </xdr:from>
    <xdr:ext cx="1143000" cy="1143000"/>
    <xdr:pic>
      <xdr:nvPicPr>
        <xdr:cNvPr id="5789" name="2db491bd-5366-416b-948e-395aa476934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959cabbbd0e4d2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5792</xdr:row>
      <xdr:rowOff>19050</xdr:rowOff>
    </xdr:from>
    <xdr:ext cx="1143000" cy="1143000"/>
    <xdr:pic>
      <xdr:nvPicPr>
        <xdr:cNvPr id="5790" name="4f89e6f6-dffe-4001-8a36-bcb18028307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675dc256eca4ea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5793</xdr:row>
      <xdr:rowOff>19050</xdr:rowOff>
    </xdr:from>
    <xdr:ext cx="1143000" cy="1143000"/>
    <xdr:pic>
      <xdr:nvPicPr>
        <xdr:cNvPr id="5791" name="32dcf8b8-9f4f-42b2-bfd4-8fc6101b1e0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01779b5a89e48a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5794</xdr:row>
      <xdr:rowOff>19050</xdr:rowOff>
    </xdr:from>
    <xdr:ext cx="1143000" cy="1143000"/>
    <xdr:pic>
      <xdr:nvPicPr>
        <xdr:cNvPr id="5792" name="ebf1f708-4ed2-4512-a472-df3138494e2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f5113bf465445f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5795</xdr:row>
      <xdr:rowOff>19050</xdr:rowOff>
    </xdr:from>
    <xdr:ext cx="1143000" cy="1143000"/>
    <xdr:pic>
      <xdr:nvPicPr>
        <xdr:cNvPr id="5793" name="2377b60a-219b-4485-8780-32acf82f6f7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42e3d645f5d47b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5796</xdr:row>
      <xdr:rowOff>19050</xdr:rowOff>
    </xdr:from>
    <xdr:ext cx="1143000" cy="1143000"/>
    <xdr:pic>
      <xdr:nvPicPr>
        <xdr:cNvPr id="5794" name="51b08d3e-dc59-4309-88be-57ed65aab52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51314c345b54ef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5797</xdr:row>
      <xdr:rowOff>19050</xdr:rowOff>
    </xdr:from>
    <xdr:ext cx="1143000" cy="1143000"/>
    <xdr:pic>
      <xdr:nvPicPr>
        <xdr:cNvPr id="5795" name="6fe1c5d9-c8ee-46d2-8b10-854d401c3ce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4af8feaf692413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5798</xdr:row>
      <xdr:rowOff>19050</xdr:rowOff>
    </xdr:from>
    <xdr:ext cx="1143000" cy="1143000"/>
    <xdr:pic>
      <xdr:nvPicPr>
        <xdr:cNvPr id="5796" name="43d9907a-1b6c-47fd-b217-262b4ede1b8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628c2946b424f7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5799</xdr:row>
      <xdr:rowOff>19050</xdr:rowOff>
    </xdr:from>
    <xdr:ext cx="1143000" cy="1143000"/>
    <xdr:pic>
      <xdr:nvPicPr>
        <xdr:cNvPr id="5797" name="5f353840-d761-4c32-84e5-f828501d9e2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bcb9d2cd9864cf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5800</xdr:row>
      <xdr:rowOff>19050</xdr:rowOff>
    </xdr:from>
    <xdr:ext cx="1143000" cy="1143000"/>
    <xdr:pic>
      <xdr:nvPicPr>
        <xdr:cNvPr id="5798" name="c52bd4af-9f92-4d7b-a8ba-cd529f05763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573cb985f564e6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5801</xdr:row>
      <xdr:rowOff>19050</xdr:rowOff>
    </xdr:from>
    <xdr:ext cx="1143000" cy="1143000"/>
    <xdr:pic>
      <xdr:nvPicPr>
        <xdr:cNvPr id="5799" name="15a1689f-0448-4c68-823c-de7a3d4b77e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a053cdf3118447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5802</xdr:row>
      <xdr:rowOff>19050</xdr:rowOff>
    </xdr:from>
    <xdr:ext cx="1143000" cy="1143000"/>
    <xdr:pic>
      <xdr:nvPicPr>
        <xdr:cNvPr id="5800" name="f6ad8422-d5ce-406a-9f95-873bcc52f5f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148a43f1b22405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5803</xdr:row>
      <xdr:rowOff>19050</xdr:rowOff>
    </xdr:from>
    <xdr:ext cx="1143000" cy="1143000"/>
    <xdr:pic>
      <xdr:nvPicPr>
        <xdr:cNvPr id="5801" name="e91ac28a-4868-439b-852a-49d2ed0e70f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669bf58d63e479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5804</xdr:row>
      <xdr:rowOff>19050</xdr:rowOff>
    </xdr:from>
    <xdr:ext cx="1143000" cy="1143000"/>
    <xdr:pic>
      <xdr:nvPicPr>
        <xdr:cNvPr id="5802" name="b68fc734-ba5d-45c1-ba23-3ece543f3cb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23c367ff445425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5805</xdr:row>
      <xdr:rowOff>19050</xdr:rowOff>
    </xdr:from>
    <xdr:ext cx="1143000" cy="1143000"/>
    <xdr:pic>
      <xdr:nvPicPr>
        <xdr:cNvPr id="5803" name="5242a8cd-ba0a-4617-949e-a0b4317cba5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38da9b9c68744f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5806</xdr:row>
      <xdr:rowOff>19050</xdr:rowOff>
    </xdr:from>
    <xdr:ext cx="1143000" cy="1143000"/>
    <xdr:pic>
      <xdr:nvPicPr>
        <xdr:cNvPr id="5804" name="4dc21279-af8f-45d9-93f0-1cb0b7cdb43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96129db92d740a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5807</xdr:row>
      <xdr:rowOff>19050</xdr:rowOff>
    </xdr:from>
    <xdr:ext cx="1143000" cy="1143000"/>
    <xdr:pic>
      <xdr:nvPicPr>
        <xdr:cNvPr id="5805" name="20069d00-8ad0-41ca-8c14-aad3ee2f97a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cf9d1e5384c400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5808</xdr:row>
      <xdr:rowOff>19050</xdr:rowOff>
    </xdr:from>
    <xdr:ext cx="1143000" cy="1143000"/>
    <xdr:pic>
      <xdr:nvPicPr>
        <xdr:cNvPr id="5806" name="5b9832f9-b535-4d2f-a677-f171e15a5f9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1875b402f31460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5809</xdr:row>
      <xdr:rowOff>19050</xdr:rowOff>
    </xdr:from>
    <xdr:ext cx="1143000" cy="1143000"/>
    <xdr:pic>
      <xdr:nvPicPr>
        <xdr:cNvPr id="5807" name="005a0273-45d7-4667-a1d0-e785aec1e90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c1da33355de4cd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5810</xdr:row>
      <xdr:rowOff>19050</xdr:rowOff>
    </xdr:from>
    <xdr:ext cx="1143000" cy="1143000"/>
    <xdr:pic>
      <xdr:nvPicPr>
        <xdr:cNvPr id="5808" name="b78b3b7a-2cb7-42a2-a8cb-04dbe7f5f72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3c62c6d5b24407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5811</xdr:row>
      <xdr:rowOff>19050</xdr:rowOff>
    </xdr:from>
    <xdr:ext cx="1143000" cy="1143000"/>
    <xdr:pic>
      <xdr:nvPicPr>
        <xdr:cNvPr id="5809" name="9465eb85-d536-4c8d-a688-7c6d4ffe209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1f9d2eb984b468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5812</xdr:row>
      <xdr:rowOff>19050</xdr:rowOff>
    </xdr:from>
    <xdr:ext cx="1143000" cy="1143000"/>
    <xdr:pic>
      <xdr:nvPicPr>
        <xdr:cNvPr id="5810" name="82effa8c-a538-48c7-8513-e3199d2a0f6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e62a69eeff1438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5813</xdr:row>
      <xdr:rowOff>19050</xdr:rowOff>
    </xdr:from>
    <xdr:ext cx="1143000" cy="1143000"/>
    <xdr:pic>
      <xdr:nvPicPr>
        <xdr:cNvPr id="5811" name="0605c1bf-fdac-442f-b706-d7035e8a8f9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bd3f373474a42d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5814</xdr:row>
      <xdr:rowOff>19050</xdr:rowOff>
    </xdr:from>
    <xdr:ext cx="1143000" cy="1143000"/>
    <xdr:pic>
      <xdr:nvPicPr>
        <xdr:cNvPr id="5812" name="eddb85a1-f6d5-476a-95cd-97d227f83d7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44236f5976348b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5815</xdr:row>
      <xdr:rowOff>19050</xdr:rowOff>
    </xdr:from>
    <xdr:ext cx="1143000" cy="1143000"/>
    <xdr:pic>
      <xdr:nvPicPr>
        <xdr:cNvPr id="5813" name="17ac4a93-5924-41d9-a995-ec15c6db910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640f0985a9b44d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5816</xdr:row>
      <xdr:rowOff>19050</xdr:rowOff>
    </xdr:from>
    <xdr:ext cx="1143000" cy="1143000"/>
    <xdr:pic>
      <xdr:nvPicPr>
        <xdr:cNvPr id="5814" name="09190ecb-0062-4074-a04c-415cbedbcb7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7ef35cc357647e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5817</xdr:row>
      <xdr:rowOff>19050</xdr:rowOff>
    </xdr:from>
    <xdr:ext cx="1143000" cy="1143000"/>
    <xdr:pic>
      <xdr:nvPicPr>
        <xdr:cNvPr id="5815" name="0caf8d18-3b2d-49c3-8c77-7f83756ebe8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001beb7dacd4eb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5818</xdr:row>
      <xdr:rowOff>19050</xdr:rowOff>
    </xdr:from>
    <xdr:ext cx="1143000" cy="1143000"/>
    <xdr:pic>
      <xdr:nvPicPr>
        <xdr:cNvPr id="5816" name="13579f53-b542-475f-bbb2-fd4a0195e25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12cfc4058ca417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5819</xdr:row>
      <xdr:rowOff>19050</xdr:rowOff>
    </xdr:from>
    <xdr:ext cx="1143000" cy="1143000"/>
    <xdr:pic>
      <xdr:nvPicPr>
        <xdr:cNvPr id="5817" name="d70f3f98-6cc0-4670-a029-803ea7273c4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203fc340d234d5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5820</xdr:row>
      <xdr:rowOff>19050</xdr:rowOff>
    </xdr:from>
    <xdr:ext cx="1143000" cy="1143000"/>
    <xdr:pic>
      <xdr:nvPicPr>
        <xdr:cNvPr id="5818" name="32865de1-ac52-4fc4-8063-560f9a179ca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6ea4b92bb5c492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5821</xdr:row>
      <xdr:rowOff>19050</xdr:rowOff>
    </xdr:from>
    <xdr:ext cx="1143000" cy="1143000"/>
    <xdr:pic>
      <xdr:nvPicPr>
        <xdr:cNvPr id="5819" name="3ea678f6-efff-4f5e-84ec-07a515b82ef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cd4eea4e5144e8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5822</xdr:row>
      <xdr:rowOff>19050</xdr:rowOff>
    </xdr:from>
    <xdr:ext cx="1143000" cy="1143000"/>
    <xdr:pic>
      <xdr:nvPicPr>
        <xdr:cNvPr id="5820" name="6f979aac-db92-4d64-80fe-59d448f84ef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8678faed6dd486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5823</xdr:row>
      <xdr:rowOff>19050</xdr:rowOff>
    </xdr:from>
    <xdr:ext cx="1143000" cy="1143000"/>
    <xdr:pic>
      <xdr:nvPicPr>
        <xdr:cNvPr id="5821" name="104682cf-9cf6-44f2-9574-ba0e09f98b8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674e143d3bc4e3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5824</xdr:row>
      <xdr:rowOff>19050</xdr:rowOff>
    </xdr:from>
    <xdr:ext cx="1143000" cy="1143000"/>
    <xdr:pic>
      <xdr:nvPicPr>
        <xdr:cNvPr id="5822" name="4acc6020-ff75-49c5-9ed7-99ce5d21b93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e337f851ac24ae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5825</xdr:row>
      <xdr:rowOff>19050</xdr:rowOff>
    </xdr:from>
    <xdr:ext cx="1143000" cy="1143000"/>
    <xdr:pic>
      <xdr:nvPicPr>
        <xdr:cNvPr id="5823" name="52f9cacc-0b44-4f5e-ba7e-dc02ef7369a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74cbde093d541f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5826</xdr:row>
      <xdr:rowOff>19050</xdr:rowOff>
    </xdr:from>
    <xdr:ext cx="1143000" cy="1143000"/>
    <xdr:pic>
      <xdr:nvPicPr>
        <xdr:cNvPr id="5824" name="73985de3-d9bd-44b1-8299-b206db01de6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7c244571958474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5827</xdr:row>
      <xdr:rowOff>19050</xdr:rowOff>
    </xdr:from>
    <xdr:ext cx="1143000" cy="1143000"/>
    <xdr:pic>
      <xdr:nvPicPr>
        <xdr:cNvPr id="5825" name="96a6a891-7f1b-4113-8139-5a0dc7a2377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523524376954c7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5828</xdr:row>
      <xdr:rowOff>19050</xdr:rowOff>
    </xdr:from>
    <xdr:ext cx="1143000" cy="1143000"/>
    <xdr:pic>
      <xdr:nvPicPr>
        <xdr:cNvPr id="5826" name="fe433847-b827-409d-8f0d-1783051feb7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10ac0ff3c81447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5829</xdr:row>
      <xdr:rowOff>19050</xdr:rowOff>
    </xdr:from>
    <xdr:ext cx="1143000" cy="1143000"/>
    <xdr:pic>
      <xdr:nvPicPr>
        <xdr:cNvPr id="5827" name="8d47a94e-8d46-4aa0-841a-84358eef82f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5f86bc7fe5a4d0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5830</xdr:row>
      <xdr:rowOff>19050</xdr:rowOff>
    </xdr:from>
    <xdr:ext cx="1143000" cy="1143000"/>
    <xdr:pic>
      <xdr:nvPicPr>
        <xdr:cNvPr id="5828" name="9b5ba75c-b9fc-48c0-9b74-0b38c31b4dd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f8f262d6f5048f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5831</xdr:row>
      <xdr:rowOff>19050</xdr:rowOff>
    </xdr:from>
    <xdr:ext cx="1143000" cy="1143000"/>
    <xdr:pic>
      <xdr:nvPicPr>
        <xdr:cNvPr id="5829" name="01a15560-fbdb-422b-885f-92b551ec871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77bf3e6e893483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5832</xdr:row>
      <xdr:rowOff>19050</xdr:rowOff>
    </xdr:from>
    <xdr:ext cx="1143000" cy="1143000"/>
    <xdr:pic>
      <xdr:nvPicPr>
        <xdr:cNvPr id="5830" name="75e2ecdf-691e-492f-99a7-9d7ce0a6a25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47e45a4c9bd4fb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5833</xdr:row>
      <xdr:rowOff>19050</xdr:rowOff>
    </xdr:from>
    <xdr:ext cx="1143000" cy="1143000"/>
    <xdr:pic>
      <xdr:nvPicPr>
        <xdr:cNvPr id="5831" name="5a78e94e-d0bb-4a74-9458-d60a1a27375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b04945e17144ae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5834</xdr:row>
      <xdr:rowOff>19050</xdr:rowOff>
    </xdr:from>
    <xdr:ext cx="1143000" cy="1143000"/>
    <xdr:pic>
      <xdr:nvPicPr>
        <xdr:cNvPr id="5832" name="3d0cad83-2fe6-49a3-8ac7-0bcf08c5b25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9f724a91a5345f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5835</xdr:row>
      <xdr:rowOff>19050</xdr:rowOff>
    </xdr:from>
    <xdr:ext cx="1143000" cy="1143000"/>
    <xdr:pic>
      <xdr:nvPicPr>
        <xdr:cNvPr id="5833" name="d795036c-d109-4a16-8631-f2aa5030c54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8d86716f96e4fc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5836</xdr:row>
      <xdr:rowOff>19050</xdr:rowOff>
    </xdr:from>
    <xdr:ext cx="1143000" cy="1143000"/>
    <xdr:pic>
      <xdr:nvPicPr>
        <xdr:cNvPr id="5834" name="f297adc2-ba63-4191-a56b-5ad058276d0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f34d9c3c1bc491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5837</xdr:row>
      <xdr:rowOff>19050</xdr:rowOff>
    </xdr:from>
    <xdr:ext cx="1143000" cy="1143000"/>
    <xdr:pic>
      <xdr:nvPicPr>
        <xdr:cNvPr id="5835" name="2aec89f7-b01a-4267-b261-2de17d5d79a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e9e3893162d413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5838</xdr:row>
      <xdr:rowOff>19050</xdr:rowOff>
    </xdr:from>
    <xdr:ext cx="1143000" cy="1143000"/>
    <xdr:pic>
      <xdr:nvPicPr>
        <xdr:cNvPr id="5836" name="b70c2385-6459-4414-aba2-f5ddefa6551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fe90ea5a0c74ad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5839</xdr:row>
      <xdr:rowOff>19050</xdr:rowOff>
    </xdr:from>
    <xdr:ext cx="1143000" cy="1143000"/>
    <xdr:pic>
      <xdr:nvPicPr>
        <xdr:cNvPr id="5837" name="4292d382-1914-42ae-bd7e-ee90e89876d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91ef95987354c6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5840</xdr:row>
      <xdr:rowOff>19050</xdr:rowOff>
    </xdr:from>
    <xdr:ext cx="1143000" cy="1143000"/>
    <xdr:pic>
      <xdr:nvPicPr>
        <xdr:cNvPr id="5838" name="b7550b30-51af-48e5-9eed-dc409b903a9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b934436c00f457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5841</xdr:row>
      <xdr:rowOff>19050</xdr:rowOff>
    </xdr:from>
    <xdr:ext cx="1143000" cy="1143000"/>
    <xdr:pic>
      <xdr:nvPicPr>
        <xdr:cNvPr id="5839" name="102377ff-dcc0-4da1-9791-674b18a92e4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30592b820c9401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5842</xdr:row>
      <xdr:rowOff>19050</xdr:rowOff>
    </xdr:from>
    <xdr:ext cx="1143000" cy="1143000"/>
    <xdr:pic>
      <xdr:nvPicPr>
        <xdr:cNvPr id="5840" name="597e2d8f-17db-4d83-bbff-3de3e0138d9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7af3894f675443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5843</xdr:row>
      <xdr:rowOff>19050</xdr:rowOff>
    </xdr:from>
    <xdr:ext cx="1143000" cy="1143000"/>
    <xdr:pic>
      <xdr:nvPicPr>
        <xdr:cNvPr id="5841" name="c63af474-60c0-4528-bedf-e561236580a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a0d769d9810402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5844</xdr:row>
      <xdr:rowOff>19050</xdr:rowOff>
    </xdr:from>
    <xdr:ext cx="1143000" cy="1143000"/>
    <xdr:pic>
      <xdr:nvPicPr>
        <xdr:cNvPr id="5842" name="49a78971-b29b-4fa7-a0e8-6f9cace5d7b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950ac37541141c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5845</xdr:row>
      <xdr:rowOff>19050</xdr:rowOff>
    </xdr:from>
    <xdr:ext cx="1143000" cy="1143000"/>
    <xdr:pic>
      <xdr:nvPicPr>
        <xdr:cNvPr id="5843" name="321a13c6-ccf5-4f7f-8571-7f872deb4ef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78a1f9dbf40475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5846</xdr:row>
      <xdr:rowOff>19050</xdr:rowOff>
    </xdr:from>
    <xdr:ext cx="1143000" cy="1143000"/>
    <xdr:pic>
      <xdr:nvPicPr>
        <xdr:cNvPr id="5844" name="4903ea9f-41dd-4aec-97a2-9bff26190cd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db9573fd795426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5847</xdr:row>
      <xdr:rowOff>19050</xdr:rowOff>
    </xdr:from>
    <xdr:ext cx="1143000" cy="1143000"/>
    <xdr:pic>
      <xdr:nvPicPr>
        <xdr:cNvPr id="5845" name="aa06afec-356e-4bee-8739-fbbb1098d6f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9610d1150b5450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5848</xdr:row>
      <xdr:rowOff>19050</xdr:rowOff>
    </xdr:from>
    <xdr:ext cx="1143000" cy="1143000"/>
    <xdr:pic>
      <xdr:nvPicPr>
        <xdr:cNvPr id="5846" name="1ac522b0-27b0-44f2-8b15-4192e77fef6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14aafe87bc9422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5849</xdr:row>
      <xdr:rowOff>19050</xdr:rowOff>
    </xdr:from>
    <xdr:ext cx="1143000" cy="1143000"/>
    <xdr:pic>
      <xdr:nvPicPr>
        <xdr:cNvPr id="5847" name="75c86f71-fcfc-454d-a50e-746135945a5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0e5eae60d1c46d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5850</xdr:row>
      <xdr:rowOff>19050</xdr:rowOff>
    </xdr:from>
    <xdr:ext cx="1143000" cy="1143000"/>
    <xdr:pic>
      <xdr:nvPicPr>
        <xdr:cNvPr id="5848" name="d474b9e0-52d8-4d1b-9e9b-85110a5eb15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5368ee75e57414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5851</xdr:row>
      <xdr:rowOff>19050</xdr:rowOff>
    </xdr:from>
    <xdr:ext cx="1143000" cy="1143000"/>
    <xdr:pic>
      <xdr:nvPicPr>
        <xdr:cNvPr id="5849" name="e904acdb-da56-4227-b10a-ba6d1c575f4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f83a690038d4ae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5852</xdr:row>
      <xdr:rowOff>19050</xdr:rowOff>
    </xdr:from>
    <xdr:ext cx="1143000" cy="1143000"/>
    <xdr:pic>
      <xdr:nvPicPr>
        <xdr:cNvPr id="5850" name="dcb59d02-d47d-49af-b98c-c65ee4253d6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cf8f3044b1c426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5853</xdr:row>
      <xdr:rowOff>19050</xdr:rowOff>
    </xdr:from>
    <xdr:ext cx="1143000" cy="1143000"/>
    <xdr:pic>
      <xdr:nvPicPr>
        <xdr:cNvPr id="5851" name="b214466f-d579-48fb-85cc-f3ce414a554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434737061714cb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5854</xdr:row>
      <xdr:rowOff>19050</xdr:rowOff>
    </xdr:from>
    <xdr:ext cx="1143000" cy="1143000"/>
    <xdr:pic>
      <xdr:nvPicPr>
        <xdr:cNvPr id="5852" name="589d4e0c-c2a3-47e0-b895-0383cdaee1b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10b51e7c00a4b8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5855</xdr:row>
      <xdr:rowOff>19050</xdr:rowOff>
    </xdr:from>
    <xdr:ext cx="1143000" cy="1143000"/>
    <xdr:pic>
      <xdr:nvPicPr>
        <xdr:cNvPr id="5853" name="6285993d-cf95-442d-aa12-7a9dedddad8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660f5b032b74f6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5856</xdr:row>
      <xdr:rowOff>19050</xdr:rowOff>
    </xdr:from>
    <xdr:ext cx="1143000" cy="1143000"/>
    <xdr:pic>
      <xdr:nvPicPr>
        <xdr:cNvPr id="5854" name="84b31ca7-62ff-4031-9fa5-528a94416e1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3103f1013d64ee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5857</xdr:row>
      <xdr:rowOff>19050</xdr:rowOff>
    </xdr:from>
    <xdr:ext cx="1143000" cy="1143000"/>
    <xdr:pic>
      <xdr:nvPicPr>
        <xdr:cNvPr id="5855" name="125781cb-96b1-4641-a01c-cd0d36458c8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e761ed0081b45d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5858</xdr:row>
      <xdr:rowOff>19050</xdr:rowOff>
    </xdr:from>
    <xdr:ext cx="1143000" cy="1143000"/>
    <xdr:pic>
      <xdr:nvPicPr>
        <xdr:cNvPr id="5856" name="94551b1a-a4b0-499d-ac16-7e088822d31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bb069cfed534dd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5859</xdr:row>
      <xdr:rowOff>19050</xdr:rowOff>
    </xdr:from>
    <xdr:ext cx="1143000" cy="1143000"/>
    <xdr:pic>
      <xdr:nvPicPr>
        <xdr:cNvPr id="5857" name="ba8b7f93-867f-45ab-8455-8cc7b022652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c065ba191844c3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5860</xdr:row>
      <xdr:rowOff>19050</xdr:rowOff>
    </xdr:from>
    <xdr:ext cx="1143000" cy="1143000"/>
    <xdr:pic>
      <xdr:nvPicPr>
        <xdr:cNvPr id="5858" name="035961da-fb6f-48b5-895a-ba953704238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17db2aa922349e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5861</xdr:row>
      <xdr:rowOff>19050</xdr:rowOff>
    </xdr:from>
    <xdr:ext cx="1143000" cy="1143000"/>
    <xdr:pic>
      <xdr:nvPicPr>
        <xdr:cNvPr id="5859" name="00bafd4f-96d2-4b0a-9d37-5c1c20d6ebb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766aecf07d8430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5862</xdr:row>
      <xdr:rowOff>19050</xdr:rowOff>
    </xdr:from>
    <xdr:ext cx="1143000" cy="1143000"/>
    <xdr:pic>
      <xdr:nvPicPr>
        <xdr:cNvPr id="5860" name="b7b48752-d98f-4223-a1cd-8a0bd179a34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2ad16f488e8412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5863</xdr:row>
      <xdr:rowOff>19050</xdr:rowOff>
    </xdr:from>
    <xdr:ext cx="1143000" cy="1143000"/>
    <xdr:pic>
      <xdr:nvPicPr>
        <xdr:cNvPr id="5861" name="290fc8d4-ed36-4c2c-97f9-904154b48af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8108dc834604b4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5864</xdr:row>
      <xdr:rowOff>19050</xdr:rowOff>
    </xdr:from>
    <xdr:ext cx="1143000" cy="1143000"/>
    <xdr:pic>
      <xdr:nvPicPr>
        <xdr:cNvPr id="5862" name="d6873272-dc04-44a2-b22d-c9565aa8717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f4e8a72069d444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5865</xdr:row>
      <xdr:rowOff>19050</xdr:rowOff>
    </xdr:from>
    <xdr:ext cx="1143000" cy="1143000"/>
    <xdr:pic>
      <xdr:nvPicPr>
        <xdr:cNvPr id="5863" name="81dcddd4-cda9-4e6e-8be5-7bed299856e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6235336267a4e7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5866</xdr:row>
      <xdr:rowOff>19050</xdr:rowOff>
    </xdr:from>
    <xdr:ext cx="1143000" cy="1143000"/>
    <xdr:pic>
      <xdr:nvPicPr>
        <xdr:cNvPr id="5864" name="bb8f5b73-63df-4a34-bb2d-b6befb91552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52030adf9bf4a7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5867</xdr:row>
      <xdr:rowOff>19050</xdr:rowOff>
    </xdr:from>
    <xdr:ext cx="1143000" cy="1143000"/>
    <xdr:pic>
      <xdr:nvPicPr>
        <xdr:cNvPr id="5865" name="33c39377-b74d-43b7-8984-4afd5fdf1fa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c778ca16c554fc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5868</xdr:row>
      <xdr:rowOff>19050</xdr:rowOff>
    </xdr:from>
    <xdr:ext cx="1143000" cy="1143000"/>
    <xdr:pic>
      <xdr:nvPicPr>
        <xdr:cNvPr id="5866" name="22209f28-b0e1-4e3f-b100-013d64f828c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8536483ec5a46d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5869</xdr:row>
      <xdr:rowOff>19050</xdr:rowOff>
    </xdr:from>
    <xdr:ext cx="1143000" cy="1143000"/>
    <xdr:pic>
      <xdr:nvPicPr>
        <xdr:cNvPr id="5867" name="c9128de8-b6d0-42a4-809d-cbb5f77a69c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04eb57a819149d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5870</xdr:row>
      <xdr:rowOff>19050</xdr:rowOff>
    </xdr:from>
    <xdr:ext cx="1143000" cy="1143000"/>
    <xdr:pic>
      <xdr:nvPicPr>
        <xdr:cNvPr id="5868" name="9459834c-77d3-47e1-9f9d-bd182c7d8f6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82e98f21653484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5871</xdr:row>
      <xdr:rowOff>19050</xdr:rowOff>
    </xdr:from>
    <xdr:ext cx="1143000" cy="1143000"/>
    <xdr:pic>
      <xdr:nvPicPr>
        <xdr:cNvPr id="5869" name="0c9aaf85-e548-42af-a6a7-4b70bf32a51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67babba0baf4af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5872</xdr:row>
      <xdr:rowOff>19050</xdr:rowOff>
    </xdr:from>
    <xdr:ext cx="1143000" cy="1143000"/>
    <xdr:pic>
      <xdr:nvPicPr>
        <xdr:cNvPr id="5870" name="b87cbe0f-bbb5-478c-8ed8-c181574d56b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f7337584688416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5873</xdr:row>
      <xdr:rowOff>19050</xdr:rowOff>
    </xdr:from>
    <xdr:ext cx="1143000" cy="1143000"/>
    <xdr:pic>
      <xdr:nvPicPr>
        <xdr:cNvPr id="5871" name="83bc86a9-cd55-48ee-b0be-df39ec2b9d7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16999e9cc0e491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5874</xdr:row>
      <xdr:rowOff>19050</xdr:rowOff>
    </xdr:from>
    <xdr:ext cx="1143000" cy="1143000"/>
    <xdr:pic>
      <xdr:nvPicPr>
        <xdr:cNvPr id="5872" name="685d9b1e-7ffc-414e-bb39-970bc75f0af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854ec5b1f2a414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5875</xdr:row>
      <xdr:rowOff>19050</xdr:rowOff>
    </xdr:from>
    <xdr:ext cx="1143000" cy="1143000"/>
    <xdr:pic>
      <xdr:nvPicPr>
        <xdr:cNvPr id="5873" name="160bf377-a1de-44b4-a89c-a9690208a18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a012f214105474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5876</xdr:row>
      <xdr:rowOff>19050</xdr:rowOff>
    </xdr:from>
    <xdr:ext cx="1143000" cy="1143000"/>
    <xdr:pic>
      <xdr:nvPicPr>
        <xdr:cNvPr id="5874" name="57c5cf53-a54d-4280-b7cc-bae144ab607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cae08ca4e2440c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5877</xdr:row>
      <xdr:rowOff>19050</xdr:rowOff>
    </xdr:from>
    <xdr:ext cx="1143000" cy="1143000"/>
    <xdr:pic>
      <xdr:nvPicPr>
        <xdr:cNvPr id="5875" name="6e5ae98e-96e7-4ab7-8f1d-328ce2cad7d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ac193c33fc1414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5878</xdr:row>
      <xdr:rowOff>19050</xdr:rowOff>
    </xdr:from>
    <xdr:ext cx="1143000" cy="1143000"/>
    <xdr:pic>
      <xdr:nvPicPr>
        <xdr:cNvPr id="5876" name="eb30401e-6dd0-470f-8180-87b39159088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5915ff6c16c4f3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5879</xdr:row>
      <xdr:rowOff>19050</xdr:rowOff>
    </xdr:from>
    <xdr:ext cx="1143000" cy="1143000"/>
    <xdr:pic>
      <xdr:nvPicPr>
        <xdr:cNvPr id="5877" name="380b304f-0ea1-476b-8f1a-587ec977c12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a00d7fc98db491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5880</xdr:row>
      <xdr:rowOff>19050</xdr:rowOff>
    </xdr:from>
    <xdr:ext cx="1143000" cy="1143000"/>
    <xdr:pic>
      <xdr:nvPicPr>
        <xdr:cNvPr id="5878" name="0a1d4264-0082-4fca-93f7-a72aaf917b9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9693383395140d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5881</xdr:row>
      <xdr:rowOff>19050</xdr:rowOff>
    </xdr:from>
    <xdr:ext cx="1143000" cy="1143000"/>
    <xdr:pic>
      <xdr:nvPicPr>
        <xdr:cNvPr id="5879" name="792f03aa-8886-4ad8-b365-a37875e941e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97c4b9ecab24c2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5882</xdr:row>
      <xdr:rowOff>19050</xdr:rowOff>
    </xdr:from>
    <xdr:ext cx="1143000" cy="1143000"/>
    <xdr:pic>
      <xdr:nvPicPr>
        <xdr:cNvPr id="5880" name="6b4b65b5-198a-4f4f-81a1-7c9b5d5834e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c00003baa9a456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5883</xdr:row>
      <xdr:rowOff>19050</xdr:rowOff>
    </xdr:from>
    <xdr:ext cx="1143000" cy="1143000"/>
    <xdr:pic>
      <xdr:nvPicPr>
        <xdr:cNvPr id="5881" name="7ea93178-daf6-4dc6-a8e0-9971f8b2a49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54dd7a664404a1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5884</xdr:row>
      <xdr:rowOff>19050</xdr:rowOff>
    </xdr:from>
    <xdr:ext cx="1143000" cy="1143000"/>
    <xdr:pic>
      <xdr:nvPicPr>
        <xdr:cNvPr id="5882" name="116d5d0c-59ad-4058-9970-f7879ee4991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7ac90535dad4df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5885</xdr:row>
      <xdr:rowOff>19050</xdr:rowOff>
    </xdr:from>
    <xdr:ext cx="1143000" cy="1143000"/>
    <xdr:pic>
      <xdr:nvPicPr>
        <xdr:cNvPr id="5883" name="b230b035-ecaf-4d34-b06e-8c3b1b3039a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c344ee2c9d14ad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5886</xdr:row>
      <xdr:rowOff>19050</xdr:rowOff>
    </xdr:from>
    <xdr:ext cx="1143000" cy="1143000"/>
    <xdr:pic>
      <xdr:nvPicPr>
        <xdr:cNvPr id="5884" name="a0e37ddc-63a8-43fe-b6fc-88703a410a1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dd9ec915e0b451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5887</xdr:row>
      <xdr:rowOff>19050</xdr:rowOff>
    </xdr:from>
    <xdr:ext cx="1143000" cy="1143000"/>
    <xdr:pic>
      <xdr:nvPicPr>
        <xdr:cNvPr id="5885" name="8067c2c4-a799-40ba-968d-3f59c90f810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fceee46073f455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5888</xdr:row>
      <xdr:rowOff>19050</xdr:rowOff>
    </xdr:from>
    <xdr:ext cx="1143000" cy="1143000"/>
    <xdr:pic>
      <xdr:nvPicPr>
        <xdr:cNvPr id="5886" name="a199463e-611f-4726-b326-3edcb284e67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434c8a4d53b466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5889</xdr:row>
      <xdr:rowOff>19050</xdr:rowOff>
    </xdr:from>
    <xdr:ext cx="1143000" cy="1143000"/>
    <xdr:pic>
      <xdr:nvPicPr>
        <xdr:cNvPr id="5887" name="4a982ae7-d93e-4fff-a5f5-86ac6fd0cbc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1aab873fe5e416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5890</xdr:row>
      <xdr:rowOff>19050</xdr:rowOff>
    </xdr:from>
    <xdr:ext cx="1143000" cy="1143000"/>
    <xdr:pic>
      <xdr:nvPicPr>
        <xdr:cNvPr id="5888" name="9175705a-fd2b-44c8-a1d6-c80236fc96b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3ebca9219af4ab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5891</xdr:row>
      <xdr:rowOff>19050</xdr:rowOff>
    </xdr:from>
    <xdr:ext cx="1143000" cy="1143000"/>
    <xdr:pic>
      <xdr:nvPicPr>
        <xdr:cNvPr id="5889" name="1d70844b-4de6-461a-aaee-1ffe3292ebb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9e03323337d4e6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5892</xdr:row>
      <xdr:rowOff>19050</xdr:rowOff>
    </xdr:from>
    <xdr:ext cx="1143000" cy="1143000"/>
    <xdr:pic>
      <xdr:nvPicPr>
        <xdr:cNvPr id="5890" name="b596e73e-6bd5-4254-a478-fa686120db0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b120bb7cb75439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5893</xdr:row>
      <xdr:rowOff>19050</xdr:rowOff>
    </xdr:from>
    <xdr:ext cx="1143000" cy="1143000"/>
    <xdr:pic>
      <xdr:nvPicPr>
        <xdr:cNvPr id="5891" name="2078f143-903b-4630-8caf-1e740020a43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f459ee0e0e74b9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5894</xdr:row>
      <xdr:rowOff>19050</xdr:rowOff>
    </xdr:from>
    <xdr:ext cx="1143000" cy="1143000"/>
    <xdr:pic>
      <xdr:nvPicPr>
        <xdr:cNvPr id="5892" name="dd9899f6-53f2-4399-bbc8-edfbe226d64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d98fce04de84f6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5895</xdr:row>
      <xdr:rowOff>19050</xdr:rowOff>
    </xdr:from>
    <xdr:ext cx="1143000" cy="1143000"/>
    <xdr:pic>
      <xdr:nvPicPr>
        <xdr:cNvPr id="5893" name="7cfa71e9-d1a9-439a-9b21-6b70c97bed8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8b4d4fd4d4741f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5896</xdr:row>
      <xdr:rowOff>19050</xdr:rowOff>
    </xdr:from>
    <xdr:ext cx="1143000" cy="1143000"/>
    <xdr:pic>
      <xdr:nvPicPr>
        <xdr:cNvPr id="5894" name="53fcb7fc-1e2b-4879-8705-6e0b15e9baf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ecc24b5c7594dd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5897</xdr:row>
      <xdr:rowOff>19050</xdr:rowOff>
    </xdr:from>
    <xdr:ext cx="1143000" cy="1143000"/>
    <xdr:pic>
      <xdr:nvPicPr>
        <xdr:cNvPr id="5895" name="8407e260-3029-4fca-8bb6-e2ac3dd429f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798dc861d8e48a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5898</xdr:row>
      <xdr:rowOff>19050</xdr:rowOff>
    </xdr:from>
    <xdr:ext cx="1143000" cy="1143000"/>
    <xdr:pic>
      <xdr:nvPicPr>
        <xdr:cNvPr id="5896" name="3c96fcf9-f0a6-41e4-9b95-0de333758ea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29fe0dfc1d54c4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5899</xdr:row>
      <xdr:rowOff>19050</xdr:rowOff>
    </xdr:from>
    <xdr:ext cx="1143000" cy="1143000"/>
    <xdr:pic>
      <xdr:nvPicPr>
        <xdr:cNvPr id="5897" name="cba43377-4771-4196-a688-0151a59e321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287cae1abad40d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5900</xdr:row>
      <xdr:rowOff>19050</xdr:rowOff>
    </xdr:from>
    <xdr:ext cx="1143000" cy="1143000"/>
    <xdr:pic>
      <xdr:nvPicPr>
        <xdr:cNvPr id="5898" name="264b4921-76c6-4970-87f7-c869ce91146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eb090dd298c496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5901</xdr:row>
      <xdr:rowOff>19050</xdr:rowOff>
    </xdr:from>
    <xdr:ext cx="1143000" cy="1143000"/>
    <xdr:pic>
      <xdr:nvPicPr>
        <xdr:cNvPr id="5899" name="f2b910c2-d845-415b-8054-0aa70d3cbae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173ecafbd17479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5902</xdr:row>
      <xdr:rowOff>19050</xdr:rowOff>
    </xdr:from>
    <xdr:ext cx="1143000" cy="1143000"/>
    <xdr:pic>
      <xdr:nvPicPr>
        <xdr:cNvPr id="5900" name="e55f93bd-9d7b-49c3-94ad-07ca454ef34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2b8d7c3ec4f4c1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5903</xdr:row>
      <xdr:rowOff>19050</xdr:rowOff>
    </xdr:from>
    <xdr:ext cx="1143000" cy="1143000"/>
    <xdr:pic>
      <xdr:nvPicPr>
        <xdr:cNvPr id="5901" name="38922ff8-096c-4c00-907f-a696ca5f611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0bf4c4edea4400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5904</xdr:row>
      <xdr:rowOff>19050</xdr:rowOff>
    </xdr:from>
    <xdr:ext cx="1143000" cy="1143000"/>
    <xdr:pic>
      <xdr:nvPicPr>
        <xdr:cNvPr id="5902" name="70b3aac9-0ec0-4baa-ac52-b842a198726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4ba5cab0da149d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5905</xdr:row>
      <xdr:rowOff>19050</xdr:rowOff>
    </xdr:from>
    <xdr:ext cx="1143000" cy="1143000"/>
    <xdr:pic>
      <xdr:nvPicPr>
        <xdr:cNvPr id="5903" name="d75ae687-dcc5-4048-8f0e-bfca7d5460c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911db3abf314f8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5906</xdr:row>
      <xdr:rowOff>19050</xdr:rowOff>
    </xdr:from>
    <xdr:ext cx="1143000" cy="1143000"/>
    <xdr:pic>
      <xdr:nvPicPr>
        <xdr:cNvPr id="5904" name="d5935db2-1d88-43c1-a57b-3b7edfda448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c56e97a2d224b7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5907</xdr:row>
      <xdr:rowOff>19050</xdr:rowOff>
    </xdr:from>
    <xdr:ext cx="1143000" cy="1143000"/>
    <xdr:pic>
      <xdr:nvPicPr>
        <xdr:cNvPr id="5905" name="0ed69442-3421-46f7-a498-3b9aa0003d5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dcaf0308aa443d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5908</xdr:row>
      <xdr:rowOff>19050</xdr:rowOff>
    </xdr:from>
    <xdr:ext cx="1143000" cy="1143000"/>
    <xdr:pic>
      <xdr:nvPicPr>
        <xdr:cNvPr id="5906" name="bc52d60e-bf54-43d5-9b83-f09138d7231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d15bb86df52404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5909</xdr:row>
      <xdr:rowOff>19050</xdr:rowOff>
    </xdr:from>
    <xdr:ext cx="1143000" cy="1143000"/>
    <xdr:pic>
      <xdr:nvPicPr>
        <xdr:cNvPr id="5907" name="166b1643-e5d2-4d16-969d-7223713df90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210cbe1e0f7413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5910</xdr:row>
      <xdr:rowOff>19050</xdr:rowOff>
    </xdr:from>
    <xdr:ext cx="1143000" cy="1143000"/>
    <xdr:pic>
      <xdr:nvPicPr>
        <xdr:cNvPr id="5908" name="92db2940-cff1-458f-aa9a-3414917892c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ef836235ad54fb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5911</xdr:row>
      <xdr:rowOff>19050</xdr:rowOff>
    </xdr:from>
    <xdr:ext cx="1143000" cy="1143000"/>
    <xdr:pic>
      <xdr:nvPicPr>
        <xdr:cNvPr id="5909" name="db706885-ea48-45bd-adce-9a918d4b20e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65bce71da0a4f0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5912</xdr:row>
      <xdr:rowOff>19050</xdr:rowOff>
    </xdr:from>
    <xdr:ext cx="1143000" cy="1143000"/>
    <xdr:pic>
      <xdr:nvPicPr>
        <xdr:cNvPr id="5910" name="9e58dad3-3f2d-48bc-ac42-79ae8f5df73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e5800449db9447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5913</xdr:row>
      <xdr:rowOff>19050</xdr:rowOff>
    </xdr:from>
    <xdr:ext cx="1143000" cy="1143000"/>
    <xdr:pic>
      <xdr:nvPicPr>
        <xdr:cNvPr id="5911" name="be82a712-dca8-455d-8986-3688dfc7c03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34557693555479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5914</xdr:row>
      <xdr:rowOff>19050</xdr:rowOff>
    </xdr:from>
    <xdr:ext cx="1143000" cy="1143000"/>
    <xdr:pic>
      <xdr:nvPicPr>
        <xdr:cNvPr id="5912" name="faecb747-d354-4717-87bf-047d35b8495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6235e8255494ce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5915</xdr:row>
      <xdr:rowOff>19050</xdr:rowOff>
    </xdr:from>
    <xdr:ext cx="1143000" cy="1143000"/>
    <xdr:pic>
      <xdr:nvPicPr>
        <xdr:cNvPr id="5913" name="a9eb6d85-18c9-449a-a9ac-78304cf3a07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6efccaea8ff443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5916</xdr:row>
      <xdr:rowOff>19050</xdr:rowOff>
    </xdr:from>
    <xdr:ext cx="1143000" cy="1143000"/>
    <xdr:pic>
      <xdr:nvPicPr>
        <xdr:cNvPr id="5914" name="08f7c1e7-e796-406f-a975-347f1e9ef8f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dab6ddaa67742d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5917</xdr:row>
      <xdr:rowOff>19050</xdr:rowOff>
    </xdr:from>
    <xdr:ext cx="1143000" cy="1143000"/>
    <xdr:pic>
      <xdr:nvPicPr>
        <xdr:cNvPr id="5915" name="848aaca4-4270-4491-975e-37ebf3ce471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a589a96e1db426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5918</xdr:row>
      <xdr:rowOff>19050</xdr:rowOff>
    </xdr:from>
    <xdr:ext cx="1143000" cy="1143000"/>
    <xdr:pic>
      <xdr:nvPicPr>
        <xdr:cNvPr id="5916" name="410f06af-79fc-4d15-96f6-306ea91e4a7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06ca833cb9c4ac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5919</xdr:row>
      <xdr:rowOff>19050</xdr:rowOff>
    </xdr:from>
    <xdr:ext cx="1143000" cy="1143000"/>
    <xdr:pic>
      <xdr:nvPicPr>
        <xdr:cNvPr id="5917" name="3b48c1e3-ac0b-4ee1-8169-808617aa947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93608dc998348a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5920</xdr:row>
      <xdr:rowOff>19050</xdr:rowOff>
    </xdr:from>
    <xdr:ext cx="1143000" cy="1143000"/>
    <xdr:pic>
      <xdr:nvPicPr>
        <xdr:cNvPr id="5918" name="8257a0b8-9a87-4645-a1ab-552577cbc87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d7190c187084b6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5921</xdr:row>
      <xdr:rowOff>19050</xdr:rowOff>
    </xdr:from>
    <xdr:ext cx="1143000" cy="1143000"/>
    <xdr:pic>
      <xdr:nvPicPr>
        <xdr:cNvPr id="5919" name="3491d437-2ab0-42b9-9d44-df4ede5fe04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5a9db5a48bf48d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5922</xdr:row>
      <xdr:rowOff>19050</xdr:rowOff>
    </xdr:from>
    <xdr:ext cx="1143000" cy="1143000"/>
    <xdr:pic>
      <xdr:nvPicPr>
        <xdr:cNvPr id="5920" name="e850f929-7660-4c15-b58f-bbd7f7974c4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f6b4c0fc90543d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5923</xdr:row>
      <xdr:rowOff>19050</xdr:rowOff>
    </xdr:from>
    <xdr:ext cx="1143000" cy="1143000"/>
    <xdr:pic>
      <xdr:nvPicPr>
        <xdr:cNvPr id="5921" name="979540f3-ddf0-4443-aaa0-4f25e6463ae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dd41ae82112421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5924</xdr:row>
      <xdr:rowOff>19050</xdr:rowOff>
    </xdr:from>
    <xdr:ext cx="1143000" cy="1143000"/>
    <xdr:pic>
      <xdr:nvPicPr>
        <xdr:cNvPr id="5922" name="b1d58580-20a7-4746-ae0c-d9886efa649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a2045fe87a3474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5925</xdr:row>
      <xdr:rowOff>19050</xdr:rowOff>
    </xdr:from>
    <xdr:ext cx="1143000" cy="1143000"/>
    <xdr:pic>
      <xdr:nvPicPr>
        <xdr:cNvPr id="5923" name="73151435-e847-4188-a137-1f36e794d60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568f373a27746b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5926</xdr:row>
      <xdr:rowOff>19050</xdr:rowOff>
    </xdr:from>
    <xdr:ext cx="1143000" cy="1143000"/>
    <xdr:pic>
      <xdr:nvPicPr>
        <xdr:cNvPr id="5924" name="b826c16a-0942-4c3b-adfa-3012f71c264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8091855e4f14d2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5927</xdr:row>
      <xdr:rowOff>19050</xdr:rowOff>
    </xdr:from>
    <xdr:ext cx="1143000" cy="1143000"/>
    <xdr:pic>
      <xdr:nvPicPr>
        <xdr:cNvPr id="5925" name="9a11e69e-c6e1-4947-8b18-49e2c2fe13b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7417c5384fe47b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5928</xdr:row>
      <xdr:rowOff>19050</xdr:rowOff>
    </xdr:from>
    <xdr:ext cx="1143000" cy="1143000"/>
    <xdr:pic>
      <xdr:nvPicPr>
        <xdr:cNvPr id="5926" name="f042da02-9787-4fed-9399-1ede471237b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4fc417dfa1b48b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5929</xdr:row>
      <xdr:rowOff>19050</xdr:rowOff>
    </xdr:from>
    <xdr:ext cx="1143000" cy="1143000"/>
    <xdr:pic>
      <xdr:nvPicPr>
        <xdr:cNvPr id="5927" name="ca56b6f7-ad65-4255-9741-ceaba4f5264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d42546062744bb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5930</xdr:row>
      <xdr:rowOff>19050</xdr:rowOff>
    </xdr:from>
    <xdr:ext cx="1143000" cy="1143000"/>
    <xdr:pic>
      <xdr:nvPicPr>
        <xdr:cNvPr id="5928" name="715154ee-9dd9-4da5-80f8-041cc39720c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be3386cf1a0425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5931</xdr:row>
      <xdr:rowOff>19050</xdr:rowOff>
    </xdr:from>
    <xdr:ext cx="1143000" cy="1143000"/>
    <xdr:pic>
      <xdr:nvPicPr>
        <xdr:cNvPr id="5929" name="345a604c-223e-4cad-b85e-74ded8e7e68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6359bb93f92491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5932</xdr:row>
      <xdr:rowOff>19050</xdr:rowOff>
    </xdr:from>
    <xdr:ext cx="1143000" cy="1143000"/>
    <xdr:pic>
      <xdr:nvPicPr>
        <xdr:cNvPr id="5930" name="e5c5027e-0342-425d-8a25-902664f9a10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37663ab6ee7424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5933</xdr:row>
      <xdr:rowOff>19050</xdr:rowOff>
    </xdr:from>
    <xdr:ext cx="1143000" cy="1143000"/>
    <xdr:pic>
      <xdr:nvPicPr>
        <xdr:cNvPr id="5931" name="b4377f43-c04c-459a-af3e-90f60b2bf65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331997a170743a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5934</xdr:row>
      <xdr:rowOff>19050</xdr:rowOff>
    </xdr:from>
    <xdr:ext cx="1143000" cy="1143000"/>
    <xdr:pic>
      <xdr:nvPicPr>
        <xdr:cNvPr id="5932" name="d38ee572-1991-45e3-a241-eb7b5e9a5b2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0dfd6a1394743e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5935</xdr:row>
      <xdr:rowOff>19050</xdr:rowOff>
    </xdr:from>
    <xdr:ext cx="1143000" cy="1143000"/>
    <xdr:pic>
      <xdr:nvPicPr>
        <xdr:cNvPr id="5933" name="61134141-3c05-46e7-8817-1a0423b7b3d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64a36b58eb143b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5936</xdr:row>
      <xdr:rowOff>19050</xdr:rowOff>
    </xdr:from>
    <xdr:ext cx="1143000" cy="1143000"/>
    <xdr:pic>
      <xdr:nvPicPr>
        <xdr:cNvPr id="5934" name="b9732141-2b25-40e1-8894-ae305c05ffe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4fbf47ff75b462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5937</xdr:row>
      <xdr:rowOff>19050</xdr:rowOff>
    </xdr:from>
    <xdr:ext cx="1143000" cy="1143000"/>
    <xdr:pic>
      <xdr:nvPicPr>
        <xdr:cNvPr id="5935" name="ef9ef836-58fa-4328-8aa5-898d1a059a4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4f90e550663445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5938</xdr:row>
      <xdr:rowOff>19050</xdr:rowOff>
    </xdr:from>
    <xdr:ext cx="1143000" cy="1143000"/>
    <xdr:pic>
      <xdr:nvPicPr>
        <xdr:cNvPr id="5936" name="8c18bf0c-68f8-4ca3-9e3a-bd07c3205c9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804e23305844fd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5939</xdr:row>
      <xdr:rowOff>19050</xdr:rowOff>
    </xdr:from>
    <xdr:ext cx="1143000" cy="1143000"/>
    <xdr:pic>
      <xdr:nvPicPr>
        <xdr:cNvPr id="5937" name="be67f257-34a0-4da3-84b7-70ff02e1ffa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fb876004ea842d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5940</xdr:row>
      <xdr:rowOff>19050</xdr:rowOff>
    </xdr:from>
    <xdr:ext cx="1143000" cy="1143000"/>
    <xdr:pic>
      <xdr:nvPicPr>
        <xdr:cNvPr id="5938" name="bed71abd-dcdb-4cc8-8e7e-a30267c42bb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e38f69fb16a4af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5941</xdr:row>
      <xdr:rowOff>19050</xdr:rowOff>
    </xdr:from>
    <xdr:ext cx="1143000" cy="1143000"/>
    <xdr:pic>
      <xdr:nvPicPr>
        <xdr:cNvPr id="5939" name="eb327bc2-4331-484a-8526-0ca299faa17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7f3a3673df34fc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5942</xdr:row>
      <xdr:rowOff>19050</xdr:rowOff>
    </xdr:from>
    <xdr:ext cx="1143000" cy="1143000"/>
    <xdr:pic>
      <xdr:nvPicPr>
        <xdr:cNvPr id="5940" name="e9306707-2b13-43dd-814f-d83d322cddb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420d877c74c4c5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5943</xdr:row>
      <xdr:rowOff>19050</xdr:rowOff>
    </xdr:from>
    <xdr:ext cx="1143000" cy="1143000"/>
    <xdr:pic>
      <xdr:nvPicPr>
        <xdr:cNvPr id="5941" name="48b55c56-06d9-428a-b86e-858663b522a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3810e16813f4ef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5944</xdr:row>
      <xdr:rowOff>19050</xdr:rowOff>
    </xdr:from>
    <xdr:ext cx="1143000" cy="1143000"/>
    <xdr:pic>
      <xdr:nvPicPr>
        <xdr:cNvPr id="5942" name="13fd1965-9e4e-499a-bb91-41d6ab78bb3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d078b28ffd9412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5945</xdr:row>
      <xdr:rowOff>19050</xdr:rowOff>
    </xdr:from>
    <xdr:ext cx="1143000" cy="1143000"/>
    <xdr:pic>
      <xdr:nvPicPr>
        <xdr:cNvPr id="5943" name="2d7e43ed-aba7-49d0-907b-c433149e2a4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d722317ee6144b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5946</xdr:row>
      <xdr:rowOff>19050</xdr:rowOff>
    </xdr:from>
    <xdr:ext cx="1143000" cy="1143000"/>
    <xdr:pic>
      <xdr:nvPicPr>
        <xdr:cNvPr id="5944" name="628055b5-c85e-4ad6-bf02-5af9be6232b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014bc75c7a6423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5947</xdr:row>
      <xdr:rowOff>19050</xdr:rowOff>
    </xdr:from>
    <xdr:ext cx="1143000" cy="1143000"/>
    <xdr:pic>
      <xdr:nvPicPr>
        <xdr:cNvPr id="5945" name="29ffea73-8106-428c-9eb1-63c55dccbf7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0f3b8dfad4e431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5948</xdr:row>
      <xdr:rowOff>19050</xdr:rowOff>
    </xdr:from>
    <xdr:ext cx="1143000" cy="1143000"/>
    <xdr:pic>
      <xdr:nvPicPr>
        <xdr:cNvPr id="5946" name="e275b264-6534-4eb8-969e-e7ad97d5674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b11d5348fc145f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5949</xdr:row>
      <xdr:rowOff>19050</xdr:rowOff>
    </xdr:from>
    <xdr:ext cx="1143000" cy="1143000"/>
    <xdr:pic>
      <xdr:nvPicPr>
        <xdr:cNvPr id="5947" name="1cc921a2-6409-4249-843b-54ba2dcb261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5294e52e76941f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5950</xdr:row>
      <xdr:rowOff>19050</xdr:rowOff>
    </xdr:from>
    <xdr:ext cx="1143000" cy="1143000"/>
    <xdr:pic>
      <xdr:nvPicPr>
        <xdr:cNvPr id="5948" name="01a19c14-76ca-4379-922f-2bf73771314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996ce7ef297490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5951</xdr:row>
      <xdr:rowOff>19050</xdr:rowOff>
    </xdr:from>
    <xdr:ext cx="1143000" cy="1143000"/>
    <xdr:pic>
      <xdr:nvPicPr>
        <xdr:cNvPr id="5949" name="7a4da9d0-0083-4814-9f7f-bec40b60e8e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9547ff7b2ae473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5952</xdr:row>
      <xdr:rowOff>19050</xdr:rowOff>
    </xdr:from>
    <xdr:ext cx="1143000" cy="1143000"/>
    <xdr:pic>
      <xdr:nvPicPr>
        <xdr:cNvPr id="5950" name="01600b28-ef01-42cb-a47b-6c2674922eb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55620a76f68463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5953</xdr:row>
      <xdr:rowOff>19050</xdr:rowOff>
    </xdr:from>
    <xdr:ext cx="1143000" cy="1143000"/>
    <xdr:pic>
      <xdr:nvPicPr>
        <xdr:cNvPr id="5951" name="c66f78f6-481d-4dd9-b76b-1b6a96d3689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94960f0c82344a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5954</xdr:row>
      <xdr:rowOff>19050</xdr:rowOff>
    </xdr:from>
    <xdr:ext cx="1143000" cy="1143000"/>
    <xdr:pic>
      <xdr:nvPicPr>
        <xdr:cNvPr id="5952" name="98fd27da-0730-4576-b1eb-0084f058a9a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1cf945a6a69432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5955</xdr:row>
      <xdr:rowOff>19050</xdr:rowOff>
    </xdr:from>
    <xdr:ext cx="1143000" cy="1143000"/>
    <xdr:pic>
      <xdr:nvPicPr>
        <xdr:cNvPr id="5953" name="41d9d3d0-3f7d-43ee-bece-22315499069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84a58377a7e4f0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5956</xdr:row>
      <xdr:rowOff>19050</xdr:rowOff>
    </xdr:from>
    <xdr:ext cx="1143000" cy="1143000"/>
    <xdr:pic>
      <xdr:nvPicPr>
        <xdr:cNvPr id="5954" name="780e9a0b-e90e-4dbf-a459-c281fd00ac3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962380bf5d149c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5957</xdr:row>
      <xdr:rowOff>19050</xdr:rowOff>
    </xdr:from>
    <xdr:ext cx="1143000" cy="1143000"/>
    <xdr:pic>
      <xdr:nvPicPr>
        <xdr:cNvPr id="5955" name="746687fd-6bf3-40eb-8295-bcb2c6fc218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3f5f3543db140f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5958</xdr:row>
      <xdr:rowOff>19050</xdr:rowOff>
    </xdr:from>
    <xdr:ext cx="1143000" cy="1143000"/>
    <xdr:pic>
      <xdr:nvPicPr>
        <xdr:cNvPr id="5956" name="f1f4a71f-e388-4f1a-81df-dd8b1c9027b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cd4db8401c44c4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5959</xdr:row>
      <xdr:rowOff>19050</xdr:rowOff>
    </xdr:from>
    <xdr:ext cx="1143000" cy="1143000"/>
    <xdr:pic>
      <xdr:nvPicPr>
        <xdr:cNvPr id="5957" name="cc8a9c68-74f9-4e55-8a40-8ba4abf3fbb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d6486705448468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5960</xdr:row>
      <xdr:rowOff>19050</xdr:rowOff>
    </xdr:from>
    <xdr:ext cx="1143000" cy="1143000"/>
    <xdr:pic>
      <xdr:nvPicPr>
        <xdr:cNvPr id="5958" name="eec2ecac-c3d5-483d-a4d8-e7bfa948ee3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deb2429a8964b0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5961</xdr:row>
      <xdr:rowOff>19050</xdr:rowOff>
    </xdr:from>
    <xdr:ext cx="1143000" cy="1143000"/>
    <xdr:pic>
      <xdr:nvPicPr>
        <xdr:cNvPr id="5959" name="3c7e603e-dbac-48ea-97d8-f5778f75239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2be5eea132343e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5962</xdr:row>
      <xdr:rowOff>19050</xdr:rowOff>
    </xdr:from>
    <xdr:ext cx="1143000" cy="1143000"/>
    <xdr:pic>
      <xdr:nvPicPr>
        <xdr:cNvPr id="5960" name="b50233cb-6db2-4af4-92eb-3475cceb702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bbe54b3ee7742f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5963</xdr:row>
      <xdr:rowOff>19050</xdr:rowOff>
    </xdr:from>
    <xdr:ext cx="1143000" cy="1143000"/>
    <xdr:pic>
      <xdr:nvPicPr>
        <xdr:cNvPr id="5961" name="6071aa58-309d-462b-a60a-f2cd360bde6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b337e3976af43e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5964</xdr:row>
      <xdr:rowOff>19050</xdr:rowOff>
    </xdr:from>
    <xdr:ext cx="1143000" cy="1143000"/>
    <xdr:pic>
      <xdr:nvPicPr>
        <xdr:cNvPr id="5962" name="e61a274e-8300-44ec-b738-54160d630ca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760ff9e54c041b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5965</xdr:row>
      <xdr:rowOff>19050</xdr:rowOff>
    </xdr:from>
    <xdr:ext cx="1143000" cy="1143000"/>
    <xdr:pic>
      <xdr:nvPicPr>
        <xdr:cNvPr id="5963" name="3cae997f-3efe-461a-9573-16bf6ebfcf9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cb2d4641733497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5966</xdr:row>
      <xdr:rowOff>19050</xdr:rowOff>
    </xdr:from>
    <xdr:ext cx="1143000" cy="1143000"/>
    <xdr:pic>
      <xdr:nvPicPr>
        <xdr:cNvPr id="5964" name="111aefc1-58cd-4811-9aee-38d2041d157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c446aaeb0c54ed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5967</xdr:row>
      <xdr:rowOff>19050</xdr:rowOff>
    </xdr:from>
    <xdr:ext cx="1143000" cy="1143000"/>
    <xdr:pic>
      <xdr:nvPicPr>
        <xdr:cNvPr id="5965" name="75de21b5-2e7c-44e7-95e0-55df1cd93e2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903563cb31744e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5968</xdr:row>
      <xdr:rowOff>19050</xdr:rowOff>
    </xdr:from>
    <xdr:ext cx="1143000" cy="1143000"/>
    <xdr:pic>
      <xdr:nvPicPr>
        <xdr:cNvPr id="5966" name="d6f8958a-e3f7-4b5d-9f76-faca48c6025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725df983d5e4d3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5969</xdr:row>
      <xdr:rowOff>19050</xdr:rowOff>
    </xdr:from>
    <xdr:ext cx="1143000" cy="1143000"/>
    <xdr:pic>
      <xdr:nvPicPr>
        <xdr:cNvPr id="5967" name="2f28ba8b-2abd-4aa5-a13d-8bfb1740afe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3c123cfef94489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5970</xdr:row>
      <xdr:rowOff>19050</xdr:rowOff>
    </xdr:from>
    <xdr:ext cx="1143000" cy="1143000"/>
    <xdr:pic>
      <xdr:nvPicPr>
        <xdr:cNvPr id="5968" name="549f5486-2080-4863-80a3-8f1f953215e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3c23bc7933d4bf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5971</xdr:row>
      <xdr:rowOff>19050</xdr:rowOff>
    </xdr:from>
    <xdr:ext cx="1143000" cy="1143000"/>
    <xdr:pic>
      <xdr:nvPicPr>
        <xdr:cNvPr id="5969" name="248dc191-ac68-4e69-9b93-f045ea31515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8eaf1d001974bb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5972</xdr:row>
      <xdr:rowOff>19050</xdr:rowOff>
    </xdr:from>
    <xdr:ext cx="1143000" cy="1143000"/>
    <xdr:pic>
      <xdr:nvPicPr>
        <xdr:cNvPr id="5970" name="1387a675-577d-41e5-bd02-5ee991bce49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669494a4ac34fb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5973</xdr:row>
      <xdr:rowOff>19050</xdr:rowOff>
    </xdr:from>
    <xdr:ext cx="1143000" cy="1143000"/>
    <xdr:pic>
      <xdr:nvPicPr>
        <xdr:cNvPr id="5971" name="3cc5f2a7-3ae4-420a-9210-112301c3338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e2bb7d8627f452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5974</xdr:row>
      <xdr:rowOff>19050</xdr:rowOff>
    </xdr:from>
    <xdr:ext cx="1143000" cy="1143000"/>
    <xdr:pic>
      <xdr:nvPicPr>
        <xdr:cNvPr id="5972" name="b2a5cdb8-1c98-43f5-984c-d2b9b5c2282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b658f61913b47c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5975</xdr:row>
      <xdr:rowOff>19050</xdr:rowOff>
    </xdr:from>
    <xdr:ext cx="1143000" cy="1143000"/>
    <xdr:pic>
      <xdr:nvPicPr>
        <xdr:cNvPr id="5973" name="27ba89a3-690f-4a5b-8f66-759be00f315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c7d1af336c04b8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5976</xdr:row>
      <xdr:rowOff>19050</xdr:rowOff>
    </xdr:from>
    <xdr:ext cx="1143000" cy="1143000"/>
    <xdr:pic>
      <xdr:nvPicPr>
        <xdr:cNvPr id="5974" name="cf1cbee0-9f68-48fc-a6c0-7fb70e160e2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094ad879a524f0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5977</xdr:row>
      <xdr:rowOff>19050</xdr:rowOff>
    </xdr:from>
    <xdr:ext cx="1143000" cy="1143000"/>
    <xdr:pic>
      <xdr:nvPicPr>
        <xdr:cNvPr id="5975" name="a8cdb9ce-bec6-4b0a-8fab-453a0d21139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abbf5c34b424e2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5978</xdr:row>
      <xdr:rowOff>19050</xdr:rowOff>
    </xdr:from>
    <xdr:ext cx="1143000" cy="1143000"/>
    <xdr:pic>
      <xdr:nvPicPr>
        <xdr:cNvPr id="5976" name="6c7d836e-ccc2-4d17-bdaa-254a3a3b0dd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e2f8e43afa14a0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5979</xdr:row>
      <xdr:rowOff>19050</xdr:rowOff>
    </xdr:from>
    <xdr:ext cx="1143000" cy="1143000"/>
    <xdr:pic>
      <xdr:nvPicPr>
        <xdr:cNvPr id="5977" name="cacbe3c8-dbd7-4fbc-9c41-5424932c140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804b896dc79401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5980</xdr:row>
      <xdr:rowOff>19050</xdr:rowOff>
    </xdr:from>
    <xdr:ext cx="1143000" cy="1143000"/>
    <xdr:pic>
      <xdr:nvPicPr>
        <xdr:cNvPr id="5978" name="ea7d4b87-2062-4688-ae08-ee3392c0ee7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d67a8d2ff0d431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5981</xdr:row>
      <xdr:rowOff>19050</xdr:rowOff>
    </xdr:from>
    <xdr:ext cx="1143000" cy="1143000"/>
    <xdr:pic>
      <xdr:nvPicPr>
        <xdr:cNvPr id="5979" name="fc914b59-fd6e-439d-a91b-dfe01aea814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d8e158eab35460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5982</xdr:row>
      <xdr:rowOff>19050</xdr:rowOff>
    </xdr:from>
    <xdr:ext cx="1143000" cy="1143000"/>
    <xdr:pic>
      <xdr:nvPicPr>
        <xdr:cNvPr id="5980" name="5c803a82-98b7-4f70-89e0-69026e40271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96338fd033a4df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5983</xdr:row>
      <xdr:rowOff>19050</xdr:rowOff>
    </xdr:from>
    <xdr:ext cx="1143000" cy="1143000"/>
    <xdr:pic>
      <xdr:nvPicPr>
        <xdr:cNvPr id="5981" name="3a7e4e0b-41a9-4f41-8683-a7254712f1b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f600ea1135d427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5984</xdr:row>
      <xdr:rowOff>19050</xdr:rowOff>
    </xdr:from>
    <xdr:ext cx="1143000" cy="1143000"/>
    <xdr:pic>
      <xdr:nvPicPr>
        <xdr:cNvPr id="5982" name="46f05110-c1d6-463b-a3b3-c383854d666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f4c4638da2242d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5985</xdr:row>
      <xdr:rowOff>19050</xdr:rowOff>
    </xdr:from>
    <xdr:ext cx="1143000" cy="1143000"/>
    <xdr:pic>
      <xdr:nvPicPr>
        <xdr:cNvPr id="5983" name="45b6e718-7f8b-41d2-be3d-00a20a520fe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faf634512b341a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5986</xdr:row>
      <xdr:rowOff>19050</xdr:rowOff>
    </xdr:from>
    <xdr:ext cx="1143000" cy="1143000"/>
    <xdr:pic>
      <xdr:nvPicPr>
        <xdr:cNvPr id="5984" name="5a35e846-72ae-4334-8503-9f32e017938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0a9a9e5ba68439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5987</xdr:row>
      <xdr:rowOff>19050</xdr:rowOff>
    </xdr:from>
    <xdr:ext cx="1143000" cy="1143000"/>
    <xdr:pic>
      <xdr:nvPicPr>
        <xdr:cNvPr id="5985" name="476cdd6c-ff20-48f3-9964-3987e35df09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f0b652382b84eb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5988</xdr:row>
      <xdr:rowOff>19050</xdr:rowOff>
    </xdr:from>
    <xdr:ext cx="1143000" cy="1143000"/>
    <xdr:pic>
      <xdr:nvPicPr>
        <xdr:cNvPr id="5986" name="b27f980e-b7db-45b1-aca7-99e6e687b72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36a8545a98f4cd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5989</xdr:row>
      <xdr:rowOff>19050</xdr:rowOff>
    </xdr:from>
    <xdr:ext cx="1143000" cy="1143000"/>
    <xdr:pic>
      <xdr:nvPicPr>
        <xdr:cNvPr id="5987" name="3270c742-49f4-4e5d-b3da-22e7a984ebd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b3a7cf19da4401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5990</xdr:row>
      <xdr:rowOff>19050</xdr:rowOff>
    </xdr:from>
    <xdr:ext cx="1143000" cy="1143000"/>
    <xdr:pic>
      <xdr:nvPicPr>
        <xdr:cNvPr id="5988" name="eaea4ab2-19eb-4f94-ad1d-ea435d47234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65a845e991e42b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5991</xdr:row>
      <xdr:rowOff>19050</xdr:rowOff>
    </xdr:from>
    <xdr:ext cx="1143000" cy="1143000"/>
    <xdr:pic>
      <xdr:nvPicPr>
        <xdr:cNvPr id="5989" name="053752b7-1efc-4628-abd4-1b17bf5180f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8d3fe1951684d8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5992</xdr:row>
      <xdr:rowOff>19050</xdr:rowOff>
    </xdr:from>
    <xdr:ext cx="1143000" cy="1143000"/>
    <xdr:pic>
      <xdr:nvPicPr>
        <xdr:cNvPr id="5990" name="e676cb18-9b2b-46c5-8f79-e8347b88712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fc8872ff92449e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5993</xdr:row>
      <xdr:rowOff>19050</xdr:rowOff>
    </xdr:from>
    <xdr:ext cx="1143000" cy="1143000"/>
    <xdr:pic>
      <xdr:nvPicPr>
        <xdr:cNvPr id="5991" name="92c93ba7-59a9-4c23-8516-14ae7690fb3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b4ae34d1b9b448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5994</xdr:row>
      <xdr:rowOff>19050</xdr:rowOff>
    </xdr:from>
    <xdr:ext cx="1143000" cy="1143000"/>
    <xdr:pic>
      <xdr:nvPicPr>
        <xdr:cNvPr id="5992" name="fb65b39c-b4d3-4ead-9086-282977ebc21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dcfd02b0c4d43d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5995</xdr:row>
      <xdr:rowOff>19050</xdr:rowOff>
    </xdr:from>
    <xdr:ext cx="1143000" cy="1143000"/>
    <xdr:pic>
      <xdr:nvPicPr>
        <xdr:cNvPr id="5993" name="4f1bc994-5a2b-46e7-a76c-69c0785b6ee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e3934b94f194ab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5996</xdr:row>
      <xdr:rowOff>19050</xdr:rowOff>
    </xdr:from>
    <xdr:ext cx="1143000" cy="1143000"/>
    <xdr:pic>
      <xdr:nvPicPr>
        <xdr:cNvPr id="5994" name="d2a608bb-53bd-4d25-a9df-4acdf99a81c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4ad4a30b678489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5997</xdr:row>
      <xdr:rowOff>19050</xdr:rowOff>
    </xdr:from>
    <xdr:ext cx="1143000" cy="1143000"/>
    <xdr:pic>
      <xdr:nvPicPr>
        <xdr:cNvPr id="5995" name="897312d3-7251-4038-bbc8-6e5c679761b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c8d995a9c6d424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5998</xdr:row>
      <xdr:rowOff>19050</xdr:rowOff>
    </xdr:from>
    <xdr:ext cx="1143000" cy="1143000"/>
    <xdr:pic>
      <xdr:nvPicPr>
        <xdr:cNvPr id="5996" name="4fe9ce0e-0226-49f7-a330-0e6e9aa7185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ce800b81591429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5999</xdr:row>
      <xdr:rowOff>19050</xdr:rowOff>
    </xdr:from>
    <xdr:ext cx="1143000" cy="1143000"/>
    <xdr:pic>
      <xdr:nvPicPr>
        <xdr:cNvPr id="5997" name="cfba783b-e9ad-463a-aa8c-631588aae96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2b6d774eb284a0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6000</xdr:row>
      <xdr:rowOff>19050</xdr:rowOff>
    </xdr:from>
    <xdr:ext cx="1143000" cy="1143000"/>
    <xdr:pic>
      <xdr:nvPicPr>
        <xdr:cNvPr id="5998" name="275150ef-23db-4a38-8a56-a0188b57517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8a8f2d3d239475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6001</xdr:row>
      <xdr:rowOff>19050</xdr:rowOff>
    </xdr:from>
    <xdr:ext cx="1143000" cy="1143000"/>
    <xdr:pic>
      <xdr:nvPicPr>
        <xdr:cNvPr id="5999" name="5faf12f2-d147-4016-a035-96d6ed0532d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5791e3c38a7448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6002</xdr:row>
      <xdr:rowOff>19050</xdr:rowOff>
    </xdr:from>
    <xdr:ext cx="1143000" cy="1143000"/>
    <xdr:pic>
      <xdr:nvPicPr>
        <xdr:cNvPr id="6000" name="3d345b95-997c-426e-b6df-df365e02d26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86d36bc5354444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6003</xdr:row>
      <xdr:rowOff>19050</xdr:rowOff>
    </xdr:from>
    <xdr:ext cx="1143000" cy="1143000"/>
    <xdr:pic>
      <xdr:nvPicPr>
        <xdr:cNvPr id="6001" name="8c215a0a-6fd8-4295-abd0-40476a00282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4f6b57e7a3a434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6004</xdr:row>
      <xdr:rowOff>19050</xdr:rowOff>
    </xdr:from>
    <xdr:ext cx="1143000" cy="1143000"/>
    <xdr:pic>
      <xdr:nvPicPr>
        <xdr:cNvPr id="6002" name="22aa3fc8-f3c5-4724-8b5f-57eb2064566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4bf3cb01fa74f7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6005</xdr:row>
      <xdr:rowOff>19050</xdr:rowOff>
    </xdr:from>
    <xdr:ext cx="1143000" cy="1143000"/>
    <xdr:pic>
      <xdr:nvPicPr>
        <xdr:cNvPr id="6003" name="50027973-30f1-4274-838a-7b9c4882dcd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40a29323fc8403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6006</xdr:row>
      <xdr:rowOff>19050</xdr:rowOff>
    </xdr:from>
    <xdr:ext cx="1143000" cy="1143000"/>
    <xdr:pic>
      <xdr:nvPicPr>
        <xdr:cNvPr id="6004" name="801e6c61-29ef-4e53-b159-fe73375279b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acf719f34a345b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6007</xdr:row>
      <xdr:rowOff>19050</xdr:rowOff>
    </xdr:from>
    <xdr:ext cx="1143000" cy="1143000"/>
    <xdr:pic>
      <xdr:nvPicPr>
        <xdr:cNvPr id="6005" name="e32b15d2-40d9-4541-ba09-0a75c430def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c4ae7036fd54be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6008</xdr:row>
      <xdr:rowOff>19050</xdr:rowOff>
    </xdr:from>
    <xdr:ext cx="1143000" cy="1143000"/>
    <xdr:pic>
      <xdr:nvPicPr>
        <xdr:cNvPr id="6006" name="20a691ae-9a93-49f9-b1d8-18909f6caad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d458b3a2be244d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6009</xdr:row>
      <xdr:rowOff>19050</xdr:rowOff>
    </xdr:from>
    <xdr:ext cx="1143000" cy="1143000"/>
    <xdr:pic>
      <xdr:nvPicPr>
        <xdr:cNvPr id="6007" name="114560d0-f6fa-49d7-b4a2-bc36583a997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591ac39ce2e45d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6010</xdr:row>
      <xdr:rowOff>19050</xdr:rowOff>
    </xdr:from>
    <xdr:ext cx="1143000" cy="1143000"/>
    <xdr:pic>
      <xdr:nvPicPr>
        <xdr:cNvPr id="6008" name="08897345-8fb5-4479-b0e9-5aef5bbb259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3be94ce9049446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6011</xdr:row>
      <xdr:rowOff>19050</xdr:rowOff>
    </xdr:from>
    <xdr:ext cx="1143000" cy="1143000"/>
    <xdr:pic>
      <xdr:nvPicPr>
        <xdr:cNvPr id="6009" name="f53c9d5e-7269-4c57-8fd8-64f4f9abebc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e9485d6027a4dc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6012</xdr:row>
      <xdr:rowOff>19050</xdr:rowOff>
    </xdr:from>
    <xdr:ext cx="1143000" cy="1143000"/>
    <xdr:pic>
      <xdr:nvPicPr>
        <xdr:cNvPr id="6010" name="253c53f6-197a-44b5-ac1b-284cd17b415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dab59b9952a42e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6013</xdr:row>
      <xdr:rowOff>19050</xdr:rowOff>
    </xdr:from>
    <xdr:ext cx="1143000" cy="1143000"/>
    <xdr:pic>
      <xdr:nvPicPr>
        <xdr:cNvPr id="6011" name="3a387409-085c-4953-af03-bf762213113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dc24fbf5434471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6014</xdr:row>
      <xdr:rowOff>19050</xdr:rowOff>
    </xdr:from>
    <xdr:ext cx="1143000" cy="1143000"/>
    <xdr:pic>
      <xdr:nvPicPr>
        <xdr:cNvPr id="6012" name="02404856-7af1-4e17-b449-1da003614c5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70c77162356447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6015</xdr:row>
      <xdr:rowOff>19050</xdr:rowOff>
    </xdr:from>
    <xdr:ext cx="1143000" cy="1143000"/>
    <xdr:pic>
      <xdr:nvPicPr>
        <xdr:cNvPr id="6013" name="ee4a4b82-f39a-4763-abf1-cb653f7eb1b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6ca6eeff10248f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6016</xdr:row>
      <xdr:rowOff>19050</xdr:rowOff>
    </xdr:from>
    <xdr:ext cx="1143000" cy="1143000"/>
    <xdr:pic>
      <xdr:nvPicPr>
        <xdr:cNvPr id="6014" name="fd55ee03-7e68-48ca-8a21-796213c3436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967d5282f7b4d3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6017</xdr:row>
      <xdr:rowOff>19050</xdr:rowOff>
    </xdr:from>
    <xdr:ext cx="1143000" cy="1143000"/>
    <xdr:pic>
      <xdr:nvPicPr>
        <xdr:cNvPr id="6015" name="32a99f1b-34eb-4767-8548-f05ea40a3ce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f3d83311028400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6018</xdr:row>
      <xdr:rowOff>19050</xdr:rowOff>
    </xdr:from>
    <xdr:ext cx="1143000" cy="1143000"/>
    <xdr:pic>
      <xdr:nvPicPr>
        <xdr:cNvPr id="6016" name="06c80830-4674-4a29-839f-02f9004c5e1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6b33489b3b84dd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6019</xdr:row>
      <xdr:rowOff>19050</xdr:rowOff>
    </xdr:from>
    <xdr:ext cx="1143000" cy="1143000"/>
    <xdr:pic>
      <xdr:nvPicPr>
        <xdr:cNvPr id="6017" name="e788ecaf-277e-43b4-9b7e-10ce5f3ff9d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4c892eafe594d0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6020</xdr:row>
      <xdr:rowOff>19050</xdr:rowOff>
    </xdr:from>
    <xdr:ext cx="1143000" cy="1143000"/>
    <xdr:pic>
      <xdr:nvPicPr>
        <xdr:cNvPr id="6018" name="89152e72-cc89-4df8-826c-d22b3672027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701384baac945f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6021</xdr:row>
      <xdr:rowOff>19050</xdr:rowOff>
    </xdr:from>
    <xdr:ext cx="1143000" cy="1143000"/>
    <xdr:pic>
      <xdr:nvPicPr>
        <xdr:cNvPr id="6019" name="34e22b60-053c-4be4-b7f7-438dc9f844f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0fef9918593464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6022</xdr:row>
      <xdr:rowOff>19050</xdr:rowOff>
    </xdr:from>
    <xdr:ext cx="1143000" cy="1143000"/>
    <xdr:pic>
      <xdr:nvPicPr>
        <xdr:cNvPr id="6020" name="b1ecd7e7-115d-4b39-a020-9a6de5fc11a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b6f357c2b41449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6023</xdr:row>
      <xdr:rowOff>19050</xdr:rowOff>
    </xdr:from>
    <xdr:ext cx="1143000" cy="1143000"/>
    <xdr:pic>
      <xdr:nvPicPr>
        <xdr:cNvPr id="6021" name="8b772b55-4d36-4104-8345-8b156ff9c92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6b9b5fe0f514dd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6024</xdr:row>
      <xdr:rowOff>19050</xdr:rowOff>
    </xdr:from>
    <xdr:ext cx="1143000" cy="1143000"/>
    <xdr:pic>
      <xdr:nvPicPr>
        <xdr:cNvPr id="6022" name="7d7e2fc7-f2ee-4017-b812-e239195fb65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eefc1d7eb47469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6025</xdr:row>
      <xdr:rowOff>19050</xdr:rowOff>
    </xdr:from>
    <xdr:ext cx="1143000" cy="1143000"/>
    <xdr:pic>
      <xdr:nvPicPr>
        <xdr:cNvPr id="6023" name="e8d42355-b302-4f4c-bc9c-237782d21b6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209ff6a6a96499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6026</xdr:row>
      <xdr:rowOff>19050</xdr:rowOff>
    </xdr:from>
    <xdr:ext cx="1143000" cy="1143000"/>
    <xdr:pic>
      <xdr:nvPicPr>
        <xdr:cNvPr id="6024" name="3100a83d-91b3-4bc5-85ae-043b05b8435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850700a18a74ca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6027</xdr:row>
      <xdr:rowOff>19050</xdr:rowOff>
    </xdr:from>
    <xdr:ext cx="1143000" cy="1143000"/>
    <xdr:pic>
      <xdr:nvPicPr>
        <xdr:cNvPr id="6025" name="ed50f3e9-019b-463a-9df0-2cca1ddb1c8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961267510014b2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6028</xdr:row>
      <xdr:rowOff>19050</xdr:rowOff>
    </xdr:from>
    <xdr:ext cx="1143000" cy="1143000"/>
    <xdr:pic>
      <xdr:nvPicPr>
        <xdr:cNvPr id="6026" name="2e37a557-1bbd-470c-a262-94b942a45f4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544f027993249d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6029</xdr:row>
      <xdr:rowOff>19050</xdr:rowOff>
    </xdr:from>
    <xdr:ext cx="1143000" cy="1143000"/>
    <xdr:pic>
      <xdr:nvPicPr>
        <xdr:cNvPr id="6027" name="ea8d249c-031d-4d72-a97f-6c5f3f65f6b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10bd2fe0e704e9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6030</xdr:row>
      <xdr:rowOff>19050</xdr:rowOff>
    </xdr:from>
    <xdr:ext cx="1143000" cy="1143000"/>
    <xdr:pic>
      <xdr:nvPicPr>
        <xdr:cNvPr id="6028" name="b5ae93df-47c9-4bd4-b269-96a4829aaba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7369545a94e4c4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6031</xdr:row>
      <xdr:rowOff>19050</xdr:rowOff>
    </xdr:from>
    <xdr:ext cx="1143000" cy="1143000"/>
    <xdr:pic>
      <xdr:nvPicPr>
        <xdr:cNvPr id="6029" name="01b96b32-6327-4a72-b21a-090d71f9d32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4c62e8d24c543e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6032</xdr:row>
      <xdr:rowOff>19050</xdr:rowOff>
    </xdr:from>
    <xdr:ext cx="1143000" cy="1143000"/>
    <xdr:pic>
      <xdr:nvPicPr>
        <xdr:cNvPr id="6030" name="0a45d85e-6058-4a76-b2a1-3ec9042e489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f7782f6f32e42a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6033</xdr:row>
      <xdr:rowOff>19050</xdr:rowOff>
    </xdr:from>
    <xdr:ext cx="1143000" cy="1143000"/>
    <xdr:pic>
      <xdr:nvPicPr>
        <xdr:cNvPr id="6031" name="078c8211-cc11-424d-ae57-f875a935a74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df5dd0f216b483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6034</xdr:row>
      <xdr:rowOff>19050</xdr:rowOff>
    </xdr:from>
    <xdr:ext cx="1143000" cy="1143000"/>
    <xdr:pic>
      <xdr:nvPicPr>
        <xdr:cNvPr id="6032" name="d2c6c496-54a3-4a3d-b820-18f7c89ea6d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dd18623fe3545d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6035</xdr:row>
      <xdr:rowOff>19050</xdr:rowOff>
    </xdr:from>
    <xdr:ext cx="1143000" cy="1143000"/>
    <xdr:pic>
      <xdr:nvPicPr>
        <xdr:cNvPr id="6033" name="5e6547ce-71df-4475-8ffe-7ae11edc87e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8235175f273461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6036</xdr:row>
      <xdr:rowOff>19050</xdr:rowOff>
    </xdr:from>
    <xdr:ext cx="1143000" cy="1143000"/>
    <xdr:pic>
      <xdr:nvPicPr>
        <xdr:cNvPr id="6034" name="22d390f7-2c2d-48b0-a7b5-835e70ef136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d743f57081f439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6037</xdr:row>
      <xdr:rowOff>19050</xdr:rowOff>
    </xdr:from>
    <xdr:ext cx="1143000" cy="1143000"/>
    <xdr:pic>
      <xdr:nvPicPr>
        <xdr:cNvPr id="6035" name="d17f54d3-2741-4c7a-b24c-da6462def05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3775f2bf19149b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6038</xdr:row>
      <xdr:rowOff>19050</xdr:rowOff>
    </xdr:from>
    <xdr:ext cx="1143000" cy="1143000"/>
    <xdr:pic>
      <xdr:nvPicPr>
        <xdr:cNvPr id="6036" name="dea5c924-0d32-4e55-b7d6-fa33ff61a01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3ef90b8f5414d9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6039</xdr:row>
      <xdr:rowOff>19050</xdr:rowOff>
    </xdr:from>
    <xdr:ext cx="1143000" cy="1143000"/>
    <xdr:pic>
      <xdr:nvPicPr>
        <xdr:cNvPr id="6037" name="a2cdb656-5686-4603-a0c3-b291d84e5f6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14b78a0babb4cb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6040</xdr:row>
      <xdr:rowOff>19050</xdr:rowOff>
    </xdr:from>
    <xdr:ext cx="1143000" cy="1143000"/>
    <xdr:pic>
      <xdr:nvPicPr>
        <xdr:cNvPr id="6038" name="0c228656-a7c5-41df-b3de-e3c82c085ea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c721028abe9486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6041</xdr:row>
      <xdr:rowOff>19050</xdr:rowOff>
    </xdr:from>
    <xdr:ext cx="1143000" cy="1143000"/>
    <xdr:pic>
      <xdr:nvPicPr>
        <xdr:cNvPr id="6039" name="c89b7a1a-c47d-483d-acd7-1e8b508212f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c101f6cd72e436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6042</xdr:row>
      <xdr:rowOff>19050</xdr:rowOff>
    </xdr:from>
    <xdr:ext cx="1143000" cy="1143000"/>
    <xdr:pic>
      <xdr:nvPicPr>
        <xdr:cNvPr id="6040" name="d05ab25b-5c9f-47b5-ba96-86374c41137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0c08a1c27bd4e3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6043</xdr:row>
      <xdr:rowOff>19050</xdr:rowOff>
    </xdr:from>
    <xdr:ext cx="1143000" cy="1143000"/>
    <xdr:pic>
      <xdr:nvPicPr>
        <xdr:cNvPr id="6041" name="9f16ed0a-f418-4eda-98f5-928248f5955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14168eb0faa470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6044</xdr:row>
      <xdr:rowOff>19050</xdr:rowOff>
    </xdr:from>
    <xdr:ext cx="1143000" cy="1143000"/>
    <xdr:pic>
      <xdr:nvPicPr>
        <xdr:cNvPr id="6042" name="ba220678-9578-4d2e-8020-7417642c383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6abc25ef9f4448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6045</xdr:row>
      <xdr:rowOff>19050</xdr:rowOff>
    </xdr:from>
    <xdr:ext cx="1143000" cy="1143000"/>
    <xdr:pic>
      <xdr:nvPicPr>
        <xdr:cNvPr id="6043" name="5da0ca51-c09d-414b-995e-ca990535a17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975a4a3aeed41c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6046</xdr:row>
      <xdr:rowOff>19050</xdr:rowOff>
    </xdr:from>
    <xdr:ext cx="1143000" cy="1143000"/>
    <xdr:pic>
      <xdr:nvPicPr>
        <xdr:cNvPr id="6044" name="85cd744f-d90f-4020-97f7-7636e0ac7cc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64ec76b7aa84eb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6047</xdr:row>
      <xdr:rowOff>19050</xdr:rowOff>
    </xdr:from>
    <xdr:ext cx="1143000" cy="1143000"/>
    <xdr:pic>
      <xdr:nvPicPr>
        <xdr:cNvPr id="6045" name="7899f0b3-80e3-4602-97f9-41ce1d6fcb5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05272b1a4ae454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6048</xdr:row>
      <xdr:rowOff>19050</xdr:rowOff>
    </xdr:from>
    <xdr:ext cx="1143000" cy="1143000"/>
    <xdr:pic>
      <xdr:nvPicPr>
        <xdr:cNvPr id="6046" name="58679c14-0c2c-4298-8c57-abe14b5767e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db969bc0171409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6049</xdr:row>
      <xdr:rowOff>19050</xdr:rowOff>
    </xdr:from>
    <xdr:ext cx="1143000" cy="1143000"/>
    <xdr:pic>
      <xdr:nvPicPr>
        <xdr:cNvPr id="6047" name="bbb789dd-b36c-4f57-a7c9-5638b9aefaa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18111189d9d420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6050</xdr:row>
      <xdr:rowOff>19050</xdr:rowOff>
    </xdr:from>
    <xdr:ext cx="1143000" cy="1143000"/>
    <xdr:pic>
      <xdr:nvPicPr>
        <xdr:cNvPr id="6048" name="2b7a0ef9-5957-4c6c-868e-ec5f976b2fd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0e64a002b73446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6051</xdr:row>
      <xdr:rowOff>19050</xdr:rowOff>
    </xdr:from>
    <xdr:ext cx="1143000" cy="1143000"/>
    <xdr:pic>
      <xdr:nvPicPr>
        <xdr:cNvPr id="6049" name="08963f1d-9791-4c2a-a00d-cb712be138c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fac5bc4c1624d6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6052</xdr:row>
      <xdr:rowOff>19050</xdr:rowOff>
    </xdr:from>
    <xdr:ext cx="1143000" cy="1143000"/>
    <xdr:pic>
      <xdr:nvPicPr>
        <xdr:cNvPr id="6050" name="94f0bb5b-1d91-45d6-94fa-5d2241ad66c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af8d54464414a4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6053</xdr:row>
      <xdr:rowOff>19050</xdr:rowOff>
    </xdr:from>
    <xdr:ext cx="1143000" cy="1143000"/>
    <xdr:pic>
      <xdr:nvPicPr>
        <xdr:cNvPr id="6051" name="d9de6155-dcb9-4df1-a4b0-776d4472ff4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b4cd33b34304fe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6054</xdr:row>
      <xdr:rowOff>19050</xdr:rowOff>
    </xdr:from>
    <xdr:ext cx="1143000" cy="1143000"/>
    <xdr:pic>
      <xdr:nvPicPr>
        <xdr:cNvPr id="6052" name="fe125368-fc4b-4904-83a3-b0cb49590d5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1cd930a84e1481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6055</xdr:row>
      <xdr:rowOff>19050</xdr:rowOff>
    </xdr:from>
    <xdr:ext cx="1143000" cy="1143000"/>
    <xdr:pic>
      <xdr:nvPicPr>
        <xdr:cNvPr id="6053" name="8a4c50eb-83b5-4dd0-92dd-b8edb0f8f13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4f4920288a9479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6056</xdr:row>
      <xdr:rowOff>19050</xdr:rowOff>
    </xdr:from>
    <xdr:ext cx="1143000" cy="1143000"/>
    <xdr:pic>
      <xdr:nvPicPr>
        <xdr:cNvPr id="6054" name="96ae5eef-2894-451d-b8a9-f2d08cfe109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48e777b472a4c2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6057</xdr:row>
      <xdr:rowOff>19050</xdr:rowOff>
    </xdr:from>
    <xdr:ext cx="1143000" cy="1143000"/>
    <xdr:pic>
      <xdr:nvPicPr>
        <xdr:cNvPr id="6055" name="4689f3fe-69e2-46f9-841d-dcc834f3e32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6614bae60ab497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6058</xdr:row>
      <xdr:rowOff>19050</xdr:rowOff>
    </xdr:from>
    <xdr:ext cx="1143000" cy="1143000"/>
    <xdr:pic>
      <xdr:nvPicPr>
        <xdr:cNvPr id="6056" name="d865fa30-2d98-4caf-92d2-5c643895cca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53d8f7cbd9144f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6059</xdr:row>
      <xdr:rowOff>19050</xdr:rowOff>
    </xdr:from>
    <xdr:ext cx="1143000" cy="1143000"/>
    <xdr:pic>
      <xdr:nvPicPr>
        <xdr:cNvPr id="6057" name="b7102234-1c5a-47aa-9dd5-fb0c9f4d32c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dac47d7e6384f1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6060</xdr:row>
      <xdr:rowOff>19050</xdr:rowOff>
    </xdr:from>
    <xdr:ext cx="1143000" cy="1143000"/>
    <xdr:pic>
      <xdr:nvPicPr>
        <xdr:cNvPr id="6058" name="fe323ab8-38f1-4969-bcee-3faefff4278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cc440160dfc4fa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6061</xdr:row>
      <xdr:rowOff>19050</xdr:rowOff>
    </xdr:from>
    <xdr:ext cx="1143000" cy="1143000"/>
    <xdr:pic>
      <xdr:nvPicPr>
        <xdr:cNvPr id="6059" name="b6c50e62-4a66-4044-9ba4-c19c1304e63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ae779acdbca4ef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6062</xdr:row>
      <xdr:rowOff>19050</xdr:rowOff>
    </xdr:from>
    <xdr:ext cx="1143000" cy="1143000"/>
    <xdr:pic>
      <xdr:nvPicPr>
        <xdr:cNvPr id="6060" name="d858be0a-5f48-4053-ada6-dccd137cfaf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0bd1a94b4914ee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6063</xdr:row>
      <xdr:rowOff>19050</xdr:rowOff>
    </xdr:from>
    <xdr:ext cx="1143000" cy="1143000"/>
    <xdr:pic>
      <xdr:nvPicPr>
        <xdr:cNvPr id="6061" name="53f6f819-f842-4957-811f-c9d6385ed1a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f145544b5b9445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6064</xdr:row>
      <xdr:rowOff>19050</xdr:rowOff>
    </xdr:from>
    <xdr:ext cx="1143000" cy="1143000"/>
    <xdr:pic>
      <xdr:nvPicPr>
        <xdr:cNvPr id="6062" name="e678376a-a585-4d41-96ba-03cc37e5c56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9b588a3f982439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6065</xdr:row>
      <xdr:rowOff>19050</xdr:rowOff>
    </xdr:from>
    <xdr:ext cx="1143000" cy="1143000"/>
    <xdr:pic>
      <xdr:nvPicPr>
        <xdr:cNvPr id="6063" name="fc621a0e-f37d-4c7b-85d2-d79aa919ec5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3120b2b3aae42b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6066</xdr:row>
      <xdr:rowOff>19050</xdr:rowOff>
    </xdr:from>
    <xdr:ext cx="1143000" cy="1143000"/>
    <xdr:pic>
      <xdr:nvPicPr>
        <xdr:cNvPr id="6064" name="16621a96-405f-47b2-8c0b-58084baa3e6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fe797735de94fe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6067</xdr:row>
      <xdr:rowOff>19050</xdr:rowOff>
    </xdr:from>
    <xdr:ext cx="1143000" cy="1143000"/>
    <xdr:pic>
      <xdr:nvPicPr>
        <xdr:cNvPr id="6065" name="0e6ccc05-0939-40fd-86cc-6a0e04d71b7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729737374364ca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6068</xdr:row>
      <xdr:rowOff>19050</xdr:rowOff>
    </xdr:from>
    <xdr:ext cx="1143000" cy="1143000"/>
    <xdr:pic>
      <xdr:nvPicPr>
        <xdr:cNvPr id="6066" name="6009529b-6e10-4bd7-873e-a83feb2825e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3fb80c0c0834f4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6069</xdr:row>
      <xdr:rowOff>19050</xdr:rowOff>
    </xdr:from>
    <xdr:ext cx="1143000" cy="1143000"/>
    <xdr:pic>
      <xdr:nvPicPr>
        <xdr:cNvPr id="6067" name="4f4f346b-2c58-45f4-99c9-c39cd97c196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7722cf1179846d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6070</xdr:row>
      <xdr:rowOff>19050</xdr:rowOff>
    </xdr:from>
    <xdr:ext cx="1143000" cy="1143000"/>
    <xdr:pic>
      <xdr:nvPicPr>
        <xdr:cNvPr id="6068" name="be9d58b7-cd05-4456-bf62-7fc97069c4f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282b94e1e99495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6071</xdr:row>
      <xdr:rowOff>19050</xdr:rowOff>
    </xdr:from>
    <xdr:ext cx="1143000" cy="1143000"/>
    <xdr:pic>
      <xdr:nvPicPr>
        <xdr:cNvPr id="6069" name="82b91e97-fa0e-4ad2-8d30-5ae1f090206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a19f3d8179244b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6072</xdr:row>
      <xdr:rowOff>19050</xdr:rowOff>
    </xdr:from>
    <xdr:ext cx="1143000" cy="1143000"/>
    <xdr:pic>
      <xdr:nvPicPr>
        <xdr:cNvPr id="6070" name="5b2ec09d-0e30-43d4-a040-2cd8edd4130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6786204fba8462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6073</xdr:row>
      <xdr:rowOff>19050</xdr:rowOff>
    </xdr:from>
    <xdr:ext cx="1143000" cy="1143000"/>
    <xdr:pic>
      <xdr:nvPicPr>
        <xdr:cNvPr id="6071" name="d4490a6b-4475-4a6d-acbd-821da49ca7d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153b6d469054e1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6074</xdr:row>
      <xdr:rowOff>19050</xdr:rowOff>
    </xdr:from>
    <xdr:ext cx="1143000" cy="1143000"/>
    <xdr:pic>
      <xdr:nvPicPr>
        <xdr:cNvPr id="6072" name="de37b88e-6b3f-45bb-b824-83a81c21aa4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53257c1a47c461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6075</xdr:row>
      <xdr:rowOff>19050</xdr:rowOff>
    </xdr:from>
    <xdr:ext cx="1143000" cy="1143000"/>
    <xdr:pic>
      <xdr:nvPicPr>
        <xdr:cNvPr id="6073" name="b2328a16-907f-46dc-b58c-34ea2237de4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c9eaf10bc654af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6076</xdr:row>
      <xdr:rowOff>19050</xdr:rowOff>
    </xdr:from>
    <xdr:ext cx="1143000" cy="1143000"/>
    <xdr:pic>
      <xdr:nvPicPr>
        <xdr:cNvPr id="6074" name="b3800cd0-c2f0-4857-a7ab-ac61c1cad0f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936a09b016a441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6077</xdr:row>
      <xdr:rowOff>19050</xdr:rowOff>
    </xdr:from>
    <xdr:ext cx="1143000" cy="1143000"/>
    <xdr:pic>
      <xdr:nvPicPr>
        <xdr:cNvPr id="6075" name="e3a5442e-f6e9-4b4c-9210-39316a5487d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702af82378f439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6078</xdr:row>
      <xdr:rowOff>19050</xdr:rowOff>
    </xdr:from>
    <xdr:ext cx="1143000" cy="1143000"/>
    <xdr:pic>
      <xdr:nvPicPr>
        <xdr:cNvPr id="6076" name="e3ff3c7e-cd15-4479-b078-e000f9e3921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a35e94dcecd4d4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6079</xdr:row>
      <xdr:rowOff>19050</xdr:rowOff>
    </xdr:from>
    <xdr:ext cx="1143000" cy="1143000"/>
    <xdr:pic>
      <xdr:nvPicPr>
        <xdr:cNvPr id="6077" name="b486f259-274c-4eb1-a3e7-67f3c178944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25555c42d1a4f4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6080</xdr:row>
      <xdr:rowOff>19050</xdr:rowOff>
    </xdr:from>
    <xdr:ext cx="1143000" cy="1143000"/>
    <xdr:pic>
      <xdr:nvPicPr>
        <xdr:cNvPr id="6078" name="a27433fb-df38-4c92-bcfa-00c514d5928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712eb069414424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6081</xdr:row>
      <xdr:rowOff>19050</xdr:rowOff>
    </xdr:from>
    <xdr:ext cx="1143000" cy="1143000"/>
    <xdr:pic>
      <xdr:nvPicPr>
        <xdr:cNvPr id="6079" name="67951cc5-609f-425c-8d93-1d83c461c64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2860c7e07a4402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6082</xdr:row>
      <xdr:rowOff>19050</xdr:rowOff>
    </xdr:from>
    <xdr:ext cx="1143000" cy="1143000"/>
    <xdr:pic>
      <xdr:nvPicPr>
        <xdr:cNvPr id="6080" name="3493b5b4-0d55-4610-a176-06f4ba0f3e7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28e420c2a5a435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6083</xdr:row>
      <xdr:rowOff>19050</xdr:rowOff>
    </xdr:from>
    <xdr:ext cx="1143000" cy="1143000"/>
    <xdr:pic>
      <xdr:nvPicPr>
        <xdr:cNvPr id="6081" name="5eb130fe-6248-4035-8df9-7ae9ae777b1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d3858c5d81f4ef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6084</xdr:row>
      <xdr:rowOff>19050</xdr:rowOff>
    </xdr:from>
    <xdr:ext cx="1143000" cy="1143000"/>
    <xdr:pic>
      <xdr:nvPicPr>
        <xdr:cNvPr id="6082" name="d86bb096-8bee-4648-8c30-0377e85e1e1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4cc734dc016494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6085</xdr:row>
      <xdr:rowOff>19050</xdr:rowOff>
    </xdr:from>
    <xdr:ext cx="1143000" cy="1143000"/>
    <xdr:pic>
      <xdr:nvPicPr>
        <xdr:cNvPr id="6083" name="a2a16b3b-d878-44e4-b1b7-05b274aa414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ab10d0250ec421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6086</xdr:row>
      <xdr:rowOff>19050</xdr:rowOff>
    </xdr:from>
    <xdr:ext cx="1143000" cy="1143000"/>
    <xdr:pic>
      <xdr:nvPicPr>
        <xdr:cNvPr id="6084" name="ab7f6a3c-c3d6-41e5-9815-d61cb7d326a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fcb01196d38464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6087</xdr:row>
      <xdr:rowOff>19050</xdr:rowOff>
    </xdr:from>
    <xdr:ext cx="1143000" cy="1143000"/>
    <xdr:pic>
      <xdr:nvPicPr>
        <xdr:cNvPr id="6085" name="f7961aab-9507-40be-81f7-b3f1b517bae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79ab2087c57463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6088</xdr:row>
      <xdr:rowOff>19050</xdr:rowOff>
    </xdr:from>
    <xdr:ext cx="1143000" cy="1143000"/>
    <xdr:pic>
      <xdr:nvPicPr>
        <xdr:cNvPr id="6086" name="f3fdc4d2-4612-4457-8fcb-81420bffd84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b57201fb8414e3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6089</xdr:row>
      <xdr:rowOff>19050</xdr:rowOff>
    </xdr:from>
    <xdr:ext cx="1143000" cy="1143000"/>
    <xdr:pic>
      <xdr:nvPicPr>
        <xdr:cNvPr id="6087" name="ddd1e719-2203-47b7-b4cc-88c0e2e74e0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af81043d94b40b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6090</xdr:row>
      <xdr:rowOff>19050</xdr:rowOff>
    </xdr:from>
    <xdr:ext cx="1143000" cy="1143000"/>
    <xdr:pic>
      <xdr:nvPicPr>
        <xdr:cNvPr id="6088" name="b54b61b8-80cb-4936-b17a-4f3648a3b0c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e333c281a0b437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6091</xdr:row>
      <xdr:rowOff>19050</xdr:rowOff>
    </xdr:from>
    <xdr:ext cx="1143000" cy="1143000"/>
    <xdr:pic>
      <xdr:nvPicPr>
        <xdr:cNvPr id="6089" name="86d3bf33-7a10-40ba-ae6b-aa4e8b381be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2241fb2e267457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6092</xdr:row>
      <xdr:rowOff>19050</xdr:rowOff>
    </xdr:from>
    <xdr:ext cx="1143000" cy="1143000"/>
    <xdr:pic>
      <xdr:nvPicPr>
        <xdr:cNvPr id="6090" name="2482b0b4-36ac-4be5-adb6-a435804f22d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0a1392b74a74ee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6093</xdr:row>
      <xdr:rowOff>19050</xdr:rowOff>
    </xdr:from>
    <xdr:ext cx="1143000" cy="1143000"/>
    <xdr:pic>
      <xdr:nvPicPr>
        <xdr:cNvPr id="6091" name="ce38cb1c-486e-45cd-b982-0545f2727cc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66790d2f2e444b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6094</xdr:row>
      <xdr:rowOff>19050</xdr:rowOff>
    </xdr:from>
    <xdr:ext cx="1143000" cy="1143000"/>
    <xdr:pic>
      <xdr:nvPicPr>
        <xdr:cNvPr id="6092" name="b2d8822e-7498-4ee6-b510-e5f4f9534f1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8b6e0cbef6c4a4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6095</xdr:row>
      <xdr:rowOff>19050</xdr:rowOff>
    </xdr:from>
    <xdr:ext cx="1143000" cy="1143000"/>
    <xdr:pic>
      <xdr:nvPicPr>
        <xdr:cNvPr id="6093" name="76e8235b-64e7-46d9-9a68-c25b8c62e19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497f5942fc8408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6096</xdr:row>
      <xdr:rowOff>19050</xdr:rowOff>
    </xdr:from>
    <xdr:ext cx="1143000" cy="1143000"/>
    <xdr:pic>
      <xdr:nvPicPr>
        <xdr:cNvPr id="6094" name="0e42bd5e-11d1-4409-a1d1-ef4bc6fa687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b3dceccb231426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6097</xdr:row>
      <xdr:rowOff>19050</xdr:rowOff>
    </xdr:from>
    <xdr:ext cx="1143000" cy="1143000"/>
    <xdr:pic>
      <xdr:nvPicPr>
        <xdr:cNvPr id="6095" name="be2e7835-dc17-4e50-accb-3a6ed04cd5a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14a977bdf06467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6098</xdr:row>
      <xdr:rowOff>19050</xdr:rowOff>
    </xdr:from>
    <xdr:ext cx="1143000" cy="1143000"/>
    <xdr:pic>
      <xdr:nvPicPr>
        <xdr:cNvPr id="6096" name="889fdcdc-64ba-4afa-94e0-3131d6d1f7e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ed5881d86ff4c0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6099</xdr:row>
      <xdr:rowOff>19050</xdr:rowOff>
    </xdr:from>
    <xdr:ext cx="1143000" cy="1143000"/>
    <xdr:pic>
      <xdr:nvPicPr>
        <xdr:cNvPr id="6097" name="034a8679-0d24-4100-b074-d9d8fd28e53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eee8aca11334ce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6100</xdr:row>
      <xdr:rowOff>19050</xdr:rowOff>
    </xdr:from>
    <xdr:ext cx="1143000" cy="1143000"/>
    <xdr:pic>
      <xdr:nvPicPr>
        <xdr:cNvPr id="6098" name="ece933c9-edf4-4696-9673-b464b0bce1d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54dfeef49c3494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6101</xdr:row>
      <xdr:rowOff>19050</xdr:rowOff>
    </xdr:from>
    <xdr:ext cx="1143000" cy="1143000"/>
    <xdr:pic>
      <xdr:nvPicPr>
        <xdr:cNvPr id="6099" name="7be2f26c-3dea-4322-8cf3-ad00ce08a2d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ecb620e58b245b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6102</xdr:row>
      <xdr:rowOff>19050</xdr:rowOff>
    </xdr:from>
    <xdr:ext cx="1143000" cy="1143000"/>
    <xdr:pic>
      <xdr:nvPicPr>
        <xdr:cNvPr id="6100" name="1cf7c2ac-746c-4de9-a219-f8f6fa5b7e7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69c78985187428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6103</xdr:row>
      <xdr:rowOff>19050</xdr:rowOff>
    </xdr:from>
    <xdr:ext cx="1143000" cy="1143000"/>
    <xdr:pic>
      <xdr:nvPicPr>
        <xdr:cNvPr id="6101" name="0cbdfe23-4cfb-413b-883c-d05b53b21c2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4c95a70ed134c4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6104</xdr:row>
      <xdr:rowOff>19050</xdr:rowOff>
    </xdr:from>
    <xdr:ext cx="1143000" cy="1143000"/>
    <xdr:pic>
      <xdr:nvPicPr>
        <xdr:cNvPr id="6102" name="0d9e1b8f-2204-499c-a82d-4af711b30a2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763d82c05c846c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6105</xdr:row>
      <xdr:rowOff>19050</xdr:rowOff>
    </xdr:from>
    <xdr:ext cx="1143000" cy="1143000"/>
    <xdr:pic>
      <xdr:nvPicPr>
        <xdr:cNvPr id="6103" name="3e47a0d3-068d-4765-8708-928623a0890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d6ceca369d4453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6106</xdr:row>
      <xdr:rowOff>19050</xdr:rowOff>
    </xdr:from>
    <xdr:ext cx="1143000" cy="1143000"/>
    <xdr:pic>
      <xdr:nvPicPr>
        <xdr:cNvPr id="6104" name="39b30e74-8200-4a3c-92ee-6e2b7d9b775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90c64d5d5c24c7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6107</xdr:row>
      <xdr:rowOff>19050</xdr:rowOff>
    </xdr:from>
    <xdr:ext cx="1143000" cy="1143000"/>
    <xdr:pic>
      <xdr:nvPicPr>
        <xdr:cNvPr id="6105" name="480271c0-c942-440d-8958-99a96f60d15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c0d242f42064b8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6108</xdr:row>
      <xdr:rowOff>19050</xdr:rowOff>
    </xdr:from>
    <xdr:ext cx="1143000" cy="1143000"/>
    <xdr:pic>
      <xdr:nvPicPr>
        <xdr:cNvPr id="6106" name="634a65ba-4649-44c2-a613-9577bd9bd31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898946ad9db4c2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6109</xdr:row>
      <xdr:rowOff>19050</xdr:rowOff>
    </xdr:from>
    <xdr:ext cx="1143000" cy="1143000"/>
    <xdr:pic>
      <xdr:nvPicPr>
        <xdr:cNvPr id="6107" name="6d36db84-0cc6-4061-9ef4-d82ecdcf425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346b7dbe97344c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6110</xdr:row>
      <xdr:rowOff>19050</xdr:rowOff>
    </xdr:from>
    <xdr:ext cx="1143000" cy="1143000"/>
    <xdr:pic>
      <xdr:nvPicPr>
        <xdr:cNvPr id="6108" name="9a107f63-13ee-4e6b-a5c3-23e60fe7e2d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b9cd07c47cb4df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6111</xdr:row>
      <xdr:rowOff>19050</xdr:rowOff>
    </xdr:from>
    <xdr:ext cx="1143000" cy="1143000"/>
    <xdr:pic>
      <xdr:nvPicPr>
        <xdr:cNvPr id="6109" name="77f351ba-3b9e-42b0-918f-1cc5c27068d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1b99d9c33c94c9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6112</xdr:row>
      <xdr:rowOff>19050</xdr:rowOff>
    </xdr:from>
    <xdr:ext cx="1143000" cy="1143000"/>
    <xdr:pic>
      <xdr:nvPicPr>
        <xdr:cNvPr id="6110" name="0f657fa5-176d-4061-846b-30821b1a0be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4620de8551b459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6113</xdr:row>
      <xdr:rowOff>19050</xdr:rowOff>
    </xdr:from>
    <xdr:ext cx="1143000" cy="1143000"/>
    <xdr:pic>
      <xdr:nvPicPr>
        <xdr:cNvPr id="6111" name="2c622ec5-3b67-4a43-aa02-3d9896c6289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220cae490c547b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6114</xdr:row>
      <xdr:rowOff>19050</xdr:rowOff>
    </xdr:from>
    <xdr:ext cx="1143000" cy="1143000"/>
    <xdr:pic>
      <xdr:nvPicPr>
        <xdr:cNvPr id="6112" name="367c42cc-20c2-4b17-bdfc-ccdbe349c36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13116b3e7a245f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6115</xdr:row>
      <xdr:rowOff>19050</xdr:rowOff>
    </xdr:from>
    <xdr:ext cx="1143000" cy="1143000"/>
    <xdr:pic>
      <xdr:nvPicPr>
        <xdr:cNvPr id="6113" name="ebc13883-8cf1-47b9-b8d9-09e9fa09685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66f7e2bfc214cf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6116</xdr:row>
      <xdr:rowOff>19050</xdr:rowOff>
    </xdr:from>
    <xdr:ext cx="1143000" cy="1143000"/>
    <xdr:pic>
      <xdr:nvPicPr>
        <xdr:cNvPr id="6114" name="b87a2fa7-f9d1-4ded-9f68-266c7d508fa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8d6fbd085b64f3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6117</xdr:row>
      <xdr:rowOff>19050</xdr:rowOff>
    </xdr:from>
    <xdr:ext cx="1143000" cy="1143000"/>
    <xdr:pic>
      <xdr:nvPicPr>
        <xdr:cNvPr id="6115" name="da597426-f32f-4aed-9e72-9e4e2845593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072132fa0b64bb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6118</xdr:row>
      <xdr:rowOff>19050</xdr:rowOff>
    </xdr:from>
    <xdr:ext cx="1143000" cy="1143000"/>
    <xdr:pic>
      <xdr:nvPicPr>
        <xdr:cNvPr id="6116" name="827bad13-4007-4d2b-ba3e-ffa7d5f9890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4771be05fbd43e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6119</xdr:row>
      <xdr:rowOff>19050</xdr:rowOff>
    </xdr:from>
    <xdr:ext cx="1143000" cy="1143000"/>
    <xdr:pic>
      <xdr:nvPicPr>
        <xdr:cNvPr id="6117" name="71b3cb19-8de3-4964-a94b-b2fc5f7550d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40e101c9e8a4dd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6120</xdr:row>
      <xdr:rowOff>19050</xdr:rowOff>
    </xdr:from>
    <xdr:ext cx="1143000" cy="1143000"/>
    <xdr:pic>
      <xdr:nvPicPr>
        <xdr:cNvPr id="6118" name="020458b4-c651-422e-bf7b-31120dc9a16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403184e0d3b405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6121</xdr:row>
      <xdr:rowOff>19050</xdr:rowOff>
    </xdr:from>
    <xdr:ext cx="1143000" cy="1143000"/>
    <xdr:pic>
      <xdr:nvPicPr>
        <xdr:cNvPr id="6119" name="cc910ca7-4c14-4851-94d9-bfdcf6749c8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7e0e76de52f40e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6122</xdr:row>
      <xdr:rowOff>19050</xdr:rowOff>
    </xdr:from>
    <xdr:ext cx="1143000" cy="1143000"/>
    <xdr:pic>
      <xdr:nvPicPr>
        <xdr:cNvPr id="6120" name="1a6f9e6e-8a3a-4830-864e-9bfbb46ba75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2c4626ffa044a2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6123</xdr:row>
      <xdr:rowOff>19050</xdr:rowOff>
    </xdr:from>
    <xdr:ext cx="1143000" cy="1143000"/>
    <xdr:pic>
      <xdr:nvPicPr>
        <xdr:cNvPr id="6121" name="f95da1e8-507e-405e-8ba7-91abab32f88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991f7378ba646c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6124</xdr:row>
      <xdr:rowOff>19050</xdr:rowOff>
    </xdr:from>
    <xdr:ext cx="1143000" cy="1143000"/>
    <xdr:pic>
      <xdr:nvPicPr>
        <xdr:cNvPr id="6122" name="5c59278a-9024-42bd-808d-814efde9894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0086226fe2245c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6125</xdr:row>
      <xdr:rowOff>19050</xdr:rowOff>
    </xdr:from>
    <xdr:ext cx="1143000" cy="1143000"/>
    <xdr:pic>
      <xdr:nvPicPr>
        <xdr:cNvPr id="6123" name="6cc72963-647b-4723-9aa3-127622bed2c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7226ac1149344f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6126</xdr:row>
      <xdr:rowOff>19050</xdr:rowOff>
    </xdr:from>
    <xdr:ext cx="1143000" cy="1143000"/>
    <xdr:pic>
      <xdr:nvPicPr>
        <xdr:cNvPr id="6124" name="9b56338c-7966-4074-854a-362cde8b314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da2e11369f64c4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6127</xdr:row>
      <xdr:rowOff>19050</xdr:rowOff>
    </xdr:from>
    <xdr:ext cx="1143000" cy="1143000"/>
    <xdr:pic>
      <xdr:nvPicPr>
        <xdr:cNvPr id="6125" name="7d31d362-bc38-4fae-bcc7-2571895b7c0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bdb72e6714048e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6128</xdr:row>
      <xdr:rowOff>19050</xdr:rowOff>
    </xdr:from>
    <xdr:ext cx="1143000" cy="1143000"/>
    <xdr:pic>
      <xdr:nvPicPr>
        <xdr:cNvPr id="6126" name="846184f7-0538-497b-8dea-e20b296d575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32358fb13574d1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6129</xdr:row>
      <xdr:rowOff>19050</xdr:rowOff>
    </xdr:from>
    <xdr:ext cx="1143000" cy="1143000"/>
    <xdr:pic>
      <xdr:nvPicPr>
        <xdr:cNvPr id="6127" name="3b3601a9-e571-425d-8a91-51ba9c8ceea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09d39c9149942a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6130</xdr:row>
      <xdr:rowOff>19050</xdr:rowOff>
    </xdr:from>
    <xdr:ext cx="1143000" cy="1143000"/>
    <xdr:pic>
      <xdr:nvPicPr>
        <xdr:cNvPr id="6128" name="64d92515-8387-4fe4-93a4-986403df406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a3756df21e643c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6131</xdr:row>
      <xdr:rowOff>19050</xdr:rowOff>
    </xdr:from>
    <xdr:ext cx="1143000" cy="1143000"/>
    <xdr:pic>
      <xdr:nvPicPr>
        <xdr:cNvPr id="6129" name="810399b4-b2d8-466b-9f11-191c1c22e07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4febdbb8194418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6132</xdr:row>
      <xdr:rowOff>19050</xdr:rowOff>
    </xdr:from>
    <xdr:ext cx="1143000" cy="1143000"/>
    <xdr:pic>
      <xdr:nvPicPr>
        <xdr:cNvPr id="6130" name="17121647-99fb-4902-9b4f-22c58a221fb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e06bb9c7cec44b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6133</xdr:row>
      <xdr:rowOff>19050</xdr:rowOff>
    </xdr:from>
    <xdr:ext cx="1143000" cy="1143000"/>
    <xdr:pic>
      <xdr:nvPicPr>
        <xdr:cNvPr id="6131" name="a170e5df-3426-4bf5-938e-436466eb99d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7ba54f36063443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6134</xdr:row>
      <xdr:rowOff>19050</xdr:rowOff>
    </xdr:from>
    <xdr:ext cx="1143000" cy="1143000"/>
    <xdr:pic>
      <xdr:nvPicPr>
        <xdr:cNvPr id="6132" name="38da7304-1c6f-4a9e-915b-bf036551ab4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e301482ddc5423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6135</xdr:row>
      <xdr:rowOff>19050</xdr:rowOff>
    </xdr:from>
    <xdr:ext cx="1143000" cy="1143000"/>
    <xdr:pic>
      <xdr:nvPicPr>
        <xdr:cNvPr id="6133" name="b63a22c1-9a14-4260-8d93-34599950b32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6f965c3fc98435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6136</xdr:row>
      <xdr:rowOff>19050</xdr:rowOff>
    </xdr:from>
    <xdr:ext cx="1143000" cy="1143000"/>
    <xdr:pic>
      <xdr:nvPicPr>
        <xdr:cNvPr id="6134" name="b003df15-dfd8-4cde-b833-a0d2ae406a1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fa187d4221d475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6137</xdr:row>
      <xdr:rowOff>19050</xdr:rowOff>
    </xdr:from>
    <xdr:ext cx="1143000" cy="1143000"/>
    <xdr:pic>
      <xdr:nvPicPr>
        <xdr:cNvPr id="6135" name="2f0c1648-eb3c-4a99-8306-b1d4af74230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11c08fb990a44c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6138</xdr:row>
      <xdr:rowOff>19050</xdr:rowOff>
    </xdr:from>
    <xdr:ext cx="1143000" cy="1143000"/>
    <xdr:pic>
      <xdr:nvPicPr>
        <xdr:cNvPr id="6136" name="902e8f7a-dcc4-4535-b277-4db66ad1cd1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4b1a66306e6439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6139</xdr:row>
      <xdr:rowOff>19050</xdr:rowOff>
    </xdr:from>
    <xdr:ext cx="1143000" cy="1143000"/>
    <xdr:pic>
      <xdr:nvPicPr>
        <xdr:cNvPr id="6137" name="37ae7cfc-3988-46dd-9386-7d7af019990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dea1f78726f4a9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6140</xdr:row>
      <xdr:rowOff>19050</xdr:rowOff>
    </xdr:from>
    <xdr:ext cx="1143000" cy="1143000"/>
    <xdr:pic>
      <xdr:nvPicPr>
        <xdr:cNvPr id="6138" name="66fe6871-74a4-40bd-b107-1029a0cf459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c5a78d677a44bf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6141</xdr:row>
      <xdr:rowOff>19050</xdr:rowOff>
    </xdr:from>
    <xdr:ext cx="1143000" cy="1143000"/>
    <xdr:pic>
      <xdr:nvPicPr>
        <xdr:cNvPr id="6139" name="b7080087-f504-4efc-a7b6-b5aea52c785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ef291add178451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6142</xdr:row>
      <xdr:rowOff>19050</xdr:rowOff>
    </xdr:from>
    <xdr:ext cx="1143000" cy="1143000"/>
    <xdr:pic>
      <xdr:nvPicPr>
        <xdr:cNvPr id="6140" name="9c6bfb18-8d77-4cb6-ac9d-7efb973adcc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80f74e857a0409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6143</xdr:row>
      <xdr:rowOff>19050</xdr:rowOff>
    </xdr:from>
    <xdr:ext cx="1143000" cy="1143000"/>
    <xdr:pic>
      <xdr:nvPicPr>
        <xdr:cNvPr id="6141" name="a7d33ac2-5b39-4d47-a934-750faf31c6d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99ec590ecf7467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6144</xdr:row>
      <xdr:rowOff>19050</xdr:rowOff>
    </xdr:from>
    <xdr:ext cx="1143000" cy="1143000"/>
    <xdr:pic>
      <xdr:nvPicPr>
        <xdr:cNvPr id="6142" name="113b3b6b-bc86-486f-9346-048663ef698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11c24e88909482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6145</xdr:row>
      <xdr:rowOff>19050</xdr:rowOff>
    </xdr:from>
    <xdr:ext cx="1143000" cy="1143000"/>
    <xdr:pic>
      <xdr:nvPicPr>
        <xdr:cNvPr id="6143" name="5daaec72-adca-4994-8b38-fe802fa19b0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12d513834de49f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6146</xdr:row>
      <xdr:rowOff>19050</xdr:rowOff>
    </xdr:from>
    <xdr:ext cx="1143000" cy="1143000"/>
    <xdr:pic>
      <xdr:nvPicPr>
        <xdr:cNvPr id="6144" name="89dfe9dc-6a90-42cd-8bbf-0dac37ad4b2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51f7bbac7364fb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6147</xdr:row>
      <xdr:rowOff>19050</xdr:rowOff>
    </xdr:from>
    <xdr:ext cx="1143000" cy="1143000"/>
    <xdr:pic>
      <xdr:nvPicPr>
        <xdr:cNvPr id="6145" name="2dacb585-d09a-45cd-be8b-f531a71999a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7a6bfbe9ce744a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6148</xdr:row>
      <xdr:rowOff>19050</xdr:rowOff>
    </xdr:from>
    <xdr:ext cx="1143000" cy="1143000"/>
    <xdr:pic>
      <xdr:nvPicPr>
        <xdr:cNvPr id="6146" name="8e30d9c3-7ff3-4b42-ae20-339c343b967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3dd55732d6b4a9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6149</xdr:row>
      <xdr:rowOff>19050</xdr:rowOff>
    </xdr:from>
    <xdr:ext cx="1143000" cy="1143000"/>
    <xdr:pic>
      <xdr:nvPicPr>
        <xdr:cNvPr id="6147" name="904946c5-a129-49d9-a489-9248fa357aa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f1d45e9e45e4a0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6150</xdr:row>
      <xdr:rowOff>19050</xdr:rowOff>
    </xdr:from>
    <xdr:ext cx="1143000" cy="1143000"/>
    <xdr:pic>
      <xdr:nvPicPr>
        <xdr:cNvPr id="6148" name="7e436c61-c146-4db5-be32-76e00601906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aac0b79baf14ca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6151</xdr:row>
      <xdr:rowOff>19050</xdr:rowOff>
    </xdr:from>
    <xdr:ext cx="1143000" cy="1143000"/>
    <xdr:pic>
      <xdr:nvPicPr>
        <xdr:cNvPr id="6149" name="a3cf7c85-107d-4015-9c31-62221c23d90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0523fa1bff94cf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6152</xdr:row>
      <xdr:rowOff>19050</xdr:rowOff>
    </xdr:from>
    <xdr:ext cx="1143000" cy="1143000"/>
    <xdr:pic>
      <xdr:nvPicPr>
        <xdr:cNvPr id="6150" name="43233e66-501a-4787-9465-b12a72d9272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eb27fe94f66438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6153</xdr:row>
      <xdr:rowOff>19050</xdr:rowOff>
    </xdr:from>
    <xdr:ext cx="1143000" cy="1143000"/>
    <xdr:pic>
      <xdr:nvPicPr>
        <xdr:cNvPr id="6151" name="b7d0d48c-6a94-439e-9731-0baea023f29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e9ed8e6e196487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6154</xdr:row>
      <xdr:rowOff>19050</xdr:rowOff>
    </xdr:from>
    <xdr:ext cx="1143000" cy="1143000"/>
    <xdr:pic>
      <xdr:nvPicPr>
        <xdr:cNvPr id="6152" name="22394d8c-7b91-4688-a506-abdcab08c74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4cb5303c2174de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6155</xdr:row>
      <xdr:rowOff>19050</xdr:rowOff>
    </xdr:from>
    <xdr:ext cx="1143000" cy="1143000"/>
    <xdr:pic>
      <xdr:nvPicPr>
        <xdr:cNvPr id="6153" name="9e813a69-8c82-4b9e-95f9-1392bf6798a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45a201fb5f4478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6156</xdr:row>
      <xdr:rowOff>19050</xdr:rowOff>
    </xdr:from>
    <xdr:ext cx="1143000" cy="1143000"/>
    <xdr:pic>
      <xdr:nvPicPr>
        <xdr:cNvPr id="6154" name="fbade8c2-4fb9-4182-aa39-15a74baaaa6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ddadfb8d808440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6157</xdr:row>
      <xdr:rowOff>19050</xdr:rowOff>
    </xdr:from>
    <xdr:ext cx="1143000" cy="1143000"/>
    <xdr:pic>
      <xdr:nvPicPr>
        <xdr:cNvPr id="6155" name="25964a52-db33-4f0a-bc45-9c39c4b6ca5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ae4daa7b2c74ff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6158</xdr:row>
      <xdr:rowOff>19050</xdr:rowOff>
    </xdr:from>
    <xdr:ext cx="1143000" cy="1143000"/>
    <xdr:pic>
      <xdr:nvPicPr>
        <xdr:cNvPr id="6156" name="b65a6475-3a48-4e97-9b63-ed241689e14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5bd5909a1da47b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6159</xdr:row>
      <xdr:rowOff>19050</xdr:rowOff>
    </xdr:from>
    <xdr:ext cx="1143000" cy="1143000"/>
    <xdr:pic>
      <xdr:nvPicPr>
        <xdr:cNvPr id="6157" name="3d58b89f-93d9-4ed9-b3b8-acdeb2ab390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e57e1d02bea4fc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6160</xdr:row>
      <xdr:rowOff>19050</xdr:rowOff>
    </xdr:from>
    <xdr:ext cx="1143000" cy="1143000"/>
    <xdr:pic>
      <xdr:nvPicPr>
        <xdr:cNvPr id="6158" name="8802ed03-7161-42ec-a9a6-ed85e3641f4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8155671e9804d6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6161</xdr:row>
      <xdr:rowOff>19050</xdr:rowOff>
    </xdr:from>
    <xdr:ext cx="1143000" cy="1143000"/>
    <xdr:pic>
      <xdr:nvPicPr>
        <xdr:cNvPr id="6159" name="be45179f-def4-47d1-97d2-4e46c36ba01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a4a60d1f0154c5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6162</xdr:row>
      <xdr:rowOff>19050</xdr:rowOff>
    </xdr:from>
    <xdr:ext cx="1143000" cy="1143000"/>
    <xdr:pic>
      <xdr:nvPicPr>
        <xdr:cNvPr id="6160" name="8040b9d4-c88e-4706-aa20-6bb219b5578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86ed7fe0fdc4ee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6163</xdr:row>
      <xdr:rowOff>19050</xdr:rowOff>
    </xdr:from>
    <xdr:ext cx="1143000" cy="1143000"/>
    <xdr:pic>
      <xdr:nvPicPr>
        <xdr:cNvPr id="6161" name="c58abbee-eae6-452b-b702-5a84421fff8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11e3be4158b49f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6164</xdr:row>
      <xdr:rowOff>19050</xdr:rowOff>
    </xdr:from>
    <xdr:ext cx="1143000" cy="1143000"/>
    <xdr:pic>
      <xdr:nvPicPr>
        <xdr:cNvPr id="6162" name="1d8155a3-600b-476c-b90d-aa8dac5e302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0e6f2fec109476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6165</xdr:row>
      <xdr:rowOff>19050</xdr:rowOff>
    </xdr:from>
    <xdr:ext cx="1143000" cy="1143000"/>
    <xdr:pic>
      <xdr:nvPicPr>
        <xdr:cNvPr id="6163" name="51166545-9a72-4409-ba33-a985fb716fc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ab8df9a91d64b1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6166</xdr:row>
      <xdr:rowOff>19050</xdr:rowOff>
    </xdr:from>
    <xdr:ext cx="1143000" cy="1143000"/>
    <xdr:pic>
      <xdr:nvPicPr>
        <xdr:cNvPr id="6164" name="b9b91ded-dadc-4c28-ae3c-905781a0d88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c764e3d94c4493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6167</xdr:row>
      <xdr:rowOff>19050</xdr:rowOff>
    </xdr:from>
    <xdr:ext cx="1143000" cy="1143000"/>
    <xdr:pic>
      <xdr:nvPicPr>
        <xdr:cNvPr id="6165" name="ce677be2-0644-4767-8412-b48605d90d8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c8d02add486425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6168</xdr:row>
      <xdr:rowOff>19050</xdr:rowOff>
    </xdr:from>
    <xdr:ext cx="1143000" cy="1143000"/>
    <xdr:pic>
      <xdr:nvPicPr>
        <xdr:cNvPr id="6166" name="8a972ade-569b-4cfa-917c-39c60d5401e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0ef1abcd1684ba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6169</xdr:row>
      <xdr:rowOff>19050</xdr:rowOff>
    </xdr:from>
    <xdr:ext cx="1143000" cy="1143000"/>
    <xdr:pic>
      <xdr:nvPicPr>
        <xdr:cNvPr id="6167" name="40145d26-b5a5-42a1-9883-c73a7c75131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d41c2f85ad24ec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6170</xdr:row>
      <xdr:rowOff>19050</xdr:rowOff>
    </xdr:from>
    <xdr:ext cx="1143000" cy="1143000"/>
    <xdr:pic>
      <xdr:nvPicPr>
        <xdr:cNvPr id="6168" name="a461dfeb-6a35-4d10-a65b-b867677a4d6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33da33f62134a1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6171</xdr:row>
      <xdr:rowOff>19050</xdr:rowOff>
    </xdr:from>
    <xdr:ext cx="1143000" cy="1143000"/>
    <xdr:pic>
      <xdr:nvPicPr>
        <xdr:cNvPr id="6169" name="11dfd88d-1d97-46fb-84aa-eba3caec7dc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efbec673410402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6172</xdr:row>
      <xdr:rowOff>19050</xdr:rowOff>
    </xdr:from>
    <xdr:ext cx="1143000" cy="1143000"/>
    <xdr:pic>
      <xdr:nvPicPr>
        <xdr:cNvPr id="6170" name="5426ae16-d1aa-41b1-bc6b-f9788a0d2be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7b746b3ec114c5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6173</xdr:row>
      <xdr:rowOff>19050</xdr:rowOff>
    </xdr:from>
    <xdr:ext cx="1143000" cy="1143000"/>
    <xdr:pic>
      <xdr:nvPicPr>
        <xdr:cNvPr id="6171" name="2dab590e-38a7-47a6-bb7c-19d453b2513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5f5ac38a6064e8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6174</xdr:row>
      <xdr:rowOff>19050</xdr:rowOff>
    </xdr:from>
    <xdr:ext cx="1143000" cy="1143000"/>
    <xdr:pic>
      <xdr:nvPicPr>
        <xdr:cNvPr id="6172" name="08738bb0-9627-4159-95a0-e38f98c8206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e5befffb6fa493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6175</xdr:row>
      <xdr:rowOff>19050</xdr:rowOff>
    </xdr:from>
    <xdr:ext cx="1143000" cy="1143000"/>
    <xdr:pic>
      <xdr:nvPicPr>
        <xdr:cNvPr id="6173" name="cf01c172-469a-4968-95a4-6e3303a83c0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247b0177318453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6176</xdr:row>
      <xdr:rowOff>19050</xdr:rowOff>
    </xdr:from>
    <xdr:ext cx="1143000" cy="1143000"/>
    <xdr:pic>
      <xdr:nvPicPr>
        <xdr:cNvPr id="6174" name="cfe93ad0-c2cd-48d2-b627-0c92484eb11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6cf98264e0a420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6177</xdr:row>
      <xdr:rowOff>19050</xdr:rowOff>
    </xdr:from>
    <xdr:ext cx="1143000" cy="1143000"/>
    <xdr:pic>
      <xdr:nvPicPr>
        <xdr:cNvPr id="6175" name="4bf9070b-519a-4eb3-96d4-3b85abc87d1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98a77bc04e3463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6178</xdr:row>
      <xdr:rowOff>19050</xdr:rowOff>
    </xdr:from>
    <xdr:ext cx="1143000" cy="1143000"/>
    <xdr:pic>
      <xdr:nvPicPr>
        <xdr:cNvPr id="6176" name="6a34222f-e4e7-4d78-969e-683390c064e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0bc35d5245f4c2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6179</xdr:row>
      <xdr:rowOff>19050</xdr:rowOff>
    </xdr:from>
    <xdr:ext cx="1143000" cy="1143000"/>
    <xdr:pic>
      <xdr:nvPicPr>
        <xdr:cNvPr id="6177" name="ed2ca45e-d16e-43da-9f0c-bf4937a4b86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1315fd0c8e941b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6180</xdr:row>
      <xdr:rowOff>19050</xdr:rowOff>
    </xdr:from>
    <xdr:ext cx="1143000" cy="1143000"/>
    <xdr:pic>
      <xdr:nvPicPr>
        <xdr:cNvPr id="6178" name="af2c9b94-59c1-4974-a4f8-05d0269c905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e7e8a2a03594d5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6181</xdr:row>
      <xdr:rowOff>19050</xdr:rowOff>
    </xdr:from>
    <xdr:ext cx="1143000" cy="1143000"/>
    <xdr:pic>
      <xdr:nvPicPr>
        <xdr:cNvPr id="6179" name="a775f68a-145f-496f-8e7a-e93f87989a2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b8cf2ed35f5411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6182</xdr:row>
      <xdr:rowOff>19050</xdr:rowOff>
    </xdr:from>
    <xdr:ext cx="1143000" cy="1143000"/>
    <xdr:pic>
      <xdr:nvPicPr>
        <xdr:cNvPr id="6180" name="d5f9bf6b-b76b-4879-876c-634e313bd1f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591a3d2c2b0404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6183</xdr:row>
      <xdr:rowOff>19050</xdr:rowOff>
    </xdr:from>
    <xdr:ext cx="1143000" cy="1143000"/>
    <xdr:pic>
      <xdr:nvPicPr>
        <xdr:cNvPr id="6181" name="7a036993-9e90-471b-9586-cfbfae601ee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33942256a1a48b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6184</xdr:row>
      <xdr:rowOff>19050</xdr:rowOff>
    </xdr:from>
    <xdr:ext cx="1143000" cy="1143000"/>
    <xdr:pic>
      <xdr:nvPicPr>
        <xdr:cNvPr id="6182" name="acdda5aa-d349-4c74-ad94-ee6d99d91ac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b639a21172946f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6185</xdr:row>
      <xdr:rowOff>19050</xdr:rowOff>
    </xdr:from>
    <xdr:ext cx="1143000" cy="1143000"/>
    <xdr:pic>
      <xdr:nvPicPr>
        <xdr:cNvPr id="6183" name="07f09ebf-1e10-42a9-9796-c49cdd1c6bb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e34b76884864c2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6186</xdr:row>
      <xdr:rowOff>19050</xdr:rowOff>
    </xdr:from>
    <xdr:ext cx="1143000" cy="1143000"/>
    <xdr:pic>
      <xdr:nvPicPr>
        <xdr:cNvPr id="6184" name="aad1d064-5a36-47bb-94f0-c3a4c2fba07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29f42f18f78438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6187</xdr:row>
      <xdr:rowOff>19050</xdr:rowOff>
    </xdr:from>
    <xdr:ext cx="1143000" cy="1143000"/>
    <xdr:pic>
      <xdr:nvPicPr>
        <xdr:cNvPr id="6185" name="c58ae64a-db7a-491c-bc91-ee69b6141ee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095404720784e5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6188</xdr:row>
      <xdr:rowOff>19050</xdr:rowOff>
    </xdr:from>
    <xdr:ext cx="1143000" cy="1143000"/>
    <xdr:pic>
      <xdr:nvPicPr>
        <xdr:cNvPr id="6186" name="50940ebe-ba76-4006-a253-a6cfd9858ae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a53330cd5104bd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6189</xdr:row>
      <xdr:rowOff>19050</xdr:rowOff>
    </xdr:from>
    <xdr:ext cx="1143000" cy="1143000"/>
    <xdr:pic>
      <xdr:nvPicPr>
        <xdr:cNvPr id="6187" name="725ef317-9953-4d4e-935e-00edca122d1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1e0914ec5774b4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6190</xdr:row>
      <xdr:rowOff>19050</xdr:rowOff>
    </xdr:from>
    <xdr:ext cx="1143000" cy="1143000"/>
    <xdr:pic>
      <xdr:nvPicPr>
        <xdr:cNvPr id="6188" name="9c8082d8-b716-4961-98a7-77c6213f23a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bd86120ab18449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6191</xdr:row>
      <xdr:rowOff>19050</xdr:rowOff>
    </xdr:from>
    <xdr:ext cx="1143000" cy="1143000"/>
    <xdr:pic>
      <xdr:nvPicPr>
        <xdr:cNvPr id="6189" name="ee8a3d70-c5d7-4274-9438-61927f7c2d0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30cb0aa3df14f3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6192</xdr:row>
      <xdr:rowOff>19050</xdr:rowOff>
    </xdr:from>
    <xdr:ext cx="1143000" cy="1143000"/>
    <xdr:pic>
      <xdr:nvPicPr>
        <xdr:cNvPr id="6190" name="64567247-cf81-41b8-a717-fedf59ec027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c68dc065e1043a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6193</xdr:row>
      <xdr:rowOff>19050</xdr:rowOff>
    </xdr:from>
    <xdr:ext cx="1143000" cy="1143000"/>
    <xdr:pic>
      <xdr:nvPicPr>
        <xdr:cNvPr id="6191" name="8c9ac0c8-7bc8-48ad-a9f5-b139c23d340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5d3631a52514fe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6194</xdr:row>
      <xdr:rowOff>19050</xdr:rowOff>
    </xdr:from>
    <xdr:ext cx="1143000" cy="1143000"/>
    <xdr:pic>
      <xdr:nvPicPr>
        <xdr:cNvPr id="6192" name="836387ff-7dd8-4ca5-8bc6-ca7ed99d513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93d1c2b2901412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6195</xdr:row>
      <xdr:rowOff>19050</xdr:rowOff>
    </xdr:from>
    <xdr:ext cx="1143000" cy="1143000"/>
    <xdr:pic>
      <xdr:nvPicPr>
        <xdr:cNvPr id="6193" name="e6589f42-37a9-4305-a9aa-79b679f4915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d11ad0174e247e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6196</xdr:row>
      <xdr:rowOff>19050</xdr:rowOff>
    </xdr:from>
    <xdr:ext cx="1143000" cy="1143000"/>
    <xdr:pic>
      <xdr:nvPicPr>
        <xdr:cNvPr id="6194" name="6678dc5c-f3c4-47d7-9cf2-1a4abab8f74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fdb19ca57e64f5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6197</xdr:row>
      <xdr:rowOff>19050</xdr:rowOff>
    </xdr:from>
    <xdr:ext cx="1143000" cy="1143000"/>
    <xdr:pic>
      <xdr:nvPicPr>
        <xdr:cNvPr id="6195" name="8830e3d4-4f0a-4fe1-92e1-a904f453d9d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8db265799d94d9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6198</xdr:row>
      <xdr:rowOff>19050</xdr:rowOff>
    </xdr:from>
    <xdr:ext cx="1143000" cy="1143000"/>
    <xdr:pic>
      <xdr:nvPicPr>
        <xdr:cNvPr id="6196" name="5e130011-a060-4c55-8cd0-691ff95ae0e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4eece08c834458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6199</xdr:row>
      <xdr:rowOff>19050</xdr:rowOff>
    </xdr:from>
    <xdr:ext cx="1143000" cy="1143000"/>
    <xdr:pic>
      <xdr:nvPicPr>
        <xdr:cNvPr id="6197" name="8b02a770-a4ca-4c07-a458-a9947a17934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7780096b628426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6200</xdr:row>
      <xdr:rowOff>19050</xdr:rowOff>
    </xdr:from>
    <xdr:ext cx="1143000" cy="1143000"/>
    <xdr:pic>
      <xdr:nvPicPr>
        <xdr:cNvPr id="6198" name="b29da1df-e612-4bf8-b916-52a47958b28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3bf55dabad74bf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6201</xdr:row>
      <xdr:rowOff>19050</xdr:rowOff>
    </xdr:from>
    <xdr:ext cx="1143000" cy="1143000"/>
    <xdr:pic>
      <xdr:nvPicPr>
        <xdr:cNvPr id="6199" name="967e4439-e864-40bd-ab36-6ace45f89fe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5cbe16a4c6245e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6202</xdr:row>
      <xdr:rowOff>19050</xdr:rowOff>
    </xdr:from>
    <xdr:ext cx="1143000" cy="1143000"/>
    <xdr:pic>
      <xdr:nvPicPr>
        <xdr:cNvPr id="6200" name="f5b782fd-6c09-4648-915e-44a3513a57a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6540c83ba4640f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6203</xdr:row>
      <xdr:rowOff>19050</xdr:rowOff>
    </xdr:from>
    <xdr:ext cx="1143000" cy="1143000"/>
    <xdr:pic>
      <xdr:nvPicPr>
        <xdr:cNvPr id="6201" name="0cf13318-a649-4c78-9e15-f47db343f92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ecbf919e0e245b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6204</xdr:row>
      <xdr:rowOff>19050</xdr:rowOff>
    </xdr:from>
    <xdr:ext cx="1143000" cy="1143000"/>
    <xdr:pic>
      <xdr:nvPicPr>
        <xdr:cNvPr id="6202" name="0a8d47bf-ae7f-4e90-b65f-1124304da5d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1e9b4287eec41e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6205</xdr:row>
      <xdr:rowOff>19050</xdr:rowOff>
    </xdr:from>
    <xdr:ext cx="1143000" cy="1143000"/>
    <xdr:pic>
      <xdr:nvPicPr>
        <xdr:cNvPr id="6203" name="2f96eaa9-dc47-4075-8bf7-34527d78468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cf1b9949dad4f9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6206</xdr:row>
      <xdr:rowOff>19050</xdr:rowOff>
    </xdr:from>
    <xdr:ext cx="1143000" cy="1143000"/>
    <xdr:pic>
      <xdr:nvPicPr>
        <xdr:cNvPr id="6204" name="6a4dc7c4-88ba-4053-ba3e-e6194076312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6ee1bc2ae85488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6207</xdr:row>
      <xdr:rowOff>19050</xdr:rowOff>
    </xdr:from>
    <xdr:ext cx="1143000" cy="1143000"/>
    <xdr:pic>
      <xdr:nvPicPr>
        <xdr:cNvPr id="6205" name="7bb301ed-22e1-45dd-9bb6-22c51818a7c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30f9a36ac2b4b2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6208</xdr:row>
      <xdr:rowOff>19050</xdr:rowOff>
    </xdr:from>
    <xdr:ext cx="1143000" cy="1143000"/>
    <xdr:pic>
      <xdr:nvPicPr>
        <xdr:cNvPr id="6206" name="dc560383-886e-4cd5-a667-35fce87babe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8052ce8ed73422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6209</xdr:row>
      <xdr:rowOff>19050</xdr:rowOff>
    </xdr:from>
    <xdr:ext cx="1143000" cy="1143000"/>
    <xdr:pic>
      <xdr:nvPicPr>
        <xdr:cNvPr id="6207" name="f07f7add-9385-4838-905d-50445ba51cb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5019b6c4530406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6210</xdr:row>
      <xdr:rowOff>19050</xdr:rowOff>
    </xdr:from>
    <xdr:ext cx="1143000" cy="1143000"/>
    <xdr:pic>
      <xdr:nvPicPr>
        <xdr:cNvPr id="6208" name="903d9356-5bc3-4b46-b9de-b2876e98c0c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79f40aaf74e42a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6211</xdr:row>
      <xdr:rowOff>19050</xdr:rowOff>
    </xdr:from>
    <xdr:ext cx="1143000" cy="1143000"/>
    <xdr:pic>
      <xdr:nvPicPr>
        <xdr:cNvPr id="6209" name="cfe77fb9-2542-425a-a618-7a3953b398c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0b99a2cbf2449c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6212</xdr:row>
      <xdr:rowOff>19050</xdr:rowOff>
    </xdr:from>
    <xdr:ext cx="1143000" cy="1143000"/>
    <xdr:pic>
      <xdr:nvPicPr>
        <xdr:cNvPr id="6210" name="bb599731-58ed-4661-b7e7-ed9f04febde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7230ced5cd8494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6213</xdr:row>
      <xdr:rowOff>19050</xdr:rowOff>
    </xdr:from>
    <xdr:ext cx="1143000" cy="1143000"/>
    <xdr:pic>
      <xdr:nvPicPr>
        <xdr:cNvPr id="6211" name="1056982f-0d98-4682-a495-fabd1588754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d1f3d4e4ff5445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6214</xdr:row>
      <xdr:rowOff>19050</xdr:rowOff>
    </xdr:from>
    <xdr:ext cx="1143000" cy="1143000"/>
    <xdr:pic>
      <xdr:nvPicPr>
        <xdr:cNvPr id="6212" name="ae4acebd-88c6-4b63-a68b-01bbcb44c95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81093aaf18e41e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6215</xdr:row>
      <xdr:rowOff>19050</xdr:rowOff>
    </xdr:from>
    <xdr:ext cx="1143000" cy="1143000"/>
    <xdr:pic>
      <xdr:nvPicPr>
        <xdr:cNvPr id="6213" name="a709a377-9e05-4f9f-8e02-03ff7baf572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272d168180f4ae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6216</xdr:row>
      <xdr:rowOff>19050</xdr:rowOff>
    </xdr:from>
    <xdr:ext cx="1143000" cy="1143000"/>
    <xdr:pic>
      <xdr:nvPicPr>
        <xdr:cNvPr id="6214" name="71f5d81f-d259-434a-a7d5-4f167e0e0a4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0c1a73df7ef48f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6217</xdr:row>
      <xdr:rowOff>19050</xdr:rowOff>
    </xdr:from>
    <xdr:ext cx="1143000" cy="1143000"/>
    <xdr:pic>
      <xdr:nvPicPr>
        <xdr:cNvPr id="6215" name="11f23158-c65e-4e19-9c0c-1c09c3dc62d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495303eceac430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6218</xdr:row>
      <xdr:rowOff>19050</xdr:rowOff>
    </xdr:from>
    <xdr:ext cx="1143000" cy="1143000"/>
    <xdr:pic>
      <xdr:nvPicPr>
        <xdr:cNvPr id="6216" name="f3997496-6888-4b2a-8874-53d329a23e4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432a640b066408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6219</xdr:row>
      <xdr:rowOff>19050</xdr:rowOff>
    </xdr:from>
    <xdr:ext cx="1143000" cy="1143000"/>
    <xdr:pic>
      <xdr:nvPicPr>
        <xdr:cNvPr id="6217" name="0f980834-17f4-4a57-8760-43e82237823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7269f0c3093480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6220</xdr:row>
      <xdr:rowOff>19050</xdr:rowOff>
    </xdr:from>
    <xdr:ext cx="1143000" cy="1143000"/>
    <xdr:pic>
      <xdr:nvPicPr>
        <xdr:cNvPr id="6218" name="a1fbb22c-75fd-4f25-9cba-7e1447d5c3e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f1e3d4d5b9d41b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6221</xdr:row>
      <xdr:rowOff>19050</xdr:rowOff>
    </xdr:from>
    <xdr:ext cx="1143000" cy="1143000"/>
    <xdr:pic>
      <xdr:nvPicPr>
        <xdr:cNvPr id="6219" name="e666ca8c-7dd6-4d38-90d6-8fa8685e359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1a43d3ef6174a0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6222</xdr:row>
      <xdr:rowOff>19050</xdr:rowOff>
    </xdr:from>
    <xdr:ext cx="1143000" cy="1143000"/>
    <xdr:pic>
      <xdr:nvPicPr>
        <xdr:cNvPr id="6220" name="d9b3fb26-a59a-48f5-981a-2804ef69a4a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fb98a29039b48b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6223</xdr:row>
      <xdr:rowOff>19050</xdr:rowOff>
    </xdr:from>
    <xdr:ext cx="1143000" cy="1143000"/>
    <xdr:pic>
      <xdr:nvPicPr>
        <xdr:cNvPr id="6221" name="ecffa9fd-398d-4906-81a6-69cc0a44dbf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d991bed75244e0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6224</xdr:row>
      <xdr:rowOff>19050</xdr:rowOff>
    </xdr:from>
    <xdr:ext cx="1143000" cy="1143000"/>
    <xdr:pic>
      <xdr:nvPicPr>
        <xdr:cNvPr id="6222" name="01d2ba85-baa3-48fe-a780-7bdec3c4599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8a1f90d522a41b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6225</xdr:row>
      <xdr:rowOff>19050</xdr:rowOff>
    </xdr:from>
    <xdr:ext cx="1143000" cy="1143000"/>
    <xdr:pic>
      <xdr:nvPicPr>
        <xdr:cNvPr id="6223" name="d8e17aef-5edd-4fc6-94a3-1634b279912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bd59f792d9b466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6226</xdr:row>
      <xdr:rowOff>19050</xdr:rowOff>
    </xdr:from>
    <xdr:ext cx="1143000" cy="1143000"/>
    <xdr:pic>
      <xdr:nvPicPr>
        <xdr:cNvPr id="6224" name="8b01e27a-3d79-47ce-98c6-54f52d82966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2d91f7f36154a7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6227</xdr:row>
      <xdr:rowOff>19050</xdr:rowOff>
    </xdr:from>
    <xdr:ext cx="1143000" cy="1143000"/>
    <xdr:pic>
      <xdr:nvPicPr>
        <xdr:cNvPr id="6225" name="cb9faf8a-49bc-48d1-a7f4-8b77749759d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eeab5bca07544e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6228</xdr:row>
      <xdr:rowOff>19050</xdr:rowOff>
    </xdr:from>
    <xdr:ext cx="1143000" cy="1143000"/>
    <xdr:pic>
      <xdr:nvPicPr>
        <xdr:cNvPr id="6226" name="72abde58-4772-47e1-95b4-466508d2a65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86f89fae5884ea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6229</xdr:row>
      <xdr:rowOff>19050</xdr:rowOff>
    </xdr:from>
    <xdr:ext cx="1143000" cy="1143000"/>
    <xdr:pic>
      <xdr:nvPicPr>
        <xdr:cNvPr id="6227" name="7c42f378-0516-46ee-b417-72ceafcad25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573e3b9d771461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6230</xdr:row>
      <xdr:rowOff>19050</xdr:rowOff>
    </xdr:from>
    <xdr:ext cx="1143000" cy="1143000"/>
    <xdr:pic>
      <xdr:nvPicPr>
        <xdr:cNvPr id="6228" name="43fbe3e4-fea1-44a0-89c1-9b6994fd070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8e4fb5348d9472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6231</xdr:row>
      <xdr:rowOff>19050</xdr:rowOff>
    </xdr:from>
    <xdr:ext cx="1143000" cy="1143000"/>
    <xdr:pic>
      <xdr:nvPicPr>
        <xdr:cNvPr id="6229" name="b41f908c-6a65-4d04-8af1-272482f4a37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e8b1f7f43c648e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6232</xdr:row>
      <xdr:rowOff>19050</xdr:rowOff>
    </xdr:from>
    <xdr:ext cx="1143000" cy="1143000"/>
    <xdr:pic>
      <xdr:nvPicPr>
        <xdr:cNvPr id="6230" name="21d7f0c1-3a0c-45ad-8cfc-5c022890c40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8db7dd02fed495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6233</xdr:row>
      <xdr:rowOff>19050</xdr:rowOff>
    </xdr:from>
    <xdr:ext cx="1143000" cy="1143000"/>
    <xdr:pic>
      <xdr:nvPicPr>
        <xdr:cNvPr id="6231" name="9d0e6b58-7119-43c7-8f7f-1a7692f8719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993fb8c484d46d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6234</xdr:row>
      <xdr:rowOff>19050</xdr:rowOff>
    </xdr:from>
    <xdr:ext cx="1143000" cy="1143000"/>
    <xdr:pic>
      <xdr:nvPicPr>
        <xdr:cNvPr id="6232" name="20d1caa4-9eee-4fc8-8089-a68ba4a346a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8a6cf423e274c1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6235</xdr:row>
      <xdr:rowOff>19050</xdr:rowOff>
    </xdr:from>
    <xdr:ext cx="1143000" cy="1143000"/>
    <xdr:pic>
      <xdr:nvPicPr>
        <xdr:cNvPr id="6233" name="b0feda55-0051-40df-b5cf-bb1d5292ca2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ecb8435a8ff4ce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6236</xdr:row>
      <xdr:rowOff>19050</xdr:rowOff>
    </xdr:from>
    <xdr:ext cx="1143000" cy="1143000"/>
    <xdr:pic>
      <xdr:nvPicPr>
        <xdr:cNvPr id="6234" name="a2424b34-3aba-4470-99cb-7a03f87456b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b3d96cf5f4f4ca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6237</xdr:row>
      <xdr:rowOff>19050</xdr:rowOff>
    </xdr:from>
    <xdr:ext cx="1143000" cy="1143000"/>
    <xdr:pic>
      <xdr:nvPicPr>
        <xdr:cNvPr id="6235" name="a0b22ffb-3faf-4c7f-af9a-04cabdb144f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55f79634020480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6238</xdr:row>
      <xdr:rowOff>19050</xdr:rowOff>
    </xdr:from>
    <xdr:ext cx="1143000" cy="1143000"/>
    <xdr:pic>
      <xdr:nvPicPr>
        <xdr:cNvPr id="6236" name="eebc1424-3d84-4262-a5f6-52d108beef8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90b0740db714a1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6239</xdr:row>
      <xdr:rowOff>19050</xdr:rowOff>
    </xdr:from>
    <xdr:ext cx="1143000" cy="1143000"/>
    <xdr:pic>
      <xdr:nvPicPr>
        <xdr:cNvPr id="6237" name="fc15a00c-2398-4218-a13f-f580c5d5b4b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d34380d70494c5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6240</xdr:row>
      <xdr:rowOff>19050</xdr:rowOff>
    </xdr:from>
    <xdr:ext cx="1143000" cy="1143000"/>
    <xdr:pic>
      <xdr:nvPicPr>
        <xdr:cNvPr id="6238" name="59c42828-f56b-41ec-b926-36e3f9c1922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3b5d28a042c422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6241</xdr:row>
      <xdr:rowOff>19050</xdr:rowOff>
    </xdr:from>
    <xdr:ext cx="1143000" cy="1143000"/>
    <xdr:pic>
      <xdr:nvPicPr>
        <xdr:cNvPr id="6239" name="e2669fad-8526-4214-9e58-efae666d388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6111ed5e8b941e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6242</xdr:row>
      <xdr:rowOff>19050</xdr:rowOff>
    </xdr:from>
    <xdr:ext cx="1143000" cy="1143000"/>
    <xdr:pic>
      <xdr:nvPicPr>
        <xdr:cNvPr id="6240" name="6014eace-fc15-4657-baf1-35a345e2ad5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a5d92b0554a411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6243</xdr:row>
      <xdr:rowOff>19050</xdr:rowOff>
    </xdr:from>
    <xdr:ext cx="1143000" cy="1143000"/>
    <xdr:pic>
      <xdr:nvPicPr>
        <xdr:cNvPr id="6241" name="68ece6a4-f770-464d-9107-88f67d941e9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24fa766649c43c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6244</xdr:row>
      <xdr:rowOff>19050</xdr:rowOff>
    </xdr:from>
    <xdr:ext cx="1143000" cy="1143000"/>
    <xdr:pic>
      <xdr:nvPicPr>
        <xdr:cNvPr id="6242" name="1ab99749-bfd1-44cf-853d-52edb87de69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77dfa148e7c4bc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6245</xdr:row>
      <xdr:rowOff>19050</xdr:rowOff>
    </xdr:from>
    <xdr:ext cx="1143000" cy="1143000"/>
    <xdr:pic>
      <xdr:nvPicPr>
        <xdr:cNvPr id="6243" name="e48e1a03-e31b-4125-bc46-94fd0e451ba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317096935a44e9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6246</xdr:row>
      <xdr:rowOff>19050</xdr:rowOff>
    </xdr:from>
    <xdr:ext cx="1143000" cy="1143000"/>
    <xdr:pic>
      <xdr:nvPicPr>
        <xdr:cNvPr id="6244" name="17e9f8fd-dcfa-4e5e-8433-d0a735b40bf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fbd8454b1c9491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6247</xdr:row>
      <xdr:rowOff>19050</xdr:rowOff>
    </xdr:from>
    <xdr:ext cx="1143000" cy="1143000"/>
    <xdr:pic>
      <xdr:nvPicPr>
        <xdr:cNvPr id="6245" name="ea65b9c4-1dc6-4fab-b7d6-ed6677abb7f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7643fcf2ecf4dd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6248</xdr:row>
      <xdr:rowOff>19050</xdr:rowOff>
    </xdr:from>
    <xdr:ext cx="1143000" cy="1143000"/>
    <xdr:pic>
      <xdr:nvPicPr>
        <xdr:cNvPr id="6246" name="db7c1cb1-ca36-44f9-a8ca-e45417db276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3b76e27dfe84ac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6249</xdr:row>
      <xdr:rowOff>19050</xdr:rowOff>
    </xdr:from>
    <xdr:ext cx="1143000" cy="1143000"/>
    <xdr:pic>
      <xdr:nvPicPr>
        <xdr:cNvPr id="6247" name="279dc476-3240-480a-aeba-566346ac692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22b3776df814e4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6250</xdr:row>
      <xdr:rowOff>19050</xdr:rowOff>
    </xdr:from>
    <xdr:ext cx="1143000" cy="1143000"/>
    <xdr:pic>
      <xdr:nvPicPr>
        <xdr:cNvPr id="6248" name="c0467e88-8f3a-4b61-a144-42c2cb66c61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2b2ed14be2640d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6251</xdr:row>
      <xdr:rowOff>19050</xdr:rowOff>
    </xdr:from>
    <xdr:ext cx="1143000" cy="1143000"/>
    <xdr:pic>
      <xdr:nvPicPr>
        <xdr:cNvPr id="6249" name="c00244d4-c1c1-4706-9044-9c1a7c2e76f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9b99f319dfa4ba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6252</xdr:row>
      <xdr:rowOff>19050</xdr:rowOff>
    </xdr:from>
    <xdr:ext cx="1143000" cy="1143000"/>
    <xdr:pic>
      <xdr:nvPicPr>
        <xdr:cNvPr id="6250" name="338837d4-731d-4326-9a7b-4969323f680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202b445eb85454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6253</xdr:row>
      <xdr:rowOff>19050</xdr:rowOff>
    </xdr:from>
    <xdr:ext cx="1143000" cy="1143000"/>
    <xdr:pic>
      <xdr:nvPicPr>
        <xdr:cNvPr id="6251" name="8a4ca4d6-420d-46c7-a036-95ca8ba7013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3fdf5028aa14f2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6254</xdr:row>
      <xdr:rowOff>19050</xdr:rowOff>
    </xdr:from>
    <xdr:ext cx="1143000" cy="1143000"/>
    <xdr:pic>
      <xdr:nvPicPr>
        <xdr:cNvPr id="6252" name="4f339ff3-5b53-4a46-b2c7-af83157edee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b38675c0ef742e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6255</xdr:row>
      <xdr:rowOff>19050</xdr:rowOff>
    </xdr:from>
    <xdr:ext cx="1143000" cy="1143000"/>
    <xdr:pic>
      <xdr:nvPicPr>
        <xdr:cNvPr id="6253" name="b37c9d9f-3246-457c-b4cc-4e539fe15f3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e1c7755130949e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6256</xdr:row>
      <xdr:rowOff>19050</xdr:rowOff>
    </xdr:from>
    <xdr:ext cx="1143000" cy="1143000"/>
    <xdr:pic>
      <xdr:nvPicPr>
        <xdr:cNvPr id="6254" name="e4154351-1b3e-4a31-942f-ccd0b71ffad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1e0a6341ae94ab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6257</xdr:row>
      <xdr:rowOff>19050</xdr:rowOff>
    </xdr:from>
    <xdr:ext cx="1143000" cy="1143000"/>
    <xdr:pic>
      <xdr:nvPicPr>
        <xdr:cNvPr id="6255" name="09937235-9b07-4959-b9be-507e21cdfb2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ad2721a963340c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6258</xdr:row>
      <xdr:rowOff>19050</xdr:rowOff>
    </xdr:from>
    <xdr:ext cx="1143000" cy="1143000"/>
    <xdr:pic>
      <xdr:nvPicPr>
        <xdr:cNvPr id="6256" name="2c4f1a09-6980-494c-9882-3e1910ddf98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ae4fbaecf204f8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6259</xdr:row>
      <xdr:rowOff>19050</xdr:rowOff>
    </xdr:from>
    <xdr:ext cx="1143000" cy="1143000"/>
    <xdr:pic>
      <xdr:nvPicPr>
        <xdr:cNvPr id="6257" name="22cab9ee-de6f-42e2-8589-8281596e6ea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5c39e81c018458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6260</xdr:row>
      <xdr:rowOff>19050</xdr:rowOff>
    </xdr:from>
    <xdr:ext cx="1143000" cy="1143000"/>
    <xdr:pic>
      <xdr:nvPicPr>
        <xdr:cNvPr id="6258" name="9bcee738-2079-407e-af50-274daead1c0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3cf9568b64b488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6261</xdr:row>
      <xdr:rowOff>19050</xdr:rowOff>
    </xdr:from>
    <xdr:ext cx="1143000" cy="1143000"/>
    <xdr:pic>
      <xdr:nvPicPr>
        <xdr:cNvPr id="6259" name="45c8926e-a07f-4819-bbd9-96db6bb7d28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7d357f1b9434b8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6262</xdr:row>
      <xdr:rowOff>19050</xdr:rowOff>
    </xdr:from>
    <xdr:ext cx="1143000" cy="1143000"/>
    <xdr:pic>
      <xdr:nvPicPr>
        <xdr:cNvPr id="6260" name="f89c99b3-a1f7-40e8-9b0c-e71f0403d2e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21eff9b79884c6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6263</xdr:row>
      <xdr:rowOff>19050</xdr:rowOff>
    </xdr:from>
    <xdr:ext cx="1143000" cy="1143000"/>
    <xdr:pic>
      <xdr:nvPicPr>
        <xdr:cNvPr id="6261" name="7e8af910-e5a6-40ef-899c-f7b933d863c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a110242376e4eb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6264</xdr:row>
      <xdr:rowOff>19050</xdr:rowOff>
    </xdr:from>
    <xdr:ext cx="1143000" cy="1143000"/>
    <xdr:pic>
      <xdr:nvPicPr>
        <xdr:cNvPr id="6262" name="6a07dbb0-f486-44ec-a312-58ad789f518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80324ee89644a5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6265</xdr:row>
      <xdr:rowOff>19050</xdr:rowOff>
    </xdr:from>
    <xdr:ext cx="1143000" cy="1143000"/>
    <xdr:pic>
      <xdr:nvPicPr>
        <xdr:cNvPr id="6263" name="20406899-0fa6-4ec1-9f75-23403cb350c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64448dc39ae4e4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6266</xdr:row>
      <xdr:rowOff>19050</xdr:rowOff>
    </xdr:from>
    <xdr:ext cx="1143000" cy="1143000"/>
    <xdr:pic>
      <xdr:nvPicPr>
        <xdr:cNvPr id="6264" name="1a8b8754-64bf-4d5c-b39e-7f0ca9268c9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472abc29b27490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6267</xdr:row>
      <xdr:rowOff>19050</xdr:rowOff>
    </xdr:from>
    <xdr:ext cx="1143000" cy="1143000"/>
    <xdr:pic>
      <xdr:nvPicPr>
        <xdr:cNvPr id="6265" name="c75c27aa-229e-41d0-a1cf-b6a7cfad8dd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c0cb6d42cc14b5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6268</xdr:row>
      <xdr:rowOff>19050</xdr:rowOff>
    </xdr:from>
    <xdr:ext cx="1143000" cy="1143000"/>
    <xdr:pic>
      <xdr:nvPicPr>
        <xdr:cNvPr id="6266" name="a18d1b84-414c-43fd-a37b-5ec04c6facf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b4f2cb14ba8469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6269</xdr:row>
      <xdr:rowOff>19050</xdr:rowOff>
    </xdr:from>
    <xdr:ext cx="1143000" cy="1143000"/>
    <xdr:pic>
      <xdr:nvPicPr>
        <xdr:cNvPr id="6267" name="25dd02e9-8d77-4fa0-8624-54dcdd090aa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6665f9e1a504bf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6270</xdr:row>
      <xdr:rowOff>19050</xdr:rowOff>
    </xdr:from>
    <xdr:ext cx="1143000" cy="1143000"/>
    <xdr:pic>
      <xdr:nvPicPr>
        <xdr:cNvPr id="6268" name="f7c4e6e5-e883-4aef-ac80-ad0c4c1eb47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ca8a0b2438f498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6271</xdr:row>
      <xdr:rowOff>19050</xdr:rowOff>
    </xdr:from>
    <xdr:ext cx="1143000" cy="1143000"/>
    <xdr:pic>
      <xdr:nvPicPr>
        <xdr:cNvPr id="6269" name="a10a6676-c3c1-47fb-b7d7-8ffa5107bbf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6bc2064d2f34a2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6272</xdr:row>
      <xdr:rowOff>19050</xdr:rowOff>
    </xdr:from>
    <xdr:ext cx="1143000" cy="1143000"/>
    <xdr:pic>
      <xdr:nvPicPr>
        <xdr:cNvPr id="6270" name="912996de-ed3b-411f-8753-8ca74f2cdde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3e07f48a94d4c5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6273</xdr:row>
      <xdr:rowOff>19050</xdr:rowOff>
    </xdr:from>
    <xdr:ext cx="1143000" cy="1143000"/>
    <xdr:pic>
      <xdr:nvPicPr>
        <xdr:cNvPr id="6271" name="862de305-3038-4776-8099-12c4ce2f776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d6502e27e374cc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6274</xdr:row>
      <xdr:rowOff>19050</xdr:rowOff>
    </xdr:from>
    <xdr:ext cx="1143000" cy="1143000"/>
    <xdr:pic>
      <xdr:nvPicPr>
        <xdr:cNvPr id="6272" name="e995deed-3298-4569-a956-22dfb2a8287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94a93d0cdae447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6275</xdr:row>
      <xdr:rowOff>19050</xdr:rowOff>
    </xdr:from>
    <xdr:ext cx="1143000" cy="1143000"/>
    <xdr:pic>
      <xdr:nvPicPr>
        <xdr:cNvPr id="6273" name="50b3f9f6-8404-40e3-b7e5-7aaedff2034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09c709d1e33493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6276</xdr:row>
      <xdr:rowOff>19050</xdr:rowOff>
    </xdr:from>
    <xdr:ext cx="1143000" cy="1143000"/>
    <xdr:pic>
      <xdr:nvPicPr>
        <xdr:cNvPr id="6274" name="dcea48be-1afe-45ce-ad5c-7fda489f7a4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a303d28db884ed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6277</xdr:row>
      <xdr:rowOff>19050</xdr:rowOff>
    </xdr:from>
    <xdr:ext cx="1143000" cy="1143000"/>
    <xdr:pic>
      <xdr:nvPicPr>
        <xdr:cNvPr id="6275" name="d76f3806-73c4-4851-98f3-e0eed02152b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b9a81e1031e4b0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6278</xdr:row>
      <xdr:rowOff>19050</xdr:rowOff>
    </xdr:from>
    <xdr:ext cx="1143000" cy="1143000"/>
    <xdr:pic>
      <xdr:nvPicPr>
        <xdr:cNvPr id="6276" name="bb80ad27-0f36-487d-9a5a-26a1b9cfa51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7e3b54477524f5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6279</xdr:row>
      <xdr:rowOff>19050</xdr:rowOff>
    </xdr:from>
    <xdr:ext cx="1143000" cy="1143000"/>
    <xdr:pic>
      <xdr:nvPicPr>
        <xdr:cNvPr id="6277" name="599f81bb-a2d3-4542-acb6-7c62509bc97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cc8807e4867429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6280</xdr:row>
      <xdr:rowOff>19050</xdr:rowOff>
    </xdr:from>
    <xdr:ext cx="1143000" cy="1143000"/>
    <xdr:pic>
      <xdr:nvPicPr>
        <xdr:cNvPr id="6278" name="c57790ba-0595-4e80-bd67-d32dcce8768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15f573153934fc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6281</xdr:row>
      <xdr:rowOff>19050</xdr:rowOff>
    </xdr:from>
    <xdr:ext cx="1143000" cy="1143000"/>
    <xdr:pic>
      <xdr:nvPicPr>
        <xdr:cNvPr id="6279" name="07346f33-2ab3-49c1-89a3-aa694cb4bfd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c04f853235e4d8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6282</xdr:row>
      <xdr:rowOff>19050</xdr:rowOff>
    </xdr:from>
    <xdr:ext cx="1143000" cy="1143000"/>
    <xdr:pic>
      <xdr:nvPicPr>
        <xdr:cNvPr id="6280" name="f0d9b346-6696-4bf8-952b-db77d4cb1ad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68fd3bc68924b3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6283</xdr:row>
      <xdr:rowOff>19050</xdr:rowOff>
    </xdr:from>
    <xdr:ext cx="1143000" cy="1143000"/>
    <xdr:pic>
      <xdr:nvPicPr>
        <xdr:cNvPr id="6281" name="8fe0d173-59ca-4deb-bd2d-2c10a107383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e2f111219f6415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6284</xdr:row>
      <xdr:rowOff>19050</xdr:rowOff>
    </xdr:from>
    <xdr:ext cx="1143000" cy="1143000"/>
    <xdr:pic>
      <xdr:nvPicPr>
        <xdr:cNvPr id="6282" name="f6766fae-0ccf-48ab-b2e8-f047c282ed6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615e83d0a554ef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6285</xdr:row>
      <xdr:rowOff>19050</xdr:rowOff>
    </xdr:from>
    <xdr:ext cx="1143000" cy="1143000"/>
    <xdr:pic>
      <xdr:nvPicPr>
        <xdr:cNvPr id="6283" name="dafb3ea7-4ea7-4dc4-8b32-d2eeff83800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adaff98792c4f8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6286</xdr:row>
      <xdr:rowOff>19050</xdr:rowOff>
    </xdr:from>
    <xdr:ext cx="1143000" cy="1143000"/>
    <xdr:pic>
      <xdr:nvPicPr>
        <xdr:cNvPr id="6284" name="c8baa4b6-5a6d-4b0c-b7e4-7de1c420696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ce78077684840a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6287</xdr:row>
      <xdr:rowOff>19050</xdr:rowOff>
    </xdr:from>
    <xdr:ext cx="1143000" cy="1143000"/>
    <xdr:pic>
      <xdr:nvPicPr>
        <xdr:cNvPr id="6285" name="4bc2d3f1-96f2-4999-a6e6-ac94d6cec43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86b8db7d1a1455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6288</xdr:row>
      <xdr:rowOff>19050</xdr:rowOff>
    </xdr:from>
    <xdr:ext cx="1143000" cy="1143000"/>
    <xdr:pic>
      <xdr:nvPicPr>
        <xdr:cNvPr id="6286" name="1ed71269-67cc-4100-b836-9c1e8601352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2ae94afca9640a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6289</xdr:row>
      <xdr:rowOff>19050</xdr:rowOff>
    </xdr:from>
    <xdr:ext cx="1143000" cy="1143000"/>
    <xdr:pic>
      <xdr:nvPicPr>
        <xdr:cNvPr id="6287" name="5fb37456-f009-4703-b177-52573ea00ae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7155483b89d411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6290</xdr:row>
      <xdr:rowOff>19050</xdr:rowOff>
    </xdr:from>
    <xdr:ext cx="1143000" cy="1143000"/>
    <xdr:pic>
      <xdr:nvPicPr>
        <xdr:cNvPr id="6288" name="a7b04fbb-9715-4c7f-8a0f-2daab8becfc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e4de08af2c14cf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6291</xdr:row>
      <xdr:rowOff>19050</xdr:rowOff>
    </xdr:from>
    <xdr:ext cx="1143000" cy="1143000"/>
    <xdr:pic>
      <xdr:nvPicPr>
        <xdr:cNvPr id="6289" name="d20c68ef-67c7-4fe4-bba5-ef9ec2e03c9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4d1f2ffdd19464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6292</xdr:row>
      <xdr:rowOff>19050</xdr:rowOff>
    </xdr:from>
    <xdr:ext cx="1143000" cy="1143000"/>
    <xdr:pic>
      <xdr:nvPicPr>
        <xdr:cNvPr id="6290" name="25abdd8c-7324-4804-bf91-275446aa54d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75f0d6bb4664d2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6293</xdr:row>
      <xdr:rowOff>19050</xdr:rowOff>
    </xdr:from>
    <xdr:ext cx="1143000" cy="1143000"/>
    <xdr:pic>
      <xdr:nvPicPr>
        <xdr:cNvPr id="6291" name="c3f1c45c-4844-41ae-90e9-19bc7396108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606cd5ff87f42a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6294</xdr:row>
      <xdr:rowOff>19050</xdr:rowOff>
    </xdr:from>
    <xdr:ext cx="1143000" cy="1143000"/>
    <xdr:pic>
      <xdr:nvPicPr>
        <xdr:cNvPr id="6292" name="eefb52df-7db1-47d7-a830-bb9398fb150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c2aeb1c213742f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6295</xdr:row>
      <xdr:rowOff>19050</xdr:rowOff>
    </xdr:from>
    <xdr:ext cx="1143000" cy="1143000"/>
    <xdr:pic>
      <xdr:nvPicPr>
        <xdr:cNvPr id="6293" name="5c99b89e-150c-41ac-ba39-962413c1618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b957903cd9a4a5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6296</xdr:row>
      <xdr:rowOff>19050</xdr:rowOff>
    </xdr:from>
    <xdr:ext cx="1143000" cy="1143000"/>
    <xdr:pic>
      <xdr:nvPicPr>
        <xdr:cNvPr id="6294" name="b4fd01e0-68c1-42e1-aeff-af7c1cad3e3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66555d74049423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6297</xdr:row>
      <xdr:rowOff>19050</xdr:rowOff>
    </xdr:from>
    <xdr:ext cx="1143000" cy="1143000"/>
    <xdr:pic>
      <xdr:nvPicPr>
        <xdr:cNvPr id="6295" name="f0774574-92a5-442e-82fc-03272bcd8fc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95795b2a61347d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6298</xdr:row>
      <xdr:rowOff>19050</xdr:rowOff>
    </xdr:from>
    <xdr:ext cx="1143000" cy="1143000"/>
    <xdr:pic>
      <xdr:nvPicPr>
        <xdr:cNvPr id="6296" name="b36199f9-58ad-4f94-8fc1-0659a4d51f9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63e0f338745476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6299</xdr:row>
      <xdr:rowOff>19050</xdr:rowOff>
    </xdr:from>
    <xdr:ext cx="1143000" cy="1143000"/>
    <xdr:pic>
      <xdr:nvPicPr>
        <xdr:cNvPr id="6297" name="fc7d6360-a9d0-48a3-9018-48527e34832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b851b6a1bd44c3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6300</xdr:row>
      <xdr:rowOff>19050</xdr:rowOff>
    </xdr:from>
    <xdr:ext cx="1143000" cy="1143000"/>
    <xdr:pic>
      <xdr:nvPicPr>
        <xdr:cNvPr id="6298" name="e34fd46d-5e34-465c-b2ee-1d0ac2fb6a1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317ad7231394cc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6301</xdr:row>
      <xdr:rowOff>19050</xdr:rowOff>
    </xdr:from>
    <xdr:ext cx="1143000" cy="1143000"/>
    <xdr:pic>
      <xdr:nvPicPr>
        <xdr:cNvPr id="6299" name="e4013fbd-7c6e-4c78-9260-26eda7c28a0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644214255d74cb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6302</xdr:row>
      <xdr:rowOff>19050</xdr:rowOff>
    </xdr:from>
    <xdr:ext cx="1143000" cy="1143000"/>
    <xdr:pic>
      <xdr:nvPicPr>
        <xdr:cNvPr id="6300" name="3d9f58f9-4380-40bc-afe5-6efc3a37881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c7594daa4ad489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6303</xdr:row>
      <xdr:rowOff>19050</xdr:rowOff>
    </xdr:from>
    <xdr:ext cx="1143000" cy="1143000"/>
    <xdr:pic>
      <xdr:nvPicPr>
        <xdr:cNvPr id="6301" name="8e3c7532-66c5-44af-9a01-3b70d252a66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3b02a931a024ff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6304</xdr:row>
      <xdr:rowOff>19050</xdr:rowOff>
    </xdr:from>
    <xdr:ext cx="1143000" cy="1143000"/>
    <xdr:pic>
      <xdr:nvPicPr>
        <xdr:cNvPr id="6302" name="ef1bf46a-efee-4c46-b5b4-1966c952cca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9b99bde2ed8444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6305</xdr:row>
      <xdr:rowOff>19050</xdr:rowOff>
    </xdr:from>
    <xdr:ext cx="1143000" cy="1143000"/>
    <xdr:pic>
      <xdr:nvPicPr>
        <xdr:cNvPr id="6303" name="bdb67efa-9a9b-4e8b-bc45-5436bd2a055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44cf0b737874c8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6306</xdr:row>
      <xdr:rowOff>19050</xdr:rowOff>
    </xdr:from>
    <xdr:ext cx="1143000" cy="1143000"/>
    <xdr:pic>
      <xdr:nvPicPr>
        <xdr:cNvPr id="6304" name="02821821-e508-4d95-9595-06968e5e720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8f5ede983754e7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6307</xdr:row>
      <xdr:rowOff>19050</xdr:rowOff>
    </xdr:from>
    <xdr:ext cx="1143000" cy="1143000"/>
    <xdr:pic>
      <xdr:nvPicPr>
        <xdr:cNvPr id="6305" name="bf2e6eef-1448-4735-b53d-bdee9bec8c3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4da2e053ed6464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6308</xdr:row>
      <xdr:rowOff>19050</xdr:rowOff>
    </xdr:from>
    <xdr:ext cx="1143000" cy="1143000"/>
    <xdr:pic>
      <xdr:nvPicPr>
        <xdr:cNvPr id="6306" name="03596209-3936-4b17-b57a-f16518d57a0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59e25926e16449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6309</xdr:row>
      <xdr:rowOff>19050</xdr:rowOff>
    </xdr:from>
    <xdr:ext cx="1143000" cy="1143000"/>
    <xdr:pic>
      <xdr:nvPicPr>
        <xdr:cNvPr id="6307" name="3c8b6d01-1887-4054-9b51-f99119b076f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e46527219bd4cc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6310</xdr:row>
      <xdr:rowOff>19050</xdr:rowOff>
    </xdr:from>
    <xdr:ext cx="1143000" cy="1143000"/>
    <xdr:pic>
      <xdr:nvPicPr>
        <xdr:cNvPr id="6308" name="f2aa58c2-2d5b-4c38-a485-1142dd0105a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7b5ec0b9263489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6311</xdr:row>
      <xdr:rowOff>19050</xdr:rowOff>
    </xdr:from>
    <xdr:ext cx="1143000" cy="1143000"/>
    <xdr:pic>
      <xdr:nvPicPr>
        <xdr:cNvPr id="6309" name="32c29b87-d751-4ab9-a747-78a00e5e144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805e2995d844c0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6312</xdr:row>
      <xdr:rowOff>19050</xdr:rowOff>
    </xdr:from>
    <xdr:ext cx="1143000" cy="1143000"/>
    <xdr:pic>
      <xdr:nvPicPr>
        <xdr:cNvPr id="6310" name="0aef7db7-d5ba-4880-b5a4-3db2deb4b5a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978c269863e4be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6313</xdr:row>
      <xdr:rowOff>19050</xdr:rowOff>
    </xdr:from>
    <xdr:ext cx="1143000" cy="1143000"/>
    <xdr:pic>
      <xdr:nvPicPr>
        <xdr:cNvPr id="6311" name="dfc7d538-ab3f-42fb-843c-7b5e0140d92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e282f8b0de4462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6314</xdr:row>
      <xdr:rowOff>19050</xdr:rowOff>
    </xdr:from>
    <xdr:ext cx="1143000" cy="1143000"/>
    <xdr:pic>
      <xdr:nvPicPr>
        <xdr:cNvPr id="6312" name="e3ea3395-fd88-4d68-8f02-578c438e42f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f83bf87428542d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6315</xdr:row>
      <xdr:rowOff>19050</xdr:rowOff>
    </xdr:from>
    <xdr:ext cx="1143000" cy="1143000"/>
    <xdr:pic>
      <xdr:nvPicPr>
        <xdr:cNvPr id="6313" name="451cf4c8-0633-4be3-983c-801b94f5ac6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919e72d319e475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6316</xdr:row>
      <xdr:rowOff>19050</xdr:rowOff>
    </xdr:from>
    <xdr:ext cx="1143000" cy="1143000"/>
    <xdr:pic>
      <xdr:nvPicPr>
        <xdr:cNvPr id="6314" name="86a5bc66-9732-4555-bada-f2be45fd160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77edeba8aed46d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6317</xdr:row>
      <xdr:rowOff>19050</xdr:rowOff>
    </xdr:from>
    <xdr:ext cx="1143000" cy="1143000"/>
    <xdr:pic>
      <xdr:nvPicPr>
        <xdr:cNvPr id="6315" name="2f774eab-220c-440c-a5ce-3aeba11bcc4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a1b33ff82a8466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6318</xdr:row>
      <xdr:rowOff>19050</xdr:rowOff>
    </xdr:from>
    <xdr:ext cx="1143000" cy="1143000"/>
    <xdr:pic>
      <xdr:nvPicPr>
        <xdr:cNvPr id="6316" name="3f2cb7d3-4f00-44e3-bb8a-7a10965fd52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8e8e5314a924eb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6319</xdr:row>
      <xdr:rowOff>19050</xdr:rowOff>
    </xdr:from>
    <xdr:ext cx="1143000" cy="1143000"/>
    <xdr:pic>
      <xdr:nvPicPr>
        <xdr:cNvPr id="6317" name="01db0fab-6e0e-40e0-8bba-14ec62c89fe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56de7d78adc413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6320</xdr:row>
      <xdr:rowOff>19050</xdr:rowOff>
    </xdr:from>
    <xdr:ext cx="1143000" cy="1143000"/>
    <xdr:pic>
      <xdr:nvPicPr>
        <xdr:cNvPr id="6318" name="929311fd-da8e-49f4-9fea-fcf25163d55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bf06755ce74433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6321</xdr:row>
      <xdr:rowOff>19050</xdr:rowOff>
    </xdr:from>
    <xdr:ext cx="1143000" cy="1143000"/>
    <xdr:pic>
      <xdr:nvPicPr>
        <xdr:cNvPr id="6319" name="1aee3ed8-2899-44bb-ae14-a60fff8478a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ffdf685d5344fa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6322</xdr:row>
      <xdr:rowOff>19050</xdr:rowOff>
    </xdr:from>
    <xdr:ext cx="1143000" cy="1143000"/>
    <xdr:pic>
      <xdr:nvPicPr>
        <xdr:cNvPr id="6320" name="bb9e8692-d1af-4a1a-ad0c-4a576ad9b02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be83b3c2ceb484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6323</xdr:row>
      <xdr:rowOff>19050</xdr:rowOff>
    </xdr:from>
    <xdr:ext cx="1143000" cy="1143000"/>
    <xdr:pic>
      <xdr:nvPicPr>
        <xdr:cNvPr id="6321" name="0c441734-4e7a-4a79-87d4-390a1a421d5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19444d8b35f4f1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6324</xdr:row>
      <xdr:rowOff>19050</xdr:rowOff>
    </xdr:from>
    <xdr:ext cx="1143000" cy="1143000"/>
    <xdr:pic>
      <xdr:nvPicPr>
        <xdr:cNvPr id="6322" name="4e9ad2e9-5921-48a4-915a-b27709c8879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a9e14ec398f444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6325</xdr:row>
      <xdr:rowOff>19050</xdr:rowOff>
    </xdr:from>
    <xdr:ext cx="1143000" cy="1143000"/>
    <xdr:pic>
      <xdr:nvPicPr>
        <xdr:cNvPr id="6323" name="0156a9a1-7303-4c3f-9bdc-4909aab922b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0c0a5ad96c04af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6326</xdr:row>
      <xdr:rowOff>19050</xdr:rowOff>
    </xdr:from>
    <xdr:ext cx="1143000" cy="1143000"/>
    <xdr:pic>
      <xdr:nvPicPr>
        <xdr:cNvPr id="6324" name="4c1c2155-0dc2-4d32-9d29-3ac8af02152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4d8ed42e93246e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6327</xdr:row>
      <xdr:rowOff>19050</xdr:rowOff>
    </xdr:from>
    <xdr:ext cx="1143000" cy="1143000"/>
    <xdr:pic>
      <xdr:nvPicPr>
        <xdr:cNvPr id="6325" name="5b0d15fa-321f-4cbb-be66-d457c9a982e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3c69a22f3ad428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6328</xdr:row>
      <xdr:rowOff>19050</xdr:rowOff>
    </xdr:from>
    <xdr:ext cx="1143000" cy="1143000"/>
    <xdr:pic>
      <xdr:nvPicPr>
        <xdr:cNvPr id="6326" name="fc7dcdc7-91e3-4f72-9456-5313cb41462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428b1713c244ec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6329</xdr:row>
      <xdr:rowOff>19050</xdr:rowOff>
    </xdr:from>
    <xdr:ext cx="1143000" cy="1143000"/>
    <xdr:pic>
      <xdr:nvPicPr>
        <xdr:cNvPr id="6327" name="8564ae0c-884b-4bb7-8e50-8fcd6f308b9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d41517b60bf4be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6330</xdr:row>
      <xdr:rowOff>19050</xdr:rowOff>
    </xdr:from>
    <xdr:ext cx="1143000" cy="1143000"/>
    <xdr:pic>
      <xdr:nvPicPr>
        <xdr:cNvPr id="6328" name="de1b414b-55ae-4f0b-824c-5c745cd071f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fcfb3111da24ae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6331</xdr:row>
      <xdr:rowOff>19050</xdr:rowOff>
    </xdr:from>
    <xdr:ext cx="1143000" cy="1143000"/>
    <xdr:pic>
      <xdr:nvPicPr>
        <xdr:cNvPr id="6329" name="64e83ded-3755-4907-98cd-526cb4120d2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4c755e736b84ac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6332</xdr:row>
      <xdr:rowOff>19050</xdr:rowOff>
    </xdr:from>
    <xdr:ext cx="1143000" cy="1143000"/>
    <xdr:pic>
      <xdr:nvPicPr>
        <xdr:cNvPr id="6330" name="2028d7df-16cb-43b8-a7c4-91425e4728c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acbda3f262c4e1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6333</xdr:row>
      <xdr:rowOff>19050</xdr:rowOff>
    </xdr:from>
    <xdr:ext cx="1143000" cy="1143000"/>
    <xdr:pic>
      <xdr:nvPicPr>
        <xdr:cNvPr id="6331" name="8348f0e8-98a1-4fac-8fe9-556e81a8d2c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e10bef8fb4645c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6334</xdr:row>
      <xdr:rowOff>19050</xdr:rowOff>
    </xdr:from>
    <xdr:ext cx="1143000" cy="1143000"/>
    <xdr:pic>
      <xdr:nvPicPr>
        <xdr:cNvPr id="6332" name="316a6522-8bf8-4750-995b-30ebb4a0ac5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39a553af7ce4b2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6335</xdr:row>
      <xdr:rowOff>19050</xdr:rowOff>
    </xdr:from>
    <xdr:ext cx="1143000" cy="1143000"/>
    <xdr:pic>
      <xdr:nvPicPr>
        <xdr:cNvPr id="6333" name="23e72b19-639d-42f9-af8c-9a440311faa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618c484271e4bc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6336</xdr:row>
      <xdr:rowOff>19050</xdr:rowOff>
    </xdr:from>
    <xdr:ext cx="1143000" cy="1143000"/>
    <xdr:pic>
      <xdr:nvPicPr>
        <xdr:cNvPr id="6334" name="0e9d8172-3e9d-4d28-8042-e860aca9892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f7a7588fb08490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6337</xdr:row>
      <xdr:rowOff>19050</xdr:rowOff>
    </xdr:from>
    <xdr:ext cx="1143000" cy="1143000"/>
    <xdr:pic>
      <xdr:nvPicPr>
        <xdr:cNvPr id="6335" name="5c3742de-1a6e-419c-959b-a8f09bc446b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759bb12b5d147d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6338</xdr:row>
      <xdr:rowOff>19050</xdr:rowOff>
    </xdr:from>
    <xdr:ext cx="1143000" cy="1143000"/>
    <xdr:pic>
      <xdr:nvPicPr>
        <xdr:cNvPr id="6336" name="8e544dd5-d1fb-4ea5-a09a-de7e865e0d4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a7b63f5b29b430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6339</xdr:row>
      <xdr:rowOff>19050</xdr:rowOff>
    </xdr:from>
    <xdr:ext cx="1143000" cy="1143000"/>
    <xdr:pic>
      <xdr:nvPicPr>
        <xdr:cNvPr id="6337" name="8816f5b5-0420-404d-8199-019614e5b4c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fc0e54d93e84dd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6340</xdr:row>
      <xdr:rowOff>19050</xdr:rowOff>
    </xdr:from>
    <xdr:ext cx="1143000" cy="1143000"/>
    <xdr:pic>
      <xdr:nvPicPr>
        <xdr:cNvPr id="6338" name="2246cca0-2e7e-477b-b645-e31b0124ce1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9b2b1d22ae6406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6341</xdr:row>
      <xdr:rowOff>19050</xdr:rowOff>
    </xdr:from>
    <xdr:ext cx="1143000" cy="1143000"/>
    <xdr:pic>
      <xdr:nvPicPr>
        <xdr:cNvPr id="6339" name="4f1de522-c614-490f-9e58-2cbc71ff906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0b00fafda0e474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6342</xdr:row>
      <xdr:rowOff>19050</xdr:rowOff>
    </xdr:from>
    <xdr:ext cx="1143000" cy="1143000"/>
    <xdr:pic>
      <xdr:nvPicPr>
        <xdr:cNvPr id="6340" name="44baeb8c-5061-4019-8763-71219a64d79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6527f983a47408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6343</xdr:row>
      <xdr:rowOff>19050</xdr:rowOff>
    </xdr:from>
    <xdr:ext cx="1143000" cy="1143000"/>
    <xdr:pic>
      <xdr:nvPicPr>
        <xdr:cNvPr id="6341" name="00a61d10-ecf5-4669-8d7b-22b09918b59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fb387ffbc5e4ad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6344</xdr:row>
      <xdr:rowOff>19050</xdr:rowOff>
    </xdr:from>
    <xdr:ext cx="1143000" cy="1143000"/>
    <xdr:pic>
      <xdr:nvPicPr>
        <xdr:cNvPr id="6342" name="0ed51bcb-27f7-4934-a4df-5c27a6a2959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ebb7b6ace6c458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6345</xdr:row>
      <xdr:rowOff>19050</xdr:rowOff>
    </xdr:from>
    <xdr:ext cx="1143000" cy="1143000"/>
    <xdr:pic>
      <xdr:nvPicPr>
        <xdr:cNvPr id="6343" name="87e2453c-1af9-4cf1-aa48-4be5d654234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73299d3d61a42f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6346</xdr:row>
      <xdr:rowOff>19050</xdr:rowOff>
    </xdr:from>
    <xdr:ext cx="1143000" cy="1143000"/>
    <xdr:pic>
      <xdr:nvPicPr>
        <xdr:cNvPr id="6344" name="899970f9-dccd-45b3-899b-a50eadd5a2f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ee4745eef6e41c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6347</xdr:row>
      <xdr:rowOff>19050</xdr:rowOff>
    </xdr:from>
    <xdr:ext cx="1143000" cy="1143000"/>
    <xdr:pic>
      <xdr:nvPicPr>
        <xdr:cNvPr id="6345" name="ed5592bf-e757-41a3-ab4a-94e63abe5c5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6b3c2cd01e5433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6348</xdr:row>
      <xdr:rowOff>19050</xdr:rowOff>
    </xdr:from>
    <xdr:ext cx="1143000" cy="1143000"/>
    <xdr:pic>
      <xdr:nvPicPr>
        <xdr:cNvPr id="6346" name="f9ecd35a-abdd-426b-8593-9c5b65e5ce3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2e6e1829cdc4c8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6349</xdr:row>
      <xdr:rowOff>19050</xdr:rowOff>
    </xdr:from>
    <xdr:ext cx="1143000" cy="1143000"/>
    <xdr:pic>
      <xdr:nvPicPr>
        <xdr:cNvPr id="6347" name="70835702-5efb-41e5-97d3-ce48b0772fb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75655e2929c499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6350</xdr:row>
      <xdr:rowOff>19050</xdr:rowOff>
    </xdr:from>
    <xdr:ext cx="1143000" cy="1143000"/>
    <xdr:pic>
      <xdr:nvPicPr>
        <xdr:cNvPr id="6348" name="eed73bea-12eb-4051-b0bd-b1ed40ad59f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ae2aaddad1642d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6351</xdr:row>
      <xdr:rowOff>19050</xdr:rowOff>
    </xdr:from>
    <xdr:ext cx="1143000" cy="1143000"/>
    <xdr:pic>
      <xdr:nvPicPr>
        <xdr:cNvPr id="6349" name="cb0cfef1-68d9-4e4b-9806-7ffd172c974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97a327daee9493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6352</xdr:row>
      <xdr:rowOff>19050</xdr:rowOff>
    </xdr:from>
    <xdr:ext cx="1143000" cy="1143000"/>
    <xdr:pic>
      <xdr:nvPicPr>
        <xdr:cNvPr id="6350" name="db440eb5-7ab7-4af2-be84-d3789d16905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4fcba3ba08846c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6353</xdr:row>
      <xdr:rowOff>19050</xdr:rowOff>
    </xdr:from>
    <xdr:ext cx="1143000" cy="1143000"/>
    <xdr:pic>
      <xdr:nvPicPr>
        <xdr:cNvPr id="6351" name="2d22a329-31ae-4409-a484-e773009d080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fcb2ce12210412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6354</xdr:row>
      <xdr:rowOff>19050</xdr:rowOff>
    </xdr:from>
    <xdr:ext cx="1143000" cy="1143000"/>
    <xdr:pic>
      <xdr:nvPicPr>
        <xdr:cNvPr id="6352" name="8dcf390b-fe80-44b8-ace4-cca51a32f9f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98258d54d9d41c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6355</xdr:row>
      <xdr:rowOff>19050</xdr:rowOff>
    </xdr:from>
    <xdr:ext cx="1143000" cy="1143000"/>
    <xdr:pic>
      <xdr:nvPicPr>
        <xdr:cNvPr id="6353" name="f3e6c095-7a57-4b8a-a6a5-ee2c8a3f66a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f961d95edd346a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6356</xdr:row>
      <xdr:rowOff>19050</xdr:rowOff>
    </xdr:from>
    <xdr:ext cx="1143000" cy="1143000"/>
    <xdr:pic>
      <xdr:nvPicPr>
        <xdr:cNvPr id="6354" name="ebbcf019-1609-4ad1-86d6-7f2171282af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4c08431deff4b2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6357</xdr:row>
      <xdr:rowOff>19050</xdr:rowOff>
    </xdr:from>
    <xdr:ext cx="1143000" cy="1143000"/>
    <xdr:pic>
      <xdr:nvPicPr>
        <xdr:cNvPr id="6355" name="bcc8ee20-0f29-4562-bddc-8e484a47bdd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42b2fd08d504f6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6358</xdr:row>
      <xdr:rowOff>19050</xdr:rowOff>
    </xdr:from>
    <xdr:ext cx="1143000" cy="1143000"/>
    <xdr:pic>
      <xdr:nvPicPr>
        <xdr:cNvPr id="6356" name="b8dd98b0-af6d-4db0-9a9f-14a9f34f035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d8276c285a9456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6359</xdr:row>
      <xdr:rowOff>19050</xdr:rowOff>
    </xdr:from>
    <xdr:ext cx="1143000" cy="1143000"/>
    <xdr:pic>
      <xdr:nvPicPr>
        <xdr:cNvPr id="6357" name="8c9ea5ec-6388-4389-81cc-e59a99a6a5e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656259b4ec5498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6360</xdr:row>
      <xdr:rowOff>19050</xdr:rowOff>
    </xdr:from>
    <xdr:ext cx="1143000" cy="1143000"/>
    <xdr:pic>
      <xdr:nvPicPr>
        <xdr:cNvPr id="6358" name="baf87656-521a-4fc7-b95c-feed148c9a1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a198174c90846b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6361</xdr:row>
      <xdr:rowOff>19050</xdr:rowOff>
    </xdr:from>
    <xdr:ext cx="1143000" cy="1143000"/>
    <xdr:pic>
      <xdr:nvPicPr>
        <xdr:cNvPr id="6359" name="4d37f04a-65f5-4033-a837-888f55fbd1f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b3237408a104db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6362</xdr:row>
      <xdr:rowOff>19050</xdr:rowOff>
    </xdr:from>
    <xdr:ext cx="1143000" cy="1143000"/>
    <xdr:pic>
      <xdr:nvPicPr>
        <xdr:cNvPr id="6360" name="27a101c3-3865-4df6-bc92-531b308b2a4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e497291901c40f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6363</xdr:row>
      <xdr:rowOff>19050</xdr:rowOff>
    </xdr:from>
    <xdr:ext cx="1143000" cy="1143000"/>
    <xdr:pic>
      <xdr:nvPicPr>
        <xdr:cNvPr id="6361" name="db7f2d38-8866-4ead-aace-50b09707ffd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8a638feb68343e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6364</xdr:row>
      <xdr:rowOff>19050</xdr:rowOff>
    </xdr:from>
    <xdr:ext cx="1143000" cy="1143000"/>
    <xdr:pic>
      <xdr:nvPicPr>
        <xdr:cNvPr id="6362" name="b282d312-76b6-4eae-ab88-895aa8c3997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9e32d8132674c9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6365</xdr:row>
      <xdr:rowOff>19050</xdr:rowOff>
    </xdr:from>
    <xdr:ext cx="1143000" cy="1143000"/>
    <xdr:pic>
      <xdr:nvPicPr>
        <xdr:cNvPr id="6363" name="3f660109-e313-4621-a82f-2902fd225ad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9f6d916f06448e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6366</xdr:row>
      <xdr:rowOff>19050</xdr:rowOff>
    </xdr:from>
    <xdr:ext cx="1143000" cy="1143000"/>
    <xdr:pic>
      <xdr:nvPicPr>
        <xdr:cNvPr id="6364" name="edbb27fb-920b-4799-8811-8498ddece80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a8c243612984ac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6367</xdr:row>
      <xdr:rowOff>19050</xdr:rowOff>
    </xdr:from>
    <xdr:ext cx="1143000" cy="1143000"/>
    <xdr:pic>
      <xdr:nvPicPr>
        <xdr:cNvPr id="6365" name="a6cd2366-f7b4-431d-aef8-0bfc1548aa3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fd0a22770d0492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6368</xdr:row>
      <xdr:rowOff>19050</xdr:rowOff>
    </xdr:from>
    <xdr:ext cx="1143000" cy="1143000"/>
    <xdr:pic>
      <xdr:nvPicPr>
        <xdr:cNvPr id="6366" name="8613eb08-c2c4-4a04-8db9-a8503dd447e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70c423d519147c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6369</xdr:row>
      <xdr:rowOff>19050</xdr:rowOff>
    </xdr:from>
    <xdr:ext cx="1143000" cy="1143000"/>
    <xdr:pic>
      <xdr:nvPicPr>
        <xdr:cNvPr id="6367" name="627529df-824b-4739-a9e4-bd50a8c710e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414c48f7cac445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6370</xdr:row>
      <xdr:rowOff>19050</xdr:rowOff>
    </xdr:from>
    <xdr:ext cx="1143000" cy="1143000"/>
    <xdr:pic>
      <xdr:nvPicPr>
        <xdr:cNvPr id="6368" name="1c943f0a-2647-4321-9dd9-bd32f894299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ec19dcad1bf428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6371</xdr:row>
      <xdr:rowOff>19050</xdr:rowOff>
    </xdr:from>
    <xdr:ext cx="1143000" cy="1143000"/>
    <xdr:pic>
      <xdr:nvPicPr>
        <xdr:cNvPr id="6369" name="29b87356-0570-44e6-adf8-75fa1a1c72a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16b9402a5b84ee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6372</xdr:row>
      <xdr:rowOff>19050</xdr:rowOff>
    </xdr:from>
    <xdr:ext cx="1143000" cy="1143000"/>
    <xdr:pic>
      <xdr:nvPicPr>
        <xdr:cNvPr id="6370" name="e1cfa410-9619-4282-8f66-aa3874d41e9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3ba6dfa7c054fc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6373</xdr:row>
      <xdr:rowOff>19050</xdr:rowOff>
    </xdr:from>
    <xdr:ext cx="1143000" cy="1143000"/>
    <xdr:pic>
      <xdr:nvPicPr>
        <xdr:cNvPr id="6371" name="dccaa235-1ebd-413d-a1f2-553eefe6f31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3626c313557432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6374</xdr:row>
      <xdr:rowOff>19050</xdr:rowOff>
    </xdr:from>
    <xdr:ext cx="1143000" cy="1143000"/>
    <xdr:pic>
      <xdr:nvPicPr>
        <xdr:cNvPr id="6372" name="11c39115-f8f7-4f9c-88fe-e5d25a80076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0c4ffe2b0d2475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6375</xdr:row>
      <xdr:rowOff>19050</xdr:rowOff>
    </xdr:from>
    <xdr:ext cx="1143000" cy="1143000"/>
    <xdr:pic>
      <xdr:nvPicPr>
        <xdr:cNvPr id="6373" name="1f7666ab-52b5-4a67-b726-9742c87691f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6aa9264f4d947a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6376</xdr:row>
      <xdr:rowOff>19050</xdr:rowOff>
    </xdr:from>
    <xdr:ext cx="1143000" cy="1143000"/>
    <xdr:pic>
      <xdr:nvPicPr>
        <xdr:cNvPr id="6374" name="15f22a45-f5a3-44bf-9bf7-8c14fe1ee25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760323b1dee430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6377</xdr:row>
      <xdr:rowOff>19050</xdr:rowOff>
    </xdr:from>
    <xdr:ext cx="1143000" cy="1143000"/>
    <xdr:pic>
      <xdr:nvPicPr>
        <xdr:cNvPr id="6375" name="10069b45-b76a-4bbb-ba6c-97bf8e50f72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f04312c12d345f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6378</xdr:row>
      <xdr:rowOff>19050</xdr:rowOff>
    </xdr:from>
    <xdr:ext cx="1143000" cy="1143000"/>
    <xdr:pic>
      <xdr:nvPicPr>
        <xdr:cNvPr id="6376" name="97b9580b-4d9b-4d74-902e-c881952799d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bc549e79815413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6379</xdr:row>
      <xdr:rowOff>19050</xdr:rowOff>
    </xdr:from>
    <xdr:ext cx="1143000" cy="1143000"/>
    <xdr:pic>
      <xdr:nvPicPr>
        <xdr:cNvPr id="6377" name="0d2d3665-21c3-4c4e-aca4-6c7aa41f552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289a3a26a1b428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6380</xdr:row>
      <xdr:rowOff>19050</xdr:rowOff>
    </xdr:from>
    <xdr:ext cx="1143000" cy="1143000"/>
    <xdr:pic>
      <xdr:nvPicPr>
        <xdr:cNvPr id="6378" name="43d449d8-5455-4ab7-9e67-0ead8e2d747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c6bc53fda6f406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6381</xdr:row>
      <xdr:rowOff>19050</xdr:rowOff>
    </xdr:from>
    <xdr:ext cx="1143000" cy="1143000"/>
    <xdr:pic>
      <xdr:nvPicPr>
        <xdr:cNvPr id="6379" name="64119e45-0284-4064-8926-59e61fa2d59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c512ecf25bb445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6382</xdr:row>
      <xdr:rowOff>19050</xdr:rowOff>
    </xdr:from>
    <xdr:ext cx="1143000" cy="1143000"/>
    <xdr:pic>
      <xdr:nvPicPr>
        <xdr:cNvPr id="6380" name="78fba9f3-8729-4272-bc4c-5347df7e244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8bccb4a97c4476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6383</xdr:row>
      <xdr:rowOff>19050</xdr:rowOff>
    </xdr:from>
    <xdr:ext cx="1143000" cy="1143000"/>
    <xdr:pic>
      <xdr:nvPicPr>
        <xdr:cNvPr id="6381" name="f92f6c5b-9838-4393-9276-26d9568e853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619aee6d5ff458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6384</xdr:row>
      <xdr:rowOff>19050</xdr:rowOff>
    </xdr:from>
    <xdr:ext cx="1143000" cy="1143000"/>
    <xdr:pic>
      <xdr:nvPicPr>
        <xdr:cNvPr id="6382" name="366d3447-23ff-4712-a501-2acf366f87d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52481e537d9480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6385</xdr:row>
      <xdr:rowOff>19050</xdr:rowOff>
    </xdr:from>
    <xdr:ext cx="1143000" cy="1143000"/>
    <xdr:pic>
      <xdr:nvPicPr>
        <xdr:cNvPr id="6383" name="775231d9-709a-4d04-9115-50b31e46419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d5f64491b59457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6386</xdr:row>
      <xdr:rowOff>19050</xdr:rowOff>
    </xdr:from>
    <xdr:ext cx="1143000" cy="1143000"/>
    <xdr:pic>
      <xdr:nvPicPr>
        <xdr:cNvPr id="6384" name="3ac36613-435c-4c5b-9f34-327c6f7813e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9dd8f0b18904c0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6387</xdr:row>
      <xdr:rowOff>19050</xdr:rowOff>
    </xdr:from>
    <xdr:ext cx="1143000" cy="1143000"/>
    <xdr:pic>
      <xdr:nvPicPr>
        <xdr:cNvPr id="6385" name="c3bc697b-27b3-4f1b-9548-3800b7064be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1b2b93ed6f7474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6388</xdr:row>
      <xdr:rowOff>19050</xdr:rowOff>
    </xdr:from>
    <xdr:ext cx="1143000" cy="1143000"/>
    <xdr:pic>
      <xdr:nvPicPr>
        <xdr:cNvPr id="6386" name="467d381a-3221-4815-b11e-44a5ebe0214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f51e5f4be9248b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6389</xdr:row>
      <xdr:rowOff>19050</xdr:rowOff>
    </xdr:from>
    <xdr:ext cx="1143000" cy="1143000"/>
    <xdr:pic>
      <xdr:nvPicPr>
        <xdr:cNvPr id="6387" name="b4134595-6ecf-4ee8-9735-c204c24bd41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f1383de43e44ab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6390</xdr:row>
      <xdr:rowOff>19050</xdr:rowOff>
    </xdr:from>
    <xdr:ext cx="1143000" cy="1143000"/>
    <xdr:pic>
      <xdr:nvPicPr>
        <xdr:cNvPr id="6388" name="9afec2ed-6a1a-4d11-a90d-77b711ea968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2b0f24f3354420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6391</xdr:row>
      <xdr:rowOff>19050</xdr:rowOff>
    </xdr:from>
    <xdr:ext cx="1143000" cy="1143000"/>
    <xdr:pic>
      <xdr:nvPicPr>
        <xdr:cNvPr id="6389" name="09f9c692-3da4-4d86-bea2-7d04625ede7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91b0ff57d83415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6392</xdr:row>
      <xdr:rowOff>19050</xdr:rowOff>
    </xdr:from>
    <xdr:ext cx="1143000" cy="1143000"/>
    <xdr:pic>
      <xdr:nvPicPr>
        <xdr:cNvPr id="6390" name="0bd496a3-06c9-472d-95d9-8f1e91d9785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06789a8e5954ae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6393</xdr:row>
      <xdr:rowOff>19050</xdr:rowOff>
    </xdr:from>
    <xdr:ext cx="1143000" cy="1143000"/>
    <xdr:pic>
      <xdr:nvPicPr>
        <xdr:cNvPr id="6391" name="d3d6cff1-1fb3-4966-8e68-65fd6d0f21a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10308f686be442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6394</xdr:row>
      <xdr:rowOff>19050</xdr:rowOff>
    </xdr:from>
    <xdr:ext cx="1143000" cy="1143000"/>
    <xdr:pic>
      <xdr:nvPicPr>
        <xdr:cNvPr id="6392" name="d44ff1bb-d02d-4d05-bcaf-31a58cda58a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f3766e99d3d45f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6395</xdr:row>
      <xdr:rowOff>19050</xdr:rowOff>
    </xdr:from>
    <xdr:ext cx="1143000" cy="1143000"/>
    <xdr:pic>
      <xdr:nvPicPr>
        <xdr:cNvPr id="6393" name="433999ad-fcc7-45a8-9d92-1814665379c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0c7ee0865fe4f6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6396</xdr:row>
      <xdr:rowOff>19050</xdr:rowOff>
    </xdr:from>
    <xdr:ext cx="1143000" cy="1143000"/>
    <xdr:pic>
      <xdr:nvPicPr>
        <xdr:cNvPr id="6394" name="1f173c7d-fac0-403c-b814-7ec45464dfa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fb03647abb3434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6397</xdr:row>
      <xdr:rowOff>19050</xdr:rowOff>
    </xdr:from>
    <xdr:ext cx="1143000" cy="1143000"/>
    <xdr:pic>
      <xdr:nvPicPr>
        <xdr:cNvPr id="6395" name="deacca83-e5ca-4871-99f4-eac1cacda66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cd71f4bdd5e497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6398</xdr:row>
      <xdr:rowOff>19050</xdr:rowOff>
    </xdr:from>
    <xdr:ext cx="1143000" cy="1143000"/>
    <xdr:pic>
      <xdr:nvPicPr>
        <xdr:cNvPr id="6396" name="3d30415b-6064-4dbe-89e5-a05927f0b2a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1e9aa5d141b4db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6399</xdr:row>
      <xdr:rowOff>19050</xdr:rowOff>
    </xdr:from>
    <xdr:ext cx="1143000" cy="1143000"/>
    <xdr:pic>
      <xdr:nvPicPr>
        <xdr:cNvPr id="6397" name="9f47e871-6b73-483a-a531-fda564fb722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e85ee56d5c5462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6400</xdr:row>
      <xdr:rowOff>19050</xdr:rowOff>
    </xdr:from>
    <xdr:ext cx="1143000" cy="1143000"/>
    <xdr:pic>
      <xdr:nvPicPr>
        <xdr:cNvPr id="6398" name="4046b32a-38bd-4b8a-8169-f67908fc5d4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832999732ce448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6401</xdr:row>
      <xdr:rowOff>19050</xdr:rowOff>
    </xdr:from>
    <xdr:ext cx="1143000" cy="1143000"/>
    <xdr:pic>
      <xdr:nvPicPr>
        <xdr:cNvPr id="6399" name="1ff46b04-116b-40c8-b0e4-4d19cf825e0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0bac7016aed450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6402</xdr:row>
      <xdr:rowOff>19050</xdr:rowOff>
    </xdr:from>
    <xdr:ext cx="1143000" cy="1143000"/>
    <xdr:pic>
      <xdr:nvPicPr>
        <xdr:cNvPr id="6400" name="499f9346-0f82-4064-bcc5-2a154736cea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168f7ca6f1542c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6403</xdr:row>
      <xdr:rowOff>19050</xdr:rowOff>
    </xdr:from>
    <xdr:ext cx="1143000" cy="1143000"/>
    <xdr:pic>
      <xdr:nvPicPr>
        <xdr:cNvPr id="6401" name="55c24d38-9cfe-4e76-96ab-bcd72c3f371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2fc5a97e125463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6404</xdr:row>
      <xdr:rowOff>19050</xdr:rowOff>
    </xdr:from>
    <xdr:ext cx="1143000" cy="1143000"/>
    <xdr:pic>
      <xdr:nvPicPr>
        <xdr:cNvPr id="6402" name="497a1f4e-56da-4378-b591-c4daf969ecd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aa8be35dfce476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6405</xdr:row>
      <xdr:rowOff>19050</xdr:rowOff>
    </xdr:from>
    <xdr:ext cx="1143000" cy="1143000"/>
    <xdr:pic>
      <xdr:nvPicPr>
        <xdr:cNvPr id="6403" name="22893d2b-a0f4-4048-b465-2ab44c97734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683d0668fb8456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6406</xdr:row>
      <xdr:rowOff>19050</xdr:rowOff>
    </xdr:from>
    <xdr:ext cx="1143000" cy="1143000"/>
    <xdr:pic>
      <xdr:nvPicPr>
        <xdr:cNvPr id="6404" name="ca99a52c-ce48-4ae5-86a8-fcb433e8c17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51eba15db8d446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6407</xdr:row>
      <xdr:rowOff>19050</xdr:rowOff>
    </xdr:from>
    <xdr:ext cx="1143000" cy="1143000"/>
    <xdr:pic>
      <xdr:nvPicPr>
        <xdr:cNvPr id="6405" name="339212c2-401e-4dd7-b055-0aa5ddfbe1a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1709fb82b8f434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6408</xdr:row>
      <xdr:rowOff>19050</xdr:rowOff>
    </xdr:from>
    <xdr:ext cx="1143000" cy="1143000"/>
    <xdr:pic>
      <xdr:nvPicPr>
        <xdr:cNvPr id="6406" name="783f4c7b-fa27-4603-8982-e6bf3538e00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e725a06367e403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6409</xdr:row>
      <xdr:rowOff>19050</xdr:rowOff>
    </xdr:from>
    <xdr:ext cx="1143000" cy="1143000"/>
    <xdr:pic>
      <xdr:nvPicPr>
        <xdr:cNvPr id="6407" name="cfcbed6c-ff42-41eb-b00f-5121628cd25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1a042f2ae3e461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6410</xdr:row>
      <xdr:rowOff>19050</xdr:rowOff>
    </xdr:from>
    <xdr:ext cx="1143000" cy="1143000"/>
    <xdr:pic>
      <xdr:nvPicPr>
        <xdr:cNvPr id="6408" name="d2a350a0-e618-4b3b-b94d-8956dce7e2c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39090442ff74fc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6411</xdr:row>
      <xdr:rowOff>19050</xdr:rowOff>
    </xdr:from>
    <xdr:ext cx="1143000" cy="1143000"/>
    <xdr:pic>
      <xdr:nvPicPr>
        <xdr:cNvPr id="6409" name="ea2051d0-cb03-4a1f-b7d7-56ce41e98e8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db870acf9134e3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6412</xdr:row>
      <xdr:rowOff>19050</xdr:rowOff>
    </xdr:from>
    <xdr:ext cx="1143000" cy="1143000"/>
    <xdr:pic>
      <xdr:nvPicPr>
        <xdr:cNvPr id="6410" name="bfbdf6fa-00ec-4e60-a976-91906623fe3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768bec3f1f14a9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6413</xdr:row>
      <xdr:rowOff>19050</xdr:rowOff>
    </xdr:from>
    <xdr:ext cx="1143000" cy="1143000"/>
    <xdr:pic>
      <xdr:nvPicPr>
        <xdr:cNvPr id="6411" name="ee82d101-ee5f-4a50-a22d-6195ff3c62c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345ea72df45461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6414</xdr:row>
      <xdr:rowOff>19050</xdr:rowOff>
    </xdr:from>
    <xdr:ext cx="1143000" cy="1143000"/>
    <xdr:pic>
      <xdr:nvPicPr>
        <xdr:cNvPr id="6412" name="df637483-2151-454e-9ddc-ce1f74c1b41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5bffb278a234a3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6415</xdr:row>
      <xdr:rowOff>19050</xdr:rowOff>
    </xdr:from>
    <xdr:ext cx="1143000" cy="1143000"/>
    <xdr:pic>
      <xdr:nvPicPr>
        <xdr:cNvPr id="6413" name="72ce8dd3-f700-4c07-ac94-e5b8e963340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feed7dc6f884da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6416</xdr:row>
      <xdr:rowOff>19050</xdr:rowOff>
    </xdr:from>
    <xdr:ext cx="1143000" cy="1143000"/>
    <xdr:pic>
      <xdr:nvPicPr>
        <xdr:cNvPr id="6414" name="b5ae1a12-e318-41e9-a1e7-ca8970b7539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5997212a0ed47b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6417</xdr:row>
      <xdr:rowOff>19050</xdr:rowOff>
    </xdr:from>
    <xdr:ext cx="1143000" cy="1143000"/>
    <xdr:pic>
      <xdr:nvPicPr>
        <xdr:cNvPr id="6415" name="47a3eb5c-d83d-4099-a56a-2471ff80315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0ab4d06fffa4a7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6418</xdr:row>
      <xdr:rowOff>19050</xdr:rowOff>
    </xdr:from>
    <xdr:ext cx="1143000" cy="1143000"/>
    <xdr:pic>
      <xdr:nvPicPr>
        <xdr:cNvPr id="6416" name="2955b63a-4a1c-4e8a-8421-650145e7cbb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a16f881cfc6445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6419</xdr:row>
      <xdr:rowOff>19050</xdr:rowOff>
    </xdr:from>
    <xdr:ext cx="1143000" cy="1143000"/>
    <xdr:pic>
      <xdr:nvPicPr>
        <xdr:cNvPr id="6417" name="b7b755b4-7872-4718-9c26-8d84cecab91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2932f54cfbd469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6420</xdr:row>
      <xdr:rowOff>19050</xdr:rowOff>
    </xdr:from>
    <xdr:ext cx="1143000" cy="1143000"/>
    <xdr:pic>
      <xdr:nvPicPr>
        <xdr:cNvPr id="6418" name="e214b320-8586-4cb1-9974-0c010004540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d58664f2de94a8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6421</xdr:row>
      <xdr:rowOff>19050</xdr:rowOff>
    </xdr:from>
    <xdr:ext cx="1143000" cy="1143000"/>
    <xdr:pic>
      <xdr:nvPicPr>
        <xdr:cNvPr id="6419" name="292e3c53-fa96-4828-84d9-c7f9c7c90e9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0f4aa80f81049f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6422</xdr:row>
      <xdr:rowOff>19050</xdr:rowOff>
    </xdr:from>
    <xdr:ext cx="1143000" cy="1143000"/>
    <xdr:pic>
      <xdr:nvPicPr>
        <xdr:cNvPr id="6420" name="276cdd87-6e3a-47e2-bc14-8ef2320014c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bf42cb36ea6436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6423</xdr:row>
      <xdr:rowOff>19050</xdr:rowOff>
    </xdr:from>
    <xdr:ext cx="1143000" cy="1143000"/>
    <xdr:pic>
      <xdr:nvPicPr>
        <xdr:cNvPr id="6421" name="41ca3801-6bba-480f-a840-3b5fea06f32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8d7ba9a86be466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6424</xdr:row>
      <xdr:rowOff>19050</xdr:rowOff>
    </xdr:from>
    <xdr:ext cx="1143000" cy="1143000"/>
    <xdr:pic>
      <xdr:nvPicPr>
        <xdr:cNvPr id="6422" name="a13d9be1-d2d9-4608-9e88-73273904d5c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fb906baf7b242e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6425</xdr:row>
      <xdr:rowOff>19050</xdr:rowOff>
    </xdr:from>
    <xdr:ext cx="1143000" cy="1143000"/>
    <xdr:pic>
      <xdr:nvPicPr>
        <xdr:cNvPr id="6423" name="075879eb-4719-4e4d-ae23-358f7b5b016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7325484ac4c40a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6426</xdr:row>
      <xdr:rowOff>19050</xdr:rowOff>
    </xdr:from>
    <xdr:ext cx="1143000" cy="1143000"/>
    <xdr:pic>
      <xdr:nvPicPr>
        <xdr:cNvPr id="6424" name="c3876ad0-6921-4f02-9e9a-9e8114e0024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059abe9792a458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6427</xdr:row>
      <xdr:rowOff>19050</xdr:rowOff>
    </xdr:from>
    <xdr:ext cx="1143000" cy="1143000"/>
    <xdr:pic>
      <xdr:nvPicPr>
        <xdr:cNvPr id="6425" name="c0f62a78-5bb5-4b4f-b823-487299e5116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a793b7852f241b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6428</xdr:row>
      <xdr:rowOff>19050</xdr:rowOff>
    </xdr:from>
    <xdr:ext cx="1143000" cy="1143000"/>
    <xdr:pic>
      <xdr:nvPicPr>
        <xdr:cNvPr id="6426" name="3125a213-d45e-4a11-9a71-d18df776e7e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dadafc990b340c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6429</xdr:row>
      <xdr:rowOff>19050</xdr:rowOff>
    </xdr:from>
    <xdr:ext cx="1143000" cy="1143000"/>
    <xdr:pic>
      <xdr:nvPicPr>
        <xdr:cNvPr id="6427" name="2cbf60aa-405d-4e23-8750-791c69952db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28f1c345e17418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6430</xdr:row>
      <xdr:rowOff>19050</xdr:rowOff>
    </xdr:from>
    <xdr:ext cx="1143000" cy="1143000"/>
    <xdr:pic>
      <xdr:nvPicPr>
        <xdr:cNvPr id="6428" name="13296cfd-9deb-4009-8880-2a1c605a6e0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156d2ec468b4f7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6431</xdr:row>
      <xdr:rowOff>19050</xdr:rowOff>
    </xdr:from>
    <xdr:ext cx="1143000" cy="1143000"/>
    <xdr:pic>
      <xdr:nvPicPr>
        <xdr:cNvPr id="6429" name="85e8b6a2-62eb-4143-aac6-9bfa81431ab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ffa6ddea8364b5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6432</xdr:row>
      <xdr:rowOff>19050</xdr:rowOff>
    </xdr:from>
    <xdr:ext cx="1143000" cy="1143000"/>
    <xdr:pic>
      <xdr:nvPicPr>
        <xdr:cNvPr id="6430" name="e1782822-c129-45bf-801a-b3fc475068a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7ad69f5f9d445d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6433</xdr:row>
      <xdr:rowOff>19050</xdr:rowOff>
    </xdr:from>
    <xdr:ext cx="1143000" cy="1143000"/>
    <xdr:pic>
      <xdr:nvPicPr>
        <xdr:cNvPr id="6431" name="091e5036-9f11-4861-864b-a5f3239d867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68611ea4c464de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6434</xdr:row>
      <xdr:rowOff>19050</xdr:rowOff>
    </xdr:from>
    <xdr:ext cx="1143000" cy="1143000"/>
    <xdr:pic>
      <xdr:nvPicPr>
        <xdr:cNvPr id="6432" name="d6dc3449-96dc-4ec6-b4af-9bc5d77a81a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596dfade9724f2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6435</xdr:row>
      <xdr:rowOff>19050</xdr:rowOff>
    </xdr:from>
    <xdr:ext cx="1143000" cy="1143000"/>
    <xdr:pic>
      <xdr:nvPicPr>
        <xdr:cNvPr id="6433" name="1ddd2313-a825-4bdc-945b-ddbd71367d4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872257f6ecd47e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6436</xdr:row>
      <xdr:rowOff>19050</xdr:rowOff>
    </xdr:from>
    <xdr:ext cx="1143000" cy="1143000"/>
    <xdr:pic>
      <xdr:nvPicPr>
        <xdr:cNvPr id="6434" name="fda411ac-89cf-4257-814e-3c70fbb1645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eb4dfba483f422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6437</xdr:row>
      <xdr:rowOff>19050</xdr:rowOff>
    </xdr:from>
    <xdr:ext cx="1143000" cy="1143000"/>
    <xdr:pic>
      <xdr:nvPicPr>
        <xdr:cNvPr id="6435" name="c89228ae-687c-4e5d-bad5-0fd2e4ed141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6bca8c880d240f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6438</xdr:row>
      <xdr:rowOff>19050</xdr:rowOff>
    </xdr:from>
    <xdr:ext cx="1143000" cy="1143000"/>
    <xdr:pic>
      <xdr:nvPicPr>
        <xdr:cNvPr id="6436" name="71b51bc9-490e-4339-8baa-e54ed4a18e6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7535e9849da4ca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6439</xdr:row>
      <xdr:rowOff>19050</xdr:rowOff>
    </xdr:from>
    <xdr:ext cx="1143000" cy="1143000"/>
    <xdr:pic>
      <xdr:nvPicPr>
        <xdr:cNvPr id="6437" name="75b02b19-9c78-488b-b78b-c17455bdb2d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833e976cfa94f1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6440</xdr:row>
      <xdr:rowOff>19050</xdr:rowOff>
    </xdr:from>
    <xdr:ext cx="1143000" cy="1143000"/>
    <xdr:pic>
      <xdr:nvPicPr>
        <xdr:cNvPr id="6438" name="a77a929f-612f-40d8-ad40-3724fb83252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98c1e160f50403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6441</xdr:row>
      <xdr:rowOff>19050</xdr:rowOff>
    </xdr:from>
    <xdr:ext cx="1143000" cy="1143000"/>
    <xdr:pic>
      <xdr:nvPicPr>
        <xdr:cNvPr id="6439" name="12a9d901-fe18-4e82-b88b-bbad1fd85a9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4e6aa6347f340f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6442</xdr:row>
      <xdr:rowOff>19050</xdr:rowOff>
    </xdr:from>
    <xdr:ext cx="1143000" cy="1143000"/>
    <xdr:pic>
      <xdr:nvPicPr>
        <xdr:cNvPr id="6440" name="4d103734-c869-406c-9437-e94aa1fffb2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d6b75ba908c47d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6443</xdr:row>
      <xdr:rowOff>19050</xdr:rowOff>
    </xdr:from>
    <xdr:ext cx="1143000" cy="1143000"/>
    <xdr:pic>
      <xdr:nvPicPr>
        <xdr:cNvPr id="6441" name="2816e213-dbe7-4a64-a1d8-6a526a4b8ba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166df8caee84ae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6444</xdr:row>
      <xdr:rowOff>19050</xdr:rowOff>
    </xdr:from>
    <xdr:ext cx="1143000" cy="1143000"/>
    <xdr:pic>
      <xdr:nvPicPr>
        <xdr:cNvPr id="6442" name="69f4edac-90b9-4095-ad30-a7267e0d712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f17069004fc4db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6445</xdr:row>
      <xdr:rowOff>19050</xdr:rowOff>
    </xdr:from>
    <xdr:ext cx="1143000" cy="1143000"/>
    <xdr:pic>
      <xdr:nvPicPr>
        <xdr:cNvPr id="6443" name="7a39f49c-bbb0-4eab-9fc5-884a92e2786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2b23132b8a643b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6446</xdr:row>
      <xdr:rowOff>19050</xdr:rowOff>
    </xdr:from>
    <xdr:ext cx="1143000" cy="1143000"/>
    <xdr:pic>
      <xdr:nvPicPr>
        <xdr:cNvPr id="6444" name="3d6ff7ec-cdab-4331-a432-063e65ea2f1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8866a497c314ed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6447</xdr:row>
      <xdr:rowOff>19050</xdr:rowOff>
    </xdr:from>
    <xdr:ext cx="1143000" cy="1143000"/>
    <xdr:pic>
      <xdr:nvPicPr>
        <xdr:cNvPr id="6445" name="423c900c-3566-47b4-be9a-746ee897929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28c4c604a294df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6448</xdr:row>
      <xdr:rowOff>19050</xdr:rowOff>
    </xdr:from>
    <xdr:ext cx="1143000" cy="1143000"/>
    <xdr:pic>
      <xdr:nvPicPr>
        <xdr:cNvPr id="6446" name="73c9887a-1654-4c06-8457-d9d00d135de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9e6d37819bd428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6449</xdr:row>
      <xdr:rowOff>19050</xdr:rowOff>
    </xdr:from>
    <xdr:ext cx="1143000" cy="1143000"/>
    <xdr:pic>
      <xdr:nvPicPr>
        <xdr:cNvPr id="6447" name="3b7eb2c7-d2cf-4d61-9248-f19cabacb1d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4e3a2e022e44cb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6450</xdr:row>
      <xdr:rowOff>19050</xdr:rowOff>
    </xdr:from>
    <xdr:ext cx="1143000" cy="1143000"/>
    <xdr:pic>
      <xdr:nvPicPr>
        <xdr:cNvPr id="6448" name="bbbe5ad6-210b-46d4-93ee-cf394d7da59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25d7f960b5245b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6451</xdr:row>
      <xdr:rowOff>19050</xdr:rowOff>
    </xdr:from>
    <xdr:ext cx="1143000" cy="1143000"/>
    <xdr:pic>
      <xdr:nvPicPr>
        <xdr:cNvPr id="6449" name="035fd07d-94a4-4391-af76-7fa49271705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1b030bff68d429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6452</xdr:row>
      <xdr:rowOff>19050</xdr:rowOff>
    </xdr:from>
    <xdr:ext cx="1143000" cy="1143000"/>
    <xdr:pic>
      <xdr:nvPicPr>
        <xdr:cNvPr id="6450" name="18016972-deef-40a5-bfe9-d5c11cb9c03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2cbe7391e634e0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6453</xdr:row>
      <xdr:rowOff>19050</xdr:rowOff>
    </xdr:from>
    <xdr:ext cx="1143000" cy="1143000"/>
    <xdr:pic>
      <xdr:nvPicPr>
        <xdr:cNvPr id="6451" name="9aad0809-1a79-4cf7-9a6e-6ea87b8f6d9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dbda76583ff439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6454</xdr:row>
      <xdr:rowOff>19050</xdr:rowOff>
    </xdr:from>
    <xdr:ext cx="1143000" cy="1143000"/>
    <xdr:pic>
      <xdr:nvPicPr>
        <xdr:cNvPr id="6452" name="df3bf503-79f6-4c7d-9bce-6077a8e3c50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7087a1f7cc7431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6455</xdr:row>
      <xdr:rowOff>19050</xdr:rowOff>
    </xdr:from>
    <xdr:ext cx="1143000" cy="1143000"/>
    <xdr:pic>
      <xdr:nvPicPr>
        <xdr:cNvPr id="6453" name="5eb23424-58b4-4d9c-98b2-388232bb4dd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174045bb148431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6456</xdr:row>
      <xdr:rowOff>19050</xdr:rowOff>
    </xdr:from>
    <xdr:ext cx="1143000" cy="1143000"/>
    <xdr:pic>
      <xdr:nvPicPr>
        <xdr:cNvPr id="6454" name="1c30cd4c-0f86-4f4b-b532-16517dea5f8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2eec4482cf0438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6457</xdr:row>
      <xdr:rowOff>19050</xdr:rowOff>
    </xdr:from>
    <xdr:ext cx="1143000" cy="1143000"/>
    <xdr:pic>
      <xdr:nvPicPr>
        <xdr:cNvPr id="6455" name="07c9a654-acc4-43d8-8fa9-7c65dc93b39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ff665e926de4e8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6458</xdr:row>
      <xdr:rowOff>19050</xdr:rowOff>
    </xdr:from>
    <xdr:ext cx="1143000" cy="1143000"/>
    <xdr:pic>
      <xdr:nvPicPr>
        <xdr:cNvPr id="6456" name="014c9731-0d3c-4710-97e2-8fdda9c12bc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3cfd37dbb43465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6459</xdr:row>
      <xdr:rowOff>19050</xdr:rowOff>
    </xdr:from>
    <xdr:ext cx="1143000" cy="1143000"/>
    <xdr:pic>
      <xdr:nvPicPr>
        <xdr:cNvPr id="6457" name="4fa5a65e-0f1a-409c-8fac-ceda5261adc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fb88955b176483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6460</xdr:row>
      <xdr:rowOff>19050</xdr:rowOff>
    </xdr:from>
    <xdr:ext cx="1143000" cy="1143000"/>
    <xdr:pic>
      <xdr:nvPicPr>
        <xdr:cNvPr id="6458" name="8c2e0d00-f7a6-45bd-b5e3-cfb3b36dd82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ec087d2411e413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6461</xdr:row>
      <xdr:rowOff>19050</xdr:rowOff>
    </xdr:from>
    <xdr:ext cx="1143000" cy="1143000"/>
    <xdr:pic>
      <xdr:nvPicPr>
        <xdr:cNvPr id="6459" name="9f4d12c4-d18a-4950-abe0-e31d1952682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537b6c5b2b5444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6462</xdr:row>
      <xdr:rowOff>19050</xdr:rowOff>
    </xdr:from>
    <xdr:ext cx="1143000" cy="1143000"/>
    <xdr:pic>
      <xdr:nvPicPr>
        <xdr:cNvPr id="6460" name="7513c59c-d82b-4f91-958f-cb2e4bcd776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9dcda07b243440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6463</xdr:row>
      <xdr:rowOff>19050</xdr:rowOff>
    </xdr:from>
    <xdr:ext cx="1143000" cy="1143000"/>
    <xdr:pic>
      <xdr:nvPicPr>
        <xdr:cNvPr id="6461" name="cde31ef6-79df-460c-8585-e7909bc45cd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948809e1bac422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6464</xdr:row>
      <xdr:rowOff>19050</xdr:rowOff>
    </xdr:from>
    <xdr:ext cx="1143000" cy="1143000"/>
    <xdr:pic>
      <xdr:nvPicPr>
        <xdr:cNvPr id="6462" name="d7774c20-48a7-4d71-b2d9-a5764b965a7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54ab9ceb5e84ab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6465</xdr:row>
      <xdr:rowOff>19050</xdr:rowOff>
    </xdr:from>
    <xdr:ext cx="1143000" cy="1143000"/>
    <xdr:pic>
      <xdr:nvPicPr>
        <xdr:cNvPr id="6463" name="dd7317f5-6ec0-41c2-8c27-7cea31dce58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d02c60b243e40b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6466</xdr:row>
      <xdr:rowOff>19050</xdr:rowOff>
    </xdr:from>
    <xdr:ext cx="1143000" cy="1143000"/>
    <xdr:pic>
      <xdr:nvPicPr>
        <xdr:cNvPr id="6464" name="b795c69c-acc5-4ea3-aee6-e603645c444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68b5cd7de28459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6467</xdr:row>
      <xdr:rowOff>19050</xdr:rowOff>
    </xdr:from>
    <xdr:ext cx="1143000" cy="1143000"/>
    <xdr:pic>
      <xdr:nvPicPr>
        <xdr:cNvPr id="6465" name="7dc4cea1-5577-42dc-8f5a-048c96f0d43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245bfb5ccbb451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6468</xdr:row>
      <xdr:rowOff>19050</xdr:rowOff>
    </xdr:from>
    <xdr:ext cx="1143000" cy="1143000"/>
    <xdr:pic>
      <xdr:nvPicPr>
        <xdr:cNvPr id="6466" name="632cdeca-e638-4b03-9c05-424f810ad3a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759761ea00d41f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6469</xdr:row>
      <xdr:rowOff>19050</xdr:rowOff>
    </xdr:from>
    <xdr:ext cx="1143000" cy="1143000"/>
    <xdr:pic>
      <xdr:nvPicPr>
        <xdr:cNvPr id="6467" name="4ad362c3-46af-4921-8541-664ffc4777a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60b772168d4453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6470</xdr:row>
      <xdr:rowOff>19050</xdr:rowOff>
    </xdr:from>
    <xdr:ext cx="1143000" cy="1143000"/>
    <xdr:pic>
      <xdr:nvPicPr>
        <xdr:cNvPr id="6468" name="97574bd5-4be7-4968-8ca5-21e03711336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f2e9e0c2cec45b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6471</xdr:row>
      <xdr:rowOff>19050</xdr:rowOff>
    </xdr:from>
    <xdr:ext cx="1143000" cy="1143000"/>
    <xdr:pic>
      <xdr:nvPicPr>
        <xdr:cNvPr id="6469" name="460ec0e2-7a82-4171-9bb6-c03640d87ac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d64bdbf6f564fc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6472</xdr:row>
      <xdr:rowOff>19050</xdr:rowOff>
    </xdr:from>
    <xdr:ext cx="1143000" cy="1143000"/>
    <xdr:pic>
      <xdr:nvPicPr>
        <xdr:cNvPr id="6470" name="1510beb7-dbad-49d2-8835-19b839647df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e6b3224397e4c2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6473</xdr:row>
      <xdr:rowOff>19050</xdr:rowOff>
    </xdr:from>
    <xdr:ext cx="1143000" cy="1143000"/>
    <xdr:pic>
      <xdr:nvPicPr>
        <xdr:cNvPr id="6471" name="d56f1a21-da33-4015-923c-c29888e188c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69bf7582ea84f8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6474</xdr:row>
      <xdr:rowOff>19050</xdr:rowOff>
    </xdr:from>
    <xdr:ext cx="1143000" cy="1143000"/>
    <xdr:pic>
      <xdr:nvPicPr>
        <xdr:cNvPr id="6472" name="e5eb9fa1-1587-43a6-9d8b-b18de2a904a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02471a11a4b424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6475</xdr:row>
      <xdr:rowOff>19050</xdr:rowOff>
    </xdr:from>
    <xdr:ext cx="1143000" cy="1143000"/>
    <xdr:pic>
      <xdr:nvPicPr>
        <xdr:cNvPr id="6473" name="d6e257f1-7c7f-4577-8f61-33ac62dd98d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04c97fb0f9a4ac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6476</xdr:row>
      <xdr:rowOff>19050</xdr:rowOff>
    </xdr:from>
    <xdr:ext cx="1143000" cy="1143000"/>
    <xdr:pic>
      <xdr:nvPicPr>
        <xdr:cNvPr id="6474" name="82e93345-6e79-4dac-8412-4e68a36e5ce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1c579426127480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6477</xdr:row>
      <xdr:rowOff>19050</xdr:rowOff>
    </xdr:from>
    <xdr:ext cx="1143000" cy="1143000"/>
    <xdr:pic>
      <xdr:nvPicPr>
        <xdr:cNvPr id="6475" name="786f47b9-4303-4e23-b265-24437a77832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2988d54340f4f8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6478</xdr:row>
      <xdr:rowOff>19050</xdr:rowOff>
    </xdr:from>
    <xdr:ext cx="1143000" cy="1143000"/>
    <xdr:pic>
      <xdr:nvPicPr>
        <xdr:cNvPr id="6476" name="151d745a-354b-49ff-a980-6cc9bdd09c1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d8b432ea9fe49e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6479</xdr:row>
      <xdr:rowOff>19050</xdr:rowOff>
    </xdr:from>
    <xdr:ext cx="1143000" cy="1143000"/>
    <xdr:pic>
      <xdr:nvPicPr>
        <xdr:cNvPr id="6477" name="6da85d25-3a3a-4f32-82b2-aba826ee7b5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47e674f3266413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6480</xdr:row>
      <xdr:rowOff>19050</xdr:rowOff>
    </xdr:from>
    <xdr:ext cx="1143000" cy="1143000"/>
    <xdr:pic>
      <xdr:nvPicPr>
        <xdr:cNvPr id="6478" name="b7005bcb-2451-4b16-b32d-c84d945b180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22f206ace604e7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6481</xdr:row>
      <xdr:rowOff>19050</xdr:rowOff>
    </xdr:from>
    <xdr:ext cx="1143000" cy="1143000"/>
    <xdr:pic>
      <xdr:nvPicPr>
        <xdr:cNvPr id="6479" name="ee648ea6-c9da-40e6-a24d-bdc97fac93f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04d8ae44c46434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6482</xdr:row>
      <xdr:rowOff>19050</xdr:rowOff>
    </xdr:from>
    <xdr:ext cx="1143000" cy="1143000"/>
    <xdr:pic>
      <xdr:nvPicPr>
        <xdr:cNvPr id="6480" name="f5e91be7-bf7a-4cae-86f2-85f0184947e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a4776c632fa48f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6483</xdr:row>
      <xdr:rowOff>19050</xdr:rowOff>
    </xdr:from>
    <xdr:ext cx="1143000" cy="1143000"/>
    <xdr:pic>
      <xdr:nvPicPr>
        <xdr:cNvPr id="6481" name="f903974a-a0cd-4293-8d96-bc6bc6ff4bd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b6f09b2bc654e7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6484</xdr:row>
      <xdr:rowOff>19050</xdr:rowOff>
    </xdr:from>
    <xdr:ext cx="1143000" cy="1143000"/>
    <xdr:pic>
      <xdr:nvPicPr>
        <xdr:cNvPr id="6482" name="bbbb036c-0f51-43db-9e54-d6a3fbf8f56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dabca1f935d482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6485</xdr:row>
      <xdr:rowOff>19050</xdr:rowOff>
    </xdr:from>
    <xdr:ext cx="1143000" cy="1143000"/>
    <xdr:pic>
      <xdr:nvPicPr>
        <xdr:cNvPr id="6483" name="669e9137-103b-4777-b363-5f163010bbb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9fe36f1d99543b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6486</xdr:row>
      <xdr:rowOff>19050</xdr:rowOff>
    </xdr:from>
    <xdr:ext cx="1143000" cy="1143000"/>
    <xdr:pic>
      <xdr:nvPicPr>
        <xdr:cNvPr id="6484" name="6b3fd183-ae3b-44b0-9b0b-9fbd0ed1ffc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89b20e83bd944f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6487</xdr:row>
      <xdr:rowOff>19050</xdr:rowOff>
    </xdr:from>
    <xdr:ext cx="1143000" cy="1143000"/>
    <xdr:pic>
      <xdr:nvPicPr>
        <xdr:cNvPr id="6485" name="31c558ff-4a47-4ee1-bd07-2d9f41ce02b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8bda561be1a432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6488</xdr:row>
      <xdr:rowOff>19050</xdr:rowOff>
    </xdr:from>
    <xdr:ext cx="1143000" cy="1143000"/>
    <xdr:pic>
      <xdr:nvPicPr>
        <xdr:cNvPr id="6486" name="65976267-332f-4a60-a8ad-b98815922ae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f08bab8fe5a43c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6489</xdr:row>
      <xdr:rowOff>19050</xdr:rowOff>
    </xdr:from>
    <xdr:ext cx="1143000" cy="1143000"/>
    <xdr:pic>
      <xdr:nvPicPr>
        <xdr:cNvPr id="6487" name="1dd88baf-1cb8-4b92-a34e-66b670dc32e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656ab2226674cb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6490</xdr:row>
      <xdr:rowOff>19050</xdr:rowOff>
    </xdr:from>
    <xdr:ext cx="1143000" cy="1143000"/>
    <xdr:pic>
      <xdr:nvPicPr>
        <xdr:cNvPr id="6488" name="f81b353a-7a8f-42e7-bd45-e10245513db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d5a548004fb4a8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6491</xdr:row>
      <xdr:rowOff>19050</xdr:rowOff>
    </xdr:from>
    <xdr:ext cx="1143000" cy="1143000"/>
    <xdr:pic>
      <xdr:nvPicPr>
        <xdr:cNvPr id="6489" name="e682c7c4-e138-470a-8e86-a2416b0e5a7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a1a6f5223754ac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6492</xdr:row>
      <xdr:rowOff>19050</xdr:rowOff>
    </xdr:from>
    <xdr:ext cx="1143000" cy="1143000"/>
    <xdr:pic>
      <xdr:nvPicPr>
        <xdr:cNvPr id="6490" name="6c015fe6-9fe6-413e-a00d-dcbc670bf41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a760002045d468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6493</xdr:row>
      <xdr:rowOff>19050</xdr:rowOff>
    </xdr:from>
    <xdr:ext cx="1143000" cy="1143000"/>
    <xdr:pic>
      <xdr:nvPicPr>
        <xdr:cNvPr id="6491" name="ba974cad-b5bd-4fab-85dd-9583977da33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b1c2ccd1e4b44c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6494</xdr:row>
      <xdr:rowOff>19050</xdr:rowOff>
    </xdr:from>
    <xdr:ext cx="1143000" cy="1143000"/>
    <xdr:pic>
      <xdr:nvPicPr>
        <xdr:cNvPr id="6492" name="3de15d71-70ec-4f06-a1c7-857f177e7eb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947deb273f84d9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6495</xdr:row>
      <xdr:rowOff>19050</xdr:rowOff>
    </xdr:from>
    <xdr:ext cx="1143000" cy="1143000"/>
    <xdr:pic>
      <xdr:nvPicPr>
        <xdr:cNvPr id="6493" name="b0bf8ce6-fbc9-4a84-84c1-ea7e7acea43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da1db8a86b741a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6496</xdr:row>
      <xdr:rowOff>19050</xdr:rowOff>
    </xdr:from>
    <xdr:ext cx="1143000" cy="1143000"/>
    <xdr:pic>
      <xdr:nvPicPr>
        <xdr:cNvPr id="6494" name="5706b9b9-3cbd-496c-ac97-ec31d371b02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f39facc85b4420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6497</xdr:row>
      <xdr:rowOff>19050</xdr:rowOff>
    </xdr:from>
    <xdr:ext cx="1143000" cy="1143000"/>
    <xdr:pic>
      <xdr:nvPicPr>
        <xdr:cNvPr id="6495" name="220cbb33-b85f-4f6f-8b9d-26486f40d5a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0753888fbcf448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6498</xdr:row>
      <xdr:rowOff>19050</xdr:rowOff>
    </xdr:from>
    <xdr:ext cx="1143000" cy="1143000"/>
    <xdr:pic>
      <xdr:nvPicPr>
        <xdr:cNvPr id="6496" name="2b3f3a03-213a-4d0d-b922-34280ad81d5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290ce5ffba84a8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6499</xdr:row>
      <xdr:rowOff>19050</xdr:rowOff>
    </xdr:from>
    <xdr:ext cx="1143000" cy="1143000"/>
    <xdr:pic>
      <xdr:nvPicPr>
        <xdr:cNvPr id="6497" name="a4841086-e2f6-46e4-826c-1bd2f29d2f2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86e9640046a4af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6500</xdr:row>
      <xdr:rowOff>19050</xdr:rowOff>
    </xdr:from>
    <xdr:ext cx="1143000" cy="1143000"/>
    <xdr:pic>
      <xdr:nvPicPr>
        <xdr:cNvPr id="6498" name="e1a7941c-4826-4c10-8f1b-16682cb5500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883aa81b3d3407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6501</xdr:row>
      <xdr:rowOff>19050</xdr:rowOff>
    </xdr:from>
    <xdr:ext cx="1143000" cy="1143000"/>
    <xdr:pic>
      <xdr:nvPicPr>
        <xdr:cNvPr id="6499" name="c2528ff0-9b33-4327-a603-58917cba47f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e749a8c6db8488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6502</xdr:row>
      <xdr:rowOff>19050</xdr:rowOff>
    </xdr:from>
    <xdr:ext cx="1143000" cy="1143000"/>
    <xdr:pic>
      <xdr:nvPicPr>
        <xdr:cNvPr id="6500" name="7f81210f-c2ea-4ece-ac98-ca05091fef5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6191bdd92a7408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6503</xdr:row>
      <xdr:rowOff>19050</xdr:rowOff>
    </xdr:from>
    <xdr:ext cx="1143000" cy="1143000"/>
    <xdr:pic>
      <xdr:nvPicPr>
        <xdr:cNvPr id="6501" name="d27b8f5a-143b-4ff4-bac6-79412aeb0dd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f3907a0e16a49a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6504</xdr:row>
      <xdr:rowOff>19050</xdr:rowOff>
    </xdr:from>
    <xdr:ext cx="1143000" cy="1143000"/>
    <xdr:pic>
      <xdr:nvPicPr>
        <xdr:cNvPr id="6502" name="29707530-4f37-484a-bb03-cb5abb2f673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f97ccea4dc449c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6505</xdr:row>
      <xdr:rowOff>19050</xdr:rowOff>
    </xdr:from>
    <xdr:ext cx="1143000" cy="1143000"/>
    <xdr:pic>
      <xdr:nvPicPr>
        <xdr:cNvPr id="6503" name="9dc48545-83a5-4d6f-bc8d-485cea2f826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50a39276e1c4be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6506</xdr:row>
      <xdr:rowOff>19050</xdr:rowOff>
    </xdr:from>
    <xdr:ext cx="1143000" cy="1143000"/>
    <xdr:pic>
      <xdr:nvPicPr>
        <xdr:cNvPr id="6504" name="9c777ff2-ede6-44fb-b572-6340f7adc4c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57ec98f937f44c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6507</xdr:row>
      <xdr:rowOff>19050</xdr:rowOff>
    </xdr:from>
    <xdr:ext cx="1143000" cy="1143000"/>
    <xdr:pic>
      <xdr:nvPicPr>
        <xdr:cNvPr id="6505" name="55ebd19a-f7f8-455c-9fb3-e67bfd9796d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adcc5701b50449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6508</xdr:row>
      <xdr:rowOff>19050</xdr:rowOff>
    </xdr:from>
    <xdr:ext cx="1143000" cy="1143000"/>
    <xdr:pic>
      <xdr:nvPicPr>
        <xdr:cNvPr id="6506" name="42e8a2b8-a9a5-4924-a8f8-a3ea16b09ba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ade3ea216644b6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6509</xdr:row>
      <xdr:rowOff>19050</xdr:rowOff>
    </xdr:from>
    <xdr:ext cx="1143000" cy="1143000"/>
    <xdr:pic>
      <xdr:nvPicPr>
        <xdr:cNvPr id="6507" name="47f0a559-4347-4fd4-83b0-7d443741f73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f38316c255d462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6510</xdr:row>
      <xdr:rowOff>19050</xdr:rowOff>
    </xdr:from>
    <xdr:ext cx="1143000" cy="1143000"/>
    <xdr:pic>
      <xdr:nvPicPr>
        <xdr:cNvPr id="6508" name="db5919df-c141-455e-99e8-8cd8390fc25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bb7a77ffae3456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6511</xdr:row>
      <xdr:rowOff>19050</xdr:rowOff>
    </xdr:from>
    <xdr:ext cx="1143000" cy="1143000"/>
    <xdr:pic>
      <xdr:nvPicPr>
        <xdr:cNvPr id="6509" name="302358c8-581c-4cf5-84ac-16446e8dd9d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c33d360aef6466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6512</xdr:row>
      <xdr:rowOff>19050</xdr:rowOff>
    </xdr:from>
    <xdr:ext cx="1143000" cy="1143000"/>
    <xdr:pic>
      <xdr:nvPicPr>
        <xdr:cNvPr id="6510" name="d842abe4-f6fe-4dfb-8126-af54c22b957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53ed798d889454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6513</xdr:row>
      <xdr:rowOff>19050</xdr:rowOff>
    </xdr:from>
    <xdr:ext cx="1143000" cy="1143000"/>
    <xdr:pic>
      <xdr:nvPicPr>
        <xdr:cNvPr id="6511" name="ad33c881-fed6-42ab-8d76-3e3fcbd4b1a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99a8499caf740f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6514</xdr:row>
      <xdr:rowOff>19050</xdr:rowOff>
    </xdr:from>
    <xdr:ext cx="1143000" cy="1143000"/>
    <xdr:pic>
      <xdr:nvPicPr>
        <xdr:cNvPr id="6512" name="40188e93-fd20-4513-b8b4-b2aa14e2c73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4e67902639c409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6515</xdr:row>
      <xdr:rowOff>19050</xdr:rowOff>
    </xdr:from>
    <xdr:ext cx="1143000" cy="1143000"/>
    <xdr:pic>
      <xdr:nvPicPr>
        <xdr:cNvPr id="6513" name="45f259ba-f6aa-4509-aa4e-56c7299d907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5c6172e223b44a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6516</xdr:row>
      <xdr:rowOff>19050</xdr:rowOff>
    </xdr:from>
    <xdr:ext cx="1143000" cy="1143000"/>
    <xdr:pic>
      <xdr:nvPicPr>
        <xdr:cNvPr id="6514" name="deb94437-cea1-4d1e-b7f1-25b440654e8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d88eed96913406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6517</xdr:row>
      <xdr:rowOff>19050</xdr:rowOff>
    </xdr:from>
    <xdr:ext cx="1143000" cy="1143000"/>
    <xdr:pic>
      <xdr:nvPicPr>
        <xdr:cNvPr id="6515" name="b10719eb-03e4-436c-8103-3e78c5c6a57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1e10b575aa1429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6518</xdr:row>
      <xdr:rowOff>19050</xdr:rowOff>
    </xdr:from>
    <xdr:ext cx="1143000" cy="1143000"/>
    <xdr:pic>
      <xdr:nvPicPr>
        <xdr:cNvPr id="6516" name="d3ad54a4-2f7b-4d11-8237-609cdee706b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a8daf0bd662491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6519</xdr:row>
      <xdr:rowOff>19050</xdr:rowOff>
    </xdr:from>
    <xdr:ext cx="1143000" cy="1143000"/>
    <xdr:pic>
      <xdr:nvPicPr>
        <xdr:cNvPr id="6517" name="bfc2dbab-e018-4ed3-8717-00c3a7d3690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4c2850c6c5948f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6520</xdr:row>
      <xdr:rowOff>19050</xdr:rowOff>
    </xdr:from>
    <xdr:ext cx="1143000" cy="1143000"/>
    <xdr:pic>
      <xdr:nvPicPr>
        <xdr:cNvPr id="6518" name="ce0039ba-f8dc-4621-ba0a-482cffc49f0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be71aabc049402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6521</xdr:row>
      <xdr:rowOff>19050</xdr:rowOff>
    </xdr:from>
    <xdr:ext cx="1143000" cy="1143000"/>
    <xdr:pic>
      <xdr:nvPicPr>
        <xdr:cNvPr id="6519" name="357a4bdb-b1e5-492b-a385-396f4750e82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f0d5410d9ee4bd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6522</xdr:row>
      <xdr:rowOff>19050</xdr:rowOff>
    </xdr:from>
    <xdr:ext cx="1143000" cy="1143000"/>
    <xdr:pic>
      <xdr:nvPicPr>
        <xdr:cNvPr id="6520" name="db10d154-fcb6-466c-9c3b-9edf62d31da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394af03161e48d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6523</xdr:row>
      <xdr:rowOff>19050</xdr:rowOff>
    </xdr:from>
    <xdr:ext cx="1143000" cy="1143000"/>
    <xdr:pic>
      <xdr:nvPicPr>
        <xdr:cNvPr id="6521" name="1d91b933-529e-40e6-b76a-1e1169ab03e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5dd61103747467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6524</xdr:row>
      <xdr:rowOff>19050</xdr:rowOff>
    </xdr:from>
    <xdr:ext cx="1143000" cy="1143000"/>
    <xdr:pic>
      <xdr:nvPicPr>
        <xdr:cNvPr id="6522" name="767f8b3b-cd10-4f46-a0a4-a523ab31de6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317e2f921d2491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6525</xdr:row>
      <xdr:rowOff>19050</xdr:rowOff>
    </xdr:from>
    <xdr:ext cx="1143000" cy="1143000"/>
    <xdr:pic>
      <xdr:nvPicPr>
        <xdr:cNvPr id="6523" name="e264d59c-d060-455f-86b5-9cb73837bb7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56827bcb4cc4d6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6526</xdr:row>
      <xdr:rowOff>19050</xdr:rowOff>
    </xdr:from>
    <xdr:ext cx="1143000" cy="1143000"/>
    <xdr:pic>
      <xdr:nvPicPr>
        <xdr:cNvPr id="6524" name="98464aa9-2e4e-4be4-91d5-5fd9e36a9eb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27b3ab19ed9438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6527</xdr:row>
      <xdr:rowOff>19050</xdr:rowOff>
    </xdr:from>
    <xdr:ext cx="1143000" cy="1143000"/>
    <xdr:pic>
      <xdr:nvPicPr>
        <xdr:cNvPr id="6525" name="7212938a-4854-4049-aa76-34d2858fb51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e1f6a6c0c4041b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6528</xdr:row>
      <xdr:rowOff>19050</xdr:rowOff>
    </xdr:from>
    <xdr:ext cx="1143000" cy="1143000"/>
    <xdr:pic>
      <xdr:nvPicPr>
        <xdr:cNvPr id="6526" name="537e9c9e-d032-49e4-b267-465614c0f0d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6a2c7660ee74cb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6529</xdr:row>
      <xdr:rowOff>19050</xdr:rowOff>
    </xdr:from>
    <xdr:ext cx="1143000" cy="1143000"/>
    <xdr:pic>
      <xdr:nvPicPr>
        <xdr:cNvPr id="6527" name="2d491f9a-b1b0-49a2-917c-3eb1c3a773a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2affec907c1403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6530</xdr:row>
      <xdr:rowOff>19050</xdr:rowOff>
    </xdr:from>
    <xdr:ext cx="1143000" cy="1143000"/>
    <xdr:pic>
      <xdr:nvPicPr>
        <xdr:cNvPr id="6528" name="1217ad5b-9288-465e-b223-4ada108b1b2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5cc98c1aec2462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6531</xdr:row>
      <xdr:rowOff>19050</xdr:rowOff>
    </xdr:from>
    <xdr:ext cx="1143000" cy="1143000"/>
    <xdr:pic>
      <xdr:nvPicPr>
        <xdr:cNvPr id="6529" name="bf436c51-0144-4054-a820-e37c985cf20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813b6de6e794aa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6532</xdr:row>
      <xdr:rowOff>19050</xdr:rowOff>
    </xdr:from>
    <xdr:ext cx="1143000" cy="1143000"/>
    <xdr:pic>
      <xdr:nvPicPr>
        <xdr:cNvPr id="6530" name="0f9ab360-db44-4017-8156-fdef1eb31ab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5a37ff53324453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6533</xdr:row>
      <xdr:rowOff>19050</xdr:rowOff>
    </xdr:from>
    <xdr:ext cx="1143000" cy="1143000"/>
    <xdr:pic>
      <xdr:nvPicPr>
        <xdr:cNvPr id="6531" name="400daf10-9883-480a-b6cd-5a879196fe3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d62017901eb411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6534</xdr:row>
      <xdr:rowOff>19050</xdr:rowOff>
    </xdr:from>
    <xdr:ext cx="1143000" cy="1143000"/>
    <xdr:pic>
      <xdr:nvPicPr>
        <xdr:cNvPr id="6532" name="e5b8048a-2fe9-41b0-9004-e14b24ebf90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8fb4c1b383b471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6535</xdr:row>
      <xdr:rowOff>19050</xdr:rowOff>
    </xdr:from>
    <xdr:ext cx="1143000" cy="1143000"/>
    <xdr:pic>
      <xdr:nvPicPr>
        <xdr:cNvPr id="6533" name="87d778ff-8162-4b7f-9af9-ca322d91db9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7cb1acded0742f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6536</xdr:row>
      <xdr:rowOff>19050</xdr:rowOff>
    </xdr:from>
    <xdr:ext cx="1143000" cy="1143000"/>
    <xdr:pic>
      <xdr:nvPicPr>
        <xdr:cNvPr id="6534" name="73ba3fe8-7cfc-4762-b27d-df40b97cb02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ab5b6e1116f436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6537</xdr:row>
      <xdr:rowOff>19050</xdr:rowOff>
    </xdr:from>
    <xdr:ext cx="1143000" cy="1143000"/>
    <xdr:pic>
      <xdr:nvPicPr>
        <xdr:cNvPr id="6535" name="b5800b18-65fb-4d6e-acd0-3a65517bf54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25c9d4d5127498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6538</xdr:row>
      <xdr:rowOff>19050</xdr:rowOff>
    </xdr:from>
    <xdr:ext cx="1143000" cy="1143000"/>
    <xdr:pic>
      <xdr:nvPicPr>
        <xdr:cNvPr id="6536" name="42f1d6ad-cd6c-4700-9027-6736257d81d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8a45630905c40f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6539</xdr:row>
      <xdr:rowOff>19050</xdr:rowOff>
    </xdr:from>
    <xdr:ext cx="1143000" cy="1143000"/>
    <xdr:pic>
      <xdr:nvPicPr>
        <xdr:cNvPr id="6537" name="54c202c9-916c-4ca7-ac2e-de3c23cdb8c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1b7162d8cd24e4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6540</xdr:row>
      <xdr:rowOff>19050</xdr:rowOff>
    </xdr:from>
    <xdr:ext cx="1143000" cy="1143000"/>
    <xdr:pic>
      <xdr:nvPicPr>
        <xdr:cNvPr id="6538" name="39aebdb7-4086-49d3-9c13-bc3299061f3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e505197c12b46e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6541</xdr:row>
      <xdr:rowOff>19050</xdr:rowOff>
    </xdr:from>
    <xdr:ext cx="1143000" cy="1143000"/>
    <xdr:pic>
      <xdr:nvPicPr>
        <xdr:cNvPr id="6539" name="67e4a49f-fa8b-4f59-a76a-ef73caf9d7f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3b223f6a71a41f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6542</xdr:row>
      <xdr:rowOff>19050</xdr:rowOff>
    </xdr:from>
    <xdr:ext cx="1143000" cy="1143000"/>
    <xdr:pic>
      <xdr:nvPicPr>
        <xdr:cNvPr id="6540" name="1dbac253-fed8-4dcb-b3f3-9e4c16adb3a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7c290dcc89b4fe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6543</xdr:row>
      <xdr:rowOff>19050</xdr:rowOff>
    </xdr:from>
    <xdr:ext cx="1143000" cy="1143000"/>
    <xdr:pic>
      <xdr:nvPicPr>
        <xdr:cNvPr id="6541" name="bb2fe103-8fe2-44a3-b890-f6dca71b742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6377016812644b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6544</xdr:row>
      <xdr:rowOff>19050</xdr:rowOff>
    </xdr:from>
    <xdr:ext cx="1143000" cy="1143000"/>
    <xdr:pic>
      <xdr:nvPicPr>
        <xdr:cNvPr id="6542" name="cc6ddfaa-36aa-4bbe-8997-ea58f550cf5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7ba1f04f8e74c6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6545</xdr:row>
      <xdr:rowOff>19050</xdr:rowOff>
    </xdr:from>
    <xdr:ext cx="1143000" cy="1143000"/>
    <xdr:pic>
      <xdr:nvPicPr>
        <xdr:cNvPr id="6543" name="77299d31-35bb-43f2-a1a5-39535718bbd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a2fb429f1d2497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6546</xdr:row>
      <xdr:rowOff>19050</xdr:rowOff>
    </xdr:from>
    <xdr:ext cx="1143000" cy="1143000"/>
    <xdr:pic>
      <xdr:nvPicPr>
        <xdr:cNvPr id="6544" name="93c7904b-7363-4469-848a-4638ec8f7f6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c6583ee46bb45d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6547</xdr:row>
      <xdr:rowOff>19050</xdr:rowOff>
    </xdr:from>
    <xdr:ext cx="1143000" cy="1143000"/>
    <xdr:pic>
      <xdr:nvPicPr>
        <xdr:cNvPr id="6545" name="d35dc48e-20c7-4d1d-a885-2149bfb0d22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5e6c05ee34a4f8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6548</xdr:row>
      <xdr:rowOff>19050</xdr:rowOff>
    </xdr:from>
    <xdr:ext cx="1143000" cy="1143000"/>
    <xdr:pic>
      <xdr:nvPicPr>
        <xdr:cNvPr id="6546" name="f2ff3586-3f6e-4e37-a4d4-4d95b89d451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59a09aedcb241e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6549</xdr:row>
      <xdr:rowOff>19050</xdr:rowOff>
    </xdr:from>
    <xdr:ext cx="1143000" cy="1143000"/>
    <xdr:pic>
      <xdr:nvPicPr>
        <xdr:cNvPr id="6547" name="407161b2-997a-4106-bb5b-bd67e48794a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9bbc9cdfdd24b4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6550</xdr:row>
      <xdr:rowOff>19050</xdr:rowOff>
    </xdr:from>
    <xdr:ext cx="1143000" cy="1143000"/>
    <xdr:pic>
      <xdr:nvPicPr>
        <xdr:cNvPr id="6548" name="3437c2ba-767f-40e5-a3ad-36b1353b483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38b7f60657e445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6551</xdr:row>
      <xdr:rowOff>19050</xdr:rowOff>
    </xdr:from>
    <xdr:ext cx="1143000" cy="1143000"/>
    <xdr:pic>
      <xdr:nvPicPr>
        <xdr:cNvPr id="6549" name="7fa0a461-de14-4e7c-9c79-d3d82389eed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42c7678439f476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6552</xdr:row>
      <xdr:rowOff>19050</xdr:rowOff>
    </xdr:from>
    <xdr:ext cx="1143000" cy="1143000"/>
    <xdr:pic>
      <xdr:nvPicPr>
        <xdr:cNvPr id="6550" name="a45c97b0-9def-4d78-984e-488fdf0dc6f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de4483e4e004a1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6553</xdr:row>
      <xdr:rowOff>19050</xdr:rowOff>
    </xdr:from>
    <xdr:ext cx="1143000" cy="1143000"/>
    <xdr:pic>
      <xdr:nvPicPr>
        <xdr:cNvPr id="6551" name="f62fa322-564e-448d-bcb1-4b3613678c3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7e548641c9b4fa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6554</xdr:row>
      <xdr:rowOff>19050</xdr:rowOff>
    </xdr:from>
    <xdr:ext cx="1143000" cy="1143000"/>
    <xdr:pic>
      <xdr:nvPicPr>
        <xdr:cNvPr id="6552" name="67c30ed7-43b1-47a4-b42f-6dd131f561b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ba9093fa3b045a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6555</xdr:row>
      <xdr:rowOff>19050</xdr:rowOff>
    </xdr:from>
    <xdr:ext cx="1143000" cy="1143000"/>
    <xdr:pic>
      <xdr:nvPicPr>
        <xdr:cNvPr id="6553" name="b4568d96-0acb-483e-b211-3be737f0bde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7239a6fe0e2490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6556</xdr:row>
      <xdr:rowOff>19050</xdr:rowOff>
    </xdr:from>
    <xdr:ext cx="1143000" cy="1143000"/>
    <xdr:pic>
      <xdr:nvPicPr>
        <xdr:cNvPr id="6554" name="f3c94977-a3eb-44cc-9f37-25f30a4fdd0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5d903670fdc446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6557</xdr:row>
      <xdr:rowOff>19050</xdr:rowOff>
    </xdr:from>
    <xdr:ext cx="1143000" cy="1143000"/>
    <xdr:pic>
      <xdr:nvPicPr>
        <xdr:cNvPr id="6555" name="f0b2daef-65ea-43a7-8cba-c6c81bad632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c194af048ae463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6558</xdr:row>
      <xdr:rowOff>19050</xdr:rowOff>
    </xdr:from>
    <xdr:ext cx="1143000" cy="1143000"/>
    <xdr:pic>
      <xdr:nvPicPr>
        <xdr:cNvPr id="6556" name="93eb6b30-fc0c-4be3-87b8-d7ec3bd9c9e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dea3e09afc141c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6559</xdr:row>
      <xdr:rowOff>19050</xdr:rowOff>
    </xdr:from>
    <xdr:ext cx="1143000" cy="1143000"/>
    <xdr:pic>
      <xdr:nvPicPr>
        <xdr:cNvPr id="6557" name="ba4a392e-c821-4871-b4f5-c4ead5d4005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ddcd9f2f7b84f3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6560</xdr:row>
      <xdr:rowOff>19050</xdr:rowOff>
    </xdr:from>
    <xdr:ext cx="1143000" cy="1143000"/>
    <xdr:pic>
      <xdr:nvPicPr>
        <xdr:cNvPr id="6558" name="c7e2a86c-f164-4cce-9ea9-56c9f988cd0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e4e6bc8a52048a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6561</xdr:row>
      <xdr:rowOff>19050</xdr:rowOff>
    </xdr:from>
    <xdr:ext cx="1143000" cy="1143000"/>
    <xdr:pic>
      <xdr:nvPicPr>
        <xdr:cNvPr id="6559" name="942c979f-275e-4d15-bb22-137adba2541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bddda112b594b0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6562</xdr:row>
      <xdr:rowOff>19050</xdr:rowOff>
    </xdr:from>
    <xdr:ext cx="1143000" cy="1143000"/>
    <xdr:pic>
      <xdr:nvPicPr>
        <xdr:cNvPr id="6560" name="400b590e-bcac-469f-9e40-a81c2f7d5b5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6fc37c5299d486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6563</xdr:row>
      <xdr:rowOff>19050</xdr:rowOff>
    </xdr:from>
    <xdr:ext cx="1143000" cy="1143000"/>
    <xdr:pic>
      <xdr:nvPicPr>
        <xdr:cNvPr id="6561" name="1ec0f705-2184-454d-bc61-9c2d6ed79de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517026ec9034d4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6564</xdr:row>
      <xdr:rowOff>19050</xdr:rowOff>
    </xdr:from>
    <xdr:ext cx="1143000" cy="1143000"/>
    <xdr:pic>
      <xdr:nvPicPr>
        <xdr:cNvPr id="6562" name="27024464-a9e1-43c2-8dd8-10c6314293d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a6ae815290941d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6565</xdr:row>
      <xdr:rowOff>19050</xdr:rowOff>
    </xdr:from>
    <xdr:ext cx="1143000" cy="1143000"/>
    <xdr:pic>
      <xdr:nvPicPr>
        <xdr:cNvPr id="6563" name="12e1f3a2-d002-4e15-bd8d-a570df77235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b46f89d6d514d5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6566</xdr:row>
      <xdr:rowOff>19050</xdr:rowOff>
    </xdr:from>
    <xdr:ext cx="1143000" cy="1143000"/>
    <xdr:pic>
      <xdr:nvPicPr>
        <xdr:cNvPr id="6564" name="3b5b0c69-5ea2-4a21-b05a-40026a1c7a5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bdfcd024c674ef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6567</xdr:row>
      <xdr:rowOff>19050</xdr:rowOff>
    </xdr:from>
    <xdr:ext cx="1143000" cy="1143000"/>
    <xdr:pic>
      <xdr:nvPicPr>
        <xdr:cNvPr id="6565" name="7228be16-ec18-448d-8d47-9b195ea42ad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eace6f5e74c41f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6568</xdr:row>
      <xdr:rowOff>19050</xdr:rowOff>
    </xdr:from>
    <xdr:ext cx="1143000" cy="1143000"/>
    <xdr:pic>
      <xdr:nvPicPr>
        <xdr:cNvPr id="6566" name="2dd692dc-2383-43b5-82e5-df9af8ea27d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bcac7586005482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6569</xdr:row>
      <xdr:rowOff>19050</xdr:rowOff>
    </xdr:from>
    <xdr:ext cx="1143000" cy="1143000"/>
    <xdr:pic>
      <xdr:nvPicPr>
        <xdr:cNvPr id="6567" name="b5dd23ef-da99-406b-ac1c-fc430336475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5a1f9c7e4e94a6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6570</xdr:row>
      <xdr:rowOff>19050</xdr:rowOff>
    </xdr:from>
    <xdr:ext cx="1143000" cy="1143000"/>
    <xdr:pic>
      <xdr:nvPicPr>
        <xdr:cNvPr id="6568" name="39e31d61-feb3-4bfc-8680-c7581290247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2c22b4556424d7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6571</xdr:row>
      <xdr:rowOff>19050</xdr:rowOff>
    </xdr:from>
    <xdr:ext cx="1143000" cy="1143000"/>
    <xdr:pic>
      <xdr:nvPicPr>
        <xdr:cNvPr id="6569" name="6e9cb4d7-3a89-4c4f-8f52-49e4e102cde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9eaadd7fe75498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6572</xdr:row>
      <xdr:rowOff>19050</xdr:rowOff>
    </xdr:from>
    <xdr:ext cx="1143000" cy="1143000"/>
    <xdr:pic>
      <xdr:nvPicPr>
        <xdr:cNvPr id="6570" name="5115fa39-e39f-4cb5-8b5f-2360b53db9c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c2be049d4784c5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6573</xdr:row>
      <xdr:rowOff>19050</xdr:rowOff>
    </xdr:from>
    <xdr:ext cx="1143000" cy="1143000"/>
    <xdr:pic>
      <xdr:nvPicPr>
        <xdr:cNvPr id="6571" name="83578dbb-470f-48d2-b350-ab71d9af2aa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60f41140c6c430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6574</xdr:row>
      <xdr:rowOff>19050</xdr:rowOff>
    </xdr:from>
    <xdr:ext cx="1143000" cy="1143000"/>
    <xdr:pic>
      <xdr:nvPicPr>
        <xdr:cNvPr id="6572" name="2ed66ec2-eb98-4839-b9e3-77b5f8f8ac3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5181f0432b7490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6575</xdr:row>
      <xdr:rowOff>19050</xdr:rowOff>
    </xdr:from>
    <xdr:ext cx="1143000" cy="1143000"/>
    <xdr:pic>
      <xdr:nvPicPr>
        <xdr:cNvPr id="6573" name="cd9fe5f6-3ecc-4999-a0cb-9866a73bf70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cde7f8554114c1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6576</xdr:row>
      <xdr:rowOff>19050</xdr:rowOff>
    </xdr:from>
    <xdr:ext cx="1143000" cy="1143000"/>
    <xdr:pic>
      <xdr:nvPicPr>
        <xdr:cNvPr id="6574" name="6b3b9c95-5b7f-4654-95a7-9f6fd609258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8f56a4d229940d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6577</xdr:row>
      <xdr:rowOff>19050</xdr:rowOff>
    </xdr:from>
    <xdr:ext cx="1143000" cy="1143000"/>
    <xdr:pic>
      <xdr:nvPicPr>
        <xdr:cNvPr id="6575" name="df328854-4f5e-4f30-a9af-1aa482d187d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eb80d6210cd4f5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6578</xdr:row>
      <xdr:rowOff>19050</xdr:rowOff>
    </xdr:from>
    <xdr:ext cx="1143000" cy="1143000"/>
    <xdr:pic>
      <xdr:nvPicPr>
        <xdr:cNvPr id="6576" name="432d4884-7286-49f5-9dee-1f04b059474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ddb9a2674f24c8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6579</xdr:row>
      <xdr:rowOff>19050</xdr:rowOff>
    </xdr:from>
    <xdr:ext cx="1143000" cy="1143000"/>
    <xdr:pic>
      <xdr:nvPicPr>
        <xdr:cNvPr id="6577" name="22766044-be99-4cfc-b31a-17023a455f1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a155e28482b449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6580</xdr:row>
      <xdr:rowOff>19050</xdr:rowOff>
    </xdr:from>
    <xdr:ext cx="1143000" cy="1143000"/>
    <xdr:pic>
      <xdr:nvPicPr>
        <xdr:cNvPr id="6578" name="573bce77-6fb7-4199-a5b5-226123a3286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4242c846de4414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6581</xdr:row>
      <xdr:rowOff>19050</xdr:rowOff>
    </xdr:from>
    <xdr:ext cx="1143000" cy="1143000"/>
    <xdr:pic>
      <xdr:nvPicPr>
        <xdr:cNvPr id="6579" name="47695b52-3d2b-4d58-9a88-aa64d667ec7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b60cbbe8ea14a8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6582</xdr:row>
      <xdr:rowOff>19050</xdr:rowOff>
    </xdr:from>
    <xdr:ext cx="1143000" cy="1143000"/>
    <xdr:pic>
      <xdr:nvPicPr>
        <xdr:cNvPr id="6580" name="6f62445b-a95d-4df2-84f6-9e01bf25d21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77c54cf2b4b4fc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6583</xdr:row>
      <xdr:rowOff>19050</xdr:rowOff>
    </xdr:from>
    <xdr:ext cx="1143000" cy="1143000"/>
    <xdr:pic>
      <xdr:nvPicPr>
        <xdr:cNvPr id="6581" name="2a4ec645-f63f-4cee-a36e-b38ad197c63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ec3c3a6b5334c3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6584</xdr:row>
      <xdr:rowOff>19050</xdr:rowOff>
    </xdr:from>
    <xdr:ext cx="1143000" cy="1143000"/>
    <xdr:pic>
      <xdr:nvPicPr>
        <xdr:cNvPr id="6582" name="fead7e85-2db7-4a23-bc4c-7b6d779d9bf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049340f91b7497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6585</xdr:row>
      <xdr:rowOff>19050</xdr:rowOff>
    </xdr:from>
    <xdr:ext cx="1143000" cy="1143000"/>
    <xdr:pic>
      <xdr:nvPicPr>
        <xdr:cNvPr id="6583" name="d9e31f1f-171c-4a72-902d-49111293a64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72310a53e114c8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6586</xdr:row>
      <xdr:rowOff>19050</xdr:rowOff>
    </xdr:from>
    <xdr:ext cx="1143000" cy="1143000"/>
    <xdr:pic>
      <xdr:nvPicPr>
        <xdr:cNvPr id="6584" name="bce095cb-400b-453e-bcea-7f3c51e376e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0bc4692d58248a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6587</xdr:row>
      <xdr:rowOff>19050</xdr:rowOff>
    </xdr:from>
    <xdr:ext cx="1143000" cy="1143000"/>
    <xdr:pic>
      <xdr:nvPicPr>
        <xdr:cNvPr id="6585" name="10d8c00a-ef60-459a-83d0-8ea6767ca8b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e6529ada9e241b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6588</xdr:row>
      <xdr:rowOff>19050</xdr:rowOff>
    </xdr:from>
    <xdr:ext cx="1143000" cy="1143000"/>
    <xdr:pic>
      <xdr:nvPicPr>
        <xdr:cNvPr id="6586" name="f61ed61a-9521-4692-b46b-7d112086e7a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f5872c116124f6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6589</xdr:row>
      <xdr:rowOff>19050</xdr:rowOff>
    </xdr:from>
    <xdr:ext cx="1143000" cy="1143000"/>
    <xdr:pic>
      <xdr:nvPicPr>
        <xdr:cNvPr id="6587" name="ee7f1f93-1bb7-41f1-92c2-4c8af1ffd6a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5c926d92a5d48b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6590</xdr:row>
      <xdr:rowOff>19050</xdr:rowOff>
    </xdr:from>
    <xdr:ext cx="1143000" cy="1143000"/>
    <xdr:pic>
      <xdr:nvPicPr>
        <xdr:cNvPr id="6588" name="7ab6de97-783a-4dff-bff1-436e7282ffd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be9eb9bc77a40d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6591</xdr:row>
      <xdr:rowOff>19050</xdr:rowOff>
    </xdr:from>
    <xdr:ext cx="1143000" cy="1143000"/>
    <xdr:pic>
      <xdr:nvPicPr>
        <xdr:cNvPr id="6589" name="701c2e66-41f1-4ab5-929b-5dcd64e06b6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3ceb60b3f39429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6592</xdr:row>
      <xdr:rowOff>19050</xdr:rowOff>
    </xdr:from>
    <xdr:ext cx="1143000" cy="1143000"/>
    <xdr:pic>
      <xdr:nvPicPr>
        <xdr:cNvPr id="6590" name="17ab45e3-d3da-444e-a1cd-3a3ab92bb4f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60a825020e6422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6593</xdr:row>
      <xdr:rowOff>19050</xdr:rowOff>
    </xdr:from>
    <xdr:ext cx="1143000" cy="1143000"/>
    <xdr:pic>
      <xdr:nvPicPr>
        <xdr:cNvPr id="6591" name="bc5c1c99-b96a-4102-951a-885ac9ad717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68add901e474ae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6594</xdr:row>
      <xdr:rowOff>19050</xdr:rowOff>
    </xdr:from>
    <xdr:ext cx="1143000" cy="1143000"/>
    <xdr:pic>
      <xdr:nvPicPr>
        <xdr:cNvPr id="6592" name="d9f67738-9cef-4986-a4eb-2697c45f745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26258fc439d49f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6595</xdr:row>
      <xdr:rowOff>19050</xdr:rowOff>
    </xdr:from>
    <xdr:ext cx="1143000" cy="1143000"/>
    <xdr:pic>
      <xdr:nvPicPr>
        <xdr:cNvPr id="6593" name="dbf5f002-4419-423e-8345-976881071d0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75501198acd4e0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6596</xdr:row>
      <xdr:rowOff>19050</xdr:rowOff>
    </xdr:from>
    <xdr:ext cx="1143000" cy="1143000"/>
    <xdr:pic>
      <xdr:nvPicPr>
        <xdr:cNvPr id="6594" name="19399a2e-02db-4a77-94bd-101a3253e4b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7b908e24d9c4ed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6597</xdr:row>
      <xdr:rowOff>19050</xdr:rowOff>
    </xdr:from>
    <xdr:ext cx="1143000" cy="1143000"/>
    <xdr:pic>
      <xdr:nvPicPr>
        <xdr:cNvPr id="6595" name="5aab687d-33b8-4534-bb41-3f50d5e37f2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08eb7e953a74b3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6598</xdr:row>
      <xdr:rowOff>19050</xdr:rowOff>
    </xdr:from>
    <xdr:ext cx="1143000" cy="1143000"/>
    <xdr:pic>
      <xdr:nvPicPr>
        <xdr:cNvPr id="6596" name="31907624-1aee-44db-8113-27fa116a5fd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0f2981f18e04bd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6599</xdr:row>
      <xdr:rowOff>19050</xdr:rowOff>
    </xdr:from>
    <xdr:ext cx="1143000" cy="1143000"/>
    <xdr:pic>
      <xdr:nvPicPr>
        <xdr:cNvPr id="6597" name="2ee6cd78-291f-4add-b76f-aee9083468f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25a556f195b49b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6600</xdr:row>
      <xdr:rowOff>19050</xdr:rowOff>
    </xdr:from>
    <xdr:ext cx="1143000" cy="1143000"/>
    <xdr:pic>
      <xdr:nvPicPr>
        <xdr:cNvPr id="6598" name="cbb307fa-5d13-493a-8fad-62dbb15226f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820218bd33d465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6601</xdr:row>
      <xdr:rowOff>19050</xdr:rowOff>
    </xdr:from>
    <xdr:ext cx="1143000" cy="1143000"/>
    <xdr:pic>
      <xdr:nvPicPr>
        <xdr:cNvPr id="6599" name="f298b580-9c09-41f9-968a-fee63d714be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d4c583e0d49451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6602</xdr:row>
      <xdr:rowOff>19050</xdr:rowOff>
    </xdr:from>
    <xdr:ext cx="1143000" cy="1143000"/>
    <xdr:pic>
      <xdr:nvPicPr>
        <xdr:cNvPr id="6600" name="a961c140-9319-4f19-a172-445338d660a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91c21c926cd42b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6603</xdr:row>
      <xdr:rowOff>19050</xdr:rowOff>
    </xdr:from>
    <xdr:ext cx="1143000" cy="1143000"/>
    <xdr:pic>
      <xdr:nvPicPr>
        <xdr:cNvPr id="6601" name="445f9a0c-c1f8-4b44-88ea-5a5086f551c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9d02c862b21464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6604</xdr:row>
      <xdr:rowOff>19050</xdr:rowOff>
    </xdr:from>
    <xdr:ext cx="1143000" cy="1143000"/>
    <xdr:pic>
      <xdr:nvPicPr>
        <xdr:cNvPr id="6602" name="1d27e70b-bd9a-44f9-8d62-25afeb3acd6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f3bf4ebb3244f6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6605</xdr:row>
      <xdr:rowOff>19050</xdr:rowOff>
    </xdr:from>
    <xdr:ext cx="1143000" cy="1143000"/>
    <xdr:pic>
      <xdr:nvPicPr>
        <xdr:cNvPr id="6603" name="f00169a1-22d5-4c49-bb4b-4568dccac0a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3b004e256454a0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6606</xdr:row>
      <xdr:rowOff>19050</xdr:rowOff>
    </xdr:from>
    <xdr:ext cx="1143000" cy="1143000"/>
    <xdr:pic>
      <xdr:nvPicPr>
        <xdr:cNvPr id="6604" name="26b7d84a-7d8e-43c6-906f-642719fba95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594d43e696447d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6607</xdr:row>
      <xdr:rowOff>19050</xdr:rowOff>
    </xdr:from>
    <xdr:ext cx="1143000" cy="1143000"/>
    <xdr:pic>
      <xdr:nvPicPr>
        <xdr:cNvPr id="6605" name="d40881c0-7501-45d8-ad27-0b86b0110ed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39d9f20d33b4f5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6608</xdr:row>
      <xdr:rowOff>19050</xdr:rowOff>
    </xdr:from>
    <xdr:ext cx="1143000" cy="1143000"/>
    <xdr:pic>
      <xdr:nvPicPr>
        <xdr:cNvPr id="6606" name="4b6209c9-5fba-4eb4-ae91-bf28e35ac6d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981492c6ba941b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6609</xdr:row>
      <xdr:rowOff>19050</xdr:rowOff>
    </xdr:from>
    <xdr:ext cx="1143000" cy="1143000"/>
    <xdr:pic>
      <xdr:nvPicPr>
        <xdr:cNvPr id="6607" name="1597af7f-086f-4b41-8fb6-24017b6baef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f1b3089540543a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6610</xdr:row>
      <xdr:rowOff>19050</xdr:rowOff>
    </xdr:from>
    <xdr:ext cx="1143000" cy="1143000"/>
    <xdr:pic>
      <xdr:nvPicPr>
        <xdr:cNvPr id="6608" name="385ae6e4-6651-4bbb-ad56-ce884336925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f03a78ebdba48e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6611</xdr:row>
      <xdr:rowOff>19050</xdr:rowOff>
    </xdr:from>
    <xdr:ext cx="1143000" cy="1143000"/>
    <xdr:pic>
      <xdr:nvPicPr>
        <xdr:cNvPr id="6609" name="2432a9e3-48e4-4c32-84b3-7798d871820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d0953ae71c344a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6612</xdr:row>
      <xdr:rowOff>19050</xdr:rowOff>
    </xdr:from>
    <xdr:ext cx="1143000" cy="1143000"/>
    <xdr:pic>
      <xdr:nvPicPr>
        <xdr:cNvPr id="6610" name="4065893b-72a8-4199-893e-0dae606d42a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5910b87642f4b8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6613</xdr:row>
      <xdr:rowOff>19050</xdr:rowOff>
    </xdr:from>
    <xdr:ext cx="1143000" cy="1143000"/>
    <xdr:pic>
      <xdr:nvPicPr>
        <xdr:cNvPr id="6611" name="8c59cae0-3787-40e8-8b5e-ea261735158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47fdc5c9eb84d9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6614</xdr:row>
      <xdr:rowOff>19050</xdr:rowOff>
    </xdr:from>
    <xdr:ext cx="1143000" cy="1143000"/>
    <xdr:pic>
      <xdr:nvPicPr>
        <xdr:cNvPr id="6612" name="1923d7ad-d3fe-4e36-86b3-e0400dc6ed5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ed5de61b54f428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6615</xdr:row>
      <xdr:rowOff>19050</xdr:rowOff>
    </xdr:from>
    <xdr:ext cx="1143000" cy="1143000"/>
    <xdr:pic>
      <xdr:nvPicPr>
        <xdr:cNvPr id="6613" name="cd940b9c-5632-49d8-a766-c4f5de0000f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eee280e12f84a4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6616</xdr:row>
      <xdr:rowOff>19050</xdr:rowOff>
    </xdr:from>
    <xdr:ext cx="1143000" cy="1143000"/>
    <xdr:pic>
      <xdr:nvPicPr>
        <xdr:cNvPr id="6614" name="6d958584-d977-4ff4-a0bb-3b9022990c1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361583fca8f416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6617</xdr:row>
      <xdr:rowOff>19050</xdr:rowOff>
    </xdr:from>
    <xdr:ext cx="1143000" cy="1143000"/>
    <xdr:pic>
      <xdr:nvPicPr>
        <xdr:cNvPr id="6615" name="af7104f7-de65-47f4-9158-62b02ff28d6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9e97501885a409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6618</xdr:row>
      <xdr:rowOff>19050</xdr:rowOff>
    </xdr:from>
    <xdr:ext cx="1143000" cy="1143000"/>
    <xdr:pic>
      <xdr:nvPicPr>
        <xdr:cNvPr id="6616" name="9de1ba9c-cecc-4c84-9857-3b47e47eeab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79f888e5f064d8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6619</xdr:row>
      <xdr:rowOff>19050</xdr:rowOff>
    </xdr:from>
    <xdr:ext cx="1143000" cy="1143000"/>
    <xdr:pic>
      <xdr:nvPicPr>
        <xdr:cNvPr id="6617" name="a20b9745-212b-4ba7-8889-296b680f792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5f97403e7ba4fd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6620</xdr:row>
      <xdr:rowOff>19050</xdr:rowOff>
    </xdr:from>
    <xdr:ext cx="1143000" cy="1143000"/>
    <xdr:pic>
      <xdr:nvPicPr>
        <xdr:cNvPr id="6618" name="cbc1fc77-bd5b-46be-8966-800f7be0ee9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4b8d62ff99b4f6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6621</xdr:row>
      <xdr:rowOff>19050</xdr:rowOff>
    </xdr:from>
    <xdr:ext cx="1143000" cy="1143000"/>
    <xdr:pic>
      <xdr:nvPicPr>
        <xdr:cNvPr id="6619" name="2ce3f21c-8b5a-4139-af2a-2da032afd58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8c1f904dd0b401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6622</xdr:row>
      <xdr:rowOff>19050</xdr:rowOff>
    </xdr:from>
    <xdr:ext cx="1143000" cy="1143000"/>
    <xdr:pic>
      <xdr:nvPicPr>
        <xdr:cNvPr id="6620" name="ffc04b36-5ef3-4254-b5a2-69692bbbcd8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9fe771b83c1434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6623</xdr:row>
      <xdr:rowOff>19050</xdr:rowOff>
    </xdr:from>
    <xdr:ext cx="1143000" cy="1143000"/>
    <xdr:pic>
      <xdr:nvPicPr>
        <xdr:cNvPr id="6621" name="99c37971-0d8e-4b57-8f8f-82efdce7dfe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b460eaba71d4c7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6624</xdr:row>
      <xdr:rowOff>19050</xdr:rowOff>
    </xdr:from>
    <xdr:ext cx="1143000" cy="1143000"/>
    <xdr:pic>
      <xdr:nvPicPr>
        <xdr:cNvPr id="6622" name="ea45b66a-ee3f-433d-b070-dbf88deb81c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22687b0fe4d441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6625</xdr:row>
      <xdr:rowOff>19050</xdr:rowOff>
    </xdr:from>
    <xdr:ext cx="1143000" cy="1143000"/>
    <xdr:pic>
      <xdr:nvPicPr>
        <xdr:cNvPr id="6623" name="b6309503-41d6-4d6c-84d7-ce2fe9863c8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bd75b36e4124ff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6626</xdr:row>
      <xdr:rowOff>19050</xdr:rowOff>
    </xdr:from>
    <xdr:ext cx="1143000" cy="1143000"/>
    <xdr:pic>
      <xdr:nvPicPr>
        <xdr:cNvPr id="6624" name="6ac4fb1a-ce97-4fc7-b1d4-1ec3ee19534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65ef6ab1a7844c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6627</xdr:row>
      <xdr:rowOff>19050</xdr:rowOff>
    </xdr:from>
    <xdr:ext cx="1143000" cy="1143000"/>
    <xdr:pic>
      <xdr:nvPicPr>
        <xdr:cNvPr id="6625" name="ae1576a5-19c3-4a3a-8129-92809bfe6c3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5bdf18960704a6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6628</xdr:row>
      <xdr:rowOff>19050</xdr:rowOff>
    </xdr:from>
    <xdr:ext cx="1143000" cy="1143000"/>
    <xdr:pic>
      <xdr:nvPicPr>
        <xdr:cNvPr id="6626" name="a565066a-0fab-48a6-8142-2bf18ab63d3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9f198539f3f49e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6629</xdr:row>
      <xdr:rowOff>19050</xdr:rowOff>
    </xdr:from>
    <xdr:ext cx="1143000" cy="1143000"/>
    <xdr:pic>
      <xdr:nvPicPr>
        <xdr:cNvPr id="6627" name="8c8df763-d489-4c60-82c3-8a15cb14c3c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819aad2e49d48c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6630</xdr:row>
      <xdr:rowOff>19050</xdr:rowOff>
    </xdr:from>
    <xdr:ext cx="1143000" cy="1143000"/>
    <xdr:pic>
      <xdr:nvPicPr>
        <xdr:cNvPr id="6628" name="7cd9472f-f06f-44fe-8345-8b079622a0e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6af468ebe92404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6631</xdr:row>
      <xdr:rowOff>19050</xdr:rowOff>
    </xdr:from>
    <xdr:ext cx="1143000" cy="1143000"/>
    <xdr:pic>
      <xdr:nvPicPr>
        <xdr:cNvPr id="6629" name="78062ed8-bb77-427f-ad74-7c1ed12d43e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e62432805b040b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6632</xdr:row>
      <xdr:rowOff>19050</xdr:rowOff>
    </xdr:from>
    <xdr:ext cx="1143000" cy="1143000"/>
    <xdr:pic>
      <xdr:nvPicPr>
        <xdr:cNvPr id="6630" name="de675639-d1d9-44a1-a764-c9d8fb60e34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1f92d89ece446a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6633</xdr:row>
      <xdr:rowOff>19050</xdr:rowOff>
    </xdr:from>
    <xdr:ext cx="1143000" cy="1143000"/>
    <xdr:pic>
      <xdr:nvPicPr>
        <xdr:cNvPr id="6631" name="e370fb05-f428-49b8-ab30-f327bae6b57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41f60cfc8584fd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6634</xdr:row>
      <xdr:rowOff>19050</xdr:rowOff>
    </xdr:from>
    <xdr:ext cx="1143000" cy="1143000"/>
    <xdr:pic>
      <xdr:nvPicPr>
        <xdr:cNvPr id="6632" name="c504d438-3769-4a9f-b2c4-dd60278fbdf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995be5660924da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6635</xdr:row>
      <xdr:rowOff>19050</xdr:rowOff>
    </xdr:from>
    <xdr:ext cx="1143000" cy="1143000"/>
    <xdr:pic>
      <xdr:nvPicPr>
        <xdr:cNvPr id="6633" name="931f8bdd-805c-4532-ac5c-48f75736ca5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43d09cf7f2c460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6636</xdr:row>
      <xdr:rowOff>19050</xdr:rowOff>
    </xdr:from>
    <xdr:ext cx="1143000" cy="1143000"/>
    <xdr:pic>
      <xdr:nvPicPr>
        <xdr:cNvPr id="6634" name="cdcce4f1-b722-45dd-b634-740bb69cd28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ee5ea9eb5f6438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6637</xdr:row>
      <xdr:rowOff>19050</xdr:rowOff>
    </xdr:from>
    <xdr:ext cx="1143000" cy="1143000"/>
    <xdr:pic>
      <xdr:nvPicPr>
        <xdr:cNvPr id="6635" name="75bf3f11-7300-4329-a148-c35f3d96faa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c6cc9e8b66e43a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6638</xdr:row>
      <xdr:rowOff>19050</xdr:rowOff>
    </xdr:from>
    <xdr:ext cx="1143000" cy="1143000"/>
    <xdr:pic>
      <xdr:nvPicPr>
        <xdr:cNvPr id="6636" name="b556ce39-7d66-461a-873c-36cf3496907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b2c9673b84e46f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6639</xdr:row>
      <xdr:rowOff>19050</xdr:rowOff>
    </xdr:from>
    <xdr:ext cx="1143000" cy="1143000"/>
    <xdr:pic>
      <xdr:nvPicPr>
        <xdr:cNvPr id="6637" name="a19e953f-6a1b-4c36-a467-4a4812c4a00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aa0f4d1d7b6408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6640</xdr:row>
      <xdr:rowOff>19050</xdr:rowOff>
    </xdr:from>
    <xdr:ext cx="1143000" cy="1143000"/>
    <xdr:pic>
      <xdr:nvPicPr>
        <xdr:cNvPr id="6638" name="b7c37051-bc52-4fa9-8551-d2f495e55b3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733efc89a25400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6641</xdr:row>
      <xdr:rowOff>19050</xdr:rowOff>
    </xdr:from>
    <xdr:ext cx="1143000" cy="1143000"/>
    <xdr:pic>
      <xdr:nvPicPr>
        <xdr:cNvPr id="6639" name="a8c0801d-8166-4bfd-93d5-cd448e77f43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f8f27c2ed7244a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6642</xdr:row>
      <xdr:rowOff>19050</xdr:rowOff>
    </xdr:from>
    <xdr:ext cx="1143000" cy="1143000"/>
    <xdr:pic>
      <xdr:nvPicPr>
        <xdr:cNvPr id="6640" name="2b0a51a3-5466-4eae-b7e9-b97128eac9d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9c2538927884b0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6643</xdr:row>
      <xdr:rowOff>19050</xdr:rowOff>
    </xdr:from>
    <xdr:ext cx="1143000" cy="1143000"/>
    <xdr:pic>
      <xdr:nvPicPr>
        <xdr:cNvPr id="6641" name="aae192bd-09a6-4a43-8622-262fc88649e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727c9eee07e458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6644</xdr:row>
      <xdr:rowOff>19050</xdr:rowOff>
    </xdr:from>
    <xdr:ext cx="1143000" cy="1143000"/>
    <xdr:pic>
      <xdr:nvPicPr>
        <xdr:cNvPr id="6642" name="736ef4ce-b532-4116-8e9e-b203f8bfb1a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fe44bc2993740f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6645</xdr:row>
      <xdr:rowOff>19050</xdr:rowOff>
    </xdr:from>
    <xdr:ext cx="1143000" cy="1143000"/>
    <xdr:pic>
      <xdr:nvPicPr>
        <xdr:cNvPr id="6643" name="188c3834-507c-4b98-84bc-7c3c797d25a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f08d3c976074a8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6646</xdr:row>
      <xdr:rowOff>19050</xdr:rowOff>
    </xdr:from>
    <xdr:ext cx="1143000" cy="1143000"/>
    <xdr:pic>
      <xdr:nvPicPr>
        <xdr:cNvPr id="6644" name="9698798e-9a73-46c6-afbf-816bf03b793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f448904fba24af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6647</xdr:row>
      <xdr:rowOff>19050</xdr:rowOff>
    </xdr:from>
    <xdr:ext cx="1143000" cy="1143000"/>
    <xdr:pic>
      <xdr:nvPicPr>
        <xdr:cNvPr id="6645" name="3b909a8b-b03a-4a65-af88-d0014d2281c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9d18a6ad7c2441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6648</xdr:row>
      <xdr:rowOff>19050</xdr:rowOff>
    </xdr:from>
    <xdr:ext cx="1143000" cy="1143000"/>
    <xdr:pic>
      <xdr:nvPicPr>
        <xdr:cNvPr id="6646" name="2db42f20-3ad0-4a9d-ba55-1ef08ae8942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37969ccebfe403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6649</xdr:row>
      <xdr:rowOff>19050</xdr:rowOff>
    </xdr:from>
    <xdr:ext cx="1143000" cy="1143000"/>
    <xdr:pic>
      <xdr:nvPicPr>
        <xdr:cNvPr id="6647" name="a1da4aac-c0b6-4e07-b7fe-3c130a9321d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c15461ac5f1466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6650</xdr:row>
      <xdr:rowOff>19050</xdr:rowOff>
    </xdr:from>
    <xdr:ext cx="1143000" cy="1143000"/>
    <xdr:pic>
      <xdr:nvPicPr>
        <xdr:cNvPr id="6648" name="e830f3a9-fc15-455d-9449-86fbfb1084d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46bb4bf72e64ef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6651</xdr:row>
      <xdr:rowOff>19050</xdr:rowOff>
    </xdr:from>
    <xdr:ext cx="1143000" cy="1143000"/>
    <xdr:pic>
      <xdr:nvPicPr>
        <xdr:cNvPr id="6649" name="290d8cc2-03ee-4edc-991a-664e32cad96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e9c04f4697248c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6652</xdr:row>
      <xdr:rowOff>19050</xdr:rowOff>
    </xdr:from>
    <xdr:ext cx="1143000" cy="1143000"/>
    <xdr:pic>
      <xdr:nvPicPr>
        <xdr:cNvPr id="6650" name="fab477ca-72f9-4f4c-be33-1c6ffd042a3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037484acbc64e4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6653</xdr:row>
      <xdr:rowOff>19050</xdr:rowOff>
    </xdr:from>
    <xdr:ext cx="1143000" cy="1143000"/>
    <xdr:pic>
      <xdr:nvPicPr>
        <xdr:cNvPr id="6651" name="916e0535-4c44-4709-b5b9-8dee48fc125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89234fefcb3444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6654</xdr:row>
      <xdr:rowOff>19050</xdr:rowOff>
    </xdr:from>
    <xdr:ext cx="1143000" cy="1143000"/>
    <xdr:pic>
      <xdr:nvPicPr>
        <xdr:cNvPr id="6652" name="5dc8782a-c670-4d94-ab13-a0b5b86541b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181fbb714da477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6655</xdr:row>
      <xdr:rowOff>19050</xdr:rowOff>
    </xdr:from>
    <xdr:ext cx="1143000" cy="1143000"/>
    <xdr:pic>
      <xdr:nvPicPr>
        <xdr:cNvPr id="6653" name="504787bd-a678-4d06-8408-18206b24742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76bbe8dfb7448a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6656</xdr:row>
      <xdr:rowOff>19050</xdr:rowOff>
    </xdr:from>
    <xdr:ext cx="1143000" cy="1143000"/>
    <xdr:pic>
      <xdr:nvPicPr>
        <xdr:cNvPr id="6654" name="f0e38ee4-19e5-469d-9bbb-b9b1e7c34cd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d8e4177aca44e6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6657</xdr:row>
      <xdr:rowOff>19050</xdr:rowOff>
    </xdr:from>
    <xdr:ext cx="1143000" cy="1143000"/>
    <xdr:pic>
      <xdr:nvPicPr>
        <xdr:cNvPr id="6655" name="3cd0afec-28e3-4f77-bc8e-3cea0a972d4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e34965fc7f84e2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6658</xdr:row>
      <xdr:rowOff>19050</xdr:rowOff>
    </xdr:from>
    <xdr:ext cx="1143000" cy="1143000"/>
    <xdr:pic>
      <xdr:nvPicPr>
        <xdr:cNvPr id="6656" name="3b498b8d-0a3c-4082-b053-aef0d89a5bc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a43c2f65f0842d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6659</xdr:row>
      <xdr:rowOff>19050</xdr:rowOff>
    </xdr:from>
    <xdr:ext cx="1143000" cy="1143000"/>
    <xdr:pic>
      <xdr:nvPicPr>
        <xdr:cNvPr id="6657" name="35faba13-4f11-4a48-8bab-2eae3036e35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43cfd1f387a411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6660</xdr:row>
      <xdr:rowOff>19050</xdr:rowOff>
    </xdr:from>
    <xdr:ext cx="1143000" cy="1143000"/>
    <xdr:pic>
      <xdr:nvPicPr>
        <xdr:cNvPr id="6658" name="613d0db6-0fd1-45f3-b6a0-e863459e21f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2f8f5c090724a8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6661</xdr:row>
      <xdr:rowOff>19050</xdr:rowOff>
    </xdr:from>
    <xdr:ext cx="1143000" cy="1143000"/>
    <xdr:pic>
      <xdr:nvPicPr>
        <xdr:cNvPr id="6659" name="9d03c1fe-229e-433b-9ea9-3aa750d1301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c8fc26eeac04e9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6662</xdr:row>
      <xdr:rowOff>19050</xdr:rowOff>
    </xdr:from>
    <xdr:ext cx="1143000" cy="1143000"/>
    <xdr:pic>
      <xdr:nvPicPr>
        <xdr:cNvPr id="6660" name="d9418ee4-a6ca-49ad-865a-d7bdc7fe451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70c74e8c001438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6663</xdr:row>
      <xdr:rowOff>19050</xdr:rowOff>
    </xdr:from>
    <xdr:ext cx="1143000" cy="1143000"/>
    <xdr:pic>
      <xdr:nvPicPr>
        <xdr:cNvPr id="6661" name="9360f750-f9f3-4623-81e1-1973348824a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e6b1d911daa484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6664</xdr:row>
      <xdr:rowOff>19050</xdr:rowOff>
    </xdr:from>
    <xdr:ext cx="1143000" cy="1143000"/>
    <xdr:pic>
      <xdr:nvPicPr>
        <xdr:cNvPr id="6662" name="bb2f6f0e-4d84-4f03-8e86-305de559d6a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37fa54d663f44e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6665</xdr:row>
      <xdr:rowOff>19050</xdr:rowOff>
    </xdr:from>
    <xdr:ext cx="1143000" cy="1143000"/>
    <xdr:pic>
      <xdr:nvPicPr>
        <xdr:cNvPr id="6663" name="62edac4c-0441-4a37-97f2-eb36bbe9ec8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ae40d04888a4b7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6666</xdr:row>
      <xdr:rowOff>19050</xdr:rowOff>
    </xdr:from>
    <xdr:ext cx="1143000" cy="1143000"/>
    <xdr:pic>
      <xdr:nvPicPr>
        <xdr:cNvPr id="6664" name="43374769-413a-4451-8ec6-1b82a55f291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e71059be36e406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6667</xdr:row>
      <xdr:rowOff>19050</xdr:rowOff>
    </xdr:from>
    <xdr:ext cx="1143000" cy="1143000"/>
    <xdr:pic>
      <xdr:nvPicPr>
        <xdr:cNvPr id="6665" name="b26bb34f-ba16-4167-8768-0d780293550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55579fbc5d045c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6668</xdr:row>
      <xdr:rowOff>19050</xdr:rowOff>
    </xdr:from>
    <xdr:ext cx="1143000" cy="1143000"/>
    <xdr:pic>
      <xdr:nvPicPr>
        <xdr:cNvPr id="6666" name="95ab20a7-f5bc-48d3-a6c9-792434efb3f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2098e31419a447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6669</xdr:row>
      <xdr:rowOff>19050</xdr:rowOff>
    </xdr:from>
    <xdr:ext cx="1143000" cy="1143000"/>
    <xdr:pic>
      <xdr:nvPicPr>
        <xdr:cNvPr id="6667" name="d29e819a-39a0-4174-b6e5-5968603bebf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58cee727dab4a4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6670</xdr:row>
      <xdr:rowOff>19050</xdr:rowOff>
    </xdr:from>
    <xdr:ext cx="1143000" cy="1143000"/>
    <xdr:pic>
      <xdr:nvPicPr>
        <xdr:cNvPr id="6668" name="70156f77-1bda-4079-a4b0-a78358ad775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ec8ccb3b8034df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6671</xdr:row>
      <xdr:rowOff>19050</xdr:rowOff>
    </xdr:from>
    <xdr:ext cx="1143000" cy="1143000"/>
    <xdr:pic>
      <xdr:nvPicPr>
        <xdr:cNvPr id="6669" name="e9962d53-bfec-4ac1-8e71-f26dc8405da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1e8b4f6944749f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6672</xdr:row>
      <xdr:rowOff>19050</xdr:rowOff>
    </xdr:from>
    <xdr:ext cx="1143000" cy="1143000"/>
    <xdr:pic>
      <xdr:nvPicPr>
        <xdr:cNvPr id="6670" name="a0096831-07b9-4c15-bec6-cb345791753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a912e1b0f9540e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6673</xdr:row>
      <xdr:rowOff>19050</xdr:rowOff>
    </xdr:from>
    <xdr:ext cx="1143000" cy="1143000"/>
    <xdr:pic>
      <xdr:nvPicPr>
        <xdr:cNvPr id="6671" name="10d5fe35-0eee-4b23-b06e-4830276ed18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092299df5ce43f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6674</xdr:row>
      <xdr:rowOff>19050</xdr:rowOff>
    </xdr:from>
    <xdr:ext cx="1143000" cy="1143000"/>
    <xdr:pic>
      <xdr:nvPicPr>
        <xdr:cNvPr id="6672" name="18bf47cd-dce9-4823-b416-2b6703be415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0aa5a4e80ab4d4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6675</xdr:row>
      <xdr:rowOff>19050</xdr:rowOff>
    </xdr:from>
    <xdr:ext cx="1143000" cy="1143000"/>
    <xdr:pic>
      <xdr:nvPicPr>
        <xdr:cNvPr id="6673" name="24d8ba45-a8ce-4e09-906e-846eed6876d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6b7ffdf30d14de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6676</xdr:row>
      <xdr:rowOff>19050</xdr:rowOff>
    </xdr:from>
    <xdr:ext cx="1143000" cy="1143000"/>
    <xdr:pic>
      <xdr:nvPicPr>
        <xdr:cNvPr id="6674" name="6403f911-0b2f-4a3c-aa85-97411b879a3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c6c86734e5a4e5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6677</xdr:row>
      <xdr:rowOff>19050</xdr:rowOff>
    </xdr:from>
    <xdr:ext cx="1143000" cy="1143000"/>
    <xdr:pic>
      <xdr:nvPicPr>
        <xdr:cNvPr id="6675" name="a5d3c6f4-3fbc-40fb-8bff-fd70fb9d9dd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f604cbf0b05494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6678</xdr:row>
      <xdr:rowOff>19050</xdr:rowOff>
    </xdr:from>
    <xdr:ext cx="1143000" cy="1143000"/>
    <xdr:pic>
      <xdr:nvPicPr>
        <xdr:cNvPr id="6676" name="ca20a1cd-9230-4791-8731-2e9d9f70130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0a777616bfd41f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6679</xdr:row>
      <xdr:rowOff>19050</xdr:rowOff>
    </xdr:from>
    <xdr:ext cx="1143000" cy="1143000"/>
    <xdr:pic>
      <xdr:nvPicPr>
        <xdr:cNvPr id="6677" name="f6d18d5d-9b4b-4686-80c2-3e708e98eff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6036f3719344ba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6680</xdr:row>
      <xdr:rowOff>19050</xdr:rowOff>
    </xdr:from>
    <xdr:ext cx="1143000" cy="1143000"/>
    <xdr:pic>
      <xdr:nvPicPr>
        <xdr:cNvPr id="6678" name="ea181191-7114-4c9b-b5af-45798322e22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773130c89b04d0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6681</xdr:row>
      <xdr:rowOff>19050</xdr:rowOff>
    </xdr:from>
    <xdr:ext cx="1143000" cy="1143000"/>
    <xdr:pic>
      <xdr:nvPicPr>
        <xdr:cNvPr id="6679" name="93c79130-3ca8-4969-bdb9-58f247f9e2f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39c483f67fa444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6682</xdr:row>
      <xdr:rowOff>19050</xdr:rowOff>
    </xdr:from>
    <xdr:ext cx="1143000" cy="1143000"/>
    <xdr:pic>
      <xdr:nvPicPr>
        <xdr:cNvPr id="6680" name="e995a4b2-9f5f-4405-88bf-70bf4fe38be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a1187330822440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6683</xdr:row>
      <xdr:rowOff>19050</xdr:rowOff>
    </xdr:from>
    <xdr:ext cx="1143000" cy="1143000"/>
    <xdr:pic>
      <xdr:nvPicPr>
        <xdr:cNvPr id="6681" name="fb726340-0e57-4cd6-babf-e2382c6897b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037895d4404442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6684</xdr:row>
      <xdr:rowOff>19050</xdr:rowOff>
    </xdr:from>
    <xdr:ext cx="1143000" cy="1143000"/>
    <xdr:pic>
      <xdr:nvPicPr>
        <xdr:cNvPr id="6682" name="effeb08e-b7bb-4581-855a-f65935911a4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d0bfdf9fb55464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6685</xdr:row>
      <xdr:rowOff>19050</xdr:rowOff>
    </xdr:from>
    <xdr:ext cx="1143000" cy="1143000"/>
    <xdr:pic>
      <xdr:nvPicPr>
        <xdr:cNvPr id="6683" name="f62a7be7-9d85-4c34-b853-51e9191cfe2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32c51c52e5f4be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6686</xdr:row>
      <xdr:rowOff>19050</xdr:rowOff>
    </xdr:from>
    <xdr:ext cx="1143000" cy="1143000"/>
    <xdr:pic>
      <xdr:nvPicPr>
        <xdr:cNvPr id="6684" name="6c24b9b2-e15f-432f-b597-7543745c694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91f897e80ff451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6687</xdr:row>
      <xdr:rowOff>19050</xdr:rowOff>
    </xdr:from>
    <xdr:ext cx="1143000" cy="1143000"/>
    <xdr:pic>
      <xdr:nvPicPr>
        <xdr:cNvPr id="6685" name="02d666e6-c62e-42c4-85df-94ef2c16238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b554325726040a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6688</xdr:row>
      <xdr:rowOff>19050</xdr:rowOff>
    </xdr:from>
    <xdr:ext cx="1143000" cy="1143000"/>
    <xdr:pic>
      <xdr:nvPicPr>
        <xdr:cNvPr id="6686" name="a13d251f-8003-44d4-98f9-49817f21a93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52fe3634cbc489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6689</xdr:row>
      <xdr:rowOff>19050</xdr:rowOff>
    </xdr:from>
    <xdr:ext cx="1143000" cy="1143000"/>
    <xdr:pic>
      <xdr:nvPicPr>
        <xdr:cNvPr id="6687" name="b79e3bc5-b063-4515-8a78-0345782c389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7c53885e9614e7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6690</xdr:row>
      <xdr:rowOff>19050</xdr:rowOff>
    </xdr:from>
    <xdr:ext cx="1143000" cy="1143000"/>
    <xdr:pic>
      <xdr:nvPicPr>
        <xdr:cNvPr id="6688" name="1759997a-3c14-4145-980d-ebd5e03b0d1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e0065c5002b495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6691</xdr:row>
      <xdr:rowOff>19050</xdr:rowOff>
    </xdr:from>
    <xdr:ext cx="1143000" cy="1143000"/>
    <xdr:pic>
      <xdr:nvPicPr>
        <xdr:cNvPr id="6689" name="cc7db9d1-4a68-402c-b08d-0b37d057cac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8a7f0db7d7c4f1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6692</xdr:row>
      <xdr:rowOff>19050</xdr:rowOff>
    </xdr:from>
    <xdr:ext cx="1143000" cy="1143000"/>
    <xdr:pic>
      <xdr:nvPicPr>
        <xdr:cNvPr id="6690" name="b8d36cb1-9ed8-49be-a9da-d36ac8486f3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4e3fcd48ead491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6693</xdr:row>
      <xdr:rowOff>19050</xdr:rowOff>
    </xdr:from>
    <xdr:ext cx="1143000" cy="1143000"/>
    <xdr:pic>
      <xdr:nvPicPr>
        <xdr:cNvPr id="6691" name="40dccd79-7a7c-4f1f-a7bb-af8d742845a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035746fe94c46a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6694</xdr:row>
      <xdr:rowOff>19050</xdr:rowOff>
    </xdr:from>
    <xdr:ext cx="1143000" cy="1143000"/>
    <xdr:pic>
      <xdr:nvPicPr>
        <xdr:cNvPr id="6692" name="bd6a9410-b6e9-44da-8722-b4fab1c6b80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9cb48d82302414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6695</xdr:row>
      <xdr:rowOff>19050</xdr:rowOff>
    </xdr:from>
    <xdr:ext cx="1143000" cy="1143000"/>
    <xdr:pic>
      <xdr:nvPicPr>
        <xdr:cNvPr id="6693" name="3c9f40d6-1fe4-4840-815f-73d543c8fd3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8e0ac2ef9d7493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6696</xdr:row>
      <xdr:rowOff>19050</xdr:rowOff>
    </xdr:from>
    <xdr:ext cx="1143000" cy="1143000"/>
    <xdr:pic>
      <xdr:nvPicPr>
        <xdr:cNvPr id="6694" name="71a4c601-10d8-4d4a-a50d-89b4cab4f78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a71ceac548b4a6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6697</xdr:row>
      <xdr:rowOff>19050</xdr:rowOff>
    </xdr:from>
    <xdr:ext cx="1143000" cy="1143000"/>
    <xdr:pic>
      <xdr:nvPicPr>
        <xdr:cNvPr id="6695" name="9b53272a-1f56-486a-a0f3-313fba1906c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2a88d508e224d3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6698</xdr:row>
      <xdr:rowOff>19050</xdr:rowOff>
    </xdr:from>
    <xdr:ext cx="1143000" cy="1143000"/>
    <xdr:pic>
      <xdr:nvPicPr>
        <xdr:cNvPr id="6696" name="091aca43-24a6-42c6-8caa-88ed8d6547c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319d48f5dc64a3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6699</xdr:row>
      <xdr:rowOff>19050</xdr:rowOff>
    </xdr:from>
    <xdr:ext cx="1143000" cy="1143000"/>
    <xdr:pic>
      <xdr:nvPicPr>
        <xdr:cNvPr id="6697" name="faae0fee-cc2c-44a4-b008-0c869335deb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6ba1578f1e8427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6700</xdr:row>
      <xdr:rowOff>19050</xdr:rowOff>
    </xdr:from>
    <xdr:ext cx="1143000" cy="1143000"/>
    <xdr:pic>
      <xdr:nvPicPr>
        <xdr:cNvPr id="6698" name="9872a2c3-f5a1-42e7-afcb-92518b965da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e6027a428834d5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6701</xdr:row>
      <xdr:rowOff>19050</xdr:rowOff>
    </xdr:from>
    <xdr:ext cx="1143000" cy="1143000"/>
    <xdr:pic>
      <xdr:nvPicPr>
        <xdr:cNvPr id="6699" name="3573bfde-35ca-4c5f-8e80-463a1355701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d616265f9124a2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6702</xdr:row>
      <xdr:rowOff>19050</xdr:rowOff>
    </xdr:from>
    <xdr:ext cx="1143000" cy="1143000"/>
    <xdr:pic>
      <xdr:nvPicPr>
        <xdr:cNvPr id="6700" name="4871666a-37d9-4e30-aec3-b48ecb87a71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ba76925cb6143f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6703</xdr:row>
      <xdr:rowOff>19050</xdr:rowOff>
    </xdr:from>
    <xdr:ext cx="1143000" cy="1143000"/>
    <xdr:pic>
      <xdr:nvPicPr>
        <xdr:cNvPr id="6701" name="80fcf641-fdf1-4c34-be15-00223f76928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405af1768b8427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6704</xdr:row>
      <xdr:rowOff>19050</xdr:rowOff>
    </xdr:from>
    <xdr:ext cx="1143000" cy="1143000"/>
    <xdr:pic>
      <xdr:nvPicPr>
        <xdr:cNvPr id="6702" name="476931ba-0e62-422c-aa1d-b4bfe7c6839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48f9899ab2a41f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6705</xdr:row>
      <xdr:rowOff>19050</xdr:rowOff>
    </xdr:from>
    <xdr:ext cx="1143000" cy="1143000"/>
    <xdr:pic>
      <xdr:nvPicPr>
        <xdr:cNvPr id="6703" name="78134698-6ca3-4be9-9076-811262d69c9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c0c47188ea3442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6706</xdr:row>
      <xdr:rowOff>19050</xdr:rowOff>
    </xdr:from>
    <xdr:ext cx="1143000" cy="1143000"/>
    <xdr:pic>
      <xdr:nvPicPr>
        <xdr:cNvPr id="6704" name="e6c20559-09d5-4bc6-aac6-20335faf3e8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958fa37fbca48a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6707</xdr:row>
      <xdr:rowOff>19050</xdr:rowOff>
    </xdr:from>
    <xdr:ext cx="1143000" cy="1143000"/>
    <xdr:pic>
      <xdr:nvPicPr>
        <xdr:cNvPr id="6705" name="6db2c4ee-9701-4396-b364-4985d578a75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72f1bc7b63b4e9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6708</xdr:row>
      <xdr:rowOff>19050</xdr:rowOff>
    </xdr:from>
    <xdr:ext cx="1143000" cy="1143000"/>
    <xdr:pic>
      <xdr:nvPicPr>
        <xdr:cNvPr id="6706" name="5ac1b550-82a3-4601-aaf9-d1909361f90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13aa4a302934f1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6709</xdr:row>
      <xdr:rowOff>19050</xdr:rowOff>
    </xdr:from>
    <xdr:ext cx="1143000" cy="1143000"/>
    <xdr:pic>
      <xdr:nvPicPr>
        <xdr:cNvPr id="6707" name="f18c2c01-18ef-4246-8ff1-6b8d22dbe28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760d52d08e04a7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6710</xdr:row>
      <xdr:rowOff>19050</xdr:rowOff>
    </xdr:from>
    <xdr:ext cx="1143000" cy="1143000"/>
    <xdr:pic>
      <xdr:nvPicPr>
        <xdr:cNvPr id="6708" name="6bb006f1-8562-4f57-b380-49bd0885c50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ecf11db42564e7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6711</xdr:row>
      <xdr:rowOff>19050</xdr:rowOff>
    </xdr:from>
    <xdr:ext cx="1143000" cy="1143000"/>
    <xdr:pic>
      <xdr:nvPicPr>
        <xdr:cNvPr id="6709" name="6c3b1cf8-bcfd-4482-8743-42c3ad8b9d3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4433c88f8c24c9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6712</xdr:row>
      <xdr:rowOff>19050</xdr:rowOff>
    </xdr:from>
    <xdr:ext cx="1143000" cy="1143000"/>
    <xdr:pic>
      <xdr:nvPicPr>
        <xdr:cNvPr id="6710" name="896bf2a8-3559-405d-b0c8-f9641bb86c2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ba0629291d34fe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6713</xdr:row>
      <xdr:rowOff>19050</xdr:rowOff>
    </xdr:from>
    <xdr:ext cx="1143000" cy="1143000"/>
    <xdr:pic>
      <xdr:nvPicPr>
        <xdr:cNvPr id="6711" name="af0b5227-e79e-433c-8741-58a07687a7c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37f65059afd425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6714</xdr:row>
      <xdr:rowOff>19050</xdr:rowOff>
    </xdr:from>
    <xdr:ext cx="1143000" cy="1143000"/>
    <xdr:pic>
      <xdr:nvPicPr>
        <xdr:cNvPr id="6712" name="6e13281d-2535-45d5-bdda-0bcc68dff94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e17864d6232465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6715</xdr:row>
      <xdr:rowOff>19050</xdr:rowOff>
    </xdr:from>
    <xdr:ext cx="1143000" cy="1143000"/>
    <xdr:pic>
      <xdr:nvPicPr>
        <xdr:cNvPr id="6713" name="9fe57f49-4ae2-4dd4-9f4e-429bdf53988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a8d6a6860b044b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6716</xdr:row>
      <xdr:rowOff>19050</xdr:rowOff>
    </xdr:from>
    <xdr:ext cx="1143000" cy="1143000"/>
    <xdr:pic>
      <xdr:nvPicPr>
        <xdr:cNvPr id="6714" name="fa087b7e-8314-4b59-931c-7be34cdd66f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439d6a87e204a1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6717</xdr:row>
      <xdr:rowOff>19050</xdr:rowOff>
    </xdr:from>
    <xdr:ext cx="1143000" cy="1143000"/>
    <xdr:pic>
      <xdr:nvPicPr>
        <xdr:cNvPr id="6715" name="a4b8537c-8a94-402e-8eba-790f5e553af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e17dd26ab9e4e7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6718</xdr:row>
      <xdr:rowOff>19050</xdr:rowOff>
    </xdr:from>
    <xdr:ext cx="1143000" cy="1143000"/>
    <xdr:pic>
      <xdr:nvPicPr>
        <xdr:cNvPr id="6716" name="1d4e2c08-e925-46c9-bb69-0e8e6bdc767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77169a53bb7403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6719</xdr:row>
      <xdr:rowOff>19050</xdr:rowOff>
    </xdr:from>
    <xdr:ext cx="1143000" cy="1143000"/>
    <xdr:pic>
      <xdr:nvPicPr>
        <xdr:cNvPr id="6717" name="f38699ca-356d-4319-85b0-1457dcc8dd0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4c51aa002964fa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6720</xdr:row>
      <xdr:rowOff>19050</xdr:rowOff>
    </xdr:from>
    <xdr:ext cx="1143000" cy="1143000"/>
    <xdr:pic>
      <xdr:nvPicPr>
        <xdr:cNvPr id="6718" name="02a9b6e8-7ea7-41c7-9759-901021d270b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c63e5ca1d254cc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6721</xdr:row>
      <xdr:rowOff>19050</xdr:rowOff>
    </xdr:from>
    <xdr:ext cx="1143000" cy="1143000"/>
    <xdr:pic>
      <xdr:nvPicPr>
        <xdr:cNvPr id="6719" name="d5165df6-c5ca-4cd1-afbf-f8f9ae1697f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9cf9cb619794e8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6722</xdr:row>
      <xdr:rowOff>19050</xdr:rowOff>
    </xdr:from>
    <xdr:ext cx="1143000" cy="1143000"/>
    <xdr:pic>
      <xdr:nvPicPr>
        <xdr:cNvPr id="6720" name="88b2d296-2354-4a9a-b252-482bebdf78a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94e81f001c54e8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6723</xdr:row>
      <xdr:rowOff>19050</xdr:rowOff>
    </xdr:from>
    <xdr:ext cx="1143000" cy="1143000"/>
    <xdr:pic>
      <xdr:nvPicPr>
        <xdr:cNvPr id="6721" name="6ed4b6c2-bc07-462e-8013-e05c81337d2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b18cd6982a14c0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6724</xdr:row>
      <xdr:rowOff>19050</xdr:rowOff>
    </xdr:from>
    <xdr:ext cx="1143000" cy="1143000"/>
    <xdr:pic>
      <xdr:nvPicPr>
        <xdr:cNvPr id="6722" name="c2d9697b-85b9-4e00-b80f-13d72cebcac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6440d3c89e5413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6725</xdr:row>
      <xdr:rowOff>19050</xdr:rowOff>
    </xdr:from>
    <xdr:ext cx="1143000" cy="1143000"/>
    <xdr:pic>
      <xdr:nvPicPr>
        <xdr:cNvPr id="6723" name="8ef0bc86-a391-4337-9818-c00bd115387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eeee2555274414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6726</xdr:row>
      <xdr:rowOff>19050</xdr:rowOff>
    </xdr:from>
    <xdr:ext cx="1143000" cy="1143000"/>
    <xdr:pic>
      <xdr:nvPicPr>
        <xdr:cNvPr id="6724" name="07425573-9411-4d1d-966e-14ac1914cea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955f9141d5549d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6727</xdr:row>
      <xdr:rowOff>19050</xdr:rowOff>
    </xdr:from>
    <xdr:ext cx="1143000" cy="1143000"/>
    <xdr:pic>
      <xdr:nvPicPr>
        <xdr:cNvPr id="6725" name="d3e27e49-3c7e-4efd-b144-6bcff5a16b1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3b2de02fb0542d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6728</xdr:row>
      <xdr:rowOff>19050</xdr:rowOff>
    </xdr:from>
    <xdr:ext cx="1143000" cy="1143000"/>
    <xdr:pic>
      <xdr:nvPicPr>
        <xdr:cNvPr id="6726" name="c00334af-96a0-43c0-9e20-67dc649ac76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c1fd1e8e5b5431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6729</xdr:row>
      <xdr:rowOff>19050</xdr:rowOff>
    </xdr:from>
    <xdr:ext cx="1143000" cy="1143000"/>
    <xdr:pic>
      <xdr:nvPicPr>
        <xdr:cNvPr id="6727" name="08d7ddd8-83cb-4938-90d4-1ab7865dd6a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99dbc86cd7c4d6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6730</xdr:row>
      <xdr:rowOff>19050</xdr:rowOff>
    </xdr:from>
    <xdr:ext cx="1143000" cy="1143000"/>
    <xdr:pic>
      <xdr:nvPicPr>
        <xdr:cNvPr id="6728" name="cf35b23b-508d-4f09-aa25-94bfe36d501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7518392f67c49d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6731</xdr:row>
      <xdr:rowOff>19050</xdr:rowOff>
    </xdr:from>
    <xdr:ext cx="1143000" cy="1143000"/>
    <xdr:pic>
      <xdr:nvPicPr>
        <xdr:cNvPr id="6729" name="3919e5d4-2a36-4755-96b8-c71f5d9c552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3d3ccfa944b42d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6732</xdr:row>
      <xdr:rowOff>19050</xdr:rowOff>
    </xdr:from>
    <xdr:ext cx="1143000" cy="1143000"/>
    <xdr:pic>
      <xdr:nvPicPr>
        <xdr:cNvPr id="6730" name="402e9f79-c162-4c6c-a1f3-0f4ab80bfd9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edd9cf8b76b4e5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6733</xdr:row>
      <xdr:rowOff>19050</xdr:rowOff>
    </xdr:from>
    <xdr:ext cx="1143000" cy="1143000"/>
    <xdr:pic>
      <xdr:nvPicPr>
        <xdr:cNvPr id="6731" name="51cba47e-5631-4ff3-b0f9-35e660abf85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951bc481793420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6734</xdr:row>
      <xdr:rowOff>19050</xdr:rowOff>
    </xdr:from>
    <xdr:ext cx="1143000" cy="1143000"/>
    <xdr:pic>
      <xdr:nvPicPr>
        <xdr:cNvPr id="6732" name="b165826c-8e6f-4a01-8c65-acb5ff11bb4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192eab795ce4e1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6735</xdr:row>
      <xdr:rowOff>19050</xdr:rowOff>
    </xdr:from>
    <xdr:ext cx="1143000" cy="1143000"/>
    <xdr:pic>
      <xdr:nvPicPr>
        <xdr:cNvPr id="6733" name="b91980cb-15cf-48e7-b834-4ea5152a3af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5bca344474741b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6736</xdr:row>
      <xdr:rowOff>19050</xdr:rowOff>
    </xdr:from>
    <xdr:ext cx="1143000" cy="1143000"/>
    <xdr:pic>
      <xdr:nvPicPr>
        <xdr:cNvPr id="6734" name="7b62e8f6-315d-4a2a-9ae9-60fe6aaf725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9a26065869e4cf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6737</xdr:row>
      <xdr:rowOff>19050</xdr:rowOff>
    </xdr:from>
    <xdr:ext cx="1143000" cy="1143000"/>
    <xdr:pic>
      <xdr:nvPicPr>
        <xdr:cNvPr id="6735" name="7fa000b1-d884-4055-832b-61c68185e2c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493f8c1e3ce498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6738</xdr:row>
      <xdr:rowOff>19050</xdr:rowOff>
    </xdr:from>
    <xdr:ext cx="1143000" cy="1143000"/>
    <xdr:pic>
      <xdr:nvPicPr>
        <xdr:cNvPr id="6736" name="c67da996-644a-47c2-8a81-8de3d6fe6e8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4887ebfda51421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6739</xdr:row>
      <xdr:rowOff>19050</xdr:rowOff>
    </xdr:from>
    <xdr:ext cx="1143000" cy="1143000"/>
    <xdr:pic>
      <xdr:nvPicPr>
        <xdr:cNvPr id="6737" name="3097e16f-5f9b-44f8-ad26-c05c2db0a2c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eb7f4bed45c40a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6740</xdr:row>
      <xdr:rowOff>19050</xdr:rowOff>
    </xdr:from>
    <xdr:ext cx="1143000" cy="1143000"/>
    <xdr:pic>
      <xdr:nvPicPr>
        <xdr:cNvPr id="6738" name="591ef03b-97fa-4dda-977d-e5455c8406f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f342eb1970d4e2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6741</xdr:row>
      <xdr:rowOff>19050</xdr:rowOff>
    </xdr:from>
    <xdr:ext cx="1143000" cy="1143000"/>
    <xdr:pic>
      <xdr:nvPicPr>
        <xdr:cNvPr id="6739" name="5bfeb908-d04e-4190-b477-ae3bbbaa6aa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312d37bfd614db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6742</xdr:row>
      <xdr:rowOff>19050</xdr:rowOff>
    </xdr:from>
    <xdr:ext cx="1143000" cy="1143000"/>
    <xdr:pic>
      <xdr:nvPicPr>
        <xdr:cNvPr id="6740" name="74e1a0dc-1430-450a-8d22-26a0bffab1b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6096007bf41459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6743</xdr:row>
      <xdr:rowOff>19050</xdr:rowOff>
    </xdr:from>
    <xdr:ext cx="1143000" cy="1143000"/>
    <xdr:pic>
      <xdr:nvPicPr>
        <xdr:cNvPr id="6741" name="511c935e-2ff4-4a37-bca9-e9567995bc7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0432b126d794a4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6744</xdr:row>
      <xdr:rowOff>19050</xdr:rowOff>
    </xdr:from>
    <xdr:ext cx="1143000" cy="1143000"/>
    <xdr:pic>
      <xdr:nvPicPr>
        <xdr:cNvPr id="6742" name="065f51d0-22e1-46dd-a784-60353309a95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203f9524d8e43a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6745</xdr:row>
      <xdr:rowOff>19050</xdr:rowOff>
    </xdr:from>
    <xdr:ext cx="1143000" cy="1143000"/>
    <xdr:pic>
      <xdr:nvPicPr>
        <xdr:cNvPr id="6743" name="85325f0e-4c18-4d93-a04b-40f4d2c54ca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a2823bdeb174d6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6746</xdr:row>
      <xdr:rowOff>19050</xdr:rowOff>
    </xdr:from>
    <xdr:ext cx="1143000" cy="1143000"/>
    <xdr:pic>
      <xdr:nvPicPr>
        <xdr:cNvPr id="6744" name="58374a24-2757-4e1c-9780-afb350ff65f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f5e0789d8e54b2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6747</xdr:row>
      <xdr:rowOff>19050</xdr:rowOff>
    </xdr:from>
    <xdr:ext cx="1143000" cy="1143000"/>
    <xdr:pic>
      <xdr:nvPicPr>
        <xdr:cNvPr id="6745" name="46ca21c2-e6bc-4a4f-a102-cd9584ae49a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483d84d6fbb434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6748</xdr:row>
      <xdr:rowOff>19050</xdr:rowOff>
    </xdr:from>
    <xdr:ext cx="1143000" cy="1143000"/>
    <xdr:pic>
      <xdr:nvPicPr>
        <xdr:cNvPr id="6746" name="8aaa9acf-e7c0-424d-8789-80184765162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c2f310a0d8341a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6749</xdr:row>
      <xdr:rowOff>19050</xdr:rowOff>
    </xdr:from>
    <xdr:ext cx="1143000" cy="1143000"/>
    <xdr:pic>
      <xdr:nvPicPr>
        <xdr:cNvPr id="6747" name="9f9114f0-eac4-429a-8c72-17c2134be51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bb7e1574a59431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6750</xdr:row>
      <xdr:rowOff>19050</xdr:rowOff>
    </xdr:from>
    <xdr:ext cx="1143000" cy="1143000"/>
    <xdr:pic>
      <xdr:nvPicPr>
        <xdr:cNvPr id="6748" name="aa33be8a-9978-4e98-86f3-164bde630d8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e706edbd41c440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6751</xdr:row>
      <xdr:rowOff>19050</xdr:rowOff>
    </xdr:from>
    <xdr:ext cx="1143000" cy="1143000"/>
    <xdr:pic>
      <xdr:nvPicPr>
        <xdr:cNvPr id="6749" name="920583ce-c774-49ac-9f5c-df39d40863a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011965146c6495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6752</xdr:row>
      <xdr:rowOff>19050</xdr:rowOff>
    </xdr:from>
    <xdr:ext cx="1143000" cy="1143000"/>
    <xdr:pic>
      <xdr:nvPicPr>
        <xdr:cNvPr id="6750" name="33e4ccbd-d6ee-4a82-af64-5565ca037ac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47dddf834324f4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6753</xdr:row>
      <xdr:rowOff>19050</xdr:rowOff>
    </xdr:from>
    <xdr:ext cx="1143000" cy="1143000"/>
    <xdr:pic>
      <xdr:nvPicPr>
        <xdr:cNvPr id="6751" name="08d19ab3-83a8-4836-afdb-5962a2a13f0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19fc6f1199a47e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6754</xdr:row>
      <xdr:rowOff>19050</xdr:rowOff>
    </xdr:from>
    <xdr:ext cx="1143000" cy="1143000"/>
    <xdr:pic>
      <xdr:nvPicPr>
        <xdr:cNvPr id="6752" name="9f2275a2-42d6-46bb-89ce-4bd94aab4ca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69cd4d039e14b0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6755</xdr:row>
      <xdr:rowOff>19050</xdr:rowOff>
    </xdr:from>
    <xdr:ext cx="1143000" cy="1143000"/>
    <xdr:pic>
      <xdr:nvPicPr>
        <xdr:cNvPr id="6753" name="9d6d3788-9eda-448a-bada-23f3ec82289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7d912348fe2403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6756</xdr:row>
      <xdr:rowOff>19050</xdr:rowOff>
    </xdr:from>
    <xdr:ext cx="1143000" cy="1143000"/>
    <xdr:pic>
      <xdr:nvPicPr>
        <xdr:cNvPr id="6754" name="e3d87b6b-85b8-4919-ae69-b65d7a2edc4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9dbed3b89754cf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6757</xdr:row>
      <xdr:rowOff>19050</xdr:rowOff>
    </xdr:from>
    <xdr:ext cx="1143000" cy="1143000"/>
    <xdr:pic>
      <xdr:nvPicPr>
        <xdr:cNvPr id="6755" name="e1c51b25-4fdc-4f24-b79c-9fbb1b502da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c24aef5acd74c6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6758</xdr:row>
      <xdr:rowOff>19050</xdr:rowOff>
    </xdr:from>
    <xdr:ext cx="1143000" cy="1143000"/>
    <xdr:pic>
      <xdr:nvPicPr>
        <xdr:cNvPr id="6756" name="8789a4f6-7522-45df-b969-5ca48271cb7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7610ce87a3a4be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6759</xdr:row>
      <xdr:rowOff>19050</xdr:rowOff>
    </xdr:from>
    <xdr:ext cx="1143000" cy="1143000"/>
    <xdr:pic>
      <xdr:nvPicPr>
        <xdr:cNvPr id="6757" name="efcfa627-3291-4abf-bb2e-ce2d15df83e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9ce3254e3cd456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6760</xdr:row>
      <xdr:rowOff>19050</xdr:rowOff>
    </xdr:from>
    <xdr:ext cx="1143000" cy="1143000"/>
    <xdr:pic>
      <xdr:nvPicPr>
        <xdr:cNvPr id="6758" name="8987b25b-24b3-4b7d-bf29-541594c408b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d0e64d05d6141f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6761</xdr:row>
      <xdr:rowOff>19050</xdr:rowOff>
    </xdr:from>
    <xdr:ext cx="1143000" cy="1143000"/>
    <xdr:pic>
      <xdr:nvPicPr>
        <xdr:cNvPr id="6759" name="636bef54-229b-4f31-b834-c25b4f25e34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ac31a845d49488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6762</xdr:row>
      <xdr:rowOff>19050</xdr:rowOff>
    </xdr:from>
    <xdr:ext cx="1143000" cy="1143000"/>
    <xdr:pic>
      <xdr:nvPicPr>
        <xdr:cNvPr id="6760" name="a6f5b7a5-9659-4fa1-8275-60f9d0b5229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7bc7030adb2481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6763</xdr:row>
      <xdr:rowOff>19050</xdr:rowOff>
    </xdr:from>
    <xdr:ext cx="1143000" cy="1143000"/>
    <xdr:pic>
      <xdr:nvPicPr>
        <xdr:cNvPr id="6761" name="774b52fc-9d8b-48e1-8d01-1bb8dc2db4b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a03165efe7040b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6764</xdr:row>
      <xdr:rowOff>19050</xdr:rowOff>
    </xdr:from>
    <xdr:ext cx="1143000" cy="1143000"/>
    <xdr:pic>
      <xdr:nvPicPr>
        <xdr:cNvPr id="6762" name="823afa9a-9cd8-4049-b364-be3f6eb3edc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3df21fab17a4b1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6765</xdr:row>
      <xdr:rowOff>19050</xdr:rowOff>
    </xdr:from>
    <xdr:ext cx="1143000" cy="1143000"/>
    <xdr:pic>
      <xdr:nvPicPr>
        <xdr:cNvPr id="6763" name="2dd4c6c8-c201-49f8-8dfa-c40d3bc2afb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3717c72523a42d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6766</xdr:row>
      <xdr:rowOff>19050</xdr:rowOff>
    </xdr:from>
    <xdr:ext cx="1143000" cy="1143000"/>
    <xdr:pic>
      <xdr:nvPicPr>
        <xdr:cNvPr id="6764" name="48ac131d-f34e-4cfc-8115-7360a02c66b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57473b2c0114c1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6767</xdr:row>
      <xdr:rowOff>19050</xdr:rowOff>
    </xdr:from>
    <xdr:ext cx="1143000" cy="1143000"/>
    <xdr:pic>
      <xdr:nvPicPr>
        <xdr:cNvPr id="6765" name="b263a18c-6472-42a4-aad2-b7f2f7184e5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f962164f25a416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6768</xdr:row>
      <xdr:rowOff>19050</xdr:rowOff>
    </xdr:from>
    <xdr:ext cx="1143000" cy="1143000"/>
    <xdr:pic>
      <xdr:nvPicPr>
        <xdr:cNvPr id="6766" name="7d0586eb-ce12-4c4f-9c1b-a20c178a950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4ce22f253194ef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6769</xdr:row>
      <xdr:rowOff>19050</xdr:rowOff>
    </xdr:from>
    <xdr:ext cx="1143000" cy="1143000"/>
    <xdr:pic>
      <xdr:nvPicPr>
        <xdr:cNvPr id="6767" name="da088a40-dd33-4e8e-bb71-f9c0ba3f7d9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15b408facbc403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6770</xdr:row>
      <xdr:rowOff>19050</xdr:rowOff>
    </xdr:from>
    <xdr:ext cx="1143000" cy="1143000"/>
    <xdr:pic>
      <xdr:nvPicPr>
        <xdr:cNvPr id="6768" name="3840e664-df40-4c79-a301-b79e19d4515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c5e82f6e7fc4d9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6771</xdr:row>
      <xdr:rowOff>19050</xdr:rowOff>
    </xdr:from>
    <xdr:ext cx="1143000" cy="1143000"/>
    <xdr:pic>
      <xdr:nvPicPr>
        <xdr:cNvPr id="6769" name="15d0970b-a9b7-4a49-9102-94f7d28b567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a0dd7eea94e475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6772</xdr:row>
      <xdr:rowOff>19050</xdr:rowOff>
    </xdr:from>
    <xdr:ext cx="1143000" cy="1143000"/>
    <xdr:pic>
      <xdr:nvPicPr>
        <xdr:cNvPr id="6770" name="33c0faee-35ef-4353-bf73-450bea71f06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18828f52bf0417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6773</xdr:row>
      <xdr:rowOff>19050</xdr:rowOff>
    </xdr:from>
    <xdr:ext cx="1143000" cy="1143000"/>
    <xdr:pic>
      <xdr:nvPicPr>
        <xdr:cNvPr id="6771" name="b89479f0-c27c-4009-a28f-302896772eb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0ff31667e92403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6774</xdr:row>
      <xdr:rowOff>19050</xdr:rowOff>
    </xdr:from>
    <xdr:ext cx="1143000" cy="1143000"/>
    <xdr:pic>
      <xdr:nvPicPr>
        <xdr:cNvPr id="6772" name="dc340625-96a9-4da0-ac09-2bce0a199e6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1aed664a949463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6775</xdr:row>
      <xdr:rowOff>19050</xdr:rowOff>
    </xdr:from>
    <xdr:ext cx="1143000" cy="1143000"/>
    <xdr:pic>
      <xdr:nvPicPr>
        <xdr:cNvPr id="6773" name="2dc69c82-38e9-4373-968d-111406c0f2e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a07e18c1d014d6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6776</xdr:row>
      <xdr:rowOff>19050</xdr:rowOff>
    </xdr:from>
    <xdr:ext cx="1143000" cy="1143000"/>
    <xdr:pic>
      <xdr:nvPicPr>
        <xdr:cNvPr id="6774" name="ec9969fb-5eb7-4bfd-8f2c-822445e2a9d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e884708a98246b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6777</xdr:row>
      <xdr:rowOff>19050</xdr:rowOff>
    </xdr:from>
    <xdr:ext cx="1143000" cy="1143000"/>
    <xdr:pic>
      <xdr:nvPicPr>
        <xdr:cNvPr id="6775" name="e92673eb-0b98-4c78-a1a4-80054e23b99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b7389e6ddd24b9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6778</xdr:row>
      <xdr:rowOff>19050</xdr:rowOff>
    </xdr:from>
    <xdr:ext cx="1143000" cy="1143000"/>
    <xdr:pic>
      <xdr:nvPicPr>
        <xdr:cNvPr id="6776" name="f8f7b36a-c55b-459e-bbdc-b2fc8df82b1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a34a24254a5473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6779</xdr:row>
      <xdr:rowOff>19050</xdr:rowOff>
    </xdr:from>
    <xdr:ext cx="1143000" cy="1143000"/>
    <xdr:pic>
      <xdr:nvPicPr>
        <xdr:cNvPr id="6777" name="9f903447-02a2-4e49-bd0c-746226e5c6a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fe696cff1564c8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6780</xdr:row>
      <xdr:rowOff>19050</xdr:rowOff>
    </xdr:from>
    <xdr:ext cx="1143000" cy="1143000"/>
    <xdr:pic>
      <xdr:nvPicPr>
        <xdr:cNvPr id="6778" name="9521dcf0-c708-4ade-bf72-fd466e05b76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69214ce6ac54b9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6781</xdr:row>
      <xdr:rowOff>19050</xdr:rowOff>
    </xdr:from>
    <xdr:ext cx="1143000" cy="1143000"/>
    <xdr:pic>
      <xdr:nvPicPr>
        <xdr:cNvPr id="6779" name="8e8a4024-6121-4218-8a62-80038b6eec4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e680ef6c5bc456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6782</xdr:row>
      <xdr:rowOff>19050</xdr:rowOff>
    </xdr:from>
    <xdr:ext cx="1143000" cy="1143000"/>
    <xdr:pic>
      <xdr:nvPicPr>
        <xdr:cNvPr id="6780" name="b3ff5fea-8b51-47ac-a2a2-4f1e32159c5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2bf1519915c40f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6783</xdr:row>
      <xdr:rowOff>19050</xdr:rowOff>
    </xdr:from>
    <xdr:ext cx="1143000" cy="1143000"/>
    <xdr:pic>
      <xdr:nvPicPr>
        <xdr:cNvPr id="6781" name="a72a6f5d-1e43-49d2-9fcb-79ff651c143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5fc2e5be48c463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6784</xdr:row>
      <xdr:rowOff>19050</xdr:rowOff>
    </xdr:from>
    <xdr:ext cx="1143000" cy="1143000"/>
    <xdr:pic>
      <xdr:nvPicPr>
        <xdr:cNvPr id="6782" name="247a0ed4-c979-465c-b527-e18ce78a114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6caeb74cab540b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6785</xdr:row>
      <xdr:rowOff>19050</xdr:rowOff>
    </xdr:from>
    <xdr:ext cx="1143000" cy="1143000"/>
    <xdr:pic>
      <xdr:nvPicPr>
        <xdr:cNvPr id="6783" name="c2eaf341-a3f5-4d0d-be6f-17495407306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85e46a3e31040d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6786</xdr:row>
      <xdr:rowOff>19050</xdr:rowOff>
    </xdr:from>
    <xdr:ext cx="1143000" cy="1143000"/>
    <xdr:pic>
      <xdr:nvPicPr>
        <xdr:cNvPr id="6784" name="bc169b6f-0820-4164-8e32-eb1b4710755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ed342d20c1f4b1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6787</xdr:row>
      <xdr:rowOff>19050</xdr:rowOff>
    </xdr:from>
    <xdr:ext cx="1143000" cy="1143000"/>
    <xdr:pic>
      <xdr:nvPicPr>
        <xdr:cNvPr id="6785" name="6794d45e-bb72-4563-8f77-65906105e48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f920e246613484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6788</xdr:row>
      <xdr:rowOff>19050</xdr:rowOff>
    </xdr:from>
    <xdr:ext cx="1143000" cy="1143000"/>
    <xdr:pic>
      <xdr:nvPicPr>
        <xdr:cNvPr id="6786" name="660f52f2-e369-446c-9c5a-d9c293fa40d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a08b43130ad49c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6789</xdr:row>
      <xdr:rowOff>19050</xdr:rowOff>
    </xdr:from>
    <xdr:ext cx="1143000" cy="1143000"/>
    <xdr:pic>
      <xdr:nvPicPr>
        <xdr:cNvPr id="6787" name="1a1dfbb9-60be-4cf6-b890-7baaf7c7308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19b4998b2ee4d9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6790</xdr:row>
      <xdr:rowOff>19050</xdr:rowOff>
    </xdr:from>
    <xdr:ext cx="1143000" cy="1143000"/>
    <xdr:pic>
      <xdr:nvPicPr>
        <xdr:cNvPr id="6788" name="b9278e69-f4e0-41a3-844f-2906de9419d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f144c83feb44af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6791</xdr:row>
      <xdr:rowOff>19050</xdr:rowOff>
    </xdr:from>
    <xdr:ext cx="1143000" cy="1143000"/>
    <xdr:pic>
      <xdr:nvPicPr>
        <xdr:cNvPr id="6789" name="a370bb14-b78a-4e90-8370-938706d75a6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af2aa09132a48f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6792</xdr:row>
      <xdr:rowOff>19050</xdr:rowOff>
    </xdr:from>
    <xdr:ext cx="1143000" cy="1143000"/>
    <xdr:pic>
      <xdr:nvPicPr>
        <xdr:cNvPr id="6790" name="98959907-c69f-40a8-8eed-6eef27a48b9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0e9a6a329c74aa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6793</xdr:row>
      <xdr:rowOff>19050</xdr:rowOff>
    </xdr:from>
    <xdr:ext cx="1143000" cy="1143000"/>
    <xdr:pic>
      <xdr:nvPicPr>
        <xdr:cNvPr id="6791" name="77c7b615-c3d0-4480-b4dd-72fbf37d85b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8b6f5c62b42415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6794</xdr:row>
      <xdr:rowOff>19050</xdr:rowOff>
    </xdr:from>
    <xdr:ext cx="1143000" cy="1143000"/>
    <xdr:pic>
      <xdr:nvPicPr>
        <xdr:cNvPr id="6792" name="176cce96-8158-48fe-98fa-ac9d2e63932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c31553aef8b414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6795</xdr:row>
      <xdr:rowOff>19050</xdr:rowOff>
    </xdr:from>
    <xdr:ext cx="1143000" cy="1143000"/>
    <xdr:pic>
      <xdr:nvPicPr>
        <xdr:cNvPr id="6793" name="83ff08a0-75ba-4460-9173-e9a9e6c17f1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e1902af42e7465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6796</xdr:row>
      <xdr:rowOff>19050</xdr:rowOff>
    </xdr:from>
    <xdr:ext cx="1143000" cy="1143000"/>
    <xdr:pic>
      <xdr:nvPicPr>
        <xdr:cNvPr id="6794" name="5811be34-2b84-44a3-b62a-452ff09b787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a381d5245fa41e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6797</xdr:row>
      <xdr:rowOff>19050</xdr:rowOff>
    </xdr:from>
    <xdr:ext cx="1143000" cy="1143000"/>
    <xdr:pic>
      <xdr:nvPicPr>
        <xdr:cNvPr id="6795" name="2df341cd-1322-4dea-9059-d4368ec3709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ddb626b6436487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6798</xdr:row>
      <xdr:rowOff>19050</xdr:rowOff>
    </xdr:from>
    <xdr:ext cx="1143000" cy="1143000"/>
    <xdr:pic>
      <xdr:nvPicPr>
        <xdr:cNvPr id="6796" name="945e32f1-d577-4de1-9dd1-7e2b50d5c55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ce96c71c4d84ee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6799</xdr:row>
      <xdr:rowOff>19050</xdr:rowOff>
    </xdr:from>
    <xdr:ext cx="1143000" cy="1143000"/>
    <xdr:pic>
      <xdr:nvPicPr>
        <xdr:cNvPr id="6797" name="c182bfc3-76fa-4c4e-b103-61b88b83ced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04034287797447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6800</xdr:row>
      <xdr:rowOff>19050</xdr:rowOff>
    </xdr:from>
    <xdr:ext cx="1143000" cy="1143000"/>
    <xdr:pic>
      <xdr:nvPicPr>
        <xdr:cNvPr id="6798" name="fc97439d-660f-4bd9-8fec-6afdf5d654d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1ae9b2995bc49b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6801</xdr:row>
      <xdr:rowOff>19050</xdr:rowOff>
    </xdr:from>
    <xdr:ext cx="1143000" cy="1143000"/>
    <xdr:pic>
      <xdr:nvPicPr>
        <xdr:cNvPr id="6799" name="e7c0717f-1e96-4150-a3b2-ef97d2852f1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9c89da868e046c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6802</xdr:row>
      <xdr:rowOff>19050</xdr:rowOff>
    </xdr:from>
    <xdr:ext cx="1143000" cy="1143000"/>
    <xdr:pic>
      <xdr:nvPicPr>
        <xdr:cNvPr id="6800" name="6fbe9d12-ade8-4939-b743-69607096e5a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c4ff8da24ca443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6803</xdr:row>
      <xdr:rowOff>19050</xdr:rowOff>
    </xdr:from>
    <xdr:ext cx="1143000" cy="1143000"/>
    <xdr:pic>
      <xdr:nvPicPr>
        <xdr:cNvPr id="6801" name="2de9c02e-757c-4bdd-8525-68ca80a0d29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24eec32ee5c409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6804</xdr:row>
      <xdr:rowOff>19050</xdr:rowOff>
    </xdr:from>
    <xdr:ext cx="1143000" cy="1143000"/>
    <xdr:pic>
      <xdr:nvPicPr>
        <xdr:cNvPr id="6802" name="96778bf8-1cd0-4167-8fa9-4556b4ae211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4575d41cc4f409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6805</xdr:row>
      <xdr:rowOff>19050</xdr:rowOff>
    </xdr:from>
    <xdr:ext cx="1143000" cy="1143000"/>
    <xdr:pic>
      <xdr:nvPicPr>
        <xdr:cNvPr id="6803" name="3d318e79-7942-4330-9aa8-f7ee6e48715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73fcc112ac64c5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6806</xdr:row>
      <xdr:rowOff>19050</xdr:rowOff>
    </xdr:from>
    <xdr:ext cx="1143000" cy="1143000"/>
    <xdr:pic>
      <xdr:nvPicPr>
        <xdr:cNvPr id="6804" name="3c6348b2-4eee-44da-9230-becc3d7d43b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eef31d917e7420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6807</xdr:row>
      <xdr:rowOff>19050</xdr:rowOff>
    </xdr:from>
    <xdr:ext cx="1143000" cy="1143000"/>
    <xdr:pic>
      <xdr:nvPicPr>
        <xdr:cNvPr id="6805" name="e5b1e4fe-bdee-4079-bea9-63e332e457e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584d783a68948c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6808</xdr:row>
      <xdr:rowOff>19050</xdr:rowOff>
    </xdr:from>
    <xdr:ext cx="1143000" cy="1143000"/>
    <xdr:pic>
      <xdr:nvPicPr>
        <xdr:cNvPr id="6806" name="e5a5675f-83e0-4a09-bfd1-c0004240b4c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ce3701e10204ce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6809</xdr:row>
      <xdr:rowOff>19050</xdr:rowOff>
    </xdr:from>
    <xdr:ext cx="1143000" cy="1143000"/>
    <xdr:pic>
      <xdr:nvPicPr>
        <xdr:cNvPr id="6807" name="6570049c-bc04-4d44-83ff-ceffc8c3c88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baddb915010475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6810</xdr:row>
      <xdr:rowOff>19050</xdr:rowOff>
    </xdr:from>
    <xdr:ext cx="1143000" cy="1143000"/>
    <xdr:pic>
      <xdr:nvPicPr>
        <xdr:cNvPr id="6808" name="63d17479-a280-45fa-8c7b-45dd9ced07f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05791b58585448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6811</xdr:row>
      <xdr:rowOff>19050</xdr:rowOff>
    </xdr:from>
    <xdr:ext cx="1143000" cy="1143000"/>
    <xdr:pic>
      <xdr:nvPicPr>
        <xdr:cNvPr id="6809" name="0e6baa9f-9d9e-42ca-9603-8f28f7c970f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63fec4a951f42e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6812</xdr:row>
      <xdr:rowOff>19050</xdr:rowOff>
    </xdr:from>
    <xdr:ext cx="1143000" cy="1143000"/>
    <xdr:pic>
      <xdr:nvPicPr>
        <xdr:cNvPr id="6810" name="ca744c46-f56d-4a1b-b1d2-e8a3468ccaa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d57a6df504f42f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6813</xdr:row>
      <xdr:rowOff>19050</xdr:rowOff>
    </xdr:from>
    <xdr:ext cx="1143000" cy="1143000"/>
    <xdr:pic>
      <xdr:nvPicPr>
        <xdr:cNvPr id="6811" name="1b1ebaef-664d-4b21-826b-57bc865b4fc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6f135dcee1c41a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6814</xdr:row>
      <xdr:rowOff>19050</xdr:rowOff>
    </xdr:from>
    <xdr:ext cx="1143000" cy="1143000"/>
    <xdr:pic>
      <xdr:nvPicPr>
        <xdr:cNvPr id="6812" name="fa200a70-db31-4c73-8960-f4554a6f70b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e6dfd25f60842a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6815</xdr:row>
      <xdr:rowOff>19050</xdr:rowOff>
    </xdr:from>
    <xdr:ext cx="1143000" cy="1143000"/>
    <xdr:pic>
      <xdr:nvPicPr>
        <xdr:cNvPr id="6813" name="78a9f9c2-54ca-4dd6-b660-f0a4fe2c618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c3ca96ab6c64c0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6816</xdr:row>
      <xdr:rowOff>19050</xdr:rowOff>
    </xdr:from>
    <xdr:ext cx="1143000" cy="1143000"/>
    <xdr:pic>
      <xdr:nvPicPr>
        <xdr:cNvPr id="6814" name="a05bdfa0-9635-4479-8b8f-0d0ccf259d6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802a3096d3d494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6817</xdr:row>
      <xdr:rowOff>19050</xdr:rowOff>
    </xdr:from>
    <xdr:ext cx="1143000" cy="1143000"/>
    <xdr:pic>
      <xdr:nvPicPr>
        <xdr:cNvPr id="6815" name="a9363fa5-ff9b-4584-ab6c-76cf320e3e4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2879c97372d4f0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6818</xdr:row>
      <xdr:rowOff>19050</xdr:rowOff>
    </xdr:from>
    <xdr:ext cx="1143000" cy="1143000"/>
    <xdr:pic>
      <xdr:nvPicPr>
        <xdr:cNvPr id="6816" name="b9644366-3654-499f-af94-99f076c96f7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9d8e624a58843e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6819</xdr:row>
      <xdr:rowOff>19050</xdr:rowOff>
    </xdr:from>
    <xdr:ext cx="1143000" cy="1143000"/>
    <xdr:pic>
      <xdr:nvPicPr>
        <xdr:cNvPr id="6817" name="df5b4dc7-7a7c-4fe2-bf72-33231ba05fc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7bc833ea05645b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6820</xdr:row>
      <xdr:rowOff>19050</xdr:rowOff>
    </xdr:from>
    <xdr:ext cx="1143000" cy="1143000"/>
    <xdr:pic>
      <xdr:nvPicPr>
        <xdr:cNvPr id="6818" name="3a15da09-6bdc-4988-823c-eb09c8accdd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c3abbfdbdc14f5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6821</xdr:row>
      <xdr:rowOff>19050</xdr:rowOff>
    </xdr:from>
    <xdr:ext cx="1143000" cy="1143000"/>
    <xdr:pic>
      <xdr:nvPicPr>
        <xdr:cNvPr id="6819" name="42be709b-46e5-41dc-a740-0f6f715edbf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2dae24478f34c5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6822</xdr:row>
      <xdr:rowOff>19050</xdr:rowOff>
    </xdr:from>
    <xdr:ext cx="1143000" cy="1143000"/>
    <xdr:pic>
      <xdr:nvPicPr>
        <xdr:cNvPr id="6820" name="88c52985-7f85-413d-9109-61aa3c07d3e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944241faef7440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6823</xdr:row>
      <xdr:rowOff>19050</xdr:rowOff>
    </xdr:from>
    <xdr:ext cx="1143000" cy="1143000"/>
    <xdr:pic>
      <xdr:nvPicPr>
        <xdr:cNvPr id="6821" name="ff520219-1cde-4477-a0da-ec76a2cd158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04626b0f0b6436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6824</xdr:row>
      <xdr:rowOff>19050</xdr:rowOff>
    </xdr:from>
    <xdr:ext cx="1143000" cy="1143000"/>
    <xdr:pic>
      <xdr:nvPicPr>
        <xdr:cNvPr id="6822" name="ae5bd409-a94b-4192-8eff-81bfcf3673a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ca7155496e740e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6825</xdr:row>
      <xdr:rowOff>19050</xdr:rowOff>
    </xdr:from>
    <xdr:ext cx="1143000" cy="1143000"/>
    <xdr:pic>
      <xdr:nvPicPr>
        <xdr:cNvPr id="6823" name="562bc3dd-880e-49e2-96c4-d640926db8b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c933a389d79424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6826</xdr:row>
      <xdr:rowOff>19050</xdr:rowOff>
    </xdr:from>
    <xdr:ext cx="1143000" cy="1143000"/>
    <xdr:pic>
      <xdr:nvPicPr>
        <xdr:cNvPr id="6824" name="8f67f147-2595-4bed-8e3e-6da3a0e3c87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ef63165d063485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6827</xdr:row>
      <xdr:rowOff>19050</xdr:rowOff>
    </xdr:from>
    <xdr:ext cx="1143000" cy="1143000"/>
    <xdr:pic>
      <xdr:nvPicPr>
        <xdr:cNvPr id="6825" name="bd1e66aa-c4f3-423a-b38c-20fe623d9a5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ea661d187ea48d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6828</xdr:row>
      <xdr:rowOff>19050</xdr:rowOff>
    </xdr:from>
    <xdr:ext cx="1143000" cy="1143000"/>
    <xdr:pic>
      <xdr:nvPicPr>
        <xdr:cNvPr id="6826" name="ea335909-5e20-42a7-a2b9-d0e775e7bcd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0ed4c86b600411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6829</xdr:row>
      <xdr:rowOff>19050</xdr:rowOff>
    </xdr:from>
    <xdr:ext cx="1143000" cy="1143000"/>
    <xdr:pic>
      <xdr:nvPicPr>
        <xdr:cNvPr id="6827" name="76d470dc-37ec-4976-ad03-8e538f1c49f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47cdc4bb5cb493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6830</xdr:row>
      <xdr:rowOff>19050</xdr:rowOff>
    </xdr:from>
    <xdr:ext cx="1143000" cy="1143000"/>
    <xdr:pic>
      <xdr:nvPicPr>
        <xdr:cNvPr id="6828" name="0efa1703-8d7a-4ee0-8041-664c4820c92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897f9b489ca42d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6831</xdr:row>
      <xdr:rowOff>19050</xdr:rowOff>
    </xdr:from>
    <xdr:ext cx="1143000" cy="1143000"/>
    <xdr:pic>
      <xdr:nvPicPr>
        <xdr:cNvPr id="6829" name="08473310-4fe0-4158-ac56-922f53dbcd2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771e966547840a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6832</xdr:row>
      <xdr:rowOff>19050</xdr:rowOff>
    </xdr:from>
    <xdr:ext cx="1143000" cy="1143000"/>
    <xdr:pic>
      <xdr:nvPicPr>
        <xdr:cNvPr id="6830" name="0d2c5c22-624e-42ef-855d-5e8b5ac6a88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4a264e8fead465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6833</xdr:row>
      <xdr:rowOff>19050</xdr:rowOff>
    </xdr:from>
    <xdr:ext cx="1143000" cy="1143000"/>
    <xdr:pic>
      <xdr:nvPicPr>
        <xdr:cNvPr id="6831" name="69c12e33-9a3d-487b-8e97-593151d4cae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f12e594ea6848b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6834</xdr:row>
      <xdr:rowOff>19050</xdr:rowOff>
    </xdr:from>
    <xdr:ext cx="1143000" cy="1143000"/>
    <xdr:pic>
      <xdr:nvPicPr>
        <xdr:cNvPr id="6832" name="b74f218d-a93a-45ed-bf25-7ff38271110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3b5bf62f11c45e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6835</xdr:row>
      <xdr:rowOff>19050</xdr:rowOff>
    </xdr:from>
    <xdr:ext cx="1143000" cy="1143000"/>
    <xdr:pic>
      <xdr:nvPicPr>
        <xdr:cNvPr id="6833" name="888e68c6-0338-4df1-bd34-eeb1c13ce46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a019736836841c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6836</xdr:row>
      <xdr:rowOff>19050</xdr:rowOff>
    </xdr:from>
    <xdr:ext cx="1143000" cy="1143000"/>
    <xdr:pic>
      <xdr:nvPicPr>
        <xdr:cNvPr id="6834" name="9f5986a3-2427-4f35-8bf7-4acb328d794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ad7d83e4f5d4c5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6837</xdr:row>
      <xdr:rowOff>19050</xdr:rowOff>
    </xdr:from>
    <xdr:ext cx="1143000" cy="1143000"/>
    <xdr:pic>
      <xdr:nvPicPr>
        <xdr:cNvPr id="6835" name="00698e39-b6cc-4647-95d6-2c5621f073e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ef6cedaed4944e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6838</xdr:row>
      <xdr:rowOff>19050</xdr:rowOff>
    </xdr:from>
    <xdr:ext cx="1143000" cy="1143000"/>
    <xdr:pic>
      <xdr:nvPicPr>
        <xdr:cNvPr id="6836" name="b8c6a86a-7af0-41a3-b651-f5daa47327b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33b7a6fc70e47a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6839</xdr:row>
      <xdr:rowOff>19050</xdr:rowOff>
    </xdr:from>
    <xdr:ext cx="1143000" cy="1143000"/>
    <xdr:pic>
      <xdr:nvPicPr>
        <xdr:cNvPr id="6837" name="8455d755-3322-4916-8c3f-9dd0ae55c7c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d30253d78c04a8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6840</xdr:row>
      <xdr:rowOff>19050</xdr:rowOff>
    </xdr:from>
    <xdr:ext cx="1143000" cy="1143000"/>
    <xdr:pic>
      <xdr:nvPicPr>
        <xdr:cNvPr id="6838" name="1ceb7132-8c14-409b-9534-4e9d13f2e94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b1f1e3c7da74a0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6841</xdr:row>
      <xdr:rowOff>19050</xdr:rowOff>
    </xdr:from>
    <xdr:ext cx="1143000" cy="1143000"/>
    <xdr:pic>
      <xdr:nvPicPr>
        <xdr:cNvPr id="6839" name="78b287d0-a8d9-4370-983d-46a0e12c04a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61965a7c5b0434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6842</xdr:row>
      <xdr:rowOff>19050</xdr:rowOff>
    </xdr:from>
    <xdr:ext cx="1143000" cy="1143000"/>
    <xdr:pic>
      <xdr:nvPicPr>
        <xdr:cNvPr id="6840" name="e4b55adc-0998-4136-9194-ce12f18d051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9d7488f61b0417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6843</xdr:row>
      <xdr:rowOff>19050</xdr:rowOff>
    </xdr:from>
    <xdr:ext cx="1143000" cy="1143000"/>
    <xdr:pic>
      <xdr:nvPicPr>
        <xdr:cNvPr id="6841" name="dbd0a878-144d-42d8-880e-fbfd56b8033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4bc983389134a6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6844</xdr:row>
      <xdr:rowOff>19050</xdr:rowOff>
    </xdr:from>
    <xdr:ext cx="1143000" cy="1143000"/>
    <xdr:pic>
      <xdr:nvPicPr>
        <xdr:cNvPr id="6842" name="3f8a1ed5-b11c-45b9-b67c-7ff50fcb5a9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aa972b670f1467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6845</xdr:row>
      <xdr:rowOff>19050</xdr:rowOff>
    </xdr:from>
    <xdr:ext cx="1143000" cy="1143000"/>
    <xdr:pic>
      <xdr:nvPicPr>
        <xdr:cNvPr id="6843" name="0a1bd476-e64d-4eaa-88bd-2b250e38c67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2fc4fefe317447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6846</xdr:row>
      <xdr:rowOff>19050</xdr:rowOff>
    </xdr:from>
    <xdr:ext cx="1143000" cy="1143000"/>
    <xdr:pic>
      <xdr:nvPicPr>
        <xdr:cNvPr id="6844" name="118d9af1-2e02-4c2e-9083-405263ca607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d3bc43cfb464a6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6847</xdr:row>
      <xdr:rowOff>19050</xdr:rowOff>
    </xdr:from>
    <xdr:ext cx="1143000" cy="1143000"/>
    <xdr:pic>
      <xdr:nvPicPr>
        <xdr:cNvPr id="6845" name="9d2603a0-2d93-4e46-9dad-0c61d65a0c2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673eb4f2d6b42a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6848</xdr:row>
      <xdr:rowOff>19050</xdr:rowOff>
    </xdr:from>
    <xdr:ext cx="1143000" cy="1143000"/>
    <xdr:pic>
      <xdr:nvPicPr>
        <xdr:cNvPr id="6846" name="ee571369-7d60-401d-bbc8-3ae54109de2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541aaf1c395472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6849</xdr:row>
      <xdr:rowOff>19050</xdr:rowOff>
    </xdr:from>
    <xdr:ext cx="1143000" cy="1143000"/>
    <xdr:pic>
      <xdr:nvPicPr>
        <xdr:cNvPr id="6847" name="cda3e4bd-e356-4403-9df7-4be823b498b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a72c1ee5a57470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6850</xdr:row>
      <xdr:rowOff>19050</xdr:rowOff>
    </xdr:from>
    <xdr:ext cx="1143000" cy="1143000"/>
    <xdr:pic>
      <xdr:nvPicPr>
        <xdr:cNvPr id="6848" name="80e900ae-9f2b-4d3f-8695-bedc1181896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1c33820cce2431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6851</xdr:row>
      <xdr:rowOff>19050</xdr:rowOff>
    </xdr:from>
    <xdr:ext cx="1143000" cy="1143000"/>
    <xdr:pic>
      <xdr:nvPicPr>
        <xdr:cNvPr id="6849" name="97faf2f2-79c6-4558-9be8-eddf306a7f5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816f456204a4c5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6852</xdr:row>
      <xdr:rowOff>19050</xdr:rowOff>
    </xdr:from>
    <xdr:ext cx="1143000" cy="1143000"/>
    <xdr:pic>
      <xdr:nvPicPr>
        <xdr:cNvPr id="6850" name="654507e7-5702-4b6e-85c8-51dad982dc3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0874dfb4da3445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6853</xdr:row>
      <xdr:rowOff>19050</xdr:rowOff>
    </xdr:from>
    <xdr:ext cx="1143000" cy="1143000"/>
    <xdr:pic>
      <xdr:nvPicPr>
        <xdr:cNvPr id="6851" name="172ef1b6-c2bd-4048-bdfe-0387bd0bb22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8af3a483a7d409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6854</xdr:row>
      <xdr:rowOff>19050</xdr:rowOff>
    </xdr:from>
    <xdr:ext cx="1143000" cy="1143000"/>
    <xdr:pic>
      <xdr:nvPicPr>
        <xdr:cNvPr id="6852" name="f69b901e-2416-4f8f-9484-99d2ec4b262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b0ad5f5222b41e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6855</xdr:row>
      <xdr:rowOff>19050</xdr:rowOff>
    </xdr:from>
    <xdr:ext cx="1143000" cy="1143000"/>
    <xdr:pic>
      <xdr:nvPicPr>
        <xdr:cNvPr id="6853" name="d66df8b1-4094-41c8-8c5c-ef4166c033b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f2e1cce2b2f4e1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6856</xdr:row>
      <xdr:rowOff>19050</xdr:rowOff>
    </xdr:from>
    <xdr:ext cx="1143000" cy="1143000"/>
    <xdr:pic>
      <xdr:nvPicPr>
        <xdr:cNvPr id="6854" name="ccecd4c2-cdc2-488f-babd-295dcf9b058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e29fe41d3c940b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6857</xdr:row>
      <xdr:rowOff>19050</xdr:rowOff>
    </xdr:from>
    <xdr:ext cx="1143000" cy="1143000"/>
    <xdr:pic>
      <xdr:nvPicPr>
        <xdr:cNvPr id="6855" name="9fdd983f-534f-43aa-8af5-f9e7fc47ecf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5050f759cc6402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6858</xdr:row>
      <xdr:rowOff>19050</xdr:rowOff>
    </xdr:from>
    <xdr:ext cx="1143000" cy="1143000"/>
    <xdr:pic>
      <xdr:nvPicPr>
        <xdr:cNvPr id="6856" name="2aa8598b-5bc8-450f-a216-2fe113f7772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37c4fe256a248c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6859</xdr:row>
      <xdr:rowOff>19050</xdr:rowOff>
    </xdr:from>
    <xdr:ext cx="1143000" cy="1143000"/>
    <xdr:pic>
      <xdr:nvPicPr>
        <xdr:cNvPr id="6857" name="e54ed559-9908-46d9-832d-57f73413190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a89a6fb791c468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6860</xdr:row>
      <xdr:rowOff>19050</xdr:rowOff>
    </xdr:from>
    <xdr:ext cx="1143000" cy="1143000"/>
    <xdr:pic>
      <xdr:nvPicPr>
        <xdr:cNvPr id="6858" name="23529efa-f6d8-416a-8884-3b77988456d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f084b7db704485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6861</xdr:row>
      <xdr:rowOff>19050</xdr:rowOff>
    </xdr:from>
    <xdr:ext cx="1143000" cy="1143000"/>
    <xdr:pic>
      <xdr:nvPicPr>
        <xdr:cNvPr id="6859" name="d278426a-8cf1-446e-a1d2-a1b234e4c91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28edfa023824eb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6862</xdr:row>
      <xdr:rowOff>19050</xdr:rowOff>
    </xdr:from>
    <xdr:ext cx="1143000" cy="1143000"/>
    <xdr:pic>
      <xdr:nvPicPr>
        <xdr:cNvPr id="6860" name="b055dad3-1dd8-499f-988d-e5745926679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46cb0b50aef493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6863</xdr:row>
      <xdr:rowOff>19050</xdr:rowOff>
    </xdr:from>
    <xdr:ext cx="1143000" cy="1143000"/>
    <xdr:pic>
      <xdr:nvPicPr>
        <xdr:cNvPr id="6861" name="fd262dae-bec1-4e19-9f10-394decf789d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6552c12044949b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6864</xdr:row>
      <xdr:rowOff>19050</xdr:rowOff>
    </xdr:from>
    <xdr:ext cx="1143000" cy="1143000"/>
    <xdr:pic>
      <xdr:nvPicPr>
        <xdr:cNvPr id="6862" name="f56b6ba5-045d-4909-bb21-80cec3327c9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1db4ab75e63423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6865</xdr:row>
      <xdr:rowOff>19050</xdr:rowOff>
    </xdr:from>
    <xdr:ext cx="1143000" cy="1143000"/>
    <xdr:pic>
      <xdr:nvPicPr>
        <xdr:cNvPr id="6863" name="a009d369-3220-4ca8-a23f-9fd781c2ff4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edb841e7bcd4fd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6866</xdr:row>
      <xdr:rowOff>19050</xdr:rowOff>
    </xdr:from>
    <xdr:ext cx="1143000" cy="1143000"/>
    <xdr:pic>
      <xdr:nvPicPr>
        <xdr:cNvPr id="6864" name="98537e10-652f-4a2f-abc0-bf4bb44fd8d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9db25dd51234b1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6867</xdr:row>
      <xdr:rowOff>19050</xdr:rowOff>
    </xdr:from>
    <xdr:ext cx="1143000" cy="1143000"/>
    <xdr:pic>
      <xdr:nvPicPr>
        <xdr:cNvPr id="6865" name="fecf1652-3bee-45dd-9ee0-c16b7020fa5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863a8d7957346c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6868</xdr:row>
      <xdr:rowOff>19050</xdr:rowOff>
    </xdr:from>
    <xdr:ext cx="1143000" cy="1143000"/>
    <xdr:pic>
      <xdr:nvPicPr>
        <xdr:cNvPr id="6866" name="5e8a30a0-0022-480b-99c9-0c80e7da3ca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385f9d9a96e4f3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6869</xdr:row>
      <xdr:rowOff>19050</xdr:rowOff>
    </xdr:from>
    <xdr:ext cx="1143000" cy="1143000"/>
    <xdr:pic>
      <xdr:nvPicPr>
        <xdr:cNvPr id="6867" name="a6a8f324-4be7-45de-9d12-a4556f4ae2b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b5107baad3d481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6870</xdr:row>
      <xdr:rowOff>19050</xdr:rowOff>
    </xdr:from>
    <xdr:ext cx="1143000" cy="1143000"/>
    <xdr:pic>
      <xdr:nvPicPr>
        <xdr:cNvPr id="6868" name="24d857d9-b361-4997-afa0-44c446d1c0a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08779e201334f0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6871</xdr:row>
      <xdr:rowOff>19050</xdr:rowOff>
    </xdr:from>
    <xdr:ext cx="1143000" cy="1143000"/>
    <xdr:pic>
      <xdr:nvPicPr>
        <xdr:cNvPr id="6869" name="c4283f76-40b0-4aed-92e1-d8f068765d5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35a39f16f754b0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6872</xdr:row>
      <xdr:rowOff>19050</xdr:rowOff>
    </xdr:from>
    <xdr:ext cx="1143000" cy="1143000"/>
    <xdr:pic>
      <xdr:nvPicPr>
        <xdr:cNvPr id="6870" name="a377a6fb-f389-424a-965d-4419fd2b13f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3feb0cdc8c6472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6873</xdr:row>
      <xdr:rowOff>19050</xdr:rowOff>
    </xdr:from>
    <xdr:ext cx="1143000" cy="1143000"/>
    <xdr:pic>
      <xdr:nvPicPr>
        <xdr:cNvPr id="6871" name="675ca4ed-3dd4-46e4-9425-61fedf99614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42fc0dd78034d9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6874</xdr:row>
      <xdr:rowOff>19050</xdr:rowOff>
    </xdr:from>
    <xdr:ext cx="1143000" cy="1143000"/>
    <xdr:pic>
      <xdr:nvPicPr>
        <xdr:cNvPr id="6872" name="f40cfc7d-f7a9-4776-9228-1939e97cd40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4762eedc2f0498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6875</xdr:row>
      <xdr:rowOff>19050</xdr:rowOff>
    </xdr:from>
    <xdr:ext cx="1143000" cy="1143000"/>
    <xdr:pic>
      <xdr:nvPicPr>
        <xdr:cNvPr id="6873" name="ad0d1aef-f5cf-4851-b0b3-12604779af9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c7d5ef4571f4b0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6876</xdr:row>
      <xdr:rowOff>19050</xdr:rowOff>
    </xdr:from>
    <xdr:ext cx="1143000" cy="1143000"/>
    <xdr:pic>
      <xdr:nvPicPr>
        <xdr:cNvPr id="6874" name="47b01eb5-324a-4fb8-8b0d-97efce450be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e7d2562855c41a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6877</xdr:row>
      <xdr:rowOff>19050</xdr:rowOff>
    </xdr:from>
    <xdr:ext cx="1143000" cy="1143000"/>
    <xdr:pic>
      <xdr:nvPicPr>
        <xdr:cNvPr id="6875" name="a751ff5c-b7d8-421f-be28-ffc27915fa0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a63770a7a9e4de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6878</xdr:row>
      <xdr:rowOff>19050</xdr:rowOff>
    </xdr:from>
    <xdr:ext cx="1143000" cy="1143000"/>
    <xdr:pic>
      <xdr:nvPicPr>
        <xdr:cNvPr id="6876" name="a2f411ae-b575-4d4d-b20d-a57f761f9d8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e542a41c43e40a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6879</xdr:row>
      <xdr:rowOff>19050</xdr:rowOff>
    </xdr:from>
    <xdr:ext cx="1143000" cy="1143000"/>
    <xdr:pic>
      <xdr:nvPicPr>
        <xdr:cNvPr id="6877" name="12f6361d-5c24-473b-9ea7-413c1827698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7e84a5b6c5441e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6880</xdr:row>
      <xdr:rowOff>19050</xdr:rowOff>
    </xdr:from>
    <xdr:ext cx="1143000" cy="1143000"/>
    <xdr:pic>
      <xdr:nvPicPr>
        <xdr:cNvPr id="6878" name="2f88f197-cee2-4077-9aa3-a1e476d8f6b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07856237dd748a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6881</xdr:row>
      <xdr:rowOff>19050</xdr:rowOff>
    </xdr:from>
    <xdr:ext cx="1143000" cy="1143000"/>
    <xdr:pic>
      <xdr:nvPicPr>
        <xdr:cNvPr id="6879" name="968197c6-bf3f-4ff5-ad0d-2b3c67aa980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b49b6fddf4b4da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6882</xdr:row>
      <xdr:rowOff>19050</xdr:rowOff>
    </xdr:from>
    <xdr:ext cx="1143000" cy="1143000"/>
    <xdr:pic>
      <xdr:nvPicPr>
        <xdr:cNvPr id="6880" name="2a91921a-807a-493f-8eea-1be09d17b69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c7c6054aa8949e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6883</xdr:row>
      <xdr:rowOff>19050</xdr:rowOff>
    </xdr:from>
    <xdr:ext cx="1143000" cy="1143000"/>
    <xdr:pic>
      <xdr:nvPicPr>
        <xdr:cNvPr id="6881" name="be0fb983-cc42-4703-aa82-189342646ef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663b35a30964ce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6884</xdr:row>
      <xdr:rowOff>19050</xdr:rowOff>
    </xdr:from>
    <xdr:ext cx="1143000" cy="1143000"/>
    <xdr:pic>
      <xdr:nvPicPr>
        <xdr:cNvPr id="6882" name="00b3866a-0231-4ccb-aed5-db776f459af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dc06a5983e14ce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6885</xdr:row>
      <xdr:rowOff>19050</xdr:rowOff>
    </xdr:from>
    <xdr:ext cx="1143000" cy="1143000"/>
    <xdr:pic>
      <xdr:nvPicPr>
        <xdr:cNvPr id="6883" name="e0abddd6-0e1c-44dd-9095-9a8a0200ef9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8c8d054773143d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6886</xdr:row>
      <xdr:rowOff>19050</xdr:rowOff>
    </xdr:from>
    <xdr:ext cx="1143000" cy="1143000"/>
    <xdr:pic>
      <xdr:nvPicPr>
        <xdr:cNvPr id="6884" name="11ae284c-8268-4549-8787-2081636859d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570c81c9e05429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6887</xdr:row>
      <xdr:rowOff>19050</xdr:rowOff>
    </xdr:from>
    <xdr:ext cx="1143000" cy="1143000"/>
    <xdr:pic>
      <xdr:nvPicPr>
        <xdr:cNvPr id="6885" name="aecd5b98-935f-4bf6-a588-4d6a835d37c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40993b9a75545c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6888</xdr:row>
      <xdr:rowOff>19050</xdr:rowOff>
    </xdr:from>
    <xdr:ext cx="1143000" cy="1143000"/>
    <xdr:pic>
      <xdr:nvPicPr>
        <xdr:cNvPr id="6886" name="f51b718d-7477-47c1-856f-3051cf37323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e0cc5ee6b1a42d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6889</xdr:row>
      <xdr:rowOff>19050</xdr:rowOff>
    </xdr:from>
    <xdr:ext cx="1143000" cy="1143000"/>
    <xdr:pic>
      <xdr:nvPicPr>
        <xdr:cNvPr id="6887" name="74b29735-62d8-4621-8614-555885812c1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bce6e3823784ce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6890</xdr:row>
      <xdr:rowOff>19050</xdr:rowOff>
    </xdr:from>
    <xdr:ext cx="1143000" cy="1143000"/>
    <xdr:pic>
      <xdr:nvPicPr>
        <xdr:cNvPr id="6888" name="ca060242-9ada-46b1-affd-ea7e3bbcc97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572b102aedf4f7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6891</xdr:row>
      <xdr:rowOff>19050</xdr:rowOff>
    </xdr:from>
    <xdr:ext cx="1143000" cy="1143000"/>
    <xdr:pic>
      <xdr:nvPicPr>
        <xdr:cNvPr id="6889" name="19878bd1-2063-4462-8bb9-adbc4a5762e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a410dbc81e74af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6892</xdr:row>
      <xdr:rowOff>19050</xdr:rowOff>
    </xdr:from>
    <xdr:ext cx="1143000" cy="1143000"/>
    <xdr:pic>
      <xdr:nvPicPr>
        <xdr:cNvPr id="6890" name="e79c5a4b-dd2f-4d8a-afb4-49673324ffa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54bebf1762441e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6893</xdr:row>
      <xdr:rowOff>19050</xdr:rowOff>
    </xdr:from>
    <xdr:ext cx="1143000" cy="1143000"/>
    <xdr:pic>
      <xdr:nvPicPr>
        <xdr:cNvPr id="6891" name="fe7fc8ea-5e11-4b69-bf9b-bab6c6860ec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a9e6dbd9fb74f9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6894</xdr:row>
      <xdr:rowOff>19050</xdr:rowOff>
    </xdr:from>
    <xdr:ext cx="1143000" cy="1143000"/>
    <xdr:pic>
      <xdr:nvPicPr>
        <xdr:cNvPr id="6892" name="f30c3cd4-fb7f-4b4a-b385-ce5ddf5aad6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64b1344857143d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6895</xdr:row>
      <xdr:rowOff>19050</xdr:rowOff>
    </xdr:from>
    <xdr:ext cx="1143000" cy="1143000"/>
    <xdr:pic>
      <xdr:nvPicPr>
        <xdr:cNvPr id="6893" name="2bf314bf-940f-4d50-a5e5-df4f5cfec0a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b5355db6740437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6896</xdr:row>
      <xdr:rowOff>19050</xdr:rowOff>
    </xdr:from>
    <xdr:ext cx="1143000" cy="1143000"/>
    <xdr:pic>
      <xdr:nvPicPr>
        <xdr:cNvPr id="6894" name="f2bf47ab-5fc8-40b8-8924-18b3c04bed1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92923e3bb98496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6897</xdr:row>
      <xdr:rowOff>19050</xdr:rowOff>
    </xdr:from>
    <xdr:ext cx="1143000" cy="1143000"/>
    <xdr:pic>
      <xdr:nvPicPr>
        <xdr:cNvPr id="6895" name="87dcca48-fbb1-4516-967a-d3d5bc17336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26d5894c6f8472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6898</xdr:row>
      <xdr:rowOff>19050</xdr:rowOff>
    </xdr:from>
    <xdr:ext cx="1143000" cy="1143000"/>
    <xdr:pic>
      <xdr:nvPicPr>
        <xdr:cNvPr id="6896" name="180b7eac-4589-4fe0-a719-8f9eb0b6513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5524ac7671849c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6899</xdr:row>
      <xdr:rowOff>19050</xdr:rowOff>
    </xdr:from>
    <xdr:ext cx="1143000" cy="1143000"/>
    <xdr:pic>
      <xdr:nvPicPr>
        <xdr:cNvPr id="6897" name="2cbf2380-7982-4406-abce-b35eb9309d8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9b8f435e5b74d9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6900</xdr:row>
      <xdr:rowOff>19050</xdr:rowOff>
    </xdr:from>
    <xdr:ext cx="1143000" cy="1143000"/>
    <xdr:pic>
      <xdr:nvPicPr>
        <xdr:cNvPr id="6898" name="643bea9e-5d4a-47f0-a279-518e1610303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5a30146b64b454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6901</xdr:row>
      <xdr:rowOff>19050</xdr:rowOff>
    </xdr:from>
    <xdr:ext cx="1143000" cy="1143000"/>
    <xdr:pic>
      <xdr:nvPicPr>
        <xdr:cNvPr id="6899" name="38485898-0cff-412d-a8bb-3b4fa6c8128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d8ce20fe354413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6902</xdr:row>
      <xdr:rowOff>19050</xdr:rowOff>
    </xdr:from>
    <xdr:ext cx="1143000" cy="1143000"/>
    <xdr:pic>
      <xdr:nvPicPr>
        <xdr:cNvPr id="6900" name="19b42f89-d7d2-4a03-ab13-e13bf632957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cd723328a1e4fe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6903</xdr:row>
      <xdr:rowOff>19050</xdr:rowOff>
    </xdr:from>
    <xdr:ext cx="1143000" cy="1143000"/>
    <xdr:pic>
      <xdr:nvPicPr>
        <xdr:cNvPr id="6901" name="2f0f20ee-26b2-4623-a53b-eb866bd6a06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f64f6d65cdb464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6904</xdr:row>
      <xdr:rowOff>19050</xdr:rowOff>
    </xdr:from>
    <xdr:ext cx="1143000" cy="1143000"/>
    <xdr:pic>
      <xdr:nvPicPr>
        <xdr:cNvPr id="6902" name="14515166-006e-4408-a8e7-5f60c12d7e7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24a0be57a62434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6905</xdr:row>
      <xdr:rowOff>19050</xdr:rowOff>
    </xdr:from>
    <xdr:ext cx="1143000" cy="1143000"/>
    <xdr:pic>
      <xdr:nvPicPr>
        <xdr:cNvPr id="6903" name="d75471ad-47ca-4994-ac14-54b01c8fb6e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81b2ad451ad45c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6906</xdr:row>
      <xdr:rowOff>19050</xdr:rowOff>
    </xdr:from>
    <xdr:ext cx="1143000" cy="1143000"/>
    <xdr:pic>
      <xdr:nvPicPr>
        <xdr:cNvPr id="6904" name="cc225da4-e3b0-4c57-ad63-321e9a19114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0ba04fd1512461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6907</xdr:row>
      <xdr:rowOff>19050</xdr:rowOff>
    </xdr:from>
    <xdr:ext cx="1143000" cy="1143000"/>
    <xdr:pic>
      <xdr:nvPicPr>
        <xdr:cNvPr id="6905" name="7644f782-4064-411f-b8de-3660f9e3d40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158a338c5e6446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6908</xdr:row>
      <xdr:rowOff>19050</xdr:rowOff>
    </xdr:from>
    <xdr:ext cx="1143000" cy="1143000"/>
    <xdr:pic>
      <xdr:nvPicPr>
        <xdr:cNvPr id="6906" name="df1acd55-536a-4758-b41c-3b919e7642b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889f58603bb4ff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6909</xdr:row>
      <xdr:rowOff>19050</xdr:rowOff>
    </xdr:from>
    <xdr:ext cx="1143000" cy="1143000"/>
    <xdr:pic>
      <xdr:nvPicPr>
        <xdr:cNvPr id="6907" name="66e4ae8f-cb2e-4ab7-b74f-c0fb38d23f1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f2d25b9e6cf4f4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6910</xdr:row>
      <xdr:rowOff>19050</xdr:rowOff>
    </xdr:from>
    <xdr:ext cx="1143000" cy="1143000"/>
    <xdr:pic>
      <xdr:nvPicPr>
        <xdr:cNvPr id="6908" name="e12be821-15ce-4319-923f-893b0e438ba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f0736240b5241c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6911</xdr:row>
      <xdr:rowOff>19050</xdr:rowOff>
    </xdr:from>
    <xdr:ext cx="1143000" cy="1143000"/>
    <xdr:pic>
      <xdr:nvPicPr>
        <xdr:cNvPr id="6909" name="f78ac3b7-db4c-4de6-b411-71d573e0d04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1caa8557e6a409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6912</xdr:row>
      <xdr:rowOff>19050</xdr:rowOff>
    </xdr:from>
    <xdr:ext cx="1143000" cy="1143000"/>
    <xdr:pic>
      <xdr:nvPicPr>
        <xdr:cNvPr id="6910" name="d3f56c0a-b520-401f-86c8-f1b509aeb96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1a26b307d5f4a6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6913</xdr:row>
      <xdr:rowOff>19050</xdr:rowOff>
    </xdr:from>
    <xdr:ext cx="1143000" cy="1143000"/>
    <xdr:pic>
      <xdr:nvPicPr>
        <xdr:cNvPr id="6911" name="822ebe65-df15-4c7a-8ee8-7fabe34bb51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4ff4ea792a44e7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6914</xdr:row>
      <xdr:rowOff>19050</xdr:rowOff>
    </xdr:from>
    <xdr:ext cx="1143000" cy="1143000"/>
    <xdr:pic>
      <xdr:nvPicPr>
        <xdr:cNvPr id="6912" name="9a514012-368a-47f2-b25d-b76b43462df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187eab330ef46e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6915</xdr:row>
      <xdr:rowOff>19050</xdr:rowOff>
    </xdr:from>
    <xdr:ext cx="1143000" cy="1143000"/>
    <xdr:pic>
      <xdr:nvPicPr>
        <xdr:cNvPr id="6913" name="8e3ad215-0e80-4553-9582-4964f58a153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fcd978ae1af4cc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6916</xdr:row>
      <xdr:rowOff>19050</xdr:rowOff>
    </xdr:from>
    <xdr:ext cx="1143000" cy="1143000"/>
    <xdr:pic>
      <xdr:nvPicPr>
        <xdr:cNvPr id="6914" name="a732b867-23bb-4ece-8ecf-0904596fa1f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ae23675e0384f4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6917</xdr:row>
      <xdr:rowOff>19050</xdr:rowOff>
    </xdr:from>
    <xdr:ext cx="1143000" cy="1143000"/>
    <xdr:pic>
      <xdr:nvPicPr>
        <xdr:cNvPr id="6915" name="93258b10-c8b5-410b-9ea3-1b6f993c6aa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f00f7b399b64d6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6918</xdr:row>
      <xdr:rowOff>19050</xdr:rowOff>
    </xdr:from>
    <xdr:ext cx="1143000" cy="1143000"/>
    <xdr:pic>
      <xdr:nvPicPr>
        <xdr:cNvPr id="6916" name="4295f18d-4f8b-48cc-a808-9014e450440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525843376cd41b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6919</xdr:row>
      <xdr:rowOff>19050</xdr:rowOff>
    </xdr:from>
    <xdr:ext cx="1143000" cy="1143000"/>
    <xdr:pic>
      <xdr:nvPicPr>
        <xdr:cNvPr id="6917" name="bce71185-4ad9-48d2-920b-71b450936ca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0e52e6e8de14bb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6920</xdr:row>
      <xdr:rowOff>19050</xdr:rowOff>
    </xdr:from>
    <xdr:ext cx="1143000" cy="1143000"/>
    <xdr:pic>
      <xdr:nvPicPr>
        <xdr:cNvPr id="6918" name="7a2f7ed7-c89a-42f6-bedf-59618b84a8c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0cacb3249f843b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6921</xdr:row>
      <xdr:rowOff>19050</xdr:rowOff>
    </xdr:from>
    <xdr:ext cx="1143000" cy="1143000"/>
    <xdr:pic>
      <xdr:nvPicPr>
        <xdr:cNvPr id="6919" name="449d7cb9-0199-4eb3-be85-d4d5e982970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215e12d98374f0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6922</xdr:row>
      <xdr:rowOff>19050</xdr:rowOff>
    </xdr:from>
    <xdr:ext cx="1143000" cy="1143000"/>
    <xdr:pic>
      <xdr:nvPicPr>
        <xdr:cNvPr id="6920" name="5e141b0f-569e-4dd0-91d1-ea5159c32aa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0b5883984c7462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6923</xdr:row>
      <xdr:rowOff>19050</xdr:rowOff>
    </xdr:from>
    <xdr:ext cx="1143000" cy="1143000"/>
    <xdr:pic>
      <xdr:nvPicPr>
        <xdr:cNvPr id="6921" name="e5d8c0f4-4a9a-4811-b903-e2399ba78d0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2efecc982534e4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6924</xdr:row>
      <xdr:rowOff>19050</xdr:rowOff>
    </xdr:from>
    <xdr:ext cx="1143000" cy="1143000"/>
    <xdr:pic>
      <xdr:nvPicPr>
        <xdr:cNvPr id="6922" name="620cc825-8379-4056-abc7-4cb5f412e3c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32571e810714fb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6925</xdr:row>
      <xdr:rowOff>19050</xdr:rowOff>
    </xdr:from>
    <xdr:ext cx="1143000" cy="1143000"/>
    <xdr:pic>
      <xdr:nvPicPr>
        <xdr:cNvPr id="6923" name="ef37c4c4-ef15-41f2-8be5-d49167f214a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25fd246372e449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6926</xdr:row>
      <xdr:rowOff>19050</xdr:rowOff>
    </xdr:from>
    <xdr:ext cx="1143000" cy="1143000"/>
    <xdr:pic>
      <xdr:nvPicPr>
        <xdr:cNvPr id="6924" name="f1bc2ed0-b0fe-424b-9a7c-64aac4cb11c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9aeb1b93c2a47a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6927</xdr:row>
      <xdr:rowOff>19050</xdr:rowOff>
    </xdr:from>
    <xdr:ext cx="1143000" cy="1143000"/>
    <xdr:pic>
      <xdr:nvPicPr>
        <xdr:cNvPr id="6925" name="b6bf1fb9-ea4c-401e-8111-16a0c451c31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c0ff9c1e4f3416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6928</xdr:row>
      <xdr:rowOff>19050</xdr:rowOff>
    </xdr:from>
    <xdr:ext cx="1143000" cy="1143000"/>
    <xdr:pic>
      <xdr:nvPicPr>
        <xdr:cNvPr id="6926" name="64de4087-8c9b-4f49-ae48-cd6ab8f80d9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3ad6dbf8d7b4aa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6929</xdr:row>
      <xdr:rowOff>19050</xdr:rowOff>
    </xdr:from>
    <xdr:ext cx="1143000" cy="1143000"/>
    <xdr:pic>
      <xdr:nvPicPr>
        <xdr:cNvPr id="6927" name="c945ac2b-c7d6-430d-b38c-d91c4ecc162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cd325fcadd54b9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6930</xdr:row>
      <xdr:rowOff>19050</xdr:rowOff>
    </xdr:from>
    <xdr:ext cx="1143000" cy="1143000"/>
    <xdr:pic>
      <xdr:nvPicPr>
        <xdr:cNvPr id="6928" name="abc0156f-9095-46ac-a8d0-9ca34afe15f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c42ab8334a04e4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6931</xdr:row>
      <xdr:rowOff>19050</xdr:rowOff>
    </xdr:from>
    <xdr:ext cx="1143000" cy="1143000"/>
    <xdr:pic>
      <xdr:nvPicPr>
        <xdr:cNvPr id="6929" name="4e4e0a57-2f5b-434b-8c8c-0e142a469bc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187c4309f93479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6932</xdr:row>
      <xdr:rowOff>19050</xdr:rowOff>
    </xdr:from>
    <xdr:ext cx="1143000" cy="1143000"/>
    <xdr:pic>
      <xdr:nvPicPr>
        <xdr:cNvPr id="6930" name="041d2a68-b54a-44c5-83d6-51fb5178f27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0164887296f469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6933</xdr:row>
      <xdr:rowOff>19050</xdr:rowOff>
    </xdr:from>
    <xdr:ext cx="1143000" cy="1143000"/>
    <xdr:pic>
      <xdr:nvPicPr>
        <xdr:cNvPr id="6931" name="e3b9ff4a-7999-40eb-84bd-067b91bfbc8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9d0f8706d2f416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6934</xdr:row>
      <xdr:rowOff>19050</xdr:rowOff>
    </xdr:from>
    <xdr:ext cx="1143000" cy="1143000"/>
    <xdr:pic>
      <xdr:nvPicPr>
        <xdr:cNvPr id="6932" name="4d937fd4-d0d0-4b75-90f5-6b7f80cd30b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bd08aac85144e0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6935</xdr:row>
      <xdr:rowOff>19050</xdr:rowOff>
    </xdr:from>
    <xdr:ext cx="1143000" cy="1143000"/>
    <xdr:pic>
      <xdr:nvPicPr>
        <xdr:cNvPr id="6933" name="e432e060-736d-4a62-bbd4-f578f06315d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a01dc2301c14dd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6936</xdr:row>
      <xdr:rowOff>19050</xdr:rowOff>
    </xdr:from>
    <xdr:ext cx="1143000" cy="1143000"/>
    <xdr:pic>
      <xdr:nvPicPr>
        <xdr:cNvPr id="6934" name="2254dc14-f299-459b-acc4-4afe77f950a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153276760f04bb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6937</xdr:row>
      <xdr:rowOff>19050</xdr:rowOff>
    </xdr:from>
    <xdr:ext cx="1143000" cy="1143000"/>
    <xdr:pic>
      <xdr:nvPicPr>
        <xdr:cNvPr id="6935" name="d5747fd2-1171-4865-bde4-fc305de6add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dbe45c0c165486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6938</xdr:row>
      <xdr:rowOff>19050</xdr:rowOff>
    </xdr:from>
    <xdr:ext cx="1143000" cy="1143000"/>
    <xdr:pic>
      <xdr:nvPicPr>
        <xdr:cNvPr id="6936" name="673810f8-fb09-4ede-b47e-d39a1826198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8c43c0103a8471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6939</xdr:row>
      <xdr:rowOff>19050</xdr:rowOff>
    </xdr:from>
    <xdr:ext cx="1143000" cy="1143000"/>
    <xdr:pic>
      <xdr:nvPicPr>
        <xdr:cNvPr id="6937" name="7ca5208e-7bd2-4fb0-bdcb-d162647a3c2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a2ee5dea88448e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6940</xdr:row>
      <xdr:rowOff>19050</xdr:rowOff>
    </xdr:from>
    <xdr:ext cx="1143000" cy="1143000"/>
    <xdr:pic>
      <xdr:nvPicPr>
        <xdr:cNvPr id="6938" name="88ab1196-0b6f-4641-989d-bd1c051a5f2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f88bfa006d7491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6941</xdr:row>
      <xdr:rowOff>19050</xdr:rowOff>
    </xdr:from>
    <xdr:ext cx="1143000" cy="1143000"/>
    <xdr:pic>
      <xdr:nvPicPr>
        <xdr:cNvPr id="6939" name="1601e7e1-30ac-477d-bf1e-d07049e814a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61fbe14c7d84c7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6942</xdr:row>
      <xdr:rowOff>19050</xdr:rowOff>
    </xdr:from>
    <xdr:ext cx="1143000" cy="1143000"/>
    <xdr:pic>
      <xdr:nvPicPr>
        <xdr:cNvPr id="6940" name="f31a2003-3f2b-49b1-baf1-aee6afcd46e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a2d0287d2434d8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6943</xdr:row>
      <xdr:rowOff>19050</xdr:rowOff>
    </xdr:from>
    <xdr:ext cx="1143000" cy="1143000"/>
    <xdr:pic>
      <xdr:nvPicPr>
        <xdr:cNvPr id="6941" name="2532c70c-a4c8-430c-8d44-f2b4d49b621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898a6d5440e457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6944</xdr:row>
      <xdr:rowOff>19050</xdr:rowOff>
    </xdr:from>
    <xdr:ext cx="1143000" cy="1143000"/>
    <xdr:pic>
      <xdr:nvPicPr>
        <xdr:cNvPr id="6942" name="90259671-d959-4f20-8464-ebfb4137b98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29f1a21b1e44cf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6945</xdr:row>
      <xdr:rowOff>19050</xdr:rowOff>
    </xdr:from>
    <xdr:ext cx="1143000" cy="1143000"/>
    <xdr:pic>
      <xdr:nvPicPr>
        <xdr:cNvPr id="6943" name="e51b7f3c-81d8-4e68-8575-be36eae6b35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08a0c387c37432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6946</xdr:row>
      <xdr:rowOff>19050</xdr:rowOff>
    </xdr:from>
    <xdr:ext cx="1143000" cy="1143000"/>
    <xdr:pic>
      <xdr:nvPicPr>
        <xdr:cNvPr id="6944" name="2044f25b-e798-449a-8885-ce5ab37a2dd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8aebe46be28496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6947</xdr:row>
      <xdr:rowOff>19050</xdr:rowOff>
    </xdr:from>
    <xdr:ext cx="1143000" cy="1143000"/>
    <xdr:pic>
      <xdr:nvPicPr>
        <xdr:cNvPr id="6945" name="8a6bae2f-6611-42dc-83a8-34a2c4e8d6c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a374ae9f3e740c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6948</xdr:row>
      <xdr:rowOff>19050</xdr:rowOff>
    </xdr:from>
    <xdr:ext cx="1143000" cy="1143000"/>
    <xdr:pic>
      <xdr:nvPicPr>
        <xdr:cNvPr id="6946" name="485fb9a8-d55b-43ed-b8a0-6191e72557b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b07a5d981214ee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6949</xdr:row>
      <xdr:rowOff>19050</xdr:rowOff>
    </xdr:from>
    <xdr:ext cx="1143000" cy="1143000"/>
    <xdr:pic>
      <xdr:nvPicPr>
        <xdr:cNvPr id="6947" name="b7d76db7-4ac0-4ab4-9e34-06732aeaafb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fdb6f9b1aea41f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6950</xdr:row>
      <xdr:rowOff>19050</xdr:rowOff>
    </xdr:from>
    <xdr:ext cx="1143000" cy="1143000"/>
    <xdr:pic>
      <xdr:nvPicPr>
        <xdr:cNvPr id="6948" name="9831b7ba-eec3-455f-9f77-8a7f42923ab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d5c4f8da3bb44f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6951</xdr:row>
      <xdr:rowOff>19050</xdr:rowOff>
    </xdr:from>
    <xdr:ext cx="1143000" cy="1143000"/>
    <xdr:pic>
      <xdr:nvPicPr>
        <xdr:cNvPr id="6949" name="818258f4-8f49-4af9-9ad3-e79da0d4bf3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4b8f9a9c402455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6952</xdr:row>
      <xdr:rowOff>19050</xdr:rowOff>
    </xdr:from>
    <xdr:ext cx="1143000" cy="1143000"/>
    <xdr:pic>
      <xdr:nvPicPr>
        <xdr:cNvPr id="6950" name="d75aaa13-e9f2-493f-9ef0-6d525a02152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b72bdc90972493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6953</xdr:row>
      <xdr:rowOff>19050</xdr:rowOff>
    </xdr:from>
    <xdr:ext cx="1143000" cy="1143000"/>
    <xdr:pic>
      <xdr:nvPicPr>
        <xdr:cNvPr id="6951" name="7f933853-9309-4fdc-b3ac-da1272b0cae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25c094f6963419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6954</xdr:row>
      <xdr:rowOff>19050</xdr:rowOff>
    </xdr:from>
    <xdr:ext cx="1143000" cy="1143000"/>
    <xdr:pic>
      <xdr:nvPicPr>
        <xdr:cNvPr id="6952" name="fa37ba60-97e7-4822-b427-73191bbeb5c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6601f6dc594463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6955</xdr:row>
      <xdr:rowOff>19050</xdr:rowOff>
    </xdr:from>
    <xdr:ext cx="1143000" cy="1143000"/>
    <xdr:pic>
      <xdr:nvPicPr>
        <xdr:cNvPr id="6953" name="75707c77-669f-461e-a12c-f16b4a4043d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b098856e386453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6956</xdr:row>
      <xdr:rowOff>19050</xdr:rowOff>
    </xdr:from>
    <xdr:ext cx="1143000" cy="1143000"/>
    <xdr:pic>
      <xdr:nvPicPr>
        <xdr:cNvPr id="6954" name="67beb69f-e0ed-44c5-a7d2-fbfabda6fa1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cf7189e38a5414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6957</xdr:row>
      <xdr:rowOff>19050</xdr:rowOff>
    </xdr:from>
    <xdr:ext cx="1143000" cy="1143000"/>
    <xdr:pic>
      <xdr:nvPicPr>
        <xdr:cNvPr id="6955" name="c06b84cd-3d1d-4382-95d3-307ef8ce2e5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4d4ac1c795046d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6958</xdr:row>
      <xdr:rowOff>19050</xdr:rowOff>
    </xdr:from>
    <xdr:ext cx="1143000" cy="1143000"/>
    <xdr:pic>
      <xdr:nvPicPr>
        <xdr:cNvPr id="6956" name="e518c466-fde1-4bed-b21d-075bb388544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60c2cd8214542b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6959</xdr:row>
      <xdr:rowOff>19050</xdr:rowOff>
    </xdr:from>
    <xdr:ext cx="1143000" cy="1143000"/>
    <xdr:pic>
      <xdr:nvPicPr>
        <xdr:cNvPr id="6957" name="67e74074-6bfd-425e-9064-4a70c61496c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6bbccba989d41e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6960</xdr:row>
      <xdr:rowOff>19050</xdr:rowOff>
    </xdr:from>
    <xdr:ext cx="1143000" cy="1143000"/>
    <xdr:pic>
      <xdr:nvPicPr>
        <xdr:cNvPr id="6958" name="8d9db42c-cd07-44a0-8726-c06b350d6f6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9dae40435aa48f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6961</xdr:row>
      <xdr:rowOff>19050</xdr:rowOff>
    </xdr:from>
    <xdr:ext cx="1143000" cy="1143000"/>
    <xdr:pic>
      <xdr:nvPicPr>
        <xdr:cNvPr id="6959" name="f7baa97b-6390-4852-ab27-3bd9878ee5c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07bb61198e748d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6962</xdr:row>
      <xdr:rowOff>19050</xdr:rowOff>
    </xdr:from>
    <xdr:ext cx="1143000" cy="1143000"/>
    <xdr:pic>
      <xdr:nvPicPr>
        <xdr:cNvPr id="6960" name="273441af-38fa-4f8e-abc0-f7e2f0338ca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acc1acec2234d7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6963</xdr:row>
      <xdr:rowOff>19050</xdr:rowOff>
    </xdr:from>
    <xdr:ext cx="1143000" cy="1143000"/>
    <xdr:pic>
      <xdr:nvPicPr>
        <xdr:cNvPr id="6961" name="a73760f1-5d06-44af-a088-08703d8c6ba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04a68d2d5bc45d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6964</xdr:row>
      <xdr:rowOff>19050</xdr:rowOff>
    </xdr:from>
    <xdr:ext cx="1143000" cy="1143000"/>
    <xdr:pic>
      <xdr:nvPicPr>
        <xdr:cNvPr id="6962" name="ce9060ac-6a41-463d-ac44-f61b305739d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db3ed0a84b4401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6965</xdr:row>
      <xdr:rowOff>19050</xdr:rowOff>
    </xdr:from>
    <xdr:ext cx="1143000" cy="1143000"/>
    <xdr:pic>
      <xdr:nvPicPr>
        <xdr:cNvPr id="6963" name="57b663a9-4548-4eac-b9a6-ca7ec0bad5f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e3bb05554154c6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6966</xdr:row>
      <xdr:rowOff>19050</xdr:rowOff>
    </xdr:from>
    <xdr:ext cx="1143000" cy="1143000"/>
    <xdr:pic>
      <xdr:nvPicPr>
        <xdr:cNvPr id="6964" name="0ffdfd27-4b6f-4298-a974-5879a3787e2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8fa7b063e184b2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6967</xdr:row>
      <xdr:rowOff>19050</xdr:rowOff>
    </xdr:from>
    <xdr:ext cx="1143000" cy="1143000"/>
    <xdr:pic>
      <xdr:nvPicPr>
        <xdr:cNvPr id="6965" name="4575c394-b0dd-43c6-8efd-edbec427b2e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840cff02b264bd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6968</xdr:row>
      <xdr:rowOff>19050</xdr:rowOff>
    </xdr:from>
    <xdr:ext cx="1143000" cy="1143000"/>
    <xdr:pic>
      <xdr:nvPicPr>
        <xdr:cNvPr id="6966" name="86f8e0a1-5061-43fc-8069-02de466db07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f3c5c64c29b425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6969</xdr:row>
      <xdr:rowOff>19050</xdr:rowOff>
    </xdr:from>
    <xdr:ext cx="1143000" cy="1143000"/>
    <xdr:pic>
      <xdr:nvPicPr>
        <xdr:cNvPr id="6967" name="80b37d4f-6434-4c62-8b3a-9e406777871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8c6cfe2b07b46b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6970</xdr:row>
      <xdr:rowOff>19050</xdr:rowOff>
    </xdr:from>
    <xdr:ext cx="1143000" cy="1143000"/>
    <xdr:pic>
      <xdr:nvPicPr>
        <xdr:cNvPr id="6968" name="a31ac2b7-09b9-4b10-b034-f5ad2110bd5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b8ae685021d4a6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6971</xdr:row>
      <xdr:rowOff>19050</xdr:rowOff>
    </xdr:from>
    <xdr:ext cx="1143000" cy="1143000"/>
    <xdr:pic>
      <xdr:nvPicPr>
        <xdr:cNvPr id="6969" name="3a40e3f0-8a14-4850-bf25-58ee06fdb39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84b105f255f4ce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6972</xdr:row>
      <xdr:rowOff>19050</xdr:rowOff>
    </xdr:from>
    <xdr:ext cx="1143000" cy="1143000"/>
    <xdr:pic>
      <xdr:nvPicPr>
        <xdr:cNvPr id="6970" name="8a26fd75-05ab-435b-a5c8-dfffa9f7039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bdc524247e3468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6973</xdr:row>
      <xdr:rowOff>19050</xdr:rowOff>
    </xdr:from>
    <xdr:ext cx="1143000" cy="1143000"/>
    <xdr:pic>
      <xdr:nvPicPr>
        <xdr:cNvPr id="6971" name="ba56de35-318f-44aa-b3f4-5c1a36d9888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d89a12a17b44e3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6974</xdr:row>
      <xdr:rowOff>19050</xdr:rowOff>
    </xdr:from>
    <xdr:ext cx="1143000" cy="1143000"/>
    <xdr:pic>
      <xdr:nvPicPr>
        <xdr:cNvPr id="6972" name="d42f0aa6-6336-4145-be3b-f0637e30e90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e94fbd83cd34a0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6975</xdr:row>
      <xdr:rowOff>19050</xdr:rowOff>
    </xdr:from>
    <xdr:ext cx="1143000" cy="1143000"/>
    <xdr:pic>
      <xdr:nvPicPr>
        <xdr:cNvPr id="6973" name="60eb0bea-46c7-445f-baf4-a5086972754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fc5013613f345e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6976</xdr:row>
      <xdr:rowOff>19050</xdr:rowOff>
    </xdr:from>
    <xdr:ext cx="1143000" cy="1143000"/>
    <xdr:pic>
      <xdr:nvPicPr>
        <xdr:cNvPr id="6974" name="bf0f3e65-4d8e-4d14-b412-a43f41bb981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6dd0b92cfb3496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6977</xdr:row>
      <xdr:rowOff>19050</xdr:rowOff>
    </xdr:from>
    <xdr:ext cx="1143000" cy="1143000"/>
    <xdr:pic>
      <xdr:nvPicPr>
        <xdr:cNvPr id="6975" name="af18b1a8-a8ca-4242-876f-f3c81c63103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98247ea97f844c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6978</xdr:row>
      <xdr:rowOff>19050</xdr:rowOff>
    </xdr:from>
    <xdr:ext cx="1143000" cy="1143000"/>
    <xdr:pic>
      <xdr:nvPicPr>
        <xdr:cNvPr id="6976" name="7e5cc978-944a-4ffa-b4ae-021f3ee60a8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0fd48fefd13416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6979</xdr:row>
      <xdr:rowOff>19050</xdr:rowOff>
    </xdr:from>
    <xdr:ext cx="1143000" cy="1143000"/>
    <xdr:pic>
      <xdr:nvPicPr>
        <xdr:cNvPr id="6977" name="0cd8a0e7-7b5b-46e6-b2a8-820cc068e29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b20924c7ede439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6980</xdr:row>
      <xdr:rowOff>19050</xdr:rowOff>
    </xdr:from>
    <xdr:ext cx="1143000" cy="1143000"/>
    <xdr:pic>
      <xdr:nvPicPr>
        <xdr:cNvPr id="6978" name="8cd13a27-46fe-4f45-944c-e107b4fe395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17020dada8f4e2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6981</xdr:row>
      <xdr:rowOff>19050</xdr:rowOff>
    </xdr:from>
    <xdr:ext cx="1143000" cy="1143000"/>
    <xdr:pic>
      <xdr:nvPicPr>
        <xdr:cNvPr id="6979" name="5ab76d1d-9e26-47fc-ade5-290f4786280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47a8e7b14644f8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6982</xdr:row>
      <xdr:rowOff>19050</xdr:rowOff>
    </xdr:from>
    <xdr:ext cx="1143000" cy="1143000"/>
    <xdr:pic>
      <xdr:nvPicPr>
        <xdr:cNvPr id="6980" name="4a29e01d-bb33-4ed8-816d-6f7256a365a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53cc27854ac402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6983</xdr:row>
      <xdr:rowOff>19050</xdr:rowOff>
    </xdr:from>
    <xdr:ext cx="1143000" cy="1143000"/>
    <xdr:pic>
      <xdr:nvPicPr>
        <xdr:cNvPr id="6981" name="30c0b486-55ad-4b20-9959-3e1c2fe5498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e72eaedbc3b453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6984</xdr:row>
      <xdr:rowOff>19050</xdr:rowOff>
    </xdr:from>
    <xdr:ext cx="1143000" cy="1143000"/>
    <xdr:pic>
      <xdr:nvPicPr>
        <xdr:cNvPr id="6982" name="d6352a62-bdd2-469e-963f-49e711e21f5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12cb56f1b9545a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6985</xdr:row>
      <xdr:rowOff>19050</xdr:rowOff>
    </xdr:from>
    <xdr:ext cx="1143000" cy="1143000"/>
    <xdr:pic>
      <xdr:nvPicPr>
        <xdr:cNvPr id="6983" name="a56965a6-7d27-4b83-9004-345a56f718e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2c1a830be2d42d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6986</xdr:row>
      <xdr:rowOff>19050</xdr:rowOff>
    </xdr:from>
    <xdr:ext cx="1143000" cy="1143000"/>
    <xdr:pic>
      <xdr:nvPicPr>
        <xdr:cNvPr id="6984" name="d9e6bc78-bc02-4e71-8862-33e90bbcea8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f3f88a656a6446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6987</xdr:row>
      <xdr:rowOff>19050</xdr:rowOff>
    </xdr:from>
    <xdr:ext cx="1143000" cy="1143000"/>
    <xdr:pic>
      <xdr:nvPicPr>
        <xdr:cNvPr id="6985" name="9a677138-5fc9-48a8-a7fa-0b3303106de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1fc81ecb4cb4b8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6988</xdr:row>
      <xdr:rowOff>19050</xdr:rowOff>
    </xdr:from>
    <xdr:ext cx="1143000" cy="1143000"/>
    <xdr:pic>
      <xdr:nvPicPr>
        <xdr:cNvPr id="6986" name="f397457b-9ea8-4325-9d35-f947de486df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c9bb815aa5a49f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6989</xdr:row>
      <xdr:rowOff>19050</xdr:rowOff>
    </xdr:from>
    <xdr:ext cx="1143000" cy="1143000"/>
    <xdr:pic>
      <xdr:nvPicPr>
        <xdr:cNvPr id="6987" name="75cab2a1-ef36-408c-a4de-dd59d40300a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53aa748d39843e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6990</xdr:row>
      <xdr:rowOff>19050</xdr:rowOff>
    </xdr:from>
    <xdr:ext cx="1143000" cy="1143000"/>
    <xdr:pic>
      <xdr:nvPicPr>
        <xdr:cNvPr id="6988" name="25ac3503-74e4-43d4-b195-4a06042d79e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e4f3ab8e5f44e8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6991</xdr:row>
      <xdr:rowOff>19050</xdr:rowOff>
    </xdr:from>
    <xdr:ext cx="1143000" cy="1143000"/>
    <xdr:pic>
      <xdr:nvPicPr>
        <xdr:cNvPr id="6989" name="5b967609-f96e-48ce-bc26-426a7cac922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ded21053a624e7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6992</xdr:row>
      <xdr:rowOff>19050</xdr:rowOff>
    </xdr:from>
    <xdr:ext cx="1143000" cy="1143000"/>
    <xdr:pic>
      <xdr:nvPicPr>
        <xdr:cNvPr id="6990" name="063eb90f-533e-43b9-80bf-996b5c87158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c8b0f97c87b499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6993</xdr:row>
      <xdr:rowOff>19050</xdr:rowOff>
    </xdr:from>
    <xdr:ext cx="1143000" cy="1143000"/>
    <xdr:pic>
      <xdr:nvPicPr>
        <xdr:cNvPr id="6991" name="61642277-ff46-416f-9a03-181d90c6a0d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9b5ab05fead472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6994</xdr:row>
      <xdr:rowOff>19050</xdr:rowOff>
    </xdr:from>
    <xdr:ext cx="1143000" cy="1143000"/>
    <xdr:pic>
      <xdr:nvPicPr>
        <xdr:cNvPr id="6992" name="df5a6319-dd9f-47a1-8651-75bc00b2a9b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85291eb6eb5491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6995</xdr:row>
      <xdr:rowOff>19050</xdr:rowOff>
    </xdr:from>
    <xdr:ext cx="1143000" cy="1143000"/>
    <xdr:pic>
      <xdr:nvPicPr>
        <xdr:cNvPr id="6993" name="c549af26-68db-4dcc-860c-7647e12778d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c4c06bcff71484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6996</xdr:row>
      <xdr:rowOff>19050</xdr:rowOff>
    </xdr:from>
    <xdr:ext cx="1143000" cy="1143000"/>
    <xdr:pic>
      <xdr:nvPicPr>
        <xdr:cNvPr id="6994" name="6dbec1d9-5cb6-46f9-93da-df3713c2de1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d97abd47259458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6997</xdr:row>
      <xdr:rowOff>19050</xdr:rowOff>
    </xdr:from>
    <xdr:ext cx="1143000" cy="1143000"/>
    <xdr:pic>
      <xdr:nvPicPr>
        <xdr:cNvPr id="6995" name="b0e2a2ac-8556-49bc-85cc-0299e425522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3a768f012904c4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6998</xdr:row>
      <xdr:rowOff>19050</xdr:rowOff>
    </xdr:from>
    <xdr:ext cx="1143000" cy="1143000"/>
    <xdr:pic>
      <xdr:nvPicPr>
        <xdr:cNvPr id="6996" name="c79f3e8d-fe06-4516-9fc4-1095c1ece96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ece79d78eab482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6999</xdr:row>
      <xdr:rowOff>19050</xdr:rowOff>
    </xdr:from>
    <xdr:ext cx="1143000" cy="1143000"/>
    <xdr:pic>
      <xdr:nvPicPr>
        <xdr:cNvPr id="6997" name="71b1e570-2619-4ca4-a8bc-3041a8fd991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e8d712f38f1408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7000</xdr:row>
      <xdr:rowOff>19050</xdr:rowOff>
    </xdr:from>
    <xdr:ext cx="1143000" cy="1143000"/>
    <xdr:pic>
      <xdr:nvPicPr>
        <xdr:cNvPr id="6998" name="d566940a-410c-431f-a778-0bfb0dd889d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b0cfbda3f3245d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7001</xdr:row>
      <xdr:rowOff>19050</xdr:rowOff>
    </xdr:from>
    <xdr:ext cx="1143000" cy="1143000"/>
    <xdr:pic>
      <xdr:nvPicPr>
        <xdr:cNvPr id="6999" name="fd9d5101-56b4-4b2d-950a-3557a1399ea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049ca75b7484fd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7002</xdr:row>
      <xdr:rowOff>19050</xdr:rowOff>
    </xdr:from>
    <xdr:ext cx="1143000" cy="1143000"/>
    <xdr:pic>
      <xdr:nvPicPr>
        <xdr:cNvPr id="7000" name="6e4d17f9-0763-49f4-87f5-3f811dca8f7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f233856195a4bb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7003</xdr:row>
      <xdr:rowOff>19050</xdr:rowOff>
    </xdr:from>
    <xdr:ext cx="1143000" cy="1143000"/>
    <xdr:pic>
      <xdr:nvPicPr>
        <xdr:cNvPr id="7001" name="b5aa609c-2549-482f-b86f-37fb71a3b9e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409d08a9f97420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7004</xdr:row>
      <xdr:rowOff>19050</xdr:rowOff>
    </xdr:from>
    <xdr:ext cx="1143000" cy="1143000"/>
    <xdr:pic>
      <xdr:nvPicPr>
        <xdr:cNvPr id="7002" name="93caffd0-bd36-4a96-bf7d-0f73e498925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aba73577d314e1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7005</xdr:row>
      <xdr:rowOff>19050</xdr:rowOff>
    </xdr:from>
    <xdr:ext cx="1143000" cy="1143000"/>
    <xdr:pic>
      <xdr:nvPicPr>
        <xdr:cNvPr id="7003" name="f835af7f-4fde-4fec-b667-3aff5685bac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90c54d700d2492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7006</xdr:row>
      <xdr:rowOff>19050</xdr:rowOff>
    </xdr:from>
    <xdr:ext cx="1143000" cy="1143000"/>
    <xdr:pic>
      <xdr:nvPicPr>
        <xdr:cNvPr id="7004" name="536318a6-4add-4a9e-bfce-8c73952410c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c83820fa3c64fd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7007</xdr:row>
      <xdr:rowOff>19050</xdr:rowOff>
    </xdr:from>
    <xdr:ext cx="1143000" cy="1143000"/>
    <xdr:pic>
      <xdr:nvPicPr>
        <xdr:cNvPr id="7005" name="b31647b3-becc-4101-a4de-f433f470a5d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9633f546e2240a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7008</xdr:row>
      <xdr:rowOff>19050</xdr:rowOff>
    </xdr:from>
    <xdr:ext cx="1143000" cy="1143000"/>
    <xdr:pic>
      <xdr:nvPicPr>
        <xdr:cNvPr id="7006" name="4ae0b349-348a-458f-97b1-8fdc27c6fb8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7b973a6f2734b6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7009</xdr:row>
      <xdr:rowOff>19050</xdr:rowOff>
    </xdr:from>
    <xdr:ext cx="1143000" cy="1143000"/>
    <xdr:pic>
      <xdr:nvPicPr>
        <xdr:cNvPr id="7007" name="a07bd22e-136b-4a7a-927f-62e3242800a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04a2863b0af40b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7010</xdr:row>
      <xdr:rowOff>19050</xdr:rowOff>
    </xdr:from>
    <xdr:ext cx="1143000" cy="1143000"/>
    <xdr:pic>
      <xdr:nvPicPr>
        <xdr:cNvPr id="7008" name="7d435b1e-6094-4acf-a77e-e84b241c01d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b5089e78ebd40a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7011</xdr:row>
      <xdr:rowOff>19050</xdr:rowOff>
    </xdr:from>
    <xdr:ext cx="1143000" cy="1143000"/>
    <xdr:pic>
      <xdr:nvPicPr>
        <xdr:cNvPr id="7009" name="0692ca60-f13f-48d9-9f8e-5747ce15076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c14624c361949f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7012</xdr:row>
      <xdr:rowOff>19050</xdr:rowOff>
    </xdr:from>
    <xdr:ext cx="1143000" cy="1143000"/>
    <xdr:pic>
      <xdr:nvPicPr>
        <xdr:cNvPr id="7010" name="10a5d22e-ecb0-48fc-8e08-47b6abed0c7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42e8338737e40b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7013</xdr:row>
      <xdr:rowOff>19050</xdr:rowOff>
    </xdr:from>
    <xdr:ext cx="1143000" cy="1143000"/>
    <xdr:pic>
      <xdr:nvPicPr>
        <xdr:cNvPr id="7011" name="f886a31e-5b4b-4459-bd35-588f6bd9fa1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a2ee2b4cbff4e0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7014</xdr:row>
      <xdr:rowOff>19050</xdr:rowOff>
    </xdr:from>
    <xdr:ext cx="1143000" cy="1143000"/>
    <xdr:pic>
      <xdr:nvPicPr>
        <xdr:cNvPr id="7012" name="5e49132e-fb3e-43f0-8e3b-d930e25e0e7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25aece7709e4be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7015</xdr:row>
      <xdr:rowOff>19050</xdr:rowOff>
    </xdr:from>
    <xdr:ext cx="1143000" cy="1143000"/>
    <xdr:pic>
      <xdr:nvPicPr>
        <xdr:cNvPr id="7013" name="b51f1be6-44ae-4d94-bdde-7b430518c8b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cf951ec0012409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7016</xdr:row>
      <xdr:rowOff>19050</xdr:rowOff>
    </xdr:from>
    <xdr:ext cx="1143000" cy="1143000"/>
    <xdr:pic>
      <xdr:nvPicPr>
        <xdr:cNvPr id="7014" name="3a95019d-7b23-4e34-b664-09638b88b37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4d5b438033a429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7017</xdr:row>
      <xdr:rowOff>19050</xdr:rowOff>
    </xdr:from>
    <xdr:ext cx="1143000" cy="1143000"/>
    <xdr:pic>
      <xdr:nvPicPr>
        <xdr:cNvPr id="7015" name="b4636043-e9aa-4ab5-8108-9f637f59cb5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a298f89f54d4ad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7018</xdr:row>
      <xdr:rowOff>19050</xdr:rowOff>
    </xdr:from>
    <xdr:ext cx="1143000" cy="1143000"/>
    <xdr:pic>
      <xdr:nvPicPr>
        <xdr:cNvPr id="7016" name="322349e6-f227-424f-ad64-9108951462b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2b5cf460048491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7019</xdr:row>
      <xdr:rowOff>19050</xdr:rowOff>
    </xdr:from>
    <xdr:ext cx="1143000" cy="1143000"/>
    <xdr:pic>
      <xdr:nvPicPr>
        <xdr:cNvPr id="7017" name="d9edb84c-611e-4b23-96da-f92e499ceb1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db8f00f9196426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7020</xdr:row>
      <xdr:rowOff>19050</xdr:rowOff>
    </xdr:from>
    <xdr:ext cx="1143000" cy="1143000"/>
    <xdr:pic>
      <xdr:nvPicPr>
        <xdr:cNvPr id="7018" name="a359df52-80d8-443a-8c32-80c8fb0f8e9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90995f0125845c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7021</xdr:row>
      <xdr:rowOff>19050</xdr:rowOff>
    </xdr:from>
    <xdr:ext cx="1143000" cy="1143000"/>
    <xdr:pic>
      <xdr:nvPicPr>
        <xdr:cNvPr id="7019" name="1066cc54-aebd-4067-bc3e-288f1365482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1249cf16a8f4d3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7022</xdr:row>
      <xdr:rowOff>19050</xdr:rowOff>
    </xdr:from>
    <xdr:ext cx="1143000" cy="1143000"/>
    <xdr:pic>
      <xdr:nvPicPr>
        <xdr:cNvPr id="7020" name="3e9fb397-ae33-4d30-bd21-ac9b42834aa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ce124c8dbdc43a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7023</xdr:row>
      <xdr:rowOff>19050</xdr:rowOff>
    </xdr:from>
    <xdr:ext cx="1143000" cy="1143000"/>
    <xdr:pic>
      <xdr:nvPicPr>
        <xdr:cNvPr id="7021" name="ced9344f-7562-4861-93fa-cb169153106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e027366336243e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7024</xdr:row>
      <xdr:rowOff>19050</xdr:rowOff>
    </xdr:from>
    <xdr:ext cx="1143000" cy="1143000"/>
    <xdr:pic>
      <xdr:nvPicPr>
        <xdr:cNvPr id="7022" name="59b4a7c3-e304-4934-a253-a22ce57ed0f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2c352f78ae342a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7025</xdr:row>
      <xdr:rowOff>19050</xdr:rowOff>
    </xdr:from>
    <xdr:ext cx="1143000" cy="1143000"/>
    <xdr:pic>
      <xdr:nvPicPr>
        <xdr:cNvPr id="7023" name="4fe67731-0ce0-4f3e-8f6c-67ae4788d63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d4a3246015340b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7026</xdr:row>
      <xdr:rowOff>19050</xdr:rowOff>
    </xdr:from>
    <xdr:ext cx="1143000" cy="1143000"/>
    <xdr:pic>
      <xdr:nvPicPr>
        <xdr:cNvPr id="7024" name="2e2dc562-3e54-40da-8c1a-313288ddadf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9d4bff90dd248b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7027</xdr:row>
      <xdr:rowOff>19050</xdr:rowOff>
    </xdr:from>
    <xdr:ext cx="1143000" cy="1143000"/>
    <xdr:pic>
      <xdr:nvPicPr>
        <xdr:cNvPr id="7025" name="a7dff541-9ade-42d4-accc-54fd9d31302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47097061f2e4fd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7028</xdr:row>
      <xdr:rowOff>19050</xdr:rowOff>
    </xdr:from>
    <xdr:ext cx="1143000" cy="1143000"/>
    <xdr:pic>
      <xdr:nvPicPr>
        <xdr:cNvPr id="7026" name="c5e0de50-c669-4f0f-874a-f5c48d0c8ae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965d8f325a1442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7029</xdr:row>
      <xdr:rowOff>19050</xdr:rowOff>
    </xdr:from>
    <xdr:ext cx="1143000" cy="1143000"/>
    <xdr:pic>
      <xdr:nvPicPr>
        <xdr:cNvPr id="7027" name="8528270d-e957-4ba3-b331-80da71d8b47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86fde27badb496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7030</xdr:row>
      <xdr:rowOff>19050</xdr:rowOff>
    </xdr:from>
    <xdr:ext cx="1143000" cy="1143000"/>
    <xdr:pic>
      <xdr:nvPicPr>
        <xdr:cNvPr id="7028" name="eec0ccf9-eb33-4560-b7e8-f1ae0eab53b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468cdb16b77410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7031</xdr:row>
      <xdr:rowOff>19050</xdr:rowOff>
    </xdr:from>
    <xdr:ext cx="1143000" cy="1143000"/>
    <xdr:pic>
      <xdr:nvPicPr>
        <xdr:cNvPr id="7029" name="ba7aa7b5-794a-4565-b9ad-edd150c8b3b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ec86a47376349e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7032</xdr:row>
      <xdr:rowOff>19050</xdr:rowOff>
    </xdr:from>
    <xdr:ext cx="1143000" cy="1143000"/>
    <xdr:pic>
      <xdr:nvPicPr>
        <xdr:cNvPr id="7030" name="561bb92e-6c8d-439a-8384-6ee8babbbb4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38bcb7416ef4f2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7033</xdr:row>
      <xdr:rowOff>19050</xdr:rowOff>
    </xdr:from>
    <xdr:ext cx="1143000" cy="1143000"/>
    <xdr:pic>
      <xdr:nvPicPr>
        <xdr:cNvPr id="7031" name="43e51bd4-e196-4121-8840-eba26f3f27e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3ba17349c8d443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7034</xdr:row>
      <xdr:rowOff>19050</xdr:rowOff>
    </xdr:from>
    <xdr:ext cx="1143000" cy="1143000"/>
    <xdr:pic>
      <xdr:nvPicPr>
        <xdr:cNvPr id="7032" name="401013c0-0d7c-41d1-aaba-af0603c5d0f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b7fc085c2484e1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7035</xdr:row>
      <xdr:rowOff>19050</xdr:rowOff>
    </xdr:from>
    <xdr:ext cx="1143000" cy="1143000"/>
    <xdr:pic>
      <xdr:nvPicPr>
        <xdr:cNvPr id="7033" name="30cb4855-7461-4fbd-9b16-358479cf1d0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188c91e9ace4c2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7036</xdr:row>
      <xdr:rowOff>19050</xdr:rowOff>
    </xdr:from>
    <xdr:ext cx="1143000" cy="1143000"/>
    <xdr:pic>
      <xdr:nvPicPr>
        <xdr:cNvPr id="7034" name="58d80bb6-3203-4db9-ad50-f296abf5120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b85321b527f41f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7037</xdr:row>
      <xdr:rowOff>19050</xdr:rowOff>
    </xdr:from>
    <xdr:ext cx="1143000" cy="1143000"/>
    <xdr:pic>
      <xdr:nvPicPr>
        <xdr:cNvPr id="7035" name="06ecec4e-b9fb-4a66-bca6-faa022d4b15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80f1d344f7e4cd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7038</xdr:row>
      <xdr:rowOff>19050</xdr:rowOff>
    </xdr:from>
    <xdr:ext cx="1143000" cy="1143000"/>
    <xdr:pic>
      <xdr:nvPicPr>
        <xdr:cNvPr id="7036" name="f40f586e-c270-4334-b6a3-f570f9b3974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419790aa312460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7039</xdr:row>
      <xdr:rowOff>19050</xdr:rowOff>
    </xdr:from>
    <xdr:ext cx="1143000" cy="1143000"/>
    <xdr:pic>
      <xdr:nvPicPr>
        <xdr:cNvPr id="7037" name="cae8d2ed-aa16-420f-b22a-57e108b3396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4c4d0f6a8244e6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7040</xdr:row>
      <xdr:rowOff>19050</xdr:rowOff>
    </xdr:from>
    <xdr:ext cx="1143000" cy="1143000"/>
    <xdr:pic>
      <xdr:nvPicPr>
        <xdr:cNvPr id="7038" name="99b8f8df-ed50-4942-bf58-57e75f62d68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96004a766434c5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7041</xdr:row>
      <xdr:rowOff>19050</xdr:rowOff>
    </xdr:from>
    <xdr:ext cx="1143000" cy="1143000"/>
    <xdr:pic>
      <xdr:nvPicPr>
        <xdr:cNvPr id="7039" name="747f0bbf-8a0d-4dbd-bf2a-2655e19ccee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7eabb46eea74f4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7042</xdr:row>
      <xdr:rowOff>19050</xdr:rowOff>
    </xdr:from>
    <xdr:ext cx="1143000" cy="1143000"/>
    <xdr:pic>
      <xdr:nvPicPr>
        <xdr:cNvPr id="7040" name="78215a4b-ad35-4523-922f-449d9977f67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0bd016dd3c34ad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7043</xdr:row>
      <xdr:rowOff>19050</xdr:rowOff>
    </xdr:from>
    <xdr:ext cx="1143000" cy="1143000"/>
    <xdr:pic>
      <xdr:nvPicPr>
        <xdr:cNvPr id="7041" name="3f9d45fd-adf7-4512-95e0-4bb304b6e2e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82a366883b3477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7044</xdr:row>
      <xdr:rowOff>19050</xdr:rowOff>
    </xdr:from>
    <xdr:ext cx="1143000" cy="1143000"/>
    <xdr:pic>
      <xdr:nvPicPr>
        <xdr:cNvPr id="7042" name="8685c33c-51e3-4e97-91f8-bacff43131f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7d4bc1673eb4f4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7045</xdr:row>
      <xdr:rowOff>19050</xdr:rowOff>
    </xdr:from>
    <xdr:ext cx="1143000" cy="1143000"/>
    <xdr:pic>
      <xdr:nvPicPr>
        <xdr:cNvPr id="7043" name="9a5f5cd0-a2f9-43fc-823e-c091f24bcf2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f22faf630544e0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7046</xdr:row>
      <xdr:rowOff>19050</xdr:rowOff>
    </xdr:from>
    <xdr:ext cx="1143000" cy="1143000"/>
    <xdr:pic>
      <xdr:nvPicPr>
        <xdr:cNvPr id="7044" name="8c9c6306-3edc-4de5-b22e-ebfa6293471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8c7ae8de33646c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7047</xdr:row>
      <xdr:rowOff>19050</xdr:rowOff>
    </xdr:from>
    <xdr:ext cx="1143000" cy="1143000"/>
    <xdr:pic>
      <xdr:nvPicPr>
        <xdr:cNvPr id="7045" name="dc5e9292-6265-498d-b332-7d068daf2fb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d8b0e961551433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7048</xdr:row>
      <xdr:rowOff>19050</xdr:rowOff>
    </xdr:from>
    <xdr:ext cx="1143000" cy="1143000"/>
    <xdr:pic>
      <xdr:nvPicPr>
        <xdr:cNvPr id="7046" name="bd953e34-59cc-4adf-94ab-b32f1c99e9a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5dd3ac10d47459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7049</xdr:row>
      <xdr:rowOff>19050</xdr:rowOff>
    </xdr:from>
    <xdr:ext cx="1143000" cy="1143000"/>
    <xdr:pic>
      <xdr:nvPicPr>
        <xdr:cNvPr id="7047" name="f34ab849-d9e5-4f75-b55c-992a7f6043f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0b949ca9a82412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7050</xdr:row>
      <xdr:rowOff>19050</xdr:rowOff>
    </xdr:from>
    <xdr:ext cx="1143000" cy="1143000"/>
    <xdr:pic>
      <xdr:nvPicPr>
        <xdr:cNvPr id="7048" name="f30808e5-a515-447d-b641-9f5944ce16c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b3132bf8d88479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7051</xdr:row>
      <xdr:rowOff>19050</xdr:rowOff>
    </xdr:from>
    <xdr:ext cx="1143000" cy="1143000"/>
    <xdr:pic>
      <xdr:nvPicPr>
        <xdr:cNvPr id="7049" name="021cd7d7-99f3-4054-9a93-f00738b044f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54d22575a20437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7052</xdr:row>
      <xdr:rowOff>19050</xdr:rowOff>
    </xdr:from>
    <xdr:ext cx="1143000" cy="1143000"/>
    <xdr:pic>
      <xdr:nvPicPr>
        <xdr:cNvPr id="7050" name="a03b8e68-0754-49e3-bbb5-5cb63ec573a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1d0b56c8c94415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7053</xdr:row>
      <xdr:rowOff>19050</xdr:rowOff>
    </xdr:from>
    <xdr:ext cx="1143000" cy="1143000"/>
    <xdr:pic>
      <xdr:nvPicPr>
        <xdr:cNvPr id="7051" name="eab24d60-94cb-4fe9-89f8-ff33f3b8ca3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a2b24e3514543e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7054</xdr:row>
      <xdr:rowOff>19050</xdr:rowOff>
    </xdr:from>
    <xdr:ext cx="1143000" cy="1143000"/>
    <xdr:pic>
      <xdr:nvPicPr>
        <xdr:cNvPr id="7052" name="66cf191c-63bc-4a09-84f6-7f224c4e8b3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a9dbb1cc821481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7055</xdr:row>
      <xdr:rowOff>19050</xdr:rowOff>
    </xdr:from>
    <xdr:ext cx="1143000" cy="1143000"/>
    <xdr:pic>
      <xdr:nvPicPr>
        <xdr:cNvPr id="7053" name="e096a215-45f0-48b5-beda-d30cebdc469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fbb58ef9e364a1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7056</xdr:row>
      <xdr:rowOff>19050</xdr:rowOff>
    </xdr:from>
    <xdr:ext cx="1143000" cy="1143000"/>
    <xdr:pic>
      <xdr:nvPicPr>
        <xdr:cNvPr id="7054" name="6e0b4cfd-816e-414f-b67e-e630c16701d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cb7e13c5e694b3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7057</xdr:row>
      <xdr:rowOff>19050</xdr:rowOff>
    </xdr:from>
    <xdr:ext cx="1143000" cy="1143000"/>
    <xdr:pic>
      <xdr:nvPicPr>
        <xdr:cNvPr id="7055" name="ff8af702-9cfa-4adb-bb62-0bf3bc209c6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c8f633c680c49b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7058</xdr:row>
      <xdr:rowOff>19050</xdr:rowOff>
    </xdr:from>
    <xdr:ext cx="1143000" cy="1143000"/>
    <xdr:pic>
      <xdr:nvPicPr>
        <xdr:cNvPr id="7056" name="c8218980-6d81-430e-a40b-7c877a771a8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abe265aa09b498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7059</xdr:row>
      <xdr:rowOff>19050</xdr:rowOff>
    </xdr:from>
    <xdr:ext cx="1143000" cy="1143000"/>
    <xdr:pic>
      <xdr:nvPicPr>
        <xdr:cNvPr id="7057" name="5ba6f608-ca26-47a7-bb0a-4d3cab26bd0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7054e4a5116424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7060</xdr:row>
      <xdr:rowOff>19050</xdr:rowOff>
    </xdr:from>
    <xdr:ext cx="1143000" cy="1143000"/>
    <xdr:pic>
      <xdr:nvPicPr>
        <xdr:cNvPr id="7058" name="eb22e027-485f-494e-8a1c-bcbff26c3df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7d719b7091a4fc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7061</xdr:row>
      <xdr:rowOff>19050</xdr:rowOff>
    </xdr:from>
    <xdr:ext cx="1143000" cy="1143000"/>
    <xdr:pic>
      <xdr:nvPicPr>
        <xdr:cNvPr id="7059" name="ce5f1206-1948-4040-b545-3e5ab262354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38cee04203848f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7062</xdr:row>
      <xdr:rowOff>19050</xdr:rowOff>
    </xdr:from>
    <xdr:ext cx="1143000" cy="1143000"/>
    <xdr:pic>
      <xdr:nvPicPr>
        <xdr:cNvPr id="7060" name="3564734d-f60b-4388-bd68-e27703c36e5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bd610fc93154c9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7063</xdr:row>
      <xdr:rowOff>19050</xdr:rowOff>
    </xdr:from>
    <xdr:ext cx="1143000" cy="1143000"/>
    <xdr:pic>
      <xdr:nvPicPr>
        <xdr:cNvPr id="7061" name="544a1f02-83b0-4fbe-baf5-03772ef5ccd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5a90abf6778439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7064</xdr:row>
      <xdr:rowOff>19050</xdr:rowOff>
    </xdr:from>
    <xdr:ext cx="1143000" cy="1143000"/>
    <xdr:pic>
      <xdr:nvPicPr>
        <xdr:cNvPr id="7062" name="1869f1e9-ba79-4af5-a025-f917c10f86c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248b46d7141420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7065</xdr:row>
      <xdr:rowOff>19050</xdr:rowOff>
    </xdr:from>
    <xdr:ext cx="1143000" cy="1143000"/>
    <xdr:pic>
      <xdr:nvPicPr>
        <xdr:cNvPr id="7063" name="7a41325d-4e57-4cce-8d86-5bf2a721f8c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a46c98ad36b470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7066</xdr:row>
      <xdr:rowOff>19050</xdr:rowOff>
    </xdr:from>
    <xdr:ext cx="1143000" cy="1143000"/>
    <xdr:pic>
      <xdr:nvPicPr>
        <xdr:cNvPr id="7064" name="efc7c8e8-df7a-4491-8eb1-64115f27e47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6a2c7be342c4b3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7067</xdr:row>
      <xdr:rowOff>19050</xdr:rowOff>
    </xdr:from>
    <xdr:ext cx="1143000" cy="1143000"/>
    <xdr:pic>
      <xdr:nvPicPr>
        <xdr:cNvPr id="7065" name="e1fbed87-9d13-4235-b4c5-3be32c16a5a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5fd408004b443a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7068</xdr:row>
      <xdr:rowOff>19050</xdr:rowOff>
    </xdr:from>
    <xdr:ext cx="1143000" cy="1143000"/>
    <xdr:pic>
      <xdr:nvPicPr>
        <xdr:cNvPr id="7066" name="2daddb38-a241-4f87-8e57-0b4240ebef6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b2e2cf4b45d432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7069</xdr:row>
      <xdr:rowOff>19050</xdr:rowOff>
    </xdr:from>
    <xdr:ext cx="1143000" cy="1143000"/>
    <xdr:pic>
      <xdr:nvPicPr>
        <xdr:cNvPr id="7067" name="b524840c-e3da-42c9-9f64-9838e0a29f4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bc1f82a5ca6417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7070</xdr:row>
      <xdr:rowOff>19050</xdr:rowOff>
    </xdr:from>
    <xdr:ext cx="1143000" cy="1143000"/>
    <xdr:pic>
      <xdr:nvPicPr>
        <xdr:cNvPr id="7068" name="71fbdcde-36ce-4310-94fe-4c2db13acb9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163ceda608b4d0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7071</xdr:row>
      <xdr:rowOff>19050</xdr:rowOff>
    </xdr:from>
    <xdr:ext cx="1143000" cy="1143000"/>
    <xdr:pic>
      <xdr:nvPicPr>
        <xdr:cNvPr id="7069" name="a746d453-b95e-4807-83d5-0fc21e47abe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ea9694fff3b4c7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7072</xdr:row>
      <xdr:rowOff>19050</xdr:rowOff>
    </xdr:from>
    <xdr:ext cx="1143000" cy="1143000"/>
    <xdr:pic>
      <xdr:nvPicPr>
        <xdr:cNvPr id="7070" name="2536c9a4-7ad2-4e0f-9cc8-cecfd1d1a79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6de4aea9a66475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7073</xdr:row>
      <xdr:rowOff>19050</xdr:rowOff>
    </xdr:from>
    <xdr:ext cx="1143000" cy="1143000"/>
    <xdr:pic>
      <xdr:nvPicPr>
        <xdr:cNvPr id="7071" name="8cf0c00f-07b7-4361-918c-66c678957b1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f83e75399ea422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7074</xdr:row>
      <xdr:rowOff>19050</xdr:rowOff>
    </xdr:from>
    <xdr:ext cx="1143000" cy="1143000"/>
    <xdr:pic>
      <xdr:nvPicPr>
        <xdr:cNvPr id="7072" name="d411985b-8ca2-490b-a136-237bcdc2ac5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815e222f4d245d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7075</xdr:row>
      <xdr:rowOff>19050</xdr:rowOff>
    </xdr:from>
    <xdr:ext cx="1143000" cy="1143000"/>
    <xdr:pic>
      <xdr:nvPicPr>
        <xdr:cNvPr id="7073" name="9fbefbbc-3dd2-4c6d-a779-c098ca46d2d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a9a4468c1014c1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7076</xdr:row>
      <xdr:rowOff>19050</xdr:rowOff>
    </xdr:from>
    <xdr:ext cx="1143000" cy="1143000"/>
    <xdr:pic>
      <xdr:nvPicPr>
        <xdr:cNvPr id="7074" name="40ef17e1-68fd-4c5f-a600-cdb997a3893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b6102491e7942a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7077</xdr:row>
      <xdr:rowOff>19050</xdr:rowOff>
    </xdr:from>
    <xdr:ext cx="1143000" cy="1143000"/>
    <xdr:pic>
      <xdr:nvPicPr>
        <xdr:cNvPr id="7075" name="0f27a0a3-c480-45a8-bfc3-81854d8e0c3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db545fb8389407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7078</xdr:row>
      <xdr:rowOff>19050</xdr:rowOff>
    </xdr:from>
    <xdr:ext cx="1143000" cy="1143000"/>
    <xdr:pic>
      <xdr:nvPicPr>
        <xdr:cNvPr id="7076" name="4e96e8cf-6804-49b7-b398-b58a6d20a1a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f37aea901fb497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7079</xdr:row>
      <xdr:rowOff>19050</xdr:rowOff>
    </xdr:from>
    <xdr:ext cx="1143000" cy="1143000"/>
    <xdr:pic>
      <xdr:nvPicPr>
        <xdr:cNvPr id="7077" name="ab22dc7d-1075-45e8-a5c9-699660fbd17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a30f99f68f0453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7080</xdr:row>
      <xdr:rowOff>19050</xdr:rowOff>
    </xdr:from>
    <xdr:ext cx="1143000" cy="1143000"/>
    <xdr:pic>
      <xdr:nvPicPr>
        <xdr:cNvPr id="7078" name="3e234ac8-d3f7-42cc-8507-d6876f63a8d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50c12e795b84eb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7081</xdr:row>
      <xdr:rowOff>19050</xdr:rowOff>
    </xdr:from>
    <xdr:ext cx="1143000" cy="1143000"/>
    <xdr:pic>
      <xdr:nvPicPr>
        <xdr:cNvPr id="7079" name="852417f8-7d96-4340-8119-317acc8a718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902655ccee441b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7082</xdr:row>
      <xdr:rowOff>19050</xdr:rowOff>
    </xdr:from>
    <xdr:ext cx="1143000" cy="1143000"/>
    <xdr:pic>
      <xdr:nvPicPr>
        <xdr:cNvPr id="7080" name="6dbfe40c-51a4-45c2-bd54-a0fb36d5d5c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be5f769eca7422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7083</xdr:row>
      <xdr:rowOff>19050</xdr:rowOff>
    </xdr:from>
    <xdr:ext cx="1143000" cy="1143000"/>
    <xdr:pic>
      <xdr:nvPicPr>
        <xdr:cNvPr id="7081" name="a17b893a-e57e-405f-a3db-5bd7fa14565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dee9c45afd5483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7084</xdr:row>
      <xdr:rowOff>19050</xdr:rowOff>
    </xdr:from>
    <xdr:ext cx="1143000" cy="1143000"/>
    <xdr:pic>
      <xdr:nvPicPr>
        <xdr:cNvPr id="7082" name="13378559-30c3-4982-9766-1570d03f57f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d56f798d0ec479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7085</xdr:row>
      <xdr:rowOff>19050</xdr:rowOff>
    </xdr:from>
    <xdr:ext cx="1143000" cy="1143000"/>
    <xdr:pic>
      <xdr:nvPicPr>
        <xdr:cNvPr id="7083" name="d0bda883-3f58-47ad-a9ff-4086a7af610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8a190996431431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7086</xdr:row>
      <xdr:rowOff>19050</xdr:rowOff>
    </xdr:from>
    <xdr:ext cx="1143000" cy="1143000"/>
    <xdr:pic>
      <xdr:nvPicPr>
        <xdr:cNvPr id="7084" name="367e57dd-130e-44e6-8d14-25d2aa7604e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8b1f1e3b1534cb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7087</xdr:row>
      <xdr:rowOff>19050</xdr:rowOff>
    </xdr:from>
    <xdr:ext cx="1143000" cy="1143000"/>
    <xdr:pic>
      <xdr:nvPicPr>
        <xdr:cNvPr id="7085" name="bf1d7df1-a6af-4946-a01d-456c3cf1bec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0d0fbc9500e4e4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7088</xdr:row>
      <xdr:rowOff>19050</xdr:rowOff>
    </xdr:from>
    <xdr:ext cx="1143000" cy="1143000"/>
    <xdr:pic>
      <xdr:nvPicPr>
        <xdr:cNvPr id="7086" name="6d5ce711-97e0-4597-ad78-814ea1caa56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f1ec91c11984a9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7089</xdr:row>
      <xdr:rowOff>19050</xdr:rowOff>
    </xdr:from>
    <xdr:ext cx="1143000" cy="1143000"/>
    <xdr:pic>
      <xdr:nvPicPr>
        <xdr:cNvPr id="7087" name="897c4edc-e8cd-4c3c-bbbd-fb7a554862a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bed18d66398442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7090</xdr:row>
      <xdr:rowOff>19050</xdr:rowOff>
    </xdr:from>
    <xdr:ext cx="1143000" cy="1143000"/>
    <xdr:pic>
      <xdr:nvPicPr>
        <xdr:cNvPr id="7088" name="753f6294-e648-4e82-8af6-d971d0733f1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0c66f220212447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7091</xdr:row>
      <xdr:rowOff>19050</xdr:rowOff>
    </xdr:from>
    <xdr:ext cx="1143000" cy="1143000"/>
    <xdr:pic>
      <xdr:nvPicPr>
        <xdr:cNvPr id="7089" name="8735a2d9-b144-4c1f-975c-f16118c55ff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1911bc793c94e5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7092</xdr:row>
      <xdr:rowOff>19050</xdr:rowOff>
    </xdr:from>
    <xdr:ext cx="1143000" cy="1143000"/>
    <xdr:pic>
      <xdr:nvPicPr>
        <xdr:cNvPr id="7090" name="570122dd-f441-4817-9df2-42877fb6653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3ffad4f7e8b478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7093</xdr:row>
      <xdr:rowOff>19050</xdr:rowOff>
    </xdr:from>
    <xdr:ext cx="1143000" cy="1143000"/>
    <xdr:pic>
      <xdr:nvPicPr>
        <xdr:cNvPr id="7091" name="dafd3def-efb6-436f-858e-ce233df8006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86075135978413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7094</xdr:row>
      <xdr:rowOff>19050</xdr:rowOff>
    </xdr:from>
    <xdr:ext cx="1143000" cy="1143000"/>
    <xdr:pic>
      <xdr:nvPicPr>
        <xdr:cNvPr id="7092" name="02ca5478-887b-4aeb-b988-dc6c23205a2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5232c05e27a425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7095</xdr:row>
      <xdr:rowOff>19050</xdr:rowOff>
    </xdr:from>
    <xdr:ext cx="1143000" cy="1143000"/>
    <xdr:pic>
      <xdr:nvPicPr>
        <xdr:cNvPr id="7093" name="932775bf-6512-49d8-b871-d99304d559b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94b65d7e03e41f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7096</xdr:row>
      <xdr:rowOff>19050</xdr:rowOff>
    </xdr:from>
    <xdr:ext cx="1143000" cy="1143000"/>
    <xdr:pic>
      <xdr:nvPicPr>
        <xdr:cNvPr id="7094" name="ed6605c8-f2a9-40b1-8817-d484a8011fd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cad3db78487496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7097</xdr:row>
      <xdr:rowOff>19050</xdr:rowOff>
    </xdr:from>
    <xdr:ext cx="1143000" cy="1143000"/>
    <xdr:pic>
      <xdr:nvPicPr>
        <xdr:cNvPr id="7095" name="92e3d7aa-763d-4047-90a7-93bcec4da5c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95d9f8c6b344a0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7098</xdr:row>
      <xdr:rowOff>19050</xdr:rowOff>
    </xdr:from>
    <xdr:ext cx="1143000" cy="1143000"/>
    <xdr:pic>
      <xdr:nvPicPr>
        <xdr:cNvPr id="7096" name="d877b28e-7054-46cc-9c10-992fc26eb4f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0c46127a96a4fa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7099</xdr:row>
      <xdr:rowOff>19050</xdr:rowOff>
    </xdr:from>
    <xdr:ext cx="1143000" cy="1143000"/>
    <xdr:pic>
      <xdr:nvPicPr>
        <xdr:cNvPr id="7097" name="b60b73de-240f-40e3-8301-8c3c4ffb720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b0dc1d39a164fd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7100</xdr:row>
      <xdr:rowOff>19050</xdr:rowOff>
    </xdr:from>
    <xdr:ext cx="1143000" cy="1143000"/>
    <xdr:pic>
      <xdr:nvPicPr>
        <xdr:cNvPr id="7098" name="9a658d95-15ba-4249-a926-3f84a54fe46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ad5729f75af498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7101</xdr:row>
      <xdr:rowOff>19050</xdr:rowOff>
    </xdr:from>
    <xdr:ext cx="1143000" cy="1143000"/>
    <xdr:pic>
      <xdr:nvPicPr>
        <xdr:cNvPr id="7099" name="d576fa60-7a43-4fac-8d4d-bb949ffa5cc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2fd3ac49a2e4f1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7102</xdr:row>
      <xdr:rowOff>19050</xdr:rowOff>
    </xdr:from>
    <xdr:ext cx="1143000" cy="1143000"/>
    <xdr:pic>
      <xdr:nvPicPr>
        <xdr:cNvPr id="7100" name="f9261c86-c7a8-4198-a370-f722ccf5dae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32ebd235a414e1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7103</xdr:row>
      <xdr:rowOff>19050</xdr:rowOff>
    </xdr:from>
    <xdr:ext cx="1143000" cy="1143000"/>
    <xdr:pic>
      <xdr:nvPicPr>
        <xdr:cNvPr id="7101" name="4855b07a-2d3c-4fa0-bc50-c7f78764eb1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6ef91507e9d409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7104</xdr:row>
      <xdr:rowOff>19050</xdr:rowOff>
    </xdr:from>
    <xdr:ext cx="1143000" cy="1143000"/>
    <xdr:pic>
      <xdr:nvPicPr>
        <xdr:cNvPr id="7102" name="5396eccc-4a1a-4ddc-99ea-e322d4144f3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b446abc42504d6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7105</xdr:row>
      <xdr:rowOff>19050</xdr:rowOff>
    </xdr:from>
    <xdr:ext cx="1143000" cy="1143000"/>
    <xdr:pic>
      <xdr:nvPicPr>
        <xdr:cNvPr id="7103" name="49df2e40-8f92-4012-b0e6-12d93091202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5122bd5ee8e41b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7106</xdr:row>
      <xdr:rowOff>19050</xdr:rowOff>
    </xdr:from>
    <xdr:ext cx="1143000" cy="1143000"/>
    <xdr:pic>
      <xdr:nvPicPr>
        <xdr:cNvPr id="7104" name="def4c8e5-1384-42d8-a18a-f5623688e7d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e7874d4c2ea461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7107</xdr:row>
      <xdr:rowOff>19050</xdr:rowOff>
    </xdr:from>
    <xdr:ext cx="1143000" cy="1143000"/>
    <xdr:pic>
      <xdr:nvPicPr>
        <xdr:cNvPr id="7105" name="7c1e3b06-eb74-4e10-a7d3-7c288cc5a2a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2c19446e854415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7108</xdr:row>
      <xdr:rowOff>19050</xdr:rowOff>
    </xdr:from>
    <xdr:ext cx="1143000" cy="1143000"/>
    <xdr:pic>
      <xdr:nvPicPr>
        <xdr:cNvPr id="7106" name="d5f0f20d-cebe-4ab5-893d-334e8410a3a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576de867c2948c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7109</xdr:row>
      <xdr:rowOff>19050</xdr:rowOff>
    </xdr:from>
    <xdr:ext cx="1143000" cy="1143000"/>
    <xdr:pic>
      <xdr:nvPicPr>
        <xdr:cNvPr id="7107" name="5f66eb50-a774-485c-970c-3139428ac5a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43edb420f204e0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7110</xdr:row>
      <xdr:rowOff>19050</xdr:rowOff>
    </xdr:from>
    <xdr:ext cx="1143000" cy="1143000"/>
    <xdr:pic>
      <xdr:nvPicPr>
        <xdr:cNvPr id="7108" name="511a4efb-d9c6-43b3-a14d-b1e950218ee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8613a5ce3fb4d3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7111</xdr:row>
      <xdr:rowOff>19050</xdr:rowOff>
    </xdr:from>
    <xdr:ext cx="1143000" cy="1143000"/>
    <xdr:pic>
      <xdr:nvPicPr>
        <xdr:cNvPr id="7109" name="593d17a1-d7db-45de-a683-2ff22ce474a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12bbaa905a5498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7112</xdr:row>
      <xdr:rowOff>19050</xdr:rowOff>
    </xdr:from>
    <xdr:ext cx="1143000" cy="1143000"/>
    <xdr:pic>
      <xdr:nvPicPr>
        <xdr:cNvPr id="7110" name="58f63f6e-dd76-463a-b10f-af39b50e335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79f472f7cc74d9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7113</xdr:row>
      <xdr:rowOff>19050</xdr:rowOff>
    </xdr:from>
    <xdr:ext cx="1143000" cy="1143000"/>
    <xdr:pic>
      <xdr:nvPicPr>
        <xdr:cNvPr id="7111" name="18f00e6d-762c-4124-a71d-0c038704030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6b7f5956931476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7114</xdr:row>
      <xdr:rowOff>19050</xdr:rowOff>
    </xdr:from>
    <xdr:ext cx="1143000" cy="1143000"/>
    <xdr:pic>
      <xdr:nvPicPr>
        <xdr:cNvPr id="7112" name="641b6cd4-1127-42fe-bfc8-c30e9810b2b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75843e1c467499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7115</xdr:row>
      <xdr:rowOff>19050</xdr:rowOff>
    </xdr:from>
    <xdr:ext cx="1143000" cy="1143000"/>
    <xdr:pic>
      <xdr:nvPicPr>
        <xdr:cNvPr id="7113" name="67e0172e-95b8-40eb-90f8-a7e19a3af48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1a2bc7ccc544f6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7116</xdr:row>
      <xdr:rowOff>19050</xdr:rowOff>
    </xdr:from>
    <xdr:ext cx="1143000" cy="1143000"/>
    <xdr:pic>
      <xdr:nvPicPr>
        <xdr:cNvPr id="7114" name="800022a6-4c8f-4aaa-a3e8-e9a159fd339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d737463f40e4f1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7117</xdr:row>
      <xdr:rowOff>19050</xdr:rowOff>
    </xdr:from>
    <xdr:ext cx="1143000" cy="1143000"/>
    <xdr:pic>
      <xdr:nvPicPr>
        <xdr:cNvPr id="7115" name="a5d6a61c-343a-482e-bebd-d51e19d408d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e5b32286554490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7118</xdr:row>
      <xdr:rowOff>19050</xdr:rowOff>
    </xdr:from>
    <xdr:ext cx="1143000" cy="1143000"/>
    <xdr:pic>
      <xdr:nvPicPr>
        <xdr:cNvPr id="7116" name="037084cc-8723-4309-82bc-4810a7208a3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41fe0256eee428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7119</xdr:row>
      <xdr:rowOff>19050</xdr:rowOff>
    </xdr:from>
    <xdr:ext cx="1143000" cy="1143000"/>
    <xdr:pic>
      <xdr:nvPicPr>
        <xdr:cNvPr id="7117" name="61118c61-9e0e-43a4-95d1-e774643378f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64099de1f0c491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7120</xdr:row>
      <xdr:rowOff>19050</xdr:rowOff>
    </xdr:from>
    <xdr:ext cx="1143000" cy="1143000"/>
    <xdr:pic>
      <xdr:nvPicPr>
        <xdr:cNvPr id="7118" name="12ea4af0-c29e-45b3-af7e-1dc6b98b6f6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8a6043dfea8469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7121</xdr:row>
      <xdr:rowOff>19050</xdr:rowOff>
    </xdr:from>
    <xdr:ext cx="1143000" cy="1143000"/>
    <xdr:pic>
      <xdr:nvPicPr>
        <xdr:cNvPr id="7119" name="2996f8bb-c998-40fa-81ee-c2334f79bcd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ccd6d5ef9004d5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7122</xdr:row>
      <xdr:rowOff>19050</xdr:rowOff>
    </xdr:from>
    <xdr:ext cx="1143000" cy="1143000"/>
    <xdr:pic>
      <xdr:nvPicPr>
        <xdr:cNvPr id="7120" name="aa4f401b-eabd-4e6f-80ea-b3c361349e8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9a1eb23f68543d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7123</xdr:row>
      <xdr:rowOff>19050</xdr:rowOff>
    </xdr:from>
    <xdr:ext cx="1143000" cy="1143000"/>
    <xdr:pic>
      <xdr:nvPicPr>
        <xdr:cNvPr id="7121" name="ecf6bf48-4e52-42db-bf3d-d7cf5fc6cba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7b8a6013b4a40e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7124</xdr:row>
      <xdr:rowOff>19050</xdr:rowOff>
    </xdr:from>
    <xdr:ext cx="1143000" cy="1143000"/>
    <xdr:pic>
      <xdr:nvPicPr>
        <xdr:cNvPr id="7122" name="4b6b99b1-b491-43d8-a44d-92aca8d9237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228b1e42a0a4e1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7125</xdr:row>
      <xdr:rowOff>19050</xdr:rowOff>
    </xdr:from>
    <xdr:ext cx="1143000" cy="1143000"/>
    <xdr:pic>
      <xdr:nvPicPr>
        <xdr:cNvPr id="7123" name="48dff7b9-385b-4329-826f-15e5cdde12d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fd1f1b2d1014cf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7126</xdr:row>
      <xdr:rowOff>19050</xdr:rowOff>
    </xdr:from>
    <xdr:ext cx="1143000" cy="1143000"/>
    <xdr:pic>
      <xdr:nvPicPr>
        <xdr:cNvPr id="7124" name="b1da31da-47b6-456d-ba6c-78e6d6e5b3a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89fb0e010bd400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7127</xdr:row>
      <xdr:rowOff>19050</xdr:rowOff>
    </xdr:from>
    <xdr:ext cx="1143000" cy="1143000"/>
    <xdr:pic>
      <xdr:nvPicPr>
        <xdr:cNvPr id="7125" name="5cfd9840-b1ae-4ba3-9f12-e0eb6ad73c4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d4576935f994c0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7128</xdr:row>
      <xdr:rowOff>19050</xdr:rowOff>
    </xdr:from>
    <xdr:ext cx="1143000" cy="1143000"/>
    <xdr:pic>
      <xdr:nvPicPr>
        <xdr:cNvPr id="7126" name="bd46f642-6e30-4823-952d-22980f4d25c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50140749acb436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7129</xdr:row>
      <xdr:rowOff>19050</xdr:rowOff>
    </xdr:from>
    <xdr:ext cx="1143000" cy="1143000"/>
    <xdr:pic>
      <xdr:nvPicPr>
        <xdr:cNvPr id="7127" name="6bc21862-d009-49c1-b957-36ef020668c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f6e1e7e07eb4b6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7130</xdr:row>
      <xdr:rowOff>19050</xdr:rowOff>
    </xdr:from>
    <xdr:ext cx="1143000" cy="1143000"/>
    <xdr:pic>
      <xdr:nvPicPr>
        <xdr:cNvPr id="7128" name="64fee3f2-a901-4dbe-bf5f-96b955bb7f0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37edf43b824426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7131</xdr:row>
      <xdr:rowOff>19050</xdr:rowOff>
    </xdr:from>
    <xdr:ext cx="1143000" cy="1143000"/>
    <xdr:pic>
      <xdr:nvPicPr>
        <xdr:cNvPr id="7129" name="1514b86c-30ec-48d4-ae42-c4aabbc1167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ed59d8483204c5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7132</xdr:row>
      <xdr:rowOff>19050</xdr:rowOff>
    </xdr:from>
    <xdr:ext cx="1143000" cy="1143000"/>
    <xdr:pic>
      <xdr:nvPicPr>
        <xdr:cNvPr id="7130" name="a4d0621e-6680-4344-8882-9a7ea8a37a4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89f9eb89c1e4bf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7133</xdr:row>
      <xdr:rowOff>19050</xdr:rowOff>
    </xdr:from>
    <xdr:ext cx="1143000" cy="1143000"/>
    <xdr:pic>
      <xdr:nvPicPr>
        <xdr:cNvPr id="7131" name="01d7b168-628b-4a82-8a41-94247ff1dcd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8b773f8733e40d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7134</xdr:row>
      <xdr:rowOff>19050</xdr:rowOff>
    </xdr:from>
    <xdr:ext cx="1143000" cy="1143000"/>
    <xdr:pic>
      <xdr:nvPicPr>
        <xdr:cNvPr id="7132" name="ad8c69ee-2796-464e-92bb-7a5128fddc1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e659826363149f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7135</xdr:row>
      <xdr:rowOff>19050</xdr:rowOff>
    </xdr:from>
    <xdr:ext cx="1143000" cy="1143000"/>
    <xdr:pic>
      <xdr:nvPicPr>
        <xdr:cNvPr id="7133" name="9c02620c-9450-431c-b0e0-f86d9624230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236a5df030d494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7136</xdr:row>
      <xdr:rowOff>19050</xdr:rowOff>
    </xdr:from>
    <xdr:ext cx="1143000" cy="1143000"/>
    <xdr:pic>
      <xdr:nvPicPr>
        <xdr:cNvPr id="7134" name="0f277926-54ad-4f3d-a2e3-11be82bb096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01874fc9a6841b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7137</xdr:row>
      <xdr:rowOff>19050</xdr:rowOff>
    </xdr:from>
    <xdr:ext cx="1143000" cy="1143000"/>
    <xdr:pic>
      <xdr:nvPicPr>
        <xdr:cNvPr id="7135" name="db5431ba-55f7-4749-bb05-c5bece20ea1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967c5c9187741a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7138</xdr:row>
      <xdr:rowOff>19050</xdr:rowOff>
    </xdr:from>
    <xdr:ext cx="1143000" cy="1143000"/>
    <xdr:pic>
      <xdr:nvPicPr>
        <xdr:cNvPr id="7136" name="8b6e4d30-7016-4505-8f10-31c24495745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a5c36c069aa48c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7139</xdr:row>
      <xdr:rowOff>19050</xdr:rowOff>
    </xdr:from>
    <xdr:ext cx="1143000" cy="1143000"/>
    <xdr:pic>
      <xdr:nvPicPr>
        <xdr:cNvPr id="7137" name="cc79e326-d92e-4d52-998c-aa81d2e59e7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c9d9b396f5246f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7140</xdr:row>
      <xdr:rowOff>19050</xdr:rowOff>
    </xdr:from>
    <xdr:ext cx="1143000" cy="1143000"/>
    <xdr:pic>
      <xdr:nvPicPr>
        <xdr:cNvPr id="7138" name="71ea9578-8c42-4856-aac6-b3e6b467c40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d91ad2ab41c4fd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7141</xdr:row>
      <xdr:rowOff>19050</xdr:rowOff>
    </xdr:from>
    <xdr:ext cx="1143000" cy="1143000"/>
    <xdr:pic>
      <xdr:nvPicPr>
        <xdr:cNvPr id="7139" name="422b8407-ba64-4d66-b71b-79fe2fa2079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508389f127c422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7142</xdr:row>
      <xdr:rowOff>19050</xdr:rowOff>
    </xdr:from>
    <xdr:ext cx="1143000" cy="1143000"/>
    <xdr:pic>
      <xdr:nvPicPr>
        <xdr:cNvPr id="7140" name="47da59ab-288d-4594-91a1-e3dd46c81dd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3e536054634439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7143</xdr:row>
      <xdr:rowOff>19050</xdr:rowOff>
    </xdr:from>
    <xdr:ext cx="1143000" cy="1143000"/>
    <xdr:pic>
      <xdr:nvPicPr>
        <xdr:cNvPr id="7141" name="f60b7882-efa0-4331-870f-79ce6b6ad52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fd9a5271758418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7144</xdr:row>
      <xdr:rowOff>19050</xdr:rowOff>
    </xdr:from>
    <xdr:ext cx="1143000" cy="1143000"/>
    <xdr:pic>
      <xdr:nvPicPr>
        <xdr:cNvPr id="7142" name="939cc35e-bc98-4034-ada3-76c6dc92925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766480de15f4f7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7145</xdr:row>
      <xdr:rowOff>19050</xdr:rowOff>
    </xdr:from>
    <xdr:ext cx="1143000" cy="1143000"/>
    <xdr:pic>
      <xdr:nvPicPr>
        <xdr:cNvPr id="7143" name="32192e9f-2018-43bb-a621-a6d1a33600d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583df75b81842e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7146</xdr:row>
      <xdr:rowOff>19050</xdr:rowOff>
    </xdr:from>
    <xdr:ext cx="1143000" cy="1143000"/>
    <xdr:pic>
      <xdr:nvPicPr>
        <xdr:cNvPr id="7144" name="f6aa3a12-52c4-497b-b7d6-5d03ba53a2f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7c81a7a12dd482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7147</xdr:row>
      <xdr:rowOff>19050</xdr:rowOff>
    </xdr:from>
    <xdr:ext cx="1143000" cy="1143000"/>
    <xdr:pic>
      <xdr:nvPicPr>
        <xdr:cNvPr id="7145" name="e62d56b4-ebb1-452c-bbb2-e751ea42ab6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e7a3cf01743401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7148</xdr:row>
      <xdr:rowOff>19050</xdr:rowOff>
    </xdr:from>
    <xdr:ext cx="1143000" cy="1143000"/>
    <xdr:pic>
      <xdr:nvPicPr>
        <xdr:cNvPr id="7146" name="fe1e7121-c70e-46b6-9713-b06b173ff22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21a361b00c3426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7149</xdr:row>
      <xdr:rowOff>19050</xdr:rowOff>
    </xdr:from>
    <xdr:ext cx="1143000" cy="1143000"/>
    <xdr:pic>
      <xdr:nvPicPr>
        <xdr:cNvPr id="7147" name="3b326dc3-9f83-4e65-b330-fd32d09421e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61765ceacf0490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7150</xdr:row>
      <xdr:rowOff>19050</xdr:rowOff>
    </xdr:from>
    <xdr:ext cx="1143000" cy="1143000"/>
    <xdr:pic>
      <xdr:nvPicPr>
        <xdr:cNvPr id="7148" name="a624ca60-f85e-4dc7-8efc-5193c980b78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0864ea99d694aa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7151</xdr:row>
      <xdr:rowOff>19050</xdr:rowOff>
    </xdr:from>
    <xdr:ext cx="1143000" cy="1143000"/>
    <xdr:pic>
      <xdr:nvPicPr>
        <xdr:cNvPr id="7149" name="d64a6f6b-7c26-4a76-8338-9c87349b90a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8d80cd3ae724a7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7152</xdr:row>
      <xdr:rowOff>19050</xdr:rowOff>
    </xdr:from>
    <xdr:ext cx="1143000" cy="1143000"/>
    <xdr:pic>
      <xdr:nvPicPr>
        <xdr:cNvPr id="7150" name="f7aaba11-f0c4-4774-800f-c471dd4611b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123efec49c4458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7153</xdr:row>
      <xdr:rowOff>19050</xdr:rowOff>
    </xdr:from>
    <xdr:ext cx="1143000" cy="1143000"/>
    <xdr:pic>
      <xdr:nvPicPr>
        <xdr:cNvPr id="7151" name="a8375a6f-c740-4b19-9ee0-b1bd4f55f05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f7c654dd13a4c8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7154</xdr:row>
      <xdr:rowOff>19050</xdr:rowOff>
    </xdr:from>
    <xdr:ext cx="1143000" cy="1143000"/>
    <xdr:pic>
      <xdr:nvPicPr>
        <xdr:cNvPr id="7152" name="0e4bb023-253e-4c2d-89d4-689f60cfb32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125b8dee58644d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7155</xdr:row>
      <xdr:rowOff>19050</xdr:rowOff>
    </xdr:from>
    <xdr:ext cx="1143000" cy="1143000"/>
    <xdr:pic>
      <xdr:nvPicPr>
        <xdr:cNvPr id="7153" name="3013aa69-d4b1-4f7e-a0e6-c5e37096aac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ea71700644b481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7156</xdr:row>
      <xdr:rowOff>19050</xdr:rowOff>
    </xdr:from>
    <xdr:ext cx="1143000" cy="1143000"/>
    <xdr:pic>
      <xdr:nvPicPr>
        <xdr:cNvPr id="7154" name="32dd4ebb-eb12-46e6-a9e0-9a8f7cd1c4d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3b9783f4791496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7157</xdr:row>
      <xdr:rowOff>19050</xdr:rowOff>
    </xdr:from>
    <xdr:ext cx="1143000" cy="1143000"/>
    <xdr:pic>
      <xdr:nvPicPr>
        <xdr:cNvPr id="7155" name="52eba19c-4120-4f0d-aed4-18c8118b260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6dc3fea03654a0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7158</xdr:row>
      <xdr:rowOff>19050</xdr:rowOff>
    </xdr:from>
    <xdr:ext cx="1143000" cy="1143000"/>
    <xdr:pic>
      <xdr:nvPicPr>
        <xdr:cNvPr id="7156" name="bda052a5-cca5-45c7-bc94-d613d8e92c1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eb9b422450e4ae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7159</xdr:row>
      <xdr:rowOff>19050</xdr:rowOff>
    </xdr:from>
    <xdr:ext cx="1143000" cy="1143000"/>
    <xdr:pic>
      <xdr:nvPicPr>
        <xdr:cNvPr id="7157" name="d19b5dba-b0ae-4b56-8ff3-6bfe17187c5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24b3d8df97d4f9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7160</xdr:row>
      <xdr:rowOff>19050</xdr:rowOff>
    </xdr:from>
    <xdr:ext cx="1143000" cy="1143000"/>
    <xdr:pic>
      <xdr:nvPicPr>
        <xdr:cNvPr id="7158" name="7974cfca-5c5f-4797-aab3-9618ace9182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01386054433447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7161</xdr:row>
      <xdr:rowOff>19050</xdr:rowOff>
    </xdr:from>
    <xdr:ext cx="1143000" cy="1143000"/>
    <xdr:pic>
      <xdr:nvPicPr>
        <xdr:cNvPr id="7159" name="f82bf829-6a0d-49b4-9f6b-598af08c503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aa3de8e2ef5445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7162</xdr:row>
      <xdr:rowOff>19050</xdr:rowOff>
    </xdr:from>
    <xdr:ext cx="1143000" cy="1143000"/>
    <xdr:pic>
      <xdr:nvPicPr>
        <xdr:cNvPr id="7160" name="6bcb4656-df91-4544-bdaf-3beefdc53cc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7ef85ed14a0443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7163</xdr:row>
      <xdr:rowOff>19050</xdr:rowOff>
    </xdr:from>
    <xdr:ext cx="1143000" cy="1143000"/>
    <xdr:pic>
      <xdr:nvPicPr>
        <xdr:cNvPr id="7161" name="d038f2b6-a696-4a65-b302-93cb6eecf3c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f62ab040fdf4d7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7164</xdr:row>
      <xdr:rowOff>19050</xdr:rowOff>
    </xdr:from>
    <xdr:ext cx="1143000" cy="1143000"/>
    <xdr:pic>
      <xdr:nvPicPr>
        <xdr:cNvPr id="7162" name="acf8c8eb-d775-4149-8510-5e766ddd341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86d99ec659a4e2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7165</xdr:row>
      <xdr:rowOff>19050</xdr:rowOff>
    </xdr:from>
    <xdr:ext cx="1143000" cy="1143000"/>
    <xdr:pic>
      <xdr:nvPicPr>
        <xdr:cNvPr id="7163" name="62b0f5f5-5a2c-446e-85c1-592e7a64511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faa0527cca647f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7166</xdr:row>
      <xdr:rowOff>19050</xdr:rowOff>
    </xdr:from>
    <xdr:ext cx="1143000" cy="1143000"/>
    <xdr:pic>
      <xdr:nvPicPr>
        <xdr:cNvPr id="7164" name="d255b5df-da28-4e66-bf06-cb3b4c66378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4e795efa4274b3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7167</xdr:row>
      <xdr:rowOff>19050</xdr:rowOff>
    </xdr:from>
    <xdr:ext cx="1143000" cy="1143000"/>
    <xdr:pic>
      <xdr:nvPicPr>
        <xdr:cNvPr id="7165" name="c8085739-d97d-4fcc-93d7-72089d1a297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89c643c75584a8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7168</xdr:row>
      <xdr:rowOff>19050</xdr:rowOff>
    </xdr:from>
    <xdr:ext cx="1143000" cy="1143000"/>
    <xdr:pic>
      <xdr:nvPicPr>
        <xdr:cNvPr id="7166" name="526b205d-3f2e-47ad-9265-593bcfd3c1d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0c93511d3a4415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7169</xdr:row>
      <xdr:rowOff>19050</xdr:rowOff>
    </xdr:from>
    <xdr:ext cx="1143000" cy="1143000"/>
    <xdr:pic>
      <xdr:nvPicPr>
        <xdr:cNvPr id="7167" name="27f52c07-17f9-444d-bfcc-1d20c6d5f81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761123ceb214d8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7170</xdr:row>
      <xdr:rowOff>19050</xdr:rowOff>
    </xdr:from>
    <xdr:ext cx="1143000" cy="1143000"/>
    <xdr:pic>
      <xdr:nvPicPr>
        <xdr:cNvPr id="7168" name="e6e3d9ba-2cd8-4508-9e69-7da851d41b1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1a99a701c6945e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7171</xdr:row>
      <xdr:rowOff>19050</xdr:rowOff>
    </xdr:from>
    <xdr:ext cx="1143000" cy="1143000"/>
    <xdr:pic>
      <xdr:nvPicPr>
        <xdr:cNvPr id="7169" name="6363ca16-e760-4262-82b9-7fcca53f3ad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e6a8f2527a0400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7172</xdr:row>
      <xdr:rowOff>19050</xdr:rowOff>
    </xdr:from>
    <xdr:ext cx="1143000" cy="1143000"/>
    <xdr:pic>
      <xdr:nvPicPr>
        <xdr:cNvPr id="7170" name="a199f6c9-b81d-442f-b756-b0ff77bcb3c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659bb2c767b480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7173</xdr:row>
      <xdr:rowOff>19050</xdr:rowOff>
    </xdr:from>
    <xdr:ext cx="1143000" cy="1143000"/>
    <xdr:pic>
      <xdr:nvPicPr>
        <xdr:cNvPr id="7171" name="5fd3d5f4-1939-4ce0-a640-ba72252cd47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2712702086d4e3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7174</xdr:row>
      <xdr:rowOff>19050</xdr:rowOff>
    </xdr:from>
    <xdr:ext cx="1143000" cy="1143000"/>
    <xdr:pic>
      <xdr:nvPicPr>
        <xdr:cNvPr id="7172" name="2df1cb24-6da7-44b1-a62b-3eb85c8637f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d745371bf9e43b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7175</xdr:row>
      <xdr:rowOff>19050</xdr:rowOff>
    </xdr:from>
    <xdr:ext cx="1143000" cy="1143000"/>
    <xdr:pic>
      <xdr:nvPicPr>
        <xdr:cNvPr id="7173" name="2d0feafb-8a6e-461c-8d2b-d9d96b290b3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326246941c9418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7176</xdr:row>
      <xdr:rowOff>19050</xdr:rowOff>
    </xdr:from>
    <xdr:ext cx="1143000" cy="1143000"/>
    <xdr:pic>
      <xdr:nvPicPr>
        <xdr:cNvPr id="7174" name="769fc355-e78a-4fb0-bb7f-258210f787b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92a38fb5a894e9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7177</xdr:row>
      <xdr:rowOff>19050</xdr:rowOff>
    </xdr:from>
    <xdr:ext cx="1143000" cy="1143000"/>
    <xdr:pic>
      <xdr:nvPicPr>
        <xdr:cNvPr id="7175" name="2fa5f27b-e3eb-443d-93b5-2348ea5c094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5ebdfd1b31d443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7178</xdr:row>
      <xdr:rowOff>19050</xdr:rowOff>
    </xdr:from>
    <xdr:ext cx="1143000" cy="1143000"/>
    <xdr:pic>
      <xdr:nvPicPr>
        <xdr:cNvPr id="7176" name="ed9a6583-ce74-48d9-b46d-9aa6e7f5d71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a63a584f9bd455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7179</xdr:row>
      <xdr:rowOff>19050</xdr:rowOff>
    </xdr:from>
    <xdr:ext cx="1143000" cy="1143000"/>
    <xdr:pic>
      <xdr:nvPicPr>
        <xdr:cNvPr id="7177" name="788f8ce3-dbdc-447a-a772-90e8abbd7c9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64fc92fbd954ee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7180</xdr:row>
      <xdr:rowOff>19050</xdr:rowOff>
    </xdr:from>
    <xdr:ext cx="1143000" cy="1143000"/>
    <xdr:pic>
      <xdr:nvPicPr>
        <xdr:cNvPr id="7178" name="8cdc7655-a7d7-499f-a210-376c1f3bdda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465023306ec43f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7181</xdr:row>
      <xdr:rowOff>19050</xdr:rowOff>
    </xdr:from>
    <xdr:ext cx="1143000" cy="1143000"/>
    <xdr:pic>
      <xdr:nvPicPr>
        <xdr:cNvPr id="7179" name="ca731fc0-906e-4ce1-be68-c08a6040ead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aff3d868ac647c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7182</xdr:row>
      <xdr:rowOff>19050</xdr:rowOff>
    </xdr:from>
    <xdr:ext cx="1143000" cy="1143000"/>
    <xdr:pic>
      <xdr:nvPicPr>
        <xdr:cNvPr id="7180" name="0f4a7570-05d6-444f-9bdc-0d838bf9d10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8d918bd970e417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7183</xdr:row>
      <xdr:rowOff>19050</xdr:rowOff>
    </xdr:from>
    <xdr:ext cx="1143000" cy="1143000"/>
    <xdr:pic>
      <xdr:nvPicPr>
        <xdr:cNvPr id="7181" name="9c85c4ac-71ea-4b44-b67a-b24eb8f6fc9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e35581ac459453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7184</xdr:row>
      <xdr:rowOff>19050</xdr:rowOff>
    </xdr:from>
    <xdr:ext cx="1143000" cy="1143000"/>
    <xdr:pic>
      <xdr:nvPicPr>
        <xdr:cNvPr id="7182" name="fa63d39e-7b20-4f11-9c03-bec8b0459aa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9e84b443ed74c8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7185</xdr:row>
      <xdr:rowOff>19050</xdr:rowOff>
    </xdr:from>
    <xdr:ext cx="1143000" cy="1143000"/>
    <xdr:pic>
      <xdr:nvPicPr>
        <xdr:cNvPr id="7183" name="3fe75d47-f2a3-4744-a64d-fe60e7e3a11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68de4a640bd472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7186</xdr:row>
      <xdr:rowOff>19050</xdr:rowOff>
    </xdr:from>
    <xdr:ext cx="1143000" cy="1143000"/>
    <xdr:pic>
      <xdr:nvPicPr>
        <xdr:cNvPr id="7184" name="0913b617-0fe0-4cd2-913c-ad377123ea6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9b15b71d9de420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7187</xdr:row>
      <xdr:rowOff>19050</xdr:rowOff>
    </xdr:from>
    <xdr:ext cx="1143000" cy="1143000"/>
    <xdr:pic>
      <xdr:nvPicPr>
        <xdr:cNvPr id="7185" name="4e748968-23cb-4ab6-b1f8-f8d9027dd76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8d66af54abc4cc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7188</xdr:row>
      <xdr:rowOff>19050</xdr:rowOff>
    </xdr:from>
    <xdr:ext cx="1143000" cy="1143000"/>
    <xdr:pic>
      <xdr:nvPicPr>
        <xdr:cNvPr id="7186" name="fba3eb6b-1cff-4129-b487-2907d8419bf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ff8f74eee5541a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7189</xdr:row>
      <xdr:rowOff>19050</xdr:rowOff>
    </xdr:from>
    <xdr:ext cx="1143000" cy="1143000"/>
    <xdr:pic>
      <xdr:nvPicPr>
        <xdr:cNvPr id="7187" name="790d573a-ffa4-49f1-a6b5-cd20330d230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ad41dfdb0834b3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7190</xdr:row>
      <xdr:rowOff>19050</xdr:rowOff>
    </xdr:from>
    <xdr:ext cx="1143000" cy="1143000"/>
    <xdr:pic>
      <xdr:nvPicPr>
        <xdr:cNvPr id="7188" name="daa906e7-bc53-4d80-b010-1a81239dfcf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df4419237554dd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7191</xdr:row>
      <xdr:rowOff>19050</xdr:rowOff>
    </xdr:from>
    <xdr:ext cx="1143000" cy="1143000"/>
    <xdr:pic>
      <xdr:nvPicPr>
        <xdr:cNvPr id="7189" name="5ef5bf08-a8e3-4812-b9b3-a92de7b5535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f55a70d11ec4a4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7192</xdr:row>
      <xdr:rowOff>19050</xdr:rowOff>
    </xdr:from>
    <xdr:ext cx="1143000" cy="1143000"/>
    <xdr:pic>
      <xdr:nvPicPr>
        <xdr:cNvPr id="7190" name="22eefed2-15bb-424a-8a9b-8a07254f85b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1a37dd9063f4fc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7193</xdr:row>
      <xdr:rowOff>19050</xdr:rowOff>
    </xdr:from>
    <xdr:ext cx="1143000" cy="1143000"/>
    <xdr:pic>
      <xdr:nvPicPr>
        <xdr:cNvPr id="7191" name="15aaf017-732a-4664-b971-821e9d39722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37491d4fcec4c7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7194</xdr:row>
      <xdr:rowOff>19050</xdr:rowOff>
    </xdr:from>
    <xdr:ext cx="1143000" cy="1143000"/>
    <xdr:pic>
      <xdr:nvPicPr>
        <xdr:cNvPr id="7192" name="5feae6b2-5e9a-420a-afb2-3adbb4a183d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663ad03b7d7407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7195</xdr:row>
      <xdr:rowOff>19050</xdr:rowOff>
    </xdr:from>
    <xdr:ext cx="1143000" cy="1143000"/>
    <xdr:pic>
      <xdr:nvPicPr>
        <xdr:cNvPr id="7193" name="fe961ba5-2d41-4a3f-9bbc-30a12c1300b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39f913b532a46b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7196</xdr:row>
      <xdr:rowOff>19050</xdr:rowOff>
    </xdr:from>
    <xdr:ext cx="1143000" cy="1143000"/>
    <xdr:pic>
      <xdr:nvPicPr>
        <xdr:cNvPr id="7194" name="684b449c-33e9-45ff-bf74-dc0b69eb247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1e8d326c269497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7197</xdr:row>
      <xdr:rowOff>19050</xdr:rowOff>
    </xdr:from>
    <xdr:ext cx="1143000" cy="1143000"/>
    <xdr:pic>
      <xdr:nvPicPr>
        <xdr:cNvPr id="7195" name="a114cd5a-8651-43b1-ae5b-8dc39191c13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aa491a2c229474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7198</xdr:row>
      <xdr:rowOff>19050</xdr:rowOff>
    </xdr:from>
    <xdr:ext cx="1143000" cy="1143000"/>
    <xdr:pic>
      <xdr:nvPicPr>
        <xdr:cNvPr id="7196" name="1ab6a0a7-59fd-41be-896f-a7c4be88078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996c46efdbe415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7199</xdr:row>
      <xdr:rowOff>19050</xdr:rowOff>
    </xdr:from>
    <xdr:ext cx="1143000" cy="1143000"/>
    <xdr:pic>
      <xdr:nvPicPr>
        <xdr:cNvPr id="7197" name="522af555-0c43-4567-b7a7-c2d65bb7748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ba2d3347438421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7200</xdr:row>
      <xdr:rowOff>19050</xdr:rowOff>
    </xdr:from>
    <xdr:ext cx="1143000" cy="1143000"/>
    <xdr:pic>
      <xdr:nvPicPr>
        <xdr:cNvPr id="7198" name="a7bfbde5-90da-40ee-a55e-e170558f18d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b670812616c4f2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7201</xdr:row>
      <xdr:rowOff>19050</xdr:rowOff>
    </xdr:from>
    <xdr:ext cx="1143000" cy="1143000"/>
    <xdr:pic>
      <xdr:nvPicPr>
        <xdr:cNvPr id="7199" name="ae899d39-5b20-423b-9304-0c2922e118d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0e2b7b6f8a7483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7202</xdr:row>
      <xdr:rowOff>19050</xdr:rowOff>
    </xdr:from>
    <xdr:ext cx="1143000" cy="1143000"/>
    <xdr:pic>
      <xdr:nvPicPr>
        <xdr:cNvPr id="7200" name="45dda8da-843d-4f6b-92e2-ad205eccca9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094444f46c44af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7203</xdr:row>
      <xdr:rowOff>19050</xdr:rowOff>
    </xdr:from>
    <xdr:ext cx="1143000" cy="1143000"/>
    <xdr:pic>
      <xdr:nvPicPr>
        <xdr:cNvPr id="7201" name="c1c7c87b-6be1-426b-90a9-b91f02ba7b2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a0023cc0ada423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7204</xdr:row>
      <xdr:rowOff>19050</xdr:rowOff>
    </xdr:from>
    <xdr:ext cx="1143000" cy="1143000"/>
    <xdr:pic>
      <xdr:nvPicPr>
        <xdr:cNvPr id="7202" name="e63f4976-f1a6-4825-a202-1e994181cb7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22d4ce1a048474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7205</xdr:row>
      <xdr:rowOff>19050</xdr:rowOff>
    </xdr:from>
    <xdr:ext cx="1143000" cy="1143000"/>
    <xdr:pic>
      <xdr:nvPicPr>
        <xdr:cNvPr id="7203" name="e77401c7-ec6a-4b30-b299-da77e17f439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c330223c7bb4b2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7206</xdr:row>
      <xdr:rowOff>19050</xdr:rowOff>
    </xdr:from>
    <xdr:ext cx="1143000" cy="1143000"/>
    <xdr:pic>
      <xdr:nvPicPr>
        <xdr:cNvPr id="7204" name="c0d55f00-3c0c-47c3-8151-ac624446ec8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60b0d47f95f412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7207</xdr:row>
      <xdr:rowOff>19050</xdr:rowOff>
    </xdr:from>
    <xdr:ext cx="1143000" cy="1143000"/>
    <xdr:pic>
      <xdr:nvPicPr>
        <xdr:cNvPr id="7205" name="002d821f-4a42-4805-ad6c-9ecc8a8e6ea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3735cc278aa42d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7208</xdr:row>
      <xdr:rowOff>19050</xdr:rowOff>
    </xdr:from>
    <xdr:ext cx="1143000" cy="1143000"/>
    <xdr:pic>
      <xdr:nvPicPr>
        <xdr:cNvPr id="7206" name="8b2a7f85-bf9d-4ea8-bdcf-95841506c03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7b364bb954448a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7209</xdr:row>
      <xdr:rowOff>19050</xdr:rowOff>
    </xdr:from>
    <xdr:ext cx="1143000" cy="1143000"/>
    <xdr:pic>
      <xdr:nvPicPr>
        <xdr:cNvPr id="7207" name="bc8d763e-3412-419f-b2bc-672ac9832b4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135a8a74a754e4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7210</xdr:row>
      <xdr:rowOff>19050</xdr:rowOff>
    </xdr:from>
    <xdr:ext cx="1143000" cy="1143000"/>
    <xdr:pic>
      <xdr:nvPicPr>
        <xdr:cNvPr id="7208" name="87d3a3bc-3844-4532-9550-ac08204edd6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92b255db6274ef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7211</xdr:row>
      <xdr:rowOff>19050</xdr:rowOff>
    </xdr:from>
    <xdr:ext cx="1143000" cy="1143000"/>
    <xdr:pic>
      <xdr:nvPicPr>
        <xdr:cNvPr id="7209" name="b8b76b62-858e-4c9c-989a-4f28b4f11f1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ff5749eef05433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7212</xdr:row>
      <xdr:rowOff>19050</xdr:rowOff>
    </xdr:from>
    <xdr:ext cx="1143000" cy="1143000"/>
    <xdr:pic>
      <xdr:nvPicPr>
        <xdr:cNvPr id="7210" name="b44c9d5b-68ce-4c4e-b4a9-b85cef6e67b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1ced64ce754403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7213</xdr:row>
      <xdr:rowOff>19050</xdr:rowOff>
    </xdr:from>
    <xdr:ext cx="1143000" cy="1143000"/>
    <xdr:pic>
      <xdr:nvPicPr>
        <xdr:cNvPr id="7211" name="40da1e96-38a7-4b44-ac47-e43ece80be0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c48a415d396436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7214</xdr:row>
      <xdr:rowOff>19050</xdr:rowOff>
    </xdr:from>
    <xdr:ext cx="1143000" cy="1143000"/>
    <xdr:pic>
      <xdr:nvPicPr>
        <xdr:cNvPr id="7212" name="75e8a26f-99cf-4268-aa0d-f3f9be003b2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acae1c2ae724f2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7215</xdr:row>
      <xdr:rowOff>19050</xdr:rowOff>
    </xdr:from>
    <xdr:ext cx="1143000" cy="1143000"/>
    <xdr:pic>
      <xdr:nvPicPr>
        <xdr:cNvPr id="7213" name="d5464789-d811-4af1-bfe9-1860146165c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2cc5dadcf0549d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7216</xdr:row>
      <xdr:rowOff>19050</xdr:rowOff>
    </xdr:from>
    <xdr:ext cx="1143000" cy="1143000"/>
    <xdr:pic>
      <xdr:nvPicPr>
        <xdr:cNvPr id="7214" name="2c4c0f99-78be-4518-923a-a5aa7aa29ab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b9c157c021541d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7217</xdr:row>
      <xdr:rowOff>19050</xdr:rowOff>
    </xdr:from>
    <xdr:ext cx="1143000" cy="1143000"/>
    <xdr:pic>
      <xdr:nvPicPr>
        <xdr:cNvPr id="7215" name="6302b941-5328-406e-81fa-8fc29118391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89558e1d7f5466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7218</xdr:row>
      <xdr:rowOff>19050</xdr:rowOff>
    </xdr:from>
    <xdr:ext cx="1143000" cy="1143000"/>
    <xdr:pic>
      <xdr:nvPicPr>
        <xdr:cNvPr id="7216" name="ab289719-3350-495b-aacf-1ea9bcfa185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9107452a5f4420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7219</xdr:row>
      <xdr:rowOff>19050</xdr:rowOff>
    </xdr:from>
    <xdr:ext cx="1143000" cy="1143000"/>
    <xdr:pic>
      <xdr:nvPicPr>
        <xdr:cNvPr id="7217" name="1bb1098b-cdea-4e12-8894-efd197ca61b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26adbfe86e344e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7220</xdr:row>
      <xdr:rowOff>19050</xdr:rowOff>
    </xdr:from>
    <xdr:ext cx="1143000" cy="1143000"/>
    <xdr:pic>
      <xdr:nvPicPr>
        <xdr:cNvPr id="7218" name="b86e48bc-f949-4bf4-8fdf-f657693fa21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9c8e007e9ce474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7221</xdr:row>
      <xdr:rowOff>19050</xdr:rowOff>
    </xdr:from>
    <xdr:ext cx="1143000" cy="1143000"/>
    <xdr:pic>
      <xdr:nvPicPr>
        <xdr:cNvPr id="7219" name="2bfcdb61-1816-4ab0-a9da-e52546195c8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9aee41d8d6d4cb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7222</xdr:row>
      <xdr:rowOff>19050</xdr:rowOff>
    </xdr:from>
    <xdr:ext cx="1143000" cy="1143000"/>
    <xdr:pic>
      <xdr:nvPicPr>
        <xdr:cNvPr id="7220" name="11449b13-6e91-4dac-8acc-55b0bde4c8e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0e8939370d146d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7223</xdr:row>
      <xdr:rowOff>19050</xdr:rowOff>
    </xdr:from>
    <xdr:ext cx="1143000" cy="1143000"/>
    <xdr:pic>
      <xdr:nvPicPr>
        <xdr:cNvPr id="7221" name="fe9135a1-e656-4f15-8b43-2ee23c20321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88832d60c8e401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7224</xdr:row>
      <xdr:rowOff>19050</xdr:rowOff>
    </xdr:from>
    <xdr:ext cx="1143000" cy="1143000"/>
    <xdr:pic>
      <xdr:nvPicPr>
        <xdr:cNvPr id="7222" name="b2bd572c-a707-4c3a-b232-7e79ce8856e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52649afafed4d4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7225</xdr:row>
      <xdr:rowOff>19050</xdr:rowOff>
    </xdr:from>
    <xdr:ext cx="1143000" cy="1143000"/>
    <xdr:pic>
      <xdr:nvPicPr>
        <xdr:cNvPr id="7223" name="cac209b1-a07b-4c76-ab75-2c0e2feec66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277da53293a41b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7226</xdr:row>
      <xdr:rowOff>19050</xdr:rowOff>
    </xdr:from>
    <xdr:ext cx="1143000" cy="1143000"/>
    <xdr:pic>
      <xdr:nvPicPr>
        <xdr:cNvPr id="7224" name="21aefeee-e67b-4ed4-9ee1-e5b357429e3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51400f88c264bd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7227</xdr:row>
      <xdr:rowOff>19050</xdr:rowOff>
    </xdr:from>
    <xdr:ext cx="1143000" cy="1143000"/>
    <xdr:pic>
      <xdr:nvPicPr>
        <xdr:cNvPr id="7225" name="e0949cf9-1f3c-4c25-b21d-74f57256457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7ea5815ac79456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7228</xdr:row>
      <xdr:rowOff>19050</xdr:rowOff>
    </xdr:from>
    <xdr:ext cx="1143000" cy="1143000"/>
    <xdr:pic>
      <xdr:nvPicPr>
        <xdr:cNvPr id="7226" name="07cacacd-2f05-459d-8a0c-7feea4d630d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744bb01fd6140f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7229</xdr:row>
      <xdr:rowOff>19050</xdr:rowOff>
    </xdr:from>
    <xdr:ext cx="1143000" cy="1143000"/>
    <xdr:pic>
      <xdr:nvPicPr>
        <xdr:cNvPr id="7227" name="a5f0c809-f3ed-4ac4-92d0-9005a31cdcf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3a23fd9c36642a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7230</xdr:row>
      <xdr:rowOff>19050</xdr:rowOff>
    </xdr:from>
    <xdr:ext cx="1143000" cy="1143000"/>
    <xdr:pic>
      <xdr:nvPicPr>
        <xdr:cNvPr id="7228" name="5c231424-b3e0-4498-a6e4-0bcdc9b83e6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2959873a134463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7231</xdr:row>
      <xdr:rowOff>19050</xdr:rowOff>
    </xdr:from>
    <xdr:ext cx="1143000" cy="1143000"/>
    <xdr:pic>
      <xdr:nvPicPr>
        <xdr:cNvPr id="7229" name="b979221e-8386-4c73-a5b5-3b45466eec2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be26875ead5492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7232</xdr:row>
      <xdr:rowOff>19050</xdr:rowOff>
    </xdr:from>
    <xdr:ext cx="1143000" cy="1143000"/>
    <xdr:pic>
      <xdr:nvPicPr>
        <xdr:cNvPr id="7230" name="280ed491-31cf-4745-b259-15a95e6d986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85f1ce48d694ce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7233</xdr:row>
      <xdr:rowOff>19050</xdr:rowOff>
    </xdr:from>
    <xdr:ext cx="1143000" cy="1143000"/>
    <xdr:pic>
      <xdr:nvPicPr>
        <xdr:cNvPr id="7231" name="5230b890-96a9-4f90-8302-26c2ffd0175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657b12c5f0b47c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7234</xdr:row>
      <xdr:rowOff>19050</xdr:rowOff>
    </xdr:from>
    <xdr:ext cx="1143000" cy="1143000"/>
    <xdr:pic>
      <xdr:nvPicPr>
        <xdr:cNvPr id="7232" name="9cc9669f-e7dd-4716-81c1-1d9594315e8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aab1f479244467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7235</xdr:row>
      <xdr:rowOff>19050</xdr:rowOff>
    </xdr:from>
    <xdr:ext cx="1143000" cy="1143000"/>
    <xdr:pic>
      <xdr:nvPicPr>
        <xdr:cNvPr id="7233" name="9c221c8b-d0db-4d8a-a21f-dfff9a78f87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97279ab683547e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7236</xdr:row>
      <xdr:rowOff>19050</xdr:rowOff>
    </xdr:from>
    <xdr:ext cx="1143000" cy="1143000"/>
    <xdr:pic>
      <xdr:nvPicPr>
        <xdr:cNvPr id="7234" name="8d47a012-71ec-4074-a5c5-cfe9797e1cc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4ec8cd627f44a9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7237</xdr:row>
      <xdr:rowOff>19050</xdr:rowOff>
    </xdr:from>
    <xdr:ext cx="1143000" cy="1143000"/>
    <xdr:pic>
      <xdr:nvPicPr>
        <xdr:cNvPr id="7235" name="dde32b92-7de7-4926-b9c6-42a391dc3e3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effbeede029442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7238</xdr:row>
      <xdr:rowOff>19050</xdr:rowOff>
    </xdr:from>
    <xdr:ext cx="1143000" cy="1143000"/>
    <xdr:pic>
      <xdr:nvPicPr>
        <xdr:cNvPr id="7236" name="07426f2a-d3b7-4e6c-a9e1-a36ca96f41b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3159d1ead6b4ef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7239</xdr:row>
      <xdr:rowOff>19050</xdr:rowOff>
    </xdr:from>
    <xdr:ext cx="1143000" cy="1143000"/>
    <xdr:pic>
      <xdr:nvPicPr>
        <xdr:cNvPr id="7237" name="719eb95c-c744-4c29-b230-9cad82ead60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7f7a682ce1a49a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7240</xdr:row>
      <xdr:rowOff>19050</xdr:rowOff>
    </xdr:from>
    <xdr:ext cx="1143000" cy="1143000"/>
    <xdr:pic>
      <xdr:nvPicPr>
        <xdr:cNvPr id="7238" name="e57a87cc-af31-4d7d-a64c-f51780a4344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e154b7e4fa44aa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7241</xdr:row>
      <xdr:rowOff>19050</xdr:rowOff>
    </xdr:from>
    <xdr:ext cx="1143000" cy="1143000"/>
    <xdr:pic>
      <xdr:nvPicPr>
        <xdr:cNvPr id="7239" name="951ecb08-b00c-4735-a910-5d924428197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865097134e94f5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7242</xdr:row>
      <xdr:rowOff>19050</xdr:rowOff>
    </xdr:from>
    <xdr:ext cx="1143000" cy="1143000"/>
    <xdr:pic>
      <xdr:nvPicPr>
        <xdr:cNvPr id="7240" name="c3c09ddd-2b01-42cb-9a4c-93ffd8f5ed2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c7a64e87d754cd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7243</xdr:row>
      <xdr:rowOff>19050</xdr:rowOff>
    </xdr:from>
    <xdr:ext cx="1143000" cy="1143000"/>
    <xdr:pic>
      <xdr:nvPicPr>
        <xdr:cNvPr id="7241" name="70efc93e-7d66-4d52-b526-db5f784a424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7391c6bc287433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7244</xdr:row>
      <xdr:rowOff>19050</xdr:rowOff>
    </xdr:from>
    <xdr:ext cx="1143000" cy="1143000"/>
    <xdr:pic>
      <xdr:nvPicPr>
        <xdr:cNvPr id="7242" name="7d919466-465c-429d-9bba-d438814439d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f415408e6ed4f5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7245</xdr:row>
      <xdr:rowOff>19050</xdr:rowOff>
    </xdr:from>
    <xdr:ext cx="1143000" cy="1143000"/>
    <xdr:pic>
      <xdr:nvPicPr>
        <xdr:cNvPr id="7243" name="41486a62-4057-4e80-a6cd-291e5a8aba7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d5ca608090840d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7246</xdr:row>
      <xdr:rowOff>19050</xdr:rowOff>
    </xdr:from>
    <xdr:ext cx="1143000" cy="1143000"/>
    <xdr:pic>
      <xdr:nvPicPr>
        <xdr:cNvPr id="7244" name="1a4e8b27-cd2c-4528-97f3-9f32feb0871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9180eaed86d4a7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7247</xdr:row>
      <xdr:rowOff>19050</xdr:rowOff>
    </xdr:from>
    <xdr:ext cx="1143000" cy="1143000"/>
    <xdr:pic>
      <xdr:nvPicPr>
        <xdr:cNvPr id="7245" name="f88522aa-d749-4b46-a5c0-19cdcb48c58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649464ca7314f9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7248</xdr:row>
      <xdr:rowOff>19050</xdr:rowOff>
    </xdr:from>
    <xdr:ext cx="1143000" cy="1143000"/>
    <xdr:pic>
      <xdr:nvPicPr>
        <xdr:cNvPr id="7246" name="1a9331e2-2d46-4984-95c7-8a1a4e711e2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c582afa3a244cf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7249</xdr:row>
      <xdr:rowOff>19050</xdr:rowOff>
    </xdr:from>
    <xdr:ext cx="1143000" cy="1143000"/>
    <xdr:pic>
      <xdr:nvPicPr>
        <xdr:cNvPr id="7247" name="150f37dd-9d58-4e44-8692-9c1426800eb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8df8e6c7393433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7250</xdr:row>
      <xdr:rowOff>19050</xdr:rowOff>
    </xdr:from>
    <xdr:ext cx="1143000" cy="1143000"/>
    <xdr:pic>
      <xdr:nvPicPr>
        <xdr:cNvPr id="7248" name="b2f29a34-4d6b-478a-9905-fc7b43cdfb3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ab6ba5c04cc48a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7251</xdr:row>
      <xdr:rowOff>19050</xdr:rowOff>
    </xdr:from>
    <xdr:ext cx="1143000" cy="1143000"/>
    <xdr:pic>
      <xdr:nvPicPr>
        <xdr:cNvPr id="7249" name="76a76378-0ed0-4dbc-a88c-6e2f1e63ab3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d954f0bd6f44cf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7252</xdr:row>
      <xdr:rowOff>19050</xdr:rowOff>
    </xdr:from>
    <xdr:ext cx="1143000" cy="1143000"/>
    <xdr:pic>
      <xdr:nvPicPr>
        <xdr:cNvPr id="7250" name="01134abf-014a-424b-b8f9-339a56c394d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c39bc4624264b5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7253</xdr:row>
      <xdr:rowOff>19050</xdr:rowOff>
    </xdr:from>
    <xdr:ext cx="1143000" cy="1143000"/>
    <xdr:pic>
      <xdr:nvPicPr>
        <xdr:cNvPr id="7251" name="fd7cc51e-3f6b-4e01-99f9-68ccc0e0c4e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550010b8ca2411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7254</xdr:row>
      <xdr:rowOff>19050</xdr:rowOff>
    </xdr:from>
    <xdr:ext cx="1143000" cy="1143000"/>
    <xdr:pic>
      <xdr:nvPicPr>
        <xdr:cNvPr id="7252" name="cd985110-8684-4cc2-915e-680c609feec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94108cea0f849c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7255</xdr:row>
      <xdr:rowOff>19050</xdr:rowOff>
    </xdr:from>
    <xdr:ext cx="1143000" cy="1143000"/>
    <xdr:pic>
      <xdr:nvPicPr>
        <xdr:cNvPr id="7253" name="3a22ba12-fe71-47bb-8df5-7bf6bafeb86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8d9251b64e54f5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7256</xdr:row>
      <xdr:rowOff>19050</xdr:rowOff>
    </xdr:from>
    <xdr:ext cx="1143000" cy="1143000"/>
    <xdr:pic>
      <xdr:nvPicPr>
        <xdr:cNvPr id="7254" name="d4eaf3d3-b992-465d-b5b8-7749ab4655b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8f0ee8ae25642f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7257</xdr:row>
      <xdr:rowOff>19050</xdr:rowOff>
    </xdr:from>
    <xdr:ext cx="1143000" cy="1143000"/>
    <xdr:pic>
      <xdr:nvPicPr>
        <xdr:cNvPr id="7255" name="8a98effe-98e4-4aa0-bf9d-2f50cfc296c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a293958c15542b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7258</xdr:row>
      <xdr:rowOff>19050</xdr:rowOff>
    </xdr:from>
    <xdr:ext cx="1143000" cy="1143000"/>
    <xdr:pic>
      <xdr:nvPicPr>
        <xdr:cNvPr id="7256" name="827bbe62-d589-47d6-b77e-40550bfd185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ebf3d8343dc48e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7259</xdr:row>
      <xdr:rowOff>19050</xdr:rowOff>
    </xdr:from>
    <xdr:ext cx="1143000" cy="1143000"/>
    <xdr:pic>
      <xdr:nvPicPr>
        <xdr:cNvPr id="7257" name="2a0ca309-d95f-4fba-96a6-c167e49505a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fafdaaac98b449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7260</xdr:row>
      <xdr:rowOff>19050</xdr:rowOff>
    </xdr:from>
    <xdr:ext cx="1143000" cy="1143000"/>
    <xdr:pic>
      <xdr:nvPicPr>
        <xdr:cNvPr id="7258" name="7bc1b7be-3808-40ef-bae6-23396040ab2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65bf6bfc483432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7261</xdr:row>
      <xdr:rowOff>19050</xdr:rowOff>
    </xdr:from>
    <xdr:ext cx="1143000" cy="1143000"/>
    <xdr:pic>
      <xdr:nvPicPr>
        <xdr:cNvPr id="7259" name="1a72da40-ebef-42d3-98a0-b5f943f657e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7ebbc24e90f418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7262</xdr:row>
      <xdr:rowOff>19050</xdr:rowOff>
    </xdr:from>
    <xdr:ext cx="1143000" cy="1143000"/>
    <xdr:pic>
      <xdr:nvPicPr>
        <xdr:cNvPr id="7260" name="070cc995-fc81-476e-b1ca-1b6f3cd206e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9392e7b7bd3477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7263</xdr:row>
      <xdr:rowOff>19050</xdr:rowOff>
    </xdr:from>
    <xdr:ext cx="1143000" cy="1143000"/>
    <xdr:pic>
      <xdr:nvPicPr>
        <xdr:cNvPr id="7261" name="f6c40366-d31c-4046-9451-d02d87838a7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bf1b91068f743c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7264</xdr:row>
      <xdr:rowOff>19050</xdr:rowOff>
    </xdr:from>
    <xdr:ext cx="1143000" cy="1143000"/>
    <xdr:pic>
      <xdr:nvPicPr>
        <xdr:cNvPr id="7262" name="79c16ac5-7fa5-4ca3-87be-578c533674c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0bbbc3b6f09458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7265</xdr:row>
      <xdr:rowOff>19050</xdr:rowOff>
    </xdr:from>
    <xdr:ext cx="1143000" cy="1143000"/>
    <xdr:pic>
      <xdr:nvPicPr>
        <xdr:cNvPr id="7263" name="a6757a5d-8d4c-457e-92b3-af0703d5b77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98aaec61bf9435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7266</xdr:row>
      <xdr:rowOff>19050</xdr:rowOff>
    </xdr:from>
    <xdr:ext cx="1143000" cy="1143000"/>
    <xdr:pic>
      <xdr:nvPicPr>
        <xdr:cNvPr id="7264" name="1ae4a2ce-86e5-48dc-abd6-d572c59f935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88eb89645af4a1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7267</xdr:row>
      <xdr:rowOff>19050</xdr:rowOff>
    </xdr:from>
    <xdr:ext cx="1143000" cy="1143000"/>
    <xdr:pic>
      <xdr:nvPicPr>
        <xdr:cNvPr id="7265" name="6ce7ba5d-24b6-45ed-8cff-781fbce3758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091aa0546e0494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7268</xdr:row>
      <xdr:rowOff>19050</xdr:rowOff>
    </xdr:from>
    <xdr:ext cx="1143000" cy="1143000"/>
    <xdr:pic>
      <xdr:nvPicPr>
        <xdr:cNvPr id="7266" name="d2161ac1-f89f-4014-8fc4-e02a4bbbce3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dd07b200d13450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7269</xdr:row>
      <xdr:rowOff>19050</xdr:rowOff>
    </xdr:from>
    <xdr:ext cx="1143000" cy="1143000"/>
    <xdr:pic>
      <xdr:nvPicPr>
        <xdr:cNvPr id="7267" name="96b34611-2091-4cea-8ad7-7d8aad4dd8a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18582891758485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7270</xdr:row>
      <xdr:rowOff>19050</xdr:rowOff>
    </xdr:from>
    <xdr:ext cx="1143000" cy="1143000"/>
    <xdr:pic>
      <xdr:nvPicPr>
        <xdr:cNvPr id="7268" name="ebad1858-a460-4d9b-9e19-e943255228d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b55ac1c8bfd463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7271</xdr:row>
      <xdr:rowOff>19050</xdr:rowOff>
    </xdr:from>
    <xdr:ext cx="1143000" cy="1143000"/>
    <xdr:pic>
      <xdr:nvPicPr>
        <xdr:cNvPr id="7269" name="e6a54e16-d35a-4f40-9b4b-06eca9991f4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ab5405c55c3459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7272</xdr:row>
      <xdr:rowOff>19050</xdr:rowOff>
    </xdr:from>
    <xdr:ext cx="1143000" cy="1143000"/>
    <xdr:pic>
      <xdr:nvPicPr>
        <xdr:cNvPr id="7270" name="a3c8871d-dd57-4125-9f20-96317a51658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aadb32ce49e475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7273</xdr:row>
      <xdr:rowOff>19050</xdr:rowOff>
    </xdr:from>
    <xdr:ext cx="1143000" cy="1143000"/>
    <xdr:pic>
      <xdr:nvPicPr>
        <xdr:cNvPr id="7271" name="db2a2707-3c47-42d0-9366-2b37abcb877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9bfa0fc26ab4b2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7274</xdr:row>
      <xdr:rowOff>19050</xdr:rowOff>
    </xdr:from>
    <xdr:ext cx="1143000" cy="1143000"/>
    <xdr:pic>
      <xdr:nvPicPr>
        <xdr:cNvPr id="7272" name="c88425d9-364c-4ba1-8ec1-c9c0f59ab54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2f28d04b81842b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7275</xdr:row>
      <xdr:rowOff>19050</xdr:rowOff>
    </xdr:from>
    <xdr:ext cx="1143000" cy="1143000"/>
    <xdr:pic>
      <xdr:nvPicPr>
        <xdr:cNvPr id="7273" name="3d6baee2-f961-4bb7-8cdc-2a75dac6f21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1028fb446e8462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7276</xdr:row>
      <xdr:rowOff>19050</xdr:rowOff>
    </xdr:from>
    <xdr:ext cx="1143000" cy="1143000"/>
    <xdr:pic>
      <xdr:nvPicPr>
        <xdr:cNvPr id="7274" name="81d28bee-63ce-4bb3-ac6d-c110430eb0c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a20191279d4452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7277</xdr:row>
      <xdr:rowOff>19050</xdr:rowOff>
    </xdr:from>
    <xdr:ext cx="1143000" cy="1143000"/>
    <xdr:pic>
      <xdr:nvPicPr>
        <xdr:cNvPr id="7275" name="c6199c73-6dc0-4970-896a-6faf1a2c9fa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769d23e85cc4e9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7278</xdr:row>
      <xdr:rowOff>19050</xdr:rowOff>
    </xdr:from>
    <xdr:ext cx="1143000" cy="1143000"/>
    <xdr:pic>
      <xdr:nvPicPr>
        <xdr:cNvPr id="7276" name="dc85d17b-70f2-41c7-963f-6d68bc41474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5800b3965cc446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7279</xdr:row>
      <xdr:rowOff>19050</xdr:rowOff>
    </xdr:from>
    <xdr:ext cx="1143000" cy="1143000"/>
    <xdr:pic>
      <xdr:nvPicPr>
        <xdr:cNvPr id="7277" name="eccf192e-4cc1-4fbc-a191-cf659c8704d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41477edd1c149a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7280</xdr:row>
      <xdr:rowOff>19050</xdr:rowOff>
    </xdr:from>
    <xdr:ext cx="1143000" cy="1143000"/>
    <xdr:pic>
      <xdr:nvPicPr>
        <xdr:cNvPr id="7278" name="22c20558-0be7-408d-8dde-174990f630a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d270658a3bc4f4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7281</xdr:row>
      <xdr:rowOff>19050</xdr:rowOff>
    </xdr:from>
    <xdr:ext cx="1143000" cy="1143000"/>
    <xdr:pic>
      <xdr:nvPicPr>
        <xdr:cNvPr id="7279" name="0c8bfbd5-c7fc-4af3-8415-e64d1e47205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f334584aaea4d7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7282</xdr:row>
      <xdr:rowOff>19050</xdr:rowOff>
    </xdr:from>
    <xdr:ext cx="1143000" cy="1143000"/>
    <xdr:pic>
      <xdr:nvPicPr>
        <xdr:cNvPr id="7280" name="f4c0ffe8-cf4a-4437-9bf0-c34f8c32b9d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d4a922a321e4d0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7283</xdr:row>
      <xdr:rowOff>19050</xdr:rowOff>
    </xdr:from>
    <xdr:ext cx="1143000" cy="1143000"/>
    <xdr:pic>
      <xdr:nvPicPr>
        <xdr:cNvPr id="7281" name="9168a4ca-cf1b-4f88-adf5-80e17ab8938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8da19d99db8449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7284</xdr:row>
      <xdr:rowOff>19050</xdr:rowOff>
    </xdr:from>
    <xdr:ext cx="1143000" cy="1143000"/>
    <xdr:pic>
      <xdr:nvPicPr>
        <xdr:cNvPr id="7282" name="26d20b17-4e34-4851-817c-4468f72ed4c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b968cb0e855491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7285</xdr:row>
      <xdr:rowOff>19050</xdr:rowOff>
    </xdr:from>
    <xdr:ext cx="1143000" cy="1143000"/>
    <xdr:pic>
      <xdr:nvPicPr>
        <xdr:cNvPr id="7283" name="243a983f-bade-4036-998d-27a970b01f5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bf87142fd8d4e2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7286</xdr:row>
      <xdr:rowOff>19050</xdr:rowOff>
    </xdr:from>
    <xdr:ext cx="1143000" cy="1143000"/>
    <xdr:pic>
      <xdr:nvPicPr>
        <xdr:cNvPr id="7284" name="bff15ec9-9846-44c3-9f2f-513f2818a16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8862d6d863340c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7287</xdr:row>
      <xdr:rowOff>19050</xdr:rowOff>
    </xdr:from>
    <xdr:ext cx="1143000" cy="1143000"/>
    <xdr:pic>
      <xdr:nvPicPr>
        <xdr:cNvPr id="7285" name="1b2c6fdf-be2e-4b15-a4e1-aa7b8466b3b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a7b0b0cd18a408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7288</xdr:row>
      <xdr:rowOff>19050</xdr:rowOff>
    </xdr:from>
    <xdr:ext cx="1143000" cy="1143000"/>
    <xdr:pic>
      <xdr:nvPicPr>
        <xdr:cNvPr id="7286" name="e3fb007e-00e6-40c2-915d-ea24a8a6471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d1adf4b439349e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7289</xdr:row>
      <xdr:rowOff>19050</xdr:rowOff>
    </xdr:from>
    <xdr:ext cx="1143000" cy="1143000"/>
    <xdr:pic>
      <xdr:nvPicPr>
        <xdr:cNvPr id="7287" name="4f7a42b6-938d-4503-b167-575f90d2b51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881cf70c61f438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7290</xdr:row>
      <xdr:rowOff>19050</xdr:rowOff>
    </xdr:from>
    <xdr:ext cx="1143000" cy="1143000"/>
    <xdr:pic>
      <xdr:nvPicPr>
        <xdr:cNvPr id="7288" name="ced3a374-0709-454b-bb19-06100de9e74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0beb7f1a4c0484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7291</xdr:row>
      <xdr:rowOff>19050</xdr:rowOff>
    </xdr:from>
    <xdr:ext cx="1143000" cy="1143000"/>
    <xdr:pic>
      <xdr:nvPicPr>
        <xdr:cNvPr id="7289" name="5a152388-da9e-4b20-acd2-ec428ebafd7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0cf25c508bc49c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7292</xdr:row>
      <xdr:rowOff>19050</xdr:rowOff>
    </xdr:from>
    <xdr:ext cx="1143000" cy="1143000"/>
    <xdr:pic>
      <xdr:nvPicPr>
        <xdr:cNvPr id="7290" name="3bad051f-38f5-4df9-abce-ca15a49c44b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49c9b0cd6df41d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7293</xdr:row>
      <xdr:rowOff>19050</xdr:rowOff>
    </xdr:from>
    <xdr:ext cx="1143000" cy="1143000"/>
    <xdr:pic>
      <xdr:nvPicPr>
        <xdr:cNvPr id="7291" name="a4b0f81e-987f-46a0-92fe-b5efaf1b599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037019244264ee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7294</xdr:row>
      <xdr:rowOff>19050</xdr:rowOff>
    </xdr:from>
    <xdr:ext cx="1143000" cy="1143000"/>
    <xdr:pic>
      <xdr:nvPicPr>
        <xdr:cNvPr id="7292" name="3f9983e4-d76a-44c9-8ae2-2ea8985add1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7cf0a32a7c74fe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7295</xdr:row>
      <xdr:rowOff>19050</xdr:rowOff>
    </xdr:from>
    <xdr:ext cx="1143000" cy="1143000"/>
    <xdr:pic>
      <xdr:nvPicPr>
        <xdr:cNvPr id="7293" name="01b32d30-b6b8-42fc-8792-c17fda6c3f9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eca5ee403a7429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7296</xdr:row>
      <xdr:rowOff>19050</xdr:rowOff>
    </xdr:from>
    <xdr:ext cx="1143000" cy="1143000"/>
    <xdr:pic>
      <xdr:nvPicPr>
        <xdr:cNvPr id="7294" name="ed3850ac-77c1-4e18-bae4-2018b03f503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012ea7d17e44ba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7297</xdr:row>
      <xdr:rowOff>19050</xdr:rowOff>
    </xdr:from>
    <xdr:ext cx="1143000" cy="1143000"/>
    <xdr:pic>
      <xdr:nvPicPr>
        <xdr:cNvPr id="7295" name="9644a91e-9796-4a99-a5cd-cff7ddb47ee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95bc7e0db294bc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7298</xdr:row>
      <xdr:rowOff>19050</xdr:rowOff>
    </xdr:from>
    <xdr:ext cx="1143000" cy="1143000"/>
    <xdr:pic>
      <xdr:nvPicPr>
        <xdr:cNvPr id="7296" name="96921fa1-2143-4407-a234-df609fdde4b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31c2c470656491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7299</xdr:row>
      <xdr:rowOff>19050</xdr:rowOff>
    </xdr:from>
    <xdr:ext cx="1143000" cy="1143000"/>
    <xdr:pic>
      <xdr:nvPicPr>
        <xdr:cNvPr id="7297" name="b7772b14-3c2b-4770-9e6d-953c21c3792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fbef83cfb5b4ba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7300</xdr:row>
      <xdr:rowOff>19050</xdr:rowOff>
    </xdr:from>
    <xdr:ext cx="1143000" cy="1143000"/>
    <xdr:pic>
      <xdr:nvPicPr>
        <xdr:cNvPr id="7298" name="7a5afe81-6b76-481d-8080-9be5a85973d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663a1afc1694c7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7301</xdr:row>
      <xdr:rowOff>19050</xdr:rowOff>
    </xdr:from>
    <xdr:ext cx="1143000" cy="1143000"/>
    <xdr:pic>
      <xdr:nvPicPr>
        <xdr:cNvPr id="7299" name="9cfdb003-3e13-442e-8b80-537990a5524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945cf957f6c485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7302</xdr:row>
      <xdr:rowOff>19050</xdr:rowOff>
    </xdr:from>
    <xdr:ext cx="1143000" cy="1143000"/>
    <xdr:pic>
      <xdr:nvPicPr>
        <xdr:cNvPr id="7300" name="f8a28063-9246-4bfe-928d-77fa05590bc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40daf355c704a4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7303</xdr:row>
      <xdr:rowOff>19050</xdr:rowOff>
    </xdr:from>
    <xdr:ext cx="1143000" cy="1143000"/>
    <xdr:pic>
      <xdr:nvPicPr>
        <xdr:cNvPr id="7301" name="fd2b10a7-d5d0-4ae4-a935-3136247bd51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423cfb2ec514be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7304</xdr:row>
      <xdr:rowOff>19050</xdr:rowOff>
    </xdr:from>
    <xdr:ext cx="1143000" cy="1143000"/>
    <xdr:pic>
      <xdr:nvPicPr>
        <xdr:cNvPr id="7302" name="f3520922-1f82-49e2-a817-a10cedb3e55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ef5a8c268844e5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7305</xdr:row>
      <xdr:rowOff>19050</xdr:rowOff>
    </xdr:from>
    <xdr:ext cx="1143000" cy="1143000"/>
    <xdr:pic>
      <xdr:nvPicPr>
        <xdr:cNvPr id="7303" name="3d123660-7acd-4902-b12e-2c6efe2eb47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176757d6374461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7306</xdr:row>
      <xdr:rowOff>19050</xdr:rowOff>
    </xdr:from>
    <xdr:ext cx="1143000" cy="1143000"/>
    <xdr:pic>
      <xdr:nvPicPr>
        <xdr:cNvPr id="7304" name="9348f04c-2813-454b-97c6-5d140f819c0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78eef2f8015423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7307</xdr:row>
      <xdr:rowOff>19050</xdr:rowOff>
    </xdr:from>
    <xdr:ext cx="1143000" cy="1143000"/>
    <xdr:pic>
      <xdr:nvPicPr>
        <xdr:cNvPr id="7305" name="e61e2551-970b-4c64-b4fc-edb8b454d66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627dbf6b481408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7308</xdr:row>
      <xdr:rowOff>19050</xdr:rowOff>
    </xdr:from>
    <xdr:ext cx="1143000" cy="1143000"/>
    <xdr:pic>
      <xdr:nvPicPr>
        <xdr:cNvPr id="7306" name="9db9aac7-52cd-406c-b1cb-2ca79576118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26b1bdec816413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7309</xdr:row>
      <xdr:rowOff>19050</xdr:rowOff>
    </xdr:from>
    <xdr:ext cx="1143000" cy="1143000"/>
    <xdr:pic>
      <xdr:nvPicPr>
        <xdr:cNvPr id="7307" name="04227f09-f3eb-479c-a711-bcd52c9363e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b154550c506442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7310</xdr:row>
      <xdr:rowOff>19050</xdr:rowOff>
    </xdr:from>
    <xdr:ext cx="1143000" cy="1143000"/>
    <xdr:pic>
      <xdr:nvPicPr>
        <xdr:cNvPr id="7308" name="36044c52-5e93-41ac-b058-83c7e9ad40a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1272935239d4ee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7311</xdr:row>
      <xdr:rowOff>19050</xdr:rowOff>
    </xdr:from>
    <xdr:ext cx="1143000" cy="1143000"/>
    <xdr:pic>
      <xdr:nvPicPr>
        <xdr:cNvPr id="7309" name="b56c07ef-217d-4db7-ab6c-d01f75b55c5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ff7f6c48f4a466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7312</xdr:row>
      <xdr:rowOff>19050</xdr:rowOff>
    </xdr:from>
    <xdr:ext cx="1143000" cy="1143000"/>
    <xdr:pic>
      <xdr:nvPicPr>
        <xdr:cNvPr id="7310" name="3289e71a-deb0-4d03-af3e-9c4c796ed7e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34e3b7ef793437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7313</xdr:row>
      <xdr:rowOff>19050</xdr:rowOff>
    </xdr:from>
    <xdr:ext cx="1143000" cy="1143000"/>
    <xdr:pic>
      <xdr:nvPicPr>
        <xdr:cNvPr id="7311" name="070956cf-5788-4124-bd65-b8b7d796687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9c0e50437164f7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7314</xdr:row>
      <xdr:rowOff>19050</xdr:rowOff>
    </xdr:from>
    <xdr:ext cx="1143000" cy="1143000"/>
    <xdr:pic>
      <xdr:nvPicPr>
        <xdr:cNvPr id="7312" name="74aa0bd7-6707-4ca3-bd4a-a91e12e5441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2abd16356b4438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7315</xdr:row>
      <xdr:rowOff>19050</xdr:rowOff>
    </xdr:from>
    <xdr:ext cx="1143000" cy="1143000"/>
    <xdr:pic>
      <xdr:nvPicPr>
        <xdr:cNvPr id="7313" name="54cdf52b-6984-49a9-9bc7-9373cf6e3db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5a5c228340b453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7316</xdr:row>
      <xdr:rowOff>19050</xdr:rowOff>
    </xdr:from>
    <xdr:ext cx="1143000" cy="1143000"/>
    <xdr:pic>
      <xdr:nvPicPr>
        <xdr:cNvPr id="7314" name="ea8a8dbb-3f24-409e-9219-4769540ce96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fed04424dce4f7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7317</xdr:row>
      <xdr:rowOff>19050</xdr:rowOff>
    </xdr:from>
    <xdr:ext cx="1143000" cy="1143000"/>
    <xdr:pic>
      <xdr:nvPicPr>
        <xdr:cNvPr id="7315" name="4197097b-f012-4cba-9db3-ec24a134cce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d8d0c3f032f44c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7318</xdr:row>
      <xdr:rowOff>19050</xdr:rowOff>
    </xdr:from>
    <xdr:ext cx="1143000" cy="1143000"/>
    <xdr:pic>
      <xdr:nvPicPr>
        <xdr:cNvPr id="7316" name="76bde97b-0803-4071-aa30-d230e10db1b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1e7b3832c98449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7319</xdr:row>
      <xdr:rowOff>19050</xdr:rowOff>
    </xdr:from>
    <xdr:ext cx="1143000" cy="1143000"/>
    <xdr:pic>
      <xdr:nvPicPr>
        <xdr:cNvPr id="7317" name="44a98cbf-e61c-43ed-b5f1-55c0a7cd530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a623df5f1364b8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7320</xdr:row>
      <xdr:rowOff>19050</xdr:rowOff>
    </xdr:from>
    <xdr:ext cx="1143000" cy="1143000"/>
    <xdr:pic>
      <xdr:nvPicPr>
        <xdr:cNvPr id="7318" name="af194357-beae-46ef-8454-a0d6ee9e63a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dffedf8baf74ce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7321</xdr:row>
      <xdr:rowOff>19050</xdr:rowOff>
    </xdr:from>
    <xdr:ext cx="1143000" cy="1143000"/>
    <xdr:pic>
      <xdr:nvPicPr>
        <xdr:cNvPr id="7319" name="323d02db-1d2f-44d3-b225-5b5916296ef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23acad3b8f345e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7322</xdr:row>
      <xdr:rowOff>19050</xdr:rowOff>
    </xdr:from>
    <xdr:ext cx="1143000" cy="1143000"/>
    <xdr:pic>
      <xdr:nvPicPr>
        <xdr:cNvPr id="7320" name="7e977b62-f7dc-4c74-af53-0184a9b0d11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1dd122361ba42d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7323</xdr:row>
      <xdr:rowOff>19050</xdr:rowOff>
    </xdr:from>
    <xdr:ext cx="1143000" cy="1143000"/>
    <xdr:pic>
      <xdr:nvPicPr>
        <xdr:cNvPr id="7321" name="0ca41358-fce0-4e24-9ddb-6dbe5443751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cab43ced02643e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7324</xdr:row>
      <xdr:rowOff>19050</xdr:rowOff>
    </xdr:from>
    <xdr:ext cx="1143000" cy="1143000"/>
    <xdr:pic>
      <xdr:nvPicPr>
        <xdr:cNvPr id="7322" name="0f5cd515-b79e-43c5-bd67-f90e6f4ebd2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3fdd3e71f104c5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7325</xdr:row>
      <xdr:rowOff>19050</xdr:rowOff>
    </xdr:from>
    <xdr:ext cx="1143000" cy="1143000"/>
    <xdr:pic>
      <xdr:nvPicPr>
        <xdr:cNvPr id="7323" name="ab32224a-4d51-46e7-84d7-a0e1f38f215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2eb7c74d21a451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7326</xdr:row>
      <xdr:rowOff>19050</xdr:rowOff>
    </xdr:from>
    <xdr:ext cx="1143000" cy="1143000"/>
    <xdr:pic>
      <xdr:nvPicPr>
        <xdr:cNvPr id="7324" name="b0d6d654-bdeb-49ed-8445-1d7ffbf1354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57b5c58cfcf415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7327</xdr:row>
      <xdr:rowOff>19050</xdr:rowOff>
    </xdr:from>
    <xdr:ext cx="1143000" cy="1143000"/>
    <xdr:pic>
      <xdr:nvPicPr>
        <xdr:cNvPr id="7325" name="dcc5588d-0422-41e2-904d-25dd547090e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1cd58841376440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7328</xdr:row>
      <xdr:rowOff>19050</xdr:rowOff>
    </xdr:from>
    <xdr:ext cx="1143000" cy="1143000"/>
    <xdr:pic>
      <xdr:nvPicPr>
        <xdr:cNvPr id="7326" name="5309e12d-66ec-444e-9169-4c393a6bb5c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47bf25f7fae457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7329</xdr:row>
      <xdr:rowOff>19050</xdr:rowOff>
    </xdr:from>
    <xdr:ext cx="1143000" cy="1143000"/>
    <xdr:pic>
      <xdr:nvPicPr>
        <xdr:cNvPr id="7327" name="ef357b11-cc81-4efa-90aa-0f00b4af95f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11a756d93934c6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7330</xdr:row>
      <xdr:rowOff>19050</xdr:rowOff>
    </xdr:from>
    <xdr:ext cx="1143000" cy="1143000"/>
    <xdr:pic>
      <xdr:nvPicPr>
        <xdr:cNvPr id="7328" name="37f1798a-7b42-478b-8f87-aca7a31d355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1d9811e74704d5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7331</xdr:row>
      <xdr:rowOff>19050</xdr:rowOff>
    </xdr:from>
    <xdr:ext cx="1143000" cy="1143000"/>
    <xdr:pic>
      <xdr:nvPicPr>
        <xdr:cNvPr id="7329" name="eea24ed3-2355-494f-9378-a5cd952fecd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1442a7bdfb048e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7332</xdr:row>
      <xdr:rowOff>19050</xdr:rowOff>
    </xdr:from>
    <xdr:ext cx="1143000" cy="1143000"/>
    <xdr:pic>
      <xdr:nvPicPr>
        <xdr:cNvPr id="7330" name="f82edaf6-beb5-4cf3-a77f-74186eca56b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0e93ee54a0e46f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7333</xdr:row>
      <xdr:rowOff>19050</xdr:rowOff>
    </xdr:from>
    <xdr:ext cx="1143000" cy="1143000"/>
    <xdr:pic>
      <xdr:nvPicPr>
        <xdr:cNvPr id="7331" name="57ca967a-15c1-4c36-994b-64d993106a6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d96ffb1fe7f4f9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7334</xdr:row>
      <xdr:rowOff>19050</xdr:rowOff>
    </xdr:from>
    <xdr:ext cx="1143000" cy="1143000"/>
    <xdr:pic>
      <xdr:nvPicPr>
        <xdr:cNvPr id="7332" name="470e1051-7ea8-43c8-be51-445cf7f8d3d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fcffb6ab93d43f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7335</xdr:row>
      <xdr:rowOff>19050</xdr:rowOff>
    </xdr:from>
    <xdr:ext cx="1143000" cy="1143000"/>
    <xdr:pic>
      <xdr:nvPicPr>
        <xdr:cNvPr id="7333" name="5e52b2fd-3ab7-42e4-a5e2-eba3369cc1c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9eaebbc180d4e9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7336</xdr:row>
      <xdr:rowOff>19050</xdr:rowOff>
    </xdr:from>
    <xdr:ext cx="1143000" cy="1143000"/>
    <xdr:pic>
      <xdr:nvPicPr>
        <xdr:cNvPr id="7334" name="2ccdd009-86af-4e49-8904-e09ff1fba73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5b02105af384b8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7337</xdr:row>
      <xdr:rowOff>19050</xdr:rowOff>
    </xdr:from>
    <xdr:ext cx="1143000" cy="1143000"/>
    <xdr:pic>
      <xdr:nvPicPr>
        <xdr:cNvPr id="7335" name="00a5712c-0197-4905-acf9-82e5a87d17c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3c8af0af9c2482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7338</xdr:row>
      <xdr:rowOff>19050</xdr:rowOff>
    </xdr:from>
    <xdr:ext cx="1143000" cy="1143000"/>
    <xdr:pic>
      <xdr:nvPicPr>
        <xdr:cNvPr id="7336" name="8a58fd12-2354-4e5c-92c4-cf4d2e30626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c675f82b8fa490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7339</xdr:row>
      <xdr:rowOff>19050</xdr:rowOff>
    </xdr:from>
    <xdr:ext cx="1143000" cy="1143000"/>
    <xdr:pic>
      <xdr:nvPicPr>
        <xdr:cNvPr id="7337" name="da785215-680a-48b8-8c7f-53ca1597a88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2b3b0c8ea33481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7340</xdr:row>
      <xdr:rowOff>19050</xdr:rowOff>
    </xdr:from>
    <xdr:ext cx="1143000" cy="1143000"/>
    <xdr:pic>
      <xdr:nvPicPr>
        <xdr:cNvPr id="7338" name="ed005a51-c157-46a8-9796-ab60253fbc1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e372c971ea1497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7341</xdr:row>
      <xdr:rowOff>19050</xdr:rowOff>
    </xdr:from>
    <xdr:ext cx="1143000" cy="1143000"/>
    <xdr:pic>
      <xdr:nvPicPr>
        <xdr:cNvPr id="7339" name="6885b62a-389a-45fe-83c4-002c32faa9b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07f17726b90490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7342</xdr:row>
      <xdr:rowOff>19050</xdr:rowOff>
    </xdr:from>
    <xdr:ext cx="1143000" cy="1143000"/>
    <xdr:pic>
      <xdr:nvPicPr>
        <xdr:cNvPr id="7340" name="75b84795-d604-4c3c-801c-d42dc6d214d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afce8b82594403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7343</xdr:row>
      <xdr:rowOff>19050</xdr:rowOff>
    </xdr:from>
    <xdr:ext cx="1143000" cy="1143000"/>
    <xdr:pic>
      <xdr:nvPicPr>
        <xdr:cNvPr id="7341" name="28e5b6d2-3c0a-4783-b373-a55ed507a79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f37ffc7f9c44f4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7344</xdr:row>
      <xdr:rowOff>19050</xdr:rowOff>
    </xdr:from>
    <xdr:ext cx="1143000" cy="1143000"/>
    <xdr:pic>
      <xdr:nvPicPr>
        <xdr:cNvPr id="7342" name="d34c2ea3-541f-4639-8baf-b3305236740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e1068f29a6a4c2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7345</xdr:row>
      <xdr:rowOff>19050</xdr:rowOff>
    </xdr:from>
    <xdr:ext cx="1143000" cy="1143000"/>
    <xdr:pic>
      <xdr:nvPicPr>
        <xdr:cNvPr id="7343" name="a05b03f5-36e0-44fe-a5eb-8b9debef669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139651bd31b4c1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7346</xdr:row>
      <xdr:rowOff>19050</xdr:rowOff>
    </xdr:from>
    <xdr:ext cx="1143000" cy="1143000"/>
    <xdr:pic>
      <xdr:nvPicPr>
        <xdr:cNvPr id="7344" name="bfcc8f17-5b46-489c-a315-15cf6832df4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361c77d0f20451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7347</xdr:row>
      <xdr:rowOff>19050</xdr:rowOff>
    </xdr:from>
    <xdr:ext cx="1143000" cy="1143000"/>
    <xdr:pic>
      <xdr:nvPicPr>
        <xdr:cNvPr id="7345" name="89dd1bd6-0b68-4b97-941f-25f9312f01c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b805eebd79c49b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7348</xdr:row>
      <xdr:rowOff>19050</xdr:rowOff>
    </xdr:from>
    <xdr:ext cx="1143000" cy="1143000"/>
    <xdr:pic>
      <xdr:nvPicPr>
        <xdr:cNvPr id="7346" name="bcc8d80c-03fb-4eae-90b9-019d0c610c9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8445c57819441b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7349</xdr:row>
      <xdr:rowOff>19050</xdr:rowOff>
    </xdr:from>
    <xdr:ext cx="1143000" cy="1143000"/>
    <xdr:pic>
      <xdr:nvPicPr>
        <xdr:cNvPr id="7347" name="87609bdf-451a-43fc-927f-05d353fa068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3dee552ab0c4f9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7350</xdr:row>
      <xdr:rowOff>19050</xdr:rowOff>
    </xdr:from>
    <xdr:ext cx="1143000" cy="1143000"/>
    <xdr:pic>
      <xdr:nvPicPr>
        <xdr:cNvPr id="7348" name="7b74aab9-4049-4d12-a1b7-bd88e291e86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fd4c0c693604f7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7351</xdr:row>
      <xdr:rowOff>19050</xdr:rowOff>
    </xdr:from>
    <xdr:ext cx="1143000" cy="1143000"/>
    <xdr:pic>
      <xdr:nvPicPr>
        <xdr:cNvPr id="7349" name="30ecf5d0-f17e-4ea2-be41-b4a01d2d413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92085cb8a5e447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7352</xdr:row>
      <xdr:rowOff>19050</xdr:rowOff>
    </xdr:from>
    <xdr:ext cx="1143000" cy="1143000"/>
    <xdr:pic>
      <xdr:nvPicPr>
        <xdr:cNvPr id="7350" name="990ac0a8-dcb2-4c46-85d5-6d4cd83bca4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1a88af0af1349a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7353</xdr:row>
      <xdr:rowOff>19050</xdr:rowOff>
    </xdr:from>
    <xdr:ext cx="1143000" cy="1143000"/>
    <xdr:pic>
      <xdr:nvPicPr>
        <xdr:cNvPr id="7351" name="bd85417d-94b6-449c-8f75-3832678f9eb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ccd87007c9746b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7354</xdr:row>
      <xdr:rowOff>19050</xdr:rowOff>
    </xdr:from>
    <xdr:ext cx="1143000" cy="1143000"/>
    <xdr:pic>
      <xdr:nvPicPr>
        <xdr:cNvPr id="7352" name="2727be11-ebb9-4282-9e30-388bf0ecb06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174f070bc054eb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7355</xdr:row>
      <xdr:rowOff>19050</xdr:rowOff>
    </xdr:from>
    <xdr:ext cx="1143000" cy="1143000"/>
    <xdr:pic>
      <xdr:nvPicPr>
        <xdr:cNvPr id="7353" name="3ad7cc75-1ce9-48be-bdf2-e88543c0fb7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2c417aa646f476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7356</xdr:row>
      <xdr:rowOff>19050</xdr:rowOff>
    </xdr:from>
    <xdr:ext cx="1143000" cy="1143000"/>
    <xdr:pic>
      <xdr:nvPicPr>
        <xdr:cNvPr id="7354" name="e3503811-bc49-480f-900d-4028cea152a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0ad4dbb1cbc49d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7357</xdr:row>
      <xdr:rowOff>19050</xdr:rowOff>
    </xdr:from>
    <xdr:ext cx="1143000" cy="1143000"/>
    <xdr:pic>
      <xdr:nvPicPr>
        <xdr:cNvPr id="7355" name="dacb1ace-5980-4054-aa17-d5ba4c731e4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f5211596e5849c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7358</xdr:row>
      <xdr:rowOff>19050</xdr:rowOff>
    </xdr:from>
    <xdr:ext cx="1143000" cy="1143000"/>
    <xdr:pic>
      <xdr:nvPicPr>
        <xdr:cNvPr id="7356" name="b5a1db2e-5dd7-4ff5-9564-53002400ce5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940a8027ce947c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7359</xdr:row>
      <xdr:rowOff>19050</xdr:rowOff>
    </xdr:from>
    <xdr:ext cx="1143000" cy="1143000"/>
    <xdr:pic>
      <xdr:nvPicPr>
        <xdr:cNvPr id="7357" name="3461ebdd-690a-4637-86af-ba08e0f0b30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423e6e3d009426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7360</xdr:row>
      <xdr:rowOff>19050</xdr:rowOff>
    </xdr:from>
    <xdr:ext cx="1143000" cy="1143000"/>
    <xdr:pic>
      <xdr:nvPicPr>
        <xdr:cNvPr id="7358" name="077d4153-920b-4692-93a7-1e222c239ee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bf9e7bd758644f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7361</xdr:row>
      <xdr:rowOff>19050</xdr:rowOff>
    </xdr:from>
    <xdr:ext cx="1143000" cy="1143000"/>
    <xdr:pic>
      <xdr:nvPicPr>
        <xdr:cNvPr id="7359" name="ad03ea0b-f361-4680-88f8-90b3161b5b5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cf833dceca5427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7362</xdr:row>
      <xdr:rowOff>19050</xdr:rowOff>
    </xdr:from>
    <xdr:ext cx="1143000" cy="1143000"/>
    <xdr:pic>
      <xdr:nvPicPr>
        <xdr:cNvPr id="7360" name="d7d41d4c-4697-427f-900a-fd102f075e8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67c21a09b9144c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7363</xdr:row>
      <xdr:rowOff>19050</xdr:rowOff>
    </xdr:from>
    <xdr:ext cx="1143000" cy="1143000"/>
    <xdr:pic>
      <xdr:nvPicPr>
        <xdr:cNvPr id="7361" name="68ae2bd1-0977-44e6-b7c0-5e58800d6ce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bfab3d716354e8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7364</xdr:row>
      <xdr:rowOff>19050</xdr:rowOff>
    </xdr:from>
    <xdr:ext cx="1143000" cy="1143000"/>
    <xdr:pic>
      <xdr:nvPicPr>
        <xdr:cNvPr id="7362" name="5da3d52a-a5bf-48c9-8125-0cc6e563903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e8351b5a5e3441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7365</xdr:row>
      <xdr:rowOff>19050</xdr:rowOff>
    </xdr:from>
    <xdr:ext cx="1143000" cy="1143000"/>
    <xdr:pic>
      <xdr:nvPicPr>
        <xdr:cNvPr id="7363" name="681a1d8f-14c3-4746-a09a-44a9147e03f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353474ca7be409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7366</xdr:row>
      <xdr:rowOff>19050</xdr:rowOff>
    </xdr:from>
    <xdr:ext cx="1143000" cy="1143000"/>
    <xdr:pic>
      <xdr:nvPicPr>
        <xdr:cNvPr id="7364" name="c447c802-a89e-436d-896f-f5f0ae33a99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268ee601e6541c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7367</xdr:row>
      <xdr:rowOff>19050</xdr:rowOff>
    </xdr:from>
    <xdr:ext cx="1143000" cy="1143000"/>
    <xdr:pic>
      <xdr:nvPicPr>
        <xdr:cNvPr id="7365" name="04d430f7-a8de-43b7-bdad-324b4451cbf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e4a3b2aa49542c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7368</xdr:row>
      <xdr:rowOff>19050</xdr:rowOff>
    </xdr:from>
    <xdr:ext cx="1143000" cy="1143000"/>
    <xdr:pic>
      <xdr:nvPicPr>
        <xdr:cNvPr id="7366" name="97d1f2b3-5183-4570-9a3a-82ebd837488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e156093adc44c1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7369</xdr:row>
      <xdr:rowOff>19050</xdr:rowOff>
    </xdr:from>
    <xdr:ext cx="1143000" cy="1143000"/>
    <xdr:pic>
      <xdr:nvPicPr>
        <xdr:cNvPr id="7367" name="aa590a9a-a9d6-463b-9e3d-aa9443834d0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5115e5abdbb420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7370</xdr:row>
      <xdr:rowOff>19050</xdr:rowOff>
    </xdr:from>
    <xdr:ext cx="1143000" cy="1143000"/>
    <xdr:pic>
      <xdr:nvPicPr>
        <xdr:cNvPr id="7368" name="eee3ad95-580d-4ed3-9007-7564dde901a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eb510bcc604491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7371</xdr:row>
      <xdr:rowOff>19050</xdr:rowOff>
    </xdr:from>
    <xdr:ext cx="1143000" cy="1143000"/>
    <xdr:pic>
      <xdr:nvPicPr>
        <xdr:cNvPr id="7369" name="edc06ede-0e11-4413-a4e7-6a702e01ec7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f4e60370b6c4e0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7372</xdr:row>
      <xdr:rowOff>19050</xdr:rowOff>
    </xdr:from>
    <xdr:ext cx="1143000" cy="1143000"/>
    <xdr:pic>
      <xdr:nvPicPr>
        <xdr:cNvPr id="7370" name="063de0b3-e413-4034-825f-73177c4cd09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48f382efb28462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7373</xdr:row>
      <xdr:rowOff>19050</xdr:rowOff>
    </xdr:from>
    <xdr:ext cx="1143000" cy="1143000"/>
    <xdr:pic>
      <xdr:nvPicPr>
        <xdr:cNvPr id="7371" name="6bbc669f-4dc2-4a91-a892-22c2359df84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8fdeb0b2ec8439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7374</xdr:row>
      <xdr:rowOff>19050</xdr:rowOff>
    </xdr:from>
    <xdr:ext cx="1143000" cy="1143000"/>
    <xdr:pic>
      <xdr:nvPicPr>
        <xdr:cNvPr id="7372" name="a7edf118-78ac-4f66-86cb-9b2813dd1d7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4e85e17f4664b5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7375</xdr:row>
      <xdr:rowOff>19050</xdr:rowOff>
    </xdr:from>
    <xdr:ext cx="1143000" cy="1143000"/>
    <xdr:pic>
      <xdr:nvPicPr>
        <xdr:cNvPr id="7373" name="24600120-fa8b-4f80-b816-9175de30aae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1a805814a42466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7376</xdr:row>
      <xdr:rowOff>19050</xdr:rowOff>
    </xdr:from>
    <xdr:ext cx="1143000" cy="1143000"/>
    <xdr:pic>
      <xdr:nvPicPr>
        <xdr:cNvPr id="7374" name="ee8d9015-c2c1-4356-acd9-fbbf339a5f2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ff2d18ff0f5409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7377</xdr:row>
      <xdr:rowOff>19050</xdr:rowOff>
    </xdr:from>
    <xdr:ext cx="1143000" cy="1143000"/>
    <xdr:pic>
      <xdr:nvPicPr>
        <xdr:cNvPr id="7375" name="deb67a79-d897-4d8c-b5b9-cc4a56bd24e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3794562500649f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7378</xdr:row>
      <xdr:rowOff>19050</xdr:rowOff>
    </xdr:from>
    <xdr:ext cx="1143000" cy="1143000"/>
    <xdr:pic>
      <xdr:nvPicPr>
        <xdr:cNvPr id="7376" name="d848878f-049f-4eab-a95c-8f883b03e9b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fa2dfeb70d44a5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7379</xdr:row>
      <xdr:rowOff>19050</xdr:rowOff>
    </xdr:from>
    <xdr:ext cx="1143000" cy="1143000"/>
    <xdr:pic>
      <xdr:nvPicPr>
        <xdr:cNvPr id="7377" name="b64f1666-7a9d-4333-afc1-499568656c4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028402d8ed844b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7380</xdr:row>
      <xdr:rowOff>19050</xdr:rowOff>
    </xdr:from>
    <xdr:ext cx="1143000" cy="1143000"/>
    <xdr:pic>
      <xdr:nvPicPr>
        <xdr:cNvPr id="7378" name="599015a5-53be-47fd-9ffd-7ae0c827fae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dd36eb1a3f8455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7381</xdr:row>
      <xdr:rowOff>19050</xdr:rowOff>
    </xdr:from>
    <xdr:ext cx="1143000" cy="1143000"/>
    <xdr:pic>
      <xdr:nvPicPr>
        <xdr:cNvPr id="7379" name="33779c95-567f-4281-9954-2d15bdbf634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4d3d5a9cf9f420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7382</xdr:row>
      <xdr:rowOff>19050</xdr:rowOff>
    </xdr:from>
    <xdr:ext cx="1143000" cy="1143000"/>
    <xdr:pic>
      <xdr:nvPicPr>
        <xdr:cNvPr id="7380" name="ba995219-94cd-4f13-9a42-13e9593fe4e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0daaf44eb344d6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7383</xdr:row>
      <xdr:rowOff>19050</xdr:rowOff>
    </xdr:from>
    <xdr:ext cx="1143000" cy="1143000"/>
    <xdr:pic>
      <xdr:nvPicPr>
        <xdr:cNvPr id="7381" name="9ecc52a1-27d2-418c-9ecb-d71e5dd82b8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60e5eb38c6e416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7384</xdr:row>
      <xdr:rowOff>19050</xdr:rowOff>
    </xdr:from>
    <xdr:ext cx="1143000" cy="1143000"/>
    <xdr:pic>
      <xdr:nvPicPr>
        <xdr:cNvPr id="7382" name="f38ea3f8-36ea-404a-9758-f167abd69ca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f07a367dc4447e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7385</xdr:row>
      <xdr:rowOff>19050</xdr:rowOff>
    </xdr:from>
    <xdr:ext cx="1143000" cy="1143000"/>
    <xdr:pic>
      <xdr:nvPicPr>
        <xdr:cNvPr id="7383" name="7c54e108-40fc-4766-b547-99007649f8f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24569a900b64bd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7386</xdr:row>
      <xdr:rowOff>19050</xdr:rowOff>
    </xdr:from>
    <xdr:ext cx="1143000" cy="1143000"/>
    <xdr:pic>
      <xdr:nvPicPr>
        <xdr:cNvPr id="7384" name="be1fbb7a-ba1d-4f94-90ac-12caff057f7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076bb15478940d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7387</xdr:row>
      <xdr:rowOff>19050</xdr:rowOff>
    </xdr:from>
    <xdr:ext cx="1143000" cy="1143000"/>
    <xdr:pic>
      <xdr:nvPicPr>
        <xdr:cNvPr id="7385" name="fac75399-7d6e-4bea-96d9-ec8ddddaba3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fa3dcc1618c4be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7388</xdr:row>
      <xdr:rowOff>19050</xdr:rowOff>
    </xdr:from>
    <xdr:ext cx="1143000" cy="1143000"/>
    <xdr:pic>
      <xdr:nvPicPr>
        <xdr:cNvPr id="7386" name="90bb2bd4-75c6-492e-b198-0c9f0e7f847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3581bed25ef409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7389</xdr:row>
      <xdr:rowOff>19050</xdr:rowOff>
    </xdr:from>
    <xdr:ext cx="1143000" cy="1143000"/>
    <xdr:pic>
      <xdr:nvPicPr>
        <xdr:cNvPr id="7387" name="3ba0c2bc-87aa-4494-bf6b-b5ff9a6aea0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5e2eef649b94b5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7390</xdr:row>
      <xdr:rowOff>19050</xdr:rowOff>
    </xdr:from>
    <xdr:ext cx="1143000" cy="1143000"/>
    <xdr:pic>
      <xdr:nvPicPr>
        <xdr:cNvPr id="7388" name="a9cb63b1-60f3-49c2-a4bb-323b354e2aa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50cd16306374f0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7391</xdr:row>
      <xdr:rowOff>19050</xdr:rowOff>
    </xdr:from>
    <xdr:ext cx="1143000" cy="1143000"/>
    <xdr:pic>
      <xdr:nvPicPr>
        <xdr:cNvPr id="7389" name="60dfc0c1-c650-46b1-b55c-3e059dcff7d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1d56a1adf534ad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7392</xdr:row>
      <xdr:rowOff>19050</xdr:rowOff>
    </xdr:from>
    <xdr:ext cx="1143000" cy="1143000"/>
    <xdr:pic>
      <xdr:nvPicPr>
        <xdr:cNvPr id="7390" name="5cfe2872-c032-4403-a8fe-d44d99ec62d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3f3933145c946d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7393</xdr:row>
      <xdr:rowOff>19050</xdr:rowOff>
    </xdr:from>
    <xdr:ext cx="1143000" cy="1143000"/>
    <xdr:pic>
      <xdr:nvPicPr>
        <xdr:cNvPr id="7391" name="157d44b4-3e82-4150-9242-51e0b832837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ad436b5a8a94b5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7394</xdr:row>
      <xdr:rowOff>19050</xdr:rowOff>
    </xdr:from>
    <xdr:ext cx="1143000" cy="1143000"/>
    <xdr:pic>
      <xdr:nvPicPr>
        <xdr:cNvPr id="7392" name="16caa7f3-1f10-4e01-866a-d7f557356c4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b3f7fc217b54fd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7395</xdr:row>
      <xdr:rowOff>19050</xdr:rowOff>
    </xdr:from>
    <xdr:ext cx="1143000" cy="1143000"/>
    <xdr:pic>
      <xdr:nvPicPr>
        <xdr:cNvPr id="7393" name="f0cbb14b-4b86-4d71-8db4-c8e0324892a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0f279e96978456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7396</xdr:row>
      <xdr:rowOff>19050</xdr:rowOff>
    </xdr:from>
    <xdr:ext cx="1143000" cy="1143000"/>
    <xdr:pic>
      <xdr:nvPicPr>
        <xdr:cNvPr id="7394" name="77a8df04-254c-4e36-b140-6deee13cd14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4dfd83375ab463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7397</xdr:row>
      <xdr:rowOff>19050</xdr:rowOff>
    </xdr:from>
    <xdr:ext cx="1143000" cy="1143000"/>
    <xdr:pic>
      <xdr:nvPicPr>
        <xdr:cNvPr id="7395" name="ae0a3526-6c64-465c-9cfe-cd5859148e2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13d3c7145c149f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7398</xdr:row>
      <xdr:rowOff>19050</xdr:rowOff>
    </xdr:from>
    <xdr:ext cx="1143000" cy="1143000"/>
    <xdr:pic>
      <xdr:nvPicPr>
        <xdr:cNvPr id="7396" name="b1fc43a7-e653-40fd-b245-4e2617e972b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e5ea40d2606419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7399</xdr:row>
      <xdr:rowOff>19050</xdr:rowOff>
    </xdr:from>
    <xdr:ext cx="1143000" cy="1143000"/>
    <xdr:pic>
      <xdr:nvPicPr>
        <xdr:cNvPr id="7397" name="b4031a34-9e70-4eea-8653-b1564fb3a53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ba93bf8af18424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7400</xdr:row>
      <xdr:rowOff>19050</xdr:rowOff>
    </xdr:from>
    <xdr:ext cx="1143000" cy="1143000"/>
    <xdr:pic>
      <xdr:nvPicPr>
        <xdr:cNvPr id="7398" name="6b37fe33-f212-4cff-a795-a120764188f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3d6f57ca5d8466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7401</xdr:row>
      <xdr:rowOff>19050</xdr:rowOff>
    </xdr:from>
    <xdr:ext cx="1143000" cy="1143000"/>
    <xdr:pic>
      <xdr:nvPicPr>
        <xdr:cNvPr id="7399" name="65dcf101-5183-495b-a875-50cf4e5d08d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51142d9bda2403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7402</xdr:row>
      <xdr:rowOff>19050</xdr:rowOff>
    </xdr:from>
    <xdr:ext cx="1143000" cy="1143000"/>
    <xdr:pic>
      <xdr:nvPicPr>
        <xdr:cNvPr id="7400" name="cd64ae53-a6d4-44d6-b3d6-03797c32ca8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4ad1ca412c040f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7403</xdr:row>
      <xdr:rowOff>19050</xdr:rowOff>
    </xdr:from>
    <xdr:ext cx="1143000" cy="1143000"/>
    <xdr:pic>
      <xdr:nvPicPr>
        <xdr:cNvPr id="7401" name="e1a6f808-7455-456a-93ba-7397a51fa58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d9b2849581b4ef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7404</xdr:row>
      <xdr:rowOff>19050</xdr:rowOff>
    </xdr:from>
    <xdr:ext cx="1143000" cy="1143000"/>
    <xdr:pic>
      <xdr:nvPicPr>
        <xdr:cNvPr id="7402" name="663ff2bf-6abf-4ac0-aa58-29c05fad673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0be4e4ea7114b7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7405</xdr:row>
      <xdr:rowOff>19050</xdr:rowOff>
    </xdr:from>
    <xdr:ext cx="1143000" cy="1143000"/>
    <xdr:pic>
      <xdr:nvPicPr>
        <xdr:cNvPr id="7403" name="94008581-247b-47ed-bb14-c3e39104402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7ccead0d7b4418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7406</xdr:row>
      <xdr:rowOff>19050</xdr:rowOff>
    </xdr:from>
    <xdr:ext cx="1143000" cy="1143000"/>
    <xdr:pic>
      <xdr:nvPicPr>
        <xdr:cNvPr id="7404" name="e1f55042-08aa-468b-bf17-b14f61b50d7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7d40aa0cecc4b5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7407</xdr:row>
      <xdr:rowOff>19050</xdr:rowOff>
    </xdr:from>
    <xdr:ext cx="1143000" cy="1143000"/>
    <xdr:pic>
      <xdr:nvPicPr>
        <xdr:cNvPr id="7405" name="53a1f470-4adb-40e3-848b-4be74f842a1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be7c35a2a75420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7408</xdr:row>
      <xdr:rowOff>19050</xdr:rowOff>
    </xdr:from>
    <xdr:ext cx="1143000" cy="1143000"/>
    <xdr:pic>
      <xdr:nvPicPr>
        <xdr:cNvPr id="7406" name="7716e4c4-70df-4cbd-bfd3-245806f33df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62416f575e44d0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7409</xdr:row>
      <xdr:rowOff>19050</xdr:rowOff>
    </xdr:from>
    <xdr:ext cx="1143000" cy="1143000"/>
    <xdr:pic>
      <xdr:nvPicPr>
        <xdr:cNvPr id="7407" name="e6205948-5f85-4375-80e4-ad901a6c5a8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8a1ca70e9ae478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7410</xdr:row>
      <xdr:rowOff>19050</xdr:rowOff>
    </xdr:from>
    <xdr:ext cx="1143000" cy="1143000"/>
    <xdr:pic>
      <xdr:nvPicPr>
        <xdr:cNvPr id="7408" name="0a305f56-637a-4ec2-82e4-5b090bfdd01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70b9ea38fbc42a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7411</xdr:row>
      <xdr:rowOff>19050</xdr:rowOff>
    </xdr:from>
    <xdr:ext cx="1143000" cy="1143000"/>
    <xdr:pic>
      <xdr:nvPicPr>
        <xdr:cNvPr id="7409" name="40c9405b-f20d-48c3-a384-b401a0e0ab4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3bad49f05c9491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7412</xdr:row>
      <xdr:rowOff>19050</xdr:rowOff>
    </xdr:from>
    <xdr:ext cx="1143000" cy="1143000"/>
    <xdr:pic>
      <xdr:nvPicPr>
        <xdr:cNvPr id="7410" name="8cb38232-bd85-4426-ad5c-b1d8627a2da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8f8291ad01849c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7413</xdr:row>
      <xdr:rowOff>19050</xdr:rowOff>
    </xdr:from>
    <xdr:ext cx="1143000" cy="1143000"/>
    <xdr:pic>
      <xdr:nvPicPr>
        <xdr:cNvPr id="7411" name="5bcffae3-64e4-4210-b96f-cb2068170aa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0614074ebbb49e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7414</xdr:row>
      <xdr:rowOff>19050</xdr:rowOff>
    </xdr:from>
    <xdr:ext cx="1143000" cy="1143000"/>
    <xdr:pic>
      <xdr:nvPicPr>
        <xdr:cNvPr id="7412" name="ff3516bd-03a4-490f-bf1c-8d1daf5dc59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79e85db5b0f48e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7415</xdr:row>
      <xdr:rowOff>19050</xdr:rowOff>
    </xdr:from>
    <xdr:ext cx="1143000" cy="1143000"/>
    <xdr:pic>
      <xdr:nvPicPr>
        <xdr:cNvPr id="7413" name="3e8859ef-e945-4bd0-a142-54739cf926d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c96eb8a19d9479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7416</xdr:row>
      <xdr:rowOff>19050</xdr:rowOff>
    </xdr:from>
    <xdr:ext cx="1143000" cy="1143000"/>
    <xdr:pic>
      <xdr:nvPicPr>
        <xdr:cNvPr id="7414" name="03d1c073-6102-494f-8f0c-c9090f85b5c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872900b9a12454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7417</xdr:row>
      <xdr:rowOff>19050</xdr:rowOff>
    </xdr:from>
    <xdr:ext cx="1143000" cy="1143000"/>
    <xdr:pic>
      <xdr:nvPicPr>
        <xdr:cNvPr id="7415" name="876c2deb-d7e1-4784-a5a2-4a1eabbf3bd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9b0f468344241c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7418</xdr:row>
      <xdr:rowOff>19050</xdr:rowOff>
    </xdr:from>
    <xdr:ext cx="1143000" cy="1143000"/>
    <xdr:pic>
      <xdr:nvPicPr>
        <xdr:cNvPr id="7416" name="bb209f28-c9e3-464a-bd8e-8516e29897b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cba0186c559455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7419</xdr:row>
      <xdr:rowOff>19050</xdr:rowOff>
    </xdr:from>
    <xdr:ext cx="1143000" cy="1143000"/>
    <xdr:pic>
      <xdr:nvPicPr>
        <xdr:cNvPr id="7417" name="5669656a-ec01-4ad8-a636-c9ed2bf41c6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881644be1c34ff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7420</xdr:row>
      <xdr:rowOff>19050</xdr:rowOff>
    </xdr:from>
    <xdr:ext cx="1143000" cy="1143000"/>
    <xdr:pic>
      <xdr:nvPicPr>
        <xdr:cNvPr id="7418" name="e44fd609-9d6d-4570-a355-7ca674a200a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93d85c43636447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7421</xdr:row>
      <xdr:rowOff>19050</xdr:rowOff>
    </xdr:from>
    <xdr:ext cx="1143000" cy="1143000"/>
    <xdr:pic>
      <xdr:nvPicPr>
        <xdr:cNvPr id="7419" name="b255e6a2-32c5-4b80-873a-2937f0c81ae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dbc80f5a590421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7422</xdr:row>
      <xdr:rowOff>19050</xdr:rowOff>
    </xdr:from>
    <xdr:ext cx="1143000" cy="1143000"/>
    <xdr:pic>
      <xdr:nvPicPr>
        <xdr:cNvPr id="7420" name="b49b2de1-9cb5-4172-94d9-2d9a9715d99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2538ea38bd444f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7423</xdr:row>
      <xdr:rowOff>19050</xdr:rowOff>
    </xdr:from>
    <xdr:ext cx="1143000" cy="1143000"/>
    <xdr:pic>
      <xdr:nvPicPr>
        <xdr:cNvPr id="7421" name="23076903-fb16-4bc5-a888-62a9d848168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cb197900d7f408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7424</xdr:row>
      <xdr:rowOff>19050</xdr:rowOff>
    </xdr:from>
    <xdr:ext cx="1143000" cy="1143000"/>
    <xdr:pic>
      <xdr:nvPicPr>
        <xdr:cNvPr id="7422" name="a4f0f798-45b4-4da8-ba16-a7c6df759b1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9754f2901c6445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7425</xdr:row>
      <xdr:rowOff>19050</xdr:rowOff>
    </xdr:from>
    <xdr:ext cx="1143000" cy="1143000"/>
    <xdr:pic>
      <xdr:nvPicPr>
        <xdr:cNvPr id="7423" name="1bf4645f-7ac6-4495-979d-79259160627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49bceb5a947400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7426</xdr:row>
      <xdr:rowOff>19050</xdr:rowOff>
    </xdr:from>
    <xdr:ext cx="1143000" cy="1143000"/>
    <xdr:pic>
      <xdr:nvPicPr>
        <xdr:cNvPr id="7424" name="c4ceb6b4-1fed-4dd7-86ca-53d71ceb43a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c8e6ae68c094e5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7427</xdr:row>
      <xdr:rowOff>19050</xdr:rowOff>
    </xdr:from>
    <xdr:ext cx="1143000" cy="1143000"/>
    <xdr:pic>
      <xdr:nvPicPr>
        <xdr:cNvPr id="7425" name="2954ddf6-1feb-4182-8745-57e02765a68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433a3c70398409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7428</xdr:row>
      <xdr:rowOff>19050</xdr:rowOff>
    </xdr:from>
    <xdr:ext cx="1143000" cy="1143000"/>
    <xdr:pic>
      <xdr:nvPicPr>
        <xdr:cNvPr id="7426" name="bab94edc-a0f7-464d-b8a9-edb92ff9038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a8fa764b57a4bf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7429</xdr:row>
      <xdr:rowOff>19050</xdr:rowOff>
    </xdr:from>
    <xdr:ext cx="1143000" cy="1143000"/>
    <xdr:pic>
      <xdr:nvPicPr>
        <xdr:cNvPr id="7427" name="bc801bca-25b1-4662-8265-3a304340247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e780cf942ca4d3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7430</xdr:row>
      <xdr:rowOff>19050</xdr:rowOff>
    </xdr:from>
    <xdr:ext cx="1143000" cy="1143000"/>
    <xdr:pic>
      <xdr:nvPicPr>
        <xdr:cNvPr id="7428" name="a8dd7c08-b499-481b-bdf6-175eb1c65dd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7cfb9f23ca44bd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7431</xdr:row>
      <xdr:rowOff>19050</xdr:rowOff>
    </xdr:from>
    <xdr:ext cx="1143000" cy="1143000"/>
    <xdr:pic>
      <xdr:nvPicPr>
        <xdr:cNvPr id="7429" name="f03cc6cf-fd4e-49ad-b76c-75fac8c81da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a327828716e4e6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7432</xdr:row>
      <xdr:rowOff>19050</xdr:rowOff>
    </xdr:from>
    <xdr:ext cx="1143000" cy="1143000"/>
    <xdr:pic>
      <xdr:nvPicPr>
        <xdr:cNvPr id="7430" name="67e770ea-edfc-4b90-881c-efb8a57209f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0db8fa8da01499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7433</xdr:row>
      <xdr:rowOff>19050</xdr:rowOff>
    </xdr:from>
    <xdr:ext cx="1143000" cy="1143000"/>
    <xdr:pic>
      <xdr:nvPicPr>
        <xdr:cNvPr id="7431" name="510746f8-cde3-4b0b-a62f-8b161056968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7196d5c71df427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7434</xdr:row>
      <xdr:rowOff>19050</xdr:rowOff>
    </xdr:from>
    <xdr:ext cx="1143000" cy="1143000"/>
    <xdr:pic>
      <xdr:nvPicPr>
        <xdr:cNvPr id="7432" name="154de456-6abd-446e-9e88-20d97c74807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2414496420e414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7435</xdr:row>
      <xdr:rowOff>19050</xdr:rowOff>
    </xdr:from>
    <xdr:ext cx="1143000" cy="1143000"/>
    <xdr:pic>
      <xdr:nvPicPr>
        <xdr:cNvPr id="7433" name="68031282-5caa-4e9a-b56a-1a144fd860e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c5a031e4e0b412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7436</xdr:row>
      <xdr:rowOff>19050</xdr:rowOff>
    </xdr:from>
    <xdr:ext cx="1143000" cy="1143000"/>
    <xdr:pic>
      <xdr:nvPicPr>
        <xdr:cNvPr id="7434" name="e6bd9028-a517-439c-a05b-b4a2c0ef660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eaccc5ab7e8427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7437</xdr:row>
      <xdr:rowOff>19050</xdr:rowOff>
    </xdr:from>
    <xdr:ext cx="1143000" cy="1143000"/>
    <xdr:pic>
      <xdr:nvPicPr>
        <xdr:cNvPr id="7435" name="8fb5b1ab-bfdb-495a-9f9b-dcc739cacb4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c1f7a48ed2e4cf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7438</xdr:row>
      <xdr:rowOff>19050</xdr:rowOff>
    </xdr:from>
    <xdr:ext cx="1143000" cy="1143000"/>
    <xdr:pic>
      <xdr:nvPicPr>
        <xdr:cNvPr id="7436" name="d96a4f17-cc72-4dfd-bfee-3b61e778351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896be95862645d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7439</xdr:row>
      <xdr:rowOff>19050</xdr:rowOff>
    </xdr:from>
    <xdr:ext cx="1143000" cy="1143000"/>
    <xdr:pic>
      <xdr:nvPicPr>
        <xdr:cNvPr id="7437" name="6587cf16-82a6-4642-9a02-a948b5c4ebb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365d31c59744fa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7440</xdr:row>
      <xdr:rowOff>19050</xdr:rowOff>
    </xdr:from>
    <xdr:ext cx="1143000" cy="1143000"/>
    <xdr:pic>
      <xdr:nvPicPr>
        <xdr:cNvPr id="7438" name="c45f8002-9b06-48a7-9bea-015b5b131e5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2cd41ab19c1418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7441</xdr:row>
      <xdr:rowOff>19050</xdr:rowOff>
    </xdr:from>
    <xdr:ext cx="1143000" cy="1143000"/>
    <xdr:pic>
      <xdr:nvPicPr>
        <xdr:cNvPr id="7439" name="7afd5056-f20b-47ad-a7ec-874785f8581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a296534d79249c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7442</xdr:row>
      <xdr:rowOff>19050</xdr:rowOff>
    </xdr:from>
    <xdr:ext cx="1143000" cy="1143000"/>
    <xdr:pic>
      <xdr:nvPicPr>
        <xdr:cNvPr id="7440" name="4449f6b8-f856-492f-84be-4ce7f85fdcf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b67a21b7530411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7443</xdr:row>
      <xdr:rowOff>19050</xdr:rowOff>
    </xdr:from>
    <xdr:ext cx="1143000" cy="1143000"/>
    <xdr:pic>
      <xdr:nvPicPr>
        <xdr:cNvPr id="7441" name="97671e8b-3500-44f8-8b5d-dac3c2f67aa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0b819124776455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7444</xdr:row>
      <xdr:rowOff>19050</xdr:rowOff>
    </xdr:from>
    <xdr:ext cx="1143000" cy="1143000"/>
    <xdr:pic>
      <xdr:nvPicPr>
        <xdr:cNvPr id="7442" name="0ecbb791-badb-470d-8353-22a9f486e9f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5e04e477ff24e7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7445</xdr:row>
      <xdr:rowOff>19050</xdr:rowOff>
    </xdr:from>
    <xdr:ext cx="1143000" cy="1143000"/>
    <xdr:pic>
      <xdr:nvPicPr>
        <xdr:cNvPr id="7443" name="3c9abc30-eb70-4fd7-906d-1919b4de098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2227399d338460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7446</xdr:row>
      <xdr:rowOff>19050</xdr:rowOff>
    </xdr:from>
    <xdr:ext cx="1143000" cy="1143000"/>
    <xdr:pic>
      <xdr:nvPicPr>
        <xdr:cNvPr id="7444" name="c8ce639c-d12a-4913-93ff-83af465ceaa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317f735c8ca407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7447</xdr:row>
      <xdr:rowOff>19050</xdr:rowOff>
    </xdr:from>
    <xdr:ext cx="1143000" cy="1143000"/>
    <xdr:pic>
      <xdr:nvPicPr>
        <xdr:cNvPr id="7445" name="8e3550fa-89b6-4ef6-83fe-39a735110da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e05c8952e574d8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7448</xdr:row>
      <xdr:rowOff>19050</xdr:rowOff>
    </xdr:from>
    <xdr:ext cx="1143000" cy="1143000"/>
    <xdr:pic>
      <xdr:nvPicPr>
        <xdr:cNvPr id="7446" name="17a0b8ae-6857-44cd-8190-3794768f539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e9aa1bcf4314fa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7449</xdr:row>
      <xdr:rowOff>19050</xdr:rowOff>
    </xdr:from>
    <xdr:ext cx="1143000" cy="1143000"/>
    <xdr:pic>
      <xdr:nvPicPr>
        <xdr:cNvPr id="7447" name="fb31a2a0-44f2-4d6a-a669-a72ad901c6c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8b93abe37814cb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7450</xdr:row>
      <xdr:rowOff>19050</xdr:rowOff>
    </xdr:from>
    <xdr:ext cx="1143000" cy="1143000"/>
    <xdr:pic>
      <xdr:nvPicPr>
        <xdr:cNvPr id="7448" name="1d5bcf5f-783c-47a5-873b-ceb4bef3fc3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08a5a07749e4a2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7451</xdr:row>
      <xdr:rowOff>19050</xdr:rowOff>
    </xdr:from>
    <xdr:ext cx="1143000" cy="1143000"/>
    <xdr:pic>
      <xdr:nvPicPr>
        <xdr:cNvPr id="7449" name="8206846e-aa6f-4f96-ab01-91a1117adf8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d653905c0344cc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7452</xdr:row>
      <xdr:rowOff>19050</xdr:rowOff>
    </xdr:from>
    <xdr:ext cx="1143000" cy="1143000"/>
    <xdr:pic>
      <xdr:nvPicPr>
        <xdr:cNvPr id="7450" name="e1e890de-2f8c-485c-b013-316daab05fa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7d251ca6f79441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7453</xdr:row>
      <xdr:rowOff>19050</xdr:rowOff>
    </xdr:from>
    <xdr:ext cx="1143000" cy="1143000"/>
    <xdr:pic>
      <xdr:nvPicPr>
        <xdr:cNvPr id="7451" name="fc0c155d-8ca6-467c-a3ee-01418c3d156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bd39e0c5086456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7454</xdr:row>
      <xdr:rowOff>19050</xdr:rowOff>
    </xdr:from>
    <xdr:ext cx="1143000" cy="1143000"/>
    <xdr:pic>
      <xdr:nvPicPr>
        <xdr:cNvPr id="7452" name="de9b4326-cc2f-41e9-a3c7-1711fb57865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83d0cc4dfaf43a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7455</xdr:row>
      <xdr:rowOff>19050</xdr:rowOff>
    </xdr:from>
    <xdr:ext cx="1143000" cy="1143000"/>
    <xdr:pic>
      <xdr:nvPicPr>
        <xdr:cNvPr id="7453" name="a697d6ec-9cf1-420d-91d3-80e2212185e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eac2c4cf56f47e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7456</xdr:row>
      <xdr:rowOff>19050</xdr:rowOff>
    </xdr:from>
    <xdr:ext cx="1143000" cy="1143000"/>
    <xdr:pic>
      <xdr:nvPicPr>
        <xdr:cNvPr id="7454" name="4b5dc09f-845a-44d8-8563-5811aabe6ef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ec20383a8af4f9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7457</xdr:row>
      <xdr:rowOff>19050</xdr:rowOff>
    </xdr:from>
    <xdr:ext cx="1143000" cy="1143000"/>
    <xdr:pic>
      <xdr:nvPicPr>
        <xdr:cNvPr id="7455" name="99c5e4e9-5a57-4ab4-ae40-4bb3d17adeb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779cfd7e02649d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7458</xdr:row>
      <xdr:rowOff>19050</xdr:rowOff>
    </xdr:from>
    <xdr:ext cx="1143000" cy="1143000"/>
    <xdr:pic>
      <xdr:nvPicPr>
        <xdr:cNvPr id="7456" name="c3b8bd7f-3f50-4c3c-af76-882ec570b27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e6adc603af3484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7459</xdr:row>
      <xdr:rowOff>19050</xdr:rowOff>
    </xdr:from>
    <xdr:ext cx="1143000" cy="1143000"/>
    <xdr:pic>
      <xdr:nvPicPr>
        <xdr:cNvPr id="7457" name="e275b7c7-94c7-41fd-b00e-7be1e8715d2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3ba0501432444c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7460</xdr:row>
      <xdr:rowOff>19050</xdr:rowOff>
    </xdr:from>
    <xdr:ext cx="1143000" cy="1143000"/>
    <xdr:pic>
      <xdr:nvPicPr>
        <xdr:cNvPr id="7458" name="8d9066d2-4c28-469c-b6bb-d8efe2e934e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61423d2516546f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7461</xdr:row>
      <xdr:rowOff>19050</xdr:rowOff>
    </xdr:from>
    <xdr:ext cx="1143000" cy="1143000"/>
    <xdr:pic>
      <xdr:nvPicPr>
        <xdr:cNvPr id="7459" name="d3787885-5d37-442e-9b51-23f736d8ffb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d61cb725c8a4d6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7462</xdr:row>
      <xdr:rowOff>19050</xdr:rowOff>
    </xdr:from>
    <xdr:ext cx="1143000" cy="1143000"/>
    <xdr:pic>
      <xdr:nvPicPr>
        <xdr:cNvPr id="7460" name="935918d8-745c-45d5-ad26-8a5d0f215f4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8e60cad5585456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7463</xdr:row>
      <xdr:rowOff>19050</xdr:rowOff>
    </xdr:from>
    <xdr:ext cx="1143000" cy="1143000"/>
    <xdr:pic>
      <xdr:nvPicPr>
        <xdr:cNvPr id="7461" name="f40ac369-ee57-4932-8449-76c21404c9a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c628a4721a4482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7464</xdr:row>
      <xdr:rowOff>19050</xdr:rowOff>
    </xdr:from>
    <xdr:ext cx="1143000" cy="1143000"/>
    <xdr:pic>
      <xdr:nvPicPr>
        <xdr:cNvPr id="7462" name="9b856e10-5cf8-4f04-a7b6-3d527d71010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2a9d0439ddf4dc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7465</xdr:row>
      <xdr:rowOff>19050</xdr:rowOff>
    </xdr:from>
    <xdr:ext cx="1143000" cy="1143000"/>
    <xdr:pic>
      <xdr:nvPicPr>
        <xdr:cNvPr id="7463" name="bd7d5880-6881-4be6-9c42-6f2ee070cd9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c1fa6f07f774b5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7466</xdr:row>
      <xdr:rowOff>19050</xdr:rowOff>
    </xdr:from>
    <xdr:ext cx="1143000" cy="1143000"/>
    <xdr:pic>
      <xdr:nvPicPr>
        <xdr:cNvPr id="7464" name="229bf783-bd20-46c9-b76f-a89c559c469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3a61616946d476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7467</xdr:row>
      <xdr:rowOff>19050</xdr:rowOff>
    </xdr:from>
    <xdr:ext cx="1143000" cy="1143000"/>
    <xdr:pic>
      <xdr:nvPicPr>
        <xdr:cNvPr id="7465" name="1147d3d0-07e4-45f2-bee8-82dc44fdaf1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074203298324be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7468</xdr:row>
      <xdr:rowOff>19050</xdr:rowOff>
    </xdr:from>
    <xdr:ext cx="1143000" cy="1143000"/>
    <xdr:pic>
      <xdr:nvPicPr>
        <xdr:cNvPr id="7466" name="be14e6ea-b243-4cb4-afcb-1e2f0c00c33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626c122fc714a5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7469</xdr:row>
      <xdr:rowOff>19050</xdr:rowOff>
    </xdr:from>
    <xdr:ext cx="1143000" cy="1143000"/>
    <xdr:pic>
      <xdr:nvPicPr>
        <xdr:cNvPr id="7467" name="5a7c0f57-45c2-4d4a-9ea6-b77157eb338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055412ecb6e4e0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7470</xdr:row>
      <xdr:rowOff>19050</xdr:rowOff>
    </xdr:from>
    <xdr:ext cx="1143000" cy="1143000"/>
    <xdr:pic>
      <xdr:nvPicPr>
        <xdr:cNvPr id="7468" name="9971bc6b-f9b7-49f3-9fbd-1e5e7e56e1f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f9a331fc06246f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7471</xdr:row>
      <xdr:rowOff>19050</xdr:rowOff>
    </xdr:from>
    <xdr:ext cx="1143000" cy="1143000"/>
    <xdr:pic>
      <xdr:nvPicPr>
        <xdr:cNvPr id="7469" name="2d95926b-3450-4a6a-89c0-7490f472b61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275503312814ab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7472</xdr:row>
      <xdr:rowOff>19050</xdr:rowOff>
    </xdr:from>
    <xdr:ext cx="1143000" cy="1143000"/>
    <xdr:pic>
      <xdr:nvPicPr>
        <xdr:cNvPr id="7470" name="6a119dc8-c351-4f99-a0e6-6c27dc6b9e5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ef320a26e2c410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7473</xdr:row>
      <xdr:rowOff>19050</xdr:rowOff>
    </xdr:from>
    <xdr:ext cx="1143000" cy="1143000"/>
    <xdr:pic>
      <xdr:nvPicPr>
        <xdr:cNvPr id="7471" name="07cb5802-50f9-4ab1-93c3-c1d8c1c0acb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3b1547ebaee4ec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7474</xdr:row>
      <xdr:rowOff>19050</xdr:rowOff>
    </xdr:from>
    <xdr:ext cx="1143000" cy="1143000"/>
    <xdr:pic>
      <xdr:nvPicPr>
        <xdr:cNvPr id="7472" name="c4a44b5a-32e3-430a-b1c1-f0ff22feb32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681726d067040b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7475</xdr:row>
      <xdr:rowOff>19050</xdr:rowOff>
    </xdr:from>
    <xdr:ext cx="1143000" cy="1143000"/>
    <xdr:pic>
      <xdr:nvPicPr>
        <xdr:cNvPr id="7473" name="da9835e9-14c9-4311-86f7-605ea759882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fa38efaa2b546b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7476</xdr:row>
      <xdr:rowOff>19050</xdr:rowOff>
    </xdr:from>
    <xdr:ext cx="1143000" cy="1143000"/>
    <xdr:pic>
      <xdr:nvPicPr>
        <xdr:cNvPr id="7474" name="b2860a35-164c-4782-af10-b97cf200573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c1063c8ea0d457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7477</xdr:row>
      <xdr:rowOff>19050</xdr:rowOff>
    </xdr:from>
    <xdr:ext cx="1143000" cy="1143000"/>
    <xdr:pic>
      <xdr:nvPicPr>
        <xdr:cNvPr id="7475" name="db466aa7-7790-44c2-94d2-08468c3d8b1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5c36eaeba464d3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7478</xdr:row>
      <xdr:rowOff>19050</xdr:rowOff>
    </xdr:from>
    <xdr:ext cx="1143000" cy="1143000"/>
    <xdr:pic>
      <xdr:nvPicPr>
        <xdr:cNvPr id="7476" name="978c5fce-f032-4761-9eea-8670cb15cc5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32df4096fc9482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7479</xdr:row>
      <xdr:rowOff>19050</xdr:rowOff>
    </xdr:from>
    <xdr:ext cx="1143000" cy="1143000"/>
    <xdr:pic>
      <xdr:nvPicPr>
        <xdr:cNvPr id="7477" name="e53b0468-57c6-4edf-a563-14793f0261c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b40508540d8412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7480</xdr:row>
      <xdr:rowOff>19050</xdr:rowOff>
    </xdr:from>
    <xdr:ext cx="1143000" cy="1143000"/>
    <xdr:pic>
      <xdr:nvPicPr>
        <xdr:cNvPr id="7478" name="9c8cbcb3-a053-4372-b2c7-b79dbb7dfd2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b844fdd1da843c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7481</xdr:row>
      <xdr:rowOff>19050</xdr:rowOff>
    </xdr:from>
    <xdr:ext cx="1143000" cy="1143000"/>
    <xdr:pic>
      <xdr:nvPicPr>
        <xdr:cNvPr id="7479" name="9defdc6f-1f3d-4047-9546-f7ac6c7b2ee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bf03a440cc0485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7482</xdr:row>
      <xdr:rowOff>19050</xdr:rowOff>
    </xdr:from>
    <xdr:ext cx="1143000" cy="1143000"/>
    <xdr:pic>
      <xdr:nvPicPr>
        <xdr:cNvPr id="7480" name="e5caf637-8ca8-427f-b1ae-334418021d2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4312e0595a5435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7483</xdr:row>
      <xdr:rowOff>19050</xdr:rowOff>
    </xdr:from>
    <xdr:ext cx="1143000" cy="1143000"/>
    <xdr:pic>
      <xdr:nvPicPr>
        <xdr:cNvPr id="7481" name="07c6a980-8b03-4593-8039-a660d45c8ba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a89dfbc2cde441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7484</xdr:row>
      <xdr:rowOff>19050</xdr:rowOff>
    </xdr:from>
    <xdr:ext cx="1143000" cy="1143000"/>
    <xdr:pic>
      <xdr:nvPicPr>
        <xdr:cNvPr id="7482" name="62e2e148-7d85-4828-b304-6ac3c4c855b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410fa9e56384ce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7485</xdr:row>
      <xdr:rowOff>19050</xdr:rowOff>
    </xdr:from>
    <xdr:ext cx="1143000" cy="1143000"/>
    <xdr:pic>
      <xdr:nvPicPr>
        <xdr:cNvPr id="7483" name="a28ec770-022a-4093-a88c-d5f82d5a931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ac9dddd70634d2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7486</xdr:row>
      <xdr:rowOff>19050</xdr:rowOff>
    </xdr:from>
    <xdr:ext cx="1143000" cy="1143000"/>
    <xdr:pic>
      <xdr:nvPicPr>
        <xdr:cNvPr id="7484" name="36ba4182-d31a-496d-9b79-1fd2101e037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4aac74dadc147e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7487</xdr:row>
      <xdr:rowOff>19050</xdr:rowOff>
    </xdr:from>
    <xdr:ext cx="1143000" cy="1143000"/>
    <xdr:pic>
      <xdr:nvPicPr>
        <xdr:cNvPr id="7485" name="2d8dc4ae-afe8-4dd7-85b8-030b39ec4d1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77477f1776640a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7488</xdr:row>
      <xdr:rowOff>19050</xdr:rowOff>
    </xdr:from>
    <xdr:ext cx="1143000" cy="1143000"/>
    <xdr:pic>
      <xdr:nvPicPr>
        <xdr:cNvPr id="7486" name="d7295a72-a299-40ae-9808-fb65d6d6524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2f6ab147da842f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7489</xdr:row>
      <xdr:rowOff>19050</xdr:rowOff>
    </xdr:from>
    <xdr:ext cx="1143000" cy="1143000"/>
    <xdr:pic>
      <xdr:nvPicPr>
        <xdr:cNvPr id="7487" name="6005bcb4-fe01-467f-ae25-ce163fab675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1941931ffe44eb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7490</xdr:row>
      <xdr:rowOff>19050</xdr:rowOff>
    </xdr:from>
    <xdr:ext cx="1143000" cy="1143000"/>
    <xdr:pic>
      <xdr:nvPicPr>
        <xdr:cNvPr id="7488" name="6522dc9d-f67f-4d76-97b8-29ec9e826df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fbe6fd66810410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7491</xdr:row>
      <xdr:rowOff>19050</xdr:rowOff>
    </xdr:from>
    <xdr:ext cx="1143000" cy="1143000"/>
    <xdr:pic>
      <xdr:nvPicPr>
        <xdr:cNvPr id="7489" name="ce4abd02-19e7-4a06-b17f-466405e544f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5897d045d114c3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7492</xdr:row>
      <xdr:rowOff>19050</xdr:rowOff>
    </xdr:from>
    <xdr:ext cx="1143000" cy="1143000"/>
    <xdr:pic>
      <xdr:nvPicPr>
        <xdr:cNvPr id="7490" name="9dfc7295-5f63-4e25-9301-7fdf886ca1a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8e74326f63b42c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7493</xdr:row>
      <xdr:rowOff>19050</xdr:rowOff>
    </xdr:from>
    <xdr:ext cx="1143000" cy="1143000"/>
    <xdr:pic>
      <xdr:nvPicPr>
        <xdr:cNvPr id="7491" name="45f55484-055f-4243-b4f7-2b5c9af9807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40dc04f24194ee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7494</xdr:row>
      <xdr:rowOff>19050</xdr:rowOff>
    </xdr:from>
    <xdr:ext cx="1143000" cy="1143000"/>
    <xdr:pic>
      <xdr:nvPicPr>
        <xdr:cNvPr id="7492" name="d0eae5fd-773d-4882-b00e-65b2d562d28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5e4153e929c427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7495</xdr:row>
      <xdr:rowOff>19050</xdr:rowOff>
    </xdr:from>
    <xdr:ext cx="1143000" cy="1143000"/>
    <xdr:pic>
      <xdr:nvPicPr>
        <xdr:cNvPr id="7493" name="99cba216-4fd4-4a7a-8f3f-7ff797a1126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b716ff3f9d74c2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7496</xdr:row>
      <xdr:rowOff>19050</xdr:rowOff>
    </xdr:from>
    <xdr:ext cx="1143000" cy="1143000"/>
    <xdr:pic>
      <xdr:nvPicPr>
        <xdr:cNvPr id="7494" name="2453db3c-9192-4ec6-a370-8a6576e888f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d32ac01c1f24dc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7497</xdr:row>
      <xdr:rowOff>19050</xdr:rowOff>
    </xdr:from>
    <xdr:ext cx="1143000" cy="1143000"/>
    <xdr:pic>
      <xdr:nvPicPr>
        <xdr:cNvPr id="7495" name="a731918e-2faa-427c-acb3-09c743f7545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4d9cb4482cd450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7498</xdr:row>
      <xdr:rowOff>19050</xdr:rowOff>
    </xdr:from>
    <xdr:ext cx="1143000" cy="1143000"/>
    <xdr:pic>
      <xdr:nvPicPr>
        <xdr:cNvPr id="7496" name="ec4d49ed-6f18-4935-8ec9-c6aa989e0e6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6100848a4184e0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7499</xdr:row>
      <xdr:rowOff>19050</xdr:rowOff>
    </xdr:from>
    <xdr:ext cx="1143000" cy="1143000"/>
    <xdr:pic>
      <xdr:nvPicPr>
        <xdr:cNvPr id="7497" name="76bc564e-ec75-4722-a587-c82df5791fc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af0b79f2a9e4f5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7500</xdr:row>
      <xdr:rowOff>19050</xdr:rowOff>
    </xdr:from>
    <xdr:ext cx="1143000" cy="1143000"/>
    <xdr:pic>
      <xdr:nvPicPr>
        <xdr:cNvPr id="7498" name="4b884023-ef08-48db-9e5e-809ba68aff6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6695f6d115c4b8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7501</xdr:row>
      <xdr:rowOff>19050</xdr:rowOff>
    </xdr:from>
    <xdr:ext cx="1143000" cy="1143000"/>
    <xdr:pic>
      <xdr:nvPicPr>
        <xdr:cNvPr id="7499" name="f749b023-2e4c-4158-819b-346eb8d0c75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0ed19dbf8874c5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7502</xdr:row>
      <xdr:rowOff>19050</xdr:rowOff>
    </xdr:from>
    <xdr:ext cx="1143000" cy="1143000"/>
    <xdr:pic>
      <xdr:nvPicPr>
        <xdr:cNvPr id="7500" name="346d2bf8-359a-455d-ad4c-4c0bb9b93a6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88b97a42230473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7503</xdr:row>
      <xdr:rowOff>19050</xdr:rowOff>
    </xdr:from>
    <xdr:ext cx="1143000" cy="1143000"/>
    <xdr:pic>
      <xdr:nvPicPr>
        <xdr:cNvPr id="7501" name="259ba1ac-e975-4482-a893-d749574657e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32c6aa722ba43e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7504</xdr:row>
      <xdr:rowOff>19050</xdr:rowOff>
    </xdr:from>
    <xdr:ext cx="1143000" cy="1143000"/>
    <xdr:pic>
      <xdr:nvPicPr>
        <xdr:cNvPr id="7502" name="99235ac2-8234-45e5-b537-3e9427e1cda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0927101181a498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7505</xdr:row>
      <xdr:rowOff>19050</xdr:rowOff>
    </xdr:from>
    <xdr:ext cx="1143000" cy="1143000"/>
    <xdr:pic>
      <xdr:nvPicPr>
        <xdr:cNvPr id="7503" name="47622fe7-89de-4f99-b4a9-34904526a9d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1747ee1891444d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7506</xdr:row>
      <xdr:rowOff>19050</xdr:rowOff>
    </xdr:from>
    <xdr:ext cx="1143000" cy="1143000"/>
    <xdr:pic>
      <xdr:nvPicPr>
        <xdr:cNvPr id="7504" name="28e1ba6e-2503-4caf-8c84-e15d47a7c07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10458c65b3c4d3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7507</xdr:row>
      <xdr:rowOff>19050</xdr:rowOff>
    </xdr:from>
    <xdr:ext cx="1143000" cy="1143000"/>
    <xdr:pic>
      <xdr:nvPicPr>
        <xdr:cNvPr id="7505" name="a0481e65-d292-452e-b0b7-8cccda04f6e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c7185ed7cac414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7508</xdr:row>
      <xdr:rowOff>19050</xdr:rowOff>
    </xdr:from>
    <xdr:ext cx="1143000" cy="1143000"/>
    <xdr:pic>
      <xdr:nvPicPr>
        <xdr:cNvPr id="7506" name="8ec3ef63-37a2-45fe-b5c2-28b75c6be98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f4a55ee9ec841d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7509</xdr:row>
      <xdr:rowOff>19050</xdr:rowOff>
    </xdr:from>
    <xdr:ext cx="1143000" cy="1143000"/>
    <xdr:pic>
      <xdr:nvPicPr>
        <xdr:cNvPr id="7507" name="15289e64-3c4b-4d0c-a29f-c6d3460f028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2004a389d36452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7510</xdr:row>
      <xdr:rowOff>19050</xdr:rowOff>
    </xdr:from>
    <xdr:ext cx="1143000" cy="1143000"/>
    <xdr:pic>
      <xdr:nvPicPr>
        <xdr:cNvPr id="7508" name="87747a08-e672-4f39-8475-e8f577d5257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82d4dd7b51d469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7511</xdr:row>
      <xdr:rowOff>19050</xdr:rowOff>
    </xdr:from>
    <xdr:ext cx="1143000" cy="1143000"/>
    <xdr:pic>
      <xdr:nvPicPr>
        <xdr:cNvPr id="7509" name="3580df10-b493-49fa-ba5f-9ebde879e0e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1c878f579ba40e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7512</xdr:row>
      <xdr:rowOff>19050</xdr:rowOff>
    </xdr:from>
    <xdr:ext cx="1143000" cy="1143000"/>
    <xdr:pic>
      <xdr:nvPicPr>
        <xdr:cNvPr id="7510" name="f144b95a-dda1-4dc1-83de-2cd77d104b8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ad22415e3a3413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7513</xdr:row>
      <xdr:rowOff>19050</xdr:rowOff>
    </xdr:from>
    <xdr:ext cx="1143000" cy="1143000"/>
    <xdr:pic>
      <xdr:nvPicPr>
        <xdr:cNvPr id="7511" name="7ae868d5-c38e-4d4d-93b4-f334cab6c99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2f49a6435284c8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7514</xdr:row>
      <xdr:rowOff>19050</xdr:rowOff>
    </xdr:from>
    <xdr:ext cx="1143000" cy="1143000"/>
    <xdr:pic>
      <xdr:nvPicPr>
        <xdr:cNvPr id="7512" name="db6ff76b-2207-4dbb-bd76-37f761fed87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c48b4b1c35a420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7515</xdr:row>
      <xdr:rowOff>19050</xdr:rowOff>
    </xdr:from>
    <xdr:ext cx="1143000" cy="1143000"/>
    <xdr:pic>
      <xdr:nvPicPr>
        <xdr:cNvPr id="7513" name="6a4ed691-5e5c-44f4-b719-2156c4ba64a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b4cf5ea36d1470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7516</xdr:row>
      <xdr:rowOff>19050</xdr:rowOff>
    </xdr:from>
    <xdr:ext cx="1143000" cy="1143000"/>
    <xdr:pic>
      <xdr:nvPicPr>
        <xdr:cNvPr id="7514" name="70f2ecdc-7879-445c-a9c9-49add8ad893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0d1364bb0ef4b1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7517</xdr:row>
      <xdr:rowOff>19050</xdr:rowOff>
    </xdr:from>
    <xdr:ext cx="1143000" cy="1143000"/>
    <xdr:pic>
      <xdr:nvPicPr>
        <xdr:cNvPr id="7515" name="7fcd54e0-4617-4f6b-90ea-ddee5031620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a1af45bc03d444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7518</xdr:row>
      <xdr:rowOff>19050</xdr:rowOff>
    </xdr:from>
    <xdr:ext cx="1143000" cy="1143000"/>
    <xdr:pic>
      <xdr:nvPicPr>
        <xdr:cNvPr id="7516" name="2d0f3107-7720-4095-a8d1-6e32d198b3f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19d7af53ca6481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7519</xdr:row>
      <xdr:rowOff>19050</xdr:rowOff>
    </xdr:from>
    <xdr:ext cx="1143000" cy="1143000"/>
    <xdr:pic>
      <xdr:nvPicPr>
        <xdr:cNvPr id="7517" name="07973a9d-9e2d-4809-a1d7-bbc2be2557d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b38704a681b4ae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7520</xdr:row>
      <xdr:rowOff>19050</xdr:rowOff>
    </xdr:from>
    <xdr:ext cx="1143000" cy="1143000"/>
    <xdr:pic>
      <xdr:nvPicPr>
        <xdr:cNvPr id="7518" name="ce44a226-63a9-4aab-9d7b-f3724ef2d81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e93045444e9465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7521</xdr:row>
      <xdr:rowOff>19050</xdr:rowOff>
    </xdr:from>
    <xdr:ext cx="1143000" cy="1143000"/>
    <xdr:pic>
      <xdr:nvPicPr>
        <xdr:cNvPr id="7519" name="946d94f1-1013-4162-8857-1beecc7178b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c8aa72f9fc94e7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7522</xdr:row>
      <xdr:rowOff>19050</xdr:rowOff>
    </xdr:from>
    <xdr:ext cx="1143000" cy="1143000"/>
    <xdr:pic>
      <xdr:nvPicPr>
        <xdr:cNvPr id="7520" name="95c88873-50f5-4453-9b9b-8409bbcd7a5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81d5f133ab44c6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7523</xdr:row>
      <xdr:rowOff>19050</xdr:rowOff>
    </xdr:from>
    <xdr:ext cx="1143000" cy="1143000"/>
    <xdr:pic>
      <xdr:nvPicPr>
        <xdr:cNvPr id="7521" name="49940866-ff5e-4091-972e-75e739074c0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0dfc52d888d45f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7524</xdr:row>
      <xdr:rowOff>19050</xdr:rowOff>
    </xdr:from>
    <xdr:ext cx="1143000" cy="1143000"/>
    <xdr:pic>
      <xdr:nvPicPr>
        <xdr:cNvPr id="7522" name="fb32d7ad-1089-47f7-95f4-cbbbdad85f4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e726b28b4c0494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7525</xdr:row>
      <xdr:rowOff>19050</xdr:rowOff>
    </xdr:from>
    <xdr:ext cx="1143000" cy="1143000"/>
    <xdr:pic>
      <xdr:nvPicPr>
        <xdr:cNvPr id="7523" name="3bf09622-d3c0-4445-86db-ccb45ab9f8f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31e3b48a90e47c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7526</xdr:row>
      <xdr:rowOff>19050</xdr:rowOff>
    </xdr:from>
    <xdr:ext cx="1143000" cy="1143000"/>
    <xdr:pic>
      <xdr:nvPicPr>
        <xdr:cNvPr id="7524" name="727a4b9c-e5fb-47bd-90f3-4b6835c140d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f704ed0056b440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7527</xdr:row>
      <xdr:rowOff>19050</xdr:rowOff>
    </xdr:from>
    <xdr:ext cx="1143000" cy="1143000"/>
    <xdr:pic>
      <xdr:nvPicPr>
        <xdr:cNvPr id="7525" name="a2cbd77e-55d8-433f-80c0-b2da095ad98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544b869c180456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7528</xdr:row>
      <xdr:rowOff>19050</xdr:rowOff>
    </xdr:from>
    <xdr:ext cx="1143000" cy="1143000"/>
    <xdr:pic>
      <xdr:nvPicPr>
        <xdr:cNvPr id="7526" name="67199852-62f7-4a45-97e6-258bf45f072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ce494a7a64f40e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7529</xdr:row>
      <xdr:rowOff>19050</xdr:rowOff>
    </xdr:from>
    <xdr:ext cx="1143000" cy="1143000"/>
    <xdr:pic>
      <xdr:nvPicPr>
        <xdr:cNvPr id="7527" name="50723974-f5c0-4014-935a-d4d6bd946cd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fa58d0611634bd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7530</xdr:row>
      <xdr:rowOff>19050</xdr:rowOff>
    </xdr:from>
    <xdr:ext cx="1143000" cy="1143000"/>
    <xdr:pic>
      <xdr:nvPicPr>
        <xdr:cNvPr id="7528" name="4e8d11a3-a98f-4bbd-aced-59344e98111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eab1d73dea245e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7531</xdr:row>
      <xdr:rowOff>19050</xdr:rowOff>
    </xdr:from>
    <xdr:ext cx="1143000" cy="1143000"/>
    <xdr:pic>
      <xdr:nvPicPr>
        <xdr:cNvPr id="7529" name="fa1ed0ff-042e-429b-b70e-c377a79d697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50ff7647a1849c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7532</xdr:row>
      <xdr:rowOff>19050</xdr:rowOff>
    </xdr:from>
    <xdr:ext cx="1143000" cy="1143000"/>
    <xdr:pic>
      <xdr:nvPicPr>
        <xdr:cNvPr id="7530" name="556eb42f-629e-474c-8e6e-b549a5bff4d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651428cd45c48f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7533</xdr:row>
      <xdr:rowOff>19050</xdr:rowOff>
    </xdr:from>
    <xdr:ext cx="1143000" cy="1143000"/>
    <xdr:pic>
      <xdr:nvPicPr>
        <xdr:cNvPr id="7531" name="338546b7-2be1-4271-86d6-240d90da150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ca0e9cd2e5d45b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7534</xdr:row>
      <xdr:rowOff>19050</xdr:rowOff>
    </xdr:from>
    <xdr:ext cx="1143000" cy="1143000"/>
    <xdr:pic>
      <xdr:nvPicPr>
        <xdr:cNvPr id="7532" name="5b645c68-9e64-4820-9bb2-cb5463393a1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e699a6f58f14b2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7535</xdr:row>
      <xdr:rowOff>19050</xdr:rowOff>
    </xdr:from>
    <xdr:ext cx="1143000" cy="1143000"/>
    <xdr:pic>
      <xdr:nvPicPr>
        <xdr:cNvPr id="7533" name="5816a580-57cd-457a-bc55-0c992ece9a1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ff45afc7e244c0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7536</xdr:row>
      <xdr:rowOff>19050</xdr:rowOff>
    </xdr:from>
    <xdr:ext cx="1143000" cy="1143000"/>
    <xdr:pic>
      <xdr:nvPicPr>
        <xdr:cNvPr id="7534" name="325e4945-b2f9-40fc-b391-8d871ed88a6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33acba71d144c8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7537</xdr:row>
      <xdr:rowOff>19050</xdr:rowOff>
    </xdr:from>
    <xdr:ext cx="1143000" cy="1143000"/>
    <xdr:pic>
      <xdr:nvPicPr>
        <xdr:cNvPr id="7535" name="93f41e9c-ed40-42e0-bfff-c178bcb6eb2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320a1b8caf34be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7538</xdr:row>
      <xdr:rowOff>19050</xdr:rowOff>
    </xdr:from>
    <xdr:ext cx="1143000" cy="1143000"/>
    <xdr:pic>
      <xdr:nvPicPr>
        <xdr:cNvPr id="7536" name="c4d72c94-5e73-49bf-8dc0-0b2ade47955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c4cc50b1ef1489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7539</xdr:row>
      <xdr:rowOff>19050</xdr:rowOff>
    </xdr:from>
    <xdr:ext cx="1143000" cy="1143000"/>
    <xdr:pic>
      <xdr:nvPicPr>
        <xdr:cNvPr id="7537" name="f7a29679-60e7-4f37-9ff9-f680c32f603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5c7434461da40c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7540</xdr:row>
      <xdr:rowOff>19050</xdr:rowOff>
    </xdr:from>
    <xdr:ext cx="1143000" cy="1143000"/>
    <xdr:pic>
      <xdr:nvPicPr>
        <xdr:cNvPr id="7538" name="79c4b1c1-aacc-4760-868f-bf61c9a387a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fa4389458354f5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7541</xdr:row>
      <xdr:rowOff>19050</xdr:rowOff>
    </xdr:from>
    <xdr:ext cx="1143000" cy="1143000"/>
    <xdr:pic>
      <xdr:nvPicPr>
        <xdr:cNvPr id="7539" name="b3191f42-e799-4705-9666-0d77f196579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4a44aeb6d8e44d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7542</xdr:row>
      <xdr:rowOff>19050</xdr:rowOff>
    </xdr:from>
    <xdr:ext cx="1143000" cy="1143000"/>
    <xdr:pic>
      <xdr:nvPicPr>
        <xdr:cNvPr id="7540" name="d40e0895-de60-4c50-bd15-87bb57ebb60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7ee4dc714014b4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7543</xdr:row>
      <xdr:rowOff>19050</xdr:rowOff>
    </xdr:from>
    <xdr:ext cx="1143000" cy="1143000"/>
    <xdr:pic>
      <xdr:nvPicPr>
        <xdr:cNvPr id="7541" name="e5b7b7b5-1f86-483a-a200-3723a26073b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ab835794419490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7544</xdr:row>
      <xdr:rowOff>19050</xdr:rowOff>
    </xdr:from>
    <xdr:ext cx="1143000" cy="1143000"/>
    <xdr:pic>
      <xdr:nvPicPr>
        <xdr:cNvPr id="7542" name="67457e09-9000-4feb-8a78-ab8a00cd031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714c15b09de4aa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7545</xdr:row>
      <xdr:rowOff>19050</xdr:rowOff>
    </xdr:from>
    <xdr:ext cx="1143000" cy="1143000"/>
    <xdr:pic>
      <xdr:nvPicPr>
        <xdr:cNvPr id="7543" name="1dda3405-9cc0-402d-84b9-5f58c253187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bff606474b14a2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7546</xdr:row>
      <xdr:rowOff>19050</xdr:rowOff>
    </xdr:from>
    <xdr:ext cx="1143000" cy="1143000"/>
    <xdr:pic>
      <xdr:nvPicPr>
        <xdr:cNvPr id="7544" name="7801aec4-2506-4d65-abfe-0d4c2921725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f70a877bc3540f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7547</xdr:row>
      <xdr:rowOff>19050</xdr:rowOff>
    </xdr:from>
    <xdr:ext cx="1143000" cy="1143000"/>
    <xdr:pic>
      <xdr:nvPicPr>
        <xdr:cNvPr id="7545" name="58c469d2-40fe-45b7-8e1e-d874d22d404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a8cc847370d490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7548</xdr:row>
      <xdr:rowOff>19050</xdr:rowOff>
    </xdr:from>
    <xdr:ext cx="1143000" cy="1143000"/>
    <xdr:pic>
      <xdr:nvPicPr>
        <xdr:cNvPr id="7546" name="9ced3a1a-b38e-4f65-9b57-6b43a26cdc4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e41a89e06c54f9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7549</xdr:row>
      <xdr:rowOff>19050</xdr:rowOff>
    </xdr:from>
    <xdr:ext cx="1143000" cy="1143000"/>
    <xdr:pic>
      <xdr:nvPicPr>
        <xdr:cNvPr id="7547" name="61290c34-c34b-4c4c-b81e-4338b9a11f0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7a530be74b54a3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7550</xdr:row>
      <xdr:rowOff>19050</xdr:rowOff>
    </xdr:from>
    <xdr:ext cx="1143000" cy="1143000"/>
    <xdr:pic>
      <xdr:nvPicPr>
        <xdr:cNvPr id="7548" name="2258d820-6573-4d69-bb23-c3c9f5c01d0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675f91923eb493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7551</xdr:row>
      <xdr:rowOff>19050</xdr:rowOff>
    </xdr:from>
    <xdr:ext cx="1143000" cy="1143000"/>
    <xdr:pic>
      <xdr:nvPicPr>
        <xdr:cNvPr id="7549" name="9cc94a18-cf73-49a3-bc21-1ee102da6aa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e468f9374544b1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7552</xdr:row>
      <xdr:rowOff>19050</xdr:rowOff>
    </xdr:from>
    <xdr:ext cx="1143000" cy="1143000"/>
    <xdr:pic>
      <xdr:nvPicPr>
        <xdr:cNvPr id="7550" name="e9f6684d-81b2-4ee5-8d47-65c1381193b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b411aa1b5474d3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7553</xdr:row>
      <xdr:rowOff>19050</xdr:rowOff>
    </xdr:from>
    <xdr:ext cx="1143000" cy="1143000"/>
    <xdr:pic>
      <xdr:nvPicPr>
        <xdr:cNvPr id="7551" name="85d2d6ec-251d-4200-87a5-0cd8aae3353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79bdffbfb4c4b3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7554</xdr:row>
      <xdr:rowOff>19050</xdr:rowOff>
    </xdr:from>
    <xdr:ext cx="1143000" cy="1143000"/>
    <xdr:pic>
      <xdr:nvPicPr>
        <xdr:cNvPr id="7552" name="262fb2b9-c3e0-49c1-8464-ede0431f874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e5e94403a994e1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7555</xdr:row>
      <xdr:rowOff>19050</xdr:rowOff>
    </xdr:from>
    <xdr:ext cx="1143000" cy="1143000"/>
    <xdr:pic>
      <xdr:nvPicPr>
        <xdr:cNvPr id="7553" name="bd3d8e83-2276-44d4-8481-f8c0a4ee632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85162dd450a421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7556</xdr:row>
      <xdr:rowOff>19050</xdr:rowOff>
    </xdr:from>
    <xdr:ext cx="1143000" cy="1143000"/>
    <xdr:pic>
      <xdr:nvPicPr>
        <xdr:cNvPr id="7554" name="f5bba44b-feb7-40be-99f7-27d4729dbae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c7b9a0a17d04ea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7557</xdr:row>
      <xdr:rowOff>19050</xdr:rowOff>
    </xdr:from>
    <xdr:ext cx="1143000" cy="1143000"/>
    <xdr:pic>
      <xdr:nvPicPr>
        <xdr:cNvPr id="7555" name="3cb2148b-7bf8-478d-9302-bc2c2e17dcd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2e6d706fc8d491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7558</xdr:row>
      <xdr:rowOff>19050</xdr:rowOff>
    </xdr:from>
    <xdr:ext cx="1143000" cy="1143000"/>
    <xdr:pic>
      <xdr:nvPicPr>
        <xdr:cNvPr id="7556" name="2c978b56-54b3-4583-a387-ae916606015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5521eb4c9d2491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7559</xdr:row>
      <xdr:rowOff>19050</xdr:rowOff>
    </xdr:from>
    <xdr:ext cx="1143000" cy="1143000"/>
    <xdr:pic>
      <xdr:nvPicPr>
        <xdr:cNvPr id="7557" name="02369c9c-d486-43ac-9976-56325603303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71065a15a16470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7560</xdr:row>
      <xdr:rowOff>19050</xdr:rowOff>
    </xdr:from>
    <xdr:ext cx="1143000" cy="1143000"/>
    <xdr:pic>
      <xdr:nvPicPr>
        <xdr:cNvPr id="7558" name="790163de-920f-4be4-880f-eae3141215d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1d41808eabd437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7561</xdr:row>
      <xdr:rowOff>19050</xdr:rowOff>
    </xdr:from>
    <xdr:ext cx="1143000" cy="1143000"/>
    <xdr:pic>
      <xdr:nvPicPr>
        <xdr:cNvPr id="7559" name="403dc6f2-e477-4703-a93b-63d7e228eab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14878e0ee7f458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7562</xdr:row>
      <xdr:rowOff>19050</xdr:rowOff>
    </xdr:from>
    <xdr:ext cx="1143000" cy="1143000"/>
    <xdr:pic>
      <xdr:nvPicPr>
        <xdr:cNvPr id="7560" name="a8950517-d9d5-4f4c-af3c-72377b1a9e6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aab46cc16c9428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7563</xdr:row>
      <xdr:rowOff>19050</xdr:rowOff>
    </xdr:from>
    <xdr:ext cx="1143000" cy="1143000"/>
    <xdr:pic>
      <xdr:nvPicPr>
        <xdr:cNvPr id="7561" name="44fabb7e-dc3a-44bd-887b-c86695b3f9e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6c87ca4b03a451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7564</xdr:row>
      <xdr:rowOff>19050</xdr:rowOff>
    </xdr:from>
    <xdr:ext cx="1143000" cy="1143000"/>
    <xdr:pic>
      <xdr:nvPicPr>
        <xdr:cNvPr id="7562" name="fa8a0ff2-e739-40aa-9d60-0b973f5eb32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7607f86314d432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7565</xdr:row>
      <xdr:rowOff>19050</xdr:rowOff>
    </xdr:from>
    <xdr:ext cx="1143000" cy="1143000"/>
    <xdr:pic>
      <xdr:nvPicPr>
        <xdr:cNvPr id="7563" name="6258f564-0072-42f2-9710-49cf3fa55e5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76413945dee4ac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7566</xdr:row>
      <xdr:rowOff>19050</xdr:rowOff>
    </xdr:from>
    <xdr:ext cx="1143000" cy="1143000"/>
    <xdr:pic>
      <xdr:nvPicPr>
        <xdr:cNvPr id="7564" name="a6d70ac4-14e9-4c52-ab43-9eaae73b51b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cc8a90b3163452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7567</xdr:row>
      <xdr:rowOff>19050</xdr:rowOff>
    </xdr:from>
    <xdr:ext cx="1143000" cy="1143000"/>
    <xdr:pic>
      <xdr:nvPicPr>
        <xdr:cNvPr id="7565" name="360974be-bff2-48b2-b614-9e7124a362b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98c766091474f3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7568</xdr:row>
      <xdr:rowOff>19050</xdr:rowOff>
    </xdr:from>
    <xdr:ext cx="1143000" cy="1143000"/>
    <xdr:pic>
      <xdr:nvPicPr>
        <xdr:cNvPr id="7566" name="a9f480df-3255-4da9-b29e-df3b5d0bcb8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e04571d21d34c8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7569</xdr:row>
      <xdr:rowOff>19050</xdr:rowOff>
    </xdr:from>
    <xdr:ext cx="1143000" cy="1143000"/>
    <xdr:pic>
      <xdr:nvPicPr>
        <xdr:cNvPr id="7567" name="ad2a9958-31d6-4cfe-94e3-d04964d51fb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34e7d171a354c0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7570</xdr:row>
      <xdr:rowOff>19050</xdr:rowOff>
    </xdr:from>
    <xdr:ext cx="1143000" cy="1143000"/>
    <xdr:pic>
      <xdr:nvPicPr>
        <xdr:cNvPr id="7568" name="41b0e228-324e-4a13-87c0-fdd86c2a45e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dc0161b67d6426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7571</xdr:row>
      <xdr:rowOff>19050</xdr:rowOff>
    </xdr:from>
    <xdr:ext cx="1143000" cy="1143000"/>
    <xdr:pic>
      <xdr:nvPicPr>
        <xdr:cNvPr id="7569" name="d6581243-f4ad-48cb-9344-f4adc8afd47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8ad2957371341d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7572</xdr:row>
      <xdr:rowOff>19050</xdr:rowOff>
    </xdr:from>
    <xdr:ext cx="1143000" cy="1143000"/>
    <xdr:pic>
      <xdr:nvPicPr>
        <xdr:cNvPr id="7570" name="ea9ee789-1d7e-4e76-83dd-d4eed02319a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685cdc339da466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7573</xdr:row>
      <xdr:rowOff>19050</xdr:rowOff>
    </xdr:from>
    <xdr:ext cx="1143000" cy="1143000"/>
    <xdr:pic>
      <xdr:nvPicPr>
        <xdr:cNvPr id="7571" name="d5a96e41-dc6f-4b63-92e2-97d8cf00344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45d4c1cc3844bc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7574</xdr:row>
      <xdr:rowOff>19050</xdr:rowOff>
    </xdr:from>
    <xdr:ext cx="1143000" cy="1143000"/>
    <xdr:pic>
      <xdr:nvPicPr>
        <xdr:cNvPr id="7572" name="cdca139d-7abd-436f-8385-8cc58bbf533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24a941d69df4d6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7575</xdr:row>
      <xdr:rowOff>19050</xdr:rowOff>
    </xdr:from>
    <xdr:ext cx="1143000" cy="1143000"/>
    <xdr:pic>
      <xdr:nvPicPr>
        <xdr:cNvPr id="7573" name="c73904b6-12da-4b3c-bb16-2a82e4ccda4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9dbc7c025a94c9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7576</xdr:row>
      <xdr:rowOff>19050</xdr:rowOff>
    </xdr:from>
    <xdr:ext cx="1143000" cy="1143000"/>
    <xdr:pic>
      <xdr:nvPicPr>
        <xdr:cNvPr id="7574" name="1bef2f6d-4dc5-498e-907f-8cb841bb4c4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026371d4fd64f7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7577</xdr:row>
      <xdr:rowOff>19050</xdr:rowOff>
    </xdr:from>
    <xdr:ext cx="1143000" cy="1143000"/>
    <xdr:pic>
      <xdr:nvPicPr>
        <xdr:cNvPr id="7575" name="1aa30352-f66e-42e5-bdac-22bcfd40dcd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8caa5555914433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7578</xdr:row>
      <xdr:rowOff>19050</xdr:rowOff>
    </xdr:from>
    <xdr:ext cx="1143000" cy="1143000"/>
    <xdr:pic>
      <xdr:nvPicPr>
        <xdr:cNvPr id="7576" name="2e2f6f49-9224-47f3-ac0e-354e2fe83a8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f757fb0ceed402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7579</xdr:row>
      <xdr:rowOff>19050</xdr:rowOff>
    </xdr:from>
    <xdr:ext cx="1143000" cy="1143000"/>
    <xdr:pic>
      <xdr:nvPicPr>
        <xdr:cNvPr id="7577" name="09580440-e341-4442-b827-9a3d714b063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f6e7d49c4fb40d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7580</xdr:row>
      <xdr:rowOff>19050</xdr:rowOff>
    </xdr:from>
    <xdr:ext cx="1143000" cy="1143000"/>
    <xdr:pic>
      <xdr:nvPicPr>
        <xdr:cNvPr id="7578" name="fbd34da6-f2df-4d55-af36-93d353922f5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a1f904af602482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7581</xdr:row>
      <xdr:rowOff>19050</xdr:rowOff>
    </xdr:from>
    <xdr:ext cx="1143000" cy="1143000"/>
    <xdr:pic>
      <xdr:nvPicPr>
        <xdr:cNvPr id="7579" name="4bbcf13c-0e13-47ba-8ddf-f36113cf5d7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59cecd471ef4da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7582</xdr:row>
      <xdr:rowOff>19050</xdr:rowOff>
    </xdr:from>
    <xdr:ext cx="1143000" cy="1143000"/>
    <xdr:pic>
      <xdr:nvPicPr>
        <xdr:cNvPr id="7580" name="01597a4e-c784-47b9-83e5-f33b6a470e3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8feece59aa7444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7583</xdr:row>
      <xdr:rowOff>19050</xdr:rowOff>
    </xdr:from>
    <xdr:ext cx="1143000" cy="1143000"/>
    <xdr:pic>
      <xdr:nvPicPr>
        <xdr:cNvPr id="7581" name="87b98f8b-5504-49f5-ac2f-4e65c5cec30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4f8985fd08e446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7584</xdr:row>
      <xdr:rowOff>19050</xdr:rowOff>
    </xdr:from>
    <xdr:ext cx="1143000" cy="1143000"/>
    <xdr:pic>
      <xdr:nvPicPr>
        <xdr:cNvPr id="7582" name="e46c314e-853a-442e-b071-e0f7b43a72f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783a9fec20a485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7585</xdr:row>
      <xdr:rowOff>19050</xdr:rowOff>
    </xdr:from>
    <xdr:ext cx="1143000" cy="1143000"/>
    <xdr:pic>
      <xdr:nvPicPr>
        <xdr:cNvPr id="7583" name="733fcaea-b22c-4d8f-9ccf-3c6acd18148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e7fda4f1d5144a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7586</xdr:row>
      <xdr:rowOff>19050</xdr:rowOff>
    </xdr:from>
    <xdr:ext cx="1143000" cy="1143000"/>
    <xdr:pic>
      <xdr:nvPicPr>
        <xdr:cNvPr id="7584" name="f5575e7d-099e-4e98-80cf-075c8383030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957cd674f7846b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7587</xdr:row>
      <xdr:rowOff>19050</xdr:rowOff>
    </xdr:from>
    <xdr:ext cx="1143000" cy="1143000"/>
    <xdr:pic>
      <xdr:nvPicPr>
        <xdr:cNvPr id="7585" name="e8ca995d-5e1f-40df-8bb4-9b4ea3d86c8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dd337256cd64fe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7588</xdr:row>
      <xdr:rowOff>19050</xdr:rowOff>
    </xdr:from>
    <xdr:ext cx="1143000" cy="1143000"/>
    <xdr:pic>
      <xdr:nvPicPr>
        <xdr:cNvPr id="7586" name="78134e84-550b-4a62-ab2b-ea0e45c6093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95ca23ea86e4f1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7589</xdr:row>
      <xdr:rowOff>19050</xdr:rowOff>
    </xdr:from>
    <xdr:ext cx="1143000" cy="1143000"/>
    <xdr:pic>
      <xdr:nvPicPr>
        <xdr:cNvPr id="7587" name="356d42a7-3e88-4521-9f60-dfb85bf1a26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18c1cb711fe459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7590</xdr:row>
      <xdr:rowOff>19050</xdr:rowOff>
    </xdr:from>
    <xdr:ext cx="1143000" cy="1143000"/>
    <xdr:pic>
      <xdr:nvPicPr>
        <xdr:cNvPr id="7588" name="0c2a16a6-85e9-4dfa-b8bf-300cb63a39d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eae2504cd9a4ca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7591</xdr:row>
      <xdr:rowOff>19050</xdr:rowOff>
    </xdr:from>
    <xdr:ext cx="1143000" cy="1143000"/>
    <xdr:pic>
      <xdr:nvPicPr>
        <xdr:cNvPr id="7589" name="06e8a87b-5ba9-48c1-83a1-7c576780179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8c1fc9b77e340f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7592</xdr:row>
      <xdr:rowOff>19050</xdr:rowOff>
    </xdr:from>
    <xdr:ext cx="1143000" cy="1143000"/>
    <xdr:pic>
      <xdr:nvPicPr>
        <xdr:cNvPr id="7590" name="561b1eea-d0bc-4687-b0d5-48257664d0c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4dbe6bc86e0413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7593</xdr:row>
      <xdr:rowOff>19050</xdr:rowOff>
    </xdr:from>
    <xdr:ext cx="1143000" cy="1143000"/>
    <xdr:pic>
      <xdr:nvPicPr>
        <xdr:cNvPr id="7591" name="6ed77317-09d0-42f1-85a8-33bbbbd586c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d91e9d556ab469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7594</xdr:row>
      <xdr:rowOff>19050</xdr:rowOff>
    </xdr:from>
    <xdr:ext cx="1143000" cy="1143000"/>
    <xdr:pic>
      <xdr:nvPicPr>
        <xdr:cNvPr id="7592" name="37ff336c-eeb9-4269-8379-4c33b53786b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0871f2f3d9a445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7595</xdr:row>
      <xdr:rowOff>19050</xdr:rowOff>
    </xdr:from>
    <xdr:ext cx="1143000" cy="1143000"/>
    <xdr:pic>
      <xdr:nvPicPr>
        <xdr:cNvPr id="7593" name="37bb89a3-4917-48e3-a773-b1fe42cd8fe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f866ba89581427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7596</xdr:row>
      <xdr:rowOff>19050</xdr:rowOff>
    </xdr:from>
    <xdr:ext cx="1143000" cy="1143000"/>
    <xdr:pic>
      <xdr:nvPicPr>
        <xdr:cNvPr id="7594" name="0c235cdc-1cdd-4267-8b8e-205a4f658ee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fc5be8fc743455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7597</xdr:row>
      <xdr:rowOff>19050</xdr:rowOff>
    </xdr:from>
    <xdr:ext cx="1143000" cy="1143000"/>
    <xdr:pic>
      <xdr:nvPicPr>
        <xdr:cNvPr id="7595" name="ac427d8b-a659-42bc-acb6-903f3fc03f7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dece87147be48e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7598</xdr:row>
      <xdr:rowOff>19050</xdr:rowOff>
    </xdr:from>
    <xdr:ext cx="1143000" cy="1143000"/>
    <xdr:pic>
      <xdr:nvPicPr>
        <xdr:cNvPr id="7596" name="3abaffec-beb4-44b1-9dbd-93df3f23686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f5a2d5db809427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7599</xdr:row>
      <xdr:rowOff>19050</xdr:rowOff>
    </xdr:from>
    <xdr:ext cx="1143000" cy="1143000"/>
    <xdr:pic>
      <xdr:nvPicPr>
        <xdr:cNvPr id="7597" name="c383988b-c68c-4dd7-b3cf-f80202151a6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779df760c71427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7600</xdr:row>
      <xdr:rowOff>19050</xdr:rowOff>
    </xdr:from>
    <xdr:ext cx="1143000" cy="1143000"/>
    <xdr:pic>
      <xdr:nvPicPr>
        <xdr:cNvPr id="7598" name="a4056fea-6279-4815-b1c7-e89377cf780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dcf41d0a48a40d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7601</xdr:row>
      <xdr:rowOff>19050</xdr:rowOff>
    </xdr:from>
    <xdr:ext cx="1143000" cy="1143000"/>
    <xdr:pic>
      <xdr:nvPicPr>
        <xdr:cNvPr id="7599" name="5907898b-7595-4b09-b678-d9ce499b92d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91b04972687448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7602</xdr:row>
      <xdr:rowOff>19050</xdr:rowOff>
    </xdr:from>
    <xdr:ext cx="1143000" cy="1143000"/>
    <xdr:pic>
      <xdr:nvPicPr>
        <xdr:cNvPr id="7600" name="7328b002-fa55-4281-9899-5eae4d484d2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44e4fca487445b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7603</xdr:row>
      <xdr:rowOff>19050</xdr:rowOff>
    </xdr:from>
    <xdr:ext cx="1143000" cy="1143000"/>
    <xdr:pic>
      <xdr:nvPicPr>
        <xdr:cNvPr id="7601" name="63c7fbc0-af04-4842-82a5-f611d2f7239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5326486bf2c4ad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7604</xdr:row>
      <xdr:rowOff>19050</xdr:rowOff>
    </xdr:from>
    <xdr:ext cx="1143000" cy="1143000"/>
    <xdr:pic>
      <xdr:nvPicPr>
        <xdr:cNvPr id="7602" name="8d6c1d34-7f49-4695-93bc-8b9ffd1d639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b0e19d4355e401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7605</xdr:row>
      <xdr:rowOff>19050</xdr:rowOff>
    </xdr:from>
    <xdr:ext cx="1143000" cy="1143000"/>
    <xdr:pic>
      <xdr:nvPicPr>
        <xdr:cNvPr id="7603" name="22ef5cc2-1699-4330-b25e-c0b9cb67ccd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c1cf408537844a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7606</xdr:row>
      <xdr:rowOff>19050</xdr:rowOff>
    </xdr:from>
    <xdr:ext cx="1143000" cy="1143000"/>
    <xdr:pic>
      <xdr:nvPicPr>
        <xdr:cNvPr id="7604" name="abbaa40b-dc21-4e21-af2e-b9b2635db48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11eaa91bc8640a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7607</xdr:row>
      <xdr:rowOff>19050</xdr:rowOff>
    </xdr:from>
    <xdr:ext cx="1143000" cy="1143000"/>
    <xdr:pic>
      <xdr:nvPicPr>
        <xdr:cNvPr id="7605" name="385d9ca8-6a42-4589-b62f-03bd960b269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79c05926a894dd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7608</xdr:row>
      <xdr:rowOff>19050</xdr:rowOff>
    </xdr:from>
    <xdr:ext cx="1143000" cy="1143000"/>
    <xdr:pic>
      <xdr:nvPicPr>
        <xdr:cNvPr id="7606" name="e851465b-5380-4dd8-96dc-206fd82d145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0b1dffaf28c414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7609</xdr:row>
      <xdr:rowOff>19050</xdr:rowOff>
    </xdr:from>
    <xdr:ext cx="1143000" cy="1143000"/>
    <xdr:pic>
      <xdr:nvPicPr>
        <xdr:cNvPr id="7607" name="2cce7c35-08f6-4c1b-a295-3a2bdc0d607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366bab3063f4b1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7610</xdr:row>
      <xdr:rowOff>19050</xdr:rowOff>
    </xdr:from>
    <xdr:ext cx="1143000" cy="1143000"/>
    <xdr:pic>
      <xdr:nvPicPr>
        <xdr:cNvPr id="7608" name="df0dd779-7746-47c7-bf1d-787465d0246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b64564c9db94f6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7611</xdr:row>
      <xdr:rowOff>19050</xdr:rowOff>
    </xdr:from>
    <xdr:ext cx="1143000" cy="1143000"/>
    <xdr:pic>
      <xdr:nvPicPr>
        <xdr:cNvPr id="7609" name="fea98224-5e29-4c0f-8a9d-445019ef23d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b1ec2d94e9249b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7612</xdr:row>
      <xdr:rowOff>19050</xdr:rowOff>
    </xdr:from>
    <xdr:ext cx="1143000" cy="1143000"/>
    <xdr:pic>
      <xdr:nvPicPr>
        <xdr:cNvPr id="7610" name="f23d08b6-7517-456b-a0c1-107bab2380a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96694eafb0b40d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7613</xdr:row>
      <xdr:rowOff>19050</xdr:rowOff>
    </xdr:from>
    <xdr:ext cx="1143000" cy="1143000"/>
    <xdr:pic>
      <xdr:nvPicPr>
        <xdr:cNvPr id="7611" name="0b725bae-350f-4ea0-9a4f-d483b146d76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a0ab783c3a7449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7614</xdr:row>
      <xdr:rowOff>19050</xdr:rowOff>
    </xdr:from>
    <xdr:ext cx="1143000" cy="1143000"/>
    <xdr:pic>
      <xdr:nvPicPr>
        <xdr:cNvPr id="7612" name="26e43205-927f-4914-997a-231621acc71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c1da20ab4d641a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7615</xdr:row>
      <xdr:rowOff>19050</xdr:rowOff>
    </xdr:from>
    <xdr:ext cx="1143000" cy="1143000"/>
    <xdr:pic>
      <xdr:nvPicPr>
        <xdr:cNvPr id="7613" name="06dd0d7b-31bc-4086-8cf8-5434e719d92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dbb85c7fe38431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7616</xdr:row>
      <xdr:rowOff>19050</xdr:rowOff>
    </xdr:from>
    <xdr:ext cx="1143000" cy="1143000"/>
    <xdr:pic>
      <xdr:nvPicPr>
        <xdr:cNvPr id="7614" name="f50f4452-5f60-41ec-865f-9bcc72129f8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70386d1cc764ef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7617</xdr:row>
      <xdr:rowOff>19050</xdr:rowOff>
    </xdr:from>
    <xdr:ext cx="1143000" cy="1143000"/>
    <xdr:pic>
      <xdr:nvPicPr>
        <xdr:cNvPr id="7615" name="df3f970a-49e9-4c4e-a613-35cb96f3a4d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72c4f6bbf93495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7618</xdr:row>
      <xdr:rowOff>19050</xdr:rowOff>
    </xdr:from>
    <xdr:ext cx="1143000" cy="1143000"/>
    <xdr:pic>
      <xdr:nvPicPr>
        <xdr:cNvPr id="7616" name="6497090c-41bf-498d-a4fd-7ec79c232ac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567c36654894ba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7619</xdr:row>
      <xdr:rowOff>19050</xdr:rowOff>
    </xdr:from>
    <xdr:ext cx="1143000" cy="1143000"/>
    <xdr:pic>
      <xdr:nvPicPr>
        <xdr:cNvPr id="7617" name="9e558312-bae5-4bff-b109-91c36574d5f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ae78a5f0e2d409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7620</xdr:row>
      <xdr:rowOff>19050</xdr:rowOff>
    </xdr:from>
    <xdr:ext cx="1143000" cy="1143000"/>
    <xdr:pic>
      <xdr:nvPicPr>
        <xdr:cNvPr id="7618" name="a08d118d-c4ac-4ada-8e16-e7f5b13d51f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e0e21cbf04249d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7621</xdr:row>
      <xdr:rowOff>19050</xdr:rowOff>
    </xdr:from>
    <xdr:ext cx="1143000" cy="1143000"/>
    <xdr:pic>
      <xdr:nvPicPr>
        <xdr:cNvPr id="7619" name="dc7703d7-3148-42a1-811a-35c4de31537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35c68c65882441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7622</xdr:row>
      <xdr:rowOff>19050</xdr:rowOff>
    </xdr:from>
    <xdr:ext cx="1143000" cy="1143000"/>
    <xdr:pic>
      <xdr:nvPicPr>
        <xdr:cNvPr id="7620" name="f1a86c12-37be-4759-b21b-fdf465da4d8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7ba014a9e354a5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7623</xdr:row>
      <xdr:rowOff>19050</xdr:rowOff>
    </xdr:from>
    <xdr:ext cx="1143000" cy="1143000"/>
    <xdr:pic>
      <xdr:nvPicPr>
        <xdr:cNvPr id="7621" name="30548df3-7a95-43e9-b440-d576c492f19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8276d7f4b1a44b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7624</xdr:row>
      <xdr:rowOff>19050</xdr:rowOff>
    </xdr:from>
    <xdr:ext cx="1143000" cy="1143000"/>
    <xdr:pic>
      <xdr:nvPicPr>
        <xdr:cNvPr id="7622" name="939ef7f0-e049-471b-847e-970eae9ee6a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43aff9503a3433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7625</xdr:row>
      <xdr:rowOff>19050</xdr:rowOff>
    </xdr:from>
    <xdr:ext cx="1143000" cy="1143000"/>
    <xdr:pic>
      <xdr:nvPicPr>
        <xdr:cNvPr id="7623" name="a4572e04-ddba-4c16-b3b1-695669e9a58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c4d049d97ee461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7626</xdr:row>
      <xdr:rowOff>19050</xdr:rowOff>
    </xdr:from>
    <xdr:ext cx="1143000" cy="1143000"/>
    <xdr:pic>
      <xdr:nvPicPr>
        <xdr:cNvPr id="7624" name="34359440-eabf-456c-949d-362b156506d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0cbcb33bcaa472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7627</xdr:row>
      <xdr:rowOff>19050</xdr:rowOff>
    </xdr:from>
    <xdr:ext cx="1143000" cy="1143000"/>
    <xdr:pic>
      <xdr:nvPicPr>
        <xdr:cNvPr id="7625" name="59b0bd98-b770-4435-9d22-7288c35a408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9e24c569ed240e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7628</xdr:row>
      <xdr:rowOff>19050</xdr:rowOff>
    </xdr:from>
    <xdr:ext cx="1143000" cy="1143000"/>
    <xdr:pic>
      <xdr:nvPicPr>
        <xdr:cNvPr id="7626" name="07b875dd-da17-4272-928e-c0c6c4ebfd3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265b7b5a11a44d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7629</xdr:row>
      <xdr:rowOff>19050</xdr:rowOff>
    </xdr:from>
    <xdr:ext cx="1143000" cy="1143000"/>
    <xdr:pic>
      <xdr:nvPicPr>
        <xdr:cNvPr id="7627" name="593bb767-8939-4cea-8984-f497d890637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4e683e984e74ee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7630</xdr:row>
      <xdr:rowOff>19050</xdr:rowOff>
    </xdr:from>
    <xdr:ext cx="1143000" cy="1143000"/>
    <xdr:pic>
      <xdr:nvPicPr>
        <xdr:cNvPr id="7628" name="c34928ca-b73f-4b77-9327-f4c35ca0633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b3e03f03f394bc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7631</xdr:row>
      <xdr:rowOff>19050</xdr:rowOff>
    </xdr:from>
    <xdr:ext cx="1143000" cy="1143000"/>
    <xdr:pic>
      <xdr:nvPicPr>
        <xdr:cNvPr id="7629" name="76538024-5b74-4937-b149-fdd4d985105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3faa0e265534d6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7632</xdr:row>
      <xdr:rowOff>19050</xdr:rowOff>
    </xdr:from>
    <xdr:ext cx="1143000" cy="1143000"/>
    <xdr:pic>
      <xdr:nvPicPr>
        <xdr:cNvPr id="7630" name="ac02d4a9-41b3-402a-8c5b-06049fade15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e6b73af83c3418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7633</xdr:row>
      <xdr:rowOff>19050</xdr:rowOff>
    </xdr:from>
    <xdr:ext cx="1143000" cy="1143000"/>
    <xdr:pic>
      <xdr:nvPicPr>
        <xdr:cNvPr id="7631" name="551063ed-3876-44ec-b9b2-383d8123f8e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d136fc28cee4d0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7634</xdr:row>
      <xdr:rowOff>19050</xdr:rowOff>
    </xdr:from>
    <xdr:ext cx="1143000" cy="1143000"/>
    <xdr:pic>
      <xdr:nvPicPr>
        <xdr:cNvPr id="7632" name="5dd43e2b-c075-4197-8ed0-683994c1859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5bb8cac5b394b5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7635</xdr:row>
      <xdr:rowOff>19050</xdr:rowOff>
    </xdr:from>
    <xdr:ext cx="1143000" cy="1143000"/>
    <xdr:pic>
      <xdr:nvPicPr>
        <xdr:cNvPr id="7633" name="3a1c4a6f-2b6f-4fe6-82ef-019cfcf71f0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500fcee383947d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7636</xdr:row>
      <xdr:rowOff>19050</xdr:rowOff>
    </xdr:from>
    <xdr:ext cx="1143000" cy="1143000"/>
    <xdr:pic>
      <xdr:nvPicPr>
        <xdr:cNvPr id="7634" name="0d4a84c8-08fd-43f2-a3a6-84fa7c6ad47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f4d949507a249e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7637</xdr:row>
      <xdr:rowOff>19050</xdr:rowOff>
    </xdr:from>
    <xdr:ext cx="1143000" cy="1143000"/>
    <xdr:pic>
      <xdr:nvPicPr>
        <xdr:cNvPr id="7635" name="3a366b69-9773-4065-aac9-45585fddb4f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0d8ec0d3b1240b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7638</xdr:row>
      <xdr:rowOff>19050</xdr:rowOff>
    </xdr:from>
    <xdr:ext cx="1143000" cy="1143000"/>
    <xdr:pic>
      <xdr:nvPicPr>
        <xdr:cNvPr id="7636" name="5d07254a-30f5-44b3-980a-cab6d0dcded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2c40d6c3848406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7639</xdr:row>
      <xdr:rowOff>19050</xdr:rowOff>
    </xdr:from>
    <xdr:ext cx="1143000" cy="1143000"/>
    <xdr:pic>
      <xdr:nvPicPr>
        <xdr:cNvPr id="7637" name="10ecbc2d-0cd5-4989-90ee-7146cfa09bb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8c2100a825b425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7640</xdr:row>
      <xdr:rowOff>19050</xdr:rowOff>
    </xdr:from>
    <xdr:ext cx="1143000" cy="1143000"/>
    <xdr:pic>
      <xdr:nvPicPr>
        <xdr:cNvPr id="7638" name="258dfe59-9dba-41bd-b7cb-92716522bb9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9e1407bf5a54e7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7641</xdr:row>
      <xdr:rowOff>19050</xdr:rowOff>
    </xdr:from>
    <xdr:ext cx="1143000" cy="1143000"/>
    <xdr:pic>
      <xdr:nvPicPr>
        <xdr:cNvPr id="7639" name="0f8f038b-28ff-434a-ad8e-220d8eac34c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813241fcf2a4c1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7642</xdr:row>
      <xdr:rowOff>19050</xdr:rowOff>
    </xdr:from>
    <xdr:ext cx="1143000" cy="1143000"/>
    <xdr:pic>
      <xdr:nvPicPr>
        <xdr:cNvPr id="7640" name="3f42b067-f3a6-459e-871a-4b46a4388cc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5c940eb91cc49a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7643</xdr:row>
      <xdr:rowOff>19050</xdr:rowOff>
    </xdr:from>
    <xdr:ext cx="1143000" cy="1143000"/>
    <xdr:pic>
      <xdr:nvPicPr>
        <xdr:cNvPr id="7641" name="4992574f-606a-44f3-973e-5c58b0a0d41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1ad5b42d3b5416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7644</xdr:row>
      <xdr:rowOff>19050</xdr:rowOff>
    </xdr:from>
    <xdr:ext cx="1143000" cy="1143000"/>
    <xdr:pic>
      <xdr:nvPicPr>
        <xdr:cNvPr id="7642" name="41f1ccfe-441b-4118-a4ab-e1190d6040e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6448663452c41b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7645</xdr:row>
      <xdr:rowOff>19050</xdr:rowOff>
    </xdr:from>
    <xdr:ext cx="1143000" cy="1143000"/>
    <xdr:pic>
      <xdr:nvPicPr>
        <xdr:cNvPr id="7643" name="c8d1c933-a3e7-4302-b5c7-b8c1b12610d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e984609b57b43a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7646</xdr:row>
      <xdr:rowOff>19050</xdr:rowOff>
    </xdr:from>
    <xdr:ext cx="1143000" cy="1143000"/>
    <xdr:pic>
      <xdr:nvPicPr>
        <xdr:cNvPr id="7644" name="fd63fee5-2546-4153-9fb4-e87ad72ccaf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f33c68c5873442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7647</xdr:row>
      <xdr:rowOff>19050</xdr:rowOff>
    </xdr:from>
    <xdr:ext cx="1143000" cy="1143000"/>
    <xdr:pic>
      <xdr:nvPicPr>
        <xdr:cNvPr id="7645" name="c1b02850-0efa-4813-ac04-ffc035ec267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33645939d28439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7648</xdr:row>
      <xdr:rowOff>19050</xdr:rowOff>
    </xdr:from>
    <xdr:ext cx="1143000" cy="1143000"/>
    <xdr:pic>
      <xdr:nvPicPr>
        <xdr:cNvPr id="7646" name="c8e9e996-4650-430f-b98a-e91bd541e5c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3e7a3c568134d4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7649</xdr:row>
      <xdr:rowOff>19050</xdr:rowOff>
    </xdr:from>
    <xdr:ext cx="1143000" cy="1143000"/>
    <xdr:pic>
      <xdr:nvPicPr>
        <xdr:cNvPr id="7647" name="1bbbaf25-6d4e-4d42-8566-a04dfc24dd7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da8412c152d4bf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7650</xdr:row>
      <xdr:rowOff>19050</xdr:rowOff>
    </xdr:from>
    <xdr:ext cx="1143000" cy="1143000"/>
    <xdr:pic>
      <xdr:nvPicPr>
        <xdr:cNvPr id="7648" name="1e93f76a-d2c2-42c2-bad2-9089e87b0b9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d37fc78544e453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7651</xdr:row>
      <xdr:rowOff>19050</xdr:rowOff>
    </xdr:from>
    <xdr:ext cx="1143000" cy="1143000"/>
    <xdr:pic>
      <xdr:nvPicPr>
        <xdr:cNvPr id="7649" name="754b505b-f890-46f9-912e-72eb87e363d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ff7822ae303471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7652</xdr:row>
      <xdr:rowOff>19050</xdr:rowOff>
    </xdr:from>
    <xdr:ext cx="1143000" cy="1143000"/>
    <xdr:pic>
      <xdr:nvPicPr>
        <xdr:cNvPr id="7650" name="4d3497e0-b480-49a4-bfae-c4828f7182e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af3c88503fa4ff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7653</xdr:row>
      <xdr:rowOff>19050</xdr:rowOff>
    </xdr:from>
    <xdr:ext cx="1143000" cy="1143000"/>
    <xdr:pic>
      <xdr:nvPicPr>
        <xdr:cNvPr id="7651" name="d52bda87-3617-4da9-8fb3-fb8be6bd2e9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e520d396d0c442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7654</xdr:row>
      <xdr:rowOff>19050</xdr:rowOff>
    </xdr:from>
    <xdr:ext cx="1143000" cy="1143000"/>
    <xdr:pic>
      <xdr:nvPicPr>
        <xdr:cNvPr id="7652" name="aff9bb69-89d6-4fca-b23f-a9d5b429fdf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1e32075b9c24ec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7655</xdr:row>
      <xdr:rowOff>19050</xdr:rowOff>
    </xdr:from>
    <xdr:ext cx="1143000" cy="1143000"/>
    <xdr:pic>
      <xdr:nvPicPr>
        <xdr:cNvPr id="7653" name="890ceaaf-8aff-4375-9798-306703403b9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d8f3e0c6cb346b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7656</xdr:row>
      <xdr:rowOff>19050</xdr:rowOff>
    </xdr:from>
    <xdr:ext cx="1143000" cy="1143000"/>
    <xdr:pic>
      <xdr:nvPicPr>
        <xdr:cNvPr id="7654" name="1746fb8d-bb3e-48f1-8546-9c3c4c8eb94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58de11b530545e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7657</xdr:row>
      <xdr:rowOff>19050</xdr:rowOff>
    </xdr:from>
    <xdr:ext cx="1143000" cy="1143000"/>
    <xdr:pic>
      <xdr:nvPicPr>
        <xdr:cNvPr id="7655" name="6ab1cacb-78c6-4857-bb91-48f61befebe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9944f5f4e834a3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7658</xdr:row>
      <xdr:rowOff>19050</xdr:rowOff>
    </xdr:from>
    <xdr:ext cx="1143000" cy="1143000"/>
    <xdr:pic>
      <xdr:nvPicPr>
        <xdr:cNvPr id="7656" name="0c9d4c42-aa1b-4c73-aac1-d5432600814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234f83e39ff41f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7659</xdr:row>
      <xdr:rowOff>19050</xdr:rowOff>
    </xdr:from>
    <xdr:ext cx="1143000" cy="1143000"/>
    <xdr:pic>
      <xdr:nvPicPr>
        <xdr:cNvPr id="7657" name="84f729ea-931c-4c0d-89af-2438ce7b16a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d83974e7b274be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7660</xdr:row>
      <xdr:rowOff>19050</xdr:rowOff>
    </xdr:from>
    <xdr:ext cx="1143000" cy="1143000"/>
    <xdr:pic>
      <xdr:nvPicPr>
        <xdr:cNvPr id="7658" name="c6f901a9-ae24-481e-82be-106cd50c804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d8afd8fd5554d7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7661</xdr:row>
      <xdr:rowOff>19050</xdr:rowOff>
    </xdr:from>
    <xdr:ext cx="1143000" cy="1143000"/>
    <xdr:pic>
      <xdr:nvPicPr>
        <xdr:cNvPr id="7659" name="cf55dce4-667f-4d7f-96ad-3f852aac298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09e6d59c0a44f1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7662</xdr:row>
      <xdr:rowOff>19050</xdr:rowOff>
    </xdr:from>
    <xdr:ext cx="1143000" cy="1143000"/>
    <xdr:pic>
      <xdr:nvPicPr>
        <xdr:cNvPr id="7660" name="c8b2d129-10c9-49c6-94e7-7b8db98c14c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4ef48cc4d2041b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7663</xdr:row>
      <xdr:rowOff>19050</xdr:rowOff>
    </xdr:from>
    <xdr:ext cx="1143000" cy="1143000"/>
    <xdr:pic>
      <xdr:nvPicPr>
        <xdr:cNvPr id="7661" name="1bb7909f-57f3-4854-a36a-1260ec1e954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9e24c20ea664e2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7664</xdr:row>
      <xdr:rowOff>19050</xdr:rowOff>
    </xdr:from>
    <xdr:ext cx="1143000" cy="1143000"/>
    <xdr:pic>
      <xdr:nvPicPr>
        <xdr:cNvPr id="7662" name="7388dbc0-8b76-42a9-80b9-8c7d588db5f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8c57d3f7fed4c8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7665</xdr:row>
      <xdr:rowOff>19050</xdr:rowOff>
    </xdr:from>
    <xdr:ext cx="1143000" cy="1143000"/>
    <xdr:pic>
      <xdr:nvPicPr>
        <xdr:cNvPr id="7663" name="4fd5e328-a0f4-450c-8431-08bd3c6752a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4bd82225b05432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7666</xdr:row>
      <xdr:rowOff>19050</xdr:rowOff>
    </xdr:from>
    <xdr:ext cx="1143000" cy="1143000"/>
    <xdr:pic>
      <xdr:nvPicPr>
        <xdr:cNvPr id="7664" name="230a942a-414a-4132-a095-b8bd4707879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f736bbc8ed642b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7667</xdr:row>
      <xdr:rowOff>19050</xdr:rowOff>
    </xdr:from>
    <xdr:ext cx="1143000" cy="1143000"/>
    <xdr:pic>
      <xdr:nvPicPr>
        <xdr:cNvPr id="7665" name="3b8d13af-d10b-4355-a0d1-18ffc1411c0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8c9a5018221485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7668</xdr:row>
      <xdr:rowOff>19050</xdr:rowOff>
    </xdr:from>
    <xdr:ext cx="1143000" cy="1143000"/>
    <xdr:pic>
      <xdr:nvPicPr>
        <xdr:cNvPr id="7666" name="0f753e02-e1ce-4a05-a48d-92baf481d9c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31ff93f690b452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7669</xdr:row>
      <xdr:rowOff>19050</xdr:rowOff>
    </xdr:from>
    <xdr:ext cx="1143000" cy="1143000"/>
    <xdr:pic>
      <xdr:nvPicPr>
        <xdr:cNvPr id="7667" name="91207bf1-6878-4b2c-b464-6db0f049e31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5c4e7f47ba1400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7670</xdr:row>
      <xdr:rowOff>19050</xdr:rowOff>
    </xdr:from>
    <xdr:ext cx="1143000" cy="1143000"/>
    <xdr:pic>
      <xdr:nvPicPr>
        <xdr:cNvPr id="7668" name="1d16a4dc-f925-490b-a48b-802bb692523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cc522249c2a4e5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7671</xdr:row>
      <xdr:rowOff>19050</xdr:rowOff>
    </xdr:from>
    <xdr:ext cx="1143000" cy="1143000"/>
    <xdr:pic>
      <xdr:nvPicPr>
        <xdr:cNvPr id="7669" name="a0eb0960-ab19-4cc3-8321-18f31118f6b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dd52206cb694b8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7672</xdr:row>
      <xdr:rowOff>19050</xdr:rowOff>
    </xdr:from>
    <xdr:ext cx="1143000" cy="1143000"/>
    <xdr:pic>
      <xdr:nvPicPr>
        <xdr:cNvPr id="7670" name="2153b78f-b10d-48c4-af5a-bd7f8fbfeb2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6a3a6b0628e446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7673</xdr:row>
      <xdr:rowOff>19050</xdr:rowOff>
    </xdr:from>
    <xdr:ext cx="1143000" cy="1143000"/>
    <xdr:pic>
      <xdr:nvPicPr>
        <xdr:cNvPr id="7671" name="7c75cf87-49a5-4c8c-bbfd-6aa8dd58e4a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9b474e5e019410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7674</xdr:row>
      <xdr:rowOff>19050</xdr:rowOff>
    </xdr:from>
    <xdr:ext cx="1143000" cy="1143000"/>
    <xdr:pic>
      <xdr:nvPicPr>
        <xdr:cNvPr id="7672" name="6e7e7715-dd3e-41bc-8b76-423b9ec870a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0e69d334c0447d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7675</xdr:row>
      <xdr:rowOff>19050</xdr:rowOff>
    </xdr:from>
    <xdr:ext cx="1143000" cy="1143000"/>
    <xdr:pic>
      <xdr:nvPicPr>
        <xdr:cNvPr id="7673" name="cf917c09-315d-4232-b93e-18fce131d32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688fa5d4047414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7676</xdr:row>
      <xdr:rowOff>19050</xdr:rowOff>
    </xdr:from>
    <xdr:ext cx="1143000" cy="1143000"/>
    <xdr:pic>
      <xdr:nvPicPr>
        <xdr:cNvPr id="7674" name="d6a9ac5a-400f-4966-a6b5-49686e811c7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0ca82baa7554fb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7677</xdr:row>
      <xdr:rowOff>19050</xdr:rowOff>
    </xdr:from>
    <xdr:ext cx="1143000" cy="1143000"/>
    <xdr:pic>
      <xdr:nvPicPr>
        <xdr:cNvPr id="7675" name="c0f94586-6d4d-471c-a748-945e58e2711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2f1253c8d4e479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7678</xdr:row>
      <xdr:rowOff>19050</xdr:rowOff>
    </xdr:from>
    <xdr:ext cx="1143000" cy="1143000"/>
    <xdr:pic>
      <xdr:nvPicPr>
        <xdr:cNvPr id="7676" name="8d4d021c-a4eb-4b94-8608-c892a72037e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eb3d94b7cf242c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7679</xdr:row>
      <xdr:rowOff>19050</xdr:rowOff>
    </xdr:from>
    <xdr:ext cx="1143000" cy="1143000"/>
    <xdr:pic>
      <xdr:nvPicPr>
        <xdr:cNvPr id="7677" name="5540febd-06cd-460f-a84e-a09314d063c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bedb51139da46c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7680</xdr:row>
      <xdr:rowOff>19050</xdr:rowOff>
    </xdr:from>
    <xdr:ext cx="1143000" cy="1143000"/>
    <xdr:pic>
      <xdr:nvPicPr>
        <xdr:cNvPr id="7678" name="4cd938c9-8322-4ae1-b336-53265f2d903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8ef53a8bde249e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7681</xdr:row>
      <xdr:rowOff>19050</xdr:rowOff>
    </xdr:from>
    <xdr:ext cx="1143000" cy="1143000"/>
    <xdr:pic>
      <xdr:nvPicPr>
        <xdr:cNvPr id="7679" name="0f7a1d03-1ee3-46bc-97bd-7514d4f46e7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11da1247e2a46a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7682</xdr:row>
      <xdr:rowOff>19050</xdr:rowOff>
    </xdr:from>
    <xdr:ext cx="1143000" cy="1143000"/>
    <xdr:pic>
      <xdr:nvPicPr>
        <xdr:cNvPr id="7680" name="910827c1-35ea-414c-b600-a1ad51c5850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802f6d264654a5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7683</xdr:row>
      <xdr:rowOff>19050</xdr:rowOff>
    </xdr:from>
    <xdr:ext cx="1143000" cy="1143000"/>
    <xdr:pic>
      <xdr:nvPicPr>
        <xdr:cNvPr id="7681" name="dbf9d98f-d5fb-4cfc-a4de-876540efcb5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22a0a13c0dc43a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7684</xdr:row>
      <xdr:rowOff>19050</xdr:rowOff>
    </xdr:from>
    <xdr:ext cx="1143000" cy="1143000"/>
    <xdr:pic>
      <xdr:nvPicPr>
        <xdr:cNvPr id="7682" name="c5ecd70a-9170-4c32-9f9d-21faa78cf06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93a213f72404ef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7685</xdr:row>
      <xdr:rowOff>19050</xdr:rowOff>
    </xdr:from>
    <xdr:ext cx="1143000" cy="1143000"/>
    <xdr:pic>
      <xdr:nvPicPr>
        <xdr:cNvPr id="7683" name="f05eb516-1c22-4082-952b-28973460683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cf762407bc4405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7686</xdr:row>
      <xdr:rowOff>19050</xdr:rowOff>
    </xdr:from>
    <xdr:ext cx="1143000" cy="1143000"/>
    <xdr:pic>
      <xdr:nvPicPr>
        <xdr:cNvPr id="7684" name="c98e6406-6701-4c85-997f-a2112a41bf1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fb21852b8a54a5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7687</xdr:row>
      <xdr:rowOff>19050</xdr:rowOff>
    </xdr:from>
    <xdr:ext cx="1143000" cy="1143000"/>
    <xdr:pic>
      <xdr:nvPicPr>
        <xdr:cNvPr id="7685" name="48beece1-3b3e-4a17-9edc-080a4d883df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207b75657f948b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7688</xdr:row>
      <xdr:rowOff>19050</xdr:rowOff>
    </xdr:from>
    <xdr:ext cx="1143000" cy="1143000"/>
    <xdr:pic>
      <xdr:nvPicPr>
        <xdr:cNvPr id="7686" name="9aa1b8af-f2da-4880-a2d9-05de1a1b13a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e918345bc074e3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7689</xdr:row>
      <xdr:rowOff>19050</xdr:rowOff>
    </xdr:from>
    <xdr:ext cx="1143000" cy="1143000"/>
    <xdr:pic>
      <xdr:nvPicPr>
        <xdr:cNvPr id="7687" name="60ae1032-b624-4e2f-8fcb-66089d0dc91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8d90a0e7d1b493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7690</xdr:row>
      <xdr:rowOff>19050</xdr:rowOff>
    </xdr:from>
    <xdr:ext cx="1143000" cy="1143000"/>
    <xdr:pic>
      <xdr:nvPicPr>
        <xdr:cNvPr id="7688" name="44b93507-bbea-4b75-a08d-ac8d2465e98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7e22c694abd45e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7691</xdr:row>
      <xdr:rowOff>19050</xdr:rowOff>
    </xdr:from>
    <xdr:ext cx="1143000" cy="1143000"/>
    <xdr:pic>
      <xdr:nvPicPr>
        <xdr:cNvPr id="7689" name="ca94b059-08a7-4699-857b-94fa3a33676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4b5643a9dd2429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7692</xdr:row>
      <xdr:rowOff>19050</xdr:rowOff>
    </xdr:from>
    <xdr:ext cx="1143000" cy="1143000"/>
    <xdr:pic>
      <xdr:nvPicPr>
        <xdr:cNvPr id="7690" name="ee1e67ae-fc98-4ca7-80cb-16c856625c2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48f390261cf4bc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7693</xdr:row>
      <xdr:rowOff>19050</xdr:rowOff>
    </xdr:from>
    <xdr:ext cx="1143000" cy="1143000"/>
    <xdr:pic>
      <xdr:nvPicPr>
        <xdr:cNvPr id="7691" name="990fc925-d1e4-4710-a884-e7093afe295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c96a5e16f5349f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7694</xdr:row>
      <xdr:rowOff>19050</xdr:rowOff>
    </xdr:from>
    <xdr:ext cx="1143000" cy="1143000"/>
    <xdr:pic>
      <xdr:nvPicPr>
        <xdr:cNvPr id="7692" name="39955bf0-6b8d-4a95-9415-d9690558399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03c25fc11b246b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7695</xdr:row>
      <xdr:rowOff>19050</xdr:rowOff>
    </xdr:from>
    <xdr:ext cx="1143000" cy="1143000"/>
    <xdr:pic>
      <xdr:nvPicPr>
        <xdr:cNvPr id="7693" name="c89b0173-34eb-4b81-a0eb-2f6c7d1abf8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7f32805ce2d4be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7696</xdr:row>
      <xdr:rowOff>19050</xdr:rowOff>
    </xdr:from>
    <xdr:ext cx="1143000" cy="1143000"/>
    <xdr:pic>
      <xdr:nvPicPr>
        <xdr:cNvPr id="7694" name="a1970764-0708-4679-a44b-358ec72ba6b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e8e896872b44fa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7697</xdr:row>
      <xdr:rowOff>19050</xdr:rowOff>
    </xdr:from>
    <xdr:ext cx="1143000" cy="1143000"/>
    <xdr:pic>
      <xdr:nvPicPr>
        <xdr:cNvPr id="7695" name="58805d79-6484-48d9-ab61-e5309978e7c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0fa9ca226f8464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7698</xdr:row>
      <xdr:rowOff>19050</xdr:rowOff>
    </xdr:from>
    <xdr:ext cx="1143000" cy="1143000"/>
    <xdr:pic>
      <xdr:nvPicPr>
        <xdr:cNvPr id="7696" name="18426fa6-1538-4f23-9137-45e6433f707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0d6d924ee23493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7699</xdr:row>
      <xdr:rowOff>19050</xdr:rowOff>
    </xdr:from>
    <xdr:ext cx="1143000" cy="1143000"/>
    <xdr:pic>
      <xdr:nvPicPr>
        <xdr:cNvPr id="7697" name="125c8bb5-9dc4-4485-935a-ea33096f773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39cc3efcc8449f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7700</xdr:row>
      <xdr:rowOff>19050</xdr:rowOff>
    </xdr:from>
    <xdr:ext cx="1143000" cy="1143000"/>
    <xdr:pic>
      <xdr:nvPicPr>
        <xdr:cNvPr id="7698" name="88d72be4-6575-472f-94be-5294b41cc9b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b55cbed3082495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7701</xdr:row>
      <xdr:rowOff>19050</xdr:rowOff>
    </xdr:from>
    <xdr:ext cx="1143000" cy="1143000"/>
    <xdr:pic>
      <xdr:nvPicPr>
        <xdr:cNvPr id="7699" name="190d0488-dc0b-406d-87cf-bd599d44a31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60fae7fcdeb4bb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7702</xdr:row>
      <xdr:rowOff>19050</xdr:rowOff>
    </xdr:from>
    <xdr:ext cx="1143000" cy="1143000"/>
    <xdr:pic>
      <xdr:nvPicPr>
        <xdr:cNvPr id="7700" name="53db4157-b5cc-4795-8832-b048d8bd0ce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f8fd85d60b24b5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7703</xdr:row>
      <xdr:rowOff>19050</xdr:rowOff>
    </xdr:from>
    <xdr:ext cx="1143000" cy="1143000"/>
    <xdr:pic>
      <xdr:nvPicPr>
        <xdr:cNvPr id="7701" name="eec51b30-c9b7-463a-bf4a-736b4d4593b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b0113dad72f483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7704</xdr:row>
      <xdr:rowOff>19050</xdr:rowOff>
    </xdr:from>
    <xdr:ext cx="1143000" cy="1143000"/>
    <xdr:pic>
      <xdr:nvPicPr>
        <xdr:cNvPr id="7702" name="b902ae01-ccdd-4c28-8ebd-5bd775cf833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d86d315eff94f0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7705</xdr:row>
      <xdr:rowOff>19050</xdr:rowOff>
    </xdr:from>
    <xdr:ext cx="1143000" cy="1143000"/>
    <xdr:pic>
      <xdr:nvPicPr>
        <xdr:cNvPr id="7703" name="69ec4abf-9859-475f-b9f4-430dba31e2b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a6a489cf8394dc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7706</xdr:row>
      <xdr:rowOff>19050</xdr:rowOff>
    </xdr:from>
    <xdr:ext cx="1143000" cy="1143000"/>
    <xdr:pic>
      <xdr:nvPicPr>
        <xdr:cNvPr id="7704" name="e835a231-d7a3-4737-9d21-973b4747502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059b08c5dd84f1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7707</xdr:row>
      <xdr:rowOff>19050</xdr:rowOff>
    </xdr:from>
    <xdr:ext cx="1143000" cy="1143000"/>
    <xdr:pic>
      <xdr:nvPicPr>
        <xdr:cNvPr id="7705" name="c59aec5e-e38a-4ad2-8ef2-693d1cee22a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62b613e4da24ce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7708</xdr:row>
      <xdr:rowOff>19050</xdr:rowOff>
    </xdr:from>
    <xdr:ext cx="1143000" cy="1143000"/>
    <xdr:pic>
      <xdr:nvPicPr>
        <xdr:cNvPr id="7706" name="5ad2fb54-cab2-4cb6-b373-b2aa3967dc6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783eeba45354f2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7709</xdr:row>
      <xdr:rowOff>19050</xdr:rowOff>
    </xdr:from>
    <xdr:ext cx="1143000" cy="1143000"/>
    <xdr:pic>
      <xdr:nvPicPr>
        <xdr:cNvPr id="7707" name="b05cc7f0-6412-486c-bfe6-8815f14e4d4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41d127db0d9472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7710</xdr:row>
      <xdr:rowOff>19050</xdr:rowOff>
    </xdr:from>
    <xdr:ext cx="1143000" cy="1143000"/>
    <xdr:pic>
      <xdr:nvPicPr>
        <xdr:cNvPr id="7708" name="d3b2cdea-0e03-455e-a654-986e0dc3624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bdd095ce2b847a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7711</xdr:row>
      <xdr:rowOff>19050</xdr:rowOff>
    </xdr:from>
    <xdr:ext cx="1143000" cy="1143000"/>
    <xdr:pic>
      <xdr:nvPicPr>
        <xdr:cNvPr id="7709" name="195bc23c-293f-4050-bc24-b899e29542f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5a6647708924dd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7712</xdr:row>
      <xdr:rowOff>19050</xdr:rowOff>
    </xdr:from>
    <xdr:ext cx="1143000" cy="1143000"/>
    <xdr:pic>
      <xdr:nvPicPr>
        <xdr:cNvPr id="7710" name="33f65631-e784-4463-8d4e-a82e7203804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91e9670538c41d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7713</xdr:row>
      <xdr:rowOff>19050</xdr:rowOff>
    </xdr:from>
    <xdr:ext cx="1143000" cy="1143000"/>
    <xdr:pic>
      <xdr:nvPicPr>
        <xdr:cNvPr id="7711" name="9ddac508-ef25-42e2-b77e-61040e95db4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1b1019d1ca844c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7714</xdr:row>
      <xdr:rowOff>19050</xdr:rowOff>
    </xdr:from>
    <xdr:ext cx="1143000" cy="1143000"/>
    <xdr:pic>
      <xdr:nvPicPr>
        <xdr:cNvPr id="7712" name="8889a552-8297-40de-8318-bafa663b3f3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ea0a24803dd482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7715</xdr:row>
      <xdr:rowOff>19050</xdr:rowOff>
    </xdr:from>
    <xdr:ext cx="1143000" cy="1143000"/>
    <xdr:pic>
      <xdr:nvPicPr>
        <xdr:cNvPr id="7713" name="6074f827-a918-4408-a4e1-a243db3b33e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d415523ac0b461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7716</xdr:row>
      <xdr:rowOff>19050</xdr:rowOff>
    </xdr:from>
    <xdr:ext cx="1143000" cy="1143000"/>
    <xdr:pic>
      <xdr:nvPicPr>
        <xdr:cNvPr id="7714" name="38be252e-34d4-470f-8fdf-14733873d55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51b1566b7b5489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7717</xdr:row>
      <xdr:rowOff>19050</xdr:rowOff>
    </xdr:from>
    <xdr:ext cx="1143000" cy="1143000"/>
    <xdr:pic>
      <xdr:nvPicPr>
        <xdr:cNvPr id="7715" name="11c422ff-c6f6-49c8-9e38-46603b19edd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f080d1815e6453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7718</xdr:row>
      <xdr:rowOff>19050</xdr:rowOff>
    </xdr:from>
    <xdr:ext cx="1143000" cy="1143000"/>
    <xdr:pic>
      <xdr:nvPicPr>
        <xdr:cNvPr id="7716" name="0a02cf8b-39bc-4846-bd85-9d1a01e9dfa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accbf5855434da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7719</xdr:row>
      <xdr:rowOff>19050</xdr:rowOff>
    </xdr:from>
    <xdr:ext cx="1143000" cy="1143000"/>
    <xdr:pic>
      <xdr:nvPicPr>
        <xdr:cNvPr id="7717" name="f5a0f8da-5808-485a-a0aa-1746cd1c181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e2837befadc47d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7720</xdr:row>
      <xdr:rowOff>19050</xdr:rowOff>
    </xdr:from>
    <xdr:ext cx="1143000" cy="1143000"/>
    <xdr:pic>
      <xdr:nvPicPr>
        <xdr:cNvPr id="7718" name="54d2b640-4002-4d64-a882-490b413ef17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375ba355cb845b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7721</xdr:row>
      <xdr:rowOff>19050</xdr:rowOff>
    </xdr:from>
    <xdr:ext cx="1143000" cy="1143000"/>
    <xdr:pic>
      <xdr:nvPicPr>
        <xdr:cNvPr id="7719" name="1d2a5037-2e75-4af9-9057-50073638992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fd247b565314bd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7722</xdr:row>
      <xdr:rowOff>19050</xdr:rowOff>
    </xdr:from>
    <xdr:ext cx="1143000" cy="1143000"/>
    <xdr:pic>
      <xdr:nvPicPr>
        <xdr:cNvPr id="7720" name="24149116-acee-42c4-8882-59be3a94a70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14a476b983642d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7723</xdr:row>
      <xdr:rowOff>19050</xdr:rowOff>
    </xdr:from>
    <xdr:ext cx="1143000" cy="1143000"/>
    <xdr:pic>
      <xdr:nvPicPr>
        <xdr:cNvPr id="7721" name="d8a0c363-cbbc-49c4-b588-9fdbee67ff7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ba752226ef1492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7724</xdr:row>
      <xdr:rowOff>19050</xdr:rowOff>
    </xdr:from>
    <xdr:ext cx="1143000" cy="1143000"/>
    <xdr:pic>
      <xdr:nvPicPr>
        <xdr:cNvPr id="7722" name="596c0e21-5208-48db-9a9e-1fae0f5dc34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f9c8656b5eb42f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7725</xdr:row>
      <xdr:rowOff>19050</xdr:rowOff>
    </xdr:from>
    <xdr:ext cx="1143000" cy="1143000"/>
    <xdr:pic>
      <xdr:nvPicPr>
        <xdr:cNvPr id="7723" name="63fe22e0-4bd4-4a32-bdfc-3e4de1ae743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4cbc950b1c3405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7726</xdr:row>
      <xdr:rowOff>19050</xdr:rowOff>
    </xdr:from>
    <xdr:ext cx="1143000" cy="1143000"/>
    <xdr:pic>
      <xdr:nvPicPr>
        <xdr:cNvPr id="7724" name="12067d3d-21ca-4b7a-b989-e7d9ebed9fa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7276997e53d44e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7727</xdr:row>
      <xdr:rowOff>19050</xdr:rowOff>
    </xdr:from>
    <xdr:ext cx="1143000" cy="1143000"/>
    <xdr:pic>
      <xdr:nvPicPr>
        <xdr:cNvPr id="7725" name="37c7d43c-5783-4392-ac37-72e2da65ec3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6baa17c5dd0470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7728</xdr:row>
      <xdr:rowOff>19050</xdr:rowOff>
    </xdr:from>
    <xdr:ext cx="1143000" cy="1143000"/>
    <xdr:pic>
      <xdr:nvPicPr>
        <xdr:cNvPr id="7726" name="3e0fdc8e-52ad-45c0-a5cf-35b51389f6e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bd664ef0c6c428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7729</xdr:row>
      <xdr:rowOff>19050</xdr:rowOff>
    </xdr:from>
    <xdr:ext cx="1143000" cy="1143000"/>
    <xdr:pic>
      <xdr:nvPicPr>
        <xdr:cNvPr id="7727" name="7d5af6ef-373f-4547-85f8-1a52af665d2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75df4f20c344ec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7730</xdr:row>
      <xdr:rowOff>19050</xdr:rowOff>
    </xdr:from>
    <xdr:ext cx="1143000" cy="1143000"/>
    <xdr:pic>
      <xdr:nvPicPr>
        <xdr:cNvPr id="7728" name="da69dc73-555d-424b-baec-48ba9a14b54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6d012e90bee4b7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7731</xdr:row>
      <xdr:rowOff>19050</xdr:rowOff>
    </xdr:from>
    <xdr:ext cx="1143000" cy="1143000"/>
    <xdr:pic>
      <xdr:nvPicPr>
        <xdr:cNvPr id="7729" name="f8676abb-031d-43b2-afb7-930e0a29b3b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525931ddc8e4e7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7732</xdr:row>
      <xdr:rowOff>19050</xdr:rowOff>
    </xdr:from>
    <xdr:ext cx="1143000" cy="1143000"/>
    <xdr:pic>
      <xdr:nvPicPr>
        <xdr:cNvPr id="7730" name="600d2d6d-d891-4d16-9a8c-2264063f608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0db0172ab654d6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7733</xdr:row>
      <xdr:rowOff>19050</xdr:rowOff>
    </xdr:from>
    <xdr:ext cx="1143000" cy="1143000"/>
    <xdr:pic>
      <xdr:nvPicPr>
        <xdr:cNvPr id="7731" name="2690b9f2-7a2c-45dd-9a72-6af43725c12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8c3a08bf6c34e4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7734</xdr:row>
      <xdr:rowOff>19050</xdr:rowOff>
    </xdr:from>
    <xdr:ext cx="1143000" cy="1143000"/>
    <xdr:pic>
      <xdr:nvPicPr>
        <xdr:cNvPr id="7732" name="81155d24-119c-4d3b-a94a-d83c64e48e3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c76c8cb79144fe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7735</xdr:row>
      <xdr:rowOff>19050</xdr:rowOff>
    </xdr:from>
    <xdr:ext cx="1143000" cy="1143000"/>
    <xdr:pic>
      <xdr:nvPicPr>
        <xdr:cNvPr id="7733" name="1cb1c121-9699-467b-a9fe-0a567c5f29c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07124767da64f6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7736</xdr:row>
      <xdr:rowOff>19050</xdr:rowOff>
    </xdr:from>
    <xdr:ext cx="1143000" cy="1143000"/>
    <xdr:pic>
      <xdr:nvPicPr>
        <xdr:cNvPr id="7734" name="e4abf9e3-1952-4bde-99ac-f0bff1a500b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fd44740cefa4f2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7737</xdr:row>
      <xdr:rowOff>19050</xdr:rowOff>
    </xdr:from>
    <xdr:ext cx="1143000" cy="1143000"/>
    <xdr:pic>
      <xdr:nvPicPr>
        <xdr:cNvPr id="7735" name="4028a98a-acaf-4bf2-8a6e-9cff3339513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f79afca3ccf4bc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7738</xdr:row>
      <xdr:rowOff>19050</xdr:rowOff>
    </xdr:from>
    <xdr:ext cx="1143000" cy="1143000"/>
    <xdr:pic>
      <xdr:nvPicPr>
        <xdr:cNvPr id="7736" name="437c3dfd-e73a-4f2d-9939-c7c3be365bd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f4925b838024ff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7739</xdr:row>
      <xdr:rowOff>19050</xdr:rowOff>
    </xdr:from>
    <xdr:ext cx="1143000" cy="1143000"/>
    <xdr:pic>
      <xdr:nvPicPr>
        <xdr:cNvPr id="7737" name="a0e91d9f-0099-496e-909d-aba47e4b5f4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53945e5fef3424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7740</xdr:row>
      <xdr:rowOff>19050</xdr:rowOff>
    </xdr:from>
    <xdr:ext cx="1143000" cy="1143000"/>
    <xdr:pic>
      <xdr:nvPicPr>
        <xdr:cNvPr id="7738" name="27a4739c-8117-4dfd-a938-761285d0efc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dca7b74f49f45b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7741</xdr:row>
      <xdr:rowOff>19050</xdr:rowOff>
    </xdr:from>
    <xdr:ext cx="1143000" cy="1143000"/>
    <xdr:pic>
      <xdr:nvPicPr>
        <xdr:cNvPr id="7739" name="21422907-acac-4ce5-a3c7-1570bef87e9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4f1539d8ac245a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7742</xdr:row>
      <xdr:rowOff>19050</xdr:rowOff>
    </xdr:from>
    <xdr:ext cx="1143000" cy="1143000"/>
    <xdr:pic>
      <xdr:nvPicPr>
        <xdr:cNvPr id="7740" name="c7c898af-43e9-4756-97fd-77f6e94b662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c53c2b5cabd414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7743</xdr:row>
      <xdr:rowOff>19050</xdr:rowOff>
    </xdr:from>
    <xdr:ext cx="1143000" cy="1143000"/>
    <xdr:pic>
      <xdr:nvPicPr>
        <xdr:cNvPr id="7741" name="a476bf82-b9da-420e-8b20-6bf1e3e2500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5f201d7239143b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7744</xdr:row>
      <xdr:rowOff>19050</xdr:rowOff>
    </xdr:from>
    <xdr:ext cx="1143000" cy="1143000"/>
    <xdr:pic>
      <xdr:nvPicPr>
        <xdr:cNvPr id="7742" name="2bd968b2-646c-472d-bc62-6d2202edd42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1d7ac2dd62c410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7745</xdr:row>
      <xdr:rowOff>19050</xdr:rowOff>
    </xdr:from>
    <xdr:ext cx="1143000" cy="1143000"/>
    <xdr:pic>
      <xdr:nvPicPr>
        <xdr:cNvPr id="7743" name="8549f096-1378-4d48-8ae5-f51bdebceb2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89ceb445eae4d3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7746</xdr:row>
      <xdr:rowOff>19050</xdr:rowOff>
    </xdr:from>
    <xdr:ext cx="1143000" cy="1143000"/>
    <xdr:pic>
      <xdr:nvPicPr>
        <xdr:cNvPr id="7744" name="4b1e54ec-507d-4c2a-bdaa-72327f8ac4f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268a4a0c69249a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7747</xdr:row>
      <xdr:rowOff>19050</xdr:rowOff>
    </xdr:from>
    <xdr:ext cx="1143000" cy="1143000"/>
    <xdr:pic>
      <xdr:nvPicPr>
        <xdr:cNvPr id="7745" name="cacc69b1-bfa6-4d3c-8c5e-d077426ee0d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bf316adce8f473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7748</xdr:row>
      <xdr:rowOff>19050</xdr:rowOff>
    </xdr:from>
    <xdr:ext cx="1143000" cy="1143000"/>
    <xdr:pic>
      <xdr:nvPicPr>
        <xdr:cNvPr id="7746" name="8faa15e5-b47b-4433-a3ab-71fc1dda4e5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e9b16e2842c43a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7749</xdr:row>
      <xdr:rowOff>19050</xdr:rowOff>
    </xdr:from>
    <xdr:ext cx="1143000" cy="1143000"/>
    <xdr:pic>
      <xdr:nvPicPr>
        <xdr:cNvPr id="7747" name="ff9a1051-deb1-4280-8d23-ada4033a07f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a7a60cdbe8d405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7750</xdr:row>
      <xdr:rowOff>19050</xdr:rowOff>
    </xdr:from>
    <xdr:ext cx="1143000" cy="1143000"/>
    <xdr:pic>
      <xdr:nvPicPr>
        <xdr:cNvPr id="7748" name="7f33f69f-d607-4f6d-9377-8680419e3fc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8c9f6da20e7481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7751</xdr:row>
      <xdr:rowOff>19050</xdr:rowOff>
    </xdr:from>
    <xdr:ext cx="1143000" cy="1143000"/>
    <xdr:pic>
      <xdr:nvPicPr>
        <xdr:cNvPr id="7749" name="18941263-8a75-4786-b640-5d7226f6792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b2dbbb30a7f45d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7752</xdr:row>
      <xdr:rowOff>19050</xdr:rowOff>
    </xdr:from>
    <xdr:ext cx="1143000" cy="1143000"/>
    <xdr:pic>
      <xdr:nvPicPr>
        <xdr:cNvPr id="7750" name="c489aa9b-301a-4895-8db6-661e85cb0f4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55d7a9add8b497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7753</xdr:row>
      <xdr:rowOff>19050</xdr:rowOff>
    </xdr:from>
    <xdr:ext cx="1143000" cy="1143000"/>
    <xdr:pic>
      <xdr:nvPicPr>
        <xdr:cNvPr id="7751" name="6ef18623-c1d3-400f-b5ba-ce82224563c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357473fdc1742c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7754</xdr:row>
      <xdr:rowOff>19050</xdr:rowOff>
    </xdr:from>
    <xdr:ext cx="1143000" cy="1143000"/>
    <xdr:pic>
      <xdr:nvPicPr>
        <xdr:cNvPr id="7752" name="60bb961b-5842-4a7e-8588-8732397b888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a2908e94325490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7755</xdr:row>
      <xdr:rowOff>19050</xdr:rowOff>
    </xdr:from>
    <xdr:ext cx="1143000" cy="1143000"/>
    <xdr:pic>
      <xdr:nvPicPr>
        <xdr:cNvPr id="7753" name="95877a8b-0a2b-4da9-ae67-ce59903712b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f3e44209d2942f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7756</xdr:row>
      <xdr:rowOff>19050</xdr:rowOff>
    </xdr:from>
    <xdr:ext cx="1143000" cy="1143000"/>
    <xdr:pic>
      <xdr:nvPicPr>
        <xdr:cNvPr id="7754" name="88b2eab3-f3a2-4750-9868-9f7d1d245b4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8d8a5a1f4d8416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7757</xdr:row>
      <xdr:rowOff>19050</xdr:rowOff>
    </xdr:from>
    <xdr:ext cx="1143000" cy="1143000"/>
    <xdr:pic>
      <xdr:nvPicPr>
        <xdr:cNvPr id="7755" name="1beecff0-e7c8-4108-bf75-d1e3197b0b7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01f52e3d2814d0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7758</xdr:row>
      <xdr:rowOff>19050</xdr:rowOff>
    </xdr:from>
    <xdr:ext cx="1143000" cy="1143000"/>
    <xdr:pic>
      <xdr:nvPicPr>
        <xdr:cNvPr id="7756" name="d6be36cf-4053-46cd-a3ff-22aa35bc49b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23e7f2786434b9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7759</xdr:row>
      <xdr:rowOff>19050</xdr:rowOff>
    </xdr:from>
    <xdr:ext cx="1143000" cy="1143000"/>
    <xdr:pic>
      <xdr:nvPicPr>
        <xdr:cNvPr id="7757" name="9592ef96-0cec-4ffd-bb45-c126734447c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f6085766bf74e2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7760</xdr:row>
      <xdr:rowOff>19050</xdr:rowOff>
    </xdr:from>
    <xdr:ext cx="1143000" cy="1143000"/>
    <xdr:pic>
      <xdr:nvPicPr>
        <xdr:cNvPr id="7758" name="e54a7208-92a9-4fd7-8275-aaf5719a242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c29b49e5bc24d1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7761</xdr:row>
      <xdr:rowOff>19050</xdr:rowOff>
    </xdr:from>
    <xdr:ext cx="1143000" cy="1143000"/>
    <xdr:pic>
      <xdr:nvPicPr>
        <xdr:cNvPr id="7759" name="ef99d561-6bfe-41b7-9c0d-0ee36d71e7d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7dc11be008b426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7762</xdr:row>
      <xdr:rowOff>19050</xdr:rowOff>
    </xdr:from>
    <xdr:ext cx="1143000" cy="1143000"/>
    <xdr:pic>
      <xdr:nvPicPr>
        <xdr:cNvPr id="7760" name="81fe80a0-aba0-444f-8f46-de5e4291778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6abbf732b17462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7763</xdr:row>
      <xdr:rowOff>19050</xdr:rowOff>
    </xdr:from>
    <xdr:ext cx="1143000" cy="1143000"/>
    <xdr:pic>
      <xdr:nvPicPr>
        <xdr:cNvPr id="7761" name="87a43589-418f-48f5-8b68-5b2c5d2d55b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c12297a8a8b4ac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7764</xdr:row>
      <xdr:rowOff>19050</xdr:rowOff>
    </xdr:from>
    <xdr:ext cx="1143000" cy="1143000"/>
    <xdr:pic>
      <xdr:nvPicPr>
        <xdr:cNvPr id="7762" name="647fa835-ea3c-48e1-9ccf-c366ee2e671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0b48f8c44ca492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7765</xdr:row>
      <xdr:rowOff>19050</xdr:rowOff>
    </xdr:from>
    <xdr:ext cx="1143000" cy="1143000"/>
    <xdr:pic>
      <xdr:nvPicPr>
        <xdr:cNvPr id="7763" name="cbef92b0-77b9-4831-9a3f-4be3838ec79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ccb55ccc9a64f3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7766</xdr:row>
      <xdr:rowOff>19050</xdr:rowOff>
    </xdr:from>
    <xdr:ext cx="1143000" cy="1143000"/>
    <xdr:pic>
      <xdr:nvPicPr>
        <xdr:cNvPr id="7764" name="ef279599-20a5-4ca8-9593-44cd36a6f48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b42156568d248a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7767</xdr:row>
      <xdr:rowOff>19050</xdr:rowOff>
    </xdr:from>
    <xdr:ext cx="1143000" cy="1143000"/>
    <xdr:pic>
      <xdr:nvPicPr>
        <xdr:cNvPr id="7765" name="3127939f-53d8-46f8-bb9a-8b4b1b6a1c9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8f1de63dac44b6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7768</xdr:row>
      <xdr:rowOff>19050</xdr:rowOff>
    </xdr:from>
    <xdr:ext cx="1143000" cy="1143000"/>
    <xdr:pic>
      <xdr:nvPicPr>
        <xdr:cNvPr id="7766" name="b3b0d4c3-b74b-4261-9ee5-86d585d9769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6b21b63c2d547f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7769</xdr:row>
      <xdr:rowOff>19050</xdr:rowOff>
    </xdr:from>
    <xdr:ext cx="1143000" cy="1143000"/>
    <xdr:pic>
      <xdr:nvPicPr>
        <xdr:cNvPr id="7767" name="954c3891-a346-4d56-8aa0-07f7277d2e4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687bb5aa51a420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7770</xdr:row>
      <xdr:rowOff>19050</xdr:rowOff>
    </xdr:from>
    <xdr:ext cx="1143000" cy="1143000"/>
    <xdr:pic>
      <xdr:nvPicPr>
        <xdr:cNvPr id="7768" name="46d380ab-53da-4782-a95f-009d6239f66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e29a9f844ec496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7771</xdr:row>
      <xdr:rowOff>19050</xdr:rowOff>
    </xdr:from>
    <xdr:ext cx="1143000" cy="1143000"/>
    <xdr:pic>
      <xdr:nvPicPr>
        <xdr:cNvPr id="7769" name="79ea17b2-e823-4f08-836e-9a0d0723809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3f44a7425584aa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7772</xdr:row>
      <xdr:rowOff>19050</xdr:rowOff>
    </xdr:from>
    <xdr:ext cx="1143000" cy="1143000"/>
    <xdr:pic>
      <xdr:nvPicPr>
        <xdr:cNvPr id="7770" name="ed9a2481-b9e1-478f-83b6-e3caac572e8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85434b7d8f340c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7773</xdr:row>
      <xdr:rowOff>19050</xdr:rowOff>
    </xdr:from>
    <xdr:ext cx="1143000" cy="1143000"/>
    <xdr:pic>
      <xdr:nvPicPr>
        <xdr:cNvPr id="7771" name="67651321-3f27-4b4a-aa44-988311aee98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fb7b54f023640b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7774</xdr:row>
      <xdr:rowOff>19050</xdr:rowOff>
    </xdr:from>
    <xdr:ext cx="1143000" cy="1143000"/>
    <xdr:pic>
      <xdr:nvPicPr>
        <xdr:cNvPr id="7772" name="5e8a7d99-8240-497c-814a-08d72164857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b7f020de4764d7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7775</xdr:row>
      <xdr:rowOff>19050</xdr:rowOff>
    </xdr:from>
    <xdr:ext cx="1143000" cy="1143000"/>
    <xdr:pic>
      <xdr:nvPicPr>
        <xdr:cNvPr id="7773" name="355acebd-46f4-4160-9103-a447a364159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0540108d5cb4fe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7776</xdr:row>
      <xdr:rowOff>19050</xdr:rowOff>
    </xdr:from>
    <xdr:ext cx="1143000" cy="1143000"/>
    <xdr:pic>
      <xdr:nvPicPr>
        <xdr:cNvPr id="7774" name="7785d00a-5c03-46f7-8a92-8b0a9f3ce10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aa17da068d945a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7777</xdr:row>
      <xdr:rowOff>19050</xdr:rowOff>
    </xdr:from>
    <xdr:ext cx="1143000" cy="1143000"/>
    <xdr:pic>
      <xdr:nvPicPr>
        <xdr:cNvPr id="7775" name="a003c9dd-d880-41bc-92f9-91ec89bb0c0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a2a1defd0994b6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7778</xdr:row>
      <xdr:rowOff>19050</xdr:rowOff>
    </xdr:from>
    <xdr:ext cx="1143000" cy="1143000"/>
    <xdr:pic>
      <xdr:nvPicPr>
        <xdr:cNvPr id="7776" name="10b468dc-5654-4601-8cec-c432515e359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50400f86d23498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7779</xdr:row>
      <xdr:rowOff>19050</xdr:rowOff>
    </xdr:from>
    <xdr:ext cx="1143000" cy="1143000"/>
    <xdr:pic>
      <xdr:nvPicPr>
        <xdr:cNvPr id="7777" name="92880a89-857d-45a6-a015-56b64be52f4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d7f1d52c9aa474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7780</xdr:row>
      <xdr:rowOff>19050</xdr:rowOff>
    </xdr:from>
    <xdr:ext cx="1143000" cy="1143000"/>
    <xdr:pic>
      <xdr:nvPicPr>
        <xdr:cNvPr id="7778" name="22dfdce3-ffd6-402f-97b6-35441f47a4d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d29151fa8ac402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7781</xdr:row>
      <xdr:rowOff>19050</xdr:rowOff>
    </xdr:from>
    <xdr:ext cx="1143000" cy="1143000"/>
    <xdr:pic>
      <xdr:nvPicPr>
        <xdr:cNvPr id="7779" name="8d633a17-5b66-40c4-a82c-3979f69f061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29e6275bacf4cf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7782</xdr:row>
      <xdr:rowOff>19050</xdr:rowOff>
    </xdr:from>
    <xdr:ext cx="1143000" cy="1143000"/>
    <xdr:pic>
      <xdr:nvPicPr>
        <xdr:cNvPr id="7780" name="5bf3b1e9-17e2-44a6-aa59-9073eed4664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763b65699a8460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7783</xdr:row>
      <xdr:rowOff>19050</xdr:rowOff>
    </xdr:from>
    <xdr:ext cx="1143000" cy="1143000"/>
    <xdr:pic>
      <xdr:nvPicPr>
        <xdr:cNvPr id="7781" name="c4846ca0-57ed-401b-98de-89cdfc85efc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2a4e9e6a34a410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7784</xdr:row>
      <xdr:rowOff>19050</xdr:rowOff>
    </xdr:from>
    <xdr:ext cx="1143000" cy="1143000"/>
    <xdr:pic>
      <xdr:nvPicPr>
        <xdr:cNvPr id="7782" name="68a3ebd9-af41-4152-9acc-18a76d9372b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55e31ab339b44c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7785</xdr:row>
      <xdr:rowOff>19050</xdr:rowOff>
    </xdr:from>
    <xdr:ext cx="1143000" cy="1143000"/>
    <xdr:pic>
      <xdr:nvPicPr>
        <xdr:cNvPr id="7783" name="62c24e29-ff56-47a2-b011-b741315203b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c32092a8147405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7786</xdr:row>
      <xdr:rowOff>19050</xdr:rowOff>
    </xdr:from>
    <xdr:ext cx="1143000" cy="1143000"/>
    <xdr:pic>
      <xdr:nvPicPr>
        <xdr:cNvPr id="7784" name="ac12c3a1-aadf-4fde-8f25-0999c7e5d8f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a990cc3cd0f4bc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7787</xdr:row>
      <xdr:rowOff>19050</xdr:rowOff>
    </xdr:from>
    <xdr:ext cx="1143000" cy="1143000"/>
    <xdr:pic>
      <xdr:nvPicPr>
        <xdr:cNvPr id="7785" name="3cff0074-32f6-4e37-b63d-ed88fe52026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7f13116e141456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7788</xdr:row>
      <xdr:rowOff>19050</xdr:rowOff>
    </xdr:from>
    <xdr:ext cx="1143000" cy="1143000"/>
    <xdr:pic>
      <xdr:nvPicPr>
        <xdr:cNvPr id="7786" name="56772735-5cdf-485d-a8bb-1eefdb0a31e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64170e58ce44ce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7789</xdr:row>
      <xdr:rowOff>19050</xdr:rowOff>
    </xdr:from>
    <xdr:ext cx="1143000" cy="1143000"/>
    <xdr:pic>
      <xdr:nvPicPr>
        <xdr:cNvPr id="7787" name="b26d8620-51ab-46b4-a03e-3ff88a370e2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6252f8edb79470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7790</xdr:row>
      <xdr:rowOff>19050</xdr:rowOff>
    </xdr:from>
    <xdr:ext cx="1143000" cy="1143000"/>
    <xdr:pic>
      <xdr:nvPicPr>
        <xdr:cNvPr id="7788" name="892a1873-75b1-465c-a541-9e532da7884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5164993331d459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7791</xdr:row>
      <xdr:rowOff>19050</xdr:rowOff>
    </xdr:from>
    <xdr:ext cx="1143000" cy="1143000"/>
    <xdr:pic>
      <xdr:nvPicPr>
        <xdr:cNvPr id="7789" name="7a61ec40-ba67-4244-a526-1cc6e8aabcb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759d69ea355453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7792</xdr:row>
      <xdr:rowOff>19050</xdr:rowOff>
    </xdr:from>
    <xdr:ext cx="1143000" cy="1143000"/>
    <xdr:pic>
      <xdr:nvPicPr>
        <xdr:cNvPr id="7790" name="55f59eeb-7a81-4f00-9bab-975f6e45931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636b6b6a284412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7793</xdr:row>
      <xdr:rowOff>19050</xdr:rowOff>
    </xdr:from>
    <xdr:ext cx="1143000" cy="1143000"/>
    <xdr:pic>
      <xdr:nvPicPr>
        <xdr:cNvPr id="7791" name="4a9afaeb-30fd-4eb3-a0c0-92449edf7fb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4077667a08d4c9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7794</xdr:row>
      <xdr:rowOff>19050</xdr:rowOff>
    </xdr:from>
    <xdr:ext cx="1143000" cy="1143000"/>
    <xdr:pic>
      <xdr:nvPicPr>
        <xdr:cNvPr id="7792" name="fa12c4f3-d8af-4543-8b14-ef846844997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147e7d2a6cf4ff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7795</xdr:row>
      <xdr:rowOff>19050</xdr:rowOff>
    </xdr:from>
    <xdr:ext cx="1143000" cy="1143000"/>
    <xdr:pic>
      <xdr:nvPicPr>
        <xdr:cNvPr id="7793" name="0d300be1-625b-4677-a4a0-ee723cd5679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a76cd535cc84d6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7796</xdr:row>
      <xdr:rowOff>19050</xdr:rowOff>
    </xdr:from>
    <xdr:ext cx="1143000" cy="1143000"/>
    <xdr:pic>
      <xdr:nvPicPr>
        <xdr:cNvPr id="7794" name="e5fb689f-d090-4225-95e6-7c8c8e9e774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1f0edc9f173419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7797</xdr:row>
      <xdr:rowOff>19050</xdr:rowOff>
    </xdr:from>
    <xdr:ext cx="1143000" cy="1143000"/>
    <xdr:pic>
      <xdr:nvPicPr>
        <xdr:cNvPr id="7795" name="713cd12f-1287-4c75-88e7-c0b6ddd5a93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7676387c6e6494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7798</xdr:row>
      <xdr:rowOff>19050</xdr:rowOff>
    </xdr:from>
    <xdr:ext cx="1143000" cy="1143000"/>
    <xdr:pic>
      <xdr:nvPicPr>
        <xdr:cNvPr id="7796" name="6288192d-908a-45e4-a31a-a237bc64ffe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6aa8c301d8c482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7799</xdr:row>
      <xdr:rowOff>19050</xdr:rowOff>
    </xdr:from>
    <xdr:ext cx="1143000" cy="1143000"/>
    <xdr:pic>
      <xdr:nvPicPr>
        <xdr:cNvPr id="7797" name="50222922-d50b-4d2f-92c7-5a1e0354399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b89f72e1f88440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7800</xdr:row>
      <xdr:rowOff>19050</xdr:rowOff>
    </xdr:from>
    <xdr:ext cx="1143000" cy="1143000"/>
    <xdr:pic>
      <xdr:nvPicPr>
        <xdr:cNvPr id="7798" name="1b945617-7aa4-4156-9a47-6123584c8ff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14379ff413a476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7801</xdr:row>
      <xdr:rowOff>19050</xdr:rowOff>
    </xdr:from>
    <xdr:ext cx="1143000" cy="1143000"/>
    <xdr:pic>
      <xdr:nvPicPr>
        <xdr:cNvPr id="7799" name="79537fee-c765-4a26-b822-ee11cd8dcdd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a681ddfa8ed4d9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7802</xdr:row>
      <xdr:rowOff>19050</xdr:rowOff>
    </xdr:from>
    <xdr:ext cx="1143000" cy="1143000"/>
    <xdr:pic>
      <xdr:nvPicPr>
        <xdr:cNvPr id="7800" name="d6227272-3cee-4681-860b-2b8b73fcd67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20f8fa538ea483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7803</xdr:row>
      <xdr:rowOff>19050</xdr:rowOff>
    </xdr:from>
    <xdr:ext cx="1143000" cy="1143000"/>
    <xdr:pic>
      <xdr:nvPicPr>
        <xdr:cNvPr id="7801" name="1ed71b85-e2de-4b2a-a65f-6bc77cac63f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fe0d687d14c48d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7804</xdr:row>
      <xdr:rowOff>19050</xdr:rowOff>
    </xdr:from>
    <xdr:ext cx="1143000" cy="1143000"/>
    <xdr:pic>
      <xdr:nvPicPr>
        <xdr:cNvPr id="7802" name="42323586-e09a-4f62-b4dd-eaf53d7b20a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dc68b4e5d0a484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7805</xdr:row>
      <xdr:rowOff>19050</xdr:rowOff>
    </xdr:from>
    <xdr:ext cx="1143000" cy="1143000"/>
    <xdr:pic>
      <xdr:nvPicPr>
        <xdr:cNvPr id="7803" name="72debe72-f94a-4b3b-a6ce-e19dbaf7fa6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7ac0fa8a14042f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7806</xdr:row>
      <xdr:rowOff>19050</xdr:rowOff>
    </xdr:from>
    <xdr:ext cx="1143000" cy="1143000"/>
    <xdr:pic>
      <xdr:nvPicPr>
        <xdr:cNvPr id="7804" name="1b63444b-aad7-4eba-92e4-6550057d846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e8adba81b88473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7807</xdr:row>
      <xdr:rowOff>19050</xdr:rowOff>
    </xdr:from>
    <xdr:ext cx="1143000" cy="1143000"/>
    <xdr:pic>
      <xdr:nvPicPr>
        <xdr:cNvPr id="7805" name="ac67a42d-9cec-40de-87f6-3327dbc9f84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3f14af8bc654eb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7808</xdr:row>
      <xdr:rowOff>19050</xdr:rowOff>
    </xdr:from>
    <xdr:ext cx="1143000" cy="1143000"/>
    <xdr:pic>
      <xdr:nvPicPr>
        <xdr:cNvPr id="7806" name="cba82565-e7f3-4f82-8cdb-bda3efb9b78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b901ee9ba0b41f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7809</xdr:row>
      <xdr:rowOff>19050</xdr:rowOff>
    </xdr:from>
    <xdr:ext cx="1143000" cy="1143000"/>
    <xdr:pic>
      <xdr:nvPicPr>
        <xdr:cNvPr id="7807" name="40eb9aa1-dda1-483d-b07b-ac35c70ac64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4aa84ca2d2c4d0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7810</xdr:row>
      <xdr:rowOff>19050</xdr:rowOff>
    </xdr:from>
    <xdr:ext cx="1143000" cy="1143000"/>
    <xdr:pic>
      <xdr:nvPicPr>
        <xdr:cNvPr id="7808" name="ee7ab95b-a388-41ff-8dc6-8ac9e893340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56f800e0d20419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7811</xdr:row>
      <xdr:rowOff>19050</xdr:rowOff>
    </xdr:from>
    <xdr:ext cx="1143000" cy="1143000"/>
    <xdr:pic>
      <xdr:nvPicPr>
        <xdr:cNvPr id="7809" name="a1edc386-1126-4c69-8617-597fa2b5751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f4bbe5b89e64e0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7812</xdr:row>
      <xdr:rowOff>19050</xdr:rowOff>
    </xdr:from>
    <xdr:ext cx="1143000" cy="1143000"/>
    <xdr:pic>
      <xdr:nvPicPr>
        <xdr:cNvPr id="7810" name="149d1a8f-5bcb-4fb5-b3e0-9113c817f58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6b66a23e86a462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7813</xdr:row>
      <xdr:rowOff>19050</xdr:rowOff>
    </xdr:from>
    <xdr:ext cx="1143000" cy="1143000"/>
    <xdr:pic>
      <xdr:nvPicPr>
        <xdr:cNvPr id="7811" name="fc8082ed-ed01-45e9-92fd-9f10c37dbe1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c6700607e95491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7814</xdr:row>
      <xdr:rowOff>19050</xdr:rowOff>
    </xdr:from>
    <xdr:ext cx="1143000" cy="1143000"/>
    <xdr:pic>
      <xdr:nvPicPr>
        <xdr:cNvPr id="7812" name="a8f28700-282c-469e-940b-e3790828e0b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1458779cb36401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7815</xdr:row>
      <xdr:rowOff>19050</xdr:rowOff>
    </xdr:from>
    <xdr:ext cx="1143000" cy="1143000"/>
    <xdr:pic>
      <xdr:nvPicPr>
        <xdr:cNvPr id="7813" name="82f396fd-d7fc-414a-95c0-d62ee868263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6e0ecdeebd547b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7816</xdr:row>
      <xdr:rowOff>19050</xdr:rowOff>
    </xdr:from>
    <xdr:ext cx="1143000" cy="1143000"/>
    <xdr:pic>
      <xdr:nvPicPr>
        <xdr:cNvPr id="7814" name="e66b2a22-5273-4b79-ab87-7eda7363f87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c687800206947f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7817</xdr:row>
      <xdr:rowOff>19050</xdr:rowOff>
    </xdr:from>
    <xdr:ext cx="1143000" cy="1143000"/>
    <xdr:pic>
      <xdr:nvPicPr>
        <xdr:cNvPr id="7815" name="d31053bb-d9fc-4f49-b720-49ccca3a76c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706ca1cf5fe448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7818</xdr:row>
      <xdr:rowOff>19050</xdr:rowOff>
    </xdr:from>
    <xdr:ext cx="1143000" cy="1143000"/>
    <xdr:pic>
      <xdr:nvPicPr>
        <xdr:cNvPr id="7816" name="ab8b5b4a-857c-44f4-a7ee-e282be5acb1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52718b9d75f45b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7819</xdr:row>
      <xdr:rowOff>19050</xdr:rowOff>
    </xdr:from>
    <xdr:ext cx="1143000" cy="1143000"/>
    <xdr:pic>
      <xdr:nvPicPr>
        <xdr:cNvPr id="7817" name="8a891f2b-affd-402d-849a-42c50df5da9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3df6d39fc0c4b7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7820</xdr:row>
      <xdr:rowOff>19050</xdr:rowOff>
    </xdr:from>
    <xdr:ext cx="1143000" cy="1143000"/>
    <xdr:pic>
      <xdr:nvPicPr>
        <xdr:cNvPr id="7818" name="3836ef94-3eab-43f8-bf2b-0a869e8d6df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ffa011d10b4441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7821</xdr:row>
      <xdr:rowOff>19050</xdr:rowOff>
    </xdr:from>
    <xdr:ext cx="1143000" cy="1143000"/>
    <xdr:pic>
      <xdr:nvPicPr>
        <xdr:cNvPr id="7819" name="42680201-8bd7-43e5-be20-9ecf9a01432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5d6b108c768499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7822</xdr:row>
      <xdr:rowOff>19050</xdr:rowOff>
    </xdr:from>
    <xdr:ext cx="1143000" cy="1143000"/>
    <xdr:pic>
      <xdr:nvPicPr>
        <xdr:cNvPr id="7820" name="a54d507e-44ca-4324-8694-3ac4ff0ab57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4ef7432733c4ba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7823</xdr:row>
      <xdr:rowOff>19050</xdr:rowOff>
    </xdr:from>
    <xdr:ext cx="1143000" cy="1143000"/>
    <xdr:pic>
      <xdr:nvPicPr>
        <xdr:cNvPr id="7821" name="4eef1d6f-a5b0-404a-94e7-bb09901786c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317ba5be5644ad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7824</xdr:row>
      <xdr:rowOff>19050</xdr:rowOff>
    </xdr:from>
    <xdr:ext cx="1143000" cy="1143000"/>
    <xdr:pic>
      <xdr:nvPicPr>
        <xdr:cNvPr id="7822" name="5b487496-8032-43bc-8b78-1e606fc4d46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787498b2d99475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7825</xdr:row>
      <xdr:rowOff>19050</xdr:rowOff>
    </xdr:from>
    <xdr:ext cx="1143000" cy="1143000"/>
    <xdr:pic>
      <xdr:nvPicPr>
        <xdr:cNvPr id="7823" name="a7bf9c24-e385-49fa-a730-92950ab0265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bfa8b03e43c418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7826</xdr:row>
      <xdr:rowOff>19050</xdr:rowOff>
    </xdr:from>
    <xdr:ext cx="1143000" cy="1143000"/>
    <xdr:pic>
      <xdr:nvPicPr>
        <xdr:cNvPr id="7824" name="94d2db6b-57ef-4e05-b36d-c45a231b659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30e1f9589054da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7827</xdr:row>
      <xdr:rowOff>19050</xdr:rowOff>
    </xdr:from>
    <xdr:ext cx="1143000" cy="1143000"/>
    <xdr:pic>
      <xdr:nvPicPr>
        <xdr:cNvPr id="7825" name="da17287a-9d50-4d29-bfc8-27fe24dbf23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6c5a12920ab423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7828</xdr:row>
      <xdr:rowOff>19050</xdr:rowOff>
    </xdr:from>
    <xdr:ext cx="1143000" cy="1143000"/>
    <xdr:pic>
      <xdr:nvPicPr>
        <xdr:cNvPr id="7826" name="ab153a44-428d-48b2-ad82-be3b2a7bc2b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4f5288f25a2490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7829</xdr:row>
      <xdr:rowOff>19050</xdr:rowOff>
    </xdr:from>
    <xdr:ext cx="1143000" cy="1143000"/>
    <xdr:pic>
      <xdr:nvPicPr>
        <xdr:cNvPr id="7827" name="b7a67629-7171-4b87-bb37-63385c1d5c9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dc8c4314de04d8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7830</xdr:row>
      <xdr:rowOff>19050</xdr:rowOff>
    </xdr:from>
    <xdr:ext cx="1143000" cy="1143000"/>
    <xdr:pic>
      <xdr:nvPicPr>
        <xdr:cNvPr id="7828" name="2e39f890-8bcd-4b62-80b0-3165330b22d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19b83c1d1c1439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7831</xdr:row>
      <xdr:rowOff>19050</xdr:rowOff>
    </xdr:from>
    <xdr:ext cx="1143000" cy="1143000"/>
    <xdr:pic>
      <xdr:nvPicPr>
        <xdr:cNvPr id="7829" name="8f7fdded-7b38-40a9-bc26-ccb661ffff3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e3bce1d302a434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7832</xdr:row>
      <xdr:rowOff>19050</xdr:rowOff>
    </xdr:from>
    <xdr:ext cx="1143000" cy="1143000"/>
    <xdr:pic>
      <xdr:nvPicPr>
        <xdr:cNvPr id="7830" name="0ccc9732-36b5-46f6-9dcb-974038b9d0b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813a22787e7477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7833</xdr:row>
      <xdr:rowOff>19050</xdr:rowOff>
    </xdr:from>
    <xdr:ext cx="1143000" cy="1143000"/>
    <xdr:pic>
      <xdr:nvPicPr>
        <xdr:cNvPr id="7831" name="05f65de2-c11f-4dae-b383-8dd7dbf06d8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1b3c4d912974d6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7834</xdr:row>
      <xdr:rowOff>19050</xdr:rowOff>
    </xdr:from>
    <xdr:ext cx="1143000" cy="1143000"/>
    <xdr:pic>
      <xdr:nvPicPr>
        <xdr:cNvPr id="7832" name="0b5922c6-1a46-4f17-875c-852b345d335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df2909dba644ee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7835</xdr:row>
      <xdr:rowOff>19050</xdr:rowOff>
    </xdr:from>
    <xdr:ext cx="1143000" cy="1143000"/>
    <xdr:pic>
      <xdr:nvPicPr>
        <xdr:cNvPr id="7833" name="4c44adf4-680c-40ac-bcd2-85f3e1577d1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4b0ed63139a4db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7836</xdr:row>
      <xdr:rowOff>19050</xdr:rowOff>
    </xdr:from>
    <xdr:ext cx="1143000" cy="1143000"/>
    <xdr:pic>
      <xdr:nvPicPr>
        <xdr:cNvPr id="7834" name="6930a177-df8a-47eb-a2c2-601cc2250af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de40522525647b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7837</xdr:row>
      <xdr:rowOff>19050</xdr:rowOff>
    </xdr:from>
    <xdr:ext cx="1143000" cy="1143000"/>
    <xdr:pic>
      <xdr:nvPicPr>
        <xdr:cNvPr id="7835" name="851139d4-5b3d-4fe7-b986-7c642c3800c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eb3166cb6be4fc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7838</xdr:row>
      <xdr:rowOff>19050</xdr:rowOff>
    </xdr:from>
    <xdr:ext cx="1143000" cy="1143000"/>
    <xdr:pic>
      <xdr:nvPicPr>
        <xdr:cNvPr id="7836" name="bb9c6603-9895-457f-8bfb-96c8024457d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5b75374624d42a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7839</xdr:row>
      <xdr:rowOff>19050</xdr:rowOff>
    </xdr:from>
    <xdr:ext cx="1143000" cy="1143000"/>
    <xdr:pic>
      <xdr:nvPicPr>
        <xdr:cNvPr id="7837" name="dd6fface-1a02-471e-84dd-41c7b6dda23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463813d38b84e5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7840</xdr:row>
      <xdr:rowOff>19050</xdr:rowOff>
    </xdr:from>
    <xdr:ext cx="1143000" cy="1143000"/>
    <xdr:pic>
      <xdr:nvPicPr>
        <xdr:cNvPr id="7838" name="4cbed13f-5e7e-4783-affc-d332214715a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32d8b58aac0491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7841</xdr:row>
      <xdr:rowOff>19050</xdr:rowOff>
    </xdr:from>
    <xdr:ext cx="1143000" cy="1143000"/>
    <xdr:pic>
      <xdr:nvPicPr>
        <xdr:cNvPr id="7839" name="ebee6359-a3ac-4b14-9810-7596946d9f8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111ce9cec47406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7842</xdr:row>
      <xdr:rowOff>19050</xdr:rowOff>
    </xdr:from>
    <xdr:ext cx="1143000" cy="1143000"/>
    <xdr:pic>
      <xdr:nvPicPr>
        <xdr:cNvPr id="7840" name="118f9f16-8ab3-4ce3-9592-17db99cc9ac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9e7823e93614b9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7843</xdr:row>
      <xdr:rowOff>19050</xdr:rowOff>
    </xdr:from>
    <xdr:ext cx="1143000" cy="1143000"/>
    <xdr:pic>
      <xdr:nvPicPr>
        <xdr:cNvPr id="7841" name="9676b698-a38c-4930-af41-c04504d2bba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5fe580e21784a9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7844</xdr:row>
      <xdr:rowOff>19050</xdr:rowOff>
    </xdr:from>
    <xdr:ext cx="1143000" cy="1143000"/>
    <xdr:pic>
      <xdr:nvPicPr>
        <xdr:cNvPr id="7842" name="a02f82cd-a2f0-464f-851d-9ef2476f510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d3dfd20a254486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7845</xdr:row>
      <xdr:rowOff>19050</xdr:rowOff>
    </xdr:from>
    <xdr:ext cx="1143000" cy="1143000"/>
    <xdr:pic>
      <xdr:nvPicPr>
        <xdr:cNvPr id="7843" name="e8460f21-d5dc-4350-87a1-98eca1adb17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8948547860343c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7846</xdr:row>
      <xdr:rowOff>19050</xdr:rowOff>
    </xdr:from>
    <xdr:ext cx="1143000" cy="1143000"/>
    <xdr:pic>
      <xdr:nvPicPr>
        <xdr:cNvPr id="7844" name="1b7bda02-60c1-492a-85c5-188ecef154e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f929b02b7534a9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7847</xdr:row>
      <xdr:rowOff>19050</xdr:rowOff>
    </xdr:from>
    <xdr:ext cx="1143000" cy="1143000"/>
    <xdr:pic>
      <xdr:nvPicPr>
        <xdr:cNvPr id="7845" name="ef4a778b-1405-457b-9864-9cd673950e4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bd36cd8c0234ff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7848</xdr:row>
      <xdr:rowOff>19050</xdr:rowOff>
    </xdr:from>
    <xdr:ext cx="1143000" cy="1143000"/>
    <xdr:pic>
      <xdr:nvPicPr>
        <xdr:cNvPr id="7846" name="a7c12130-ddc2-4f1a-a3d3-adb13df0066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80b3b4f2df7470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7849</xdr:row>
      <xdr:rowOff>19050</xdr:rowOff>
    </xdr:from>
    <xdr:ext cx="1143000" cy="1143000"/>
    <xdr:pic>
      <xdr:nvPicPr>
        <xdr:cNvPr id="7847" name="8a660c21-2a72-49a5-a1aa-7edd209fd77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43d9e3285f6443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7850</xdr:row>
      <xdr:rowOff>19050</xdr:rowOff>
    </xdr:from>
    <xdr:ext cx="1143000" cy="1143000"/>
    <xdr:pic>
      <xdr:nvPicPr>
        <xdr:cNvPr id="7848" name="4fefb78c-6235-4011-aae7-b1288f90530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aa957b856374e9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7851</xdr:row>
      <xdr:rowOff>19050</xdr:rowOff>
    </xdr:from>
    <xdr:ext cx="1143000" cy="1143000"/>
    <xdr:pic>
      <xdr:nvPicPr>
        <xdr:cNvPr id="7849" name="86d8254c-0e9e-4b28-80da-8e1240e2488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a75cc976e86497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7852</xdr:row>
      <xdr:rowOff>19050</xdr:rowOff>
    </xdr:from>
    <xdr:ext cx="1143000" cy="1143000"/>
    <xdr:pic>
      <xdr:nvPicPr>
        <xdr:cNvPr id="7850" name="4dafdc87-9754-4f82-8a5c-264f919a7d5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ad039a1f4df49d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7853</xdr:row>
      <xdr:rowOff>19050</xdr:rowOff>
    </xdr:from>
    <xdr:ext cx="1143000" cy="1143000"/>
    <xdr:pic>
      <xdr:nvPicPr>
        <xdr:cNvPr id="7851" name="1ee085ab-148a-4768-8210-786bf8374d6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b856847dd5045c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7854</xdr:row>
      <xdr:rowOff>19050</xdr:rowOff>
    </xdr:from>
    <xdr:ext cx="1143000" cy="1143000"/>
    <xdr:pic>
      <xdr:nvPicPr>
        <xdr:cNvPr id="7852" name="ad03f1b5-8e11-4fa6-9310-f65e4db40c5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7f7080c7068455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7855</xdr:row>
      <xdr:rowOff>19050</xdr:rowOff>
    </xdr:from>
    <xdr:ext cx="1143000" cy="1143000"/>
    <xdr:pic>
      <xdr:nvPicPr>
        <xdr:cNvPr id="7853" name="6274d355-6816-499a-b951-ae4527b9a92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ae42ec8fb6d44c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7856</xdr:row>
      <xdr:rowOff>19050</xdr:rowOff>
    </xdr:from>
    <xdr:ext cx="1143000" cy="1143000"/>
    <xdr:pic>
      <xdr:nvPicPr>
        <xdr:cNvPr id="7854" name="391acec2-ed1a-48b4-91e3-ffdf0a2cfff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4034396673e46a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7857</xdr:row>
      <xdr:rowOff>19050</xdr:rowOff>
    </xdr:from>
    <xdr:ext cx="1143000" cy="1143000"/>
    <xdr:pic>
      <xdr:nvPicPr>
        <xdr:cNvPr id="7855" name="2cd2173c-ab18-4b46-8220-7f61a2d3a00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71e8e1c96094aa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7858</xdr:row>
      <xdr:rowOff>19050</xdr:rowOff>
    </xdr:from>
    <xdr:ext cx="1143000" cy="1143000"/>
    <xdr:pic>
      <xdr:nvPicPr>
        <xdr:cNvPr id="7856" name="1d007bfc-a7f1-42f1-9642-7b078d17b8d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4c445155527478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7859</xdr:row>
      <xdr:rowOff>19050</xdr:rowOff>
    </xdr:from>
    <xdr:ext cx="1143000" cy="1143000"/>
    <xdr:pic>
      <xdr:nvPicPr>
        <xdr:cNvPr id="7857" name="ed762bb3-1938-4bc2-af0e-71e4fbd89b1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c2fd6a49e2f484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7860</xdr:row>
      <xdr:rowOff>19050</xdr:rowOff>
    </xdr:from>
    <xdr:ext cx="1143000" cy="1143000"/>
    <xdr:pic>
      <xdr:nvPicPr>
        <xdr:cNvPr id="7858" name="d4243e0b-c0cf-411d-b0d7-99b44307241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f6f1f0dc32447d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7861</xdr:row>
      <xdr:rowOff>19050</xdr:rowOff>
    </xdr:from>
    <xdr:ext cx="1143000" cy="1143000"/>
    <xdr:pic>
      <xdr:nvPicPr>
        <xdr:cNvPr id="7859" name="85cdf22e-e9a9-48ea-a12e-cc03a646d79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7ac0fd9020c410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7862</xdr:row>
      <xdr:rowOff>19050</xdr:rowOff>
    </xdr:from>
    <xdr:ext cx="1143000" cy="1143000"/>
    <xdr:pic>
      <xdr:nvPicPr>
        <xdr:cNvPr id="7860" name="9d49f8c0-cf2e-4ec4-bae5-4633c82f8d4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6056aca8813405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7863</xdr:row>
      <xdr:rowOff>19050</xdr:rowOff>
    </xdr:from>
    <xdr:ext cx="1143000" cy="1143000"/>
    <xdr:pic>
      <xdr:nvPicPr>
        <xdr:cNvPr id="7861" name="9855a193-03fe-4065-b514-fdb38ef7ac0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cac97a999a34c8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7864</xdr:row>
      <xdr:rowOff>19050</xdr:rowOff>
    </xdr:from>
    <xdr:ext cx="1143000" cy="1143000"/>
    <xdr:pic>
      <xdr:nvPicPr>
        <xdr:cNvPr id="7862" name="d98464b9-9f48-48a1-8df7-ec9b7a96b57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6297cf30d4241e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7865</xdr:row>
      <xdr:rowOff>19050</xdr:rowOff>
    </xdr:from>
    <xdr:ext cx="1143000" cy="1143000"/>
    <xdr:pic>
      <xdr:nvPicPr>
        <xdr:cNvPr id="7863" name="8fac5165-74cc-47ee-9503-fdfef496afa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5f4aa081c38456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7866</xdr:row>
      <xdr:rowOff>19050</xdr:rowOff>
    </xdr:from>
    <xdr:ext cx="1143000" cy="1143000"/>
    <xdr:pic>
      <xdr:nvPicPr>
        <xdr:cNvPr id="7864" name="e308429c-e00f-4471-baf1-02c5c7f7f06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ee9257755b1419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7867</xdr:row>
      <xdr:rowOff>19050</xdr:rowOff>
    </xdr:from>
    <xdr:ext cx="1143000" cy="1143000"/>
    <xdr:pic>
      <xdr:nvPicPr>
        <xdr:cNvPr id="7865" name="88276150-7dac-4885-be9b-f74b470f2d1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c7093da4d01489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7868</xdr:row>
      <xdr:rowOff>19050</xdr:rowOff>
    </xdr:from>
    <xdr:ext cx="1143000" cy="1143000"/>
    <xdr:pic>
      <xdr:nvPicPr>
        <xdr:cNvPr id="7866" name="fcd0ffac-25b5-4ef5-80af-4f56aabf958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78f287d78c0458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7869</xdr:row>
      <xdr:rowOff>19050</xdr:rowOff>
    </xdr:from>
    <xdr:ext cx="1143000" cy="1143000"/>
    <xdr:pic>
      <xdr:nvPicPr>
        <xdr:cNvPr id="7867" name="3dece28d-ecc3-4725-86b5-8264c30b130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3db9c16ca07431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7870</xdr:row>
      <xdr:rowOff>19050</xdr:rowOff>
    </xdr:from>
    <xdr:ext cx="1143000" cy="1143000"/>
    <xdr:pic>
      <xdr:nvPicPr>
        <xdr:cNvPr id="7868" name="704fa88e-17de-4198-bf7a-2a65121eec2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095247884a347c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7871</xdr:row>
      <xdr:rowOff>19050</xdr:rowOff>
    </xdr:from>
    <xdr:ext cx="1143000" cy="1143000"/>
    <xdr:pic>
      <xdr:nvPicPr>
        <xdr:cNvPr id="7869" name="c48b3760-2816-4c50-9bcd-4739786f663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a56a283f5534a4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7872</xdr:row>
      <xdr:rowOff>19050</xdr:rowOff>
    </xdr:from>
    <xdr:ext cx="1143000" cy="1143000"/>
    <xdr:pic>
      <xdr:nvPicPr>
        <xdr:cNvPr id="7870" name="bd2636bc-c3c8-4b14-a748-d9fbe7592c8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e411548565445d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7873</xdr:row>
      <xdr:rowOff>19050</xdr:rowOff>
    </xdr:from>
    <xdr:ext cx="1143000" cy="1143000"/>
    <xdr:pic>
      <xdr:nvPicPr>
        <xdr:cNvPr id="7871" name="d34f7c40-6b50-4eed-892c-1718e3e3e55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8500aabd36f4cd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7874</xdr:row>
      <xdr:rowOff>19050</xdr:rowOff>
    </xdr:from>
    <xdr:ext cx="1143000" cy="1143000"/>
    <xdr:pic>
      <xdr:nvPicPr>
        <xdr:cNvPr id="7872" name="9d671a67-08f0-4d57-91f0-1dae21d8896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57d116043c34f5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7875</xdr:row>
      <xdr:rowOff>19050</xdr:rowOff>
    </xdr:from>
    <xdr:ext cx="1143000" cy="1143000"/>
    <xdr:pic>
      <xdr:nvPicPr>
        <xdr:cNvPr id="7873" name="b6acf143-b0f5-4098-9ca3-7f80f1ca383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f14c9aa65cf49d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7876</xdr:row>
      <xdr:rowOff>19050</xdr:rowOff>
    </xdr:from>
    <xdr:ext cx="1143000" cy="1143000"/>
    <xdr:pic>
      <xdr:nvPicPr>
        <xdr:cNvPr id="7874" name="968a90aa-e69b-422c-aa49-bf7f941d38b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5f2adb9dba94c9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7877</xdr:row>
      <xdr:rowOff>19050</xdr:rowOff>
    </xdr:from>
    <xdr:ext cx="1143000" cy="1143000"/>
    <xdr:pic>
      <xdr:nvPicPr>
        <xdr:cNvPr id="7875" name="624725d7-85a1-4058-a86b-f9777139608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30cabd6636747a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7878</xdr:row>
      <xdr:rowOff>19050</xdr:rowOff>
    </xdr:from>
    <xdr:ext cx="1143000" cy="1143000"/>
    <xdr:pic>
      <xdr:nvPicPr>
        <xdr:cNvPr id="7876" name="f1234f4b-caa4-4ddd-93f1-efdc5cc2f07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28a0316877046b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7879</xdr:row>
      <xdr:rowOff>19050</xdr:rowOff>
    </xdr:from>
    <xdr:ext cx="1143000" cy="1143000"/>
    <xdr:pic>
      <xdr:nvPicPr>
        <xdr:cNvPr id="7877" name="bd0b189b-e842-487b-bde7-cc56c56e00b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055345efd3e425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7880</xdr:row>
      <xdr:rowOff>19050</xdr:rowOff>
    </xdr:from>
    <xdr:ext cx="1143000" cy="1143000"/>
    <xdr:pic>
      <xdr:nvPicPr>
        <xdr:cNvPr id="7878" name="b85f5d90-0fdc-40c6-b459-e6fe1450bcb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915395cbba94c4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7881</xdr:row>
      <xdr:rowOff>19050</xdr:rowOff>
    </xdr:from>
    <xdr:ext cx="1143000" cy="1143000"/>
    <xdr:pic>
      <xdr:nvPicPr>
        <xdr:cNvPr id="7879" name="09e9ddd5-267a-438b-9b06-5a3b29f8c9d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3e26bae1cb8443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7882</xdr:row>
      <xdr:rowOff>19050</xdr:rowOff>
    </xdr:from>
    <xdr:ext cx="1143000" cy="1143000"/>
    <xdr:pic>
      <xdr:nvPicPr>
        <xdr:cNvPr id="7880" name="ecf9023a-9c2f-4e7b-bc84-d8d55a3735f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90b3858c7c54f7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7883</xdr:row>
      <xdr:rowOff>19050</xdr:rowOff>
    </xdr:from>
    <xdr:ext cx="1143000" cy="1143000"/>
    <xdr:pic>
      <xdr:nvPicPr>
        <xdr:cNvPr id="7881" name="913cf0d6-e178-4e0a-9af3-7dc59a9e3b1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0ee8ea10b97473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7884</xdr:row>
      <xdr:rowOff>19050</xdr:rowOff>
    </xdr:from>
    <xdr:ext cx="1143000" cy="1143000"/>
    <xdr:pic>
      <xdr:nvPicPr>
        <xdr:cNvPr id="7882" name="85fb668f-acac-4de5-ab4a-19ee4f02e13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4947e6da0d94e7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7885</xdr:row>
      <xdr:rowOff>19050</xdr:rowOff>
    </xdr:from>
    <xdr:ext cx="1143000" cy="1143000"/>
    <xdr:pic>
      <xdr:nvPicPr>
        <xdr:cNvPr id="7883" name="49cfe632-2bd1-4a03-9dac-8b9fe1bb169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0d711662b424a5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7886</xdr:row>
      <xdr:rowOff>19050</xdr:rowOff>
    </xdr:from>
    <xdr:ext cx="1143000" cy="1143000"/>
    <xdr:pic>
      <xdr:nvPicPr>
        <xdr:cNvPr id="7884" name="d3c648c0-c371-4f0d-a771-8dc82e13013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72e96aef35a4d4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7887</xdr:row>
      <xdr:rowOff>19050</xdr:rowOff>
    </xdr:from>
    <xdr:ext cx="1143000" cy="1143000"/>
    <xdr:pic>
      <xdr:nvPicPr>
        <xdr:cNvPr id="7885" name="36c8df64-6446-4b60-859f-54368ac9448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7ee473d0c0c47c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7888</xdr:row>
      <xdr:rowOff>19050</xdr:rowOff>
    </xdr:from>
    <xdr:ext cx="1143000" cy="1143000"/>
    <xdr:pic>
      <xdr:nvPicPr>
        <xdr:cNvPr id="7886" name="d3f274eb-ee46-4ea9-844a-deadf317338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f53b36ed33e43b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7889</xdr:row>
      <xdr:rowOff>19050</xdr:rowOff>
    </xdr:from>
    <xdr:ext cx="1143000" cy="1143000"/>
    <xdr:pic>
      <xdr:nvPicPr>
        <xdr:cNvPr id="7887" name="79a0ffe5-23b4-4d50-a675-f5564378df6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2edfd3443414d7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7890</xdr:row>
      <xdr:rowOff>19050</xdr:rowOff>
    </xdr:from>
    <xdr:ext cx="1143000" cy="1143000"/>
    <xdr:pic>
      <xdr:nvPicPr>
        <xdr:cNvPr id="7888" name="0aac0176-a95d-4b87-be64-54ddeea4694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efb3e5c14c0444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7891</xdr:row>
      <xdr:rowOff>19050</xdr:rowOff>
    </xdr:from>
    <xdr:ext cx="1143000" cy="1143000"/>
    <xdr:pic>
      <xdr:nvPicPr>
        <xdr:cNvPr id="7889" name="8a1ce9da-5ac8-459e-b2c7-1ad06ad46e6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bfb130bf711475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7892</xdr:row>
      <xdr:rowOff>19050</xdr:rowOff>
    </xdr:from>
    <xdr:ext cx="1143000" cy="1143000"/>
    <xdr:pic>
      <xdr:nvPicPr>
        <xdr:cNvPr id="7890" name="78a3c3fb-e25d-4b84-a9bb-6b6c4b6180d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df13cdc523a4b3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7893</xdr:row>
      <xdr:rowOff>19050</xdr:rowOff>
    </xdr:from>
    <xdr:ext cx="1143000" cy="1143000"/>
    <xdr:pic>
      <xdr:nvPicPr>
        <xdr:cNvPr id="7891" name="a2dd0fc4-52c6-4f9c-ae86-82ede18eddb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c037ca90f7743c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7894</xdr:row>
      <xdr:rowOff>19050</xdr:rowOff>
    </xdr:from>
    <xdr:ext cx="1143000" cy="1143000"/>
    <xdr:pic>
      <xdr:nvPicPr>
        <xdr:cNvPr id="7892" name="002a38ad-c4b1-4706-90d6-e831cdeacd4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adf133a3ef344f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7895</xdr:row>
      <xdr:rowOff>19050</xdr:rowOff>
    </xdr:from>
    <xdr:ext cx="1143000" cy="1143000"/>
    <xdr:pic>
      <xdr:nvPicPr>
        <xdr:cNvPr id="7893" name="39a93e7e-8835-4f0f-8895-b98aa1a8acc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b6255af7f12469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7896</xdr:row>
      <xdr:rowOff>19050</xdr:rowOff>
    </xdr:from>
    <xdr:ext cx="1143000" cy="1143000"/>
    <xdr:pic>
      <xdr:nvPicPr>
        <xdr:cNvPr id="7894" name="74ccd89f-1b13-491c-b048-ad7caad8d74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c578d63a5454a4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7897</xdr:row>
      <xdr:rowOff>19050</xdr:rowOff>
    </xdr:from>
    <xdr:ext cx="1143000" cy="1143000"/>
    <xdr:pic>
      <xdr:nvPicPr>
        <xdr:cNvPr id="7895" name="1c1d926c-6983-40a8-b0ce-2968172c34f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c49758e26a14e6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7898</xdr:row>
      <xdr:rowOff>19050</xdr:rowOff>
    </xdr:from>
    <xdr:ext cx="1143000" cy="1143000"/>
    <xdr:pic>
      <xdr:nvPicPr>
        <xdr:cNvPr id="7896" name="9410768a-0a49-477d-b890-fbb7d31e467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9a9adfe386d4e7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7899</xdr:row>
      <xdr:rowOff>19050</xdr:rowOff>
    </xdr:from>
    <xdr:ext cx="1143000" cy="1143000"/>
    <xdr:pic>
      <xdr:nvPicPr>
        <xdr:cNvPr id="7897" name="753d8855-ccde-4373-842d-3e101043be5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7989c69438c459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7900</xdr:row>
      <xdr:rowOff>19050</xdr:rowOff>
    </xdr:from>
    <xdr:ext cx="1143000" cy="1143000"/>
    <xdr:pic>
      <xdr:nvPicPr>
        <xdr:cNvPr id="7898" name="d35934d0-7573-4435-9116-bd96b5f3bcf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a33f640f8e2482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7901</xdr:row>
      <xdr:rowOff>19050</xdr:rowOff>
    </xdr:from>
    <xdr:ext cx="1143000" cy="1143000"/>
    <xdr:pic>
      <xdr:nvPicPr>
        <xdr:cNvPr id="7899" name="f9895c77-e028-448b-9e7c-eb76a95bcdc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176631489c54d4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7902</xdr:row>
      <xdr:rowOff>19050</xdr:rowOff>
    </xdr:from>
    <xdr:ext cx="1143000" cy="1143000"/>
    <xdr:pic>
      <xdr:nvPicPr>
        <xdr:cNvPr id="7900" name="afde9fca-097e-4b3e-8beb-1da90f3fc1b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9cea32f17c0408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7903</xdr:row>
      <xdr:rowOff>19050</xdr:rowOff>
    </xdr:from>
    <xdr:ext cx="1143000" cy="1143000"/>
    <xdr:pic>
      <xdr:nvPicPr>
        <xdr:cNvPr id="7901" name="06d62ccc-5c09-4f51-aeaa-7966f2aa8be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705c4a4f5de49d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7904</xdr:row>
      <xdr:rowOff>19050</xdr:rowOff>
    </xdr:from>
    <xdr:ext cx="1143000" cy="1143000"/>
    <xdr:pic>
      <xdr:nvPicPr>
        <xdr:cNvPr id="7902" name="424d3922-2720-4153-a215-b29b33f1d13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aa04ace07b5401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7905</xdr:row>
      <xdr:rowOff>19050</xdr:rowOff>
    </xdr:from>
    <xdr:ext cx="1143000" cy="1143000"/>
    <xdr:pic>
      <xdr:nvPicPr>
        <xdr:cNvPr id="7903" name="b43153ec-dc48-4696-9a1e-15b9cb49bdb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bb753f2961a4d7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7906</xdr:row>
      <xdr:rowOff>19050</xdr:rowOff>
    </xdr:from>
    <xdr:ext cx="1143000" cy="1143000"/>
    <xdr:pic>
      <xdr:nvPicPr>
        <xdr:cNvPr id="7904" name="55a0c201-a7a2-43a7-b859-2f874b814bd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454c57376a24e0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7907</xdr:row>
      <xdr:rowOff>19050</xdr:rowOff>
    </xdr:from>
    <xdr:ext cx="1143000" cy="1143000"/>
    <xdr:pic>
      <xdr:nvPicPr>
        <xdr:cNvPr id="7905" name="2495ccf3-7a9f-435f-8963-88a7b1704c3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ec7cf80e1b0445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7908</xdr:row>
      <xdr:rowOff>19050</xdr:rowOff>
    </xdr:from>
    <xdr:ext cx="1143000" cy="1143000"/>
    <xdr:pic>
      <xdr:nvPicPr>
        <xdr:cNvPr id="7906" name="67cc3e8e-5617-4825-b972-d4389652caa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6e22dd45b074e6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7909</xdr:row>
      <xdr:rowOff>19050</xdr:rowOff>
    </xdr:from>
    <xdr:ext cx="1143000" cy="1143000"/>
    <xdr:pic>
      <xdr:nvPicPr>
        <xdr:cNvPr id="7907" name="32a23898-1e6b-4f09-82ff-7f15b53ee4a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155fec9f3d04ab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7910</xdr:row>
      <xdr:rowOff>19050</xdr:rowOff>
    </xdr:from>
    <xdr:ext cx="1143000" cy="1143000"/>
    <xdr:pic>
      <xdr:nvPicPr>
        <xdr:cNvPr id="7908" name="ad844187-999e-4e6e-b507-9d8b6c40b8d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a47dbbd24d24f9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7911</xdr:row>
      <xdr:rowOff>19050</xdr:rowOff>
    </xdr:from>
    <xdr:ext cx="1143000" cy="1143000"/>
    <xdr:pic>
      <xdr:nvPicPr>
        <xdr:cNvPr id="7909" name="0541aa0f-e690-4176-89e1-bc06f6d54c2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2fa9d91bd584eb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7912</xdr:row>
      <xdr:rowOff>19050</xdr:rowOff>
    </xdr:from>
    <xdr:ext cx="1143000" cy="1143000"/>
    <xdr:pic>
      <xdr:nvPicPr>
        <xdr:cNvPr id="7910" name="d3c15dc5-f612-4f42-a526-758e7281aad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bb22972020143e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7913</xdr:row>
      <xdr:rowOff>19050</xdr:rowOff>
    </xdr:from>
    <xdr:ext cx="1143000" cy="1143000"/>
    <xdr:pic>
      <xdr:nvPicPr>
        <xdr:cNvPr id="7911" name="f9d4b608-c6f7-4cee-b3c8-d869db5385c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c2fede7c6cf49d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7914</xdr:row>
      <xdr:rowOff>19050</xdr:rowOff>
    </xdr:from>
    <xdr:ext cx="1143000" cy="1143000"/>
    <xdr:pic>
      <xdr:nvPicPr>
        <xdr:cNvPr id="7912" name="6b850048-f690-4adf-9104-03f8d3aa2cd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9519e7276db419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7915</xdr:row>
      <xdr:rowOff>19050</xdr:rowOff>
    </xdr:from>
    <xdr:ext cx="1143000" cy="1143000"/>
    <xdr:pic>
      <xdr:nvPicPr>
        <xdr:cNvPr id="7913" name="9fe9cd33-b3c8-4a1c-afb7-624673a33e9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4a850f72bec428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7916</xdr:row>
      <xdr:rowOff>19050</xdr:rowOff>
    </xdr:from>
    <xdr:ext cx="1143000" cy="1143000"/>
    <xdr:pic>
      <xdr:nvPicPr>
        <xdr:cNvPr id="7914" name="0db468d7-c033-4704-90e5-ce86d23f704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bb71323446b436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7917</xdr:row>
      <xdr:rowOff>19050</xdr:rowOff>
    </xdr:from>
    <xdr:ext cx="1143000" cy="1143000"/>
    <xdr:pic>
      <xdr:nvPicPr>
        <xdr:cNvPr id="7915" name="703e5a9f-7ab0-43b8-8907-1689396b28a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3109083e2b042c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7918</xdr:row>
      <xdr:rowOff>19050</xdr:rowOff>
    </xdr:from>
    <xdr:ext cx="1143000" cy="1143000"/>
    <xdr:pic>
      <xdr:nvPicPr>
        <xdr:cNvPr id="7916" name="feb391ed-2d44-44c1-9c82-a4301e53b1a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be513f010424ca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7919</xdr:row>
      <xdr:rowOff>19050</xdr:rowOff>
    </xdr:from>
    <xdr:ext cx="1143000" cy="1143000"/>
    <xdr:pic>
      <xdr:nvPicPr>
        <xdr:cNvPr id="7917" name="fdd9b9b1-62fb-4531-86e3-c3a9648e1d0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6673bf8c9314f0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7920</xdr:row>
      <xdr:rowOff>19050</xdr:rowOff>
    </xdr:from>
    <xdr:ext cx="1143000" cy="1143000"/>
    <xdr:pic>
      <xdr:nvPicPr>
        <xdr:cNvPr id="7918" name="189df947-f8b7-4654-a737-e93ca2c9cf4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30785f041c846d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7921</xdr:row>
      <xdr:rowOff>19050</xdr:rowOff>
    </xdr:from>
    <xdr:ext cx="1143000" cy="1143000"/>
    <xdr:pic>
      <xdr:nvPicPr>
        <xdr:cNvPr id="7919" name="45919402-5cc8-435e-95eb-655f236cf6e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bf439cf91ef4c4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7922</xdr:row>
      <xdr:rowOff>19050</xdr:rowOff>
    </xdr:from>
    <xdr:ext cx="1143000" cy="1143000"/>
    <xdr:pic>
      <xdr:nvPicPr>
        <xdr:cNvPr id="7920" name="ea4c4e70-f77a-49f8-a4dc-a29bc16cc1d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c7e32672eae431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7923</xdr:row>
      <xdr:rowOff>19050</xdr:rowOff>
    </xdr:from>
    <xdr:ext cx="1143000" cy="1143000"/>
    <xdr:pic>
      <xdr:nvPicPr>
        <xdr:cNvPr id="7921" name="587c4602-7bb8-4cdd-8062-ad196959515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78bb530bf0847d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7924</xdr:row>
      <xdr:rowOff>19050</xdr:rowOff>
    </xdr:from>
    <xdr:ext cx="1143000" cy="1143000"/>
    <xdr:pic>
      <xdr:nvPicPr>
        <xdr:cNvPr id="7922" name="acfc356e-e632-43c6-a046-7172c551818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e976d8c2da0429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7925</xdr:row>
      <xdr:rowOff>19050</xdr:rowOff>
    </xdr:from>
    <xdr:ext cx="1143000" cy="1143000"/>
    <xdr:pic>
      <xdr:nvPicPr>
        <xdr:cNvPr id="7923" name="cd4c3110-412d-49cf-8346-9dfe36204a9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60d05978b1c497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7926</xdr:row>
      <xdr:rowOff>19050</xdr:rowOff>
    </xdr:from>
    <xdr:ext cx="1143000" cy="1143000"/>
    <xdr:pic>
      <xdr:nvPicPr>
        <xdr:cNvPr id="7924" name="53506206-eebd-4413-a2e7-afe8c272b6f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c8a29db0e334f9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7927</xdr:row>
      <xdr:rowOff>19050</xdr:rowOff>
    </xdr:from>
    <xdr:ext cx="1143000" cy="1143000"/>
    <xdr:pic>
      <xdr:nvPicPr>
        <xdr:cNvPr id="7925" name="97f8bd57-a8b0-4e76-bf25-d6a6b7ae738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135be919fdb46f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7928</xdr:row>
      <xdr:rowOff>19050</xdr:rowOff>
    </xdr:from>
    <xdr:ext cx="1143000" cy="1143000"/>
    <xdr:pic>
      <xdr:nvPicPr>
        <xdr:cNvPr id="7926" name="b5d66f2d-1262-46c4-9d82-1275566a9e9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9f485d4c4b348c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7929</xdr:row>
      <xdr:rowOff>19050</xdr:rowOff>
    </xdr:from>
    <xdr:ext cx="1143000" cy="1143000"/>
    <xdr:pic>
      <xdr:nvPicPr>
        <xdr:cNvPr id="7927" name="9e126bd3-3721-462a-a9de-ad9f8a075b6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24eaa01f6164f0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7930</xdr:row>
      <xdr:rowOff>19050</xdr:rowOff>
    </xdr:from>
    <xdr:ext cx="1143000" cy="1143000"/>
    <xdr:pic>
      <xdr:nvPicPr>
        <xdr:cNvPr id="7928" name="04e81144-9daf-4578-8be7-e693db9f1b0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0478ffe9e404a4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7931</xdr:row>
      <xdr:rowOff>19050</xdr:rowOff>
    </xdr:from>
    <xdr:ext cx="1143000" cy="1143000"/>
    <xdr:pic>
      <xdr:nvPicPr>
        <xdr:cNvPr id="7929" name="e259aee6-0cb3-4095-986d-e3cd541041e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9301a2b7a1d412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7932</xdr:row>
      <xdr:rowOff>19050</xdr:rowOff>
    </xdr:from>
    <xdr:ext cx="1143000" cy="1143000"/>
    <xdr:pic>
      <xdr:nvPicPr>
        <xdr:cNvPr id="7930" name="2ca50e3d-8cd0-4989-9e94-d8ff4b9139f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d079b5d971844a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7933</xdr:row>
      <xdr:rowOff>19050</xdr:rowOff>
    </xdr:from>
    <xdr:ext cx="1143000" cy="1143000"/>
    <xdr:pic>
      <xdr:nvPicPr>
        <xdr:cNvPr id="7931" name="1d5dc042-b9f6-4382-a046-04c7554fede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9712d8c1537497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7934</xdr:row>
      <xdr:rowOff>19050</xdr:rowOff>
    </xdr:from>
    <xdr:ext cx="1143000" cy="1143000"/>
    <xdr:pic>
      <xdr:nvPicPr>
        <xdr:cNvPr id="7932" name="15a72a84-3ec0-4f8c-a5cc-096065c13db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b8b1a1c66a1454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7935</xdr:row>
      <xdr:rowOff>19050</xdr:rowOff>
    </xdr:from>
    <xdr:ext cx="1143000" cy="1143000"/>
    <xdr:pic>
      <xdr:nvPicPr>
        <xdr:cNvPr id="7933" name="612bc1ae-b8ed-45a9-af5b-573def6a864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9b120c8a7ba4da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7936</xdr:row>
      <xdr:rowOff>19050</xdr:rowOff>
    </xdr:from>
    <xdr:ext cx="1143000" cy="1143000"/>
    <xdr:pic>
      <xdr:nvPicPr>
        <xdr:cNvPr id="7934" name="4a46638a-7492-4498-8c28-af588dad6c0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b875f549a5b4e8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7937</xdr:row>
      <xdr:rowOff>19050</xdr:rowOff>
    </xdr:from>
    <xdr:ext cx="1143000" cy="1143000"/>
    <xdr:pic>
      <xdr:nvPicPr>
        <xdr:cNvPr id="7935" name="a1afdbcb-2d48-4f1a-8692-d94c0d1c3f3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abc7473c741424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7938</xdr:row>
      <xdr:rowOff>19050</xdr:rowOff>
    </xdr:from>
    <xdr:ext cx="1143000" cy="1143000"/>
    <xdr:pic>
      <xdr:nvPicPr>
        <xdr:cNvPr id="7936" name="a91b8e69-7919-4088-99e8-beeccea6405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682da188565417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7939</xdr:row>
      <xdr:rowOff>19050</xdr:rowOff>
    </xdr:from>
    <xdr:ext cx="1143000" cy="1143000"/>
    <xdr:pic>
      <xdr:nvPicPr>
        <xdr:cNvPr id="7937" name="956a871a-35e0-488f-a0c7-68331f1b73c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3680a02530b4fb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7940</xdr:row>
      <xdr:rowOff>19050</xdr:rowOff>
    </xdr:from>
    <xdr:ext cx="1143000" cy="1143000"/>
    <xdr:pic>
      <xdr:nvPicPr>
        <xdr:cNvPr id="7938" name="b8cf0e3e-b5f7-4a4d-a12c-58bbe0dd7eb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6adb30c0aa6449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7941</xdr:row>
      <xdr:rowOff>19050</xdr:rowOff>
    </xdr:from>
    <xdr:ext cx="1143000" cy="1143000"/>
    <xdr:pic>
      <xdr:nvPicPr>
        <xdr:cNvPr id="7939" name="0bb86819-092f-4fa6-a6ba-86f2fa351b2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f854e6591f045f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7942</xdr:row>
      <xdr:rowOff>19050</xdr:rowOff>
    </xdr:from>
    <xdr:ext cx="1143000" cy="1143000"/>
    <xdr:pic>
      <xdr:nvPicPr>
        <xdr:cNvPr id="7940" name="77369956-0486-4791-945c-2f1b45e8c21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c9eda517f67499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7943</xdr:row>
      <xdr:rowOff>19050</xdr:rowOff>
    </xdr:from>
    <xdr:ext cx="1143000" cy="1143000"/>
    <xdr:pic>
      <xdr:nvPicPr>
        <xdr:cNvPr id="7941" name="a684673c-d04c-4049-8684-75e4f62ec56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79a7c5a625c4d8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7944</xdr:row>
      <xdr:rowOff>19050</xdr:rowOff>
    </xdr:from>
    <xdr:ext cx="1143000" cy="1143000"/>
    <xdr:pic>
      <xdr:nvPicPr>
        <xdr:cNvPr id="7942" name="c9eec4fd-c061-4a57-9dcb-5da0f668fe9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f684b4cbee8473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7945</xdr:row>
      <xdr:rowOff>19050</xdr:rowOff>
    </xdr:from>
    <xdr:ext cx="1143000" cy="1143000"/>
    <xdr:pic>
      <xdr:nvPicPr>
        <xdr:cNvPr id="7943" name="9e31c5e2-fa7d-4def-8737-0519ccd28e2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d3d1ae60bdd469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7946</xdr:row>
      <xdr:rowOff>19050</xdr:rowOff>
    </xdr:from>
    <xdr:ext cx="1143000" cy="1143000"/>
    <xdr:pic>
      <xdr:nvPicPr>
        <xdr:cNvPr id="7944" name="b74ff170-cae5-4268-8dfa-f69c9fcaab9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e6ca903f3a049f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7947</xdr:row>
      <xdr:rowOff>19050</xdr:rowOff>
    </xdr:from>
    <xdr:ext cx="1143000" cy="1143000"/>
    <xdr:pic>
      <xdr:nvPicPr>
        <xdr:cNvPr id="7945" name="f3408a86-49ff-423f-ac64-93a3d3c299e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202d6399ba94d0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7948</xdr:row>
      <xdr:rowOff>19050</xdr:rowOff>
    </xdr:from>
    <xdr:ext cx="1143000" cy="1143000"/>
    <xdr:pic>
      <xdr:nvPicPr>
        <xdr:cNvPr id="7946" name="4f3d91c1-1776-4c19-b181-1a6daf949cb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f1008701927450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7949</xdr:row>
      <xdr:rowOff>19050</xdr:rowOff>
    </xdr:from>
    <xdr:ext cx="1143000" cy="1143000"/>
    <xdr:pic>
      <xdr:nvPicPr>
        <xdr:cNvPr id="7947" name="53b5b618-d9d9-4411-97a2-d736a468552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44e7f2fa2fc4c8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7950</xdr:row>
      <xdr:rowOff>19050</xdr:rowOff>
    </xdr:from>
    <xdr:ext cx="1143000" cy="1143000"/>
    <xdr:pic>
      <xdr:nvPicPr>
        <xdr:cNvPr id="7948" name="42ec8e05-c568-4e58-b488-8f76d220bf2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7d1bf0b8404454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7951</xdr:row>
      <xdr:rowOff>19050</xdr:rowOff>
    </xdr:from>
    <xdr:ext cx="1143000" cy="1143000"/>
    <xdr:pic>
      <xdr:nvPicPr>
        <xdr:cNvPr id="7949" name="200095f5-32f3-498a-95d2-752bd0f0d20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c2e0deb126f4c3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7952</xdr:row>
      <xdr:rowOff>19050</xdr:rowOff>
    </xdr:from>
    <xdr:ext cx="1143000" cy="1143000"/>
    <xdr:pic>
      <xdr:nvPicPr>
        <xdr:cNvPr id="7950" name="f5a7a18f-bebe-4e9a-8d57-0d0049dcd97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4d1749ba2a048c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7953</xdr:row>
      <xdr:rowOff>19050</xdr:rowOff>
    </xdr:from>
    <xdr:ext cx="1143000" cy="1143000"/>
    <xdr:pic>
      <xdr:nvPicPr>
        <xdr:cNvPr id="7951" name="6be2b551-b081-4cc6-80c5-5a352b1f653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bc8625aaba7487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7954</xdr:row>
      <xdr:rowOff>19050</xdr:rowOff>
    </xdr:from>
    <xdr:ext cx="1143000" cy="1143000"/>
    <xdr:pic>
      <xdr:nvPicPr>
        <xdr:cNvPr id="7952" name="7240f3df-118e-4f66-addc-d542ebea33b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52e6bb549a7488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7955</xdr:row>
      <xdr:rowOff>19050</xdr:rowOff>
    </xdr:from>
    <xdr:ext cx="1143000" cy="1143000"/>
    <xdr:pic>
      <xdr:nvPicPr>
        <xdr:cNvPr id="7953" name="ec8ea979-1bd9-4f68-bc82-31303875364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c3d32eff34340d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7956</xdr:row>
      <xdr:rowOff>19050</xdr:rowOff>
    </xdr:from>
    <xdr:ext cx="1143000" cy="1143000"/>
    <xdr:pic>
      <xdr:nvPicPr>
        <xdr:cNvPr id="7954" name="a0366232-6f53-4bbb-8977-e276ffa3756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073b94ae0bb4b6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7957</xdr:row>
      <xdr:rowOff>19050</xdr:rowOff>
    </xdr:from>
    <xdr:ext cx="1143000" cy="1143000"/>
    <xdr:pic>
      <xdr:nvPicPr>
        <xdr:cNvPr id="7955" name="2853b6ae-b991-4e6e-8fdf-e544aa1aac5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495c862f2384da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7958</xdr:row>
      <xdr:rowOff>19050</xdr:rowOff>
    </xdr:from>
    <xdr:ext cx="1143000" cy="1143000"/>
    <xdr:pic>
      <xdr:nvPicPr>
        <xdr:cNvPr id="7956" name="e0f85e12-97ca-4bde-a5d2-155e0f84276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0a672ca09e9485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7959</xdr:row>
      <xdr:rowOff>19050</xdr:rowOff>
    </xdr:from>
    <xdr:ext cx="1143000" cy="1143000"/>
    <xdr:pic>
      <xdr:nvPicPr>
        <xdr:cNvPr id="7957" name="e33bdf6e-df9e-42eb-a252-f8d60a9ac6e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5160504a90b4bd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7960</xdr:row>
      <xdr:rowOff>19050</xdr:rowOff>
    </xdr:from>
    <xdr:ext cx="1143000" cy="1143000"/>
    <xdr:pic>
      <xdr:nvPicPr>
        <xdr:cNvPr id="7958" name="53077045-b683-4dbd-aa78-2af7ca10592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d0083693b5840f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7961</xdr:row>
      <xdr:rowOff>19050</xdr:rowOff>
    </xdr:from>
    <xdr:ext cx="1143000" cy="1143000"/>
    <xdr:pic>
      <xdr:nvPicPr>
        <xdr:cNvPr id="7959" name="e7528581-46b5-41ec-9d7f-e2af509141a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a4381c350b94a6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7962</xdr:row>
      <xdr:rowOff>19050</xdr:rowOff>
    </xdr:from>
    <xdr:ext cx="1143000" cy="1143000"/>
    <xdr:pic>
      <xdr:nvPicPr>
        <xdr:cNvPr id="7960" name="b732ccd8-1393-4976-baf6-55519cf697c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6e8b110dbf340d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7963</xdr:row>
      <xdr:rowOff>19050</xdr:rowOff>
    </xdr:from>
    <xdr:ext cx="1143000" cy="1143000"/>
    <xdr:pic>
      <xdr:nvPicPr>
        <xdr:cNvPr id="7961" name="c171f3c6-e7e8-4f20-9b40-59c503a2d0e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7ed2463feee478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7964</xdr:row>
      <xdr:rowOff>19050</xdr:rowOff>
    </xdr:from>
    <xdr:ext cx="1143000" cy="1143000"/>
    <xdr:pic>
      <xdr:nvPicPr>
        <xdr:cNvPr id="7962" name="d6ecbcc8-8960-4740-82d5-10fd6b2fbb7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5070cefd84a49c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7965</xdr:row>
      <xdr:rowOff>19050</xdr:rowOff>
    </xdr:from>
    <xdr:ext cx="1143000" cy="1143000"/>
    <xdr:pic>
      <xdr:nvPicPr>
        <xdr:cNvPr id="7963" name="ce8ef28b-c95e-4211-9b4e-563fe4fe80f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11f3381bde546b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7966</xdr:row>
      <xdr:rowOff>19050</xdr:rowOff>
    </xdr:from>
    <xdr:ext cx="1143000" cy="1143000"/>
    <xdr:pic>
      <xdr:nvPicPr>
        <xdr:cNvPr id="7964" name="4344e047-6fb0-48d8-8057-7d5134941f0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3cb35aabeb64b9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7967</xdr:row>
      <xdr:rowOff>19050</xdr:rowOff>
    </xdr:from>
    <xdr:ext cx="1143000" cy="1143000"/>
    <xdr:pic>
      <xdr:nvPicPr>
        <xdr:cNvPr id="7965" name="4fee26f6-fdfb-4076-a7ab-1ae72c5b21e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4d7cbd6ac38427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7968</xdr:row>
      <xdr:rowOff>19050</xdr:rowOff>
    </xdr:from>
    <xdr:ext cx="1143000" cy="1143000"/>
    <xdr:pic>
      <xdr:nvPicPr>
        <xdr:cNvPr id="7966" name="b0aee69f-cb0e-4e6b-be8a-c15e338e201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49b7d9f2f924eb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7969</xdr:row>
      <xdr:rowOff>19050</xdr:rowOff>
    </xdr:from>
    <xdr:ext cx="1143000" cy="1143000"/>
    <xdr:pic>
      <xdr:nvPicPr>
        <xdr:cNvPr id="7967" name="cb4c206b-f22c-4dcd-877b-4257078cfe7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188a8a56227495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7970</xdr:row>
      <xdr:rowOff>19050</xdr:rowOff>
    </xdr:from>
    <xdr:ext cx="1143000" cy="1143000"/>
    <xdr:pic>
      <xdr:nvPicPr>
        <xdr:cNvPr id="7968" name="aa1c5b0d-3a55-451c-a74a-c504230fd47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ecf9e9c947e42d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7971</xdr:row>
      <xdr:rowOff>19050</xdr:rowOff>
    </xdr:from>
    <xdr:ext cx="1143000" cy="1143000"/>
    <xdr:pic>
      <xdr:nvPicPr>
        <xdr:cNvPr id="7969" name="0af6aea7-a412-47a9-860c-a499c62eda3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75292d1400b473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7972</xdr:row>
      <xdr:rowOff>19050</xdr:rowOff>
    </xdr:from>
    <xdr:ext cx="1143000" cy="1143000"/>
    <xdr:pic>
      <xdr:nvPicPr>
        <xdr:cNvPr id="7970" name="95fcbbcd-90d7-43e3-80a5-d5201ee0f83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8dd05f9899d424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7973</xdr:row>
      <xdr:rowOff>19050</xdr:rowOff>
    </xdr:from>
    <xdr:ext cx="1143000" cy="1143000"/>
    <xdr:pic>
      <xdr:nvPicPr>
        <xdr:cNvPr id="7971" name="e08593e0-43db-4694-b37a-6a571992d73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bff8f673fb54a9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7974</xdr:row>
      <xdr:rowOff>19050</xdr:rowOff>
    </xdr:from>
    <xdr:ext cx="1143000" cy="1143000"/>
    <xdr:pic>
      <xdr:nvPicPr>
        <xdr:cNvPr id="7972" name="51fa5960-9d86-4b82-9f62-071b83dc954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839ba056c9c4c9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7975</xdr:row>
      <xdr:rowOff>19050</xdr:rowOff>
    </xdr:from>
    <xdr:ext cx="1143000" cy="1143000"/>
    <xdr:pic>
      <xdr:nvPicPr>
        <xdr:cNvPr id="7973" name="602f6c2d-96fb-42ae-9d0c-a918b579803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eea6b55625d452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7976</xdr:row>
      <xdr:rowOff>19050</xdr:rowOff>
    </xdr:from>
    <xdr:ext cx="1143000" cy="1143000"/>
    <xdr:pic>
      <xdr:nvPicPr>
        <xdr:cNvPr id="7974" name="d6a304e9-e456-4f43-89a1-d850f1d7c13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122487c86c644e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7977</xdr:row>
      <xdr:rowOff>19050</xdr:rowOff>
    </xdr:from>
    <xdr:ext cx="1143000" cy="1143000"/>
    <xdr:pic>
      <xdr:nvPicPr>
        <xdr:cNvPr id="7975" name="71021e1d-d2b6-4a82-a6da-520fd0b7842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8f81f4e923b4fe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7978</xdr:row>
      <xdr:rowOff>19050</xdr:rowOff>
    </xdr:from>
    <xdr:ext cx="1143000" cy="1143000"/>
    <xdr:pic>
      <xdr:nvPicPr>
        <xdr:cNvPr id="7976" name="99d467e5-822b-45e6-b8ee-0dd290b35f1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bc34b86ce7a468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7979</xdr:row>
      <xdr:rowOff>19050</xdr:rowOff>
    </xdr:from>
    <xdr:ext cx="1143000" cy="1143000"/>
    <xdr:pic>
      <xdr:nvPicPr>
        <xdr:cNvPr id="7977" name="22c1a453-959a-4658-8c98-72392aaf81d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6a276fce290431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7980</xdr:row>
      <xdr:rowOff>19050</xdr:rowOff>
    </xdr:from>
    <xdr:ext cx="1143000" cy="1143000"/>
    <xdr:pic>
      <xdr:nvPicPr>
        <xdr:cNvPr id="7978" name="ba993e59-136a-4529-94c0-fc389817524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b9dcff79acd4aa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7981</xdr:row>
      <xdr:rowOff>19050</xdr:rowOff>
    </xdr:from>
    <xdr:ext cx="1143000" cy="1143000"/>
    <xdr:pic>
      <xdr:nvPicPr>
        <xdr:cNvPr id="7979" name="d0bfd613-9242-4398-8d29-822ecdf11de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8e002f72add466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7982</xdr:row>
      <xdr:rowOff>19050</xdr:rowOff>
    </xdr:from>
    <xdr:ext cx="1143000" cy="1143000"/>
    <xdr:pic>
      <xdr:nvPicPr>
        <xdr:cNvPr id="7980" name="660b4f4d-6a49-4761-91e7-c15310c677c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1914bc3226747e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7983</xdr:row>
      <xdr:rowOff>19050</xdr:rowOff>
    </xdr:from>
    <xdr:ext cx="1143000" cy="1143000"/>
    <xdr:pic>
      <xdr:nvPicPr>
        <xdr:cNvPr id="7981" name="065d2bb8-80b2-42a5-955c-03bcafa3f96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4117e8f9ba0459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7984</xdr:row>
      <xdr:rowOff>19050</xdr:rowOff>
    </xdr:from>
    <xdr:ext cx="1143000" cy="1143000"/>
    <xdr:pic>
      <xdr:nvPicPr>
        <xdr:cNvPr id="7982" name="4cb93804-5703-4363-b7aa-0c4aabcc437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cd18254e9c6403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7985</xdr:row>
      <xdr:rowOff>19050</xdr:rowOff>
    </xdr:from>
    <xdr:ext cx="1143000" cy="1143000"/>
    <xdr:pic>
      <xdr:nvPicPr>
        <xdr:cNvPr id="7983" name="6d42c054-f4aa-4db2-ab17-65077d37f51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001a80345034ae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7986</xdr:row>
      <xdr:rowOff>19050</xdr:rowOff>
    </xdr:from>
    <xdr:ext cx="1143000" cy="1143000"/>
    <xdr:pic>
      <xdr:nvPicPr>
        <xdr:cNvPr id="7984" name="9b2a3dc6-cdd6-4049-9710-1883511e9e1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e8d0c0262b5438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7987</xdr:row>
      <xdr:rowOff>19050</xdr:rowOff>
    </xdr:from>
    <xdr:ext cx="1143000" cy="1143000"/>
    <xdr:pic>
      <xdr:nvPicPr>
        <xdr:cNvPr id="7985" name="a5b09670-fde5-48e1-877d-f98739ad865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553d88b9446442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7988</xdr:row>
      <xdr:rowOff>19050</xdr:rowOff>
    </xdr:from>
    <xdr:ext cx="1143000" cy="1143000"/>
    <xdr:pic>
      <xdr:nvPicPr>
        <xdr:cNvPr id="7986" name="67f234cb-c05c-431e-8b5b-bb62ec0f439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2d923e3a2424e3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7989</xdr:row>
      <xdr:rowOff>19050</xdr:rowOff>
    </xdr:from>
    <xdr:ext cx="1143000" cy="1143000"/>
    <xdr:pic>
      <xdr:nvPicPr>
        <xdr:cNvPr id="7987" name="335f3f71-f9e1-4415-993f-fa36ab277ce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72fe5469e604e5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7990</xdr:row>
      <xdr:rowOff>19050</xdr:rowOff>
    </xdr:from>
    <xdr:ext cx="1143000" cy="1143000"/>
    <xdr:pic>
      <xdr:nvPicPr>
        <xdr:cNvPr id="7988" name="f01d0419-bb12-4da1-8144-47870bfe1cb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9a63efce63444d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7991</xdr:row>
      <xdr:rowOff>19050</xdr:rowOff>
    </xdr:from>
    <xdr:ext cx="1143000" cy="1143000"/>
    <xdr:pic>
      <xdr:nvPicPr>
        <xdr:cNvPr id="7989" name="8ad40eae-0dde-4337-bd1d-35924601f0e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31e0b5786644d8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7992</xdr:row>
      <xdr:rowOff>19050</xdr:rowOff>
    </xdr:from>
    <xdr:ext cx="1143000" cy="1143000"/>
    <xdr:pic>
      <xdr:nvPicPr>
        <xdr:cNvPr id="7990" name="7051fa60-d44f-42c6-a184-a43cc8f1618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e9be1640834480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7993</xdr:row>
      <xdr:rowOff>19050</xdr:rowOff>
    </xdr:from>
    <xdr:ext cx="1143000" cy="1143000"/>
    <xdr:pic>
      <xdr:nvPicPr>
        <xdr:cNvPr id="7991" name="e794d8b5-5420-4a90-89c3-08ef5ffa5d3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7274ef2c38f4b1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7994</xdr:row>
      <xdr:rowOff>19050</xdr:rowOff>
    </xdr:from>
    <xdr:ext cx="1143000" cy="1143000"/>
    <xdr:pic>
      <xdr:nvPicPr>
        <xdr:cNvPr id="7992" name="9a67ca5a-e13f-43b2-b623-92d4ca0e009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3a563cd936b482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7995</xdr:row>
      <xdr:rowOff>19050</xdr:rowOff>
    </xdr:from>
    <xdr:ext cx="1143000" cy="1143000"/>
    <xdr:pic>
      <xdr:nvPicPr>
        <xdr:cNvPr id="7993" name="cf501497-de4f-4696-b056-30d075fa878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724e03abd89417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7996</xdr:row>
      <xdr:rowOff>19050</xdr:rowOff>
    </xdr:from>
    <xdr:ext cx="1143000" cy="1143000"/>
    <xdr:pic>
      <xdr:nvPicPr>
        <xdr:cNvPr id="7994" name="d63758f2-fbac-4a42-8e15-f5bb0be62f3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834cbc7f4424d0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7997</xdr:row>
      <xdr:rowOff>19050</xdr:rowOff>
    </xdr:from>
    <xdr:ext cx="1143000" cy="1143000"/>
    <xdr:pic>
      <xdr:nvPicPr>
        <xdr:cNvPr id="7995" name="75d5d36b-2d93-4a95-816f-37cd1ace5ee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fa7854816da4b3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7998</xdr:row>
      <xdr:rowOff>19050</xdr:rowOff>
    </xdr:from>
    <xdr:ext cx="1143000" cy="1143000"/>
    <xdr:pic>
      <xdr:nvPicPr>
        <xdr:cNvPr id="7996" name="478bc6ed-b5d1-4871-b49e-efa9d06785f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18ac0dd5baa4a3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7999</xdr:row>
      <xdr:rowOff>19050</xdr:rowOff>
    </xdr:from>
    <xdr:ext cx="1143000" cy="1143000"/>
    <xdr:pic>
      <xdr:nvPicPr>
        <xdr:cNvPr id="7997" name="a0608680-c5e3-4566-9b16-5001abb4590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927a975a0114ad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8000</xdr:row>
      <xdr:rowOff>19050</xdr:rowOff>
    </xdr:from>
    <xdr:ext cx="1143000" cy="1143000"/>
    <xdr:pic>
      <xdr:nvPicPr>
        <xdr:cNvPr id="7998" name="4895c175-12b8-4469-8886-803f5cdd0ce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bc4c3d1c251495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8001</xdr:row>
      <xdr:rowOff>19050</xdr:rowOff>
    </xdr:from>
    <xdr:ext cx="1143000" cy="1143000"/>
    <xdr:pic>
      <xdr:nvPicPr>
        <xdr:cNvPr id="7999" name="76ff2a27-77db-454a-a04c-ee21ae50af9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086b76fbbca4f8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8002</xdr:row>
      <xdr:rowOff>19050</xdr:rowOff>
    </xdr:from>
    <xdr:ext cx="1143000" cy="1143000"/>
    <xdr:pic>
      <xdr:nvPicPr>
        <xdr:cNvPr id="8000" name="fb7cf865-5f04-4b5d-b346-05ac15d8c32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a00329469a645d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8003</xdr:row>
      <xdr:rowOff>19050</xdr:rowOff>
    </xdr:from>
    <xdr:ext cx="1143000" cy="1143000"/>
    <xdr:pic>
      <xdr:nvPicPr>
        <xdr:cNvPr id="8001" name="0f7abd1c-2259-4599-a567-7d4ffb7cfcc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457e8dcb3ba46f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8004</xdr:row>
      <xdr:rowOff>19050</xdr:rowOff>
    </xdr:from>
    <xdr:ext cx="1143000" cy="1143000"/>
    <xdr:pic>
      <xdr:nvPicPr>
        <xdr:cNvPr id="8002" name="871a8f40-2af4-4f53-b42b-afd28cd9bc8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10ff819df8f499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8005</xdr:row>
      <xdr:rowOff>19050</xdr:rowOff>
    </xdr:from>
    <xdr:ext cx="1143000" cy="1143000"/>
    <xdr:pic>
      <xdr:nvPicPr>
        <xdr:cNvPr id="8003" name="3233affa-bd19-4423-b0b5-2bbcadcd681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e3f2811346c462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8006</xdr:row>
      <xdr:rowOff>19050</xdr:rowOff>
    </xdr:from>
    <xdr:ext cx="1143000" cy="1143000"/>
    <xdr:pic>
      <xdr:nvPicPr>
        <xdr:cNvPr id="8004" name="b404f401-a601-4af6-ada0-9aae1426182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97b0a16569743b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8007</xdr:row>
      <xdr:rowOff>19050</xdr:rowOff>
    </xdr:from>
    <xdr:ext cx="1143000" cy="1143000"/>
    <xdr:pic>
      <xdr:nvPicPr>
        <xdr:cNvPr id="8005" name="6a420abc-339b-4bec-85fb-6a904cc2cfc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fd1d29c0b5d42d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8008</xdr:row>
      <xdr:rowOff>19050</xdr:rowOff>
    </xdr:from>
    <xdr:ext cx="1143000" cy="1143000"/>
    <xdr:pic>
      <xdr:nvPicPr>
        <xdr:cNvPr id="8006" name="ee5743ee-b035-4016-bad8-c44f76c16d9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74c52268e374eb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8009</xdr:row>
      <xdr:rowOff>19050</xdr:rowOff>
    </xdr:from>
    <xdr:ext cx="1143000" cy="1143000"/>
    <xdr:pic>
      <xdr:nvPicPr>
        <xdr:cNvPr id="8007" name="85039768-8490-4a11-bafd-e972d74b3bb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97be7f86924467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8010</xdr:row>
      <xdr:rowOff>19050</xdr:rowOff>
    </xdr:from>
    <xdr:ext cx="1143000" cy="1143000"/>
    <xdr:pic>
      <xdr:nvPicPr>
        <xdr:cNvPr id="8008" name="787b62e9-5d22-41ab-83ae-e0061c7ee6c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8caf0d40eec478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8011</xdr:row>
      <xdr:rowOff>19050</xdr:rowOff>
    </xdr:from>
    <xdr:ext cx="1143000" cy="1143000"/>
    <xdr:pic>
      <xdr:nvPicPr>
        <xdr:cNvPr id="8009" name="fd154070-3631-4789-a38b-7707181fcd8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7e37ef8132042c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8012</xdr:row>
      <xdr:rowOff>19050</xdr:rowOff>
    </xdr:from>
    <xdr:ext cx="1143000" cy="1143000"/>
    <xdr:pic>
      <xdr:nvPicPr>
        <xdr:cNvPr id="8010" name="d653329c-ca31-483e-9b2d-ba3214a1ba1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1342f6001ac4e4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8013</xdr:row>
      <xdr:rowOff>19050</xdr:rowOff>
    </xdr:from>
    <xdr:ext cx="1143000" cy="1143000"/>
    <xdr:pic>
      <xdr:nvPicPr>
        <xdr:cNvPr id="8011" name="dc4b53fd-4127-4926-b31a-b504b6e0c67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fba7192390c43c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8014</xdr:row>
      <xdr:rowOff>19050</xdr:rowOff>
    </xdr:from>
    <xdr:ext cx="1143000" cy="1143000"/>
    <xdr:pic>
      <xdr:nvPicPr>
        <xdr:cNvPr id="8012" name="1ef3e2cd-c891-4980-a457-861dc811293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ffe48528dfe41b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8015</xdr:row>
      <xdr:rowOff>19050</xdr:rowOff>
    </xdr:from>
    <xdr:ext cx="1143000" cy="1143000"/>
    <xdr:pic>
      <xdr:nvPicPr>
        <xdr:cNvPr id="8013" name="2d31f8a5-d839-4380-8263-92e032d3408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602e10fb8e245f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8016</xdr:row>
      <xdr:rowOff>19050</xdr:rowOff>
    </xdr:from>
    <xdr:ext cx="1143000" cy="1143000"/>
    <xdr:pic>
      <xdr:nvPicPr>
        <xdr:cNvPr id="8014" name="bf5e64ed-faa9-40d2-8762-2c6cad9fb9f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c4e92305dfa461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8017</xdr:row>
      <xdr:rowOff>19050</xdr:rowOff>
    </xdr:from>
    <xdr:ext cx="1143000" cy="1143000"/>
    <xdr:pic>
      <xdr:nvPicPr>
        <xdr:cNvPr id="8015" name="4729375d-efb5-442e-b55d-4d8d6ee46d0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ebcb4fa5ae5413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8018</xdr:row>
      <xdr:rowOff>19050</xdr:rowOff>
    </xdr:from>
    <xdr:ext cx="1143000" cy="1143000"/>
    <xdr:pic>
      <xdr:nvPicPr>
        <xdr:cNvPr id="8016" name="88e2067c-6331-476b-97e4-ebf7a1c4c61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970dc1324e9422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8019</xdr:row>
      <xdr:rowOff>19050</xdr:rowOff>
    </xdr:from>
    <xdr:ext cx="1143000" cy="1143000"/>
    <xdr:pic>
      <xdr:nvPicPr>
        <xdr:cNvPr id="8017" name="e581af53-1f52-419d-83d6-3a42e0525c4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2eb18b3e3bf416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8020</xdr:row>
      <xdr:rowOff>19050</xdr:rowOff>
    </xdr:from>
    <xdr:ext cx="1143000" cy="1143000"/>
    <xdr:pic>
      <xdr:nvPicPr>
        <xdr:cNvPr id="8018" name="e1ac8d37-7448-4ff6-8aaa-aa2ed35e3ab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77bf85cce404ee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8021</xdr:row>
      <xdr:rowOff>19050</xdr:rowOff>
    </xdr:from>
    <xdr:ext cx="1143000" cy="1143000"/>
    <xdr:pic>
      <xdr:nvPicPr>
        <xdr:cNvPr id="8019" name="95825a7d-fcc4-4b1d-8ccb-b2814a55043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e136cf90bd4438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8022</xdr:row>
      <xdr:rowOff>19050</xdr:rowOff>
    </xdr:from>
    <xdr:ext cx="1143000" cy="1143000"/>
    <xdr:pic>
      <xdr:nvPicPr>
        <xdr:cNvPr id="8020" name="bf7aa9d8-9633-4f71-9089-4f1694b114a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1b39cc5a9204d8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8023</xdr:row>
      <xdr:rowOff>19050</xdr:rowOff>
    </xdr:from>
    <xdr:ext cx="1143000" cy="1143000"/>
    <xdr:pic>
      <xdr:nvPicPr>
        <xdr:cNvPr id="8021" name="7e4e67dd-d0fc-49a3-90ba-72863fcbefa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6f7c1bc61d5456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8024</xdr:row>
      <xdr:rowOff>19050</xdr:rowOff>
    </xdr:from>
    <xdr:ext cx="1143000" cy="1143000"/>
    <xdr:pic>
      <xdr:nvPicPr>
        <xdr:cNvPr id="8022" name="9ce92cbc-2429-4682-b391-8a7eecc1fff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b84e8c6b672439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8025</xdr:row>
      <xdr:rowOff>19050</xdr:rowOff>
    </xdr:from>
    <xdr:ext cx="1143000" cy="1143000"/>
    <xdr:pic>
      <xdr:nvPicPr>
        <xdr:cNvPr id="8023" name="e97999c7-7699-4c36-8154-dc5bf86108f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3756b7feed4435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8026</xdr:row>
      <xdr:rowOff>19050</xdr:rowOff>
    </xdr:from>
    <xdr:ext cx="1143000" cy="1143000"/>
    <xdr:pic>
      <xdr:nvPicPr>
        <xdr:cNvPr id="8024" name="2956b4a9-e77a-4c4a-861d-58dbd3fd0bc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07ef8899a984cb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8027</xdr:row>
      <xdr:rowOff>19050</xdr:rowOff>
    </xdr:from>
    <xdr:ext cx="1143000" cy="1143000"/>
    <xdr:pic>
      <xdr:nvPicPr>
        <xdr:cNvPr id="8025" name="8d9c9a95-659e-4d88-8fb4-aecef3dc2cd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b6b0eeae7e941f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8028</xdr:row>
      <xdr:rowOff>19050</xdr:rowOff>
    </xdr:from>
    <xdr:ext cx="1143000" cy="1143000"/>
    <xdr:pic>
      <xdr:nvPicPr>
        <xdr:cNvPr id="8026" name="85f5584f-0eae-479d-85a3-18542c23842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d8f7a07bfd24b7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8029</xdr:row>
      <xdr:rowOff>19050</xdr:rowOff>
    </xdr:from>
    <xdr:ext cx="1143000" cy="1143000"/>
    <xdr:pic>
      <xdr:nvPicPr>
        <xdr:cNvPr id="8027" name="363a027c-2bea-41c2-a88d-ca74cb99489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0e1843a53cc484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8030</xdr:row>
      <xdr:rowOff>19050</xdr:rowOff>
    </xdr:from>
    <xdr:ext cx="1143000" cy="1143000"/>
    <xdr:pic>
      <xdr:nvPicPr>
        <xdr:cNvPr id="8028" name="294da7a4-19e4-4cc1-a658-f431a106508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a4019623343435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8031</xdr:row>
      <xdr:rowOff>19050</xdr:rowOff>
    </xdr:from>
    <xdr:ext cx="1143000" cy="1143000"/>
    <xdr:pic>
      <xdr:nvPicPr>
        <xdr:cNvPr id="8029" name="0d5baa54-be94-43f4-a548-810b2bf1c50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3ce0719d2fc4c3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8032</xdr:row>
      <xdr:rowOff>19050</xdr:rowOff>
    </xdr:from>
    <xdr:ext cx="1143000" cy="1143000"/>
    <xdr:pic>
      <xdr:nvPicPr>
        <xdr:cNvPr id="8030" name="c0e65204-ea29-4cbf-b5d7-fffdeb6ed2c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ab613020cb94f6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8033</xdr:row>
      <xdr:rowOff>19050</xdr:rowOff>
    </xdr:from>
    <xdr:ext cx="1143000" cy="1143000"/>
    <xdr:pic>
      <xdr:nvPicPr>
        <xdr:cNvPr id="8031" name="ac6e1eb1-81e0-4c40-a9d3-81d94dd1ab0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4074163d55e4ce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8034</xdr:row>
      <xdr:rowOff>19050</xdr:rowOff>
    </xdr:from>
    <xdr:ext cx="1143000" cy="1143000"/>
    <xdr:pic>
      <xdr:nvPicPr>
        <xdr:cNvPr id="8032" name="acb38c09-c8e4-41af-b70a-8530fe4e0b5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f10529be6264c1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8035</xdr:row>
      <xdr:rowOff>19050</xdr:rowOff>
    </xdr:from>
    <xdr:ext cx="1143000" cy="1143000"/>
    <xdr:pic>
      <xdr:nvPicPr>
        <xdr:cNvPr id="8033" name="0c7d848e-37be-471c-ae0a-cf72ff31bb8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14040395e82406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8036</xdr:row>
      <xdr:rowOff>19050</xdr:rowOff>
    </xdr:from>
    <xdr:ext cx="1143000" cy="1143000"/>
    <xdr:pic>
      <xdr:nvPicPr>
        <xdr:cNvPr id="8034" name="eb93ce05-2c38-4a9b-a34f-30cb590fa92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0b90904ac8943c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8037</xdr:row>
      <xdr:rowOff>19050</xdr:rowOff>
    </xdr:from>
    <xdr:ext cx="1143000" cy="1143000"/>
    <xdr:pic>
      <xdr:nvPicPr>
        <xdr:cNvPr id="8035" name="f6fa2bad-5739-4753-be10-cf28cf14ff0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ff7bd79d718424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8038</xdr:row>
      <xdr:rowOff>19050</xdr:rowOff>
    </xdr:from>
    <xdr:ext cx="1143000" cy="1143000"/>
    <xdr:pic>
      <xdr:nvPicPr>
        <xdr:cNvPr id="8036" name="d3d02036-fc32-471d-bd73-b538b00db3e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d40309ae2f0444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8039</xdr:row>
      <xdr:rowOff>19050</xdr:rowOff>
    </xdr:from>
    <xdr:ext cx="1143000" cy="1143000"/>
    <xdr:pic>
      <xdr:nvPicPr>
        <xdr:cNvPr id="8037" name="d1e39a3d-c7d4-43ee-8991-08d38f881ef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d0aac75a13a405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8040</xdr:row>
      <xdr:rowOff>19050</xdr:rowOff>
    </xdr:from>
    <xdr:ext cx="1143000" cy="1143000"/>
    <xdr:pic>
      <xdr:nvPicPr>
        <xdr:cNvPr id="8038" name="5d7c0a07-ba66-4aea-9843-50dd1f52ff5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32d7b92bd284fb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8041</xdr:row>
      <xdr:rowOff>19050</xdr:rowOff>
    </xdr:from>
    <xdr:ext cx="1143000" cy="1143000"/>
    <xdr:pic>
      <xdr:nvPicPr>
        <xdr:cNvPr id="8039" name="e09f1a08-0c58-4fda-a53e-bfab2525de2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a2bfb664149413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8042</xdr:row>
      <xdr:rowOff>19050</xdr:rowOff>
    </xdr:from>
    <xdr:ext cx="1143000" cy="1143000"/>
    <xdr:pic>
      <xdr:nvPicPr>
        <xdr:cNvPr id="8040" name="8aaf6c2a-1e68-41e5-8ecc-0ed7d47c103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fadb79b3b7d456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8043</xdr:row>
      <xdr:rowOff>19050</xdr:rowOff>
    </xdr:from>
    <xdr:ext cx="1143000" cy="1143000"/>
    <xdr:pic>
      <xdr:nvPicPr>
        <xdr:cNvPr id="8041" name="9edfefd7-016c-4169-8bb0-3bb4c37523a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3092958c9ea475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8044</xdr:row>
      <xdr:rowOff>19050</xdr:rowOff>
    </xdr:from>
    <xdr:ext cx="1143000" cy="1143000"/>
    <xdr:pic>
      <xdr:nvPicPr>
        <xdr:cNvPr id="8042" name="5b7a4700-2af0-4ae7-be70-fc5ac741df4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dcfb1fa15de461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8045</xdr:row>
      <xdr:rowOff>19050</xdr:rowOff>
    </xdr:from>
    <xdr:ext cx="1143000" cy="1143000"/>
    <xdr:pic>
      <xdr:nvPicPr>
        <xdr:cNvPr id="8043" name="2d1784af-4093-43a1-bf73-e0db283ada2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c77d0b8f0524f1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8046</xdr:row>
      <xdr:rowOff>19050</xdr:rowOff>
    </xdr:from>
    <xdr:ext cx="1143000" cy="1143000"/>
    <xdr:pic>
      <xdr:nvPicPr>
        <xdr:cNvPr id="8044" name="d3324e77-2338-495f-be57-0fb2e1db9b6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13ee8ab0113411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8047</xdr:row>
      <xdr:rowOff>19050</xdr:rowOff>
    </xdr:from>
    <xdr:ext cx="1143000" cy="1143000"/>
    <xdr:pic>
      <xdr:nvPicPr>
        <xdr:cNvPr id="8045" name="53562894-140a-4966-8a86-a78af4e7224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b1c9e758c6c4f2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8048</xdr:row>
      <xdr:rowOff>19050</xdr:rowOff>
    </xdr:from>
    <xdr:ext cx="1143000" cy="1143000"/>
    <xdr:pic>
      <xdr:nvPicPr>
        <xdr:cNvPr id="8046" name="c55860ef-c6e0-42e5-8f79-a720b6a9efc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fb64c8113dd4c8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8049</xdr:row>
      <xdr:rowOff>19050</xdr:rowOff>
    </xdr:from>
    <xdr:ext cx="1143000" cy="1143000"/>
    <xdr:pic>
      <xdr:nvPicPr>
        <xdr:cNvPr id="8047" name="3b15cd96-9e81-4ae5-8d2b-1825684a1ee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daedbc00c4f493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8050</xdr:row>
      <xdr:rowOff>19050</xdr:rowOff>
    </xdr:from>
    <xdr:ext cx="1143000" cy="1143000"/>
    <xdr:pic>
      <xdr:nvPicPr>
        <xdr:cNvPr id="8048" name="4e2aaa74-dadb-493d-b537-e6e29afbe43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f5fbd186f91486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8051</xdr:row>
      <xdr:rowOff>19050</xdr:rowOff>
    </xdr:from>
    <xdr:ext cx="1143000" cy="1143000"/>
    <xdr:pic>
      <xdr:nvPicPr>
        <xdr:cNvPr id="8049" name="3b5ae3e8-a4a9-4a62-8c82-08cc8641e8f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dc00faf9f5a490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8052</xdr:row>
      <xdr:rowOff>19050</xdr:rowOff>
    </xdr:from>
    <xdr:ext cx="1143000" cy="1143000"/>
    <xdr:pic>
      <xdr:nvPicPr>
        <xdr:cNvPr id="8050" name="a0bccb30-121c-4050-82d4-a625f98d758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565df5c833e42f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8053</xdr:row>
      <xdr:rowOff>19050</xdr:rowOff>
    </xdr:from>
    <xdr:ext cx="1143000" cy="1143000"/>
    <xdr:pic>
      <xdr:nvPicPr>
        <xdr:cNvPr id="8051" name="d6da102b-bf26-4a2a-b714-876b625c061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d2381c486a4438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8054</xdr:row>
      <xdr:rowOff>19050</xdr:rowOff>
    </xdr:from>
    <xdr:ext cx="1143000" cy="1143000"/>
    <xdr:pic>
      <xdr:nvPicPr>
        <xdr:cNvPr id="8052" name="07fa518f-6c40-4496-9f29-18ef77a3395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82dab6692f64a2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8055</xdr:row>
      <xdr:rowOff>19050</xdr:rowOff>
    </xdr:from>
    <xdr:ext cx="1143000" cy="1143000"/>
    <xdr:pic>
      <xdr:nvPicPr>
        <xdr:cNvPr id="8053" name="c13a6edc-77c7-4973-9619-358003448c9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46e1881a360434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8056</xdr:row>
      <xdr:rowOff>19050</xdr:rowOff>
    </xdr:from>
    <xdr:ext cx="1143000" cy="1143000"/>
    <xdr:pic>
      <xdr:nvPicPr>
        <xdr:cNvPr id="8054" name="673f7b6d-f55b-439a-a3cb-83ff835c08d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ca8d6381c294b5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8057</xdr:row>
      <xdr:rowOff>19050</xdr:rowOff>
    </xdr:from>
    <xdr:ext cx="1143000" cy="1143000"/>
    <xdr:pic>
      <xdr:nvPicPr>
        <xdr:cNvPr id="8055" name="603b5a0c-4833-451f-a8e3-ad30bbb74d4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b32758ce3344cf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8058</xdr:row>
      <xdr:rowOff>19050</xdr:rowOff>
    </xdr:from>
    <xdr:ext cx="1143000" cy="1143000"/>
    <xdr:pic>
      <xdr:nvPicPr>
        <xdr:cNvPr id="8056" name="984d70b2-93ed-4088-a707-26b32a38ec0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18d4c39a834475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8059</xdr:row>
      <xdr:rowOff>19050</xdr:rowOff>
    </xdr:from>
    <xdr:ext cx="1143000" cy="1143000"/>
    <xdr:pic>
      <xdr:nvPicPr>
        <xdr:cNvPr id="8057" name="c1c2ec6d-0ea5-427b-b05f-6dde98348c2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a4bd2422ad94f1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8060</xdr:row>
      <xdr:rowOff>19050</xdr:rowOff>
    </xdr:from>
    <xdr:ext cx="1143000" cy="1143000"/>
    <xdr:pic>
      <xdr:nvPicPr>
        <xdr:cNvPr id="8058" name="b243e0a6-0da7-4949-bd39-091ae656fcd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eecc17a540e43b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8061</xdr:row>
      <xdr:rowOff>19050</xdr:rowOff>
    </xdr:from>
    <xdr:ext cx="1143000" cy="1143000"/>
    <xdr:pic>
      <xdr:nvPicPr>
        <xdr:cNvPr id="8059" name="2401ccdc-4040-47f6-9964-8ba69f380e6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c6f0cebda8a49f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8062</xdr:row>
      <xdr:rowOff>19050</xdr:rowOff>
    </xdr:from>
    <xdr:ext cx="1143000" cy="1143000"/>
    <xdr:pic>
      <xdr:nvPicPr>
        <xdr:cNvPr id="8060" name="5227b4a0-ea05-4d01-8ed5-fbed6c76e11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d6b2d0cb8bb49f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8063</xdr:row>
      <xdr:rowOff>19050</xdr:rowOff>
    </xdr:from>
    <xdr:ext cx="1143000" cy="1143000"/>
    <xdr:pic>
      <xdr:nvPicPr>
        <xdr:cNvPr id="8061" name="35aee168-d2e5-48b7-941a-502377cd6d7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be4e9d7a19f46c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8064</xdr:row>
      <xdr:rowOff>19050</xdr:rowOff>
    </xdr:from>
    <xdr:ext cx="1143000" cy="1143000"/>
    <xdr:pic>
      <xdr:nvPicPr>
        <xdr:cNvPr id="8062" name="67fec189-c8d7-49cc-b880-4cf29d8bf45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985c078f1e0449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8065</xdr:row>
      <xdr:rowOff>19050</xdr:rowOff>
    </xdr:from>
    <xdr:ext cx="1143000" cy="1143000"/>
    <xdr:pic>
      <xdr:nvPicPr>
        <xdr:cNvPr id="8063" name="07c649b5-a8ae-4911-8ef7-6495a6045c2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259acf8b9c64e7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8066</xdr:row>
      <xdr:rowOff>19050</xdr:rowOff>
    </xdr:from>
    <xdr:ext cx="1143000" cy="1143000"/>
    <xdr:pic>
      <xdr:nvPicPr>
        <xdr:cNvPr id="8064" name="e648946c-d953-45ff-9d43-b54e3f2924b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ba31c535c03476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8067</xdr:row>
      <xdr:rowOff>19050</xdr:rowOff>
    </xdr:from>
    <xdr:ext cx="1143000" cy="1143000"/>
    <xdr:pic>
      <xdr:nvPicPr>
        <xdr:cNvPr id="8065" name="cf8228f5-9699-4fd3-9a44-24946cb1696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fc2b76473a04f6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8068</xdr:row>
      <xdr:rowOff>19050</xdr:rowOff>
    </xdr:from>
    <xdr:ext cx="1143000" cy="1143000"/>
    <xdr:pic>
      <xdr:nvPicPr>
        <xdr:cNvPr id="8066" name="b175ab7c-7c97-4aee-8730-49b95928075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d17a10d45864dd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8069</xdr:row>
      <xdr:rowOff>19050</xdr:rowOff>
    </xdr:from>
    <xdr:ext cx="1143000" cy="1143000"/>
    <xdr:pic>
      <xdr:nvPicPr>
        <xdr:cNvPr id="8067" name="84b00610-02e9-415c-9710-9eb5cf673c3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1e6a2a4244248b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8070</xdr:row>
      <xdr:rowOff>19050</xdr:rowOff>
    </xdr:from>
    <xdr:ext cx="1143000" cy="1143000"/>
    <xdr:pic>
      <xdr:nvPicPr>
        <xdr:cNvPr id="8068" name="b37acf1e-fc3d-4f28-b475-6c2f08b974a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81ea6ff58464b0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8071</xdr:row>
      <xdr:rowOff>19050</xdr:rowOff>
    </xdr:from>
    <xdr:ext cx="1143000" cy="1143000"/>
    <xdr:pic>
      <xdr:nvPicPr>
        <xdr:cNvPr id="8069" name="d6843d23-260e-4134-bc61-250dbc777ce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b77620c279d442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8072</xdr:row>
      <xdr:rowOff>19050</xdr:rowOff>
    </xdr:from>
    <xdr:ext cx="1143000" cy="1143000"/>
    <xdr:pic>
      <xdr:nvPicPr>
        <xdr:cNvPr id="8070" name="71c0f475-55b8-476a-a7aa-2da08788c5e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93285b4bcfd48d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8073</xdr:row>
      <xdr:rowOff>19050</xdr:rowOff>
    </xdr:from>
    <xdr:ext cx="1143000" cy="1143000"/>
    <xdr:pic>
      <xdr:nvPicPr>
        <xdr:cNvPr id="8071" name="84384605-b141-479a-8c9a-c21422e74ec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a7946c53cee4d5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8074</xdr:row>
      <xdr:rowOff>19050</xdr:rowOff>
    </xdr:from>
    <xdr:ext cx="1143000" cy="1143000"/>
    <xdr:pic>
      <xdr:nvPicPr>
        <xdr:cNvPr id="8072" name="2b0409cc-4093-4001-b73b-a9adc8fb5a4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a590e5885c94a1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8075</xdr:row>
      <xdr:rowOff>19050</xdr:rowOff>
    </xdr:from>
    <xdr:ext cx="1143000" cy="1143000"/>
    <xdr:pic>
      <xdr:nvPicPr>
        <xdr:cNvPr id="8073" name="ad59e668-2e41-4c82-b1ad-77afc7d51d9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21f88a1b8c446c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8076</xdr:row>
      <xdr:rowOff>19050</xdr:rowOff>
    </xdr:from>
    <xdr:ext cx="1143000" cy="1143000"/>
    <xdr:pic>
      <xdr:nvPicPr>
        <xdr:cNvPr id="8074" name="53860197-42af-4309-a30d-6adce63e1ab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553ffd87d304dc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8077</xdr:row>
      <xdr:rowOff>19050</xdr:rowOff>
    </xdr:from>
    <xdr:ext cx="1143000" cy="1143000"/>
    <xdr:pic>
      <xdr:nvPicPr>
        <xdr:cNvPr id="8075" name="810d6bec-8d65-4e7a-942b-a422a864cc2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7a7f9c5644f4d9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8078</xdr:row>
      <xdr:rowOff>19050</xdr:rowOff>
    </xdr:from>
    <xdr:ext cx="1143000" cy="1143000"/>
    <xdr:pic>
      <xdr:nvPicPr>
        <xdr:cNvPr id="8076" name="1aa91427-8ef5-4457-a355-e45ee36c006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d12dc919d7245d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8079</xdr:row>
      <xdr:rowOff>19050</xdr:rowOff>
    </xdr:from>
    <xdr:ext cx="1143000" cy="1143000"/>
    <xdr:pic>
      <xdr:nvPicPr>
        <xdr:cNvPr id="8077" name="19b52977-4b01-4fdb-91fc-b20cd0caa5e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7ee89460791461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8080</xdr:row>
      <xdr:rowOff>19050</xdr:rowOff>
    </xdr:from>
    <xdr:ext cx="1143000" cy="1143000"/>
    <xdr:pic>
      <xdr:nvPicPr>
        <xdr:cNvPr id="8078" name="b19b756c-2254-4a56-bb40-5cb8d40a95d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bd6a5e8eedc43b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8081</xdr:row>
      <xdr:rowOff>19050</xdr:rowOff>
    </xdr:from>
    <xdr:ext cx="1143000" cy="1143000"/>
    <xdr:pic>
      <xdr:nvPicPr>
        <xdr:cNvPr id="8079" name="3cc026e4-b33c-4601-aa03-376beaef0e5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339e8f746fa41c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8082</xdr:row>
      <xdr:rowOff>19050</xdr:rowOff>
    </xdr:from>
    <xdr:ext cx="1143000" cy="1143000"/>
    <xdr:pic>
      <xdr:nvPicPr>
        <xdr:cNvPr id="8080" name="aa7e8307-7d55-4cb4-8ca1-5047384e712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d9c496e35e54df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8083</xdr:row>
      <xdr:rowOff>19050</xdr:rowOff>
    </xdr:from>
    <xdr:ext cx="1143000" cy="1143000"/>
    <xdr:pic>
      <xdr:nvPicPr>
        <xdr:cNvPr id="8081" name="0329c0b5-e2a7-4f69-86dc-f51c741f5fa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36632855ee0482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8084</xdr:row>
      <xdr:rowOff>19050</xdr:rowOff>
    </xdr:from>
    <xdr:ext cx="1143000" cy="1143000"/>
    <xdr:pic>
      <xdr:nvPicPr>
        <xdr:cNvPr id="8082" name="7583e71f-c729-4c61-9b0c-6873265a5ef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604f80d7178406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8085</xdr:row>
      <xdr:rowOff>19050</xdr:rowOff>
    </xdr:from>
    <xdr:ext cx="1143000" cy="1143000"/>
    <xdr:pic>
      <xdr:nvPicPr>
        <xdr:cNvPr id="8083" name="cb0fda50-7919-40bd-847e-0f5da5e22d6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b1ca51020994cb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8086</xdr:row>
      <xdr:rowOff>19050</xdr:rowOff>
    </xdr:from>
    <xdr:ext cx="1143000" cy="1143000"/>
    <xdr:pic>
      <xdr:nvPicPr>
        <xdr:cNvPr id="8084" name="7d76185d-879a-4ffb-94c5-617c40b8072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b7efb086faf4a8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8087</xdr:row>
      <xdr:rowOff>19050</xdr:rowOff>
    </xdr:from>
    <xdr:ext cx="1143000" cy="1143000"/>
    <xdr:pic>
      <xdr:nvPicPr>
        <xdr:cNvPr id="8085" name="b14be687-5b86-4f03-a631-d84e047223e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6b85badb2a3441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8088</xdr:row>
      <xdr:rowOff>19050</xdr:rowOff>
    </xdr:from>
    <xdr:ext cx="1143000" cy="1143000"/>
    <xdr:pic>
      <xdr:nvPicPr>
        <xdr:cNvPr id="8086" name="1c2eceb1-16d7-480d-ad08-7f46449da41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0e84b7f988b429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8089</xdr:row>
      <xdr:rowOff>19050</xdr:rowOff>
    </xdr:from>
    <xdr:ext cx="1143000" cy="1143000"/>
    <xdr:pic>
      <xdr:nvPicPr>
        <xdr:cNvPr id="8087" name="ea8d19a0-aa1c-41c4-9486-356a9f86e51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71b0c49ad3240f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8090</xdr:row>
      <xdr:rowOff>19050</xdr:rowOff>
    </xdr:from>
    <xdr:ext cx="1143000" cy="1143000"/>
    <xdr:pic>
      <xdr:nvPicPr>
        <xdr:cNvPr id="8088" name="4df5c7be-e00a-4387-83da-989b7b32a41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62ea1e5d17f4f6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8091</xdr:row>
      <xdr:rowOff>19050</xdr:rowOff>
    </xdr:from>
    <xdr:ext cx="1143000" cy="1143000"/>
    <xdr:pic>
      <xdr:nvPicPr>
        <xdr:cNvPr id="8089" name="fcdf4787-3b4e-4cf2-aa13-228612cc669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f8cc42b5d7641b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8092</xdr:row>
      <xdr:rowOff>19050</xdr:rowOff>
    </xdr:from>
    <xdr:ext cx="1143000" cy="1143000"/>
    <xdr:pic>
      <xdr:nvPicPr>
        <xdr:cNvPr id="8090" name="44ac3f1c-b4f7-4373-935f-4fb3866fce2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f5c130814bb4be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8093</xdr:row>
      <xdr:rowOff>19050</xdr:rowOff>
    </xdr:from>
    <xdr:ext cx="1143000" cy="1143000"/>
    <xdr:pic>
      <xdr:nvPicPr>
        <xdr:cNvPr id="8091" name="f9d371d9-0674-4f89-8573-879484efa35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a0b31188ad74e2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8094</xdr:row>
      <xdr:rowOff>19050</xdr:rowOff>
    </xdr:from>
    <xdr:ext cx="1143000" cy="1143000"/>
    <xdr:pic>
      <xdr:nvPicPr>
        <xdr:cNvPr id="8092" name="862b3170-4cd7-45d4-8556-33933f0dcdb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4e0e9c6074e4fa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8095</xdr:row>
      <xdr:rowOff>19050</xdr:rowOff>
    </xdr:from>
    <xdr:ext cx="1143000" cy="1143000"/>
    <xdr:pic>
      <xdr:nvPicPr>
        <xdr:cNvPr id="8093" name="470040c6-d030-4eca-b234-31e6fe24da8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a7c7feccd774e6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8096</xdr:row>
      <xdr:rowOff>19050</xdr:rowOff>
    </xdr:from>
    <xdr:ext cx="1143000" cy="1143000"/>
    <xdr:pic>
      <xdr:nvPicPr>
        <xdr:cNvPr id="8094" name="52293b4c-7f14-4bed-8071-af9de691d7b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6601f8c80c0473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8097</xdr:row>
      <xdr:rowOff>19050</xdr:rowOff>
    </xdr:from>
    <xdr:ext cx="1143000" cy="1143000"/>
    <xdr:pic>
      <xdr:nvPicPr>
        <xdr:cNvPr id="8095" name="c0f063fe-ee74-485d-9c39-ccbf0d47225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43ddc8a7338411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8098</xdr:row>
      <xdr:rowOff>19050</xdr:rowOff>
    </xdr:from>
    <xdr:ext cx="1143000" cy="1143000"/>
    <xdr:pic>
      <xdr:nvPicPr>
        <xdr:cNvPr id="8096" name="6dd9f379-7e9c-4f4d-b110-6f5c9470166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2b400a31c7c4a6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8099</xdr:row>
      <xdr:rowOff>19050</xdr:rowOff>
    </xdr:from>
    <xdr:ext cx="1143000" cy="1143000"/>
    <xdr:pic>
      <xdr:nvPicPr>
        <xdr:cNvPr id="8097" name="06dcaf6e-139b-43c7-a9f2-363c15658f8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d18fa9041f74b5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8100</xdr:row>
      <xdr:rowOff>19050</xdr:rowOff>
    </xdr:from>
    <xdr:ext cx="1143000" cy="1143000"/>
    <xdr:pic>
      <xdr:nvPicPr>
        <xdr:cNvPr id="8098" name="0f4fafea-1383-4ba3-8aee-6201c49c94e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47e1cb9ea74442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8101</xdr:row>
      <xdr:rowOff>19050</xdr:rowOff>
    </xdr:from>
    <xdr:ext cx="1143000" cy="1143000"/>
    <xdr:pic>
      <xdr:nvPicPr>
        <xdr:cNvPr id="8099" name="37aad794-4a14-40ec-80fa-6bead91c7ac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5b501c8c70a4fb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8102</xdr:row>
      <xdr:rowOff>19050</xdr:rowOff>
    </xdr:from>
    <xdr:ext cx="1143000" cy="1143000"/>
    <xdr:pic>
      <xdr:nvPicPr>
        <xdr:cNvPr id="8100" name="3d22f2cd-6961-467a-be55-f6e90c70a11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292eddb644e466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8103</xdr:row>
      <xdr:rowOff>19050</xdr:rowOff>
    </xdr:from>
    <xdr:ext cx="1143000" cy="1143000"/>
    <xdr:pic>
      <xdr:nvPicPr>
        <xdr:cNvPr id="8101" name="c022cdad-3171-4d05-98a7-46c2da92188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1bb20eb18e943d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8104</xdr:row>
      <xdr:rowOff>19050</xdr:rowOff>
    </xdr:from>
    <xdr:ext cx="1143000" cy="1143000"/>
    <xdr:pic>
      <xdr:nvPicPr>
        <xdr:cNvPr id="8102" name="a466f6d6-622c-4248-ba18-ae2a843c569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5347a26d2a3457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8105</xdr:row>
      <xdr:rowOff>19050</xdr:rowOff>
    </xdr:from>
    <xdr:ext cx="1143000" cy="1143000"/>
    <xdr:pic>
      <xdr:nvPicPr>
        <xdr:cNvPr id="8103" name="f83302d9-edc8-455a-ab7c-76d498dc1be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4bb82c78f6a41a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8106</xdr:row>
      <xdr:rowOff>19050</xdr:rowOff>
    </xdr:from>
    <xdr:ext cx="1143000" cy="1143000"/>
    <xdr:pic>
      <xdr:nvPicPr>
        <xdr:cNvPr id="8104" name="473ccc24-e984-42c9-ba74-2395a30c899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6cc5aa651bc4c8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8107</xdr:row>
      <xdr:rowOff>19050</xdr:rowOff>
    </xdr:from>
    <xdr:ext cx="1143000" cy="1143000"/>
    <xdr:pic>
      <xdr:nvPicPr>
        <xdr:cNvPr id="8105" name="029068c2-105f-455f-a3da-607ab9e5a09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1ecf6ec33fa403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8108</xdr:row>
      <xdr:rowOff>19050</xdr:rowOff>
    </xdr:from>
    <xdr:ext cx="1143000" cy="1143000"/>
    <xdr:pic>
      <xdr:nvPicPr>
        <xdr:cNvPr id="8106" name="c9190ed1-4675-46a7-bd5a-beced0fb305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3ded652014b47e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8109</xdr:row>
      <xdr:rowOff>19050</xdr:rowOff>
    </xdr:from>
    <xdr:ext cx="1143000" cy="1143000"/>
    <xdr:pic>
      <xdr:nvPicPr>
        <xdr:cNvPr id="8107" name="c170d27a-0f12-41ba-a60a-37670544b72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bf2c0c9b7bf486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8110</xdr:row>
      <xdr:rowOff>19050</xdr:rowOff>
    </xdr:from>
    <xdr:ext cx="1143000" cy="1143000"/>
    <xdr:pic>
      <xdr:nvPicPr>
        <xdr:cNvPr id="8108" name="5cff14d3-9a06-4d68-812c-c0e7b7480ad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7ad2691f6c94aa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8111</xdr:row>
      <xdr:rowOff>19050</xdr:rowOff>
    </xdr:from>
    <xdr:ext cx="1143000" cy="1143000"/>
    <xdr:pic>
      <xdr:nvPicPr>
        <xdr:cNvPr id="8109" name="f3e9411f-d445-40c2-b3dd-a666eaaa3e4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068529a8bca4b3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8112</xdr:row>
      <xdr:rowOff>19050</xdr:rowOff>
    </xdr:from>
    <xdr:ext cx="1143000" cy="1143000"/>
    <xdr:pic>
      <xdr:nvPicPr>
        <xdr:cNvPr id="8110" name="b1dbd8c8-3327-4c04-8527-147e7abc7ab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4e8349745a744e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8113</xdr:row>
      <xdr:rowOff>19050</xdr:rowOff>
    </xdr:from>
    <xdr:ext cx="1143000" cy="1143000"/>
    <xdr:pic>
      <xdr:nvPicPr>
        <xdr:cNvPr id="8111" name="008246ba-1ad6-42bb-98a2-6afe6310ee1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2a303c204a64a6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8114</xdr:row>
      <xdr:rowOff>19050</xdr:rowOff>
    </xdr:from>
    <xdr:ext cx="1143000" cy="1143000"/>
    <xdr:pic>
      <xdr:nvPicPr>
        <xdr:cNvPr id="8112" name="074868e3-9f68-431f-889b-1257e10fb35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f31507bb1594a6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8115</xdr:row>
      <xdr:rowOff>19050</xdr:rowOff>
    </xdr:from>
    <xdr:ext cx="1143000" cy="1143000"/>
    <xdr:pic>
      <xdr:nvPicPr>
        <xdr:cNvPr id="8113" name="70ba2fea-e580-40c6-851e-382f679f582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2c167cba318420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8116</xdr:row>
      <xdr:rowOff>19050</xdr:rowOff>
    </xdr:from>
    <xdr:ext cx="1143000" cy="1143000"/>
    <xdr:pic>
      <xdr:nvPicPr>
        <xdr:cNvPr id="8114" name="271cb6f0-af74-4167-ad62-8820dfb9988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94c374c6a384ec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8117</xdr:row>
      <xdr:rowOff>19050</xdr:rowOff>
    </xdr:from>
    <xdr:ext cx="1143000" cy="1143000"/>
    <xdr:pic>
      <xdr:nvPicPr>
        <xdr:cNvPr id="8115" name="da0e5ab0-25cc-44ba-8315-7d343dd99a4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4badd4572fa436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8118</xdr:row>
      <xdr:rowOff>19050</xdr:rowOff>
    </xdr:from>
    <xdr:ext cx="1143000" cy="1143000"/>
    <xdr:pic>
      <xdr:nvPicPr>
        <xdr:cNvPr id="8116" name="51c6d8c8-38aa-4485-a97c-1f3417a1c00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99c92f1b7f0400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8119</xdr:row>
      <xdr:rowOff>19050</xdr:rowOff>
    </xdr:from>
    <xdr:ext cx="1143000" cy="1143000"/>
    <xdr:pic>
      <xdr:nvPicPr>
        <xdr:cNvPr id="8117" name="f2c82a6e-adbc-4033-b65e-3955277b53e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bdfbae425d6491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8120</xdr:row>
      <xdr:rowOff>19050</xdr:rowOff>
    </xdr:from>
    <xdr:ext cx="1143000" cy="1143000"/>
    <xdr:pic>
      <xdr:nvPicPr>
        <xdr:cNvPr id="8118" name="b1997c67-2ac3-484d-9a89-395f20a444b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62e3ab112d34ac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8121</xdr:row>
      <xdr:rowOff>19050</xdr:rowOff>
    </xdr:from>
    <xdr:ext cx="1143000" cy="1143000"/>
    <xdr:pic>
      <xdr:nvPicPr>
        <xdr:cNvPr id="8119" name="6e77cc98-0246-458e-9a6c-bb0516faafe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55b17eb9422433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8122</xdr:row>
      <xdr:rowOff>19050</xdr:rowOff>
    </xdr:from>
    <xdr:ext cx="1143000" cy="1143000"/>
    <xdr:pic>
      <xdr:nvPicPr>
        <xdr:cNvPr id="8120" name="95cf45c1-91de-4f85-8c76-45b84ce7f91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aa74a3fd9c445f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8123</xdr:row>
      <xdr:rowOff>19050</xdr:rowOff>
    </xdr:from>
    <xdr:ext cx="1143000" cy="1143000"/>
    <xdr:pic>
      <xdr:nvPicPr>
        <xdr:cNvPr id="8121" name="9a9f212c-1d58-49eb-92ed-ce8a9242eae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1c062c68192480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8124</xdr:row>
      <xdr:rowOff>19050</xdr:rowOff>
    </xdr:from>
    <xdr:ext cx="1143000" cy="1143000"/>
    <xdr:pic>
      <xdr:nvPicPr>
        <xdr:cNvPr id="8122" name="824e4724-8a24-43d1-9727-326e10da4d1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ac804dbeab2446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8125</xdr:row>
      <xdr:rowOff>19050</xdr:rowOff>
    </xdr:from>
    <xdr:ext cx="1143000" cy="1143000"/>
    <xdr:pic>
      <xdr:nvPicPr>
        <xdr:cNvPr id="8123" name="6e237758-7d71-4b94-9753-74fcbea9a64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5e2e2b6f07b41f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8126</xdr:row>
      <xdr:rowOff>19050</xdr:rowOff>
    </xdr:from>
    <xdr:ext cx="1143000" cy="1143000"/>
    <xdr:pic>
      <xdr:nvPicPr>
        <xdr:cNvPr id="8124" name="1e8a4458-590d-4360-b648-01081b18e60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6485790fa594bc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8127</xdr:row>
      <xdr:rowOff>19050</xdr:rowOff>
    </xdr:from>
    <xdr:ext cx="1143000" cy="1143000"/>
    <xdr:pic>
      <xdr:nvPicPr>
        <xdr:cNvPr id="8125" name="1c8f785e-9c9f-4888-b9f4-dde354cc6c4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a440b60cceb45e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8128</xdr:row>
      <xdr:rowOff>19050</xdr:rowOff>
    </xdr:from>
    <xdr:ext cx="1143000" cy="1143000"/>
    <xdr:pic>
      <xdr:nvPicPr>
        <xdr:cNvPr id="8126" name="0e764337-883b-41ab-a3ee-0712658da69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224b1c543b144e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8129</xdr:row>
      <xdr:rowOff>19050</xdr:rowOff>
    </xdr:from>
    <xdr:ext cx="1143000" cy="1143000"/>
    <xdr:pic>
      <xdr:nvPicPr>
        <xdr:cNvPr id="8127" name="6ab1ce61-3189-4cc9-b824-be4bbc0d35a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5a1e6476085434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8130</xdr:row>
      <xdr:rowOff>19050</xdr:rowOff>
    </xdr:from>
    <xdr:ext cx="1143000" cy="1143000"/>
    <xdr:pic>
      <xdr:nvPicPr>
        <xdr:cNvPr id="8128" name="cef7429b-9be4-4823-8d42-6d228f23701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805e40af983404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8131</xdr:row>
      <xdr:rowOff>19050</xdr:rowOff>
    </xdr:from>
    <xdr:ext cx="1143000" cy="1143000"/>
    <xdr:pic>
      <xdr:nvPicPr>
        <xdr:cNvPr id="8129" name="5794a893-c389-410b-82c5-02a0a5db770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390644df88f467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8132</xdr:row>
      <xdr:rowOff>19050</xdr:rowOff>
    </xdr:from>
    <xdr:ext cx="1143000" cy="1143000"/>
    <xdr:pic>
      <xdr:nvPicPr>
        <xdr:cNvPr id="8130" name="67887a66-4532-45d9-bb99-d4223dec1fc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a696c8a438d4d7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8133</xdr:row>
      <xdr:rowOff>19050</xdr:rowOff>
    </xdr:from>
    <xdr:ext cx="1143000" cy="1143000"/>
    <xdr:pic>
      <xdr:nvPicPr>
        <xdr:cNvPr id="8131" name="decfcf52-3877-4d50-a535-72b11b0cf3c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2c8a14eb0d9435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8134</xdr:row>
      <xdr:rowOff>19050</xdr:rowOff>
    </xdr:from>
    <xdr:ext cx="1143000" cy="1143000"/>
    <xdr:pic>
      <xdr:nvPicPr>
        <xdr:cNvPr id="8132" name="952bfa86-d305-46af-ba8d-9c4cb9e822f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1755c37050947a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8135</xdr:row>
      <xdr:rowOff>19050</xdr:rowOff>
    </xdr:from>
    <xdr:ext cx="1143000" cy="1143000"/>
    <xdr:pic>
      <xdr:nvPicPr>
        <xdr:cNvPr id="8133" name="6ee219dc-16b8-4330-b3f0-86c7528c356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62b7006d5a1443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8136</xdr:row>
      <xdr:rowOff>19050</xdr:rowOff>
    </xdr:from>
    <xdr:ext cx="1143000" cy="1143000"/>
    <xdr:pic>
      <xdr:nvPicPr>
        <xdr:cNvPr id="8134" name="a45e29c0-48da-4ba3-965d-a131b7d73d5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78523d5fc3e413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8137</xdr:row>
      <xdr:rowOff>19050</xdr:rowOff>
    </xdr:from>
    <xdr:ext cx="1143000" cy="1143000"/>
    <xdr:pic>
      <xdr:nvPicPr>
        <xdr:cNvPr id="8135" name="86f2437c-77be-44f4-9834-b15ebd6194c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1a098a65b084d9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8138</xdr:row>
      <xdr:rowOff>19050</xdr:rowOff>
    </xdr:from>
    <xdr:ext cx="1143000" cy="1143000"/>
    <xdr:pic>
      <xdr:nvPicPr>
        <xdr:cNvPr id="8136" name="4b81394b-de67-494a-b77e-f55ecf32e52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2b7bf0ee41c4ae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8139</xdr:row>
      <xdr:rowOff>19050</xdr:rowOff>
    </xdr:from>
    <xdr:ext cx="1143000" cy="1143000"/>
    <xdr:pic>
      <xdr:nvPicPr>
        <xdr:cNvPr id="8137" name="1be4a6f7-62ce-48a7-8e43-4222c0cd17a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498bd8457804f2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8140</xdr:row>
      <xdr:rowOff>19050</xdr:rowOff>
    </xdr:from>
    <xdr:ext cx="1143000" cy="1143000"/>
    <xdr:pic>
      <xdr:nvPicPr>
        <xdr:cNvPr id="8138" name="61ff1c69-8e85-4ce2-b266-b9ec95d3cba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6f7635d33fc457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8141</xdr:row>
      <xdr:rowOff>19050</xdr:rowOff>
    </xdr:from>
    <xdr:ext cx="1143000" cy="1143000"/>
    <xdr:pic>
      <xdr:nvPicPr>
        <xdr:cNvPr id="8139" name="2ca20419-365b-44a4-bb7f-03593c38cd0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01e2b3bdc7e4e4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8142</xdr:row>
      <xdr:rowOff>19050</xdr:rowOff>
    </xdr:from>
    <xdr:ext cx="1143000" cy="1143000"/>
    <xdr:pic>
      <xdr:nvPicPr>
        <xdr:cNvPr id="8140" name="78c6456c-2df6-4334-9f6e-a263cf06877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0332d8b5a694ff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8143</xdr:row>
      <xdr:rowOff>19050</xdr:rowOff>
    </xdr:from>
    <xdr:ext cx="1143000" cy="1143000"/>
    <xdr:pic>
      <xdr:nvPicPr>
        <xdr:cNvPr id="8141" name="4e1648ba-eb50-46d5-820e-3f1c555ceb9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3182cf93dab4c0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8144</xdr:row>
      <xdr:rowOff>19050</xdr:rowOff>
    </xdr:from>
    <xdr:ext cx="1143000" cy="1143000"/>
    <xdr:pic>
      <xdr:nvPicPr>
        <xdr:cNvPr id="8142" name="7fc36117-03be-4e84-ab09-35d1a841db1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874926f40964a0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8145</xdr:row>
      <xdr:rowOff>19050</xdr:rowOff>
    </xdr:from>
    <xdr:ext cx="1143000" cy="1143000"/>
    <xdr:pic>
      <xdr:nvPicPr>
        <xdr:cNvPr id="8143" name="00e877b1-89ab-4698-bb2d-b33a17618e5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d074bace521447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8146</xdr:row>
      <xdr:rowOff>19050</xdr:rowOff>
    </xdr:from>
    <xdr:ext cx="1143000" cy="1143000"/>
    <xdr:pic>
      <xdr:nvPicPr>
        <xdr:cNvPr id="8144" name="2a82fb41-45ae-4fae-952a-eb59617cb68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b0d403e55b24c9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8147</xdr:row>
      <xdr:rowOff>19050</xdr:rowOff>
    </xdr:from>
    <xdr:ext cx="1143000" cy="1143000"/>
    <xdr:pic>
      <xdr:nvPicPr>
        <xdr:cNvPr id="8145" name="ee2b7a74-71ce-49e2-ba23-8a10e757015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20a5d3a46924dd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8148</xdr:row>
      <xdr:rowOff>19050</xdr:rowOff>
    </xdr:from>
    <xdr:ext cx="1143000" cy="1143000"/>
    <xdr:pic>
      <xdr:nvPicPr>
        <xdr:cNvPr id="8146" name="e8b99c33-fc70-4a02-8685-bc743c92ce2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5bdb64bd059441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8149</xdr:row>
      <xdr:rowOff>19050</xdr:rowOff>
    </xdr:from>
    <xdr:ext cx="1143000" cy="1143000"/>
    <xdr:pic>
      <xdr:nvPicPr>
        <xdr:cNvPr id="8147" name="c54b80c5-5cd9-479b-99c2-ddf91253ee5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55617de8f4344d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8150</xdr:row>
      <xdr:rowOff>19050</xdr:rowOff>
    </xdr:from>
    <xdr:ext cx="1143000" cy="1143000"/>
    <xdr:pic>
      <xdr:nvPicPr>
        <xdr:cNvPr id="8148" name="8fc56317-ec6f-4c1b-81d7-697f159a209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b3d3e22398945e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8151</xdr:row>
      <xdr:rowOff>19050</xdr:rowOff>
    </xdr:from>
    <xdr:ext cx="1143000" cy="1143000"/>
    <xdr:pic>
      <xdr:nvPicPr>
        <xdr:cNvPr id="8149" name="5224812e-c17e-4cf4-8a62-2a9271aa80c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0ef5b0ce4224ad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8152</xdr:row>
      <xdr:rowOff>19050</xdr:rowOff>
    </xdr:from>
    <xdr:ext cx="1143000" cy="1143000"/>
    <xdr:pic>
      <xdr:nvPicPr>
        <xdr:cNvPr id="8150" name="25dceda3-25aa-4350-b126-84c2f1ff693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14575ae302b4fa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8153</xdr:row>
      <xdr:rowOff>19050</xdr:rowOff>
    </xdr:from>
    <xdr:ext cx="1143000" cy="1143000"/>
    <xdr:pic>
      <xdr:nvPicPr>
        <xdr:cNvPr id="8151" name="5ab6bea8-7f9c-4ee8-a34f-d3eb6dcf4c6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946e4a678c0402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8154</xdr:row>
      <xdr:rowOff>19050</xdr:rowOff>
    </xdr:from>
    <xdr:ext cx="1143000" cy="1143000"/>
    <xdr:pic>
      <xdr:nvPicPr>
        <xdr:cNvPr id="8152" name="1c1cb3ed-339c-47d2-a7ef-091a8a6eb6e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a87709679f8460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8155</xdr:row>
      <xdr:rowOff>19050</xdr:rowOff>
    </xdr:from>
    <xdr:ext cx="1143000" cy="1143000"/>
    <xdr:pic>
      <xdr:nvPicPr>
        <xdr:cNvPr id="8153" name="09e9e124-2cfb-4a35-b118-c611057df2d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9bc350bccf8437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8156</xdr:row>
      <xdr:rowOff>19050</xdr:rowOff>
    </xdr:from>
    <xdr:ext cx="1143000" cy="1143000"/>
    <xdr:pic>
      <xdr:nvPicPr>
        <xdr:cNvPr id="8154" name="cdc68e85-e36e-416a-9c91-288c4d178b2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5e2d4663cd04d6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8157</xdr:row>
      <xdr:rowOff>19050</xdr:rowOff>
    </xdr:from>
    <xdr:ext cx="1143000" cy="1143000"/>
    <xdr:pic>
      <xdr:nvPicPr>
        <xdr:cNvPr id="8155" name="0a2ab954-3d8a-4deb-b122-5616930322b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845bc402260416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8158</xdr:row>
      <xdr:rowOff>19050</xdr:rowOff>
    </xdr:from>
    <xdr:ext cx="1143000" cy="1143000"/>
    <xdr:pic>
      <xdr:nvPicPr>
        <xdr:cNvPr id="8156" name="dbb8fca8-4d06-4345-92d3-fae3731ce33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7b21c972b81458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8159</xdr:row>
      <xdr:rowOff>19050</xdr:rowOff>
    </xdr:from>
    <xdr:ext cx="1143000" cy="1143000"/>
    <xdr:pic>
      <xdr:nvPicPr>
        <xdr:cNvPr id="8157" name="f0c7fa83-b65a-42b6-9faa-679144ac7b7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0e211501ea7423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8160</xdr:row>
      <xdr:rowOff>19050</xdr:rowOff>
    </xdr:from>
    <xdr:ext cx="1143000" cy="1143000"/>
    <xdr:pic>
      <xdr:nvPicPr>
        <xdr:cNvPr id="8158" name="facfd52c-d551-4789-84db-d2375961938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8dc6d5e2cb44f5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8161</xdr:row>
      <xdr:rowOff>19050</xdr:rowOff>
    </xdr:from>
    <xdr:ext cx="1143000" cy="1143000"/>
    <xdr:pic>
      <xdr:nvPicPr>
        <xdr:cNvPr id="8159" name="8e5ce0a6-a700-4bbb-9869-c559dde236e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ce0f284fc014fe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8162</xdr:row>
      <xdr:rowOff>19050</xdr:rowOff>
    </xdr:from>
    <xdr:ext cx="1143000" cy="1143000"/>
    <xdr:pic>
      <xdr:nvPicPr>
        <xdr:cNvPr id="8160" name="6f77e113-bc8f-44b5-b4d8-5da1e3cc85d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9bc5cf044084ec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8163</xdr:row>
      <xdr:rowOff>19050</xdr:rowOff>
    </xdr:from>
    <xdr:ext cx="1143000" cy="1143000"/>
    <xdr:pic>
      <xdr:nvPicPr>
        <xdr:cNvPr id="8161" name="d7918e67-80cb-4184-957e-ae596215824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85c1a0f920b441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8164</xdr:row>
      <xdr:rowOff>19050</xdr:rowOff>
    </xdr:from>
    <xdr:ext cx="1143000" cy="1143000"/>
    <xdr:pic>
      <xdr:nvPicPr>
        <xdr:cNvPr id="8162" name="99209ed1-4a01-4844-bf6a-fde22738230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c660f78320d410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8165</xdr:row>
      <xdr:rowOff>19050</xdr:rowOff>
    </xdr:from>
    <xdr:ext cx="1143000" cy="1143000"/>
    <xdr:pic>
      <xdr:nvPicPr>
        <xdr:cNvPr id="8163" name="8242b452-6c8b-4325-bded-b6ac2ab25ff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5bf9abafa074a5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8166</xdr:row>
      <xdr:rowOff>19050</xdr:rowOff>
    </xdr:from>
    <xdr:ext cx="1143000" cy="1143000"/>
    <xdr:pic>
      <xdr:nvPicPr>
        <xdr:cNvPr id="8164" name="3ecc6f5a-75d8-4dfe-80ad-6b1917f7ca7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dcbf547390d4d3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8167</xdr:row>
      <xdr:rowOff>19050</xdr:rowOff>
    </xdr:from>
    <xdr:ext cx="1143000" cy="1143000"/>
    <xdr:pic>
      <xdr:nvPicPr>
        <xdr:cNvPr id="8165" name="fc1aecad-5ed4-48cb-9cf6-eaf548fd6e7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406a8d621e2425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8168</xdr:row>
      <xdr:rowOff>19050</xdr:rowOff>
    </xdr:from>
    <xdr:ext cx="1143000" cy="1143000"/>
    <xdr:pic>
      <xdr:nvPicPr>
        <xdr:cNvPr id="8166" name="1a317689-cba4-4890-aa25-1faa1db5ebd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3497803004a4b2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8169</xdr:row>
      <xdr:rowOff>19050</xdr:rowOff>
    </xdr:from>
    <xdr:ext cx="1143000" cy="1143000"/>
    <xdr:pic>
      <xdr:nvPicPr>
        <xdr:cNvPr id="8167" name="77edafd4-4659-49f0-813e-779a3573ecb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d58ca4e955345d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8170</xdr:row>
      <xdr:rowOff>19050</xdr:rowOff>
    </xdr:from>
    <xdr:ext cx="1143000" cy="1143000"/>
    <xdr:pic>
      <xdr:nvPicPr>
        <xdr:cNvPr id="8168" name="91522810-7487-4973-be71-6ee59e7a6d3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dbbe1af04c948d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8171</xdr:row>
      <xdr:rowOff>19050</xdr:rowOff>
    </xdr:from>
    <xdr:ext cx="1143000" cy="1143000"/>
    <xdr:pic>
      <xdr:nvPicPr>
        <xdr:cNvPr id="8169" name="d39b1f61-df41-47eb-a12a-597422c90c0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39bbe648d3949c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8172</xdr:row>
      <xdr:rowOff>19050</xdr:rowOff>
    </xdr:from>
    <xdr:ext cx="1143000" cy="1143000"/>
    <xdr:pic>
      <xdr:nvPicPr>
        <xdr:cNvPr id="8170" name="afd8c7ff-ebb8-4408-ad18-c6fd28d4257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962d234c001412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8173</xdr:row>
      <xdr:rowOff>19050</xdr:rowOff>
    </xdr:from>
    <xdr:ext cx="1143000" cy="1143000"/>
    <xdr:pic>
      <xdr:nvPicPr>
        <xdr:cNvPr id="8171" name="70b9ed31-7685-44f7-81fc-f5fa67485fd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b32e9cd3889414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8174</xdr:row>
      <xdr:rowOff>19050</xdr:rowOff>
    </xdr:from>
    <xdr:ext cx="1143000" cy="1143000"/>
    <xdr:pic>
      <xdr:nvPicPr>
        <xdr:cNvPr id="8172" name="5d14592e-27a5-493c-8499-645c0ea4f02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9bd4181dfcf447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8175</xdr:row>
      <xdr:rowOff>19050</xdr:rowOff>
    </xdr:from>
    <xdr:ext cx="1143000" cy="1143000"/>
    <xdr:pic>
      <xdr:nvPicPr>
        <xdr:cNvPr id="8173" name="f7d2a844-407c-4e0a-980f-b175f437080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6a2d0f9b6b2458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8176</xdr:row>
      <xdr:rowOff>19050</xdr:rowOff>
    </xdr:from>
    <xdr:ext cx="1143000" cy="1143000"/>
    <xdr:pic>
      <xdr:nvPicPr>
        <xdr:cNvPr id="8174" name="e2908aaf-a8e6-4128-9a51-e13cfef7274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77370128504472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8177</xdr:row>
      <xdr:rowOff>19050</xdr:rowOff>
    </xdr:from>
    <xdr:ext cx="1143000" cy="1143000"/>
    <xdr:pic>
      <xdr:nvPicPr>
        <xdr:cNvPr id="8175" name="22df2461-0519-4b6e-a598-abc419016b9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d4c5761547c4bf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8178</xdr:row>
      <xdr:rowOff>19050</xdr:rowOff>
    </xdr:from>
    <xdr:ext cx="1143000" cy="1143000"/>
    <xdr:pic>
      <xdr:nvPicPr>
        <xdr:cNvPr id="8176" name="d41d83ee-7166-4336-9ea5-785a7f7d39f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daf7e0302544d8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8179</xdr:row>
      <xdr:rowOff>19050</xdr:rowOff>
    </xdr:from>
    <xdr:ext cx="1143000" cy="1143000"/>
    <xdr:pic>
      <xdr:nvPicPr>
        <xdr:cNvPr id="8177" name="8161d898-691d-4172-8d2c-e90c0e8b07f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5d84fa5c5fc40f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8180</xdr:row>
      <xdr:rowOff>19050</xdr:rowOff>
    </xdr:from>
    <xdr:ext cx="1143000" cy="1143000"/>
    <xdr:pic>
      <xdr:nvPicPr>
        <xdr:cNvPr id="8178" name="2aebbf34-4a4f-4127-a58d-5a4f2df42e0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e546e8e172248a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8181</xdr:row>
      <xdr:rowOff>19050</xdr:rowOff>
    </xdr:from>
    <xdr:ext cx="1143000" cy="1143000"/>
    <xdr:pic>
      <xdr:nvPicPr>
        <xdr:cNvPr id="8179" name="48d6603f-f51a-416d-8fac-7fcfbb2154c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31c57a9c83d455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8182</xdr:row>
      <xdr:rowOff>19050</xdr:rowOff>
    </xdr:from>
    <xdr:ext cx="1143000" cy="1143000"/>
    <xdr:pic>
      <xdr:nvPicPr>
        <xdr:cNvPr id="8180" name="d206280e-4d2c-4940-8534-4f85475dbc8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09bc563f739425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8183</xdr:row>
      <xdr:rowOff>19050</xdr:rowOff>
    </xdr:from>
    <xdr:ext cx="1143000" cy="1143000"/>
    <xdr:pic>
      <xdr:nvPicPr>
        <xdr:cNvPr id="8181" name="5f0761fa-e864-4d2c-b17f-786aa16cb00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d6850cb3cff4d4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8184</xdr:row>
      <xdr:rowOff>19050</xdr:rowOff>
    </xdr:from>
    <xdr:ext cx="1143000" cy="1143000"/>
    <xdr:pic>
      <xdr:nvPicPr>
        <xdr:cNvPr id="8182" name="6a6ad838-47b9-4991-b5ee-6e947176f01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fc94b1d417e43e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8185</xdr:row>
      <xdr:rowOff>19050</xdr:rowOff>
    </xdr:from>
    <xdr:ext cx="1143000" cy="1143000"/>
    <xdr:pic>
      <xdr:nvPicPr>
        <xdr:cNvPr id="8183" name="c510162e-dcec-488c-97e8-4a114aa9364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fbf6a270a494c1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8186</xdr:row>
      <xdr:rowOff>19050</xdr:rowOff>
    </xdr:from>
    <xdr:ext cx="1143000" cy="1143000"/>
    <xdr:pic>
      <xdr:nvPicPr>
        <xdr:cNvPr id="8184" name="c780afc4-f2df-4855-8500-f1d9ac73d6f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656622d6a9a454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8187</xdr:row>
      <xdr:rowOff>19050</xdr:rowOff>
    </xdr:from>
    <xdr:ext cx="1143000" cy="1143000"/>
    <xdr:pic>
      <xdr:nvPicPr>
        <xdr:cNvPr id="8185" name="c078438f-cf24-4ec0-b3ea-5a1b564d280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9ca998cc4a047f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8188</xdr:row>
      <xdr:rowOff>19050</xdr:rowOff>
    </xdr:from>
    <xdr:ext cx="1143000" cy="1143000"/>
    <xdr:pic>
      <xdr:nvPicPr>
        <xdr:cNvPr id="8186" name="1a29d2a0-f1f1-4e83-a152-346b9049193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853920bdd614b5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8189</xdr:row>
      <xdr:rowOff>19050</xdr:rowOff>
    </xdr:from>
    <xdr:ext cx="1143000" cy="1143000"/>
    <xdr:pic>
      <xdr:nvPicPr>
        <xdr:cNvPr id="8187" name="c3fa1fde-57d4-44cc-a39c-0a142e9eed6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330740077a94ef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8190</xdr:row>
      <xdr:rowOff>19050</xdr:rowOff>
    </xdr:from>
    <xdr:ext cx="1143000" cy="1143000"/>
    <xdr:pic>
      <xdr:nvPicPr>
        <xdr:cNvPr id="8188" name="27eebbc9-5124-455c-9969-c438fd5a976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f87f444e762492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8191</xdr:row>
      <xdr:rowOff>19050</xdr:rowOff>
    </xdr:from>
    <xdr:ext cx="1143000" cy="1143000"/>
    <xdr:pic>
      <xdr:nvPicPr>
        <xdr:cNvPr id="8189" name="a2a391b0-a16c-4148-b7cf-f8ba7870b5e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7cca7695597430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8192</xdr:row>
      <xdr:rowOff>19050</xdr:rowOff>
    </xdr:from>
    <xdr:ext cx="1143000" cy="1143000"/>
    <xdr:pic>
      <xdr:nvPicPr>
        <xdr:cNvPr id="8190" name="08e12c8b-0978-4aa9-ae5c-2d52d01bc7d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a781f3492c841e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8193</xdr:row>
      <xdr:rowOff>19050</xdr:rowOff>
    </xdr:from>
    <xdr:ext cx="1143000" cy="1143000"/>
    <xdr:pic>
      <xdr:nvPicPr>
        <xdr:cNvPr id="8191" name="bab53049-3361-470f-93aa-128db1e2b5b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9deecb208cd435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8194</xdr:row>
      <xdr:rowOff>19050</xdr:rowOff>
    </xdr:from>
    <xdr:ext cx="1143000" cy="1143000"/>
    <xdr:pic>
      <xdr:nvPicPr>
        <xdr:cNvPr id="8192" name="7bff620a-32c9-4679-aa47-7f97111e448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d58db3392424c9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8195</xdr:row>
      <xdr:rowOff>19050</xdr:rowOff>
    </xdr:from>
    <xdr:ext cx="1143000" cy="1143000"/>
    <xdr:pic>
      <xdr:nvPicPr>
        <xdr:cNvPr id="8193" name="8706c0cc-faa0-4899-966f-93b59b45fbc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9c154923030430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8196</xdr:row>
      <xdr:rowOff>19050</xdr:rowOff>
    </xdr:from>
    <xdr:ext cx="1143000" cy="1143000"/>
    <xdr:pic>
      <xdr:nvPicPr>
        <xdr:cNvPr id="8194" name="b812661e-5fd0-45d4-8998-faf1d5b4cf5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65899f0469d44b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8197</xdr:row>
      <xdr:rowOff>19050</xdr:rowOff>
    </xdr:from>
    <xdr:ext cx="1143000" cy="1143000"/>
    <xdr:pic>
      <xdr:nvPicPr>
        <xdr:cNvPr id="8195" name="4de34e2d-1781-4e3e-9ec1-c468c6f71fb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5aba762f7eb4ac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8198</xdr:row>
      <xdr:rowOff>19050</xdr:rowOff>
    </xdr:from>
    <xdr:ext cx="1143000" cy="1143000"/>
    <xdr:pic>
      <xdr:nvPicPr>
        <xdr:cNvPr id="8196" name="35540f56-7991-47e8-b38d-6e89db17be5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6b51086113246b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8199</xdr:row>
      <xdr:rowOff>19050</xdr:rowOff>
    </xdr:from>
    <xdr:ext cx="1143000" cy="1143000"/>
    <xdr:pic>
      <xdr:nvPicPr>
        <xdr:cNvPr id="8197" name="8fc11058-4fbc-4a20-8987-6e236f131da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18058c00bd843d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8200</xdr:row>
      <xdr:rowOff>19050</xdr:rowOff>
    </xdr:from>
    <xdr:ext cx="1143000" cy="1143000"/>
    <xdr:pic>
      <xdr:nvPicPr>
        <xdr:cNvPr id="8198" name="b8436ccc-32f1-4920-820e-1b128e0467f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9c378f906554c1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8201</xdr:row>
      <xdr:rowOff>19050</xdr:rowOff>
    </xdr:from>
    <xdr:ext cx="1143000" cy="1143000"/>
    <xdr:pic>
      <xdr:nvPicPr>
        <xdr:cNvPr id="8199" name="ca530d59-3bdf-4291-a796-02dbdedf536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af4ba13a9b34a9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8202</xdr:row>
      <xdr:rowOff>19050</xdr:rowOff>
    </xdr:from>
    <xdr:ext cx="1143000" cy="1143000"/>
    <xdr:pic>
      <xdr:nvPicPr>
        <xdr:cNvPr id="8200" name="bbee64fb-b386-4b36-8ced-8c092f0004a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57ada8ffd5c4f1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8203</xdr:row>
      <xdr:rowOff>19050</xdr:rowOff>
    </xdr:from>
    <xdr:ext cx="1143000" cy="1143000"/>
    <xdr:pic>
      <xdr:nvPicPr>
        <xdr:cNvPr id="8201" name="ceca1210-f140-41d4-b3ef-8aab8860bbe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116cc4b775f43e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8204</xdr:row>
      <xdr:rowOff>19050</xdr:rowOff>
    </xdr:from>
    <xdr:ext cx="1143000" cy="1143000"/>
    <xdr:pic>
      <xdr:nvPicPr>
        <xdr:cNvPr id="8202" name="80fd3756-eefb-4c4a-881e-691d8c2389e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b5f9c63d3514a8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8205</xdr:row>
      <xdr:rowOff>19050</xdr:rowOff>
    </xdr:from>
    <xdr:ext cx="1143000" cy="1143000"/>
    <xdr:pic>
      <xdr:nvPicPr>
        <xdr:cNvPr id="8203" name="3ff04856-b1b8-467c-82ed-18ac4465874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83b003f89ef4b5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8206</xdr:row>
      <xdr:rowOff>19050</xdr:rowOff>
    </xdr:from>
    <xdr:ext cx="1143000" cy="1143000"/>
    <xdr:pic>
      <xdr:nvPicPr>
        <xdr:cNvPr id="8204" name="c6f9b5a5-0e28-49b9-8fc7-307570b1d66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a7cf75e127346b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8207</xdr:row>
      <xdr:rowOff>19050</xdr:rowOff>
    </xdr:from>
    <xdr:ext cx="1143000" cy="1143000"/>
    <xdr:pic>
      <xdr:nvPicPr>
        <xdr:cNvPr id="8205" name="1da29034-2bc3-4317-b56a-15e5c7b210f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ef54edd3582413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8208</xdr:row>
      <xdr:rowOff>19050</xdr:rowOff>
    </xdr:from>
    <xdr:ext cx="1143000" cy="1143000"/>
    <xdr:pic>
      <xdr:nvPicPr>
        <xdr:cNvPr id="8206" name="2df2b0ea-b485-4d66-8893-94a409fc6b3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d9bafec729d46d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8209</xdr:row>
      <xdr:rowOff>19050</xdr:rowOff>
    </xdr:from>
    <xdr:ext cx="1143000" cy="1143000"/>
    <xdr:pic>
      <xdr:nvPicPr>
        <xdr:cNvPr id="8207" name="b54e2573-631d-4622-8db9-1aa4e07c38a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4c2821fa61f408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8210</xdr:row>
      <xdr:rowOff>19050</xdr:rowOff>
    </xdr:from>
    <xdr:ext cx="1143000" cy="1143000"/>
    <xdr:pic>
      <xdr:nvPicPr>
        <xdr:cNvPr id="8208" name="2c2384c2-5899-44d7-b5cf-2ea3cb11093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88499e48ef44de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8211</xdr:row>
      <xdr:rowOff>19050</xdr:rowOff>
    </xdr:from>
    <xdr:ext cx="1143000" cy="1143000"/>
    <xdr:pic>
      <xdr:nvPicPr>
        <xdr:cNvPr id="8209" name="7062c616-96fc-44f4-af33-b78ab3630d5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8121d8ccf4e4c7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8212</xdr:row>
      <xdr:rowOff>19050</xdr:rowOff>
    </xdr:from>
    <xdr:ext cx="1143000" cy="1143000"/>
    <xdr:pic>
      <xdr:nvPicPr>
        <xdr:cNvPr id="8210" name="4d10f80b-5f74-4a7a-996d-ed25aa5af21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fc442532488445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8213</xdr:row>
      <xdr:rowOff>19050</xdr:rowOff>
    </xdr:from>
    <xdr:ext cx="1143000" cy="1143000"/>
    <xdr:pic>
      <xdr:nvPicPr>
        <xdr:cNvPr id="8211" name="7fcbd8bf-2919-4896-8804-387fa9ee9de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cc0ea1d83c0433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8214</xdr:row>
      <xdr:rowOff>19050</xdr:rowOff>
    </xdr:from>
    <xdr:ext cx="1143000" cy="1143000"/>
    <xdr:pic>
      <xdr:nvPicPr>
        <xdr:cNvPr id="8212" name="0c0d987e-6b0f-4cb0-ad78-364aa000937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43eabf99c48442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8215</xdr:row>
      <xdr:rowOff>19050</xdr:rowOff>
    </xdr:from>
    <xdr:ext cx="1143000" cy="1143000"/>
    <xdr:pic>
      <xdr:nvPicPr>
        <xdr:cNvPr id="8213" name="11ca84b2-85f1-412d-a5ee-95c27b4441b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2837658075c4a9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8216</xdr:row>
      <xdr:rowOff>19050</xdr:rowOff>
    </xdr:from>
    <xdr:ext cx="1143000" cy="1143000"/>
    <xdr:pic>
      <xdr:nvPicPr>
        <xdr:cNvPr id="8214" name="7ec82b9e-13fd-4065-8b83-3197963a531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20cf154be54436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8217</xdr:row>
      <xdr:rowOff>19050</xdr:rowOff>
    </xdr:from>
    <xdr:ext cx="1143000" cy="1143000"/>
    <xdr:pic>
      <xdr:nvPicPr>
        <xdr:cNvPr id="8215" name="690796c8-90b4-458b-adc9-000b8116df9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693927f9a9b45f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8218</xdr:row>
      <xdr:rowOff>19050</xdr:rowOff>
    </xdr:from>
    <xdr:ext cx="1143000" cy="1143000"/>
    <xdr:pic>
      <xdr:nvPicPr>
        <xdr:cNvPr id="8216" name="c25903bc-0564-4352-be19-213de741707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016d6e961a44f9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8219</xdr:row>
      <xdr:rowOff>19050</xdr:rowOff>
    </xdr:from>
    <xdr:ext cx="1143000" cy="1143000"/>
    <xdr:pic>
      <xdr:nvPicPr>
        <xdr:cNvPr id="8217" name="f03d0398-7c87-45f3-95be-fb0233a9391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ca3972a757b45f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8220</xdr:row>
      <xdr:rowOff>19050</xdr:rowOff>
    </xdr:from>
    <xdr:ext cx="1143000" cy="1143000"/>
    <xdr:pic>
      <xdr:nvPicPr>
        <xdr:cNvPr id="8218" name="acb4bc8f-f9f8-4fe5-8a10-778bef012b2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edfba13191c45c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8221</xdr:row>
      <xdr:rowOff>19050</xdr:rowOff>
    </xdr:from>
    <xdr:ext cx="1143000" cy="1143000"/>
    <xdr:pic>
      <xdr:nvPicPr>
        <xdr:cNvPr id="8219" name="eb5fe958-770a-40a9-88fe-936baaa7159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9478bda60614ff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8222</xdr:row>
      <xdr:rowOff>19050</xdr:rowOff>
    </xdr:from>
    <xdr:ext cx="1143000" cy="1143000"/>
    <xdr:pic>
      <xdr:nvPicPr>
        <xdr:cNvPr id="8220" name="a68cc389-937a-4835-a679-b0738756364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cb5b028964a4a1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8223</xdr:row>
      <xdr:rowOff>19050</xdr:rowOff>
    </xdr:from>
    <xdr:ext cx="1143000" cy="1143000"/>
    <xdr:pic>
      <xdr:nvPicPr>
        <xdr:cNvPr id="8221" name="8219ef4b-b9c5-48ca-b25d-8ae2a4af0f6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799142dcce941d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8224</xdr:row>
      <xdr:rowOff>19050</xdr:rowOff>
    </xdr:from>
    <xdr:ext cx="1143000" cy="1143000"/>
    <xdr:pic>
      <xdr:nvPicPr>
        <xdr:cNvPr id="8222" name="e86f603c-5f20-43c2-bf91-dfe40528362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805dbf911bf41a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8225</xdr:row>
      <xdr:rowOff>19050</xdr:rowOff>
    </xdr:from>
    <xdr:ext cx="1143000" cy="1143000"/>
    <xdr:pic>
      <xdr:nvPicPr>
        <xdr:cNvPr id="8223" name="dac469b3-a909-43e2-b626-281e364c8a8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ed87add8e44487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8226</xdr:row>
      <xdr:rowOff>19050</xdr:rowOff>
    </xdr:from>
    <xdr:ext cx="1143000" cy="1143000"/>
    <xdr:pic>
      <xdr:nvPicPr>
        <xdr:cNvPr id="8224" name="87a89e4a-19ab-499f-a101-9010ed0313c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18f3263ec29441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8227</xdr:row>
      <xdr:rowOff>19050</xdr:rowOff>
    </xdr:from>
    <xdr:ext cx="1143000" cy="1143000"/>
    <xdr:pic>
      <xdr:nvPicPr>
        <xdr:cNvPr id="8225" name="ea5146d7-6250-498c-b871-76d0906a191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0f2b3e6638b413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8228</xdr:row>
      <xdr:rowOff>19050</xdr:rowOff>
    </xdr:from>
    <xdr:ext cx="1143000" cy="1143000"/>
    <xdr:pic>
      <xdr:nvPicPr>
        <xdr:cNvPr id="8226" name="8396f975-af88-451c-93b7-29cfc6e9e41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78afb49f6b54e0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8229</xdr:row>
      <xdr:rowOff>19050</xdr:rowOff>
    </xdr:from>
    <xdr:ext cx="1143000" cy="1143000"/>
    <xdr:pic>
      <xdr:nvPicPr>
        <xdr:cNvPr id="8227" name="27a182ca-e6b0-4ce7-91f2-89fa969c782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325e867cc8c4eb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8230</xdr:row>
      <xdr:rowOff>19050</xdr:rowOff>
    </xdr:from>
    <xdr:ext cx="1143000" cy="1143000"/>
    <xdr:pic>
      <xdr:nvPicPr>
        <xdr:cNvPr id="8228" name="886e3342-ffe0-4e77-b30b-9e8e100ffc0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c61d4653078402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8231</xdr:row>
      <xdr:rowOff>19050</xdr:rowOff>
    </xdr:from>
    <xdr:ext cx="1143000" cy="1143000"/>
    <xdr:pic>
      <xdr:nvPicPr>
        <xdr:cNvPr id="8229" name="9fb3d89c-b49c-4c0c-a143-752da8d601d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50726781749446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8232</xdr:row>
      <xdr:rowOff>19050</xdr:rowOff>
    </xdr:from>
    <xdr:ext cx="1143000" cy="1143000"/>
    <xdr:pic>
      <xdr:nvPicPr>
        <xdr:cNvPr id="8230" name="cefcd707-8ead-4f21-b970-82d6a261216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276565027b644e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8233</xdr:row>
      <xdr:rowOff>19050</xdr:rowOff>
    </xdr:from>
    <xdr:ext cx="1143000" cy="1143000"/>
    <xdr:pic>
      <xdr:nvPicPr>
        <xdr:cNvPr id="8231" name="679cd03a-a95b-4927-9424-83b0f6c756a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ff791840dad45b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8234</xdr:row>
      <xdr:rowOff>19050</xdr:rowOff>
    </xdr:from>
    <xdr:ext cx="1143000" cy="1143000"/>
    <xdr:pic>
      <xdr:nvPicPr>
        <xdr:cNvPr id="8232" name="916b07eb-cbad-4c00-938e-178ddef2f57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28023c4f9a84ec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8235</xdr:row>
      <xdr:rowOff>19050</xdr:rowOff>
    </xdr:from>
    <xdr:ext cx="1143000" cy="1143000"/>
    <xdr:pic>
      <xdr:nvPicPr>
        <xdr:cNvPr id="8233" name="ed04d03d-1adc-43d8-92aa-34e52392a22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16967378e7e4be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8236</xdr:row>
      <xdr:rowOff>19050</xdr:rowOff>
    </xdr:from>
    <xdr:ext cx="1143000" cy="1143000"/>
    <xdr:pic>
      <xdr:nvPicPr>
        <xdr:cNvPr id="8234" name="20834f16-adfe-4113-9ee9-724318e42e1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e67c98de2d448d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8237</xdr:row>
      <xdr:rowOff>19050</xdr:rowOff>
    </xdr:from>
    <xdr:ext cx="1143000" cy="1143000"/>
    <xdr:pic>
      <xdr:nvPicPr>
        <xdr:cNvPr id="8235" name="5e09b960-aacf-4c0e-972b-47eb621e15a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711c7f69417499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8238</xdr:row>
      <xdr:rowOff>19050</xdr:rowOff>
    </xdr:from>
    <xdr:ext cx="1143000" cy="1143000"/>
    <xdr:pic>
      <xdr:nvPicPr>
        <xdr:cNvPr id="8236" name="407b07a3-fce4-4e4a-8738-3a7bcdad8be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c4b63fb68aa40f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8239</xdr:row>
      <xdr:rowOff>19050</xdr:rowOff>
    </xdr:from>
    <xdr:ext cx="1143000" cy="1143000"/>
    <xdr:pic>
      <xdr:nvPicPr>
        <xdr:cNvPr id="8237" name="f5401a63-7052-4c16-97f0-0474d1a4c66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836d79ce0094be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8240</xdr:row>
      <xdr:rowOff>19050</xdr:rowOff>
    </xdr:from>
    <xdr:ext cx="1143000" cy="1143000"/>
    <xdr:pic>
      <xdr:nvPicPr>
        <xdr:cNvPr id="8238" name="e6ecd2d4-b689-4986-b6e4-9f38d8bb192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95dbeea9f4e499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8241</xdr:row>
      <xdr:rowOff>19050</xdr:rowOff>
    </xdr:from>
    <xdr:ext cx="1143000" cy="1143000"/>
    <xdr:pic>
      <xdr:nvPicPr>
        <xdr:cNvPr id="8239" name="16a76d55-e359-4461-a264-e3063e330bd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01860885ffd41f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8242</xdr:row>
      <xdr:rowOff>19050</xdr:rowOff>
    </xdr:from>
    <xdr:ext cx="1143000" cy="1143000"/>
    <xdr:pic>
      <xdr:nvPicPr>
        <xdr:cNvPr id="8240" name="f451c09b-25ff-44c9-9b9d-6269f171809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86444af3ec84b0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8243</xdr:row>
      <xdr:rowOff>19050</xdr:rowOff>
    </xdr:from>
    <xdr:ext cx="1143000" cy="1143000"/>
    <xdr:pic>
      <xdr:nvPicPr>
        <xdr:cNvPr id="8241" name="74ae7220-a7ee-448e-973d-78022ee6438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1bb8dce145e450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8244</xdr:row>
      <xdr:rowOff>19050</xdr:rowOff>
    </xdr:from>
    <xdr:ext cx="1143000" cy="1143000"/>
    <xdr:pic>
      <xdr:nvPicPr>
        <xdr:cNvPr id="8242" name="d70e6649-8629-4a87-8c61-9ce55ed2e78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19d006ccc384fb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8245</xdr:row>
      <xdr:rowOff>19050</xdr:rowOff>
    </xdr:from>
    <xdr:ext cx="1143000" cy="1143000"/>
    <xdr:pic>
      <xdr:nvPicPr>
        <xdr:cNvPr id="8243" name="4d080783-cffa-46cb-85cb-dcb4a08a854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8fdd2c7684b4fd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8246</xdr:row>
      <xdr:rowOff>19050</xdr:rowOff>
    </xdr:from>
    <xdr:ext cx="1143000" cy="1143000"/>
    <xdr:pic>
      <xdr:nvPicPr>
        <xdr:cNvPr id="8244" name="ca9de0b0-8550-438f-8612-3928453f44a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12bfb642f5c4ca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8247</xdr:row>
      <xdr:rowOff>19050</xdr:rowOff>
    </xdr:from>
    <xdr:ext cx="1143000" cy="1143000"/>
    <xdr:pic>
      <xdr:nvPicPr>
        <xdr:cNvPr id="8245" name="0ace1289-62e2-46db-bf5c-3c63f04a645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4afa0a115fc4ad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8248</xdr:row>
      <xdr:rowOff>19050</xdr:rowOff>
    </xdr:from>
    <xdr:ext cx="1143000" cy="1143000"/>
    <xdr:pic>
      <xdr:nvPicPr>
        <xdr:cNvPr id="8246" name="eeb7a986-c86e-42ae-a2b2-afae076db71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35dd2f7e5fc414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8249</xdr:row>
      <xdr:rowOff>19050</xdr:rowOff>
    </xdr:from>
    <xdr:ext cx="1143000" cy="1143000"/>
    <xdr:pic>
      <xdr:nvPicPr>
        <xdr:cNvPr id="8247" name="5c6c3fe6-7f42-486a-b786-09998d8f6b2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3b6c6f7e0474ee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8250</xdr:row>
      <xdr:rowOff>19050</xdr:rowOff>
    </xdr:from>
    <xdr:ext cx="1143000" cy="1143000"/>
    <xdr:pic>
      <xdr:nvPicPr>
        <xdr:cNvPr id="8248" name="80d397cd-5f0a-4f21-bfc9-79e5a3df764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871c9755dae489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8251</xdr:row>
      <xdr:rowOff>19050</xdr:rowOff>
    </xdr:from>
    <xdr:ext cx="1143000" cy="1143000"/>
    <xdr:pic>
      <xdr:nvPicPr>
        <xdr:cNvPr id="8249" name="c6118a89-0f82-416f-aaa1-bc5c4294275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c6621b8627742f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8252</xdr:row>
      <xdr:rowOff>19050</xdr:rowOff>
    </xdr:from>
    <xdr:ext cx="1143000" cy="1143000"/>
    <xdr:pic>
      <xdr:nvPicPr>
        <xdr:cNvPr id="8250" name="cba922be-f296-4f7e-96ba-8c9aeac6eb3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9ddbc1b912d482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8253</xdr:row>
      <xdr:rowOff>19050</xdr:rowOff>
    </xdr:from>
    <xdr:ext cx="1143000" cy="1143000"/>
    <xdr:pic>
      <xdr:nvPicPr>
        <xdr:cNvPr id="8251" name="2c798770-c021-4412-8f8d-6eda00287eb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78d88c0992c479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8254</xdr:row>
      <xdr:rowOff>19050</xdr:rowOff>
    </xdr:from>
    <xdr:ext cx="1143000" cy="1143000"/>
    <xdr:pic>
      <xdr:nvPicPr>
        <xdr:cNvPr id="8252" name="223806f1-5b12-44e6-af97-c6122fb2449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08acf7271404ba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8255</xdr:row>
      <xdr:rowOff>19050</xdr:rowOff>
    </xdr:from>
    <xdr:ext cx="1143000" cy="1143000"/>
    <xdr:pic>
      <xdr:nvPicPr>
        <xdr:cNvPr id="8253" name="3f06a483-3c61-43a7-9a0b-1aaaef47ad0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540d250ef3a4d6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8256</xdr:row>
      <xdr:rowOff>19050</xdr:rowOff>
    </xdr:from>
    <xdr:ext cx="1143000" cy="1143000"/>
    <xdr:pic>
      <xdr:nvPicPr>
        <xdr:cNvPr id="8254" name="426fd4c2-f1f7-4b5b-a25d-a13111b9b04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78f3f5bffbb448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8257</xdr:row>
      <xdr:rowOff>19050</xdr:rowOff>
    </xdr:from>
    <xdr:ext cx="1143000" cy="1143000"/>
    <xdr:pic>
      <xdr:nvPicPr>
        <xdr:cNvPr id="8255" name="7465f841-ced3-487e-a3e2-5c0e65cdc37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0baf2d7ac6241b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8258</xdr:row>
      <xdr:rowOff>19050</xdr:rowOff>
    </xdr:from>
    <xdr:ext cx="1143000" cy="1143000"/>
    <xdr:pic>
      <xdr:nvPicPr>
        <xdr:cNvPr id="8256" name="be3ad993-8446-49fc-8292-7d99a551d50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5e7ae06fdd2466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8259</xdr:row>
      <xdr:rowOff>19050</xdr:rowOff>
    </xdr:from>
    <xdr:ext cx="1143000" cy="1143000"/>
    <xdr:pic>
      <xdr:nvPicPr>
        <xdr:cNvPr id="8257" name="ccc18409-be0d-4898-9016-8a5bed254c0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1d99eb7a41b4ab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8260</xdr:row>
      <xdr:rowOff>19050</xdr:rowOff>
    </xdr:from>
    <xdr:ext cx="1143000" cy="1143000"/>
    <xdr:pic>
      <xdr:nvPicPr>
        <xdr:cNvPr id="8258" name="c6d0d880-14c5-409e-a9b4-dcd99d13d9f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02a9586ec7b472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8261</xdr:row>
      <xdr:rowOff>19050</xdr:rowOff>
    </xdr:from>
    <xdr:ext cx="1143000" cy="1143000"/>
    <xdr:pic>
      <xdr:nvPicPr>
        <xdr:cNvPr id="8259" name="c0c74623-cafd-473b-ab09-dd68be23e3f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338d3c9d53a4c7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8262</xdr:row>
      <xdr:rowOff>19050</xdr:rowOff>
    </xdr:from>
    <xdr:ext cx="1143000" cy="1143000"/>
    <xdr:pic>
      <xdr:nvPicPr>
        <xdr:cNvPr id="8260" name="76b4d110-a5fb-4251-86dd-c1bf69dcef6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e27a2a54094499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8263</xdr:row>
      <xdr:rowOff>19050</xdr:rowOff>
    </xdr:from>
    <xdr:ext cx="1143000" cy="1143000"/>
    <xdr:pic>
      <xdr:nvPicPr>
        <xdr:cNvPr id="8261" name="57325e32-c933-4492-bfef-b74ccabe282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7e9b2b2a1c249a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8264</xdr:row>
      <xdr:rowOff>19050</xdr:rowOff>
    </xdr:from>
    <xdr:ext cx="1143000" cy="1143000"/>
    <xdr:pic>
      <xdr:nvPicPr>
        <xdr:cNvPr id="8262" name="65969138-5e5e-4b86-804a-3e4b1c2a569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469aef04fb1406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8265</xdr:row>
      <xdr:rowOff>19050</xdr:rowOff>
    </xdr:from>
    <xdr:ext cx="1143000" cy="1143000"/>
    <xdr:pic>
      <xdr:nvPicPr>
        <xdr:cNvPr id="8263" name="c1d91a8d-ad7a-442c-9677-571344a2fd6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8f38f1ad31d433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8266</xdr:row>
      <xdr:rowOff>19050</xdr:rowOff>
    </xdr:from>
    <xdr:ext cx="1143000" cy="1143000"/>
    <xdr:pic>
      <xdr:nvPicPr>
        <xdr:cNvPr id="8264" name="7a094c27-8dd0-49a9-9fae-b593f0f9145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53a190b4e04478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8267</xdr:row>
      <xdr:rowOff>19050</xdr:rowOff>
    </xdr:from>
    <xdr:ext cx="1143000" cy="1143000"/>
    <xdr:pic>
      <xdr:nvPicPr>
        <xdr:cNvPr id="8265" name="b82e297b-14ae-41e6-b173-18c71b0642b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aebc5087e5942f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8268</xdr:row>
      <xdr:rowOff>19050</xdr:rowOff>
    </xdr:from>
    <xdr:ext cx="1143000" cy="1143000"/>
    <xdr:pic>
      <xdr:nvPicPr>
        <xdr:cNvPr id="8266" name="d3777b89-ae55-41e8-b8a8-24f41923089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e05a189e3334cd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8269</xdr:row>
      <xdr:rowOff>19050</xdr:rowOff>
    </xdr:from>
    <xdr:ext cx="1143000" cy="1143000"/>
    <xdr:pic>
      <xdr:nvPicPr>
        <xdr:cNvPr id="8267" name="590f9483-d089-4e76-b66d-4fcb729a79d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bb0956d70c043f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8270</xdr:row>
      <xdr:rowOff>19050</xdr:rowOff>
    </xdr:from>
    <xdr:ext cx="1143000" cy="1143000"/>
    <xdr:pic>
      <xdr:nvPicPr>
        <xdr:cNvPr id="8268" name="7509232a-8be3-4605-87f5-91a184cb540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af8307b13584b7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8271</xdr:row>
      <xdr:rowOff>19050</xdr:rowOff>
    </xdr:from>
    <xdr:ext cx="1143000" cy="1143000"/>
    <xdr:pic>
      <xdr:nvPicPr>
        <xdr:cNvPr id="8269" name="d66f9e8c-4832-4081-adaa-a5383c82031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8d241e35fc04b1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8272</xdr:row>
      <xdr:rowOff>19050</xdr:rowOff>
    </xdr:from>
    <xdr:ext cx="1143000" cy="1143000"/>
    <xdr:pic>
      <xdr:nvPicPr>
        <xdr:cNvPr id="8270" name="e3f93af2-0888-4d20-a535-757f74b9989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ef43576bd56404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8273</xdr:row>
      <xdr:rowOff>19050</xdr:rowOff>
    </xdr:from>
    <xdr:ext cx="1143000" cy="1143000"/>
    <xdr:pic>
      <xdr:nvPicPr>
        <xdr:cNvPr id="8271" name="1d1de2f6-0b08-4b86-a44b-77490903940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2f0bd2ffe7743d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8274</xdr:row>
      <xdr:rowOff>19050</xdr:rowOff>
    </xdr:from>
    <xdr:ext cx="1143000" cy="1143000"/>
    <xdr:pic>
      <xdr:nvPicPr>
        <xdr:cNvPr id="8272" name="b117daa7-53c3-414b-ac2c-1c9e38d4358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501f42340e549c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8275</xdr:row>
      <xdr:rowOff>19050</xdr:rowOff>
    </xdr:from>
    <xdr:ext cx="1143000" cy="1143000"/>
    <xdr:pic>
      <xdr:nvPicPr>
        <xdr:cNvPr id="8273" name="b0ca3f5e-0167-4413-9b3a-80cde31c52f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f12a880145043c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8276</xdr:row>
      <xdr:rowOff>19050</xdr:rowOff>
    </xdr:from>
    <xdr:ext cx="1143000" cy="1143000"/>
    <xdr:pic>
      <xdr:nvPicPr>
        <xdr:cNvPr id="8274" name="77455cfb-1b8f-44c2-872f-89cea380a78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934eedae924463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8277</xdr:row>
      <xdr:rowOff>19050</xdr:rowOff>
    </xdr:from>
    <xdr:ext cx="1143000" cy="1143000"/>
    <xdr:pic>
      <xdr:nvPicPr>
        <xdr:cNvPr id="8275" name="db0bb6fe-0d9a-406b-9ccd-9058f8a3092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b544553c9534c1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8278</xdr:row>
      <xdr:rowOff>19050</xdr:rowOff>
    </xdr:from>
    <xdr:ext cx="1143000" cy="1143000"/>
    <xdr:pic>
      <xdr:nvPicPr>
        <xdr:cNvPr id="8276" name="966ff1e1-a3af-4079-bf7e-3ee7aff2816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02f3d6662954a9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8279</xdr:row>
      <xdr:rowOff>19050</xdr:rowOff>
    </xdr:from>
    <xdr:ext cx="1143000" cy="1143000"/>
    <xdr:pic>
      <xdr:nvPicPr>
        <xdr:cNvPr id="8277" name="10ccb2ff-e4d0-4657-bb95-9cd60db46d3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68aab0da6c34ea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8280</xdr:row>
      <xdr:rowOff>19050</xdr:rowOff>
    </xdr:from>
    <xdr:ext cx="1143000" cy="1143000"/>
    <xdr:pic>
      <xdr:nvPicPr>
        <xdr:cNvPr id="8278" name="13d08f7a-e97c-42f1-a6ec-a2f0abf4b74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bac78b6ba294eb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8281</xdr:row>
      <xdr:rowOff>19050</xdr:rowOff>
    </xdr:from>
    <xdr:ext cx="1143000" cy="1143000"/>
    <xdr:pic>
      <xdr:nvPicPr>
        <xdr:cNvPr id="8279" name="6cbeaa12-ff5f-466d-8d5a-424566c392b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b50ae737a7e449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8282</xdr:row>
      <xdr:rowOff>19050</xdr:rowOff>
    </xdr:from>
    <xdr:ext cx="1143000" cy="1143000"/>
    <xdr:pic>
      <xdr:nvPicPr>
        <xdr:cNvPr id="8280" name="4ba5c45d-f67f-45c5-b2be-d64307a15ab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1b2f28ad5fe467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8283</xdr:row>
      <xdr:rowOff>19050</xdr:rowOff>
    </xdr:from>
    <xdr:ext cx="1143000" cy="1143000"/>
    <xdr:pic>
      <xdr:nvPicPr>
        <xdr:cNvPr id="8281" name="75a39a84-842d-4aa3-9a86-83971eec906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7a48fb4cd10487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8284</xdr:row>
      <xdr:rowOff>19050</xdr:rowOff>
    </xdr:from>
    <xdr:ext cx="1143000" cy="1143000"/>
    <xdr:pic>
      <xdr:nvPicPr>
        <xdr:cNvPr id="8282" name="374698e4-016c-4154-a64a-89b26e620d4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81a2e1d4fc3489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8285</xdr:row>
      <xdr:rowOff>19050</xdr:rowOff>
    </xdr:from>
    <xdr:ext cx="1143000" cy="1143000"/>
    <xdr:pic>
      <xdr:nvPicPr>
        <xdr:cNvPr id="8283" name="794b894b-4f72-4e83-a29e-1baaeaa4e1a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7e51032519b434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8286</xdr:row>
      <xdr:rowOff>19050</xdr:rowOff>
    </xdr:from>
    <xdr:ext cx="1143000" cy="1143000"/>
    <xdr:pic>
      <xdr:nvPicPr>
        <xdr:cNvPr id="8284" name="2fcc5d49-1e80-4f8b-88d0-436050d9e3a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7a94dd56c524ba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8287</xdr:row>
      <xdr:rowOff>19050</xdr:rowOff>
    </xdr:from>
    <xdr:ext cx="1143000" cy="1143000"/>
    <xdr:pic>
      <xdr:nvPicPr>
        <xdr:cNvPr id="8285" name="b4735e60-4056-44ef-8d80-43161e8f4af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81e4557bbfb4c8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8288</xdr:row>
      <xdr:rowOff>19050</xdr:rowOff>
    </xdr:from>
    <xdr:ext cx="1143000" cy="1143000"/>
    <xdr:pic>
      <xdr:nvPicPr>
        <xdr:cNvPr id="8286" name="f1d5b287-8b40-412f-bf6c-a9561f7116a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69cf44779764b5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8289</xdr:row>
      <xdr:rowOff>19050</xdr:rowOff>
    </xdr:from>
    <xdr:ext cx="1143000" cy="1143000"/>
    <xdr:pic>
      <xdr:nvPicPr>
        <xdr:cNvPr id="8287" name="74b0cc17-4b03-4732-ad06-6e30f317f16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6fb54bc3bdf4c4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8290</xdr:row>
      <xdr:rowOff>19050</xdr:rowOff>
    </xdr:from>
    <xdr:ext cx="1143000" cy="1143000"/>
    <xdr:pic>
      <xdr:nvPicPr>
        <xdr:cNvPr id="8288" name="36e15eee-a69b-45f0-a501-682f8af820d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e19e15bc4994a5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8291</xdr:row>
      <xdr:rowOff>19050</xdr:rowOff>
    </xdr:from>
    <xdr:ext cx="1143000" cy="1143000"/>
    <xdr:pic>
      <xdr:nvPicPr>
        <xdr:cNvPr id="8289" name="4eed0eea-a444-48c8-a61a-9206d4a30bd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cbc6d47895d458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8292</xdr:row>
      <xdr:rowOff>19050</xdr:rowOff>
    </xdr:from>
    <xdr:ext cx="1143000" cy="1143000"/>
    <xdr:pic>
      <xdr:nvPicPr>
        <xdr:cNvPr id="8290" name="0288ec0b-e9d8-47d6-9521-4476c780a27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ef6c374d9594f8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8293</xdr:row>
      <xdr:rowOff>19050</xdr:rowOff>
    </xdr:from>
    <xdr:ext cx="1143000" cy="1143000"/>
    <xdr:pic>
      <xdr:nvPicPr>
        <xdr:cNvPr id="8291" name="cf3bc44a-0c58-44bf-88d5-ee006ab38a9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57256a7864b488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8294</xdr:row>
      <xdr:rowOff>19050</xdr:rowOff>
    </xdr:from>
    <xdr:ext cx="1143000" cy="1143000"/>
    <xdr:pic>
      <xdr:nvPicPr>
        <xdr:cNvPr id="8292" name="bea33c1e-373e-47ff-9636-3ff39daa077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c2d49a7a12840e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8295</xdr:row>
      <xdr:rowOff>19050</xdr:rowOff>
    </xdr:from>
    <xdr:ext cx="1143000" cy="1143000"/>
    <xdr:pic>
      <xdr:nvPicPr>
        <xdr:cNvPr id="8293" name="68733492-4c89-4d65-84e4-6527552c809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027ddd8eb5e47d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8296</xdr:row>
      <xdr:rowOff>19050</xdr:rowOff>
    </xdr:from>
    <xdr:ext cx="1143000" cy="1143000"/>
    <xdr:pic>
      <xdr:nvPicPr>
        <xdr:cNvPr id="8294" name="669493aa-4a15-4fe2-8273-152b9df9068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b50413fa37b411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8297</xdr:row>
      <xdr:rowOff>19050</xdr:rowOff>
    </xdr:from>
    <xdr:ext cx="1143000" cy="1143000"/>
    <xdr:pic>
      <xdr:nvPicPr>
        <xdr:cNvPr id="8295" name="35ce7dfc-d885-4cc2-a511-7341879877a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4b7ce66bbec47b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8298</xdr:row>
      <xdr:rowOff>19050</xdr:rowOff>
    </xdr:from>
    <xdr:ext cx="1143000" cy="1143000"/>
    <xdr:pic>
      <xdr:nvPicPr>
        <xdr:cNvPr id="8296" name="92bf5e71-7cb6-4555-a5f3-d48dd96f277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fd54210a9f94af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8299</xdr:row>
      <xdr:rowOff>19050</xdr:rowOff>
    </xdr:from>
    <xdr:ext cx="1143000" cy="1143000"/>
    <xdr:pic>
      <xdr:nvPicPr>
        <xdr:cNvPr id="8297" name="108e0116-33ac-470f-a2cb-574d1c92e78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79babf2c9114c4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8300</xdr:row>
      <xdr:rowOff>19050</xdr:rowOff>
    </xdr:from>
    <xdr:ext cx="1143000" cy="1143000"/>
    <xdr:pic>
      <xdr:nvPicPr>
        <xdr:cNvPr id="8298" name="93353ba8-9698-40f4-95e8-f0c0d6ce2ca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c1866ce77664d2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8301</xdr:row>
      <xdr:rowOff>19050</xdr:rowOff>
    </xdr:from>
    <xdr:ext cx="1143000" cy="1143000"/>
    <xdr:pic>
      <xdr:nvPicPr>
        <xdr:cNvPr id="8299" name="6c984bdf-6554-4f15-b23c-0b8302c4e95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4eb3910ad5f4b7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8302</xdr:row>
      <xdr:rowOff>19050</xdr:rowOff>
    </xdr:from>
    <xdr:ext cx="1143000" cy="1143000"/>
    <xdr:pic>
      <xdr:nvPicPr>
        <xdr:cNvPr id="8300" name="ead273eb-d9fe-4d89-b480-4ad85b1667d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6196b13638646f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8303</xdr:row>
      <xdr:rowOff>19050</xdr:rowOff>
    </xdr:from>
    <xdr:ext cx="1143000" cy="1143000"/>
    <xdr:pic>
      <xdr:nvPicPr>
        <xdr:cNvPr id="8301" name="8e040c78-77f3-4a75-9ccb-5e67db6413d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c84e4c970cd4ba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8304</xdr:row>
      <xdr:rowOff>19050</xdr:rowOff>
    </xdr:from>
    <xdr:ext cx="1143000" cy="1143000"/>
    <xdr:pic>
      <xdr:nvPicPr>
        <xdr:cNvPr id="8302" name="7147223d-8700-413e-bb0e-5fbc1ae7caa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7cbb04cbe1a43f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8305</xdr:row>
      <xdr:rowOff>19050</xdr:rowOff>
    </xdr:from>
    <xdr:ext cx="1143000" cy="1143000"/>
    <xdr:pic>
      <xdr:nvPicPr>
        <xdr:cNvPr id="8303" name="4a76bc07-21e4-43fb-aa96-7a3d7a61d8c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33a5cd9fa2e47e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8306</xdr:row>
      <xdr:rowOff>19050</xdr:rowOff>
    </xdr:from>
    <xdr:ext cx="1143000" cy="1143000"/>
    <xdr:pic>
      <xdr:nvPicPr>
        <xdr:cNvPr id="8304" name="00d11e44-c9a7-4943-9de9-8b6eaccd5a7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48deaad43a84c8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8307</xdr:row>
      <xdr:rowOff>19050</xdr:rowOff>
    </xdr:from>
    <xdr:ext cx="1143000" cy="1143000"/>
    <xdr:pic>
      <xdr:nvPicPr>
        <xdr:cNvPr id="8305" name="f21b162c-28ac-47f6-ad71-63153f2dcc4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0122c068f1543d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8308</xdr:row>
      <xdr:rowOff>19050</xdr:rowOff>
    </xdr:from>
    <xdr:ext cx="1143000" cy="1143000"/>
    <xdr:pic>
      <xdr:nvPicPr>
        <xdr:cNvPr id="8306" name="6ab5ae8a-ec01-4782-82ce-3dae8f45330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c5ff2e6effa466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8309</xdr:row>
      <xdr:rowOff>19050</xdr:rowOff>
    </xdr:from>
    <xdr:ext cx="1143000" cy="1143000"/>
    <xdr:pic>
      <xdr:nvPicPr>
        <xdr:cNvPr id="8307" name="a5d8319d-508a-4734-8253-28efbbd0fe4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a342661c4184d3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8310</xdr:row>
      <xdr:rowOff>19050</xdr:rowOff>
    </xdr:from>
    <xdr:ext cx="1143000" cy="1143000"/>
    <xdr:pic>
      <xdr:nvPicPr>
        <xdr:cNvPr id="8308" name="92e12a1b-b5ad-47ab-9854-9cdaa3edd9e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c3367ddcbda4d5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8311</xdr:row>
      <xdr:rowOff>19050</xdr:rowOff>
    </xdr:from>
    <xdr:ext cx="1143000" cy="1143000"/>
    <xdr:pic>
      <xdr:nvPicPr>
        <xdr:cNvPr id="8309" name="2e3d55dc-6416-4463-9da9-20a99b7e210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bf6464574a743f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8312</xdr:row>
      <xdr:rowOff>19050</xdr:rowOff>
    </xdr:from>
    <xdr:ext cx="1143000" cy="1143000"/>
    <xdr:pic>
      <xdr:nvPicPr>
        <xdr:cNvPr id="8310" name="2c5ee031-fad9-41f4-b1c6-20f7e667610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752d5214b3e41a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8313</xdr:row>
      <xdr:rowOff>19050</xdr:rowOff>
    </xdr:from>
    <xdr:ext cx="1143000" cy="1143000"/>
    <xdr:pic>
      <xdr:nvPicPr>
        <xdr:cNvPr id="8311" name="4fb67101-e854-4a18-87f6-694474adc2c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380e77be8f24b5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8314</xdr:row>
      <xdr:rowOff>19050</xdr:rowOff>
    </xdr:from>
    <xdr:ext cx="1143000" cy="1143000"/>
    <xdr:pic>
      <xdr:nvPicPr>
        <xdr:cNvPr id="8312" name="35ea02fa-b272-4168-9e2a-0736b8fb8d5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e15448dce764e2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8315</xdr:row>
      <xdr:rowOff>19050</xdr:rowOff>
    </xdr:from>
    <xdr:ext cx="1143000" cy="1143000"/>
    <xdr:pic>
      <xdr:nvPicPr>
        <xdr:cNvPr id="8313" name="c9e8c9c9-1b29-4dac-995f-cfb9966ffd2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8b53dffb52241a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8316</xdr:row>
      <xdr:rowOff>19050</xdr:rowOff>
    </xdr:from>
    <xdr:ext cx="1143000" cy="1143000"/>
    <xdr:pic>
      <xdr:nvPicPr>
        <xdr:cNvPr id="8314" name="c2e4bb12-69a6-4b4f-84c2-3ee0eac33fe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00d7994e5e4448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8317</xdr:row>
      <xdr:rowOff>19050</xdr:rowOff>
    </xdr:from>
    <xdr:ext cx="1143000" cy="1143000"/>
    <xdr:pic>
      <xdr:nvPicPr>
        <xdr:cNvPr id="8315" name="3209d448-18f2-4619-bc1e-f4cec44d004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f62f3c2d93a416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8318</xdr:row>
      <xdr:rowOff>19050</xdr:rowOff>
    </xdr:from>
    <xdr:ext cx="1143000" cy="1143000"/>
    <xdr:pic>
      <xdr:nvPicPr>
        <xdr:cNvPr id="8316" name="70dcb6b1-c461-4d4a-bd03-041747f2de4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4ac82f489d1482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8319</xdr:row>
      <xdr:rowOff>19050</xdr:rowOff>
    </xdr:from>
    <xdr:ext cx="1143000" cy="1143000"/>
    <xdr:pic>
      <xdr:nvPicPr>
        <xdr:cNvPr id="8317" name="7dfa9ed6-3a44-47bd-bb0a-a76921c5846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ba6dc929540427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8320</xdr:row>
      <xdr:rowOff>19050</xdr:rowOff>
    </xdr:from>
    <xdr:ext cx="1143000" cy="1143000"/>
    <xdr:pic>
      <xdr:nvPicPr>
        <xdr:cNvPr id="8318" name="11395225-d107-4f76-9966-de9f53117fc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1bf62d13e09420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8321</xdr:row>
      <xdr:rowOff>19050</xdr:rowOff>
    </xdr:from>
    <xdr:ext cx="1143000" cy="1143000"/>
    <xdr:pic>
      <xdr:nvPicPr>
        <xdr:cNvPr id="8319" name="9621bb62-f419-4123-a58d-47f9f82e0cd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78f672ac5d8425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8322</xdr:row>
      <xdr:rowOff>19050</xdr:rowOff>
    </xdr:from>
    <xdr:ext cx="1143000" cy="1143000"/>
    <xdr:pic>
      <xdr:nvPicPr>
        <xdr:cNvPr id="8320" name="3dd37308-2c17-4c23-b2f5-7182f2a00cf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12bc41ab50a4f5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8323</xdr:row>
      <xdr:rowOff>19050</xdr:rowOff>
    </xdr:from>
    <xdr:ext cx="1143000" cy="1143000"/>
    <xdr:pic>
      <xdr:nvPicPr>
        <xdr:cNvPr id="8321" name="d8b15677-722e-4915-94d6-8600fca1628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f2077c22721479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8324</xdr:row>
      <xdr:rowOff>19050</xdr:rowOff>
    </xdr:from>
    <xdr:ext cx="1143000" cy="1143000"/>
    <xdr:pic>
      <xdr:nvPicPr>
        <xdr:cNvPr id="8322" name="fdcc8db5-dbf5-4537-9897-8d042b3ba1c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bfa5018251b465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8325</xdr:row>
      <xdr:rowOff>19050</xdr:rowOff>
    </xdr:from>
    <xdr:ext cx="1143000" cy="1143000"/>
    <xdr:pic>
      <xdr:nvPicPr>
        <xdr:cNvPr id="8323" name="4594758b-836f-4ab9-835e-45b6df06bff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1374aa31d6740c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8326</xdr:row>
      <xdr:rowOff>19050</xdr:rowOff>
    </xdr:from>
    <xdr:ext cx="1143000" cy="1143000"/>
    <xdr:pic>
      <xdr:nvPicPr>
        <xdr:cNvPr id="8324" name="b5a46e37-745e-48d8-ac43-a7759c540dd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8f3769eb4c8467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8327</xdr:row>
      <xdr:rowOff>19050</xdr:rowOff>
    </xdr:from>
    <xdr:ext cx="1143000" cy="1143000"/>
    <xdr:pic>
      <xdr:nvPicPr>
        <xdr:cNvPr id="8325" name="867bfdfc-5139-48a3-aab5-eaa8205996d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a4bd683c15946f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8328</xdr:row>
      <xdr:rowOff>19050</xdr:rowOff>
    </xdr:from>
    <xdr:ext cx="1143000" cy="1143000"/>
    <xdr:pic>
      <xdr:nvPicPr>
        <xdr:cNvPr id="8326" name="d15be64c-a404-4a02-8fb9-2553c0575a9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fab8c38d6b64e0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8329</xdr:row>
      <xdr:rowOff>19050</xdr:rowOff>
    </xdr:from>
    <xdr:ext cx="1143000" cy="1143000"/>
    <xdr:pic>
      <xdr:nvPicPr>
        <xdr:cNvPr id="8327" name="5276cad1-476f-4890-b5c3-e0b9a7ef959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babe7522b8b465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8330</xdr:row>
      <xdr:rowOff>19050</xdr:rowOff>
    </xdr:from>
    <xdr:ext cx="1143000" cy="1143000"/>
    <xdr:pic>
      <xdr:nvPicPr>
        <xdr:cNvPr id="8328" name="548a2bbb-db15-4fb3-a86b-d7556e644ff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b7d286134de4fa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8331</xdr:row>
      <xdr:rowOff>19050</xdr:rowOff>
    </xdr:from>
    <xdr:ext cx="1143000" cy="1143000"/>
    <xdr:pic>
      <xdr:nvPicPr>
        <xdr:cNvPr id="8329" name="f664cb73-3c0c-40e0-90a0-3ebc84f101c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182b05289d2435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8332</xdr:row>
      <xdr:rowOff>19050</xdr:rowOff>
    </xdr:from>
    <xdr:ext cx="1143000" cy="1143000"/>
    <xdr:pic>
      <xdr:nvPicPr>
        <xdr:cNvPr id="8330" name="6452ea69-16b8-4130-9eae-cb0fecdd9f5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94071f3e9b845f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8333</xdr:row>
      <xdr:rowOff>19050</xdr:rowOff>
    </xdr:from>
    <xdr:ext cx="1143000" cy="1143000"/>
    <xdr:pic>
      <xdr:nvPicPr>
        <xdr:cNvPr id="8331" name="b4fcb9d2-1d6f-4252-a4cd-a48cb13cea0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bedc9043ef241c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8334</xdr:row>
      <xdr:rowOff>19050</xdr:rowOff>
    </xdr:from>
    <xdr:ext cx="1143000" cy="1143000"/>
    <xdr:pic>
      <xdr:nvPicPr>
        <xdr:cNvPr id="8332" name="51b0f452-fbeb-4249-be37-1972ca79241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2557371f53e4d5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8335</xdr:row>
      <xdr:rowOff>19050</xdr:rowOff>
    </xdr:from>
    <xdr:ext cx="1143000" cy="1143000"/>
    <xdr:pic>
      <xdr:nvPicPr>
        <xdr:cNvPr id="8333" name="4d93c5c8-94d6-4fa8-93d8-055b395b5cb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3c25223012d4ee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8336</xdr:row>
      <xdr:rowOff>19050</xdr:rowOff>
    </xdr:from>
    <xdr:ext cx="1143000" cy="1143000"/>
    <xdr:pic>
      <xdr:nvPicPr>
        <xdr:cNvPr id="8334" name="8447af8f-0dcf-45dc-844b-19f800f417f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9cce0265f3546f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8337</xdr:row>
      <xdr:rowOff>19050</xdr:rowOff>
    </xdr:from>
    <xdr:ext cx="1143000" cy="1143000"/>
    <xdr:pic>
      <xdr:nvPicPr>
        <xdr:cNvPr id="8335" name="871d73e6-232d-46b8-a3a2-c6932f24be0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ea9d6e018914ff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8338</xdr:row>
      <xdr:rowOff>19050</xdr:rowOff>
    </xdr:from>
    <xdr:ext cx="1143000" cy="1143000"/>
    <xdr:pic>
      <xdr:nvPicPr>
        <xdr:cNvPr id="8336" name="7bc41709-90fb-43fe-a13c-2a4e2368985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ed6367fb3934db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8339</xdr:row>
      <xdr:rowOff>19050</xdr:rowOff>
    </xdr:from>
    <xdr:ext cx="1143000" cy="1143000"/>
    <xdr:pic>
      <xdr:nvPicPr>
        <xdr:cNvPr id="8337" name="a41516d6-170f-4685-9d3c-55d55fad65d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26a54d56918486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8340</xdr:row>
      <xdr:rowOff>19050</xdr:rowOff>
    </xdr:from>
    <xdr:ext cx="1143000" cy="1143000"/>
    <xdr:pic>
      <xdr:nvPicPr>
        <xdr:cNvPr id="8338" name="de2fe44b-1bda-4c78-917f-c87baf4ba1d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7dbbd5513c547c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8341</xdr:row>
      <xdr:rowOff>19050</xdr:rowOff>
    </xdr:from>
    <xdr:ext cx="1143000" cy="1143000"/>
    <xdr:pic>
      <xdr:nvPicPr>
        <xdr:cNvPr id="8339" name="0c4ad764-7be1-4223-bbdc-996634e934c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36d1ba665ea482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8342</xdr:row>
      <xdr:rowOff>19050</xdr:rowOff>
    </xdr:from>
    <xdr:ext cx="1143000" cy="1143000"/>
    <xdr:pic>
      <xdr:nvPicPr>
        <xdr:cNvPr id="8340" name="6336b3a3-e53f-43a4-affb-6ea2b88c984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03cc2e2a3f041c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8343</xdr:row>
      <xdr:rowOff>19050</xdr:rowOff>
    </xdr:from>
    <xdr:ext cx="1143000" cy="1143000"/>
    <xdr:pic>
      <xdr:nvPicPr>
        <xdr:cNvPr id="8341" name="bc7de0d5-4a68-48ea-aae7-273654ac2b6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afb131c2c5e48a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8344</xdr:row>
      <xdr:rowOff>19050</xdr:rowOff>
    </xdr:from>
    <xdr:ext cx="1143000" cy="1143000"/>
    <xdr:pic>
      <xdr:nvPicPr>
        <xdr:cNvPr id="8342" name="23795b3c-a858-46af-94a5-e1d5a66e73e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8ae7f330836417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8345</xdr:row>
      <xdr:rowOff>19050</xdr:rowOff>
    </xdr:from>
    <xdr:ext cx="1143000" cy="1143000"/>
    <xdr:pic>
      <xdr:nvPicPr>
        <xdr:cNvPr id="8343" name="41de4460-7042-4c96-89d4-92b6de49e2f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e44fbf72d624ab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8346</xdr:row>
      <xdr:rowOff>19050</xdr:rowOff>
    </xdr:from>
    <xdr:ext cx="1143000" cy="1143000"/>
    <xdr:pic>
      <xdr:nvPicPr>
        <xdr:cNvPr id="8344" name="6521d1d4-f88d-43c2-a862-8fd98f7eeb0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34425d2bda14de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8347</xdr:row>
      <xdr:rowOff>19050</xdr:rowOff>
    </xdr:from>
    <xdr:ext cx="1143000" cy="1143000"/>
    <xdr:pic>
      <xdr:nvPicPr>
        <xdr:cNvPr id="8345" name="17db65ec-2966-4cca-9972-dd271c4f227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a78f002f872410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8348</xdr:row>
      <xdr:rowOff>19050</xdr:rowOff>
    </xdr:from>
    <xdr:ext cx="1143000" cy="1143000"/>
    <xdr:pic>
      <xdr:nvPicPr>
        <xdr:cNvPr id="8346" name="3dce48fe-154b-4c7a-81d6-25b724443b1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aa1709c52c54a4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8349</xdr:row>
      <xdr:rowOff>19050</xdr:rowOff>
    </xdr:from>
    <xdr:ext cx="1143000" cy="1143000"/>
    <xdr:pic>
      <xdr:nvPicPr>
        <xdr:cNvPr id="8347" name="c771e5b0-821a-43d3-b82b-d10537e24d8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ee23155b69e418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8350</xdr:row>
      <xdr:rowOff>19050</xdr:rowOff>
    </xdr:from>
    <xdr:ext cx="1143000" cy="1143000"/>
    <xdr:pic>
      <xdr:nvPicPr>
        <xdr:cNvPr id="8348" name="93c2232b-d88d-45a5-a6d1-d36ad8ff6c2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6a0cc057a05455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8351</xdr:row>
      <xdr:rowOff>19050</xdr:rowOff>
    </xdr:from>
    <xdr:ext cx="1143000" cy="1143000"/>
    <xdr:pic>
      <xdr:nvPicPr>
        <xdr:cNvPr id="8349" name="3e7c0e61-5c19-44d3-bc14-8e4c5435cae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fd1402522f448c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8352</xdr:row>
      <xdr:rowOff>19050</xdr:rowOff>
    </xdr:from>
    <xdr:ext cx="1143000" cy="1143000"/>
    <xdr:pic>
      <xdr:nvPicPr>
        <xdr:cNvPr id="8350" name="49d0bead-79b3-4f48-aa7c-4383225213e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7b28a5e0a9649e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8353</xdr:row>
      <xdr:rowOff>19050</xdr:rowOff>
    </xdr:from>
    <xdr:ext cx="1143000" cy="1143000"/>
    <xdr:pic>
      <xdr:nvPicPr>
        <xdr:cNvPr id="8351" name="6d11afb4-db18-429b-9f77-0e049c90091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95884bdc89347d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8354</xdr:row>
      <xdr:rowOff>19050</xdr:rowOff>
    </xdr:from>
    <xdr:ext cx="1143000" cy="1143000"/>
    <xdr:pic>
      <xdr:nvPicPr>
        <xdr:cNvPr id="8352" name="b69d25b6-ba3c-4792-8af0-9f3a8c1293b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9d0ce1b4ca34f0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8355</xdr:row>
      <xdr:rowOff>19050</xdr:rowOff>
    </xdr:from>
    <xdr:ext cx="1143000" cy="1143000"/>
    <xdr:pic>
      <xdr:nvPicPr>
        <xdr:cNvPr id="8353" name="717bfd28-aa20-4878-a758-cfb7ff7522f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0f36ba89aa447a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8356</xdr:row>
      <xdr:rowOff>19050</xdr:rowOff>
    </xdr:from>
    <xdr:ext cx="1143000" cy="1143000"/>
    <xdr:pic>
      <xdr:nvPicPr>
        <xdr:cNvPr id="8354" name="cd29144d-de45-47a0-9cbb-250b9060975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6205e9a9284414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8357</xdr:row>
      <xdr:rowOff>19050</xdr:rowOff>
    </xdr:from>
    <xdr:ext cx="1143000" cy="1143000"/>
    <xdr:pic>
      <xdr:nvPicPr>
        <xdr:cNvPr id="8355" name="08b7cf54-2616-4c35-8977-480e45077e4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25ea0feaa7042b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8358</xdr:row>
      <xdr:rowOff>19050</xdr:rowOff>
    </xdr:from>
    <xdr:ext cx="1143000" cy="1143000"/>
    <xdr:pic>
      <xdr:nvPicPr>
        <xdr:cNvPr id="8356" name="696c40de-4486-4a82-b8bc-274b6d2feaf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6196c234871431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8359</xdr:row>
      <xdr:rowOff>19050</xdr:rowOff>
    </xdr:from>
    <xdr:ext cx="1143000" cy="1143000"/>
    <xdr:pic>
      <xdr:nvPicPr>
        <xdr:cNvPr id="8357" name="b9429fb0-c63f-4213-875d-5d7fa6f077f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3ac8292b67945c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8360</xdr:row>
      <xdr:rowOff>19050</xdr:rowOff>
    </xdr:from>
    <xdr:ext cx="1143000" cy="1143000"/>
    <xdr:pic>
      <xdr:nvPicPr>
        <xdr:cNvPr id="8358" name="5459c2e4-c7ca-4b24-94de-905e8fa613b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fce8858236041d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8361</xdr:row>
      <xdr:rowOff>19050</xdr:rowOff>
    </xdr:from>
    <xdr:ext cx="1143000" cy="1143000"/>
    <xdr:pic>
      <xdr:nvPicPr>
        <xdr:cNvPr id="8359" name="2b9f617b-86ce-4583-81d2-6362b6374ef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a2cb9f1ad70465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8362</xdr:row>
      <xdr:rowOff>19050</xdr:rowOff>
    </xdr:from>
    <xdr:ext cx="1143000" cy="1143000"/>
    <xdr:pic>
      <xdr:nvPicPr>
        <xdr:cNvPr id="8360" name="8f5e4462-0131-47cd-b670-0d80e7303a7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7e0d031a37445d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8363</xdr:row>
      <xdr:rowOff>19050</xdr:rowOff>
    </xdr:from>
    <xdr:ext cx="1143000" cy="1143000"/>
    <xdr:pic>
      <xdr:nvPicPr>
        <xdr:cNvPr id="8361" name="88c12b8e-37ac-4a47-bfb1-b0a6749384f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1c4c880da454b9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8364</xdr:row>
      <xdr:rowOff>19050</xdr:rowOff>
    </xdr:from>
    <xdr:ext cx="1143000" cy="1143000"/>
    <xdr:pic>
      <xdr:nvPicPr>
        <xdr:cNvPr id="8362" name="52948b74-c215-4b90-942f-3d4eaba0d5e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55b9d6a224944a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8365</xdr:row>
      <xdr:rowOff>19050</xdr:rowOff>
    </xdr:from>
    <xdr:ext cx="1143000" cy="1143000"/>
    <xdr:pic>
      <xdr:nvPicPr>
        <xdr:cNvPr id="8363" name="447e2130-4fb9-440d-8769-89d27d01df6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835ab4957914b1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8366</xdr:row>
      <xdr:rowOff>19050</xdr:rowOff>
    </xdr:from>
    <xdr:ext cx="1143000" cy="1143000"/>
    <xdr:pic>
      <xdr:nvPicPr>
        <xdr:cNvPr id="8364" name="36c96ba0-3bfd-4acf-8bfd-fe7378054d1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ed33eb08833461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8367</xdr:row>
      <xdr:rowOff>19050</xdr:rowOff>
    </xdr:from>
    <xdr:ext cx="1143000" cy="1143000"/>
    <xdr:pic>
      <xdr:nvPicPr>
        <xdr:cNvPr id="8365" name="4916d21c-7696-41cf-ae36-5e11eeae5cf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a55ede58f824d0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8368</xdr:row>
      <xdr:rowOff>19050</xdr:rowOff>
    </xdr:from>
    <xdr:ext cx="1143000" cy="1143000"/>
    <xdr:pic>
      <xdr:nvPicPr>
        <xdr:cNvPr id="8366" name="c91dab75-825a-45f0-a87f-868b238106f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913ef0cab834dd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8369</xdr:row>
      <xdr:rowOff>19050</xdr:rowOff>
    </xdr:from>
    <xdr:ext cx="1143000" cy="1143000"/>
    <xdr:pic>
      <xdr:nvPicPr>
        <xdr:cNvPr id="8367" name="d2688a13-8c04-4dc4-8a1e-a5fcfea1f9c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e9d41f984134a8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8370</xdr:row>
      <xdr:rowOff>19050</xdr:rowOff>
    </xdr:from>
    <xdr:ext cx="1143000" cy="1143000"/>
    <xdr:pic>
      <xdr:nvPicPr>
        <xdr:cNvPr id="8368" name="2655f051-c889-4306-9c2f-b4dc0787e52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59beeb4ce0e4fe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8371</xdr:row>
      <xdr:rowOff>19050</xdr:rowOff>
    </xdr:from>
    <xdr:ext cx="1143000" cy="1143000"/>
    <xdr:pic>
      <xdr:nvPicPr>
        <xdr:cNvPr id="8369" name="9df398d4-43f4-4ba1-9544-6afddb7baca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3e499b841fe41a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8372</xdr:row>
      <xdr:rowOff>19050</xdr:rowOff>
    </xdr:from>
    <xdr:ext cx="1143000" cy="1143000"/>
    <xdr:pic>
      <xdr:nvPicPr>
        <xdr:cNvPr id="8370" name="a3d0d653-648b-45ea-8172-c96de121702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cede640ae4348c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8373</xdr:row>
      <xdr:rowOff>19050</xdr:rowOff>
    </xdr:from>
    <xdr:ext cx="1143000" cy="1143000"/>
    <xdr:pic>
      <xdr:nvPicPr>
        <xdr:cNvPr id="8371" name="08e48238-7497-4323-bb08-5bb1ac41b78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21a2de47cf64ef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8374</xdr:row>
      <xdr:rowOff>19050</xdr:rowOff>
    </xdr:from>
    <xdr:ext cx="1143000" cy="1143000"/>
    <xdr:pic>
      <xdr:nvPicPr>
        <xdr:cNvPr id="8372" name="776aea55-257f-4425-9710-2a11c5fbf5f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1b245d39a3a4bc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8375</xdr:row>
      <xdr:rowOff>19050</xdr:rowOff>
    </xdr:from>
    <xdr:ext cx="1143000" cy="1143000"/>
    <xdr:pic>
      <xdr:nvPicPr>
        <xdr:cNvPr id="8373" name="bf29ac78-a9b2-4ae1-a306-915e3f27e85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31fb17f1850440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8376</xdr:row>
      <xdr:rowOff>19050</xdr:rowOff>
    </xdr:from>
    <xdr:ext cx="1143000" cy="1143000"/>
    <xdr:pic>
      <xdr:nvPicPr>
        <xdr:cNvPr id="8374" name="97ffa1c6-b376-4fd0-bfdb-60cc12c5839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4095d73e29a4e9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8377</xdr:row>
      <xdr:rowOff>19050</xdr:rowOff>
    </xdr:from>
    <xdr:ext cx="1143000" cy="1143000"/>
    <xdr:pic>
      <xdr:nvPicPr>
        <xdr:cNvPr id="8375" name="986c4878-21e9-4afc-8dd8-b86d6fd0bec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ab299e2fc5b44f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8378</xdr:row>
      <xdr:rowOff>19050</xdr:rowOff>
    </xdr:from>
    <xdr:ext cx="1143000" cy="1143000"/>
    <xdr:pic>
      <xdr:nvPicPr>
        <xdr:cNvPr id="8376" name="83966e30-fa60-41fa-958c-1b6d48c749a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287d64f979c467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8379</xdr:row>
      <xdr:rowOff>19050</xdr:rowOff>
    </xdr:from>
    <xdr:ext cx="1143000" cy="1143000"/>
    <xdr:pic>
      <xdr:nvPicPr>
        <xdr:cNvPr id="8377" name="ed18395c-248c-4e00-86d1-6a0ad8d21d6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8ebfc2c283a423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8380</xdr:row>
      <xdr:rowOff>19050</xdr:rowOff>
    </xdr:from>
    <xdr:ext cx="1143000" cy="1143000"/>
    <xdr:pic>
      <xdr:nvPicPr>
        <xdr:cNvPr id="8378" name="514eb13c-5eb2-42c5-aca4-d1f211722ea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a2404154933464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8381</xdr:row>
      <xdr:rowOff>19050</xdr:rowOff>
    </xdr:from>
    <xdr:ext cx="1143000" cy="1143000"/>
    <xdr:pic>
      <xdr:nvPicPr>
        <xdr:cNvPr id="8379" name="cb0a479c-e899-436a-9864-653e95c08f6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a5978601d374a9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8382</xdr:row>
      <xdr:rowOff>19050</xdr:rowOff>
    </xdr:from>
    <xdr:ext cx="1143000" cy="1143000"/>
    <xdr:pic>
      <xdr:nvPicPr>
        <xdr:cNvPr id="8380" name="1636a1b8-6d3c-4b1e-acc5-9fb46500cb5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32971444b404b4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8383</xdr:row>
      <xdr:rowOff>19050</xdr:rowOff>
    </xdr:from>
    <xdr:ext cx="1143000" cy="1143000"/>
    <xdr:pic>
      <xdr:nvPicPr>
        <xdr:cNvPr id="8381" name="8cd4ff11-484f-4a30-a7a1-1274335180d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6152429aecc417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8384</xdr:row>
      <xdr:rowOff>19050</xdr:rowOff>
    </xdr:from>
    <xdr:ext cx="1143000" cy="1143000"/>
    <xdr:pic>
      <xdr:nvPicPr>
        <xdr:cNvPr id="8382" name="97732052-637b-486b-bd97-3f512db8320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4cb3f92b097452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8385</xdr:row>
      <xdr:rowOff>19050</xdr:rowOff>
    </xdr:from>
    <xdr:ext cx="1143000" cy="1143000"/>
    <xdr:pic>
      <xdr:nvPicPr>
        <xdr:cNvPr id="8383" name="744f69e7-28fb-42f5-b88a-20db19d75fb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74dfc9f52f74a4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8386</xdr:row>
      <xdr:rowOff>19050</xdr:rowOff>
    </xdr:from>
    <xdr:ext cx="1143000" cy="1143000"/>
    <xdr:pic>
      <xdr:nvPicPr>
        <xdr:cNvPr id="8384" name="c000d573-6261-49b9-a876-9e59a012e06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6e06c365365476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8387</xdr:row>
      <xdr:rowOff>19050</xdr:rowOff>
    </xdr:from>
    <xdr:ext cx="1143000" cy="1143000"/>
    <xdr:pic>
      <xdr:nvPicPr>
        <xdr:cNvPr id="8385" name="40d18f13-715f-435d-bf85-2d9e2ecc59e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0337fcadfda43a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8388</xdr:row>
      <xdr:rowOff>19050</xdr:rowOff>
    </xdr:from>
    <xdr:ext cx="1143000" cy="1143000"/>
    <xdr:pic>
      <xdr:nvPicPr>
        <xdr:cNvPr id="8386" name="b78546ab-e546-43a2-a4a5-38060589f61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ee075071a9b409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8389</xdr:row>
      <xdr:rowOff>19050</xdr:rowOff>
    </xdr:from>
    <xdr:ext cx="1143000" cy="1143000"/>
    <xdr:pic>
      <xdr:nvPicPr>
        <xdr:cNvPr id="8387" name="489d5ffd-fa00-408c-8b19-7365c89e148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88acf9c11c541a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8390</xdr:row>
      <xdr:rowOff>19050</xdr:rowOff>
    </xdr:from>
    <xdr:ext cx="1143000" cy="1143000"/>
    <xdr:pic>
      <xdr:nvPicPr>
        <xdr:cNvPr id="8388" name="b691340d-eb74-46cf-be45-e5b869714bc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9182a7771eb465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8391</xdr:row>
      <xdr:rowOff>19050</xdr:rowOff>
    </xdr:from>
    <xdr:ext cx="1143000" cy="1143000"/>
    <xdr:pic>
      <xdr:nvPicPr>
        <xdr:cNvPr id="8389" name="bc5c17fa-8e7c-412f-97ac-05eb2ba0522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91d7dae41a0437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8392</xdr:row>
      <xdr:rowOff>19050</xdr:rowOff>
    </xdr:from>
    <xdr:ext cx="1143000" cy="1143000"/>
    <xdr:pic>
      <xdr:nvPicPr>
        <xdr:cNvPr id="8390" name="dc85f434-79a6-4b50-a440-9181efa70db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a4b8c73b4cd49e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8393</xdr:row>
      <xdr:rowOff>19050</xdr:rowOff>
    </xdr:from>
    <xdr:ext cx="1143000" cy="1143000"/>
    <xdr:pic>
      <xdr:nvPicPr>
        <xdr:cNvPr id="8391" name="d6943ba5-ea68-4ddb-ad4f-3a99074230a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5d916f70591460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8394</xdr:row>
      <xdr:rowOff>19050</xdr:rowOff>
    </xdr:from>
    <xdr:ext cx="1143000" cy="1143000"/>
    <xdr:pic>
      <xdr:nvPicPr>
        <xdr:cNvPr id="8392" name="cfb19143-880d-47d3-a197-d5084ee3ab1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5ad133a4dcf40b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8395</xdr:row>
      <xdr:rowOff>19050</xdr:rowOff>
    </xdr:from>
    <xdr:ext cx="1143000" cy="1143000"/>
    <xdr:pic>
      <xdr:nvPicPr>
        <xdr:cNvPr id="8393" name="29cbfa1f-574f-4b91-83e4-72be143faf5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fc1e22320594a6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8396</xdr:row>
      <xdr:rowOff>19050</xdr:rowOff>
    </xdr:from>
    <xdr:ext cx="1143000" cy="1143000"/>
    <xdr:pic>
      <xdr:nvPicPr>
        <xdr:cNvPr id="8394" name="72f05e29-1b21-4a42-a8ad-4df03a96a9e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c2dfff5f033433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8397</xdr:row>
      <xdr:rowOff>19050</xdr:rowOff>
    </xdr:from>
    <xdr:ext cx="1143000" cy="1143000"/>
    <xdr:pic>
      <xdr:nvPicPr>
        <xdr:cNvPr id="8395" name="62adc921-44c8-4c33-b796-3c2fdd63c56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2d3c1f20cdd49c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8398</xdr:row>
      <xdr:rowOff>19050</xdr:rowOff>
    </xdr:from>
    <xdr:ext cx="1143000" cy="1143000"/>
    <xdr:pic>
      <xdr:nvPicPr>
        <xdr:cNvPr id="8396" name="476de5fa-30c6-4b2d-8826-2c05763fe5c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a52c7c9c170434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8399</xdr:row>
      <xdr:rowOff>19050</xdr:rowOff>
    </xdr:from>
    <xdr:ext cx="1143000" cy="1143000"/>
    <xdr:pic>
      <xdr:nvPicPr>
        <xdr:cNvPr id="8397" name="cfb872a3-531a-44e3-8f9a-1d39967088f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4d6083dcab5438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8400</xdr:row>
      <xdr:rowOff>19050</xdr:rowOff>
    </xdr:from>
    <xdr:ext cx="1143000" cy="1143000"/>
    <xdr:pic>
      <xdr:nvPicPr>
        <xdr:cNvPr id="8398" name="4ff4806e-d02a-4aed-8c07-911943f8d25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c248ea619b4462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8401</xdr:row>
      <xdr:rowOff>19050</xdr:rowOff>
    </xdr:from>
    <xdr:ext cx="1143000" cy="1143000"/>
    <xdr:pic>
      <xdr:nvPicPr>
        <xdr:cNvPr id="8399" name="6094891d-9749-42ff-822c-de2e1f68383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ac6327b6a5b432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8402</xdr:row>
      <xdr:rowOff>19050</xdr:rowOff>
    </xdr:from>
    <xdr:ext cx="1143000" cy="1143000"/>
    <xdr:pic>
      <xdr:nvPicPr>
        <xdr:cNvPr id="8400" name="95ee5e96-08ec-447a-a7c1-5a80e16a2d8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b7a4af53689496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8403</xdr:row>
      <xdr:rowOff>19050</xdr:rowOff>
    </xdr:from>
    <xdr:ext cx="1143000" cy="1143000"/>
    <xdr:pic>
      <xdr:nvPicPr>
        <xdr:cNvPr id="8401" name="281af52c-93e0-4220-81c9-ba866dfcac0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f1813b76d7f434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8404</xdr:row>
      <xdr:rowOff>19050</xdr:rowOff>
    </xdr:from>
    <xdr:ext cx="1143000" cy="1143000"/>
    <xdr:pic>
      <xdr:nvPicPr>
        <xdr:cNvPr id="8402" name="af6246c9-ddd9-4a25-a7d1-976efaa816f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e0734ea45f547a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8405</xdr:row>
      <xdr:rowOff>19050</xdr:rowOff>
    </xdr:from>
    <xdr:ext cx="1143000" cy="1143000"/>
    <xdr:pic>
      <xdr:nvPicPr>
        <xdr:cNvPr id="8403" name="96df59bb-fe13-4b62-8209-fb532914a22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69bc0c1377b414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8406</xdr:row>
      <xdr:rowOff>19050</xdr:rowOff>
    </xdr:from>
    <xdr:ext cx="1143000" cy="1143000"/>
    <xdr:pic>
      <xdr:nvPicPr>
        <xdr:cNvPr id="8404" name="82645498-4811-4305-913e-7fe305fe931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5f76178849a451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8407</xdr:row>
      <xdr:rowOff>19050</xdr:rowOff>
    </xdr:from>
    <xdr:ext cx="1143000" cy="1143000"/>
    <xdr:pic>
      <xdr:nvPicPr>
        <xdr:cNvPr id="8405" name="fbabf659-bc2b-4088-a932-a34230f0ebd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fb26e527d23494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8408</xdr:row>
      <xdr:rowOff>19050</xdr:rowOff>
    </xdr:from>
    <xdr:ext cx="1143000" cy="1143000"/>
    <xdr:pic>
      <xdr:nvPicPr>
        <xdr:cNvPr id="8406" name="38b4ec8e-a96f-4a24-829f-8ea555acede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5d60ce3c2c347a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8409</xdr:row>
      <xdr:rowOff>19050</xdr:rowOff>
    </xdr:from>
    <xdr:ext cx="1143000" cy="1143000"/>
    <xdr:pic>
      <xdr:nvPicPr>
        <xdr:cNvPr id="8407" name="8cab0fc9-2671-4604-848f-85b4ac7cc87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efe6d220ee348d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8410</xdr:row>
      <xdr:rowOff>19050</xdr:rowOff>
    </xdr:from>
    <xdr:ext cx="1143000" cy="1143000"/>
    <xdr:pic>
      <xdr:nvPicPr>
        <xdr:cNvPr id="8408" name="fc2ae577-65b6-4da7-acfd-260753e3fe3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7da4e4fe86d41a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8411</xdr:row>
      <xdr:rowOff>19050</xdr:rowOff>
    </xdr:from>
    <xdr:ext cx="1143000" cy="1143000"/>
    <xdr:pic>
      <xdr:nvPicPr>
        <xdr:cNvPr id="8409" name="da4e73e2-a1fb-4cb6-b2dc-72e636751ea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1358da2e9014e3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8412</xdr:row>
      <xdr:rowOff>19050</xdr:rowOff>
    </xdr:from>
    <xdr:ext cx="1143000" cy="1143000"/>
    <xdr:pic>
      <xdr:nvPicPr>
        <xdr:cNvPr id="8410" name="bcfa998d-3ffe-480b-a9d5-a48bb72abc8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da129d76d3d4ec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8413</xdr:row>
      <xdr:rowOff>19050</xdr:rowOff>
    </xdr:from>
    <xdr:ext cx="1143000" cy="1143000"/>
    <xdr:pic>
      <xdr:nvPicPr>
        <xdr:cNvPr id="8411" name="9ef2a932-c926-446e-8451-375f1e9c567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af683fe76974cb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8414</xdr:row>
      <xdr:rowOff>19050</xdr:rowOff>
    </xdr:from>
    <xdr:ext cx="1143000" cy="1143000"/>
    <xdr:pic>
      <xdr:nvPicPr>
        <xdr:cNvPr id="8412" name="8832eaa0-18c9-4eb0-a557-35fc2260cce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7609ebb4a804ed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8415</xdr:row>
      <xdr:rowOff>19050</xdr:rowOff>
    </xdr:from>
    <xdr:ext cx="1143000" cy="1143000"/>
    <xdr:pic>
      <xdr:nvPicPr>
        <xdr:cNvPr id="8413" name="e892d6de-1875-4e6b-96ab-f9edd5914c3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30bcecabd824a2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8416</xdr:row>
      <xdr:rowOff>19050</xdr:rowOff>
    </xdr:from>
    <xdr:ext cx="1143000" cy="1143000"/>
    <xdr:pic>
      <xdr:nvPicPr>
        <xdr:cNvPr id="8414" name="5b560318-7a36-47ac-806f-acc70f1620b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dee77361ea6484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8417</xdr:row>
      <xdr:rowOff>19050</xdr:rowOff>
    </xdr:from>
    <xdr:ext cx="1143000" cy="1143000"/>
    <xdr:pic>
      <xdr:nvPicPr>
        <xdr:cNvPr id="8415" name="2c74c7c3-8108-4a4a-8d48-06eb6fcba83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e4a1c1edf1e458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8418</xdr:row>
      <xdr:rowOff>19050</xdr:rowOff>
    </xdr:from>
    <xdr:ext cx="1143000" cy="1143000"/>
    <xdr:pic>
      <xdr:nvPicPr>
        <xdr:cNvPr id="8416" name="994623fc-ad1b-400a-854b-2f4fe206783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5c0243af2a94e7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8419</xdr:row>
      <xdr:rowOff>19050</xdr:rowOff>
    </xdr:from>
    <xdr:ext cx="1143000" cy="1143000"/>
    <xdr:pic>
      <xdr:nvPicPr>
        <xdr:cNvPr id="8417" name="d33ac20e-9368-45c1-9346-badb7904428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5c5694a52334b4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8420</xdr:row>
      <xdr:rowOff>19050</xdr:rowOff>
    </xdr:from>
    <xdr:ext cx="1143000" cy="1143000"/>
    <xdr:pic>
      <xdr:nvPicPr>
        <xdr:cNvPr id="8418" name="9267ca19-b7c3-43a3-8926-a5e8154078f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337f15e0ecb464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8421</xdr:row>
      <xdr:rowOff>19050</xdr:rowOff>
    </xdr:from>
    <xdr:ext cx="1143000" cy="1143000"/>
    <xdr:pic>
      <xdr:nvPicPr>
        <xdr:cNvPr id="8419" name="4fdef9c0-9baa-41f1-acef-5d4913b87fb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8729e456cc342e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8422</xdr:row>
      <xdr:rowOff>19050</xdr:rowOff>
    </xdr:from>
    <xdr:ext cx="1143000" cy="1143000"/>
    <xdr:pic>
      <xdr:nvPicPr>
        <xdr:cNvPr id="8420" name="9d583f00-6fbe-4278-9405-4a288bc85bc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71c97c75b764d8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8423</xdr:row>
      <xdr:rowOff>19050</xdr:rowOff>
    </xdr:from>
    <xdr:ext cx="1143000" cy="1143000"/>
    <xdr:pic>
      <xdr:nvPicPr>
        <xdr:cNvPr id="8421" name="53d3cfff-de9e-4b64-b74c-44dbc720e9f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0ff637e793b410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8424</xdr:row>
      <xdr:rowOff>19050</xdr:rowOff>
    </xdr:from>
    <xdr:ext cx="1143000" cy="1143000"/>
    <xdr:pic>
      <xdr:nvPicPr>
        <xdr:cNvPr id="8422" name="2d92c4e0-e01d-4d24-810c-de03deb9c61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6fecd39a045484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8425</xdr:row>
      <xdr:rowOff>19050</xdr:rowOff>
    </xdr:from>
    <xdr:ext cx="1143000" cy="1143000"/>
    <xdr:pic>
      <xdr:nvPicPr>
        <xdr:cNvPr id="8423" name="4720bb00-eb2e-4106-afdf-8c94005e69c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5520e6a95db461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8426</xdr:row>
      <xdr:rowOff>19050</xdr:rowOff>
    </xdr:from>
    <xdr:ext cx="1143000" cy="1143000"/>
    <xdr:pic>
      <xdr:nvPicPr>
        <xdr:cNvPr id="8424" name="07646605-3383-4abc-a270-49a510e1d15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f99bf7420bb462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8427</xdr:row>
      <xdr:rowOff>19050</xdr:rowOff>
    </xdr:from>
    <xdr:ext cx="1143000" cy="1143000"/>
    <xdr:pic>
      <xdr:nvPicPr>
        <xdr:cNvPr id="8425" name="1107c62e-ecd3-4d10-aa6d-8d517d1aaa1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bf22f5079a7468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8428</xdr:row>
      <xdr:rowOff>19050</xdr:rowOff>
    </xdr:from>
    <xdr:ext cx="1143000" cy="1143000"/>
    <xdr:pic>
      <xdr:nvPicPr>
        <xdr:cNvPr id="8426" name="ee077243-1d6f-40dd-a4c2-3cbae176584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9576ea129ba448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8429</xdr:row>
      <xdr:rowOff>19050</xdr:rowOff>
    </xdr:from>
    <xdr:ext cx="1143000" cy="1143000"/>
    <xdr:pic>
      <xdr:nvPicPr>
        <xdr:cNvPr id="8427" name="1184b5b4-fdb3-477f-8c9e-9765c24f767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731281a29f24cd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8430</xdr:row>
      <xdr:rowOff>19050</xdr:rowOff>
    </xdr:from>
    <xdr:ext cx="1143000" cy="1143000"/>
    <xdr:pic>
      <xdr:nvPicPr>
        <xdr:cNvPr id="8428" name="a76e82af-960b-448e-bb8d-92a66740f0f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1c7c8616e12459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8431</xdr:row>
      <xdr:rowOff>19050</xdr:rowOff>
    </xdr:from>
    <xdr:ext cx="1143000" cy="1143000"/>
    <xdr:pic>
      <xdr:nvPicPr>
        <xdr:cNvPr id="8429" name="11271172-45dc-4573-aa23-308cabb08ee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31baf96eab74f9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8432</xdr:row>
      <xdr:rowOff>19050</xdr:rowOff>
    </xdr:from>
    <xdr:ext cx="1143000" cy="1143000"/>
    <xdr:pic>
      <xdr:nvPicPr>
        <xdr:cNvPr id="8430" name="782c4715-2522-4b21-af72-a16b84559a3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86b98f83ea8487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8433</xdr:row>
      <xdr:rowOff>19050</xdr:rowOff>
    </xdr:from>
    <xdr:ext cx="1143000" cy="1143000"/>
    <xdr:pic>
      <xdr:nvPicPr>
        <xdr:cNvPr id="8431" name="69e5690b-afb5-421c-8708-368163846f4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7410b08f72d48a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8434</xdr:row>
      <xdr:rowOff>19050</xdr:rowOff>
    </xdr:from>
    <xdr:ext cx="1143000" cy="1143000"/>
    <xdr:pic>
      <xdr:nvPicPr>
        <xdr:cNvPr id="8432" name="76be1b3a-c5b3-4adf-990f-a0e218c73f4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e51669749e2432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8435</xdr:row>
      <xdr:rowOff>19050</xdr:rowOff>
    </xdr:from>
    <xdr:ext cx="1143000" cy="1143000"/>
    <xdr:pic>
      <xdr:nvPicPr>
        <xdr:cNvPr id="8433" name="04acdfc6-6d85-41e1-a0f1-517980a33ea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19b967a16b346c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8436</xdr:row>
      <xdr:rowOff>19050</xdr:rowOff>
    </xdr:from>
    <xdr:ext cx="1143000" cy="1143000"/>
    <xdr:pic>
      <xdr:nvPicPr>
        <xdr:cNvPr id="8434" name="89785e91-5fa6-44b0-be37-562d06787c4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9bc1cf8b0974eb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8437</xdr:row>
      <xdr:rowOff>19050</xdr:rowOff>
    </xdr:from>
    <xdr:ext cx="1143000" cy="1143000"/>
    <xdr:pic>
      <xdr:nvPicPr>
        <xdr:cNvPr id="8435" name="4e8f784c-6da4-40f6-9d36-468ff7bf2c6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6fe976537d746d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8438</xdr:row>
      <xdr:rowOff>19050</xdr:rowOff>
    </xdr:from>
    <xdr:ext cx="1143000" cy="1143000"/>
    <xdr:pic>
      <xdr:nvPicPr>
        <xdr:cNvPr id="8436" name="ede54032-d70b-4043-ae0c-42ad8d48178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34ecfaaaa28467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8439</xdr:row>
      <xdr:rowOff>19050</xdr:rowOff>
    </xdr:from>
    <xdr:ext cx="1143000" cy="1143000"/>
    <xdr:pic>
      <xdr:nvPicPr>
        <xdr:cNvPr id="8437" name="a4709f68-8109-4ab3-bd70-d87e959b5bb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e019b3e9fdf4ee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8440</xdr:row>
      <xdr:rowOff>19050</xdr:rowOff>
    </xdr:from>
    <xdr:ext cx="1143000" cy="1143000"/>
    <xdr:pic>
      <xdr:nvPicPr>
        <xdr:cNvPr id="8438" name="28966894-a78c-4c5e-ae6d-c9e8f9df36f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063f42a68c04c2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8441</xdr:row>
      <xdr:rowOff>19050</xdr:rowOff>
    </xdr:from>
    <xdr:ext cx="1143000" cy="1143000"/>
    <xdr:pic>
      <xdr:nvPicPr>
        <xdr:cNvPr id="8439" name="fe7f7668-a27e-4497-a929-881846589de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530a67889754be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8442</xdr:row>
      <xdr:rowOff>19050</xdr:rowOff>
    </xdr:from>
    <xdr:ext cx="1143000" cy="1143000"/>
    <xdr:pic>
      <xdr:nvPicPr>
        <xdr:cNvPr id="8440" name="bd8b24dd-a4f6-4053-b59c-cabc8f83783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a6a9e3b1a47498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8443</xdr:row>
      <xdr:rowOff>19050</xdr:rowOff>
    </xdr:from>
    <xdr:ext cx="1143000" cy="1143000"/>
    <xdr:pic>
      <xdr:nvPicPr>
        <xdr:cNvPr id="8441" name="932ef532-9f58-4bbf-886d-23be6a12bf4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ee19ed822c642c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8444</xdr:row>
      <xdr:rowOff>19050</xdr:rowOff>
    </xdr:from>
    <xdr:ext cx="1143000" cy="1143000"/>
    <xdr:pic>
      <xdr:nvPicPr>
        <xdr:cNvPr id="8442" name="313a3199-4c6c-4ec3-8a24-3a0581ebd5f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1617389f09942f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8445</xdr:row>
      <xdr:rowOff>19050</xdr:rowOff>
    </xdr:from>
    <xdr:ext cx="1143000" cy="1143000"/>
    <xdr:pic>
      <xdr:nvPicPr>
        <xdr:cNvPr id="8443" name="974a3e05-0a9c-484b-9fd0-4694a3ca2fb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c225e523717454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8446</xdr:row>
      <xdr:rowOff>19050</xdr:rowOff>
    </xdr:from>
    <xdr:ext cx="1143000" cy="1143000"/>
    <xdr:pic>
      <xdr:nvPicPr>
        <xdr:cNvPr id="8444" name="086cde9b-c086-47d9-ab0b-459253baae3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3c30ac6381e43b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8447</xdr:row>
      <xdr:rowOff>19050</xdr:rowOff>
    </xdr:from>
    <xdr:ext cx="1143000" cy="1143000"/>
    <xdr:pic>
      <xdr:nvPicPr>
        <xdr:cNvPr id="8445" name="ee44d448-0e23-48eb-abf7-c27225f5c6f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3ff814eda3146b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8448</xdr:row>
      <xdr:rowOff>19050</xdr:rowOff>
    </xdr:from>
    <xdr:ext cx="1143000" cy="1143000"/>
    <xdr:pic>
      <xdr:nvPicPr>
        <xdr:cNvPr id="8446" name="f55f13fa-02f1-49e6-ab58-523bdc75d5f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464dca88e1145f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8449</xdr:row>
      <xdr:rowOff>19050</xdr:rowOff>
    </xdr:from>
    <xdr:ext cx="1143000" cy="1143000"/>
    <xdr:pic>
      <xdr:nvPicPr>
        <xdr:cNvPr id="8447" name="8428e8d8-fef6-4134-a31e-a02105bc6f7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d7b6a9baa374ad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8450</xdr:row>
      <xdr:rowOff>19050</xdr:rowOff>
    </xdr:from>
    <xdr:ext cx="1143000" cy="1143000"/>
    <xdr:pic>
      <xdr:nvPicPr>
        <xdr:cNvPr id="8448" name="6cec5421-c4fd-4d92-b806-a6610039390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b557bce852744c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8451</xdr:row>
      <xdr:rowOff>19050</xdr:rowOff>
    </xdr:from>
    <xdr:ext cx="1143000" cy="1143000"/>
    <xdr:pic>
      <xdr:nvPicPr>
        <xdr:cNvPr id="8449" name="c90c5d7e-e004-4eaf-bfdb-33479eeba18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7692329392f48a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8452</xdr:row>
      <xdr:rowOff>19050</xdr:rowOff>
    </xdr:from>
    <xdr:ext cx="1143000" cy="1143000"/>
    <xdr:pic>
      <xdr:nvPicPr>
        <xdr:cNvPr id="8450" name="4dba23df-7a5a-4b67-811b-61e572946fa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094bc96f4cd4c0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8453</xdr:row>
      <xdr:rowOff>19050</xdr:rowOff>
    </xdr:from>
    <xdr:ext cx="1143000" cy="1143000"/>
    <xdr:pic>
      <xdr:nvPicPr>
        <xdr:cNvPr id="8451" name="1c57c4f8-21f5-4140-9052-4fb58186cf9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e21493e015642c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8454</xdr:row>
      <xdr:rowOff>19050</xdr:rowOff>
    </xdr:from>
    <xdr:ext cx="1143000" cy="1143000"/>
    <xdr:pic>
      <xdr:nvPicPr>
        <xdr:cNvPr id="8452" name="36933e83-07da-419f-9fc5-160f26d761f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ae22cd9b8b1450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8455</xdr:row>
      <xdr:rowOff>19050</xdr:rowOff>
    </xdr:from>
    <xdr:ext cx="1143000" cy="1143000"/>
    <xdr:pic>
      <xdr:nvPicPr>
        <xdr:cNvPr id="8453" name="b1ee5652-69b7-4ab2-93f0-57a193df1af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05b76b6b6484c6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8456</xdr:row>
      <xdr:rowOff>19050</xdr:rowOff>
    </xdr:from>
    <xdr:ext cx="1143000" cy="1143000"/>
    <xdr:pic>
      <xdr:nvPicPr>
        <xdr:cNvPr id="8454" name="463577af-f62c-4b01-bb01-cde6d142956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6151339f51c426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8457</xdr:row>
      <xdr:rowOff>19050</xdr:rowOff>
    </xdr:from>
    <xdr:ext cx="1143000" cy="1143000"/>
    <xdr:pic>
      <xdr:nvPicPr>
        <xdr:cNvPr id="8455" name="663b599b-9977-4653-aaae-adb5221d577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ee94e942e14427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8458</xdr:row>
      <xdr:rowOff>19050</xdr:rowOff>
    </xdr:from>
    <xdr:ext cx="1143000" cy="1143000"/>
    <xdr:pic>
      <xdr:nvPicPr>
        <xdr:cNvPr id="8456" name="ab13b9fa-e86d-4a27-8964-7de0b54ed85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710b076bb0949d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8459</xdr:row>
      <xdr:rowOff>19050</xdr:rowOff>
    </xdr:from>
    <xdr:ext cx="1143000" cy="1143000"/>
    <xdr:pic>
      <xdr:nvPicPr>
        <xdr:cNvPr id="8457" name="ea986e6d-9fb5-4770-aa89-e7dcd0e28b2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86768a5379042d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8460</xdr:row>
      <xdr:rowOff>19050</xdr:rowOff>
    </xdr:from>
    <xdr:ext cx="1143000" cy="1143000"/>
    <xdr:pic>
      <xdr:nvPicPr>
        <xdr:cNvPr id="8458" name="12d877ca-4f63-44bc-896d-2c43111204b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7dadcc10cd9473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8461</xdr:row>
      <xdr:rowOff>19050</xdr:rowOff>
    </xdr:from>
    <xdr:ext cx="1143000" cy="1143000"/>
    <xdr:pic>
      <xdr:nvPicPr>
        <xdr:cNvPr id="8459" name="bc965f18-29dc-4457-8534-d98098edc81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a61633f5e0d4b4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8462</xdr:row>
      <xdr:rowOff>19050</xdr:rowOff>
    </xdr:from>
    <xdr:ext cx="1143000" cy="1143000"/>
    <xdr:pic>
      <xdr:nvPicPr>
        <xdr:cNvPr id="8460" name="14577d98-2061-4391-98b6-39de230a79c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a05661a578c4fb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8463</xdr:row>
      <xdr:rowOff>19050</xdr:rowOff>
    </xdr:from>
    <xdr:ext cx="1143000" cy="1143000"/>
    <xdr:pic>
      <xdr:nvPicPr>
        <xdr:cNvPr id="8461" name="ee96af84-4ebb-49fa-be1e-9220f2c75cc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51c34248aa5448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8464</xdr:row>
      <xdr:rowOff>19050</xdr:rowOff>
    </xdr:from>
    <xdr:ext cx="1143000" cy="1143000"/>
    <xdr:pic>
      <xdr:nvPicPr>
        <xdr:cNvPr id="8462" name="c2a978dd-a702-455b-8549-1379600692a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b87807f6b9d4b8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8465</xdr:row>
      <xdr:rowOff>19050</xdr:rowOff>
    </xdr:from>
    <xdr:ext cx="1143000" cy="1143000"/>
    <xdr:pic>
      <xdr:nvPicPr>
        <xdr:cNvPr id="8463" name="801e2e22-f671-415c-af05-633668a1712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292ecaa8f2b4bf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8466</xdr:row>
      <xdr:rowOff>19050</xdr:rowOff>
    </xdr:from>
    <xdr:ext cx="1143000" cy="1143000"/>
    <xdr:pic>
      <xdr:nvPicPr>
        <xdr:cNvPr id="8464" name="fc44399e-a273-4d11-bcd0-0faa9d5eb6b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33dfadb99ac457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8467</xdr:row>
      <xdr:rowOff>19050</xdr:rowOff>
    </xdr:from>
    <xdr:ext cx="1143000" cy="1143000"/>
    <xdr:pic>
      <xdr:nvPicPr>
        <xdr:cNvPr id="8465" name="65fc3b1c-71a8-475b-b838-2b4787a02a5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a239288b06b465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8468</xdr:row>
      <xdr:rowOff>19050</xdr:rowOff>
    </xdr:from>
    <xdr:ext cx="1143000" cy="1143000"/>
    <xdr:pic>
      <xdr:nvPicPr>
        <xdr:cNvPr id="8466" name="3f9912e3-5514-4d48-8365-11e973d6b9c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74ed92972224bd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8469</xdr:row>
      <xdr:rowOff>19050</xdr:rowOff>
    </xdr:from>
    <xdr:ext cx="1143000" cy="1143000"/>
    <xdr:pic>
      <xdr:nvPicPr>
        <xdr:cNvPr id="8467" name="6dd4424f-ca0e-46df-968d-93ce39b5c41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6ce6801cbfa422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8470</xdr:row>
      <xdr:rowOff>19050</xdr:rowOff>
    </xdr:from>
    <xdr:ext cx="1143000" cy="1143000"/>
    <xdr:pic>
      <xdr:nvPicPr>
        <xdr:cNvPr id="8468" name="a81cc21a-75cc-4982-a4f2-e85754792bd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437b8d408ab4f8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8471</xdr:row>
      <xdr:rowOff>19050</xdr:rowOff>
    </xdr:from>
    <xdr:ext cx="1143000" cy="1143000"/>
    <xdr:pic>
      <xdr:nvPicPr>
        <xdr:cNvPr id="8469" name="2f61caa8-d337-44dc-9a3c-82424734a7b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c40d03064c2427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8472</xdr:row>
      <xdr:rowOff>19050</xdr:rowOff>
    </xdr:from>
    <xdr:ext cx="1143000" cy="1143000"/>
    <xdr:pic>
      <xdr:nvPicPr>
        <xdr:cNvPr id="8470" name="d213bc0f-3460-4d95-a461-3aa04abf273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dfd49d44851440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8473</xdr:row>
      <xdr:rowOff>19050</xdr:rowOff>
    </xdr:from>
    <xdr:ext cx="1143000" cy="1143000"/>
    <xdr:pic>
      <xdr:nvPicPr>
        <xdr:cNvPr id="8471" name="76f5d412-a9d9-406e-a395-9f49c2b177e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55722100cc643c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8474</xdr:row>
      <xdr:rowOff>19050</xdr:rowOff>
    </xdr:from>
    <xdr:ext cx="1143000" cy="1143000"/>
    <xdr:pic>
      <xdr:nvPicPr>
        <xdr:cNvPr id="8472" name="ec1eb662-72ef-405c-8380-8650d8b1cc3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59b5a2c8a7b44d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8475</xdr:row>
      <xdr:rowOff>19050</xdr:rowOff>
    </xdr:from>
    <xdr:ext cx="1143000" cy="1143000"/>
    <xdr:pic>
      <xdr:nvPicPr>
        <xdr:cNvPr id="8473" name="9eeda0ff-96ef-4f39-a5f1-c599f48e4ff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ebf2fd53140407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8476</xdr:row>
      <xdr:rowOff>19050</xdr:rowOff>
    </xdr:from>
    <xdr:ext cx="1143000" cy="1143000"/>
    <xdr:pic>
      <xdr:nvPicPr>
        <xdr:cNvPr id="8474" name="b6a2eb47-4d58-4c1e-b28b-84fedb6bfa3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45b2d794bbc449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8477</xdr:row>
      <xdr:rowOff>19050</xdr:rowOff>
    </xdr:from>
    <xdr:ext cx="1143000" cy="1143000"/>
    <xdr:pic>
      <xdr:nvPicPr>
        <xdr:cNvPr id="8475" name="dc4503ba-a9b5-42cd-b5a1-edac4d43ae3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6e95f6b0b944f8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8478</xdr:row>
      <xdr:rowOff>19050</xdr:rowOff>
    </xdr:from>
    <xdr:ext cx="1143000" cy="1143000"/>
    <xdr:pic>
      <xdr:nvPicPr>
        <xdr:cNvPr id="8476" name="5c350249-8336-4f76-9c58-afab13fda93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602fb3fd8414f2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8479</xdr:row>
      <xdr:rowOff>19050</xdr:rowOff>
    </xdr:from>
    <xdr:ext cx="1143000" cy="1143000"/>
    <xdr:pic>
      <xdr:nvPicPr>
        <xdr:cNvPr id="8477" name="54e1a168-74b2-4833-8f1f-66af0551437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6d7cb1bd2a94df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8480</xdr:row>
      <xdr:rowOff>19050</xdr:rowOff>
    </xdr:from>
    <xdr:ext cx="1143000" cy="1143000"/>
    <xdr:pic>
      <xdr:nvPicPr>
        <xdr:cNvPr id="8478" name="c500c698-db69-49bb-8cfb-3ae1cac2ade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993ca64f53a4ae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8481</xdr:row>
      <xdr:rowOff>19050</xdr:rowOff>
    </xdr:from>
    <xdr:ext cx="1143000" cy="1143000"/>
    <xdr:pic>
      <xdr:nvPicPr>
        <xdr:cNvPr id="8479" name="dc5f439a-dc3a-4f4d-a5a5-ea3d3a17984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f491fca902c4cd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8482</xdr:row>
      <xdr:rowOff>19050</xdr:rowOff>
    </xdr:from>
    <xdr:ext cx="1143000" cy="1143000"/>
    <xdr:pic>
      <xdr:nvPicPr>
        <xdr:cNvPr id="8480" name="103e6fb8-2c3c-42ae-b1c9-d000a03c0ef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3a9a8b52f9642e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8483</xdr:row>
      <xdr:rowOff>19050</xdr:rowOff>
    </xdr:from>
    <xdr:ext cx="1143000" cy="1143000"/>
    <xdr:pic>
      <xdr:nvPicPr>
        <xdr:cNvPr id="8481" name="5c13df69-18a4-4fe2-9710-7a3a14b30ed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7536eb5f49f41d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8484</xdr:row>
      <xdr:rowOff>19050</xdr:rowOff>
    </xdr:from>
    <xdr:ext cx="1143000" cy="1143000"/>
    <xdr:pic>
      <xdr:nvPicPr>
        <xdr:cNvPr id="8482" name="3a72cee4-23cb-4b71-97ab-eaee031a183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304410eb7074b7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8485</xdr:row>
      <xdr:rowOff>19050</xdr:rowOff>
    </xdr:from>
    <xdr:ext cx="1143000" cy="1143000"/>
    <xdr:pic>
      <xdr:nvPicPr>
        <xdr:cNvPr id="8483" name="589855b0-95be-410a-9896-0d3d0252e00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1d7aee0efa84ab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8486</xdr:row>
      <xdr:rowOff>19050</xdr:rowOff>
    </xdr:from>
    <xdr:ext cx="1143000" cy="1143000"/>
    <xdr:pic>
      <xdr:nvPicPr>
        <xdr:cNvPr id="8484" name="cdf04695-1606-451a-9cb6-f4f4eda5152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525a93008ee403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8487</xdr:row>
      <xdr:rowOff>19050</xdr:rowOff>
    </xdr:from>
    <xdr:ext cx="1143000" cy="1143000"/>
    <xdr:pic>
      <xdr:nvPicPr>
        <xdr:cNvPr id="8485" name="0f75c098-7c4a-4f09-93e6-5283fb47407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3dbc3ed49db424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8488</xdr:row>
      <xdr:rowOff>19050</xdr:rowOff>
    </xdr:from>
    <xdr:ext cx="1143000" cy="1143000"/>
    <xdr:pic>
      <xdr:nvPicPr>
        <xdr:cNvPr id="8486" name="a696ae36-dc90-4bae-9a9b-d8d503d74ea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b0cbfda6cf74da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8489</xdr:row>
      <xdr:rowOff>19050</xdr:rowOff>
    </xdr:from>
    <xdr:ext cx="1143000" cy="1143000"/>
    <xdr:pic>
      <xdr:nvPicPr>
        <xdr:cNvPr id="8487" name="b3697f2c-bc1a-4739-b7d3-a7a1bc7c83e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217136d0c8d4c4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8490</xdr:row>
      <xdr:rowOff>19050</xdr:rowOff>
    </xdr:from>
    <xdr:ext cx="1143000" cy="1143000"/>
    <xdr:pic>
      <xdr:nvPicPr>
        <xdr:cNvPr id="8488" name="c63400f2-bea9-4bc1-9a93-c769c2fbeb5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66d0e7fcd194df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8491</xdr:row>
      <xdr:rowOff>19050</xdr:rowOff>
    </xdr:from>
    <xdr:ext cx="1143000" cy="1143000"/>
    <xdr:pic>
      <xdr:nvPicPr>
        <xdr:cNvPr id="8489" name="bb0adc3f-4adf-46cb-962e-614e67788cc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32f3690687440e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8492</xdr:row>
      <xdr:rowOff>19050</xdr:rowOff>
    </xdr:from>
    <xdr:ext cx="1143000" cy="1143000"/>
    <xdr:pic>
      <xdr:nvPicPr>
        <xdr:cNvPr id="8490" name="9f904271-39cb-4eb2-839c-e9abe7b792e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3e7dcaa43054ed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8493</xdr:row>
      <xdr:rowOff>19050</xdr:rowOff>
    </xdr:from>
    <xdr:ext cx="1143000" cy="1143000"/>
    <xdr:pic>
      <xdr:nvPicPr>
        <xdr:cNvPr id="8491" name="3841ef98-fbb8-42ad-840d-755be9a7064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a02dfbdbc5b41d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8494</xdr:row>
      <xdr:rowOff>19050</xdr:rowOff>
    </xdr:from>
    <xdr:ext cx="1143000" cy="1143000"/>
    <xdr:pic>
      <xdr:nvPicPr>
        <xdr:cNvPr id="8492" name="ede11bc2-e6e6-45e9-aa6c-a1bf9248f39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fed53a0de01473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8495</xdr:row>
      <xdr:rowOff>19050</xdr:rowOff>
    </xdr:from>
    <xdr:ext cx="1143000" cy="1143000"/>
    <xdr:pic>
      <xdr:nvPicPr>
        <xdr:cNvPr id="8493" name="8d4bbb47-e994-4960-9e26-31cfc2cd3a4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ec11517aa2449a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8496</xdr:row>
      <xdr:rowOff>19050</xdr:rowOff>
    </xdr:from>
    <xdr:ext cx="1143000" cy="1143000"/>
    <xdr:pic>
      <xdr:nvPicPr>
        <xdr:cNvPr id="8494" name="1a5bfe49-aaba-472f-b44e-be7425ee640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649ce11b87f4bd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8497</xdr:row>
      <xdr:rowOff>19050</xdr:rowOff>
    </xdr:from>
    <xdr:ext cx="1143000" cy="1143000"/>
    <xdr:pic>
      <xdr:nvPicPr>
        <xdr:cNvPr id="8495" name="0e344773-61db-4465-ac5f-82f5812a74b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62bae2042844fb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8498</xdr:row>
      <xdr:rowOff>19050</xdr:rowOff>
    </xdr:from>
    <xdr:ext cx="1143000" cy="1143000"/>
    <xdr:pic>
      <xdr:nvPicPr>
        <xdr:cNvPr id="8496" name="03adf25c-a787-47a8-b261-fd98c7b7cad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c48b4eadf5348a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8499</xdr:row>
      <xdr:rowOff>19050</xdr:rowOff>
    </xdr:from>
    <xdr:ext cx="1143000" cy="1143000"/>
    <xdr:pic>
      <xdr:nvPicPr>
        <xdr:cNvPr id="8497" name="02a90b8c-07d3-4ef4-8154-d17e602f376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f9cce39e8544b4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8500</xdr:row>
      <xdr:rowOff>19050</xdr:rowOff>
    </xdr:from>
    <xdr:ext cx="1143000" cy="1143000"/>
    <xdr:pic>
      <xdr:nvPicPr>
        <xdr:cNvPr id="8498" name="8bb51802-9e9d-40af-a329-9c9441bee07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09e1343aeea404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8501</xdr:row>
      <xdr:rowOff>19050</xdr:rowOff>
    </xdr:from>
    <xdr:ext cx="1143000" cy="1143000"/>
    <xdr:pic>
      <xdr:nvPicPr>
        <xdr:cNvPr id="8499" name="1729dc4c-0a74-44aa-8753-1941c216067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bb16739e8ab45e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8502</xdr:row>
      <xdr:rowOff>19050</xdr:rowOff>
    </xdr:from>
    <xdr:ext cx="1143000" cy="1143000"/>
    <xdr:pic>
      <xdr:nvPicPr>
        <xdr:cNvPr id="8500" name="07479ea1-96f2-4e87-b48d-6ae001ab685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4031161ff9043b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8503</xdr:row>
      <xdr:rowOff>19050</xdr:rowOff>
    </xdr:from>
    <xdr:ext cx="1143000" cy="1143000"/>
    <xdr:pic>
      <xdr:nvPicPr>
        <xdr:cNvPr id="8501" name="57197b59-c86b-4eda-b98b-9e67e49339a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e616b60e6574a7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8504</xdr:row>
      <xdr:rowOff>19050</xdr:rowOff>
    </xdr:from>
    <xdr:ext cx="1143000" cy="1143000"/>
    <xdr:pic>
      <xdr:nvPicPr>
        <xdr:cNvPr id="8502" name="06e848df-8cf4-4951-beac-14eff9f4b42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a7532d5a5274a2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8505</xdr:row>
      <xdr:rowOff>19050</xdr:rowOff>
    </xdr:from>
    <xdr:ext cx="1143000" cy="1143000"/>
    <xdr:pic>
      <xdr:nvPicPr>
        <xdr:cNvPr id="8503" name="48596cb7-ae36-4ebe-b338-7e719ccf7da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d9c34a931044ab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8506</xdr:row>
      <xdr:rowOff>19050</xdr:rowOff>
    </xdr:from>
    <xdr:ext cx="1143000" cy="1143000"/>
    <xdr:pic>
      <xdr:nvPicPr>
        <xdr:cNvPr id="8504" name="8d16d126-29a5-4d83-8888-799aec499d2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0b6d405bd7d436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8507</xdr:row>
      <xdr:rowOff>19050</xdr:rowOff>
    </xdr:from>
    <xdr:ext cx="1143000" cy="1143000"/>
    <xdr:pic>
      <xdr:nvPicPr>
        <xdr:cNvPr id="8505" name="98dc48a0-c4d3-4b87-a65e-1804e51468a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89f90152aba462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8508</xdr:row>
      <xdr:rowOff>19050</xdr:rowOff>
    </xdr:from>
    <xdr:ext cx="1143000" cy="1143000"/>
    <xdr:pic>
      <xdr:nvPicPr>
        <xdr:cNvPr id="8506" name="a5d9ae23-1a13-44c8-8a34-cd340d47c03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d2b215800ca435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8509</xdr:row>
      <xdr:rowOff>19050</xdr:rowOff>
    </xdr:from>
    <xdr:ext cx="1143000" cy="1143000"/>
    <xdr:pic>
      <xdr:nvPicPr>
        <xdr:cNvPr id="8507" name="48f666e2-b389-469f-865d-d21c296a076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d2b062b935b4b0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8510</xdr:row>
      <xdr:rowOff>19050</xdr:rowOff>
    </xdr:from>
    <xdr:ext cx="1143000" cy="1143000"/>
    <xdr:pic>
      <xdr:nvPicPr>
        <xdr:cNvPr id="8508" name="fa03b5c3-dd4f-4af2-9a5d-e5fd479f617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ad2c696572d476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8511</xdr:row>
      <xdr:rowOff>19050</xdr:rowOff>
    </xdr:from>
    <xdr:ext cx="1143000" cy="1143000"/>
    <xdr:pic>
      <xdr:nvPicPr>
        <xdr:cNvPr id="8509" name="7bacd09f-23d0-437c-b85a-d0027cfa5f0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3476717b9394ab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8512</xdr:row>
      <xdr:rowOff>19050</xdr:rowOff>
    </xdr:from>
    <xdr:ext cx="1143000" cy="1143000"/>
    <xdr:pic>
      <xdr:nvPicPr>
        <xdr:cNvPr id="8510" name="9b770a3f-be1c-4409-9896-bfcb4bc3827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9fdbf0618fa435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8513</xdr:row>
      <xdr:rowOff>19050</xdr:rowOff>
    </xdr:from>
    <xdr:ext cx="1143000" cy="1143000"/>
    <xdr:pic>
      <xdr:nvPicPr>
        <xdr:cNvPr id="8511" name="d032efe1-4e4c-4e40-bb10-9f325c0832a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fd247dd534c434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8514</xdr:row>
      <xdr:rowOff>19050</xdr:rowOff>
    </xdr:from>
    <xdr:ext cx="1143000" cy="1143000"/>
    <xdr:pic>
      <xdr:nvPicPr>
        <xdr:cNvPr id="8512" name="936ce872-d669-424e-871f-1b5bf94020a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47b49cdc7c2435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8515</xdr:row>
      <xdr:rowOff>19050</xdr:rowOff>
    </xdr:from>
    <xdr:ext cx="1143000" cy="1143000"/>
    <xdr:pic>
      <xdr:nvPicPr>
        <xdr:cNvPr id="8513" name="d7d4e548-00c3-426b-ae91-2fb5987e0c4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f1b297242b54ff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8516</xdr:row>
      <xdr:rowOff>19050</xdr:rowOff>
    </xdr:from>
    <xdr:ext cx="1143000" cy="1143000"/>
    <xdr:pic>
      <xdr:nvPicPr>
        <xdr:cNvPr id="8514" name="8b11aba7-8475-47d7-a5bc-4e0566f6cd1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c6d4e5c0f46409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8517</xdr:row>
      <xdr:rowOff>19050</xdr:rowOff>
    </xdr:from>
    <xdr:ext cx="1143000" cy="1143000"/>
    <xdr:pic>
      <xdr:nvPicPr>
        <xdr:cNvPr id="8515" name="91d5566f-5c89-4f98-b34c-394180af67b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debb3a392d14d9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8518</xdr:row>
      <xdr:rowOff>19050</xdr:rowOff>
    </xdr:from>
    <xdr:ext cx="1143000" cy="1143000"/>
    <xdr:pic>
      <xdr:nvPicPr>
        <xdr:cNvPr id="8516" name="cddee09b-5921-4ec5-98ab-0ad29bc8061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51711d4ad5c44e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8519</xdr:row>
      <xdr:rowOff>19050</xdr:rowOff>
    </xdr:from>
    <xdr:ext cx="1143000" cy="1143000"/>
    <xdr:pic>
      <xdr:nvPicPr>
        <xdr:cNvPr id="8517" name="cca7e521-6bcd-460c-8dca-141bffaa8c9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efc7a42a37a43a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8520</xdr:row>
      <xdr:rowOff>19050</xdr:rowOff>
    </xdr:from>
    <xdr:ext cx="1143000" cy="1143000"/>
    <xdr:pic>
      <xdr:nvPicPr>
        <xdr:cNvPr id="8518" name="afbc085f-e6f5-4b26-9ff9-61d27112843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4a53cc87bcf4dd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8521</xdr:row>
      <xdr:rowOff>19050</xdr:rowOff>
    </xdr:from>
    <xdr:ext cx="1143000" cy="1143000"/>
    <xdr:pic>
      <xdr:nvPicPr>
        <xdr:cNvPr id="8519" name="723c3e55-7be5-4e1b-acab-9c98972f096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1118f6e25184c6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8522</xdr:row>
      <xdr:rowOff>19050</xdr:rowOff>
    </xdr:from>
    <xdr:ext cx="1143000" cy="1143000"/>
    <xdr:pic>
      <xdr:nvPicPr>
        <xdr:cNvPr id="8520" name="1a260f71-3238-4fad-a33c-c4f8e3d7d0a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4f2becc27ee443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8523</xdr:row>
      <xdr:rowOff>19050</xdr:rowOff>
    </xdr:from>
    <xdr:ext cx="1143000" cy="1143000"/>
    <xdr:pic>
      <xdr:nvPicPr>
        <xdr:cNvPr id="8521" name="0c3b6146-c594-4a1b-b9fe-b4f821f1ed8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95b202e4b8e490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8524</xdr:row>
      <xdr:rowOff>19050</xdr:rowOff>
    </xdr:from>
    <xdr:ext cx="1143000" cy="1143000"/>
    <xdr:pic>
      <xdr:nvPicPr>
        <xdr:cNvPr id="8522" name="15620a3f-8606-47a8-8d37-5b70d8442fc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fcced3b50264f7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8525</xdr:row>
      <xdr:rowOff>19050</xdr:rowOff>
    </xdr:from>
    <xdr:ext cx="1143000" cy="1143000"/>
    <xdr:pic>
      <xdr:nvPicPr>
        <xdr:cNvPr id="8523" name="d98be94d-4647-45c2-a980-7127e27c620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01bbede29af405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8526</xdr:row>
      <xdr:rowOff>19050</xdr:rowOff>
    </xdr:from>
    <xdr:ext cx="1143000" cy="1143000"/>
    <xdr:pic>
      <xdr:nvPicPr>
        <xdr:cNvPr id="8524" name="30cd2bf5-7982-42e5-b0ee-53847243e97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58ddc466984495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8527</xdr:row>
      <xdr:rowOff>19050</xdr:rowOff>
    </xdr:from>
    <xdr:ext cx="1143000" cy="1143000"/>
    <xdr:pic>
      <xdr:nvPicPr>
        <xdr:cNvPr id="8525" name="aaee2c3a-1c09-4e9b-bfc7-bd67047ff11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29b7c348cd6495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8528</xdr:row>
      <xdr:rowOff>19050</xdr:rowOff>
    </xdr:from>
    <xdr:ext cx="1143000" cy="1143000"/>
    <xdr:pic>
      <xdr:nvPicPr>
        <xdr:cNvPr id="8526" name="ff33c81f-772d-45ff-a05f-7f8d69ad34a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aeac17c0c954cf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8529</xdr:row>
      <xdr:rowOff>19050</xdr:rowOff>
    </xdr:from>
    <xdr:ext cx="1143000" cy="1143000"/>
    <xdr:pic>
      <xdr:nvPicPr>
        <xdr:cNvPr id="8527" name="e2c641e3-4452-46b1-9d6b-da50079ecdb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ec607e558a248e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8530</xdr:row>
      <xdr:rowOff>19050</xdr:rowOff>
    </xdr:from>
    <xdr:ext cx="1143000" cy="1143000"/>
    <xdr:pic>
      <xdr:nvPicPr>
        <xdr:cNvPr id="8528" name="865a6f7d-7580-4990-8a7f-7cb193d302c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ce3aec2afc7421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8531</xdr:row>
      <xdr:rowOff>19050</xdr:rowOff>
    </xdr:from>
    <xdr:ext cx="1143000" cy="1143000"/>
    <xdr:pic>
      <xdr:nvPicPr>
        <xdr:cNvPr id="8529" name="ab5a2c3d-2e11-4322-9925-1df69f30cfd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76f545966fa496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8532</xdr:row>
      <xdr:rowOff>19050</xdr:rowOff>
    </xdr:from>
    <xdr:ext cx="1143000" cy="1143000"/>
    <xdr:pic>
      <xdr:nvPicPr>
        <xdr:cNvPr id="8530" name="d06385b7-c564-41dd-9341-4f643b8e8f8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6f5b3fd6885402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8533</xdr:row>
      <xdr:rowOff>19050</xdr:rowOff>
    </xdr:from>
    <xdr:ext cx="1143000" cy="1143000"/>
    <xdr:pic>
      <xdr:nvPicPr>
        <xdr:cNvPr id="8531" name="982c029d-1a0a-4257-a375-efa46a08026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509fea387a140e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8534</xdr:row>
      <xdr:rowOff>19050</xdr:rowOff>
    </xdr:from>
    <xdr:ext cx="1143000" cy="1143000"/>
    <xdr:pic>
      <xdr:nvPicPr>
        <xdr:cNvPr id="8532" name="8da7f0ba-6af6-4c01-9e23-31e1cac88de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756e938b338417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8535</xdr:row>
      <xdr:rowOff>19050</xdr:rowOff>
    </xdr:from>
    <xdr:ext cx="1143000" cy="1143000"/>
    <xdr:pic>
      <xdr:nvPicPr>
        <xdr:cNvPr id="8533" name="18222c46-eb0b-4f6f-8c12-b6b44026519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51d6cc7eeac442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8536</xdr:row>
      <xdr:rowOff>19050</xdr:rowOff>
    </xdr:from>
    <xdr:ext cx="1143000" cy="1143000"/>
    <xdr:pic>
      <xdr:nvPicPr>
        <xdr:cNvPr id="8534" name="68728a60-3605-427d-b002-2026897321a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fc53e88b2e04f3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8537</xdr:row>
      <xdr:rowOff>19050</xdr:rowOff>
    </xdr:from>
    <xdr:ext cx="1143000" cy="1143000"/>
    <xdr:pic>
      <xdr:nvPicPr>
        <xdr:cNvPr id="8535" name="c3d58afd-6a8d-455e-b9b9-b862be475f0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4e70e406dd54d0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8538</xdr:row>
      <xdr:rowOff>19050</xdr:rowOff>
    </xdr:from>
    <xdr:ext cx="1143000" cy="1143000"/>
    <xdr:pic>
      <xdr:nvPicPr>
        <xdr:cNvPr id="8536" name="dc22593a-5318-4f96-8ba9-797fc3766e9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a28b8ade754402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8539</xdr:row>
      <xdr:rowOff>19050</xdr:rowOff>
    </xdr:from>
    <xdr:ext cx="1143000" cy="1143000"/>
    <xdr:pic>
      <xdr:nvPicPr>
        <xdr:cNvPr id="8537" name="7bed0f28-32ab-4537-b389-58e26ac519b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d883ef81f1b42a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8540</xdr:row>
      <xdr:rowOff>19050</xdr:rowOff>
    </xdr:from>
    <xdr:ext cx="1143000" cy="1143000"/>
    <xdr:pic>
      <xdr:nvPicPr>
        <xdr:cNvPr id="8538" name="c1cdc305-4a54-4136-b158-b0fab170c5f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e62a96b7c6d452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8541</xdr:row>
      <xdr:rowOff>19050</xdr:rowOff>
    </xdr:from>
    <xdr:ext cx="1143000" cy="1143000"/>
    <xdr:pic>
      <xdr:nvPicPr>
        <xdr:cNvPr id="8539" name="878babfe-4be5-414a-95db-2570a2c0e11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36cfc3d1663468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8542</xdr:row>
      <xdr:rowOff>19050</xdr:rowOff>
    </xdr:from>
    <xdr:ext cx="1143000" cy="1143000"/>
    <xdr:pic>
      <xdr:nvPicPr>
        <xdr:cNvPr id="8540" name="a8f0ca2d-161c-4ff1-aa10-f7f3f3536ec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677b58afb0445a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8543</xdr:row>
      <xdr:rowOff>19050</xdr:rowOff>
    </xdr:from>
    <xdr:ext cx="1143000" cy="1143000"/>
    <xdr:pic>
      <xdr:nvPicPr>
        <xdr:cNvPr id="8541" name="f5c13068-9ec9-4c56-8757-6bfe59695d6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da30505e34746d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8544</xdr:row>
      <xdr:rowOff>19050</xdr:rowOff>
    </xdr:from>
    <xdr:ext cx="1143000" cy="1143000"/>
    <xdr:pic>
      <xdr:nvPicPr>
        <xdr:cNvPr id="8542" name="9a1cb153-f11b-43c8-9ee9-e56fdc6f18e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817513a4c87403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8545</xdr:row>
      <xdr:rowOff>19050</xdr:rowOff>
    </xdr:from>
    <xdr:ext cx="1143000" cy="1143000"/>
    <xdr:pic>
      <xdr:nvPicPr>
        <xdr:cNvPr id="8543" name="0b38174d-b1b7-4152-90f3-c9b48dd55df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229bafc669741c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8546</xdr:row>
      <xdr:rowOff>19050</xdr:rowOff>
    </xdr:from>
    <xdr:ext cx="1143000" cy="1143000"/>
    <xdr:pic>
      <xdr:nvPicPr>
        <xdr:cNvPr id="8544" name="d4821ba6-6366-494a-a170-fe7fd1bfb44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41f41f1290c4c6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8547</xdr:row>
      <xdr:rowOff>19050</xdr:rowOff>
    </xdr:from>
    <xdr:ext cx="1143000" cy="1143000"/>
    <xdr:pic>
      <xdr:nvPicPr>
        <xdr:cNvPr id="8545" name="93017cec-1be7-4c03-a796-fb220a29c76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1baa6da369c4e8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8548</xdr:row>
      <xdr:rowOff>19050</xdr:rowOff>
    </xdr:from>
    <xdr:ext cx="1143000" cy="1143000"/>
    <xdr:pic>
      <xdr:nvPicPr>
        <xdr:cNvPr id="8546" name="f1e98a0c-04b6-4c9a-aa83-8870cc22c61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ba24eb547604af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8549</xdr:row>
      <xdr:rowOff>19050</xdr:rowOff>
    </xdr:from>
    <xdr:ext cx="1143000" cy="1143000"/>
    <xdr:pic>
      <xdr:nvPicPr>
        <xdr:cNvPr id="8547" name="a4c44af8-e5bb-4390-8160-1aae3a83567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e5673d0537e418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8550</xdr:row>
      <xdr:rowOff>19050</xdr:rowOff>
    </xdr:from>
    <xdr:ext cx="1143000" cy="1143000"/>
    <xdr:pic>
      <xdr:nvPicPr>
        <xdr:cNvPr id="8548" name="bc9e935d-ccf8-44c4-8bcd-5c83c5a2230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185e161c750456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8551</xdr:row>
      <xdr:rowOff>19050</xdr:rowOff>
    </xdr:from>
    <xdr:ext cx="1143000" cy="1143000"/>
    <xdr:pic>
      <xdr:nvPicPr>
        <xdr:cNvPr id="8549" name="ba02266c-d1ff-4b18-ab02-49d7f3ae74d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31e9eccf7314c1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8552</xdr:row>
      <xdr:rowOff>19050</xdr:rowOff>
    </xdr:from>
    <xdr:ext cx="1143000" cy="1143000"/>
    <xdr:pic>
      <xdr:nvPicPr>
        <xdr:cNvPr id="8550" name="a7012708-59a2-438b-997c-94f4510dbd0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ad4f9da5d9a441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8553</xdr:row>
      <xdr:rowOff>19050</xdr:rowOff>
    </xdr:from>
    <xdr:ext cx="1143000" cy="1143000"/>
    <xdr:pic>
      <xdr:nvPicPr>
        <xdr:cNvPr id="8551" name="871eae0a-dcb9-4b8a-8780-5c513851c0c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7cd2eec0c3d41f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8554</xdr:row>
      <xdr:rowOff>19050</xdr:rowOff>
    </xdr:from>
    <xdr:ext cx="1143000" cy="1143000"/>
    <xdr:pic>
      <xdr:nvPicPr>
        <xdr:cNvPr id="8552" name="8198c40c-eadb-4326-ac77-aa997328543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aa4213c1f6549f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8555</xdr:row>
      <xdr:rowOff>19050</xdr:rowOff>
    </xdr:from>
    <xdr:ext cx="1143000" cy="1143000"/>
    <xdr:pic>
      <xdr:nvPicPr>
        <xdr:cNvPr id="8553" name="36a883b3-edf4-4074-bb4b-7076adef6ec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0a29036169a4d9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8556</xdr:row>
      <xdr:rowOff>19050</xdr:rowOff>
    </xdr:from>
    <xdr:ext cx="1143000" cy="1143000"/>
    <xdr:pic>
      <xdr:nvPicPr>
        <xdr:cNvPr id="8554" name="d31346a2-3c63-475b-a059-7b879454ede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80f21facfd64fb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8557</xdr:row>
      <xdr:rowOff>19050</xdr:rowOff>
    </xdr:from>
    <xdr:ext cx="1143000" cy="1143000"/>
    <xdr:pic>
      <xdr:nvPicPr>
        <xdr:cNvPr id="8555" name="c950a520-6895-41cc-bf8a-c4558c7ea3a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3138b9c317c4c9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8558</xdr:row>
      <xdr:rowOff>19050</xdr:rowOff>
    </xdr:from>
    <xdr:ext cx="1143000" cy="1143000"/>
    <xdr:pic>
      <xdr:nvPicPr>
        <xdr:cNvPr id="8556" name="17018b56-0569-49f0-aec2-7df1a39a2af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8af7fd6ff10489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8559</xdr:row>
      <xdr:rowOff>19050</xdr:rowOff>
    </xdr:from>
    <xdr:ext cx="1143000" cy="1143000"/>
    <xdr:pic>
      <xdr:nvPicPr>
        <xdr:cNvPr id="8557" name="b31d4b05-6b84-48b6-b2b9-ceeee6f2235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33b8d096a8f434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8560</xdr:row>
      <xdr:rowOff>19050</xdr:rowOff>
    </xdr:from>
    <xdr:ext cx="1143000" cy="1143000"/>
    <xdr:pic>
      <xdr:nvPicPr>
        <xdr:cNvPr id="8558" name="547b5681-659a-4131-9125-8e5ca5ecae8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002fa1cdaa94d7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8561</xdr:row>
      <xdr:rowOff>19050</xdr:rowOff>
    </xdr:from>
    <xdr:ext cx="1143000" cy="1143000"/>
    <xdr:pic>
      <xdr:nvPicPr>
        <xdr:cNvPr id="8559" name="fb7f8b64-590f-461e-8a1a-bce18ecaae7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275e4e9871c400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8562</xdr:row>
      <xdr:rowOff>19050</xdr:rowOff>
    </xdr:from>
    <xdr:ext cx="1143000" cy="1143000"/>
    <xdr:pic>
      <xdr:nvPicPr>
        <xdr:cNvPr id="8560" name="f09c0cd0-6e4d-45f8-8f09-c798e1c9109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328a063431a440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8563</xdr:row>
      <xdr:rowOff>19050</xdr:rowOff>
    </xdr:from>
    <xdr:ext cx="1143000" cy="1143000"/>
    <xdr:pic>
      <xdr:nvPicPr>
        <xdr:cNvPr id="8561" name="5eb3ed8e-168a-43ce-a10e-dff3b8a431f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19295ecdd2642d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8564</xdr:row>
      <xdr:rowOff>19050</xdr:rowOff>
    </xdr:from>
    <xdr:ext cx="1143000" cy="1143000"/>
    <xdr:pic>
      <xdr:nvPicPr>
        <xdr:cNvPr id="8562" name="ab359998-9a3d-4195-a954-345451170b4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6d6a51629d8461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8565</xdr:row>
      <xdr:rowOff>19050</xdr:rowOff>
    </xdr:from>
    <xdr:ext cx="1143000" cy="1143000"/>
    <xdr:pic>
      <xdr:nvPicPr>
        <xdr:cNvPr id="8563" name="f488ade7-2df4-4f06-ad9e-708e6acfe78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7cb5ad94918438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8566</xdr:row>
      <xdr:rowOff>19050</xdr:rowOff>
    </xdr:from>
    <xdr:ext cx="1143000" cy="1143000"/>
    <xdr:pic>
      <xdr:nvPicPr>
        <xdr:cNvPr id="8564" name="dcffc6dc-397b-461b-93cb-98e1ca74869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91b93c10c9f481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8567</xdr:row>
      <xdr:rowOff>19050</xdr:rowOff>
    </xdr:from>
    <xdr:ext cx="1143000" cy="1143000"/>
    <xdr:pic>
      <xdr:nvPicPr>
        <xdr:cNvPr id="8565" name="5eb935db-d050-4cde-a36f-f12ff16be68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86aea5a761e4fb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8568</xdr:row>
      <xdr:rowOff>19050</xdr:rowOff>
    </xdr:from>
    <xdr:ext cx="1143000" cy="1143000"/>
    <xdr:pic>
      <xdr:nvPicPr>
        <xdr:cNvPr id="8566" name="7a6c2ac8-a30e-4a22-bdc1-41ad971a3c7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1408c0e7fd3456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8569</xdr:row>
      <xdr:rowOff>19050</xdr:rowOff>
    </xdr:from>
    <xdr:ext cx="1143000" cy="1143000"/>
    <xdr:pic>
      <xdr:nvPicPr>
        <xdr:cNvPr id="8567" name="653b76de-1c87-4c8b-8c0f-de903c74012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ecc21fdc2694ae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8570</xdr:row>
      <xdr:rowOff>19050</xdr:rowOff>
    </xdr:from>
    <xdr:ext cx="1143000" cy="1143000"/>
    <xdr:pic>
      <xdr:nvPicPr>
        <xdr:cNvPr id="8568" name="8eb43034-74fd-449a-a1a2-cfd0bcc3cac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acff918ee1b4de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8571</xdr:row>
      <xdr:rowOff>19050</xdr:rowOff>
    </xdr:from>
    <xdr:ext cx="1143000" cy="1143000"/>
    <xdr:pic>
      <xdr:nvPicPr>
        <xdr:cNvPr id="8569" name="4f86abe7-0cce-4dd8-be1c-692d5134079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80f4e2d0b1143c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8572</xdr:row>
      <xdr:rowOff>19050</xdr:rowOff>
    </xdr:from>
    <xdr:ext cx="1143000" cy="1143000"/>
    <xdr:pic>
      <xdr:nvPicPr>
        <xdr:cNvPr id="8570" name="fd4dd633-2433-4803-b42f-23ed879472f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a8176e4754542d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8573</xdr:row>
      <xdr:rowOff>19050</xdr:rowOff>
    </xdr:from>
    <xdr:ext cx="1143000" cy="1143000"/>
    <xdr:pic>
      <xdr:nvPicPr>
        <xdr:cNvPr id="8571" name="7ff6074b-a90d-49d3-b826-e8855c9f0ec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41d349183aa48d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8574</xdr:row>
      <xdr:rowOff>19050</xdr:rowOff>
    </xdr:from>
    <xdr:ext cx="1143000" cy="1143000"/>
    <xdr:pic>
      <xdr:nvPicPr>
        <xdr:cNvPr id="8572" name="eadde940-4c45-4110-b389-0758ca52a0b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bdaf7c5d62740d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8575</xdr:row>
      <xdr:rowOff>19050</xdr:rowOff>
    </xdr:from>
    <xdr:ext cx="1143000" cy="1143000"/>
    <xdr:pic>
      <xdr:nvPicPr>
        <xdr:cNvPr id="8573" name="e6756f36-6c28-4343-bcb3-13ee15d8eb0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015d9e8d3ef4ed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8576</xdr:row>
      <xdr:rowOff>19050</xdr:rowOff>
    </xdr:from>
    <xdr:ext cx="1143000" cy="1143000"/>
    <xdr:pic>
      <xdr:nvPicPr>
        <xdr:cNvPr id="8574" name="9bc0c37e-fa27-4d78-9719-0d88659daa3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b8336676e1545e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8577</xdr:row>
      <xdr:rowOff>19050</xdr:rowOff>
    </xdr:from>
    <xdr:ext cx="1143000" cy="1143000"/>
    <xdr:pic>
      <xdr:nvPicPr>
        <xdr:cNvPr id="8575" name="1e5a0cd3-bc34-479b-a4dc-2670b4302a8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6871d9425514b5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8578</xdr:row>
      <xdr:rowOff>19050</xdr:rowOff>
    </xdr:from>
    <xdr:ext cx="1143000" cy="1143000"/>
    <xdr:pic>
      <xdr:nvPicPr>
        <xdr:cNvPr id="8576" name="0fc7a820-09e1-4d55-9129-3376d041a95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f3cc6847256402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8579</xdr:row>
      <xdr:rowOff>19050</xdr:rowOff>
    </xdr:from>
    <xdr:ext cx="1143000" cy="1143000"/>
    <xdr:pic>
      <xdr:nvPicPr>
        <xdr:cNvPr id="8577" name="d1770b82-ecc2-4e0d-8447-50e2d16d6f9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8c16daa0ee9426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8580</xdr:row>
      <xdr:rowOff>19050</xdr:rowOff>
    </xdr:from>
    <xdr:ext cx="1143000" cy="1143000"/>
    <xdr:pic>
      <xdr:nvPicPr>
        <xdr:cNvPr id="8578" name="12f1533d-08e0-4df9-a872-afd9805c0b3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6d4b1eb9a8f428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8581</xdr:row>
      <xdr:rowOff>19050</xdr:rowOff>
    </xdr:from>
    <xdr:ext cx="1143000" cy="1143000"/>
    <xdr:pic>
      <xdr:nvPicPr>
        <xdr:cNvPr id="8579" name="8f94af50-282b-4d8e-bbb4-dfb0fb694d2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031afa3bbf3493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8582</xdr:row>
      <xdr:rowOff>19050</xdr:rowOff>
    </xdr:from>
    <xdr:ext cx="1143000" cy="1143000"/>
    <xdr:pic>
      <xdr:nvPicPr>
        <xdr:cNvPr id="8580" name="3ef247cb-73f2-4595-8f86-1cec9775eca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3f3b358d6b4448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8583</xdr:row>
      <xdr:rowOff>19050</xdr:rowOff>
    </xdr:from>
    <xdr:ext cx="1143000" cy="1143000"/>
    <xdr:pic>
      <xdr:nvPicPr>
        <xdr:cNvPr id="8581" name="41488eee-d200-445e-b77a-c91edd7fd6f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ba863e52f89421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8584</xdr:row>
      <xdr:rowOff>19050</xdr:rowOff>
    </xdr:from>
    <xdr:ext cx="1143000" cy="1143000"/>
    <xdr:pic>
      <xdr:nvPicPr>
        <xdr:cNvPr id="8582" name="d2bd0263-335d-4bfa-9fbb-d2c9f22cfa4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cb56e1fc0dc4a3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8585</xdr:row>
      <xdr:rowOff>19050</xdr:rowOff>
    </xdr:from>
    <xdr:ext cx="1143000" cy="1143000"/>
    <xdr:pic>
      <xdr:nvPicPr>
        <xdr:cNvPr id="8583" name="2f1773c1-ca37-4b4c-b6a6-d6c60e28443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752ac30acfc49a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8586</xdr:row>
      <xdr:rowOff>19050</xdr:rowOff>
    </xdr:from>
    <xdr:ext cx="1143000" cy="1143000"/>
    <xdr:pic>
      <xdr:nvPicPr>
        <xdr:cNvPr id="8584" name="921de0f4-cada-40cf-afd5-9fae135d748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8eda0b42c6b4b5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8587</xdr:row>
      <xdr:rowOff>19050</xdr:rowOff>
    </xdr:from>
    <xdr:ext cx="1143000" cy="1143000"/>
    <xdr:pic>
      <xdr:nvPicPr>
        <xdr:cNvPr id="8585" name="beb988f0-267e-402b-8ae6-97a38c68c06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472ac49e3334f7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8588</xdr:row>
      <xdr:rowOff>19050</xdr:rowOff>
    </xdr:from>
    <xdr:ext cx="1143000" cy="1143000"/>
    <xdr:pic>
      <xdr:nvPicPr>
        <xdr:cNvPr id="8586" name="70b52d7b-624a-4066-afcb-d895b988f46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5df3a90bcf445a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8589</xdr:row>
      <xdr:rowOff>19050</xdr:rowOff>
    </xdr:from>
    <xdr:ext cx="1143000" cy="1143000"/>
    <xdr:pic>
      <xdr:nvPicPr>
        <xdr:cNvPr id="8587" name="bebbd7e0-a0ce-4cca-b005-8d086afeeb4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aba3637fa5c4b1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8590</xdr:row>
      <xdr:rowOff>19050</xdr:rowOff>
    </xdr:from>
    <xdr:ext cx="1143000" cy="1143000"/>
    <xdr:pic>
      <xdr:nvPicPr>
        <xdr:cNvPr id="8588" name="1b4039bf-c3fb-4c03-8bdf-c769ebcb45a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4e09bac787744c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8591</xdr:row>
      <xdr:rowOff>19050</xdr:rowOff>
    </xdr:from>
    <xdr:ext cx="1143000" cy="1143000"/>
    <xdr:pic>
      <xdr:nvPicPr>
        <xdr:cNvPr id="8589" name="0a014bef-3ca9-44bf-9e8b-2b346b567c1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b11aff9c40c4ba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8592</xdr:row>
      <xdr:rowOff>19050</xdr:rowOff>
    </xdr:from>
    <xdr:ext cx="1143000" cy="1143000"/>
    <xdr:pic>
      <xdr:nvPicPr>
        <xdr:cNvPr id="8590" name="037ead0e-6203-492c-b0a3-5e0c02d6af8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c754b4a4b324f8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8593</xdr:row>
      <xdr:rowOff>19050</xdr:rowOff>
    </xdr:from>
    <xdr:ext cx="1143000" cy="1143000"/>
    <xdr:pic>
      <xdr:nvPicPr>
        <xdr:cNvPr id="8591" name="a71aa76f-683b-4b3d-868f-db7eaad0fd4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fe56e0757bc452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8594</xdr:row>
      <xdr:rowOff>19050</xdr:rowOff>
    </xdr:from>
    <xdr:ext cx="1143000" cy="1143000"/>
    <xdr:pic>
      <xdr:nvPicPr>
        <xdr:cNvPr id="8592" name="8005351d-69ec-44f9-8eaa-aeb164d6688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c40fdc22c7b401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8595</xdr:row>
      <xdr:rowOff>19050</xdr:rowOff>
    </xdr:from>
    <xdr:ext cx="1143000" cy="1143000"/>
    <xdr:pic>
      <xdr:nvPicPr>
        <xdr:cNvPr id="8593" name="08310fe6-b285-4d36-8ec2-21f6402f70d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f8f7bb8e5a84a5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8596</xdr:row>
      <xdr:rowOff>19050</xdr:rowOff>
    </xdr:from>
    <xdr:ext cx="1143000" cy="1143000"/>
    <xdr:pic>
      <xdr:nvPicPr>
        <xdr:cNvPr id="8594" name="1c7fa41c-f681-473e-984d-9c8ff4543ad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d833a9f93e5418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8597</xdr:row>
      <xdr:rowOff>19050</xdr:rowOff>
    </xdr:from>
    <xdr:ext cx="1143000" cy="1143000"/>
    <xdr:pic>
      <xdr:nvPicPr>
        <xdr:cNvPr id="8595" name="792edb37-6dc5-444b-890e-24411ba6334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f059c6920834fd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8598</xdr:row>
      <xdr:rowOff>19050</xdr:rowOff>
    </xdr:from>
    <xdr:ext cx="1143000" cy="1143000"/>
    <xdr:pic>
      <xdr:nvPicPr>
        <xdr:cNvPr id="8596" name="9b0e9f7d-74f1-4668-9a82-7c01f868d06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feb1c78885349c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8599</xdr:row>
      <xdr:rowOff>19050</xdr:rowOff>
    </xdr:from>
    <xdr:ext cx="1143000" cy="1143000"/>
    <xdr:pic>
      <xdr:nvPicPr>
        <xdr:cNvPr id="8597" name="99754e8c-5b91-41fd-9693-e9d23c58c6a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6b143c5f19e413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8600</xdr:row>
      <xdr:rowOff>19050</xdr:rowOff>
    </xdr:from>
    <xdr:ext cx="1143000" cy="1143000"/>
    <xdr:pic>
      <xdr:nvPicPr>
        <xdr:cNvPr id="8598" name="9ff0f61e-2422-46ef-9fd6-97e701c077b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150a7fa649c439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8601</xdr:row>
      <xdr:rowOff>19050</xdr:rowOff>
    </xdr:from>
    <xdr:ext cx="1143000" cy="1143000"/>
    <xdr:pic>
      <xdr:nvPicPr>
        <xdr:cNvPr id="8599" name="ba052677-4bf5-46f8-91b8-0bde44f0296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60df3923222464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8602</xdr:row>
      <xdr:rowOff>19050</xdr:rowOff>
    </xdr:from>
    <xdr:ext cx="1143000" cy="1143000"/>
    <xdr:pic>
      <xdr:nvPicPr>
        <xdr:cNvPr id="8600" name="c6597fb1-78a8-4519-9c1d-868b8f2d00b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94ab944208f48c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8603</xdr:row>
      <xdr:rowOff>19050</xdr:rowOff>
    </xdr:from>
    <xdr:ext cx="1143000" cy="1143000"/>
    <xdr:pic>
      <xdr:nvPicPr>
        <xdr:cNvPr id="8601" name="2f349b69-445d-440e-8739-5cf7dbc0b93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a907a7d2bde493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8604</xdr:row>
      <xdr:rowOff>19050</xdr:rowOff>
    </xdr:from>
    <xdr:ext cx="1143000" cy="1143000"/>
    <xdr:pic>
      <xdr:nvPicPr>
        <xdr:cNvPr id="8602" name="a3e2c001-495e-471e-8497-f8c6cd8d3cc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d9f4e144cc64c8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8605</xdr:row>
      <xdr:rowOff>19050</xdr:rowOff>
    </xdr:from>
    <xdr:ext cx="1143000" cy="1143000"/>
    <xdr:pic>
      <xdr:nvPicPr>
        <xdr:cNvPr id="8603" name="c4e267d5-b89a-4ed1-beb3-f9d2e65dbbb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bf0c50abe1f47d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8606</xdr:row>
      <xdr:rowOff>19050</xdr:rowOff>
    </xdr:from>
    <xdr:ext cx="1143000" cy="1143000"/>
    <xdr:pic>
      <xdr:nvPicPr>
        <xdr:cNvPr id="8604" name="af50326d-0f00-4fdd-8800-201d045ef7d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af06296bf244a0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8607</xdr:row>
      <xdr:rowOff>19050</xdr:rowOff>
    </xdr:from>
    <xdr:ext cx="1143000" cy="1143000"/>
    <xdr:pic>
      <xdr:nvPicPr>
        <xdr:cNvPr id="8605" name="7ad07422-ccd3-4640-84b8-ec1f4bdc49f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cec0232396049c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8608</xdr:row>
      <xdr:rowOff>19050</xdr:rowOff>
    </xdr:from>
    <xdr:ext cx="1143000" cy="1143000"/>
    <xdr:pic>
      <xdr:nvPicPr>
        <xdr:cNvPr id="8606" name="7ab6dfc3-85cb-4855-b61b-1bc2a2e7b29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204338ee7f6463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8609</xdr:row>
      <xdr:rowOff>19050</xdr:rowOff>
    </xdr:from>
    <xdr:ext cx="1143000" cy="1143000"/>
    <xdr:pic>
      <xdr:nvPicPr>
        <xdr:cNvPr id="8607" name="2979314d-b1de-4796-a3bd-53115fced35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76d136d8f05414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8610</xdr:row>
      <xdr:rowOff>19050</xdr:rowOff>
    </xdr:from>
    <xdr:ext cx="1143000" cy="1143000"/>
    <xdr:pic>
      <xdr:nvPicPr>
        <xdr:cNvPr id="8608" name="be80a7b8-2a00-45fc-ac0e-800702e75a5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1de89b550d1452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8611</xdr:row>
      <xdr:rowOff>19050</xdr:rowOff>
    </xdr:from>
    <xdr:ext cx="1143000" cy="1143000"/>
    <xdr:pic>
      <xdr:nvPicPr>
        <xdr:cNvPr id="8609" name="f1dd97b6-e753-446b-8017-dca1a01b5ae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7e204ca886a4be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8612</xdr:row>
      <xdr:rowOff>19050</xdr:rowOff>
    </xdr:from>
    <xdr:ext cx="1143000" cy="1143000"/>
    <xdr:pic>
      <xdr:nvPicPr>
        <xdr:cNvPr id="8610" name="ee458e4a-22fa-4ef7-8ac8-985222d796f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daf8f33928f451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8613</xdr:row>
      <xdr:rowOff>19050</xdr:rowOff>
    </xdr:from>
    <xdr:ext cx="1143000" cy="1143000"/>
    <xdr:pic>
      <xdr:nvPicPr>
        <xdr:cNvPr id="8611" name="58371f37-0437-43c2-bc92-8123b74f866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52a6680944340e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8614</xdr:row>
      <xdr:rowOff>19050</xdr:rowOff>
    </xdr:from>
    <xdr:ext cx="1143000" cy="1143000"/>
    <xdr:pic>
      <xdr:nvPicPr>
        <xdr:cNvPr id="8612" name="3f2cb8a0-8aa4-47e9-9e70-3c356c249af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005cd79922d433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8615</xdr:row>
      <xdr:rowOff>19050</xdr:rowOff>
    </xdr:from>
    <xdr:ext cx="1143000" cy="1143000"/>
    <xdr:pic>
      <xdr:nvPicPr>
        <xdr:cNvPr id="8613" name="69c6fb14-43ab-4682-8ee9-8a13bdd350b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a9331eeb49046f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8616</xdr:row>
      <xdr:rowOff>19050</xdr:rowOff>
    </xdr:from>
    <xdr:ext cx="1143000" cy="1143000"/>
    <xdr:pic>
      <xdr:nvPicPr>
        <xdr:cNvPr id="8614" name="34c88535-881c-4f04-acb2-c5e7fb9a7d2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053a0739031409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8617</xdr:row>
      <xdr:rowOff>19050</xdr:rowOff>
    </xdr:from>
    <xdr:ext cx="1143000" cy="1143000"/>
    <xdr:pic>
      <xdr:nvPicPr>
        <xdr:cNvPr id="8615" name="8fbe09bd-7c35-47f3-a753-b0b4d1ccd3c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3149a3a9bf8475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8618</xdr:row>
      <xdr:rowOff>19050</xdr:rowOff>
    </xdr:from>
    <xdr:ext cx="1143000" cy="1143000"/>
    <xdr:pic>
      <xdr:nvPicPr>
        <xdr:cNvPr id="8616" name="1abc078c-7278-4715-ac7d-9c845641d52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9adff5d5c6c40a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8619</xdr:row>
      <xdr:rowOff>19050</xdr:rowOff>
    </xdr:from>
    <xdr:ext cx="1143000" cy="1143000"/>
    <xdr:pic>
      <xdr:nvPicPr>
        <xdr:cNvPr id="8617" name="74465f19-3fb0-4d62-ac6f-e40da4ba59a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262084c749b411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8620</xdr:row>
      <xdr:rowOff>19050</xdr:rowOff>
    </xdr:from>
    <xdr:ext cx="1143000" cy="1143000"/>
    <xdr:pic>
      <xdr:nvPicPr>
        <xdr:cNvPr id="8618" name="5011164e-db56-438b-bbb6-4defa6739a8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ac8677c84e54e3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8621</xdr:row>
      <xdr:rowOff>19050</xdr:rowOff>
    </xdr:from>
    <xdr:ext cx="1143000" cy="1143000"/>
    <xdr:pic>
      <xdr:nvPicPr>
        <xdr:cNvPr id="8619" name="f5465cf0-a771-4353-90ac-299c00064bb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9d0d2bdfb9640f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8622</xdr:row>
      <xdr:rowOff>19050</xdr:rowOff>
    </xdr:from>
    <xdr:ext cx="1143000" cy="1143000"/>
    <xdr:pic>
      <xdr:nvPicPr>
        <xdr:cNvPr id="8620" name="d49ee88c-3be5-422a-934b-88189e9c881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ce355d34df4422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8623</xdr:row>
      <xdr:rowOff>19050</xdr:rowOff>
    </xdr:from>
    <xdr:ext cx="1143000" cy="1143000"/>
    <xdr:pic>
      <xdr:nvPicPr>
        <xdr:cNvPr id="8621" name="e6bb4e55-2d58-4263-b8bb-7537d25d204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ee6c9d425a34ca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8624</xdr:row>
      <xdr:rowOff>19050</xdr:rowOff>
    </xdr:from>
    <xdr:ext cx="1143000" cy="1143000"/>
    <xdr:pic>
      <xdr:nvPicPr>
        <xdr:cNvPr id="8622" name="1b5fd868-a539-433c-8468-a741bece4ed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f0b65608f2f4a2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8625</xdr:row>
      <xdr:rowOff>19050</xdr:rowOff>
    </xdr:from>
    <xdr:ext cx="1143000" cy="1143000"/>
    <xdr:pic>
      <xdr:nvPicPr>
        <xdr:cNvPr id="8623" name="7ed68097-5f3e-4979-8a09-f78ac0f672f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934d988fb8f4a4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8626</xdr:row>
      <xdr:rowOff>19050</xdr:rowOff>
    </xdr:from>
    <xdr:ext cx="1143000" cy="1143000"/>
    <xdr:pic>
      <xdr:nvPicPr>
        <xdr:cNvPr id="8624" name="ffdd5069-ee7b-40ea-b092-eee2529af39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b3da3f484b64fc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8627</xdr:row>
      <xdr:rowOff>19050</xdr:rowOff>
    </xdr:from>
    <xdr:ext cx="1143000" cy="1143000"/>
    <xdr:pic>
      <xdr:nvPicPr>
        <xdr:cNvPr id="8625" name="a59b14bf-d0a9-4286-96bf-95b17963714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4256fc283e2471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8628</xdr:row>
      <xdr:rowOff>19050</xdr:rowOff>
    </xdr:from>
    <xdr:ext cx="1143000" cy="1143000"/>
    <xdr:pic>
      <xdr:nvPicPr>
        <xdr:cNvPr id="8626" name="eee29f99-ecf8-44ca-960a-c0c537c4881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54f977484dc4ce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8629</xdr:row>
      <xdr:rowOff>19050</xdr:rowOff>
    </xdr:from>
    <xdr:ext cx="1143000" cy="1143000"/>
    <xdr:pic>
      <xdr:nvPicPr>
        <xdr:cNvPr id="8627" name="31ae05f8-9e1f-4acc-8600-90671bf9961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af1da2e1477438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8630</xdr:row>
      <xdr:rowOff>19050</xdr:rowOff>
    </xdr:from>
    <xdr:ext cx="1143000" cy="1143000"/>
    <xdr:pic>
      <xdr:nvPicPr>
        <xdr:cNvPr id="8628" name="139f2908-2e41-4c96-a163-1d34d38b623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ea7b3e1944b42d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8631</xdr:row>
      <xdr:rowOff>19050</xdr:rowOff>
    </xdr:from>
    <xdr:ext cx="1143000" cy="1143000"/>
    <xdr:pic>
      <xdr:nvPicPr>
        <xdr:cNvPr id="8629" name="6aac1cf9-ba24-4b34-a68d-5a33970e0fd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a04e64afed847c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8632</xdr:row>
      <xdr:rowOff>19050</xdr:rowOff>
    </xdr:from>
    <xdr:ext cx="1143000" cy="1143000"/>
    <xdr:pic>
      <xdr:nvPicPr>
        <xdr:cNvPr id="8630" name="e3a79ce2-29e0-450d-a902-f7d0c356bb4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eea6de72f42482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8633</xdr:row>
      <xdr:rowOff>19050</xdr:rowOff>
    </xdr:from>
    <xdr:ext cx="1143000" cy="1143000"/>
    <xdr:pic>
      <xdr:nvPicPr>
        <xdr:cNvPr id="8631" name="19ccf8be-7d5a-44e0-b8a1-97adc866a9c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a638f7414b3406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8634</xdr:row>
      <xdr:rowOff>19050</xdr:rowOff>
    </xdr:from>
    <xdr:ext cx="1143000" cy="1143000"/>
    <xdr:pic>
      <xdr:nvPicPr>
        <xdr:cNvPr id="8632" name="256c4826-64f8-45d1-b36b-76d27630372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fdd8ff3cc9b414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8635</xdr:row>
      <xdr:rowOff>19050</xdr:rowOff>
    </xdr:from>
    <xdr:ext cx="1143000" cy="1143000"/>
    <xdr:pic>
      <xdr:nvPicPr>
        <xdr:cNvPr id="8633" name="c19fce03-6a74-46f8-8065-a9d0e338654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ba5c044fc7e24d9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8636</xdr:row>
      <xdr:rowOff>19050</xdr:rowOff>
    </xdr:from>
    <xdr:ext cx="1143000" cy="1143000"/>
    <xdr:pic>
      <xdr:nvPicPr>
        <xdr:cNvPr id="8634" name="8dd73ab9-606e-457b-a658-0ba9e3a67ad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70b28b6652a4b5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8637</xdr:row>
      <xdr:rowOff>19050</xdr:rowOff>
    </xdr:from>
    <xdr:ext cx="1143000" cy="1143000"/>
    <xdr:pic>
      <xdr:nvPicPr>
        <xdr:cNvPr id="8635" name="22bb0cdf-8ca6-4002-9e56-cd0633ac7c0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984e3d7c74c426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8638</xdr:row>
      <xdr:rowOff>19050</xdr:rowOff>
    </xdr:from>
    <xdr:ext cx="1143000" cy="1143000"/>
    <xdr:pic>
      <xdr:nvPicPr>
        <xdr:cNvPr id="8636" name="b14b4559-d262-4bb0-84d5-3a08141fd69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d66b6de7bbd4c2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8639</xdr:row>
      <xdr:rowOff>19050</xdr:rowOff>
    </xdr:from>
    <xdr:ext cx="1143000" cy="1143000"/>
    <xdr:pic>
      <xdr:nvPicPr>
        <xdr:cNvPr id="8637" name="fffc74b8-3f90-4b5f-8eab-d026b232bf0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fb3e549bbae436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8640</xdr:row>
      <xdr:rowOff>19050</xdr:rowOff>
    </xdr:from>
    <xdr:ext cx="1143000" cy="1143000"/>
    <xdr:pic>
      <xdr:nvPicPr>
        <xdr:cNvPr id="8638" name="b5bfe46a-caf0-47e3-b8e8-6447f26cd51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03b6259e6ee4b1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8641</xdr:row>
      <xdr:rowOff>19050</xdr:rowOff>
    </xdr:from>
    <xdr:ext cx="1143000" cy="1143000"/>
    <xdr:pic>
      <xdr:nvPicPr>
        <xdr:cNvPr id="8639" name="ece7ca2e-1655-4ef3-bf74-a2478b1540e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4a1caaf5a5c467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8642</xdr:row>
      <xdr:rowOff>19050</xdr:rowOff>
    </xdr:from>
    <xdr:ext cx="1143000" cy="1143000"/>
    <xdr:pic>
      <xdr:nvPicPr>
        <xdr:cNvPr id="8640" name="72da5896-74cb-4663-85d3-5ee6d4918d0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938aa626f984f4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8643</xdr:row>
      <xdr:rowOff>19050</xdr:rowOff>
    </xdr:from>
    <xdr:ext cx="1143000" cy="1143000"/>
    <xdr:pic>
      <xdr:nvPicPr>
        <xdr:cNvPr id="8641" name="2f30e22e-a488-469f-b5ae-c05d74fea2f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3194a3ff4994fc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8644</xdr:row>
      <xdr:rowOff>19050</xdr:rowOff>
    </xdr:from>
    <xdr:ext cx="1143000" cy="1143000"/>
    <xdr:pic>
      <xdr:nvPicPr>
        <xdr:cNvPr id="8642" name="392094d1-0f86-4fc5-bff2-03c39b15b52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89f6f4dab3a486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8645</xdr:row>
      <xdr:rowOff>19050</xdr:rowOff>
    </xdr:from>
    <xdr:ext cx="1143000" cy="1143000"/>
    <xdr:pic>
      <xdr:nvPicPr>
        <xdr:cNvPr id="8643" name="c642b46c-0902-4e75-b5c4-70e55e657d2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a6024f7695d405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8646</xdr:row>
      <xdr:rowOff>19050</xdr:rowOff>
    </xdr:from>
    <xdr:ext cx="1143000" cy="1143000"/>
    <xdr:pic>
      <xdr:nvPicPr>
        <xdr:cNvPr id="8644" name="7efd8a93-96e1-49a6-b19f-6e02b799096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bbcae0d0d7e4b8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8647</xdr:row>
      <xdr:rowOff>19050</xdr:rowOff>
    </xdr:from>
    <xdr:ext cx="1143000" cy="1143000"/>
    <xdr:pic>
      <xdr:nvPicPr>
        <xdr:cNvPr id="8645" name="0e8b2550-cded-4569-93e6-75738b2583c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5f0289363394ee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8648</xdr:row>
      <xdr:rowOff>19050</xdr:rowOff>
    </xdr:from>
    <xdr:ext cx="1143000" cy="1143000"/>
    <xdr:pic>
      <xdr:nvPicPr>
        <xdr:cNvPr id="8646" name="5598e33b-5b07-43b6-8d95-b17141d9a8c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6c4a3530d394d4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8649</xdr:row>
      <xdr:rowOff>19050</xdr:rowOff>
    </xdr:from>
    <xdr:ext cx="1143000" cy="1143000"/>
    <xdr:pic>
      <xdr:nvPicPr>
        <xdr:cNvPr id="8647" name="41eae9ea-7518-4cb3-9b52-e93a3fe68eb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c2a6bab258e402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8650</xdr:row>
      <xdr:rowOff>19050</xdr:rowOff>
    </xdr:from>
    <xdr:ext cx="1143000" cy="1143000"/>
    <xdr:pic>
      <xdr:nvPicPr>
        <xdr:cNvPr id="8648" name="4b42cfa5-b7de-411b-a20e-b6b933a2de5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2033befec94409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8651</xdr:row>
      <xdr:rowOff>19050</xdr:rowOff>
    </xdr:from>
    <xdr:ext cx="1143000" cy="1143000"/>
    <xdr:pic>
      <xdr:nvPicPr>
        <xdr:cNvPr id="8649" name="d2f69a1a-b323-4034-aee4-bdf1508bc05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f85219e2fde46a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8652</xdr:row>
      <xdr:rowOff>19050</xdr:rowOff>
    </xdr:from>
    <xdr:ext cx="1143000" cy="1143000"/>
    <xdr:pic>
      <xdr:nvPicPr>
        <xdr:cNvPr id="8650" name="165728bb-d3a3-45ee-8f23-416bfc2cff8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493ad642dea41e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8653</xdr:row>
      <xdr:rowOff>19050</xdr:rowOff>
    </xdr:from>
    <xdr:ext cx="1143000" cy="1143000"/>
    <xdr:pic>
      <xdr:nvPicPr>
        <xdr:cNvPr id="8651" name="2a9cf971-f1a0-436f-9c05-b8b6ca00698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f49114ad6d04de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8654</xdr:row>
      <xdr:rowOff>19050</xdr:rowOff>
    </xdr:from>
    <xdr:ext cx="1143000" cy="1143000"/>
    <xdr:pic>
      <xdr:nvPicPr>
        <xdr:cNvPr id="8652" name="bf3a2e99-f6da-43bd-b0a4-2f55c7bcfd5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2864fda88a949e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8655</xdr:row>
      <xdr:rowOff>19050</xdr:rowOff>
    </xdr:from>
    <xdr:ext cx="1143000" cy="1143000"/>
    <xdr:pic>
      <xdr:nvPicPr>
        <xdr:cNvPr id="8653" name="4594541f-b98f-4391-a0b6-91d2f126918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aaa3ee9f47d45f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8656</xdr:row>
      <xdr:rowOff>19050</xdr:rowOff>
    </xdr:from>
    <xdr:ext cx="1143000" cy="1143000"/>
    <xdr:pic>
      <xdr:nvPicPr>
        <xdr:cNvPr id="8654" name="76324c6e-506b-4113-97cf-35b48c40989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e49ac0df4ff486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8657</xdr:row>
      <xdr:rowOff>19050</xdr:rowOff>
    </xdr:from>
    <xdr:ext cx="1143000" cy="1143000"/>
    <xdr:pic>
      <xdr:nvPicPr>
        <xdr:cNvPr id="8655" name="201bb1b2-a71f-4b1d-9429-71b0e2f127a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49833edeff9441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8658</xdr:row>
      <xdr:rowOff>19050</xdr:rowOff>
    </xdr:from>
    <xdr:ext cx="1143000" cy="1143000"/>
    <xdr:pic>
      <xdr:nvPicPr>
        <xdr:cNvPr id="8656" name="b1c8442f-93bd-44c3-94d9-72bb1e1c547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9822f8821e9470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8659</xdr:row>
      <xdr:rowOff>19050</xdr:rowOff>
    </xdr:from>
    <xdr:ext cx="1143000" cy="1143000"/>
    <xdr:pic>
      <xdr:nvPicPr>
        <xdr:cNvPr id="8657" name="e6201ac0-975f-4150-a7e8-65b9ae79d8f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55cd8f2646449d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8660</xdr:row>
      <xdr:rowOff>19050</xdr:rowOff>
    </xdr:from>
    <xdr:ext cx="1143000" cy="1143000"/>
    <xdr:pic>
      <xdr:nvPicPr>
        <xdr:cNvPr id="8658" name="26a647a7-4804-4191-9036-6cfc31e5ecf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ab09a62609e433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8661</xdr:row>
      <xdr:rowOff>19050</xdr:rowOff>
    </xdr:from>
    <xdr:ext cx="1143000" cy="1143000"/>
    <xdr:pic>
      <xdr:nvPicPr>
        <xdr:cNvPr id="8659" name="a7e315f1-b880-4303-95b6-ae6994a2c5a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b45583509ee454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8662</xdr:row>
      <xdr:rowOff>19050</xdr:rowOff>
    </xdr:from>
    <xdr:ext cx="1143000" cy="1143000"/>
    <xdr:pic>
      <xdr:nvPicPr>
        <xdr:cNvPr id="8660" name="f5b163f9-3700-4ec3-859f-773c3f41e73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c5187b7b9b7407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8663</xdr:row>
      <xdr:rowOff>19050</xdr:rowOff>
    </xdr:from>
    <xdr:ext cx="1143000" cy="1143000"/>
    <xdr:pic>
      <xdr:nvPicPr>
        <xdr:cNvPr id="8661" name="8d645181-34d8-49ba-aac9-6a3a44b40b1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cdb1bc041714bf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8664</xdr:row>
      <xdr:rowOff>19050</xdr:rowOff>
    </xdr:from>
    <xdr:ext cx="1143000" cy="1143000"/>
    <xdr:pic>
      <xdr:nvPicPr>
        <xdr:cNvPr id="8662" name="4e72086c-7ad6-4aa7-8cb5-b1a243b3431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8df64169c44487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8665</xdr:row>
      <xdr:rowOff>19050</xdr:rowOff>
    </xdr:from>
    <xdr:ext cx="1143000" cy="1143000"/>
    <xdr:pic>
      <xdr:nvPicPr>
        <xdr:cNvPr id="8663" name="0368163b-b72e-4fb2-82f6-75cd6d4f605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efa263dc0514c7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8666</xdr:row>
      <xdr:rowOff>19050</xdr:rowOff>
    </xdr:from>
    <xdr:ext cx="1143000" cy="1143000"/>
    <xdr:pic>
      <xdr:nvPicPr>
        <xdr:cNvPr id="8664" name="01b5c616-cc60-4f52-9259-c99c0c14c47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f88e5d379234c8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8667</xdr:row>
      <xdr:rowOff>19050</xdr:rowOff>
    </xdr:from>
    <xdr:ext cx="1143000" cy="1143000"/>
    <xdr:pic>
      <xdr:nvPicPr>
        <xdr:cNvPr id="8665" name="85e0818d-fa76-4476-a7df-79fc3954a51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52e3bb9dd7648f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8668</xdr:row>
      <xdr:rowOff>19050</xdr:rowOff>
    </xdr:from>
    <xdr:ext cx="1143000" cy="1143000"/>
    <xdr:pic>
      <xdr:nvPicPr>
        <xdr:cNvPr id="8666" name="341ab1c1-e555-4439-a1aa-effcd3c417d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a17e6ded53a45b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8669</xdr:row>
      <xdr:rowOff>19050</xdr:rowOff>
    </xdr:from>
    <xdr:ext cx="1143000" cy="1143000"/>
    <xdr:pic>
      <xdr:nvPicPr>
        <xdr:cNvPr id="8667" name="30e788a6-33a6-4689-8dee-bc4dd2ec2cc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de4711983a541db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8670</xdr:row>
      <xdr:rowOff>19050</xdr:rowOff>
    </xdr:from>
    <xdr:ext cx="1143000" cy="1143000"/>
    <xdr:pic>
      <xdr:nvPicPr>
        <xdr:cNvPr id="8668" name="fa15bdb4-d08f-4d79-afd4-6bd972ad444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29f6bb6466f64ed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8671</xdr:row>
      <xdr:rowOff>19050</xdr:rowOff>
    </xdr:from>
    <xdr:ext cx="1143000" cy="1143000"/>
    <xdr:pic>
      <xdr:nvPicPr>
        <xdr:cNvPr id="8669" name="05ad4ad0-5a2c-4dc1-b676-56bfd5439f2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61716c53f2544e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8672</xdr:row>
      <xdr:rowOff>19050</xdr:rowOff>
    </xdr:from>
    <xdr:ext cx="1143000" cy="1143000"/>
    <xdr:pic>
      <xdr:nvPicPr>
        <xdr:cNvPr id="8670" name="c814d9ca-e0a4-4462-a900-43e8293efd8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a60ccf1fba54da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8673</xdr:row>
      <xdr:rowOff>19050</xdr:rowOff>
    </xdr:from>
    <xdr:ext cx="1143000" cy="1143000"/>
    <xdr:pic>
      <xdr:nvPicPr>
        <xdr:cNvPr id="8671" name="1c1c649d-7568-428e-8c21-bc67946e3d8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1edfd5eeea44d4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8674</xdr:row>
      <xdr:rowOff>19050</xdr:rowOff>
    </xdr:from>
    <xdr:ext cx="1143000" cy="1143000"/>
    <xdr:pic>
      <xdr:nvPicPr>
        <xdr:cNvPr id="8672" name="52cb1e7c-3a6b-4203-93a9-09936e6c6c8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dee1fde8dc64b6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8675</xdr:row>
      <xdr:rowOff>19050</xdr:rowOff>
    </xdr:from>
    <xdr:ext cx="1143000" cy="1143000"/>
    <xdr:pic>
      <xdr:nvPicPr>
        <xdr:cNvPr id="8673" name="2155847a-668a-4df9-a5b3-b746fade5c8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42a02c1eec541c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8676</xdr:row>
      <xdr:rowOff>19050</xdr:rowOff>
    </xdr:from>
    <xdr:ext cx="1143000" cy="1143000"/>
    <xdr:pic>
      <xdr:nvPicPr>
        <xdr:cNvPr id="8674" name="a29dd2e7-4a36-4907-824c-063edbe12fa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801569a034d498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8677</xdr:row>
      <xdr:rowOff>19050</xdr:rowOff>
    </xdr:from>
    <xdr:ext cx="1143000" cy="1143000"/>
    <xdr:pic>
      <xdr:nvPicPr>
        <xdr:cNvPr id="8675" name="fb7481cf-7c1d-44ec-b121-39e6c42bc81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8a4a6795f074f3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8678</xdr:row>
      <xdr:rowOff>19050</xdr:rowOff>
    </xdr:from>
    <xdr:ext cx="1143000" cy="1143000"/>
    <xdr:pic>
      <xdr:nvPicPr>
        <xdr:cNvPr id="8676" name="555002c7-1380-4817-a89c-f836849a91d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6074e1c831814a3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8679</xdr:row>
      <xdr:rowOff>19050</xdr:rowOff>
    </xdr:from>
    <xdr:ext cx="1143000" cy="1143000"/>
    <xdr:pic>
      <xdr:nvPicPr>
        <xdr:cNvPr id="8677" name="cbc3c80d-f2a1-40e4-ba8b-725de35a31b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7c9569e59a440f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8680</xdr:row>
      <xdr:rowOff>19050</xdr:rowOff>
    </xdr:from>
    <xdr:ext cx="1143000" cy="1143000"/>
    <xdr:pic>
      <xdr:nvPicPr>
        <xdr:cNvPr id="8678" name="da0ac698-de6e-4d7a-909f-4453e17eeb9c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2b2a852bf9b4d36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8681</xdr:row>
      <xdr:rowOff>19050</xdr:rowOff>
    </xdr:from>
    <xdr:ext cx="1143000" cy="1143000"/>
    <xdr:pic>
      <xdr:nvPicPr>
        <xdr:cNvPr id="8679" name="08cde8eb-81b5-4854-b1d6-353b1db13cf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d73c536a863b441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8682</xdr:row>
      <xdr:rowOff>19050</xdr:rowOff>
    </xdr:from>
    <xdr:ext cx="1143000" cy="1143000"/>
    <xdr:pic>
      <xdr:nvPicPr>
        <xdr:cNvPr id="8680" name="0b6f23aa-be27-40d2-aa6b-3ac42f1f3e6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ee4c0b9252b4ef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8683</xdr:row>
      <xdr:rowOff>19050</xdr:rowOff>
    </xdr:from>
    <xdr:ext cx="1143000" cy="1143000"/>
    <xdr:pic>
      <xdr:nvPicPr>
        <xdr:cNvPr id="8681" name="e0bbee6b-733b-4010-9c03-e1e7965bb3c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22af20a42ff401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8684</xdr:row>
      <xdr:rowOff>19050</xdr:rowOff>
    </xdr:from>
    <xdr:ext cx="1143000" cy="1143000"/>
    <xdr:pic>
      <xdr:nvPicPr>
        <xdr:cNvPr id="8682" name="a772acee-7227-4cf4-8e66-0e3cd336402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7806bec6b0948f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8685</xdr:row>
      <xdr:rowOff>19050</xdr:rowOff>
    </xdr:from>
    <xdr:ext cx="1143000" cy="1143000"/>
    <xdr:pic>
      <xdr:nvPicPr>
        <xdr:cNvPr id="8683" name="cc966795-31fd-4af5-afa0-276a6b58595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2171361d995423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8686</xdr:row>
      <xdr:rowOff>19050</xdr:rowOff>
    </xdr:from>
    <xdr:ext cx="1143000" cy="1143000"/>
    <xdr:pic>
      <xdr:nvPicPr>
        <xdr:cNvPr id="8684" name="401b119e-229a-41ad-8a2b-bb1bfef1cf2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62e4724f2544f1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8687</xdr:row>
      <xdr:rowOff>19050</xdr:rowOff>
    </xdr:from>
    <xdr:ext cx="1143000" cy="1143000"/>
    <xdr:pic>
      <xdr:nvPicPr>
        <xdr:cNvPr id="8685" name="4d38d51e-f4a2-4b27-b9fa-38098b361fe2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67700f7ac0843f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8688</xdr:row>
      <xdr:rowOff>19050</xdr:rowOff>
    </xdr:from>
    <xdr:ext cx="1143000" cy="1143000"/>
    <xdr:pic>
      <xdr:nvPicPr>
        <xdr:cNvPr id="8686" name="462c7560-922b-4c50-b82e-f0ac675662c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a120e74cc7c941f8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8689</xdr:row>
      <xdr:rowOff>19050</xdr:rowOff>
    </xdr:from>
    <xdr:ext cx="1143000" cy="1143000"/>
    <xdr:pic>
      <xdr:nvPicPr>
        <xdr:cNvPr id="8687" name="dd214206-e3b0-43f4-9f5b-6a142ce0ebb5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15c8e4a4b38401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8690</xdr:row>
      <xdr:rowOff>19050</xdr:rowOff>
    </xdr:from>
    <xdr:ext cx="1143000" cy="1143000"/>
    <xdr:pic>
      <xdr:nvPicPr>
        <xdr:cNvPr id="8688" name="254f63a2-8cb2-4c82-bd5f-f3c20fdca1e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c340d7d0dc24999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8691</xdr:row>
      <xdr:rowOff>19050</xdr:rowOff>
    </xdr:from>
    <xdr:ext cx="1143000" cy="1143000"/>
    <xdr:pic>
      <xdr:nvPicPr>
        <xdr:cNvPr id="8689" name="63b0241e-e89a-41ff-b760-b5001472ebf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3e79fd9eb2041a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8692</xdr:row>
      <xdr:rowOff>19050</xdr:rowOff>
    </xdr:from>
    <xdr:ext cx="1143000" cy="1143000"/>
    <xdr:pic>
      <xdr:nvPicPr>
        <xdr:cNvPr id="8690" name="14c45e0b-0eba-4a30-9222-59fe665a028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162bc63c0e3478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8693</xdr:row>
      <xdr:rowOff>19050</xdr:rowOff>
    </xdr:from>
    <xdr:ext cx="1143000" cy="1143000"/>
    <xdr:pic>
      <xdr:nvPicPr>
        <xdr:cNvPr id="8691" name="c0c9c214-2c83-4d99-a1cc-8ad8aa9a8ba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cbea531daba463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8694</xdr:row>
      <xdr:rowOff>19050</xdr:rowOff>
    </xdr:from>
    <xdr:ext cx="1143000" cy="1143000"/>
    <xdr:pic>
      <xdr:nvPicPr>
        <xdr:cNvPr id="8692" name="ba06dfaf-2ea7-42f0-983a-8068f771600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5898a11318c42a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8695</xdr:row>
      <xdr:rowOff>19050</xdr:rowOff>
    </xdr:from>
    <xdr:ext cx="1143000" cy="1143000"/>
    <xdr:pic>
      <xdr:nvPicPr>
        <xdr:cNvPr id="8693" name="d9f0c34b-0279-4e13-8337-7d2fb8699f70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f7328023a1934d8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8696</xdr:row>
      <xdr:rowOff>19050</xdr:rowOff>
    </xdr:from>
    <xdr:ext cx="1143000" cy="1143000"/>
    <xdr:pic>
      <xdr:nvPicPr>
        <xdr:cNvPr id="8694" name="a204781a-343b-49ce-b60d-e51f989be93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83638ad04024a6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8697</xdr:row>
      <xdr:rowOff>19050</xdr:rowOff>
    </xdr:from>
    <xdr:ext cx="1143000" cy="1143000"/>
    <xdr:pic>
      <xdr:nvPicPr>
        <xdr:cNvPr id="8695" name="e2aab3e7-25b7-4219-afef-aea98c6944f4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5b4a17c7e7614b75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8698</xdr:row>
      <xdr:rowOff>19050</xdr:rowOff>
    </xdr:from>
    <xdr:ext cx="1143000" cy="1143000"/>
    <xdr:pic>
      <xdr:nvPicPr>
        <xdr:cNvPr id="8696" name="746829cc-c8e5-41e3-afd0-8bf2ddf3e457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377834a894c6426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8699</xdr:row>
      <xdr:rowOff>19050</xdr:rowOff>
    </xdr:from>
    <xdr:ext cx="1143000" cy="1143000"/>
    <xdr:pic>
      <xdr:nvPicPr>
        <xdr:cNvPr id="8697" name="8a24e683-350e-434c-b6cf-7d892b02630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7a2cdcae9344def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8700</xdr:row>
      <xdr:rowOff>19050</xdr:rowOff>
    </xdr:from>
    <xdr:ext cx="1143000" cy="1143000"/>
    <xdr:pic>
      <xdr:nvPicPr>
        <xdr:cNvPr id="8698" name="8177528a-2cf6-42dd-8ec8-ff4421c8251f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4c410b4a250429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8701</xdr:row>
      <xdr:rowOff>19050</xdr:rowOff>
    </xdr:from>
    <xdr:ext cx="1143000" cy="1143000"/>
    <xdr:pic>
      <xdr:nvPicPr>
        <xdr:cNvPr id="8699" name="3d6b3377-3746-412e-af79-9b2bba6d0408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5f19f4ca9b94167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8702</xdr:row>
      <xdr:rowOff>19050</xdr:rowOff>
    </xdr:from>
    <xdr:ext cx="1143000" cy="1143000"/>
    <xdr:pic>
      <xdr:nvPicPr>
        <xdr:cNvPr id="8700" name="17fa1873-435b-4f20-a792-860373f2dfa1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291a876d7f84ab0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8703</xdr:row>
      <xdr:rowOff>19050</xdr:rowOff>
    </xdr:from>
    <xdr:ext cx="1143000" cy="1143000"/>
    <xdr:pic>
      <xdr:nvPicPr>
        <xdr:cNvPr id="8701" name="6743cb98-8158-452d-b137-9f7e1bf1662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c64488ab46cb4a0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8704</xdr:row>
      <xdr:rowOff>19050</xdr:rowOff>
    </xdr:from>
    <xdr:ext cx="1143000" cy="1143000"/>
    <xdr:pic>
      <xdr:nvPicPr>
        <xdr:cNvPr id="8702" name="04a1d3b1-8f6c-4c7d-9bc8-8855f8c6022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985bb9bd2137498c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8705</xdr:row>
      <xdr:rowOff>19050</xdr:rowOff>
    </xdr:from>
    <xdr:ext cx="1143000" cy="1143000"/>
    <xdr:pic>
      <xdr:nvPicPr>
        <xdr:cNvPr id="8703" name="7e6e6cef-6ffa-4067-8d73-b8e2f7879496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0681fc49603e4cc3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8706</xdr:row>
      <xdr:rowOff>19050</xdr:rowOff>
    </xdr:from>
    <xdr:ext cx="1143000" cy="1143000"/>
    <xdr:pic>
      <xdr:nvPicPr>
        <xdr:cNvPr id="8704" name="e288edb5-2267-43d3-9ce0-b08fcd6b4ca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7a3041319214e6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8707</xdr:row>
      <xdr:rowOff>19050</xdr:rowOff>
    </xdr:from>
    <xdr:ext cx="1143000" cy="1143000"/>
    <xdr:pic>
      <xdr:nvPicPr>
        <xdr:cNvPr id="8705" name="f85ee8cd-8958-4ef0-a78f-bf3c0734f78d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3f109ce550e46a1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8708</xdr:row>
      <xdr:rowOff>19050</xdr:rowOff>
    </xdr:from>
    <xdr:ext cx="1143000" cy="1143000"/>
    <xdr:pic>
      <xdr:nvPicPr>
        <xdr:cNvPr id="8706" name="513ea8c3-a255-456f-bd91-95240d5f9393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1ad1a3e5af8f413d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8709</xdr:row>
      <xdr:rowOff>19050</xdr:rowOff>
    </xdr:from>
    <xdr:ext cx="1143000" cy="1143000"/>
    <xdr:pic>
      <xdr:nvPicPr>
        <xdr:cNvPr id="8707" name="684a9e39-b048-460f-882d-9bdffebdb4f9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8be5ae512d09484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8710</xdr:row>
      <xdr:rowOff>19050</xdr:rowOff>
    </xdr:from>
    <xdr:ext cx="1143000" cy="1143000"/>
    <xdr:pic>
      <xdr:nvPicPr>
        <xdr:cNvPr id="8708" name="621e51ed-c8fa-4e57-b73e-ce2ffa4857e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eaf13e881b3b49fe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8711</xdr:row>
      <xdr:rowOff>19050</xdr:rowOff>
    </xdr:from>
    <xdr:ext cx="1143000" cy="1143000"/>
    <xdr:pic>
      <xdr:nvPicPr>
        <xdr:cNvPr id="8709" name="e6f242e4-6166-4080-b26c-4154a42ab6aa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4a05fa3092f5406a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8712</xdr:row>
      <xdr:rowOff>19050</xdr:rowOff>
    </xdr:from>
    <xdr:ext cx="1143000" cy="1143000"/>
    <xdr:pic>
      <xdr:nvPicPr>
        <xdr:cNvPr id="8710" name="3b62df6a-d474-4f97-9080-3cefc97e4b1b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50ea56abc5f4504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  <xdr:oneCellAnchor>
    <xdr:from>
      <xdr:col>1</xdr:col>
      <xdr:colOff>19050</xdr:colOff>
      <xdr:row>8713</xdr:row>
      <xdr:rowOff>19050</xdr:rowOff>
    </xdr:from>
    <xdr:ext cx="1143000" cy="1143000"/>
    <xdr:pic>
      <xdr:nvPicPr>
        <xdr:cNvPr id="8711" name="8c2ca462-18e6-4bcf-8e35-dd5b5d561c7e"/>
        <xdr:cNvPicPr>
          <a:picLocks xmlns:a="http://schemas.openxmlformats.org/drawingml/2006/main" noChangeAspect="1"/>
        </xdr:cNvPicPr>
      </xdr:nvPicPr>
      <xdr:blipFill>
        <a:blip xmlns:r="http://schemas.openxmlformats.org/officeDocument/2006/relationships" xmlns:a="http://schemas.openxmlformats.org/drawingml/2006/main" r:embed="R7de43a14d6fb4c32"/>
        <a:stretch xmlns:a="http://schemas.openxmlformats.org/drawingml/2006/main">
          <a:fillRect/>
        </a:stretch>
      </xdr:blipFill>
      <xdr:spPr>
        <a:prstGeom xmlns:a="http://schemas.openxmlformats.org/drawingml/2006/main" prst="rect"/>
      </xdr:spPr>
    </xdr:pic>
    <xdr:clientData/>
  </xdr:oneCellAnchor>
</xdr:wsDr>
</file>

<file path=xl/theme/theme1.xml><?xml version="1.0" encoding="utf-8"?>
<a:theme xmlns:a="http://schemas.openxmlformats.org/drawingml/2006/main" name="ChatGPT">
  <a:themeElements>
    <a:clrScheme name="365nails Catalog">
      <a:dk1>
        <a:srgbClr val="12343B"/>
      </a:dk1>
      <a:lt1>
        <a:srgbClr val="FFFFFF"/>
      </a:lt1>
      <a:dk2>
        <a:srgbClr val="0E2841"/>
      </a:dk2>
      <a:lt2>
        <a:srgbClr val="F4F7F8"/>
      </a:lt2>
      <a:accent1>
        <a:srgbClr val="0F4C5C"/>
      </a:accent1>
      <a:accent2>
        <a:srgbClr val="E9C46A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0B63CE"/>
      </a:hlink>
      <a:folHlink>
        <a:srgbClr val="7C3AED"/>
      </a:folHlink>
    </a:clrScheme>
    <a:fontScheme name="Office">
      <a:majorFont>
        <a:latin typeface="Calibri Light"/>
        <a:ea typeface="Calibri Light"/>
        <a:cs typeface="Calibri Light"/>
      </a:majorFont>
      <a:minorFont>
        <a:latin typeface="Calibri"/>
        <a:ea typeface="Calibri"/>
        <a:cs typeface="Calibri"/>
      </a:minorFont>
    </a:fontScheme>
    <a:fmtScheme name="365nails Catalog">
      <a:fillStyleLst>
        <a:solidFill>
          <a:schemeClr val="phClr"/>
        </a:solidFill>
        <a:gradFill>
          <a:gsLst>
            <a:gs pos="0">
              <a:schemeClr val="phClr">
                <a:tint val="67000"/>
                <a:lumMod val="110000"/>
                <a:satMod val="105000"/>
              </a:schemeClr>
            </a:gs>
            <a:gs pos="50000">
              <a:schemeClr val="phClr">
                <a:tint val="73000"/>
                <a:lumMod val="105000"/>
                <a:satMod val="103000"/>
              </a:schemeClr>
            </a:gs>
            <a:gs pos="100000">
              <a:schemeClr val="phClr">
                <a:tint val="81000"/>
                <a:lumMod val="105000"/>
                <a:satMod val="109000"/>
              </a:schemeClr>
            </a:gs>
          </a:gsLst>
          <a:lin ang="5400000" scaled="0"/>
        </a:gradFill>
        <a:gradFill>
          <a:gsLst>
            <a:gs pos="0">
              <a:schemeClr val="phClr">
                <a:tint val="94000"/>
                <a:lumMod val="102000"/>
                <a:satMod val="103000"/>
              </a:schemeClr>
            </a:gs>
            <a:gs pos="50000">
              <a:schemeClr val="phClr">
                <a:shade val="100000"/>
                <a:lumMod val="100000"/>
                <a:satMod val="110000"/>
              </a:schemeClr>
            </a:gs>
            <a:gs pos="100000">
              <a:schemeClr val="phClr">
                <a:shade val="78000"/>
                <a:lumMod val="99000"/>
                <a:satMod val="120000"/>
              </a:schemeClr>
            </a:gs>
          </a:gsLst>
          <a:lin ang="5400000" scaled="0"/>
        </a:gradFill>
      </a:fillStyleLst>
      <a:lnStyleLst>
        <a:ln w="12700">
          <a:solidFill>
            <a:schemeClr val="phClr"/>
          </a:solidFill>
          <a:prstDash val="solid"/>
        </a:ln>
        <a:ln w="19050">
          <a:solidFill>
            <a:schemeClr val="phClr"/>
          </a:solidFill>
          <a:prstDash val="solid"/>
        </a:ln>
        <a:ln w="25400">
          <a:solidFill>
            <a:schemeClr val="phClr"/>
          </a:solidFill>
          <a:prstDash val="solid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>
          <a:gsLst>
            <a:gs pos="0">
              <a:schemeClr val="phClr">
                <a:tint val="93000"/>
                <a:shade val="98000"/>
                <a:lumMod val="102000"/>
                <a:satMod val="150000"/>
              </a:schemeClr>
            </a:gs>
            <a:gs pos="50000">
              <a:schemeClr val="phClr">
                <a:tint val="98000"/>
                <a:shade val="90000"/>
                <a:lumMod val="103000"/>
                <a:satMod val="130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</a:theme>
</file>

<file path=xl/worksheets/_rels/sheet1.xml.rels>&#65279;<?xml version="1.0" encoding="utf-8"?><Relationships xmlns="http://schemas.openxmlformats.org/package/2006/relationships"><Relationship Type="http://schemas.openxmlformats.org/officeDocument/2006/relationships/drawing" Target="/xl/drawings/drawing1.xml" Id="Refc33e43a71b4b7e" /></Relationships>
</file>

<file path=xl/worksheets/sheet1.xml><?xml version="1.0" encoding="utf-8"?>
<x:worksheet xmlns:x="http://schemas.openxmlformats.org/spreadsheetml/2006/main">
  <x:sheetViews>
    <x:sheetView showGridLines="0" workbookViewId="0"/>
  </x:sheetViews>
  <x:sheetFormatPr defaultRowHeight="15"/>
  <x:cols>
    <x:col min="1" max="1" width="6.21999979019165" hidden="0" customWidth="1"/>
    <x:col min="2" max="2" width="19.329999923706055" hidden="0" customWidth="1"/>
    <x:col min="3" max="3" width="33.33000183105469" hidden="0" customWidth="1"/>
    <x:col min="4" max="4" width="43.33000183105469" hidden="0" customWidth="1"/>
    <x:col min="5" max="5" width="11.109999656677246" hidden="0" customWidth="1"/>
    <x:col min="6" max="6" width="12.220000267028809" hidden="0" customWidth="1"/>
  </x:cols>
  <x:sheetData>
    <x:row r="1" ht="28.5" customHeight="1">
      <x:c r="A1" s="4" t="str">
        <x:v>Product Selection</x:v>
      </x:c>
      <x:c r="B1" s="4"/>
      <x:c r="C1" s="4"/>
      <x:c r="D1" s="4"/>
      <x:c r="E1" s="4"/>
      <x:c r="F1" s="4"/>
    </x:row>
    <x:row r="2" ht="18" customHeight="1">
      <x:c r="A2" s="8" t="str">
        <x:v>8,711-product complete catalog · Generated 2026-07-14T08:19:29.778Z</x:v>
      </x:c>
      <x:c r="B2" s="8"/>
      <x:c r="C2" s="8"/>
      <x:c r="D2" s="8"/>
      <x:c r="E2" s="8"/>
      <x:c r="F2" s="8"/>
    </x:row>
    <x:row r="3" ht="22.5" customHeight="1">
      <x:c r="A3" s="13" t="str">
        <x:v>No.</x:v>
      </x:c>
      <x:c r="B3" s="13" t="str">
        <x:v>Image</x:v>
      </x:c>
      <x:c r="C3" s="13" t="str">
        <x:v>Product</x:v>
      </x:c>
      <x:c r="D3" s="13" t="str">
        <x:v>Specifications</x:v>
      </x:c>
      <x:c r="E3" s="13" t="str">
        <x:v>Price</x:v>
      </x:c>
      <x:c r="F3" s="13" t="str">
        <x:v>MOQ</x:v>
      </x:c>
    </x:row>
    <x:row r="4" ht="93" customHeight="1">
      <x:c r="A4" s="19" t="n">
        <x:v>1</x:v>
      </x:c>
      <x:c r="B4" s="22" t="e">
        <x:f>HYPERLINK("https://cdn.shopify.com/s/files/1/0918/6066/4603/files/558f4f41753888c75be406e955392ffe.png?v=1773190719","Open")</x:f>
        <x:v>HYPERLINK is not implemented. linkLocation=https://cdn.shopify.com/s/files/1/0918/6066/4603/files/558f4f41753888c75be406e955392ffe.png?v=1773190719, friendlyName=Open</x:v>
      </x:c>
      <x:c r="C4" s="24" t="e">
        <x:f>HYPERLINK("https://365nails.com/products/wholesale-mystery-box-premium-handmade-press-on-nails-clearance-overstock","Wholesale Mystery Box: Premium Handmade Press-On Nails Clearance &amp; Overstock | From $0.1/Set (100 Sets MOQ, No Returns)")</x:f>
        <x:v>HYPERLINK is not implemented. linkLocation=https://365nails.com/products/wholesale-mystery-box-premium-handmade-press-on-nails-clearance-overstock, friendlyName=Wholesale Mystery Box: Premium Handmade Press-On Nails Clearance &amp; Overstock | From $0.1/Set (100 Sets MOQ, No Returns)</x:v>
      </x:c>
      <x:c r="D4" s="18" t="str">
        <x:v>quantity: 100pcs(1.20/set) / 300pcs(1.10/set) / 500pcs(1.00/set) / 1000pcs(0.90/set)</x:v>
      </x:c>
      <x:c r="E4" s="25" t="str">
        <x:v>$120.00–$900.00</x:v>
      </x:c>
      <x:c r="F4" s="19" t="str">
        <x:v>1</x:v>
      </x:c>
    </x:row>
    <x:row r="5" ht="93" customHeight="1">
      <x:c r="A5" s="19" t="n">
        <x:v>2</x:v>
      </x:c>
      <x:c r="B5" s="22" t="e">
        <x:f>HYPERLINK("https://cdn.shopify.com/s/files/1/0918/6066/4603/files/O1CN01Go4pFB2NGHvu8QHZy__4234819935-0-cib.jpg?v=1753429813","Open")</x:f>
        <x:v>HYPERLINK is not implemented. linkLocation=https://cdn.shopify.com/s/files/1/0918/6066/4603/files/O1CN01Go4pFB2NGHvu8QHZy__4234819935-0-cib.jpg?v=1753429813, friendlyName=Open</x:v>
      </x:c>
      <x:c r="C5" s="24" t="e">
        <x:f>HYPERLINK("https://365nails.com/products/nude-flower-simple-press-on-nails-short-almond-nail-piece-pink-internet-celebrity-ins-wind-manicure-fake-nail-wholesale-365nails","Nude flower simple Press on nails short almond nail piece pink Internet celebrity ins wind manicure fake nail wholesale｜365nails")</x:f>
        <x:v>HYPERLINK is not implemented. linkLocation=https://365nails.com/products/nude-flower-simple-press-on-nails-short-almond-nail-piece-pink-internet-celebrity-ins-wind-manicure-fake-nail-wholesale-365nails, friendlyName=Nude flower simple Press on nails short almond nail piece pink Internet celebrity ins wind manicure fake nail wholesale｜365nails</x:v>
      </x:c>
      <x:c r="D5" s="18" t="str">
        <x:v>color: JP1674</x:v>
      </x:c>
      <x:c r="E5" s="25" t="str">
        <x:v>$0.77</x:v>
      </x:c>
      <x:c r="F5" s="19" t="str">
        <x:v>1</x:v>
      </x:c>
    </x:row>
    <x:row r="6" ht="93" customHeight="1">
      <x:c r="A6" s="19" t="n">
        <x:v>3</x:v>
      </x:c>
      <x:c r="B6" s="22" t="e">
        <x:f>HYPERLINK("https://cdn.shopify.com/s/files/1/0918/6066/4603/files/O1CN01wtEPJ12NGHfh1h6gR__4234819935-0-cib.jpg?v=1753428834","Open")</x:f>
        <x:v>HYPERLINK is not implemented. linkLocation=https://cdn.shopify.com/s/files/1/0918/6066/4603/files/O1CN01wtEPJ12NGHfh1h6gR__4234819935-0-cib.jpg?v=1753428834, friendlyName=Open</x:v>
      </x:c>
      <x:c r="C6" s="24" t="e">
        <x:f>HYPERLINK("https://365nails.com/products/french-love-press-on-nails-orange-orange-nails-365nails","French Love Press on nails Orange Orange nails ｜365nails")</x:f>
        <x:v>HYPERLINK is not implemented. linkLocation=https://365nails.com/products/french-love-press-on-nails-orange-orange-nails-365nails, friendlyName=French Love Press on nails Orange Orange nails ｜365nails</x:v>
      </x:c>
      <x:c r="D6" s="18" t="str">
        <x:v>color: JP1493</x:v>
      </x:c>
      <x:c r="E6" s="25" t="str">
        <x:v>$0.70</x:v>
      </x:c>
      <x:c r="F6" s="19" t="str">
        <x:v>1</x:v>
      </x:c>
    </x:row>
    <x:row r="7" ht="93" customHeight="1">
      <x:c r="A7" s="19" t="n">
        <x:v>4</x:v>
      </x:c>
      <x:c r="B7" s="22" t="e">
        <x:f>HYPERLINK("https://cdn.shopify.com/s/files/1/0918/6066/4603/files/O1CN01iMaT8a2NGI07xuAVJ__4234819935-0-cib.jpg?v=1758609967","Open")</x:f>
        <x:v>HYPERLINK is not implemented. linkLocation=https://cdn.shopify.com/s/files/1/0918/6066/4603/files/O1CN01iMaT8a2NGI07xuAVJ__4234819935-0-cib.jpg?v=1758609967, friendlyName=Open</x:v>
      </x:c>
      <x:c r="C7" s="24" t="e">
        <x:f>HYPERLINK("https://365nails.com/products/almond-nail-polka-dot-nail-art-wear-nail-simple-french-white-nail-piece","Almond Polka Dots Simple French White press-on nails")</x:f>
        <x:v>HYPERLINK is not implemented. linkLocation=https://365nails.com/products/almond-nail-polka-dot-nail-art-wear-nail-simple-french-white-nail-piece, friendlyName=Almond Polka Dots Simple French White press-on nails</x:v>
      </x:c>
      <x:c r="D7" s="18" t="str">
        <x:v>color: JP4107</x:v>
      </x:c>
      <x:c r="E7" s="25" t="str">
        <x:v>$0.77</x:v>
      </x:c>
      <x:c r="F7" s="19" t="str">
        <x:v>1</x:v>
      </x:c>
    </x:row>
    <x:row r="8" ht="93" customHeight="1">
      <x:c r="A8" s="19" t="n">
        <x:v>5</x:v>
      </x:c>
      <x:c r="B8" s="22" t="e">
        <x:f>HYPERLINK("https://cdn.shopify.com/s/files/1/0918/6066/4603/files/O1CN01hCZtMm2NGI0JW1sLe__4234819935-0-cib.jpg?v=1758609963","Open")</x:f>
        <x:v>HYPERLINK is not implemented. linkLocation=https://cdn.shopify.com/s/files/1/0918/6066/4603/files/O1CN01hCZtMm2NGI0JW1sLe__4234819935-0-cib.jpg?v=1758609963, friendlyName=Open</x:v>
      </x:c>
      <x:c r="C8" s="24" t="e">
        <x:f>HYPERLINK("https://365nails.com/products/cool-and-hot-selling-wear-nail-art-fake-nail-autumn-and-winter-leopard-print-short-almond-nail","Cool and hot autumn and winter leopard print short almonds press-on nails")</x:f>
        <x:v>HYPERLINK is not implemented. linkLocation=https://365nails.com/products/cool-and-hot-selling-wear-nail-art-fake-nail-autumn-and-winter-leopard-print-short-almond-nail, friendlyName=Cool and hot autumn and winter leopard print short almonds press-on nails</x:v>
      </x:c>
      <x:c r="D8" s="18" t="str">
        <x:v>color: JP4131</x:v>
      </x:c>
      <x:c r="E8" s="25" t="str">
        <x:v>$0.68</x:v>
      </x:c>
      <x:c r="F8" s="19" t="str">
        <x:v>1</x:v>
      </x:c>
    </x:row>
    <x:row r="9" ht="93" customHeight="1">
      <x:c r="A9" s="19" t="n">
        <x:v>6</x:v>
      </x:c>
      <x:c r="B9" s="22" t="e">
        <x:f>HYPERLINK("https://cdn.shopify.com/s/files/1/0918/6066/4603/files/O1CN01GyyUU12NGI2B7DfWN__4234819935-0-cib_f3b55b50-772e-4c2d-86b1-6f1fc7f79b07.jpg?v=1780901193","Open")</x:f>
        <x:v>HYPERLINK is not implemented. linkLocation=https://cdn.shopify.com/s/files/1/0918/6066/4603/files/O1CN01GyyUU12NGI2B7DfWN__4234819935-0-cib_f3b55b50-772e-4c2d-86b1-6f1fc7f79b07.jpg?v=1780901193, friendlyName=Open</x:v>
      </x:c>
      <x:c r="C9" s="24" t="e">
        <x:f>HYPERLINK("https://365nails.com/products/cream-red-bow-polka-precision-crafted-press-on-nails","""Cream &amp; Red Bow Polka"" - Precision Crafted Press-On Nails")</x:f>
        <x:v>HYPERLINK is not implemented. linkLocation=https://365nails.com/products/cream-red-bow-polka-precision-crafted-press-on-nails, friendlyName="Cream &amp; Red Bow Polka" - Precision Crafted Press-On Nails</x:v>
      </x:c>
      <x:c r="D9" s="18" t="str">
        <x:v>Color: Japan 4282</x:v>
      </x:c>
      <x:c r="E9" s="25" t="str">
        <x:v>$1.99</x:v>
      </x:c>
      <x:c r="F9" s="19" t="str">
        <x:v>1</x:v>
      </x:c>
    </x:row>
    <x:row r="10" ht="93" customHeight="1">
      <x:c r="A10" s="19" t="n">
        <x:v>7</x:v>
      </x:c>
      <x:c r="B10" s="22" t="e">
        <x:f>HYPERLINK("https://cdn.shopify.com/s/files/1/0918/6066/4603/files/O1CN01UKxsR32NGHw8HRIkG__4234819935-0-cib_9df66d50-550f-4577-a85d-9d97e2750b20.jpg?v=1780900645","Open")</x:f>
        <x:v>HYPERLINK is not implemented. linkLocation=https://cdn.shopify.com/s/files/1/0918/6066/4603/files/O1CN01UKxsR32NGHw8HRIkG__4234819935-0-cib_9df66d50-550f-4577-a85d-9d97e2750b20.jpg?v=1780900645, friendlyName=Open</x:v>
      </x:c>
      <x:c r="C10" s="24" t="e">
        <x:f>HYPERLINK("https://365nails.com/products/pink-ribbon-rose-french-precision-crafted-press-on-nails","""Pink Ribbon &amp; Rose French"" - Precision Crafted Press-On Nails")</x:f>
        <x:v>HYPERLINK is not implemented. linkLocation=https://365nails.com/products/pink-ribbon-rose-french-precision-crafted-press-on-nails, friendlyName="Pink Ribbon &amp; Rose French" - Precision Crafted Press-On Nails</x:v>
      </x:c>
      <x:c r="D10" s="18" t="str">
        <x:v>Color: Jp 3645</x:v>
      </x:c>
      <x:c r="E10" s="25" t="str">
        <x:v>$1.49</x:v>
      </x:c>
      <x:c r="F10" s="19" t="str">
        <x:v>1</x:v>
      </x:c>
    </x:row>
    <x:row r="11" ht="93" customHeight="1">
      <x:c r="A11" s="19" t="n">
        <x:v>8</x:v>
      </x:c>
      <x:c r="B11" s="22" t="e">
        <x:f>HYPERLINK("https://cdn.shopify.com/s/files/1/0918/6066/4603/files/O1CN01TLSG6K2NGHabdgO3L__4234819935-0-cib.jpg?v=1753431717","Open")</x:f>
        <x:v>HYPERLINK is not implemented. linkLocation=https://cdn.shopify.com/s/files/1/0918/6066/4603/files/O1CN01TLSG6K2NGHabdgO3L__4234819935-0-cib.jpg?v=1753431717, friendlyName=Open</x:v>
      </x:c>
      <x:c r="C11" s="24" t="e">
        <x:f>HYPERLINK("https://365nails.com/products/roland-purple-flower-wear-nail-art-finished-fake-nail-nail-patch-nail-patch-soft-nail-removable-nail-patch-365nails","Roland Purple Flower Wear Nail Art Finished Fake Nail Nail Patch Nail Patch Soft Nail Removable Nail Patch｜365nails")</x:f>
        <x:v>HYPERLINK is not implemented. linkLocation=https://365nails.com/products/roland-purple-flower-wear-nail-art-finished-fake-nail-nail-patch-nail-patch-soft-nail-removable-nail-patch-365nails, friendlyName=Roland Purple Flower Wear Nail Art Finished Fake Nail Nail Patch Nail Patch Soft Nail Removable Nail Patch｜365nails</x:v>
      </x:c>
      <x:c r="D11" s="18" t="str">
        <x:v>color: JP1054</x:v>
      </x:c>
      <x:c r="E11" s="25" t="str">
        <x:v>$0.70</x:v>
      </x:c>
      <x:c r="F11" s="19" t="str">
        <x:v>1</x:v>
      </x:c>
    </x:row>
    <x:row r="12" ht="93" customHeight="1">
      <x:c r="A12" s="19" t="n">
        <x:v>9</x:v>
      </x:c>
      <x:c r="B12" s="22" t="e">
        <x:f>HYPERLINK("https://cdn.shopify.com/s/files/1/0918/6066/4603/files/O1CN01VupH2H2MQzeQs2ogz__2219089449823-0-cib.jpg?v=1774178642","Open")</x:f>
        <x:v>HYPERLINK is not implemented. linkLocation=https://cdn.shopify.com/s/files/1/0918/6066/4603/files/O1CN01VupH2H2MQzeQs2ogz__2219089449823-0-cib.jpg?v=1774178642, friendlyName=Open</x:v>
      </x:c>
      <x:c r="C12" s="24" t="e">
        <x:f>HYPERLINK("https://365nails.com/products/y2k-punk-floral-series-peach-blossom-punk-almond-handmade-press-on-nails","Y2K Punk Floral Series: ""Peach Blossom Punk"" – Almond Handmade Press-on Nails")</x:f>
        <x:v>HYPERLINK is not implemented. linkLocation=https://365nails.com/products/y2k-punk-floral-series-peach-blossom-punk-almond-handmade-press-on-nails, friendlyName=Y2K Punk Floral Series: "Peach Blossom Punk" – Almond Handmade Press-on Nails</x:v>
      </x:c>
      <x:c r="D12" s="18" t="str">
        <x:v>Color: D547; Color classification: X s / S / M / L</x:v>
      </x:c>
      <x:c r="E12" s="25" t="str">
        <x:v>$3.49</x:v>
      </x:c>
      <x:c r="F12" s="19" t="str">
        <x:v>1</x:v>
      </x:c>
    </x:row>
    <x:row r="13" ht="93" customHeight="1">
      <x:c r="A13" s="19" t="n">
        <x:v>10</x:v>
      </x:c>
      <x:c r="B13" s="22" t="e">
        <x:f>HYPERLINK("https://cdn.shopify.com/s/files/1/0918/6066/4603/files/O1CN01cgP9O72NGI1cDYpD8__4234819935-0-cib.jpg?v=1768905929","Open")</x:f>
        <x:v>HYPERLINK is not implemented. linkLocation=https://cdn.shopify.com/s/files/1/0918/6066/4603/files/O1CN01cgP9O72NGI1cDYpD8__4234819935-0-cib.jpg?v=1768905929, friendlyName=Open</x:v>
      </x:c>
      <x:c r="C13" s="24" t="e">
        <x:f>HYPERLINK("https://365nails.com/products/simple-red-autumn-winter-hot-selling-nail-art-press-ons-with-white-polka-dots","Simple red autumn/winter hot-selling nail art press-ons with white polka dots")</x:f>
        <x:v>HYPERLINK is not implemented. linkLocation=https://365nails.com/products/simple-red-autumn-winter-hot-selling-nail-art-press-ons-with-white-polka-dots, friendlyName=Simple red autumn/winter hot-selling nail art press-ons with white polka dots</x:v>
      </x:c>
      <x:c r="D13" s="18" t="str">
        <x:v>Color: Jp 4223</x:v>
      </x:c>
      <x:c r="E13" s="25" t="str">
        <x:v>$0.72</x:v>
      </x:c>
      <x:c r="F13" s="19" t="str">
        <x:v>1</x:v>
      </x:c>
    </x:row>
    <x:row r="14" ht="93" customHeight="1">
      <x:c r="A14" s="19" t="n">
        <x:v>11</x:v>
      </x:c>
      <x:c r="B14" s="22" t="e">
        <x:f>HYPERLINK("https://cdn.shopify.com/s/files/1/0918/6066/4603/files/O1CN01P9Yat42NGHwygmagI__4234819935-0-cib.jpg?v=1753432400","Open")</x:f>
        <x:v>HYPERLINK is not implemented. linkLocation=https://cdn.shopify.com/s/files/1/0918/6066/4603/files/O1CN01P9Yat42NGHwygmagI__4234819935-0-cib.jpg?v=1753432400, friendlyName=Open</x:v>
      </x:c>
      <x:c r="C14" s="24" t="e">
        <x:f>HYPERLINK("https://365nails.com/products/spring-and-summer-small-fresh-and-gentle-manicure-fake-nails-cross-border-hot-selling-ins-wind-flower-wearing-nail-short-almond-nail-piece-365nails","Spring and summer small fresh and gentle manicure   hot-selling ins wind flower  short almond ｜365nails")</x:f>
        <x:v>HYPERLINK is not implemented. linkLocation=https://365nails.com/products/spring-and-summer-small-fresh-and-gentle-manicure-fake-nails-cross-border-hot-selling-ins-wind-flower-wearing-nail-short-almond-nail-piece-365nails, friendlyName=Spring and summer small fresh and gentle manicure   hot-selling ins wind flower  short almond ｜365nails</x:v>
      </x:c>
      <x:c r="D14" s="18" t="str">
        <x:v>color: JP3708</x:v>
      </x:c>
      <x:c r="E14" s="25" t="str">
        <x:v>$0.86</x:v>
      </x:c>
      <x:c r="F14" s="19" t="str">
        <x:v>1</x:v>
      </x:c>
    </x:row>
    <x:row r="15" ht="93" customHeight="1">
      <x:c r="A15" s="19" t="n">
        <x:v>12</x:v>
      </x:c>
      <x:c r="B15" s="22" t="e">
        <x:f>HYPERLINK("https://cdn.shopify.com/s/files/1/0918/6066/4603/files/O1CN01fUanAn2NGHpWzFI1x__4234819935-0-cib.jpg?v=1753432523","Open")</x:f>
        <x:v>HYPERLINK is not implemented. linkLocation=https://cdn.shopify.com/s/files/1/0918/6066/4603/files/O1CN01fUanAn2NGHpWzFI1x__4234819935-0-cib.jpg?v=1753432523, friendlyName=Open</x:v>
      </x:c>
      <x:c r="C15" s="24" t="e">
        <x:f>HYPERLINK("https://365nails.com/products/2024-popular-color-solid-color-manicure-fake-nail-almond-glossy-wearable-wearable-nail-removable-nail-piece-365nails","Popular color solid color manicure fake nail almond glossy wearable wearable nail removable nail piece｜365nails")</x:f>
        <x:v>HYPERLINK is not implemented. linkLocation=https://365nails.com/products/2024-popular-color-solid-color-manicure-fake-nail-almond-glossy-wearable-wearable-nail-removable-nail-piece-365nails, friendlyName=Popular color solid color manicure fake nail almond glossy wearable wearable nail removable nail piece｜365nails</x:v>
      </x:c>
      <x:c r="D15" s="18" t="str">
        <x:v>color: [Brilliant Red] JP3142 / [Dragon Fruit Rose Color] JP3143 / [Sharp green color] JP3144 / [Robin Egg Blue] JP3145 / [Tulip Purple] JP3146 / [Flame Orange] JP3147 / [White] JP3149 / [Black] JP3150 / [Apricot yellow] JP3151 / [Nut Brown] JP3152 / [Water Lake Blue] JP3153; Color classification: Glue model / Wearing kit</x:v>
      </x:c>
      <x:c r="E15" s="25" t="str">
        <x:v>$0.60–$0.77</x:v>
      </x:c>
      <x:c r="F15" s="19" t="str">
        <x:v>1</x:v>
      </x:c>
    </x:row>
    <x:row r="16" ht="93" customHeight="1">
      <x:c r="A16" s="19" t="n">
        <x:v>13</x:v>
      </x:c>
      <x:c r="B16" s="22" t="e">
        <x:f>HYPERLINK("https://cdn.shopify.com/s/files/1/0918/6066/4603/files/O1CN011flJEY2NGI1CXbHJs__4234819935-0-cib.jpg?v=1764945675","Open")</x:f>
        <x:v>HYPERLINK is not implemented. linkLocation=https://cdn.shopify.com/s/files/1/0918/6066/4603/files/O1CN011flJEY2NGI1CXbHJs__4234819935-0-cib.jpg?v=1764945675, friendlyName=Open</x:v>
      </x:c>
      <x:c r="C16" s="24" t="e">
        <x:f>HYPERLINK("https://365nails.com/products/classic-tortoiseshell-glossy-brown-press-on-nails","Classic Tortoiseshell Glossy Brown Press-On Nails")</x:f>
        <x:v>HYPERLINK is not implemented. linkLocation=https://365nails.com/products/classic-tortoiseshell-glossy-brown-press-on-nails, friendlyName=Classic Tortoiseshell Glossy Brown Press-On Nails</x:v>
      </x:c>
      <x:c r="D16" s="18" t="str">
        <x:v>Color: JP4193</x:v>
      </x:c>
      <x:c r="E16" s="25" t="str">
        <x:v>$0.88</x:v>
      </x:c>
      <x:c r="F16" s="19" t="str">
        <x:v>1</x:v>
      </x:c>
    </x:row>
    <x:row r="17" ht="93" customHeight="1">
      <x:c r="A17" s="19" t="n">
        <x:v>14</x:v>
      </x:c>
      <x:c r="B17" s="22" t="e">
        <x:f>HYPERLINK("https://cdn.shopify.com/s/files/1/0918/6066/4603/files/O1CN01exkAfH2214uEurtmr__2219480337059-0-cib.jpg?v=1773321106","Open")</x:f>
        <x:v>HYPERLINK is not implemented. linkLocation=https://cdn.shopify.com/s/files/1/0918/6066/4603/files/O1CN01exkAfH2214uEurtmr__2219480337059-0-cib.jpg?v=1773321106, friendlyName=Open</x:v>
      </x:c>
      <x:c r="C17" s="24" t="e">
        <x:f>HYPERLINK("https://365nails.com/products/365nails-mischievous-black-kitty-short-round-handmade-kids-press-on-nails","365nails: ""mischievous black kitty"" – short round handmade kids press-on nails")</x:f>
        <x:v>HYPERLINK is not implemented. linkLocation=https://365nails.com/products/365nails-mischievous-black-kitty-short-round-handmade-kids-press-on-nails, friendlyName=365nails: "mischievous black kitty" – short round handmade kids press-on nails</x:v>
      </x:c>
      <x:c r="D17" s="18" t="str">
        <x:v>Color: Little black cat; Color classification: Xs (about 2 years old) / S (3-4 years old) / M (5-7 years old) / L (8-11 years old)</x:v>
      </x:c>
      <x:c r="E17" s="25" t="str">
        <x:v>$2.99</x:v>
      </x:c>
      <x:c r="F17" s="19" t="str">
        <x:v>3</x:v>
      </x:c>
    </x:row>
    <x:row r="18" ht="93" customHeight="1">
      <x:c r="A18" s="19" t="n">
        <x:v>15</x:v>
      </x:c>
      <x:c r="B18" s="22" t="e">
        <x:f>HYPERLINK("https://cdn.shopify.com/s/files/1/0918/6066/4603/files/O1CN01JznJuf2214vSpZKWt__2219480337059-0-cib_41487c83-9019-4a16-955a-a4f6ac1ff4e7.jpg?v=1773321090","Open")</x:f>
        <x:v>HYPERLINK is not implemented. linkLocation=https://cdn.shopify.com/s/files/1/0918/6066/4603/files/O1CN01JznJuf2214vSpZKWt__2219480337059-0-cib_41487c83-9019-4a16-955a-a4f6ac1ff4e7.jpg?v=1773321090, friendlyName=Open</x:v>
      </x:c>
      <x:c r="C18" s="24" t="e">
        <x:f>HYPERLINK("https://365nails.com/products/365nails-amethyst-magic-pony-short-round-handmade-kids-press-on-nails","365nails: ""amethyst magic pony"" – short round handmade kids press-on nails")</x:f>
        <x:v>HYPERLINK is not implemented. linkLocation=https://365nails.com/products/365nails-amethyst-magic-pony-short-round-handmade-kids-press-on-nails, friendlyName=365nails: "amethyst magic pony" – short round handmade kids press-on nails</x:v>
      </x:c>
      <x:c r="D18" s="18" t="str">
        <x:v>Color: 9281 purple horse; Color classification: Xs (about 2 years old) / S (3-4 years old) / M (5-7 years old) / L (8-11 years old)</x:v>
      </x:c>
      <x:c r="E18" s="25" t="str">
        <x:v>$2.99</x:v>
      </x:c>
      <x:c r="F18" s="19" t="str">
        <x:v>3</x:v>
      </x:c>
    </x:row>
    <x:row r="19" ht="93" customHeight="1">
      <x:c r="A19" s="19" t="n">
        <x:v>16</x:v>
      </x:c>
      <x:c r="B19" s="22" t="e">
        <x:f>HYPERLINK("https://cdn.shopify.com/s/files/1/0918/6066/4603/files/8a03e30a626de63fde9805b6840208ff.jpg?v=1780368020","Open")</x:f>
        <x:v>HYPERLINK is not implemented. linkLocation=https://cdn.shopify.com/s/files/1/0918/6066/4603/files/8a03e30a626de63fde9805b6840208ff.jpg?v=1780368020, friendlyName=Open</x:v>
      </x:c>
      <x:c r="C19" s="24" t="e">
        <x:f>HYPERLINK("https://365nails.com/products/dropship-pro-membership-1-000-store-credit-vip-access","365nails Dropshipping Membership: Store Credit &amp; VIP Portal Access")</x:f>
        <x:v>HYPERLINK is not implemented. linkLocation=https://365nails.com/products/dropship-pro-membership-1-000-store-credit-vip-access, friendlyName=365nails Dropshipping Membership: Store Credit &amp; VIP Portal Access</x:v>
      </x:c>
      <x:c r="D19" s="18" t="str">
        <x:v>Title: Dropship Basic / Dropship Pro</x:v>
      </x:c>
      <x:c r="E19" s="25" t="str">
        <x:v>$299.00–$1000.00</x:v>
      </x:c>
      <x:c r="F19" s="19" t="str">
        <x:v>1</x:v>
      </x:c>
    </x:row>
    <x:row r="20" ht="93" customHeight="1">
      <x:c r="A20" s="19" t="n">
        <x:v>17</x:v>
      </x:c>
      <x:c r="B20" s="22" t="e">
        <x:f>HYPERLINK("https://cdn.shopify.com/s/files/1/0918/6066/4603/files/c29d1279198e31d0b40e90e7a7bd9f5a.png?v=1773990379","Open")</x:f>
        <x:v>HYPERLINK is not implemented. linkLocation=https://cdn.shopify.com/s/files/1/0918/6066/4603/files/c29d1279198e31d0b40e90e7a7bd9f5a.png?v=1773990379, friendlyName=Open</x:v>
      </x:c>
      <x:c r="C20" s="24" t="e">
        <x:f>HYPERLINK("https://365nails.com/products/365nails-dark-green-cat-eye-aurora-handmade-press-on-pedicure","365nails: ""dark green cat-eye aurora"" – handmade press-on pedicure")</x:f>
        <x:v>HYPERLINK is not implemented. linkLocation=https://365nails.com/products/365nails-dark-green-cat-eye-aurora-handmade-press-on-pedicure, friendlyName=365nails: "dark green cat-eye aurora" – handmade press-on pedicure</x:v>
      </x:c>
      <x:c r="D20" s="18" t="str">
        <x:v>Size: S / M / L</x:v>
      </x:c>
      <x:c r="E20" s="25" t="str">
        <x:v>$2.49</x:v>
      </x:c>
      <x:c r="F20" s="19" t="str">
        <x:v>3</x:v>
      </x:c>
    </x:row>
    <x:row r="21" ht="93" customHeight="1">
      <x:c r="A21" s="19" t="n">
        <x:v>18</x:v>
      </x:c>
      <x:c r="B21" s="22" t="e">
        <x:f>HYPERLINK("https://cdn.shopify.com/s/files/1/0918/6066/4603/files/7f91ab43ea9627ae96e2a0806cdf3701.jpg?v=1773720160","Open")</x:f>
        <x:v>HYPERLINK is not implemented. linkLocation=https://cdn.shopify.com/s/files/1/0918/6066/4603/files/7f91ab43ea9627ae96e2a0806cdf3701.jpg?v=1773720160, friendlyName=Open</x:v>
      </x:c>
      <x:c r="C21" s="24" t="e">
        <x:f>HYPERLINK("https://365nails.com/products/365nails-creamy-off-white-solid-handmade-press-on-pedicure","365nails: ""creamy off-white solid"" – handmade press-on pedicure")</x:f>
        <x:v>HYPERLINK is not implemented. linkLocation=https://365nails.com/products/365nails-creamy-off-white-solid-handmade-press-on-pedicure, friendlyName=365nails: "creamy off-white solid" – handmade press-on pedicure</x:v>
      </x:c>
      <x:c r="D21" s="18" t="str">
        <x:v>Size: S / M / L</x:v>
      </x:c>
      <x:c r="E21" s="25" t="str">
        <x:v>$1.99</x:v>
      </x:c>
      <x:c r="F21" s="19" t="str">
        <x:v>3</x:v>
      </x:c>
    </x:row>
    <x:row r="22" ht="93" customHeight="1">
      <x:c r="A22" s="19" t="n">
        <x:v>19</x:v>
      </x:c>
      <x:c r="B22" s="22" t="e">
        <x:f>HYPERLINK("https://cdn.shopify.com/s/files/1/0918/6066/4603/files/f3408a8dcf0cc3dfa953a51308d5443e.jpg?v=1773726556","Open")</x:f>
        <x:v>HYPERLINK is not implemented. linkLocation=https://cdn.shopify.com/s/files/1/0918/6066/4603/files/f3408a8dcf0cc3dfa953a51308d5443e.jpg?v=1773726556, friendlyName=Open</x:v>
      </x:c>
      <x:c r="C22" s="24" t="e">
        <x:f>HYPERLINK("https://365nails.com/products/365nails-galaxy-glitter-lavender-handmade-press-on-pedicure","365nails: ""galaxy glitter lavender"" – handmade press-on pedicure")</x:f>
        <x:v>HYPERLINK is not implemented. linkLocation=https://365nails.com/products/365nails-galaxy-glitter-lavender-handmade-press-on-pedicure, friendlyName=365nails: "galaxy glitter lavender" – handmade press-on pedicure</x:v>
      </x:c>
      <x:c r="D22" s="18" t="str">
        <x:v>Size: S / M / L</x:v>
      </x:c>
      <x:c r="E22" s="25" t="str">
        <x:v>$2.49</x:v>
      </x:c>
      <x:c r="F22" s="19" t="str">
        <x:v>3</x:v>
      </x:c>
    </x:row>
    <x:row r="23" ht="93" customHeight="1">
      <x:c r="A23" s="19" t="n">
        <x:v>20</x:v>
      </x:c>
      <x:c r="B23" s="22" t="e">
        <x:f>HYPERLINK("https://cdn.shopify.com/s/files/1/0918/6066/4603/files/ada5fed36286b0377b5ef47c86d10c67.jpg?v=1773726746","Open")</x:f>
        <x:v>HYPERLINK is not implemented. linkLocation=https://cdn.shopify.com/s/files/1/0918/6066/4603/files/ada5fed36286b0377b5ef47c86d10c67.jpg?v=1773726746, friendlyName=Open</x:v>
      </x:c>
      <x:c r="C23" s="24" t="e">
        <x:f>HYPERLINK("https://365nails.com/products/365nails-holographic-chrome-mirror-handmade-press-on-pedicure","365nails: ""holographic chrome mirror"" – handmade press-on pedicure")</x:f>
        <x:v>HYPERLINK is not implemented. linkLocation=https://365nails.com/products/365nails-holographic-chrome-mirror-handmade-press-on-pedicure, friendlyName=365nails: "holographic chrome mirror" – handmade press-on pedicure</x:v>
      </x:c>
      <x:c r="D23" s="18" t="str">
        <x:v>Size: S / M / L</x:v>
      </x:c>
      <x:c r="E23" s="25" t="str">
        <x:v>$2.99</x:v>
      </x:c>
      <x:c r="F23" s="19" t="str">
        <x:v>3</x:v>
      </x:c>
    </x:row>
    <x:row r="24" ht="93" customHeight="1">
      <x:c r="A24" s="19" t="n">
        <x:v>21</x:v>
      </x:c>
      <x:c r="B24" s="22" t="e">
        <x:f>HYPERLINK("https://cdn.shopify.com/s/files/1/0918/6066/4603/files/ace87f7041b52b2a5846c6bb61bac8f0.jpg?v=1773726964","Open")</x:f>
        <x:v>HYPERLINK is not implemented. linkLocation=https://cdn.shopify.com/s/files/1/0918/6066/4603/files/ace87f7041b52b2a5846c6bb61bac8f0.jpg?v=1773726964, friendlyName=Open</x:v>
      </x:c>
      <x:c r="C24" s="24" t="e">
        <x:f>HYPERLINK("https://365nails.com/products/365nails-black-silver-diamond-prelude-handmade-press-on-pedicure","365nails: ""black &amp; silver diamond prelude"" – handmade press-on pedicure")</x:f>
        <x:v>HYPERLINK is not implemented. linkLocation=https://365nails.com/products/365nails-black-silver-diamond-prelude-handmade-press-on-pedicure, friendlyName=365nails: "black &amp; silver diamond prelude" – handmade press-on pedicure</x:v>
      </x:c>
      <x:c r="D24" s="18" t="str">
        <x:v>Size: S / M / L</x:v>
      </x:c>
      <x:c r="E24" s="25" t="str">
        <x:v>$2.49</x:v>
      </x:c>
      <x:c r="F24" s="19" t="str">
        <x:v>3</x:v>
      </x:c>
    </x:row>
    <x:row r="25" ht="93" customHeight="1">
      <x:c r="A25" s="19" t="n">
        <x:v>22</x:v>
      </x:c>
      <x:c r="B25" s="22" t="e">
        <x:f>HYPERLINK("https://cdn.shopify.com/s/files/1/0918/6066/4603/files/e4a54ca112d1845ea9991779e6d8b770.jpg?v=1773727124","Open")</x:f>
        <x:v>HYPERLINK is not implemented. linkLocation=https://cdn.shopify.com/s/files/1/0918/6066/4603/files/e4a54ca112d1845ea9991779e6d8b770.jpg?v=1773727124, friendlyName=Open</x:v>
      </x:c>
      <x:c r="C25" s="24" t="e">
        <x:f>HYPERLINK("https://365nails.com/products/365nails-glossy-classic-solid-black-handmade-press-on-pedicure","365nails: ""glossy classic solid black"" – handmade press-on pedicure")</x:f>
        <x:v>HYPERLINK is not implemented. linkLocation=https://365nails.com/products/365nails-glossy-classic-solid-black-handmade-press-on-pedicure, friendlyName=365nails: "glossy classic solid black" – handmade press-on pedicure</x:v>
      </x:c>
      <x:c r="D25" s="18" t="str">
        <x:v>Size: S / M / L</x:v>
      </x:c>
      <x:c r="E25" s="25" t="str">
        <x:v>$1.99</x:v>
      </x:c>
      <x:c r="F25" s="19" t="str">
        <x:v>3</x:v>
      </x:c>
    </x:row>
    <x:row r="26" ht="93" customHeight="1">
      <x:c r="A26" s="19" t="n">
        <x:v>23</x:v>
      </x:c>
      <x:c r="B26" s="22" t="e">
        <x:f>HYPERLINK("https://cdn.shopify.com/s/files/1/0918/6066/4603/files/3b61ad4e2d69244cf991e816510a3559.jpg?v=1773727314","Open")</x:f>
        <x:v>HYPERLINK is not implemented. linkLocation=https://cdn.shopify.com/s/files/1/0918/6066/4603/files/3b61ad4e2d69244cf991e816510a3559.jpg?v=1773727314, friendlyName=Open</x:v>
      </x:c>
      <x:c r="C26" s="24" t="e">
        <x:f>HYPERLINK("https://365nails.com/products/365nails-dreamy-butterfly-jade-handmade-press-on-pedicure","365nails: ""dreamy butterfly jade"" – handmade press-on pedicure")</x:f>
        <x:v>HYPERLINK is not implemented. linkLocation=https://365nails.com/products/365nails-dreamy-butterfly-jade-handmade-press-on-pedicure, friendlyName=365nails: "dreamy butterfly jade" – handmade press-on pedicure</x:v>
      </x:c>
      <x:c r="D26" s="18" t="str">
        <x:v>Size: S / M / L</x:v>
      </x:c>
      <x:c r="E26" s="25" t="str">
        <x:v>$2.49</x:v>
      </x:c>
      <x:c r="F26" s="19" t="str">
        <x:v>3</x:v>
      </x:c>
    </x:row>
    <x:row r="27" ht="93" customHeight="1">
      <x:c r="A27" s="19" t="n">
        <x:v>24</x:v>
      </x:c>
      <x:c r="B27" s="22" t="e">
        <x:f>HYPERLINK("https://cdn.shopify.com/s/files/1/0918/6066/4603/files/7171424e4fa0684681787afc1863be03.jpg?v=1773727434","Open")</x:f>
        <x:v>HYPERLINK is not implemented. linkLocation=https://cdn.shopify.com/s/files/1/0918/6066/4603/files/7171424e4fa0684681787afc1863be03.jpg?v=1773727434, friendlyName=Open</x:v>
      </x:c>
      <x:c r="C27" s="24" t="e">
        <x:f>HYPERLINK("https://365nails.com/products/365nails-fiery-red-shattered-glitter-handmade-press-on-pedicure","365nails: ""fiery red shattered glitter"" – handmade press-on pedicure")</x:f>
        <x:v>HYPERLINK is not implemented. linkLocation=https://365nails.com/products/365nails-fiery-red-shattered-glitter-handmade-press-on-pedicure, friendlyName=365nails: "fiery red shattered glitter" – handmade press-on pedicure</x:v>
      </x:c>
      <x:c r="D27" s="18" t="str">
        <x:v>Size: S / M / L</x:v>
      </x:c>
      <x:c r="E27" s="25" t="str">
        <x:v>$1.99</x:v>
      </x:c>
      <x:c r="F27" s="19" t="str">
        <x:v>3</x:v>
      </x:c>
    </x:row>
    <x:row r="28" ht="93" customHeight="1">
      <x:c r="A28" s="19" t="n">
        <x:v>25</x:v>
      </x:c>
      <x:c r="B28" s="22" t="e">
        <x:f>HYPERLINK("https://cdn.shopify.com/s/files/1/0918/6066/4603/files/e5fa650a66b624add50b5ccf127c5df6.jpg?v=1773727613","Open")</x:f>
        <x:v>HYPERLINK is not implemented. linkLocation=https://cdn.shopify.com/s/files/1/0918/6066/4603/files/e5fa650a66b624add50b5ccf127c5df6.jpg?v=1773727613, friendlyName=Open</x:v>
      </x:c>
      <x:c r="C28" s="24" t="e">
        <x:f>HYPERLINK("https://365nails.com/products/365nails-luxurious-gold-amber-sand-handmade-press-on-pedicure","365nails: ""luxurious gold amber sand"" – handmade press-on pedicure")</x:f>
        <x:v>HYPERLINK is not implemented. linkLocation=https://365nails.com/products/365nails-luxurious-gold-amber-sand-handmade-press-on-pedicure, friendlyName=365nails: "luxurious gold amber sand" – handmade press-on pedicure</x:v>
      </x:c>
      <x:c r="D28" s="18" t="str">
        <x:v>Size: S / M / L</x:v>
      </x:c>
      <x:c r="E28" s="25" t="str">
        <x:v>$2.49</x:v>
      </x:c>
      <x:c r="F28" s="19" t="str">
        <x:v>3</x:v>
      </x:c>
    </x:row>
    <x:row r="29" ht="93" customHeight="1">
      <x:c r="A29" s="19" t="n">
        <x:v>26</x:v>
      </x:c>
      <x:c r="B29" s="22" t="e">
        <x:f>HYPERLINK("https://cdn.shopify.com/s/files/1/0918/6066/4603/files/1a923a577c67a00e228013d0fc7edff0.jpg?v=1773728514","Open")</x:f>
        <x:v>HYPERLINK is not implemented. linkLocation=https://cdn.shopify.com/s/files/1/0918/6066/4603/files/1a923a577c67a00e228013d0fc7edff0.jpg?v=1773728514, friendlyName=Open</x:v>
      </x:c>
      <x:c r="C29" s="24" t="e">
        <x:f>HYPERLINK("https://365nails.com/products/365nails-iridescent-rose-gold-shell-handmade-press-on-pedicure","365nails: ""iridescent rose gold shell"" – handmade press-on pedicure")</x:f>
        <x:v>HYPERLINK is not implemented. linkLocation=https://365nails.com/products/365nails-iridescent-rose-gold-shell-handmade-press-on-pedicure, friendlyName=365nails: "iridescent rose gold shell" – handmade press-on pedicure</x:v>
      </x:c>
      <x:c r="D29" s="18" t="str">
        <x:v>Size: S / M / L</x:v>
      </x:c>
      <x:c r="E29" s="25" t="str">
        <x:v>$2.99</x:v>
      </x:c>
      <x:c r="F29" s="19" t="str">
        <x:v>3</x:v>
      </x:c>
    </x:row>
    <x:row r="30" ht="93" customHeight="1">
      <x:c r="A30" s="19" t="n">
        <x:v>27</x:v>
      </x:c>
      <x:c r="B30" s="22" t="e">
        <x:f>HYPERLINK("https://cdn.shopify.com/s/files/1/0918/6066/4603/files/a2455600fd84b1f341314e7d52d243aa.jpg?v=1773728799","Open")</x:f>
        <x:v>HYPERLINK is not implemented. linkLocation=https://cdn.shopify.com/s/files/1/0918/6066/4603/files/a2455600fd84b1f341314e7d52d243aa.jpg?v=1773728799, friendlyName=Open</x:v>
      </x:c>
      <x:c r="C30" s="24" t="e">
        <x:f>HYPERLINK("https://365nails.com/products/365nails-mysterious-violet-amber-handmade-press-on-pedicure","365nails: ""mysterious violet amber"" – handmade press-on pedicure")</x:f>
        <x:v>HYPERLINK is not implemented. linkLocation=https://365nails.com/products/365nails-mysterious-violet-amber-handmade-press-on-pedicure, friendlyName=365nails: "mysterious violet amber" – handmade press-on pedicure</x:v>
      </x:c>
      <x:c r="D30" s="18" t="str">
        <x:v>Size: S / M / L</x:v>
      </x:c>
      <x:c r="E30" s="25" t="str">
        <x:v>$2.49</x:v>
      </x:c>
      <x:c r="F30" s="19" t="str">
        <x:v>3</x:v>
      </x:c>
    </x:row>
    <x:row r="31" ht="93" customHeight="1">
      <x:c r="A31" s="19" t="n">
        <x:v>28</x:v>
      </x:c>
      <x:c r="B31" s="22" t="e">
        <x:f>HYPERLINK("https://cdn.shopify.com/s/files/1/0918/6066/4603/files/459acae0ff412ea3107aac6427ad8215.jpg?v=1773729482","Open")</x:f>
        <x:v>HYPERLINK is not implemented. linkLocation=https://cdn.shopify.com/s/files/1/0918/6066/4603/files/459acae0ff412ea3107aac6427ad8215.jpg?v=1773729482, friendlyName=Open</x:v>
      </x:c>
      <x:c r="C31" s="24" t="e">
        <x:f>HYPERLINK("https://365nails.com/products/365nails-berry-colorblock-glitter-handmade-press-on-pedicure","365nails: ""berry colorblock glitter"" – handmade press-on pedicure")</x:f>
        <x:v>HYPERLINK is not implemented. linkLocation=https://365nails.com/products/365nails-berry-colorblock-glitter-handmade-press-on-pedicure, friendlyName=365nails: "berry colorblock glitter" – handmade press-on pedicure</x:v>
      </x:c>
      <x:c r="D31" s="18" t="str">
        <x:v>Size: S / M / L</x:v>
      </x:c>
      <x:c r="E31" s="25" t="str">
        <x:v>$1.99</x:v>
      </x:c>
      <x:c r="F31" s="19" t="str">
        <x:v>3</x:v>
      </x:c>
    </x:row>
    <x:row r="32" ht="93" customHeight="1">
      <x:c r="A32" s="19" t="n">
        <x:v>29</x:v>
      </x:c>
      <x:c r="B32" s="22" t="e">
        <x:f>HYPERLINK("https://cdn.shopify.com/s/files/1/0918/6066/4603/files/40b789f35581daf837b4261eac763468.jpg?v=1773729679","Open")</x:f>
        <x:v>HYPERLINK is not implemented. linkLocation=https://cdn.shopify.com/s/files/1/0918/6066/4603/files/40b789f35581daf837b4261eac763468.jpg?v=1773729679, friendlyName=Open</x:v>
      </x:c>
      <x:c r="C32" s="24" t="e">
        <x:f>HYPERLINK("https://365nails.com/products/365nails-deep-sea-stardust-cat-eye-handmade-press-on-pedicure","365nails: ""deep sea stardust cat-eye"" – handmade press-on pedicure")</x:f>
        <x:v>HYPERLINK is not implemented. linkLocation=https://365nails.com/products/365nails-deep-sea-stardust-cat-eye-handmade-press-on-pedicure, friendlyName=365nails: "deep sea stardust cat-eye" – handmade press-on pedicure</x:v>
      </x:c>
      <x:c r="D32" s="18" t="str">
        <x:v>Size: S / M / L</x:v>
      </x:c>
      <x:c r="E32" s="25" t="str">
        <x:v>$1.99</x:v>
      </x:c>
      <x:c r="F32" s="19" t="str">
        <x:v>3</x:v>
      </x:c>
    </x:row>
    <x:row r="33" ht="93" customHeight="1">
      <x:c r="A33" s="19" t="n">
        <x:v>30</x:v>
      </x:c>
      <x:c r="B33" s="22" t="e">
        <x:f>HYPERLINK("https://cdn.shopify.com/s/files/1/0918/6066/4603/files/882a22d35858843148f72bb3ebe95e5d.jpg?v=1773730061","Open")</x:f>
        <x:v>HYPERLINK is not implemented. linkLocation=https://cdn.shopify.com/s/files/1/0918/6066/4603/files/882a22d35858843148f72bb3ebe95e5d.jpg?v=1773730061, friendlyName=Open</x:v>
      </x:c>
      <x:c r="C33" s="24" t="e">
        <x:f>HYPERLINK("https://365nails.com/products/365nails-olive-jade-cat-eye-handmade-press-on-pedicure","365nails: ""olive jade cat-eye"" – handmade press-on pedicure")</x:f>
        <x:v>HYPERLINK is not implemented. linkLocation=https://365nails.com/products/365nails-olive-jade-cat-eye-handmade-press-on-pedicure, friendlyName=365nails: "olive jade cat-eye" – handmade press-on pedicure</x:v>
      </x:c>
      <x:c r="D33" s="18" t="str">
        <x:v>Size: S / M / L</x:v>
      </x:c>
      <x:c r="E33" s="25" t="str">
        <x:v>$2.49</x:v>
      </x:c>
      <x:c r="F33" s="19" t="str">
        <x:v>3</x:v>
      </x:c>
    </x:row>
    <x:row r="34" ht="93" customHeight="1">
      <x:c r="A34" s="19" t="n">
        <x:v>31</x:v>
      </x:c>
      <x:c r="B34" s="22" t="e">
        <x:f>HYPERLINK("https://cdn.shopify.com/s/files/1/0918/6066/4603/files/b2b3bd392323f4bec7f194e02e844bac.jpg?v=1773730597","Open")</x:f>
        <x:v>HYPERLINK is not implemented. linkLocation=https://cdn.shopify.com/s/files/1/0918/6066/4603/files/b2b3bd392323f4bec7f194e02e844bac.jpg?v=1773730597, friendlyName=Open</x:v>
      </x:c>
      <x:c r="C34" s="24" t="e">
        <x:f>HYPERLINK("https://365nails.com/products/365nails-emerald-star-diamond-handmade-press-on-pedicure","365nails: ""emerald star diamond"" – handmade press-on pedicure")</x:f>
        <x:v>HYPERLINK is not implemented. linkLocation=https://365nails.com/products/365nails-emerald-star-diamond-handmade-press-on-pedicure, friendlyName=365nails: "emerald star diamond" – handmade press-on pedicure</x:v>
      </x:c>
      <x:c r="D34" s="18" t="str">
        <x:v>Size: S / M / L</x:v>
      </x:c>
      <x:c r="E34" s="25" t="str">
        <x:v>$2.49</x:v>
      </x:c>
      <x:c r="F34" s="19" t="str">
        <x:v>3</x:v>
      </x:c>
    </x:row>
    <x:row r="35" ht="93" customHeight="1">
      <x:c r="A35" s="19" t="n">
        <x:v>32</x:v>
      </x:c>
      <x:c r="B35" s="22" t="e">
        <x:f>HYPERLINK("https://cdn.shopify.com/s/files/1/0918/6066/4603/files/ad2f15654e7c523ac3a24de019e1bb36.jpg?v=1773730928","Open")</x:f>
        <x:v>HYPERLINK is not implemented. linkLocation=https://cdn.shopify.com/s/files/1/0918/6066/4603/files/ad2f15654e7c523ac3a24de019e1bb36.jpg?v=1773730928, friendlyName=Open</x:v>
      </x:c>
      <x:c r="C35" s="24" t="e">
        <x:f>HYPERLINK("https://365nails.com/products/365nails-soft-sand-cat-eye-silver-glitter-handmade-press-on-pedicure","365nails: ""soft sand cat-eye &amp; silver glitter"" – handmade press-on pedicure")</x:f>
        <x:v>HYPERLINK is not implemented. linkLocation=https://365nails.com/products/365nails-soft-sand-cat-eye-silver-glitter-handmade-press-on-pedicure, friendlyName=365nails: "soft sand cat-eye &amp; silver glitter" – handmade press-on pedicure</x:v>
      </x:c>
      <x:c r="D35" s="18" t="str">
        <x:v>Size: S / M / L</x:v>
      </x:c>
      <x:c r="E35" s="25" t="str">
        <x:v>$2.99</x:v>
      </x:c>
      <x:c r="F35" s="19" t="str">
        <x:v>3</x:v>
      </x:c>
    </x:row>
    <x:row r="36" ht="93" customHeight="1">
      <x:c r="A36" s="19" t="n">
        <x:v>33</x:v>
      </x:c>
      <x:c r="B36" s="22" t="e">
        <x:f>HYPERLINK("https://cdn.shopify.com/s/files/1/0918/6066/4603/files/78d299c3976fd7c1568068656dc74f83.jpg?v=1773738179","Open")</x:f>
        <x:v>HYPERLINK is not implemented. linkLocation=https://cdn.shopify.com/s/files/1/0918/6066/4603/files/78d299c3976fd7c1568068656dc74f83.jpg?v=1773738179, friendlyName=Open</x:v>
      </x:c>
      <x:c r="C36" s="24" t="e">
        <x:f>HYPERLINK("https://365nails.com/products/365nails-deep-ocean-blue-cat-eye-handmade-press-on-pedicure","365nails: ""deep ocean blue cat-eye"" – handmade press-on pedicure")</x:f>
        <x:v>HYPERLINK is not implemented. linkLocation=https://365nails.com/products/365nails-deep-ocean-blue-cat-eye-handmade-press-on-pedicure, friendlyName=365nails: "deep ocean blue cat-eye" – handmade press-on pedicure</x:v>
      </x:c>
      <x:c r="D36" s="18" t="str">
        <x:v>Size: S / M / L</x:v>
      </x:c>
      <x:c r="E36" s="25" t="str">
        <x:v>$2.49</x:v>
      </x:c>
      <x:c r="F36" s="19" t="str">
        <x:v>3</x:v>
      </x:c>
    </x:row>
    <x:row r="37" ht="93" customHeight="1">
      <x:c r="A37" s="19" t="n">
        <x:v>34</x:v>
      </x:c>
      <x:c r="B37" s="22" t="e">
        <x:f>HYPERLINK("https://cdn.shopify.com/s/files/1/0918/6066/4603/files/490414f15874925ee0ae1a04fb987411.jpg?v=1773738287","Open")</x:f>
        <x:v>HYPERLINK is not implemented. linkLocation=https://cdn.shopify.com/s/files/1/0918/6066/4603/files/490414f15874925ee0ae1a04fb987411.jpg?v=1773738287, friendlyName=Open</x:v>
      </x:c>
      <x:c r="C37" s="24" t="e">
        <x:f>HYPERLINK("https://365nails.com/products/365nails-ink-wash-jade-pattern-handmade-press-on-pedicure","365nails: ""ink wash jade pattern"" – handmade press-on pedicure")</x:f>
        <x:v>HYPERLINK is not implemented. linkLocation=https://365nails.com/products/365nails-ink-wash-jade-pattern-handmade-press-on-pedicure, friendlyName=365nails: "ink wash jade pattern" – handmade press-on pedicure</x:v>
      </x:c>
      <x:c r="D37" s="18" t="str">
        <x:v>Size: S / M / L</x:v>
      </x:c>
      <x:c r="E37" s="25" t="str">
        <x:v>$2.49</x:v>
      </x:c>
      <x:c r="F37" s="19" t="str">
        <x:v>3</x:v>
      </x:c>
    </x:row>
    <x:row r="38" ht="93" customHeight="1">
      <x:c r="A38" s="19" t="n">
        <x:v>35</x:v>
      </x:c>
      <x:c r="B38" s="22" t="e">
        <x:f>HYPERLINK("https://cdn.shopify.com/s/files/1/0918/6066/4603/files/3858fe890d045a13a727f92ba69b2680_0f270753-1bf1-426d-bd23-28a36e33fdba.jpg?v=1773738468","Open")</x:f>
        <x:v>HYPERLINK is not implemented. linkLocation=https://cdn.shopify.com/s/files/1/0918/6066/4603/files/3858fe890d045a13a727f92ba69b2680_0f270753-1bf1-426d-bd23-28a36e33fdba.jpg?v=1773738468, friendlyName=Open</x:v>
      </x:c>
      <x:c r="C38" s="24" t="e">
        <x:f>HYPERLINK("https://365nails.com/products/365nails-creamy-white-shattered-glitter-handmade-press-on-pedicure-1","365nails: ""creamy white shattered glitter"" – handmade press-on pedicure")</x:f>
        <x:v>HYPERLINK is not implemented. linkLocation=https://365nails.com/products/365nails-creamy-white-shattered-glitter-handmade-press-on-pedicure-1, friendlyName=365nails: "creamy white shattered glitter" – handmade press-on pedicure</x:v>
      </x:c>
      <x:c r="D38" s="18" t="str">
        <x:v>Size: S / M / L</x:v>
      </x:c>
      <x:c r="E38" s="25" t="str">
        <x:v>$1.99</x:v>
      </x:c>
      <x:c r="F38" s="19" t="str">
        <x:v>3</x:v>
      </x:c>
    </x:row>
    <x:row r="39" ht="93" customHeight="1">
      <x:c r="A39" s="19" t="n">
        <x:v>36</x:v>
      </x:c>
      <x:c r="B39" s="22" t="e">
        <x:f>HYPERLINK("https://cdn.shopify.com/s/files/1/0918/6066/4603/files/01fe12c182538b33ab5d1bcd3555d4aa.jpg?v=1773738592","Open")</x:f>
        <x:v>HYPERLINK is not implemented. linkLocation=https://cdn.shopify.com/s/files/1/0918/6066/4603/files/01fe12c182538b33ab5d1bcd3555d4aa.jpg?v=1773738592, friendlyName=Open</x:v>
      </x:c>
      <x:c r="C39" s="24" t="e">
        <x:f>HYPERLINK("https://365nails.com/products/365nails-lavender-galaxy-cat-eye-handmade-press-on-pedicure","365nails: ""lavender galaxy cat-eye"" – handmade press-on pedicure")</x:f>
        <x:v>HYPERLINK is not implemented. linkLocation=https://365nails.com/products/365nails-lavender-galaxy-cat-eye-handmade-press-on-pedicure, friendlyName=365nails: "lavender galaxy cat-eye" – handmade press-on pedicure</x:v>
      </x:c>
      <x:c r="D39" s="18" t="str">
        <x:v>Size: S / M / L</x:v>
      </x:c>
      <x:c r="E39" s="25" t="str">
        <x:v>$2.99</x:v>
      </x:c>
      <x:c r="F39" s="19" t="str">
        <x:v>3</x:v>
      </x:c>
    </x:row>
    <x:row r="40" ht="93" customHeight="1">
      <x:c r="A40" s="19" t="n">
        <x:v>37</x:v>
      </x:c>
      <x:c r="B40" s="22" t="e">
        <x:f>HYPERLINK("https://cdn.shopify.com/s/files/1/0918/6066/4603/files/a86add38e8e7bfd31193a8ef5444b2b0.jpg?v=1773738896","Open")</x:f>
        <x:v>HYPERLINK is not implemented. linkLocation=https://cdn.shopify.com/s/files/1/0918/6066/4603/files/a86add38e8e7bfd31193a8ef5444b2b0.jpg?v=1773738896, friendlyName=Open</x:v>
      </x:c>
      <x:c r="C40" s="24" t="e">
        <x:f>HYPERLINK("https://365nails.com/products/365nails-glossy-milky-tea-pearl-handmade-press-on-pedicure","365nails: ""glossy milky tea pearl"" – handmade press-on pedicure")</x:f>
        <x:v>HYPERLINK is not implemented. linkLocation=https://365nails.com/products/365nails-glossy-milky-tea-pearl-handmade-press-on-pedicure, friendlyName=365nails: "glossy milky tea pearl" – handmade press-on pedicure</x:v>
      </x:c>
      <x:c r="D40" s="18" t="str">
        <x:v>Size: S / M / L</x:v>
      </x:c>
      <x:c r="E40" s="25" t="str">
        <x:v>$2.99</x:v>
      </x:c>
      <x:c r="F40" s="19" t="str">
        <x:v>3</x:v>
      </x:c>
    </x:row>
    <x:row r="41" ht="93" customHeight="1">
      <x:c r="A41" s="19" t="n">
        <x:v>38</x:v>
      </x:c>
      <x:c r="B41" s="22" t="e">
        <x:f>HYPERLINK("https://cdn.shopify.com/s/files/1/0918/6066/4603/files/025fde9867b1629fe63128e447212f2b.jpg?v=1773738714","Open")</x:f>
        <x:v>HYPERLINK is not implemented. linkLocation=https://cdn.shopify.com/s/files/1/0918/6066/4603/files/025fde9867b1629fe63128e447212f2b.jpg?v=1773738714, friendlyName=Open</x:v>
      </x:c>
      <x:c r="C41" s="24" t="e">
        <x:f>HYPERLINK("https://365nails.com/products/365nails-rich-wine-red-solid-handmade-press-on-pedicure","365nails: ""rich wine red solid"" – handmade press-on pedicure")</x:f>
        <x:v>HYPERLINK is not implemented. linkLocation=https://365nails.com/products/365nails-rich-wine-red-solid-handmade-press-on-pedicure, friendlyName=365nails: "rich wine red solid" – handmade press-on pedicure</x:v>
      </x:c>
      <x:c r="D41" s="18" t="str">
        <x:v>Size: S / M / L</x:v>
      </x:c>
      <x:c r="E41" s="25" t="str">
        <x:v>$2.49</x:v>
      </x:c>
      <x:c r="F41" s="19" t="str">
        <x:v>3</x:v>
      </x:c>
    </x:row>
    <x:row r="42" ht="93" customHeight="1">
      <x:c r="A42" s="19" t="n">
        <x:v>39</x:v>
      </x:c>
      <x:c r="B42" s="22" t="e">
        <x:f>HYPERLINK("https://cdn.shopify.com/s/files/1/0918/6066/4603/files/04b8831cbe4763e19ddf2c07ce02365d.jpg?v=1773739109","Open")</x:f>
        <x:v>HYPERLINK is not implemented. linkLocation=https://cdn.shopify.com/s/files/1/0918/6066/4603/files/04b8831cbe4763e19ddf2c07ce02365d.jpg?v=1773739109, friendlyName=Open</x:v>
      </x:c>
      <x:c r="C42" s="24" t="e">
        <x:f>HYPERLINK("https://365nails.com/products/365nails-cherry-blossom-pink-cat-eye-handmade-press-on-pedicure","365nails: ""cherry blossom pink cat-eye"" – handmade press-on pedicure")</x:f>
        <x:v>HYPERLINK is not implemented. linkLocation=https://365nails.com/products/365nails-cherry-blossom-pink-cat-eye-handmade-press-on-pedicure, friendlyName=365nails: "cherry blossom pink cat-eye" – handmade press-on pedicure</x:v>
      </x:c>
      <x:c r="D42" s="18" t="str">
        <x:v>Size: S / M / L</x:v>
      </x:c>
      <x:c r="E42" s="25" t="str">
        <x:v>$2.99</x:v>
      </x:c>
      <x:c r="F42" s="19" t="str">
        <x:v>3</x:v>
      </x:c>
    </x:row>
    <x:row r="43" ht="93" customHeight="1">
      <x:c r="A43" s="19" t="n">
        <x:v>40</x:v>
      </x:c>
      <x:c r="B43" s="22" t="e">
        <x:f>HYPERLINK("https://cdn.shopify.com/s/files/1/0918/6066/4603/files/ac94d815a5b841b9d734ee1394dda5e2.jpg?v=1773739257","Open")</x:f>
        <x:v>HYPERLINK is not implemented. linkLocation=https://cdn.shopify.com/s/files/1/0918/6066/4603/files/ac94d815a5b841b9d734ee1394dda5e2.jpg?v=1773739257, friendlyName=Open</x:v>
      </x:c>
      <x:c r="C43" s="24" t="e">
        <x:f>HYPERLINK("https://365nails.com/products/365nails-galaxy-silver-glitter-handmade-press-on-pedicure","365nails: ""galaxy silver glitter"" – handmade press-on pedicure")</x:f>
        <x:v>HYPERLINK is not implemented. linkLocation=https://365nails.com/products/365nails-galaxy-silver-glitter-handmade-press-on-pedicure, friendlyName=365nails: "galaxy silver glitter" – handmade press-on pedicure</x:v>
      </x:c>
      <x:c r="D43" s="18" t="str">
        <x:v>Size: S / M / L</x:v>
      </x:c>
      <x:c r="E43" s="25" t="str">
        <x:v>$2.49</x:v>
      </x:c>
      <x:c r="F43" s="19" t="str">
        <x:v>3</x:v>
      </x:c>
    </x:row>
    <x:row r="44" ht="93" customHeight="1">
      <x:c r="A44" s="19" t="n">
        <x:v>41</x:v>
      </x:c>
      <x:c r="B44" s="22" t="e">
        <x:f>HYPERLINK("https://cdn.shopify.com/s/files/1/0918/6066/4603/files/853c52c8b7d5beddd7361def02ff3e73.jpg?v=1773740411","Open")</x:f>
        <x:v>HYPERLINK is not implemented. linkLocation=https://cdn.shopify.com/s/files/1/0918/6066/4603/files/853c52c8b7d5beddd7361def02ff3e73.jpg?v=1773740411, friendlyName=Open</x:v>
      </x:c>
      <x:c r="C44" s="24" t="e">
        <x:f>HYPERLINK("https://365nails.com/products/365nails-deep-nude-pink-cat-eye-handmade-press-on-pedicure","365nails: ""deep nude pink cat-eye"" – handmade press-on pedicure")</x:f>
        <x:v>HYPERLINK is not implemented. linkLocation=https://365nails.com/products/365nails-deep-nude-pink-cat-eye-handmade-press-on-pedicure, friendlyName=365nails: "deep nude pink cat-eye" – handmade press-on pedicure</x:v>
      </x:c>
      <x:c r="D44" s="18" t="str">
        <x:v>Size: S / M / L</x:v>
      </x:c>
      <x:c r="E44" s="25" t="str">
        <x:v>$2.99</x:v>
      </x:c>
      <x:c r="F44" s="19" t="str">
        <x:v>3</x:v>
      </x:c>
    </x:row>
    <x:row r="45" ht="93" customHeight="1">
      <x:c r="A45" s="19" t="n">
        <x:v>42</x:v>
      </x:c>
      <x:c r="B45" s="22" t="e">
        <x:f>HYPERLINK("https://cdn.shopify.com/s/files/1/0918/6066/4603/files/83e95570c30ac9ee4b30dbad94fe7626.jpg?v=1773740527","Open")</x:f>
        <x:v>HYPERLINK is not implemented. linkLocation=https://cdn.shopify.com/s/files/1/0918/6066/4603/files/83e95570c30ac9ee4b30dbad94fe7626.jpg?v=1773740527, friendlyName=Open</x:v>
      </x:c>
      <x:c r="C45" s="24" t="e">
        <x:f>HYPERLINK("https://365nails.com/products/365nails-rich-chocolate-cat-eye-handmade-press-on-pedicure","365nails: ""rich chocolate cat-eye"" – handmade press-on pedicure")</x:f>
        <x:v>HYPERLINK is not implemented. linkLocation=https://365nails.com/products/365nails-rich-chocolate-cat-eye-handmade-press-on-pedicure, friendlyName=365nails: "rich chocolate cat-eye" – handmade press-on pedicure</x:v>
      </x:c>
      <x:c r="D45" s="18" t="str">
        <x:v>Size: S / M / L</x:v>
      </x:c>
      <x:c r="E45" s="25" t="str">
        <x:v>$1.99</x:v>
      </x:c>
      <x:c r="F45" s="19" t="str">
        <x:v>3</x:v>
      </x:c>
    </x:row>
    <x:row r="46" ht="93" customHeight="1">
      <x:c r="A46" s="19" t="n">
        <x:v>43</x:v>
      </x:c>
      <x:c r="B46" s="22" t="e">
        <x:f>HYPERLINK("https://cdn.shopify.com/s/files/1/0918/6066/4603/files/4f196bc1868334788020be4a1de62b32.jpg?v=1773740720","Open")</x:f>
        <x:v>HYPERLINK is not implemented. linkLocation=https://cdn.shopify.com/s/files/1/0918/6066/4603/files/4f196bc1868334788020be4a1de62b32.jpg?v=1773740720, friendlyName=Open</x:v>
      </x:c>
      <x:c r="C46" s="24" t="e">
        <x:f>HYPERLINK("https://365nails.com/products/365nails-lemon-gold-shattered-glitter-handmade-press-on-pedicure","365nails: ""lemon gold shattered glitter"" – handmade press-on pedicure")</x:f>
        <x:v>HYPERLINK is not implemented. linkLocation=https://365nails.com/products/365nails-lemon-gold-shattered-glitter-handmade-press-on-pedicure, friendlyName=365nails: "lemon gold shattered glitter" – handmade press-on pedicure</x:v>
      </x:c>
      <x:c r="D46" s="18" t="str">
        <x:v>Size: S / M / L</x:v>
      </x:c>
      <x:c r="E46" s="25" t="str">
        <x:v>$2.49</x:v>
      </x:c>
      <x:c r="F46" s="19" t="str">
        <x:v>3</x:v>
      </x:c>
    </x:row>
    <x:row r="47" ht="93" customHeight="1">
      <x:c r="A47" s="19" t="n">
        <x:v>44</x:v>
      </x:c>
      <x:c r="B47" s="22" t="e">
        <x:f>HYPERLINK("https://cdn.shopify.com/s/files/1/0918/6066/4603/files/9b2fceaba58bdcf7076ec1458064bc7e.jpg?v=1773740893","Open")</x:f>
        <x:v>HYPERLINK is not implemented. linkLocation=https://cdn.shopify.com/s/files/1/0918/6066/4603/files/9b2fceaba58bdcf7076ec1458064bc7e.jpg?v=1773740893, friendlyName=Open</x:v>
      </x:c>
      <x:c r="C47" s="24" t="e">
        <x:f>HYPERLINK("https://365nails.com/products/365nails-ice-clear-iridescent-glitter-handmade-press-on-pedicure","365nails: ""ice clear iridescent glitter"" – handmade press-on pedicure")</x:f>
        <x:v>HYPERLINK is not implemented. linkLocation=https://365nails.com/products/365nails-ice-clear-iridescent-glitter-handmade-press-on-pedicure, friendlyName=365nails: "ice clear iridescent glitter" – handmade press-on pedicure</x:v>
      </x:c>
      <x:c r="D47" s="18" t="str">
        <x:v>Size: S / M / L</x:v>
      </x:c>
      <x:c r="E47" s="25" t="str">
        <x:v>$2.49</x:v>
      </x:c>
      <x:c r="F47" s="19" t="str">
        <x:v>3</x:v>
      </x:c>
    </x:row>
    <x:row r="48" ht="93" customHeight="1">
      <x:c r="A48" s="19" t="n">
        <x:v>45</x:v>
      </x:c>
      <x:c r="B48" s="22" t="e">
        <x:f>HYPERLINK("https://cdn.shopify.com/s/files/1/0918/6066/4603/files/f93f9433115ba09e1600efe40646104a.jpg?v=1773740993","Open")</x:f>
        <x:v>HYPERLINK is not implemented. linkLocation=https://cdn.shopify.com/s/files/1/0918/6066/4603/files/f93f9433115ba09e1600efe40646104a.jpg?v=1773740993, friendlyName=Open</x:v>
      </x:c>
      <x:c r="C48" s="24" t="e">
        <x:f>HYPERLINK("https://365nails.com/products/365nails-ice-sea-shattered-glitter-handmade-press-on-pedicure","365nails: ""ice sea shattered glitter"" – handmade press-on pedicure")</x:f>
        <x:v>HYPERLINK is not implemented. linkLocation=https://365nails.com/products/365nails-ice-sea-shattered-glitter-handmade-press-on-pedicure, friendlyName=365nails: "ice sea shattered glitter" – handmade press-on pedicure</x:v>
      </x:c>
      <x:c r="D48" s="18" t="str">
        <x:v>Size: S / M / L</x:v>
      </x:c>
      <x:c r="E48" s="25" t="str">
        <x:v>$2.49</x:v>
      </x:c>
      <x:c r="F48" s="19" t="str">
        <x:v>3</x:v>
      </x:c>
    </x:row>
    <x:row r="49" ht="93" customHeight="1">
      <x:c r="A49" s="19" t="n">
        <x:v>46</x:v>
      </x:c>
      <x:c r="B49" s="22" t="e">
        <x:f>HYPERLINK("https://cdn.shopify.com/s/files/1/0918/6066/4603/files/3a6bb9c92c95165f38b1b11f32e5a16d.jpg?v=1773741070","Open")</x:f>
        <x:v>HYPERLINK is not implemented. linkLocation=https://cdn.shopify.com/s/files/1/0918/6066/4603/files/3a6bb9c92c95165f38b1b11f32e5a16d.jpg?v=1773741070, friendlyName=Open</x:v>
      </x:c>
      <x:c r="C49" s="24" t="e">
        <x:f>HYPERLINK("https://365nails.com/products/365nails-lime-green-gold-glitter-handmade-press-on-pedicure","365nails: ""lime green &amp; gold glitter"" – handmade press-on pedicure")</x:f>
        <x:v>HYPERLINK is not implemented. linkLocation=https://365nails.com/products/365nails-lime-green-gold-glitter-handmade-press-on-pedicure, friendlyName=365nails: "lime green &amp; gold glitter" – handmade press-on pedicure</x:v>
      </x:c>
      <x:c r="D49" s="18" t="str">
        <x:v>Size: S / M / L</x:v>
      </x:c>
      <x:c r="E49" s="25" t="str">
        <x:v>$2.49</x:v>
      </x:c>
      <x:c r="F49" s="19" t="str">
        <x:v>3</x:v>
      </x:c>
    </x:row>
    <x:row r="50" ht="93" customHeight="1">
      <x:c r="A50" s="19" t="n">
        <x:v>47</x:v>
      </x:c>
      <x:c r="B50" s="22" t="e">
        <x:f>HYPERLINK("https://cdn.shopify.com/s/files/1/0918/6066/4603/files/a31bcbef519871f377404692443d25b5.jpg?v=1773741184","Open")</x:f>
        <x:v>HYPERLINK is not implemented. linkLocation=https://cdn.shopify.com/s/files/1/0918/6066/4603/files/a31bcbef519871f377404692443d25b5.jpg?v=1773741184, friendlyName=Open</x:v>
      </x:c>
      <x:c r="C50" s="24" t="e">
        <x:f>HYPERLINK("https://365nails.com/products/365nails-watery-translucent-pink-jelly-handmade-press-on-pedicure","365nails: ""watery translucent pink jelly"" – handmade press-on pedicure")</x:f>
        <x:v>HYPERLINK is not implemented. linkLocation=https://365nails.com/products/365nails-watery-translucent-pink-jelly-handmade-press-on-pedicure, friendlyName=365nails: "watery translucent pink jelly" – handmade press-on pedicure</x:v>
      </x:c>
      <x:c r="D50" s="18" t="str">
        <x:v>Size: S / M / L</x:v>
      </x:c>
      <x:c r="E50" s="25" t="str">
        <x:v>$2.99</x:v>
      </x:c>
      <x:c r="F50" s="19" t="str">
        <x:v>3</x:v>
      </x:c>
    </x:row>
    <x:row r="51" ht="93" customHeight="1">
      <x:c r="A51" s="19" t="n">
        <x:v>48</x:v>
      </x:c>
      <x:c r="B51" s="22" t="e">
        <x:f>HYPERLINK("https://cdn.shopify.com/s/files/1/0918/6066/4603/files/83c6d5d787f97f4b01837bcdefdcd51a.jpg?v=1773741321","Open")</x:f>
        <x:v>HYPERLINK is not implemented. linkLocation=https://cdn.shopify.com/s/files/1/0918/6066/4603/files/83c6d5d787f97f4b01837bcdefdcd51a.jpg?v=1773741321, friendlyName=Open</x:v>
      </x:c>
      <x:c r="C51" s="24" t="e">
        <x:f>HYPERLINK("https://365nails.com/products/365nails-glossy-milky-tea-shimmer-handmade-press-on-pedicure","365nails: ""glossy milky tea shimmer"" – handmade press-on pedicure")</x:f>
        <x:v>HYPERLINK is not implemented. linkLocation=https://365nails.com/products/365nails-glossy-milky-tea-shimmer-handmade-press-on-pedicure, friendlyName=365nails: "glossy milky tea shimmer" – handmade press-on pedicure</x:v>
      </x:c>
      <x:c r="D51" s="18" t="str">
        <x:v>Size: S / M / L</x:v>
      </x:c>
      <x:c r="E51" s="25" t="str">
        <x:v>$2.99</x:v>
      </x:c>
      <x:c r="F51" s="19" t="str">
        <x:v>3</x:v>
      </x:c>
    </x:row>
    <x:row r="52" ht="93" customHeight="1">
      <x:c r="A52" s="19" t="n">
        <x:v>49</x:v>
      </x:c>
      <x:c r="B52" s="22" t="e">
        <x:f>HYPERLINK("https://cdn.shopify.com/s/files/1/0918/6066/4603/files/fcfd1844b7d9615246121b15e47f4158.jpg?v=1773741474","Open")</x:f>
        <x:v>HYPERLINK is not implemented. linkLocation=https://cdn.shopify.com/s/files/1/0918/6066/4603/files/fcfd1844b7d9615246121b15e47f4158.jpg?v=1773741474, friendlyName=Open</x:v>
      </x:c>
      <x:c r="C52" s="24" t="e">
        <x:f>HYPERLINK("https://365nails.com/products/365nails-champagne-gold-shattered-glitter-handmade-press-on-pedicure","365nails: ""champagne gold shattered glitter"" – handmade press-on pedicure")</x:f>
        <x:v>HYPERLINK is not implemented. linkLocation=https://365nails.com/products/365nails-champagne-gold-shattered-glitter-handmade-press-on-pedicure, friendlyName=365nails: "champagne gold shattered glitter" – handmade press-on pedicure</x:v>
      </x:c>
      <x:c r="D52" s="18" t="str">
        <x:v>Size: S / M / L</x:v>
      </x:c>
      <x:c r="E52" s="25" t="str">
        <x:v>$2.49</x:v>
      </x:c>
      <x:c r="F52" s="19" t="str">
        <x:v>3</x:v>
      </x:c>
    </x:row>
    <x:row r="53" ht="93" customHeight="1">
      <x:c r="A53" s="19" t="n">
        <x:v>50</x:v>
      </x:c>
      <x:c r="B53" s="22" t="e">
        <x:f>HYPERLINK("https://cdn.shopify.com/s/files/1/0918/6066/4603/files/474feac544778629469d2513280e5432.jpg?v=1773741571","Open")</x:f>
        <x:v>HYPERLINK is not implemented. linkLocation=https://cdn.shopify.com/s/files/1/0918/6066/4603/files/474feac544778629469d2513280e5432.jpg?v=1773741571, friendlyName=Open</x:v>
      </x:c>
      <x:c r="C53" s="24" t="e">
        <x:f>HYPERLINK("https://365nails.com/products/365nails-wine-red-diamond-sparkle-handmade-press-on-pedicure","365nails: ""wine red &amp; diamond sparkle"" – handmade press-on pedicure")</x:f>
        <x:v>HYPERLINK is not implemented. linkLocation=https://365nails.com/products/365nails-wine-red-diamond-sparkle-handmade-press-on-pedicure, friendlyName=365nails: "wine red &amp; diamond sparkle" – handmade press-on pedicure</x:v>
      </x:c>
      <x:c r="D53" s="18" t="str">
        <x:v>Size: S / M / L</x:v>
      </x:c>
      <x:c r="E53" s="25" t="str">
        <x:v>$2.49</x:v>
      </x:c>
      <x:c r="F53" s="19" t="str">
        <x:v>3</x:v>
      </x:c>
    </x:row>
    <x:row r="54" ht="93" customHeight="1">
      <x:c r="A54" s="19" t="n">
        <x:v>51</x:v>
      </x:c>
      <x:c r="B54" s="22" t="e">
        <x:f>HYPERLINK("https://cdn.shopify.com/s/files/1/0918/6066/4603/files/ec59effa4ca40f079efe193282bab214.jpg?v=1773741701","Open")</x:f>
        <x:v>HYPERLINK is not implemented. linkLocation=https://cdn.shopify.com/s/files/1/0918/6066/4603/files/ec59effa4ca40f079efe193282bab214.jpg?v=1773741701, friendlyName=Open</x:v>
      </x:c>
      <x:c r="C54" s="24" t="e">
        <x:f>HYPERLINK("https://365nails.com/products/365nails-starry-deep-blue-crushed-diamonds-handmade-press-on-pedicure","365nails: ""starry deep blue &amp; crushed diamonds"" – handmade press-on pedicure")</x:f>
        <x:v>HYPERLINK is not implemented. linkLocation=https://365nails.com/products/365nails-starry-deep-blue-crushed-diamonds-handmade-press-on-pedicure, friendlyName=365nails: "starry deep blue &amp; crushed diamonds" – handmade press-on pedicure</x:v>
      </x:c>
      <x:c r="D54" s="18" t="str">
        <x:v>Size: S / M / L</x:v>
      </x:c>
      <x:c r="E54" s="25" t="str">
        <x:v>$2.49</x:v>
      </x:c>
      <x:c r="F54" s="19" t="str">
        <x:v>3</x:v>
      </x:c>
    </x:row>
    <x:row r="55" ht="93" customHeight="1">
      <x:c r="A55" s="19" t="n">
        <x:v>52</x:v>
      </x:c>
      <x:c r="B55" s="22" t="e">
        <x:f>HYPERLINK("https://cdn.shopify.com/s/files/1/0918/6066/4603/files/97ffb17da4361f136690fd0f4c9f3578.jpg?v=1773741775","Open")</x:f>
        <x:v>HYPERLINK is not implemented. linkLocation=https://cdn.shopify.com/s/files/1/0918/6066/4603/files/97ffb17da4361f136690fd0f4c9f3578.jpg?v=1773741775, friendlyName=Open</x:v>
      </x:c>
      <x:c r="C55" s="24" t="e">
        <x:f>HYPERLINK("https://365nails.com/products/365nails-gilded-amber-butterfly-handmade-press-on-pedicure","365nails: ""gilded amber butterfly"" – handmade press-on pedicure")</x:f>
        <x:v>HYPERLINK is not implemented. linkLocation=https://365nails.com/products/365nails-gilded-amber-butterfly-handmade-press-on-pedicure, friendlyName=365nails: "gilded amber butterfly" – handmade press-on pedicure</x:v>
      </x:c>
      <x:c r="D55" s="18" t="str">
        <x:v>Size: S / M / L</x:v>
      </x:c>
      <x:c r="E55" s="25" t="str">
        <x:v>$2.49</x:v>
      </x:c>
      <x:c r="F55" s="19" t="str">
        <x:v>3</x:v>
      </x:c>
    </x:row>
    <x:row r="56" ht="93" customHeight="1">
      <x:c r="A56" s="19" t="n">
        <x:v>53</x:v>
      </x:c>
      <x:c r="B56" s="22" t="e">
        <x:f>HYPERLINK("https://cdn.shopify.com/s/files/1/0918/6066/4603/files/O1CN01Sm2m3T2NGHiekoTWf__4234819935-0-cib.jpg?v=1753429497","Open")</x:f>
        <x:v>HYPERLINK is not implemented. linkLocation=https://cdn.shopify.com/s/files/1/0918/6066/4603/files/O1CN01Sm2m3T2NGHiekoTWf__4234819935-0-cib.jpg?v=1753429497, friendlyName=Open</x:v>
      </x:c>
      <x:c r="C56" s="24" t="e">
        <x:f>HYPERLINK("https://365nails.com/products/press-on-nails-wholesale-solid-color-matte-rectangular-nail-press-on-nails-piece-finished-product-press-on-nails-365nails","Press on nails wholesale solid color matte rectangular nail  Press on nails piece Finished product Press on nails｜365nails")</x:f>
        <x:v>HYPERLINK is not implemented. linkLocation=https://365nails.com/products/press-on-nails-wholesale-solid-color-matte-rectangular-nail-press-on-nails-piece-finished-product-press-on-nails-365nails, friendlyName=Press on nails wholesale solid color matte rectangular nail  Press on nails piece Finished product Press on nails｜365nails</x:v>
      </x:c>
      <x:c r="D56" s="18" t="str">
        <x:v>color: JP2273 / JP2274 / JP2275 / JP2276 / JP2277 / JP2278 / JP2279 / JP2280 / JP2281</x:v>
      </x:c>
      <x:c r="E56" s="25" t="str">
        <x:v>$0.70</x:v>
      </x:c>
      <x:c r="F56" s="19" t="str">
        <x:v>1</x:v>
      </x:c>
    </x:row>
    <x:row r="57" ht="93" customHeight="1">
      <x:c r="A57" s="19" t="n">
        <x:v>54</x:v>
      </x:c>
      <x:c r="B57" s="22" t="e">
        <x:f>HYPERLINK("https://cdn.shopify.com/s/files/1/0918/6066/4603/files/O1CN01AXnY9S2NGI1ejfBC5__4234819935-0-cib.jpg?v=1768905922","Open")</x:f>
        <x:v>HYPERLINK is not implemented. linkLocation=https://cdn.shopify.com/s/files/1/0918/6066/4603/files/O1CN01AXnY9S2NGI1ejfBC5__4234819935-0-cib.jpg?v=1768905922, friendlyName=Open</x:v>
      </x:c>
      <x:c r="C57" s="24" t="e">
        <x:f>HYPERLINK("https://365nails.com/products/coated-shiny-hot-selling-wearable-nail-polish-casual-nude-french-white-edge-manicure-nail-polish","Coated shiny hot-selling wearable nail polish casual nude french white edge manicure nail polish")</x:f>
        <x:v>HYPERLINK is not implemented. linkLocation=https://365nails.com/products/coated-shiny-hot-selling-wearable-nail-polish-casual-nude-french-white-edge-manicure-nail-polish, friendlyName=Coated shiny hot-selling wearable nail polish casual nude french white edge manicure nail polish</x:v>
      </x:c>
      <x:c r="D57" s="18" t="str">
        <x:v>Color: Jp 4185</x:v>
      </x:c>
      <x:c r="E57" s="25" t="str">
        <x:v>$1.11</x:v>
      </x:c>
      <x:c r="F57" s="19" t="str">
        <x:v>1</x:v>
      </x:c>
    </x:row>
    <x:row r="58" ht="93" customHeight="1">
      <x:c r="A58" s="19" t="n">
        <x:v>55</x:v>
      </x:c>
      <x:c r="B58" s="22" t="e">
        <x:f>HYPERLINK("https://cdn.shopify.com/s/files/1/0918/6066/4603/files/3ce2f701055c3be60c36b84e9d796533.jpg?v=1773802810","Open")</x:f>
        <x:v>HYPERLINK is not implemented. linkLocation=https://cdn.shopify.com/s/files/1/0918/6066/4603/files/3ce2f701055c3be60c36b84e9d796533.jpg?v=1773802810, friendlyName=Open</x:v>
      </x:c>
      <x:c r="C58" s="24" t="e">
        <x:f>HYPERLINK("https://365nails.com/products/365nails-tiffany-blue-shimmer-handmade-press-on-pedicure","365nails: ""Tiffany Blue shimmer"" – handmade press-on pedicure")</x:f>
        <x:v>HYPERLINK is not implemented. linkLocation=https://365nails.com/products/365nails-tiffany-blue-shimmer-handmade-press-on-pedicure, friendlyName=365nails: "Tiffany Blue shimmer" – handmade press-on pedicure</x:v>
      </x:c>
      <x:c r="D58" s="18" t="str">
        <x:v>Size: S / M / L</x:v>
      </x:c>
      <x:c r="E58" s="25" t="str">
        <x:v>$1.99</x:v>
      </x:c>
      <x:c r="F58" s="19" t="str">
        <x:v>3</x:v>
      </x:c>
    </x:row>
    <x:row r="59" ht="93" customHeight="1">
      <x:c r="A59" s="19" t="n">
        <x:v>56</x:v>
      </x:c>
      <x:c r="B59" s="22" t="e">
        <x:f>HYPERLINK("https://cdn.shopify.com/s/files/1/0918/6066/4603/files/23102905111_2037667256.jpg?v=1753430776","Open")</x:f>
        <x:v>HYPERLINK is not implemented. linkLocation=https://cdn.shopify.com/s/files/1/0918/6066/4603/files/23102905111_2037667256.jpg?v=1753430776, friendlyName=Open</x:v>
      </x:c>
      <x:c r="C59" s="24" t="e">
        <x:f>HYPERLINK("https://365nails.com/products/spar-cats-eye-short-leopard-print-press-on-nails-art-finished-fake-nail-nail-nail-patch-nail-patch-waterproof-and-removable-365nails","spar cat eye short leopard print press on nails art finished  nail   waterproof and removable｜365nails")</x:f>
        <x:v>HYPERLINK is not implemented. linkLocation=https://365nails.com/products/spar-cats-eye-short-leopard-print-press-on-nails-art-finished-fake-nail-nail-nail-patch-nail-patch-waterproof-and-removable-365nails, friendlyName=spar cat eye short leopard print press on nails art finished  nail   waterproof and removable｜365nails</x:v>
      </x:c>
      <x:c r="D59" s="18" t="str">
        <x:v>color: JP956</x:v>
      </x:c>
      <x:c r="E59" s="25" t="str">
        <x:v>$2.13</x:v>
      </x:c>
      <x:c r="F59" s="19" t="str">
        <x:v>1</x:v>
      </x:c>
    </x:row>
    <x:row r="60" ht="93" customHeight="1">
      <x:c r="A60" s="19" t="n">
        <x:v>57</x:v>
      </x:c>
      <x:c r="B60" s="22" t="e">
        <x:f>HYPERLINK("https://cdn.shopify.com/s/files/1/0918/6066/4603/files/O1CN01gVithZ2NGHmlm5W7J__4234819935-0-cib.jpg?v=1753430490","Open")</x:f>
        <x:v>HYPERLINK is not implemented. linkLocation=https://cdn.shopify.com/s/files/1/0918/6066/4603/files/O1CN01gVithZ2NGHmlm5W7J__4234819935-0-cib.jpg?v=1753430490, friendlyName=Open</x:v>
      </x:c>
      <x:c r="C60" s="24" t="e">
        <x:f>HYPERLINK("https://365nails.com/products/cross-border-special-fake-nails-removable-press-on-nails-gold-sequined-nails-art-nails-sticker-nails-piece-finished-nails-365nails","special fake nails removable press on nails gold sequined nails art nails sticker nails piece finished nails｜365nails")</x:f>
        <x:v>HYPERLINK is not implemented. linkLocation=https://365nails.com/products/cross-border-special-fake-nails-removable-press-on-nails-gold-sequined-nails-art-nails-sticker-nails-piece-finished-nails-365nails, friendlyName=special fake nails removable press on nails gold sequined nails art nails sticker nails piece finished nails｜365nails</x:v>
      </x:c>
      <x:c r="D60" s="18" t="str">
        <x:v>color: JP2707</x:v>
      </x:c>
      <x:c r="E60" s="25" t="str">
        <x:v>$1.03</x:v>
      </x:c>
      <x:c r="F60" s="19" t="str">
        <x:v>1</x:v>
      </x:c>
    </x:row>
    <x:row r="61" ht="93" customHeight="1">
      <x:c r="A61" s="19" t="n">
        <x:v>58</x:v>
      </x:c>
      <x:c r="B61" s="22" t="e">
        <x:f>HYPERLINK("https://cdn.shopify.com/s/files/1/0918/6066/4603/files/693eb293059b389ea60fbde7e6bb5299_e846ab72-1db7-4135-90f7-74bdd129ded4.jpg?v=1766721960","Open")</x:f>
        <x:v>HYPERLINK is not implemented. linkLocation=https://cdn.shopify.com/s/files/1/0918/6066/4603/files/693eb293059b389ea60fbde7e6bb5299_e846ab72-1db7-4135-90f7-74bdd129ded4.jpg?v=1766721960, friendlyName=Open</x:v>
      </x:c>
      <x:c r="C61" s="24" t="e">
        <x:f>HYPERLINK("https://365nails.com/products/orange-french-floral-crystal-press-on-nails","Orange French Floral Crystal Press On Nails (MOQ=3)")</x:f>
        <x:v>HYPERLINK is not implemented. linkLocation=https://365nails.com/products/orange-french-floral-crystal-press-on-nails, friendlyName=Orange French Floral Crystal Press On Nails (MOQ=3)</x:v>
      </x:c>
      <x:c r="D61" s="18" t="str">
        <x:v>Color: YS-190-01 / YS-190-02 / YS-190-03 / YS-190-04 / YS-190-05 / YS-190-06 / YS-190-07 / YS-190-08 / YS-190-09 / YS-190-10; Quantity: 3pcs</x:v>
      </x:c>
      <x:c r="E61" s="25" t="str">
        <x:v>$3.60</x:v>
      </x:c>
      <x:c r="F61" s="19" t="str">
        <x:v>1</x:v>
      </x:c>
    </x:row>
    <x:row r="62" ht="93" customHeight="1">
      <x:c r="A62" s="19" t="n">
        <x:v>59</x:v>
      </x:c>
      <x:c r="B62" s="22" t="e">
        <x:f>HYPERLINK("https://cdn.shopify.com/s/files/1/0918/6066/4603/files/O1CN01xT3bHy2NGI10R9ebz__4234819935-0-cib.jpg?v=1763443580","Open")</x:f>
        <x:v>HYPERLINK is not implemented. linkLocation=https://cdn.shopify.com/s/files/1/0918/6066/4603/files/O1CN01xT3bHy2NGI10R9ebz__4234819935-0-cib.jpg?v=1763443580, friendlyName=Open</x:v>
      </x:c>
      <x:c r="C62" s="24" t="e">
        <x:f>HYPERLINK("https://365nails.com/products/iridescent-pearl-chrome-crystal-almond-nails","Iridescent Pearl Chrome Crystal Almond Nails")</x:f>
        <x:v>HYPERLINK is not implemented. linkLocation=https://365nails.com/products/iridescent-pearl-chrome-crystal-almond-nails, friendlyName=Iridescent Pearl Chrome Crystal Almond Nails</x:v>
      </x:c>
      <x:c r="D62" s="18" t="str">
        <x:v>Color: JP4064</x:v>
      </x:c>
      <x:c r="E62" s="25" t="str">
        <x:v>$1.76</x:v>
      </x:c>
      <x:c r="F62" s="19" t="str">
        <x:v>1</x:v>
      </x:c>
    </x:row>
    <x:row r="63" ht="93" customHeight="1">
      <x:c r="A63" s="19" t="n">
        <x:v>60</x:v>
      </x:c>
      <x:c r="B63" s="22" t="e">
        <x:f>HYPERLINK("https://cdn.shopify.com/s/files/1/0918/6066/4603/files/O1CN01fFUE6h2NGI01cSEwT__4234819935-0-cib.jpg?v=1758610096","Open")</x:f>
        <x:v>HYPERLINK is not implemented. linkLocation=https://cdn.shopify.com/s/files/1/0918/6066/4603/files/O1CN01fFUE6h2NGI01cSEwT__4234819935-0-cib.jpg?v=1758610096, friendlyName=Open</x:v>
      </x:c>
      <x:c r="C63" s="24" t="e">
        <x:f>HYPERLINK("https://365nails.com/products/medium-rectangle-french-white-nail-art-piece-wear-nail-black-astral-false-nail-piece","Medium length French white black star square press-on nails")</x:f>
        <x:v>HYPERLINK is not implemented. linkLocation=https://365nails.com/products/medium-rectangle-french-white-nail-art-piece-wear-nail-black-astral-false-nail-piece, friendlyName=Medium length French white black star square press-on nails</x:v>
      </x:c>
      <x:c r="D63" s="18" t="str">
        <x:v>color: JP4027</x:v>
      </x:c>
      <x:c r="E63" s="25" t="str">
        <x:v>$1.09</x:v>
      </x:c>
      <x:c r="F63" s="19" t="str">
        <x:v>1</x:v>
      </x:c>
    </x:row>
    <x:row r="64" ht="93" customHeight="1">
      <x:c r="A64" s="19" t="n">
        <x:v>61</x:v>
      </x:c>
      <x:c r="B64" s="22" t="e">
        <x:f>HYPERLINK("https://cdn.shopify.com/s/files/1/0918/6066/4603/files/O1CN01JUblEc2NGI01eTiFe__4234819935-0-cib.jpg?v=1758610088","Open")</x:f>
        <x:v>HYPERLINK is not implemented. linkLocation=https://cdn.shopify.com/s/files/1/0918/6066/4603/files/O1CN01JUblEc2NGI01eTiFe__4234819935-0-cib.jpg?v=1758610088, friendlyName=Open</x:v>
      </x:c>
      <x:c r="C64" s="24" t="e">
        <x:f>HYPERLINK("https://365nails.com/products/explosive-metal-wind-star-wearing-nail-piece-simple-almond-nail-art","Explosive metal wind star light simple almond press-on nails")</x:f>
        <x:v>HYPERLINK is not implemented. linkLocation=https://365nails.com/products/explosive-metal-wind-star-wearing-nail-piece-simple-almond-nail-art, friendlyName=Explosive metal wind star light simple almond press-on nails</x:v>
      </x:c>
      <x:c r="D64" s="18" t="str">
        <x:v>color: JP4142</x:v>
      </x:c>
      <x:c r="E64" s="25" t="str">
        <x:v>$0.68</x:v>
      </x:c>
      <x:c r="F64" s="19" t="str">
        <x:v>1</x:v>
      </x:c>
    </x:row>
    <x:row r="65" ht="93" customHeight="1">
      <x:c r="A65" s="19" t="n">
        <x:v>62</x:v>
      </x:c>
      <x:c r="B65" s="22" t="e">
        <x:f>HYPERLINK("https://cdn.shopify.com/s/files/1/0918/6066/4603/files/O1CN014Gm0wf2NGHx33l2Mk__4234819935-0-cib.jpg?v=1753433469","Open")</x:f>
        <x:v>HYPERLINK is not implemented. linkLocation=https://cdn.shopify.com/s/files/1/0918/6066/4603/files/O1CN014Gm0wf2NGHx33l2Mk__4234819935-0-cib.jpg?v=1753433469, friendlyName=Open</x:v>
      </x:c>
      <x:c r="C65" s="24" t="e">
        <x:f>HYPERLINK("https://365nails.com/products/flower-fake-nail-manicure-simple-ins-wind-wearing-nail-piece-cross-border-foreign-trade-spring-and-summer-almond-nail-fake-nails-365nails","Flower fake nail manicure simple ins wind    spring and summer almond nail fake nails｜365nails")</x:f>
        <x:v>HYPERLINK is not implemented. linkLocation=https://365nails.com/products/flower-fake-nail-manicure-simple-ins-wind-wearing-nail-piece-cross-border-foreign-trade-spring-and-summer-almond-nail-fake-nails-365nails, friendlyName=Flower fake nail manicure simple ins wind    spring and summer almond nail fake nails｜365nails</x:v>
      </x:c>
      <x:c r="D65" s="18" t="str">
        <x:v>color: JP3762</x:v>
      </x:c>
      <x:c r="E65" s="25" t="str">
        <x:v>$0.94</x:v>
      </x:c>
      <x:c r="F65" s="19" t="str">
        <x:v>1</x:v>
      </x:c>
    </x:row>
    <x:row r="66" ht="93" customHeight="1">
      <x:c r="A66" s="19" t="n">
        <x:v>63</x:v>
      </x:c>
      <x:c r="B66" s="22" t="e">
        <x:f>HYPERLINK("https://cdn.shopify.com/s/files/1/0918/6066/4603/files/O1CN01XdJZ7j2NGHrKIQs8z__4234819935-0-cib.jpg?v=1753432901","Open")</x:f>
        <x:v>HYPERLINK is not implemented. linkLocation=https://cdn.shopify.com/s/files/1/0918/6066/4603/files/O1CN01XdJZ7j2NGHrKIQs8z__4234819935-0-cib.jpg?v=1753432901, friendlyName=Open</x:v>
      </x:c>
      <x:c r="C66" s="24" t="e">
        <x:f>HYPERLINK("https://365nails.com/products/2024-new-pink-solid-color-manicure-short-square-wearing-nail-piece-wholesale-internet-celebrity-explosion-coated-fake-nails-365nails","Pink solid color manicure short square  wholesale Internet celebrity explosion coated fake nails｜365nails")</x:f>
        <x:v>HYPERLINK is not implemented. linkLocation=https://365nails.com/products/2024-new-pink-solid-color-manicure-short-square-wearing-nail-piece-wholesale-internet-celebrity-explosion-coated-fake-nails-365nails, friendlyName=Pink solid color manicure short square  wholesale Internet celebrity explosion coated fake nails｜365nails</x:v>
      </x:c>
      <x:c r="D66" s="18" t="str">
        <x:v>Color: JP3246</x:v>
      </x:c>
      <x:c r="E66" s="25" t="str">
        <x:v>$0.82</x:v>
      </x:c>
      <x:c r="F66" s="19" t="str">
        <x:v>1</x:v>
      </x:c>
    </x:row>
    <x:row r="67" ht="93" customHeight="1">
      <x:c r="A67" s="19" t="n">
        <x:v>64</x:v>
      </x:c>
      <x:c r="B67" s="22" t="e">
        <x:f>HYPERLINK("https://cdn.shopify.com/s/files/1/0918/6066/4603/files/O1CN01UYBFFW2NGHcPt8qiw__4234819935-0-cib.jpg?v=1753431052","Open")</x:f>
        <x:v>HYPERLINK is not implemented. linkLocation=https://cdn.shopify.com/s/files/1/0918/6066/4603/files/O1CN01UYBFFW2NGHcPt8qiw__4234819935-0-cib.jpg?v=1753431052, friendlyName=Open</x:v>
      </x:c>
      <x:c r="C67" s="24" t="e">
        <x:f>HYPERLINK("https://365nails.com/products/raspberry-graffiti-peach-heart-nail-patch-fake-nail-wear-nail-art-finished-nail-patch-removable-nail-piece-factory-sales-365nails","Raspberry graffiti peach heart nail patch fake nail wear nail art finished nail patch removable nail piece factory sales｜365nails")</x:f>
        <x:v>HYPERLINK is not implemented. linkLocation=https://365nails.com/products/raspberry-graffiti-peach-heart-nail-patch-fake-nail-wear-nail-art-finished-nail-patch-removable-nail-piece-factory-sales-365nails, friendlyName=Raspberry graffiti peach heart nail patch fake nail wear nail art finished nail patch removable nail piece factory sales｜365nails</x:v>
      </x:c>
      <x:c r="D67" s="18" t="str">
        <x:v>color: JP1021</x:v>
      </x:c>
      <x:c r="E67" s="25" t="str">
        <x:v>$0.70</x:v>
      </x:c>
      <x:c r="F67" s="19" t="str">
        <x:v>1</x:v>
      </x:c>
    </x:row>
    <x:row r="68" ht="93" customHeight="1">
      <x:c r="A68" s="19" t="n">
        <x:v>65</x:v>
      </x:c>
      <x:c r="B68" s="22" t="e">
        <x:f>HYPERLINK("https://cdn.shopify.com/s/files/1/0918/6066/4603/files/O1CN017bLa2Z2NGHz9PqaEa__4234819935-0-cib.jpg?v=1753430732","Open")</x:f>
        <x:v>HYPERLINK is not implemented. linkLocation=https://cdn.shopify.com/s/files/1/0918/6066/4603/files/O1CN017bLa2Z2NGHz9PqaEa__4234819935-0-cib.jpg?v=1753430732, friendlyName=Open</x:v>
      </x:c>
      <x:c r="C68" s="24" t="e">
        <x:f>HYPERLINK("https://365nails.com/products/marble-pattern-press-on-nails-fresh-summer-flower-manicure-fake-nail-short-almond-foreign-trade-hot-selling-nail-wholesale-365nails","Marble pattern press on nails fresh summer flower manicure  short almond  hot-selling nail wholesale｜365nails")</x:f>
        <x:v>HYPERLINK is not implemented. linkLocation=https://365nails.com/products/marble-pattern-press-on-nails-fresh-summer-flower-manicure-fake-nail-short-almond-foreign-trade-hot-selling-nail-wholesale-365nails, friendlyName=Marble pattern press on nails fresh summer flower manicure  short almond  hot-selling nail wholesale｜365nails</x:v>
      </x:c>
      <x:c r="D68" s="18" t="str">
        <x:v>color: JP3905</x:v>
      </x:c>
      <x:c r="E68" s="25" t="str">
        <x:v>$0.60</x:v>
      </x:c>
      <x:c r="F68" s="19" t="str">
        <x:v>1</x:v>
      </x:c>
    </x:row>
    <x:row r="69" ht="93" customHeight="1">
      <x:c r="A69" s="19" t="n">
        <x:v>66</x:v>
      </x:c>
      <x:c r="B69" s="22" t="e">
        <x:f>HYPERLINK("https://cdn.shopify.com/s/files/1/0918/6066/4603/files/O1CN012Vtrlt2NGHcr7KhC7__4234819935-0-cib.jpg?v=1753429976","Open")</x:f>
        <x:v>HYPERLINK is not implemented. linkLocation=https://cdn.shopify.com/s/files/1/0918/6066/4603/files/O1CN012Vtrlt2NGHcr7KhC7__4234819935-0-cib.jpg?v=1753429976, friendlyName=Open</x:v>
      </x:c>
      <x:c r="C69" s="24" t="e">
        <x:f>HYPERLINK("https://365nails.com/products/croxingmang-sweet-sister-press-ons-finished-fake-nail-nail-removable-nail-piece-factory-sales-365nails","Croxingmang sweet sister Press ons finished , fake nail  , nail  removable nail piece factory sales｜365nails")</x:f>
        <x:v>HYPERLINK is not implemented. linkLocation=https://365nails.com/products/croxingmang-sweet-sister-press-ons-finished-fake-nail-nail-removable-nail-piece-factory-sales-365nails, friendlyName=Croxingmang sweet sister Press ons finished , fake nail  , nail  removable nail piece factory sales｜365nails</x:v>
      </x:c>
      <x:c r="D69" s="18" t="str">
        <x:v>color: JP1389</x:v>
      </x:c>
      <x:c r="E69" s="25" t="str">
        <x:v>$1.03</x:v>
      </x:c>
      <x:c r="F69" s="19" t="str">
        <x:v>1</x:v>
      </x:c>
    </x:row>
    <x:row r="70" ht="93" customHeight="1">
      <x:c r="A70" s="19" t="n">
        <x:v>67</x:v>
      </x:c>
      <x:c r="B70" s="22" t="e">
        <x:f>HYPERLINK("https://cdn.shopify.com/s/files/1/0918/6066/4603/files/O1CN01E4yzti2NGHxHfUXqI__4234819935-0-cib.jpg?v=1753429014","Open")</x:f>
        <x:v>HYPERLINK is not implemented. linkLocation=https://cdn.shopify.com/s/files/1/0918/6066/4603/files/O1CN01E4yzti2NGHxHfUXqI__4234819935-0-cib.jpg?v=1753429014, friendlyName=Open</x:v>
      </x:c>
      <x:c r="C70" s="24" t="e">
        <x:f>HYPERLINK("https://365nails.com/products/french-white-short-square-nail-3d-daisy-ins-wind-flower-manicure-spring-and-summer-small-fresh-wear-nail-fake-nails-365nails","French white short square nail 3D daisy ins wind flower manicure spring and summer small fresh wear nail fake nails｜365nails")</x:f>
        <x:v>HYPERLINK is not implemented. linkLocation=https://365nails.com/products/french-white-short-square-nail-3d-daisy-ins-wind-flower-manicure-spring-and-summer-small-fresh-wear-nail-fake-nails-365nails, friendlyName=French white short square nail 3D daisy ins wind flower manicure spring and summer small fresh wear nail fake nails｜365nails</x:v>
      </x:c>
      <x:c r="D70" s="18" t="str">
        <x:v>color: JP3774</x:v>
      </x:c>
      <x:c r="E70" s="25" t="str">
        <x:v>$1.20</x:v>
      </x:c>
      <x:c r="F70" s="19" t="str">
        <x:v>1</x:v>
      </x:c>
    </x:row>
    <x:row r="71" ht="93" customHeight="1">
      <x:c r="A71" s="19" t="n">
        <x:v>68</x:v>
      </x:c>
      <x:c r="B71" s="22" t="e">
        <x:f>HYPERLINK("https://cdn.shopify.com/s/files/1/0918/6066/4603/files/O1CN01VKAUnn2NGHyE6kbXb__4234819935-0-cib_d728d2eb-6d77-45a2-a0c5-c98ddf54439e.jpg?v=1780901257","Open")</x:f>
        <x:v>HYPERLINK is not implemented. linkLocation=https://cdn.shopify.com/s/files/1/0918/6066/4603/files/O1CN01VKAUnn2NGHyE6kbXb__4234819935-0-cib_d728d2eb-6d77-45a2-a0c5-c98ddf54439e.jpg?v=1780901257, friendlyName=Open</x:v>
      </x:c>
      <x:c r="C71" s="24" t="e">
        <x:f>HYPERLINK("https://365nails.com/products/pink-butterfly-elegance-precision-crafted-press-on-nails","""Pink Butterfly Elegance"" - Precision Crafted Press-On Nails")</x:f>
        <x:v>HYPERLINK is not implemented. linkLocation=https://365nails.com/products/pink-butterfly-elegance-precision-crafted-press-on-nails, friendlyName="Pink Butterfly Elegance" - Precision Crafted Press-On Nails</x:v>
      </x:c>
      <x:c r="D71" s="18" t="str">
        <x:v>Color: Jl 0685</x:v>
      </x:c>
      <x:c r="E71" s="25" t="str">
        <x:v>$1.49</x:v>
      </x:c>
      <x:c r="F71" s="19" t="str">
        <x:v>1</x:v>
      </x:c>
    </x:row>
    <x:row r="72" ht="93" customHeight="1">
      <x:c r="A72" s="19" t="n">
        <x:v>69</x:v>
      </x:c>
      <x:c r="B72" s="22" t="e">
        <x:f>HYPERLINK("https://cdn.shopify.com/s/files/1/0918/6066/4603/files/O1CN01bVKJnW2NGHuKQzq4l__4234819935-0-cib.jpg?v=1753432343","Open")</x:f>
        <x:v>HYPERLINK is not implemented. linkLocation=https://cdn.shopify.com/s/files/1/0918/6066/4603/files/O1CN01bVKJnW2NGHuKQzq4l__4234819935-0-cib.jpg?v=1753432343, friendlyName=Open</x:v>
      </x:c>
      <x:c r="C72" s="24" t="e">
        <x:f>HYPERLINK("https://365nails.com/products/short-short-round-wearing-nail-pads-wholesale-color-smudge-nail-art-false-nails-galaxy-star-nail-art-nail-patch-365nails","Short Short Round Wearing Nail Pads Wholesale Color Smudge Nail Art False Nails Galaxy Star Nail Art Nail Patch｜365nails")</x:f>
        <x:v>HYPERLINK is not implemented. linkLocation=https://365nails.com/products/short-short-round-wearing-nail-pads-wholesale-color-smudge-nail-art-false-nails-galaxy-star-nail-art-nail-patch-365nails, friendlyName=Short Short Round Wearing Nail Pads Wholesale Color Smudge Nail Art False Nails Galaxy Star Nail Art Nail Patch｜365nails</x:v>
      </x:c>
      <x:c r="D72" s="18" t="str">
        <x:v>Color: JP3482</x:v>
      </x:c>
      <x:c r="E72" s="25" t="str">
        <x:v>$0.94</x:v>
      </x:c>
      <x:c r="F72" s="19" t="str">
        <x:v>1</x:v>
      </x:c>
    </x:row>
    <x:row r="73" ht="93" customHeight="1">
      <x:c r="A73" s="19" t="n">
        <x:v>70</x:v>
      </x:c>
      <x:c r="B73" s="22" t="e">
        <x:f>HYPERLINK("https://cdn.shopify.com/s/files/1/0918/6066/4603/files/O1CN01JTs6Lz2NGHmIpzGYc__4234819935-0-cib.jpg?v=1753432285","Open")</x:f>
        <x:v>HYPERLINK is not implemented. linkLocation=https://cdn.shopify.com/s/files/1/0918/6066/4603/files/O1CN01JTs6Lz2NGHmIpzGYc__4234819935-0-cib.jpg?v=1753432285, friendlyName=Open</x:v>
      </x:c>
      <x:c r="C73" s="24" t="e">
        <x:f>HYPERLINK("https://365nails.com/products/wear-nail-purple-nail-piece-wholesale-pink-gradual-change-purple-glitter-short-nail-piece-nail-piece-nail-art-finished-nail-365nails","Wear nail purple nail piece wholesale pink gradual change purple glitter short nail piece nail piece nail art finished nail｜365nails")</x:f>
        <x:v>HYPERLINK is not implemented. linkLocation=https://365nails.com/products/wear-nail-purple-nail-piece-wholesale-pink-gradual-change-purple-glitter-short-nail-piece-nail-piece-nail-art-finished-nail-365nails, friendlyName=Wear nail purple nail piece wholesale pink gradual change purple glitter short nail piece nail piece nail art finished nail｜365nails</x:v>
      </x:c>
      <x:c r="D73" s="18" t="str">
        <x:v>color: JP2577</x:v>
      </x:c>
      <x:c r="E73" s="25" t="str">
        <x:v>$0.94</x:v>
      </x:c>
      <x:c r="F73" s="19" t="str">
        <x:v>1</x:v>
      </x:c>
    </x:row>
    <x:row r="74" ht="93" customHeight="1">
      <x:c r="A74" s="19" t="n">
        <x:v>71</x:v>
      </x:c>
      <x:c r="B74" s="22" t="e">
        <x:f>HYPERLINK("https://cdn.shopify.com/s/files/1/0918/6066/4603/files/O1CN01e038422NGHyytEvkO__4234819935-0-cib.jpg?v=1753430677","Open")</x:f>
        <x:v>HYPERLINK is not implemented. linkLocation=https://cdn.shopify.com/s/files/1/0918/6066/4603/files/O1CN01e038422NGHyytEvkO__4234819935-0-cib.jpg?v=1753430677, friendlyName=Open</x:v>
      </x:c>
      <x:c r="C74" s="24" t="e">
        <x:f>HYPERLINK("https://365nails.com/products/3d-fresh-flower-manicure-medium-and-long-white-gradual-change-press-on-nails-fake-nail-square-press-on-nails-wholesale-365nails","3D fresh flower manicure medium and long white gradual change press on nails fake nail square press on nails wholesale｜365nails")</x:f>
        <x:v>HYPERLINK is not implemented. linkLocation=https://365nails.com/products/3d-fresh-flower-manicure-medium-and-long-white-gradual-change-press-on-nails-fake-nail-square-press-on-nails-wholesale-365nails, friendlyName=3D fresh flower manicure medium and long white gradual change press on nails fake nail square press on nails wholesale｜365nails</x:v>
      </x:c>
      <x:c r="D74" s="18" t="str">
        <x:v>color: JP3945</x:v>
      </x:c>
      <x:c r="E74" s="25" t="str">
        <x:v>$0.60</x:v>
      </x:c>
      <x:c r="F74" s="19" t="str">
        <x:v>1</x:v>
      </x:c>
    </x:row>
    <x:row r="75" ht="93" customHeight="1">
      <x:c r="A75" s="19" t="n">
        <x:v>72</x:v>
      </x:c>
      <x:c r="B75" s="22" t="e">
        <x:f>HYPERLINK("https://cdn.shopify.com/s/files/1/0918/6066/4603/files/O1CN01oO2FI62NGI02eXW3G__4234819935-0-cib.jpg?v=1758610252","Open")</x:f>
        <x:v>HYPERLINK is not implemented. linkLocation=https://cdn.shopify.com/s/files/1/0918/6066/4603/files/O1CN01oO2FI62NGI02eXW3G__4234819935-0-cib.jpg?v=1758610252, friendlyName=Open</x:v>
      </x:c>
      <x:c r="C75" s="24" t="e">
        <x:f>HYPERLINK("https://365nails.com/products/simple-and-fresh-french-short-square-nail-art-nail-piece-wear-nail-removable","Simple and fresh French white short square press-on nails")</x:f>
        <x:v>HYPERLINK is not implemented. linkLocation=https://365nails.com/products/simple-and-fresh-french-short-square-nail-art-nail-piece-wear-nail-removable, friendlyName=Simple and fresh French white short square press-on nails</x:v>
      </x:c>
      <x:c r="D75" s="18" t="str">
        <x:v>color: JP3955</x:v>
      </x:c>
      <x:c r="E75" s="25" t="str">
        <x:v>$0.77</x:v>
      </x:c>
      <x:c r="F75" s="19" t="str">
        <x:v>1</x:v>
      </x:c>
    </x:row>
    <x:row r="76" ht="93" customHeight="1">
      <x:c r="A76" s="19" t="n">
        <x:v>73</x:v>
      </x:c>
      <x:c r="B76" s="22" t="e">
        <x:f>HYPERLINK("https://cdn.shopify.com/s/files/1/0918/6066/4603/files/O1CN01mzV3vv2NGI01dkfOQ__4234819935-0-cib.jpg?v=1758610014","Open")</x:f>
        <x:v>HYPERLINK is not implemented. linkLocation=https://cdn.shopify.com/s/files/1/0918/6066/4603/files/O1CN01mzV3vv2NGI01dkfOQ__4234819935-0-cib.jpg?v=1758610014, friendlyName=Open</x:v>
      </x:c>
      <x:c r="C76" s="24" t="e">
        <x:f>HYPERLINK("https://365nails.com/products/gradual-change-wearing-nail-french-white-simple-manicure-almond-shaped-fake-nails","Gradually change French white simple almonds press-on nails")</x:f>
        <x:v>HYPERLINK is not implemented. linkLocation=https://365nails.com/products/gradual-change-wearing-nail-french-white-simple-manicure-almond-shaped-fake-nails, friendlyName=Gradually change French white simple almonds press-on nails</x:v>
      </x:c>
      <x:c r="D76" s="18" t="str">
        <x:v>Color: JP4083</x:v>
      </x:c>
      <x:c r="E76" s="25" t="str">
        <x:v>$0.68</x:v>
      </x:c>
      <x:c r="F76" s="19" t="str">
        <x:v>1</x:v>
      </x:c>
    </x:row>
    <x:row r="77" ht="93" customHeight="1">
      <x:c r="A77" s="19" t="n">
        <x:v>74</x:v>
      </x:c>
      <x:c r="B77" s="22" t="e">
        <x:f>HYPERLINK("https://cdn.shopify.com/s/files/1/0918/6066/4603/files/O1CN01143ipv2NGHxS6uF69__4234819935-0-cib.jpg?v=1753431848","Open")</x:f>
        <x:v>HYPERLINK is not implemented. linkLocation=https://cdn.shopify.com/s/files/1/0918/6066/4603/files/O1CN01143ipv2NGHxS6uF69__4234819935-0-cib.jpg?v=1753431848, friendlyName=Open</x:v>
      </x:c>
      <x:c r="C77" s="24" t="e">
        <x:f>HYPERLINK("https://365nails.com/products/spring-and-summer-new-products-flower-love-wearing-nail-french-white-manicure-medium-and-short-square-nail-fake-nail-hot-selling-nail-pieces-in-europe-and-america-365nails","Spring and summer new products, flower love wearing nail French white manicure, medium and short square nail fake nail, hot-selling nail pieces in Europe and America｜365nails")</x:f>
        <x:v>HYPERLINK is not implemented. linkLocation=https://365nails.com/products/spring-and-summer-new-products-flower-love-wearing-nail-french-white-manicure-medium-and-short-square-nail-fake-nail-hot-selling-nail-pieces-in-europe-and-america-365nails, friendlyName=Spring and summer new products, flower love wearing nail French white manicure, medium and short square nail fake nail, hot-selling nail pieces in Europe and America｜365nails</x:v>
      </x:c>
      <x:c r="D77" s="18" t="str">
        <x:v>color: JP3772</x:v>
      </x:c>
      <x:c r="E77" s="25" t="str">
        <x:v>$0.50</x:v>
      </x:c>
      <x:c r="F77" s="19" t="str">
        <x:v>1</x:v>
      </x:c>
    </x:row>
    <x:row r="78" ht="93" customHeight="1">
      <x:c r="A78" s="19" t="n">
        <x:v>75</x:v>
      </x:c>
      <x:c r="B78" s="22" t="e">
        <x:f>HYPERLINK("https://cdn.shopify.com/s/files/1/0918/6066/4603/files/O1CN01ecd7oW2NGHzboJavn__4234819935-0-cib.jpg?v=1758610223","Open")</x:f>
        <x:v>HYPERLINK is not implemented. linkLocation=https://cdn.shopify.com/s/files/1/0918/6066/4603/files/O1CN01ecd7oW2NGHzboJavn__4234819935-0-cib.jpg?v=1758610223, friendlyName=Open</x:v>
      </x:c>
      <x:c r="C78" s="24" t="e">
        <x:f>HYPERLINK("https://365nails.com/products/3d-water-drop-blue-cat-eye-wearing-nail-piece-french-short-almond-nail-art-fake-nail","3D Water Drop Blue Cat's Eye French Short Almond press-on nails")</x:f>
        <x:v>HYPERLINK is not implemented. linkLocation=https://365nails.com/products/3d-water-drop-blue-cat-eye-wearing-nail-piece-french-short-almond-nail-art-fake-nail, friendlyName=3D Water Drop Blue Cat's Eye French Short Almond press-on nails</x:v>
      </x:c>
      <x:c r="D78" s="18" t="str">
        <x:v>color: JP3904</x:v>
      </x:c>
      <x:c r="E78" s="25" t="str">
        <x:v>$1.30</x:v>
      </x:c>
      <x:c r="F78" s="19" t="str">
        <x:v>1</x:v>
      </x:c>
    </x:row>
    <x:row r="79" ht="93" customHeight="1">
      <x:c r="A79" s="19" t="n">
        <x:v>76</x:v>
      </x:c>
      <x:c r="B79" s="22" t="e">
        <x:f>HYPERLINK("https://cdn.shopify.com/s/files/1/0918/6066/4603/files/O1CN01EucdUV2NGHkT3wJC4__4234819935-0-cib.jpg?v=1753433262","Open")</x:f>
        <x:v>HYPERLINK is not implemented. linkLocation=https://cdn.shopify.com/s/files/1/0918/6066/4603/files/O1CN01EucdUV2NGHkT3wJC4__4234819935-0-cib.jpg?v=1753433262, friendlyName=Open</x:v>
      </x:c>
      <x:c r="C79" s="24" t="e">
        <x:f>HYPERLINK("https://365nails.com/products/wearable-nail-stickers-rainbow-stars-white-clouds-multi-colored-flowers-wearable-nail-pads-press-on-nails-365nails","Rainbow stars White clouds Multi-colored flowers")</x:f>
        <x:v>HYPERLINK is not implemented. linkLocation=https://365nails.com/products/wearable-nail-stickers-rainbow-stars-white-clouds-multi-colored-flowers-wearable-nail-pads-press-on-nails-365nails, friendlyName=Rainbow stars White clouds Multi-colored flowers</x:v>
      </x:c>
      <x:c r="D79" s="18" t="str">
        <x:v>color: JP2385</x:v>
      </x:c>
      <x:c r="E79" s="25" t="str">
        <x:v>$1.03</x:v>
      </x:c>
      <x:c r="F79" s="19" t="str">
        <x:v>1</x:v>
      </x:c>
    </x:row>
    <x:row r="80" ht="93" customHeight="1">
      <x:c r="A80" s="19" t="n">
        <x:v>77</x:v>
      </x:c>
      <x:c r="B80" s="22" t="e">
        <x:f>HYPERLINK("https://cdn.shopify.com/s/files/1/0918/6066/4603/files/O1CN01HihwYN2NGHgiUdF0P__4234819935-0-cib.jpg?v=1753433196","Open")</x:f>
        <x:v>HYPERLINK is not implemented. linkLocation=https://cdn.shopify.com/s/files/1/0918/6066/4603/files/O1CN01HihwYN2NGHgiUdF0P__4234819935-0-cib.jpg?v=1753433196, friendlyName=Open</x:v>
      </x:c>
      <x:c r="C80" s="24" t="e">
        <x:f>HYPERLINK("https://365nails.com/products/wear-nail-pads-wear-nail-pads-french-blue-and-white-contrasting-color-wave-nail-pads-wear-nail-pads-short-wear-nail-pads-wholesale-365nails","Wear nail pads Wear nail pads, French blue and white contrasting color wave nail pads Wear nail pads Short wear nail pads Wholesale｜365nails")</x:f>
        <x:v>HYPERLINK is not implemented. linkLocation=https://365nails.com/products/wear-nail-pads-wear-nail-pads-french-blue-and-white-contrasting-color-wave-nail-pads-wear-nail-pads-short-wear-nail-pads-wholesale-365nails, friendlyName=Wear nail pads Wear nail pads, French blue and white contrasting color wave nail pads Wear nail pads Short wear nail pads Wholesale｜365nails</x:v>
      </x:c>
      <x:c r="D80" s="18" t="str">
        <x:v>color: JP1854</x:v>
      </x:c>
      <x:c r="E80" s="25" t="str">
        <x:v>$0.70</x:v>
      </x:c>
      <x:c r="F80" s="19" t="str">
        <x:v>1</x:v>
      </x:c>
    </x:row>
    <x:row r="81" ht="93" customHeight="1">
      <x:c r="A81" s="19" t="n">
        <x:v>78</x:v>
      </x:c>
      <x:c r="B81" s="22" t="e">
        <x:f>HYPERLINK("https://cdn.shopify.com/s/files/1/0918/6066/4603/files/O1CN01KeYPrz2NGHlcmeRMN__4234819935-0-cib.jpg?v=1753431715","Open")</x:f>
        <x:v>HYPERLINK is not implemented. linkLocation=https://cdn.shopify.com/s/files/1/0918/6066/4603/files/O1CN01KeYPrz2NGHlcmeRMN__4234819935-0-cib.jpg?v=1753431715, friendlyName=Open</x:v>
      </x:c>
      <x:c r="C81" s="24" t="e">
        <x:f>HYPERLINK("https://365nails.com/products/wearing-armor-wholesale-white-french-flower-black-leaf-short-manicure-wearing-nail-piece-press-on-nail-365nails","Wearing armor wholesale white French flower black leaf short manicure  press on nail｜365nails")</x:f>
        <x:v>HYPERLINK is not implemented. linkLocation=https://365nails.com/products/wearing-armor-wholesale-white-french-flower-black-leaf-short-manicure-wearing-nail-piece-press-on-nail-365nails, friendlyName=Wearing armor wholesale white French flower black leaf short manicure  press on nail｜365nails</x:v>
      </x:c>
      <x:c r="D81" s="18" t="str">
        <x:v>color: JP2580</x:v>
      </x:c>
      <x:c r="E81" s="25" t="str">
        <x:v>$0.70</x:v>
      </x:c>
      <x:c r="F81" s="19" t="str">
        <x:v>1</x:v>
      </x:c>
    </x:row>
    <x:row r="82" ht="93" customHeight="1">
      <x:c r="A82" s="19" t="n">
        <x:v>79</x:v>
      </x:c>
      <x:c r="B82" s="22" t="e">
        <x:f>HYPERLINK("https://cdn.shopify.com/s/files/1/0918/6066/4603/files/O1CN01fKOi9D2NGHkgq6QM6__4234819935-0-cib.jpg?v=1753430373","Open")</x:f>
        <x:v>HYPERLINK is not implemented. linkLocation=https://cdn.shopify.com/s/files/1/0918/6066/4603/files/O1CN01fKOi9D2NGHkgq6QM6__4234819935-0-cib.jpg?v=1753430373, friendlyName=Open</x:v>
      </x:c>
      <x:c r="C82" s="24" t="e">
        <x:f>HYPERLINK("https://365nails.com/products/press-on-nails-short-white-french-nails-piece-finished-multi-colored-flower-gold-glitter-nails-art-press-on-nails-365nails","Press on nails short white French nails piece finished multi-colored flower gold glitter nails art press on nails｜365nails")</x:f>
        <x:v>HYPERLINK is not implemented. linkLocation=https://365nails.com/products/press-on-nails-short-white-french-nails-piece-finished-multi-colored-flower-gold-glitter-nails-art-press-on-nails-365nails, friendlyName=Press on nails short white French nails piece finished multi-colored flower gold glitter nails art press on nails｜365nails</x:v>
      </x:c>
      <x:c r="D82" s="18" t="str">
        <x:v>color: JP2556</x:v>
      </x:c>
      <x:c r="E82" s="25" t="str">
        <x:v>$1.11</x:v>
      </x:c>
      <x:c r="F82" s="19" t="str">
        <x:v>1</x:v>
      </x:c>
    </x:row>
    <x:row r="83" ht="93" customHeight="1">
      <x:c r="A83" s="19" t="n">
        <x:v>80</x:v>
      </x:c>
      <x:c r="B83" s="22" t="e">
        <x:f>HYPERLINK("https://cdn.shopify.com/s/files/1/0918/6066/4603/files/O1CN01k8YB4w2NGHurINMR5__4234819935-0-cib.jpg?v=1753429113","Open")</x:f>
        <x:v>HYPERLINK is not implemented. linkLocation=https://cdn.shopify.com/s/files/1/0918/6066/4603/files/O1CN01k8YB4w2NGHurINMR5__4234819935-0-cib.jpg?v=1753429113, friendlyName=Open</x:v>
      </x:c>
      <x:c r="C83" s="24" t="e">
        <x:f>HYPERLINK("https://365nails.com/products/classic-black-solid-color-manicure-fake-nails-press-on-nails-cross-border-hot-selling-short-term-wearing-nail-wholesale-365nails","Classic black solid color manicure fake nails press on nails  hot-selling short-term wearing nail wholesale｜365nails")</x:f>
        <x:v>HYPERLINK is not implemented. linkLocation=https://365nails.com/products/classic-black-solid-color-manicure-fake-nails-press-on-nails-cross-border-hot-selling-short-term-wearing-nail-wholesale-365nails, friendlyName=Classic black solid color manicure fake nails press on nails  hot-selling short-term wearing nail wholesale｜365nails</x:v>
      </x:c>
      <x:c r="D83" s="18" t="str">
        <x:v>color: JP3154</x:v>
      </x:c>
      <x:c r="E83" s="25" t="str">
        <x:v>$0.60</x:v>
      </x:c>
      <x:c r="F83" s="19" t="str">
        <x:v>1</x:v>
      </x:c>
    </x:row>
    <x:row r="84" ht="93" customHeight="1">
      <x:c r="A84" s="19" t="n">
        <x:v>81</x:v>
      </x:c>
      <x:c r="B84" s="22" t="e">
        <x:f>HYPERLINK("https://cdn.shopify.com/s/files/1/0918/6066/4603/files/O1CN01AJ84aF2NGHz9c6God__4234819935-0-cib.jpg?v=1758609926","Open")</x:f>
        <x:v>HYPERLINK is not implemented. linkLocation=https://cdn.shopify.com/s/files/1/0918/6066/4603/files/O1CN01AJ84aF2NGHz9c6God__4234819935-0-cib.jpg?v=1758609926, friendlyName=Open</x:v>
      </x:c>
      <x:c r="C84" s="24" t="e">
        <x:f>HYPERLINK("https://365nails.com/products/coating-flash-wearing-nail-nude-solid-color-manicure-fake-nail-short-almond-nail-finger","Coated flash nude solid color short almond press-on nails")</x:f>
        <x:v>HYPERLINK is not implemented. linkLocation=https://365nails.com/products/coating-flash-wearing-nail-nude-solid-color-manicure-fake-nail-short-almond-nail-finger, friendlyName=Coated flash nude solid color short almond press-on nails</x:v>
      </x:c>
      <x:c r="D84" s="18" t="str">
        <x:v>color: JP4024</x:v>
      </x:c>
      <x:c r="E84" s="25" t="str">
        <x:v>$1.05</x:v>
      </x:c>
      <x:c r="F84" s="19" t="str">
        <x:v>1</x:v>
      </x:c>
    </x:row>
    <x:row r="85" ht="93" customHeight="1">
      <x:c r="A85" s="19" t="n">
        <x:v>82</x:v>
      </x:c>
      <x:c r="B85" s="22" t="e">
        <x:f>HYPERLINK("https://cdn.shopify.com/s/files/1/0918/6066/4603/files/15296348510_2037667256.jpg?v=1753431977","Open")</x:f>
        <x:v>HYPERLINK is not implemented. linkLocation=https://cdn.shopify.com/s/files/1/0918/6066/4603/files/15296348510_2037667256.jpg?v=1753431977, friendlyName=Open</x:v>
      </x:c>
      <x:c r="C85" s="24" t="e">
        <x:f>HYPERLINK("https://365nails.com/products/solid-color-matte-glaze-blue-white-nail-patch-fake-nail-wearing-nail-finished-nail-patch-waterproof-and-removable-365nails","Solid color matte glaze blue white nail patch fake nail press on nails finished nail patch waterproof and removable｜365nails")</x:f>
        <x:v>HYPERLINK is not implemented. linkLocation=https://365nails.com/products/solid-color-matte-glaze-blue-white-nail-patch-fake-nail-wearing-nail-finished-nail-patch-waterproof-and-removable-365nails, friendlyName=Solid color matte glaze blue white nail patch fake nail press on nails finished nail patch waterproof and removable｜365nails</x:v>
      </x:c>
      <x:c r="D85" s="18" t="str">
        <x:v>Color: JP767</x:v>
      </x:c>
      <x:c r="E85" s="25" t="str">
        <x:v>$0.83</x:v>
      </x:c>
      <x:c r="F85" s="19" t="str">
        <x:v>1</x:v>
      </x:c>
    </x:row>
    <x:row r="86" ht="93" customHeight="1">
      <x:c r="A86" s="19" t="n">
        <x:v>83</x:v>
      </x:c>
      <x:c r="B86" s="22" t="e">
        <x:f>HYPERLINK("https://cdn.shopify.com/s/files/1/0918/6066/4603/files/O1CN01MQCJZj2NGHxJPvTQP__4234819935-0-cib.jpg?v=1753428930","Open")</x:f>
        <x:v>HYPERLINK is not implemented. linkLocation=https://cdn.shopify.com/s/files/1/0918/6066/4603/files/O1CN01MQCJZj2NGHxJPvTQP__4234819935-0-cib.jpg?v=1753428930, friendlyName=Open</x:v>
      </x:c>
      <x:c r="C86" s="24" t="e">
        <x:f>HYPERLINK("https://365nails.com/products/cross-border-hot-selling-spring-and-summer-new-products-ins-wind-wearing-nail-pads-sweet-floral-fake-nails-short-square-nail-pads-wholesale-365nails","hot-selling spring and summer new products ins wind press-on nails pads sweet floral fake nails short square nail pads wholesale｜365nails")</x:f>
        <x:v>HYPERLINK is not implemented. linkLocation=https://365nails.com/products/cross-border-hot-selling-spring-and-summer-new-products-ins-wind-wearing-nail-pads-sweet-floral-fake-nails-short-square-nail-pads-wholesale-365nails, friendlyName=hot-selling spring and summer new products ins wind press-on nails pads sweet floral fake nails short square nail pads wholesale｜365nails</x:v>
      </x:c>
      <x:c r="D86" s="18" t="str">
        <x:v>color: JP3758</x:v>
      </x:c>
      <x:c r="E86" s="25" t="str">
        <x:v>$0.94</x:v>
      </x:c>
      <x:c r="F86" s="19" t="str">
        <x:v>1</x:v>
      </x:c>
    </x:row>
    <x:row r="87" ht="93" customHeight="1">
      <x:c r="A87" s="19" t="n">
        <x:v>84</x:v>
      </x:c>
      <x:c r="B87" s="22" t="e">
        <x:f>HYPERLINK("https://cdn.shopify.com/s/files/1/0918/6066/4603/files/c46d100779e4edf1102862840d029935.jpg?v=1773803183","Open")</x:f>
        <x:v>HYPERLINK is not implemented. linkLocation=https://cdn.shopify.com/s/files/1/0918/6066/4603/files/c46d100779e4edf1102862840d029935.jpg?v=1773803183, friendlyName=Open</x:v>
      </x:c>
      <x:c r="C87" s="24" t="e">
        <x:f>HYPERLINK("https://365nails.com/products/365nails-moonlight-white-shattered-glitter-handmade-press-on-pedicure","365nails: ""moonlight white shattered glitter"" – handmade press-on pedicure")</x:f>
        <x:v>HYPERLINK is not implemented. linkLocation=https://365nails.com/products/365nails-moonlight-white-shattered-glitter-handmade-press-on-pedicure, friendlyName=365nails: "moonlight white shattered glitter" – handmade press-on pedicure</x:v>
      </x:c>
      <x:c r="D87" s="18" t="str">
        <x:v>Size: S / M / L</x:v>
      </x:c>
      <x:c r="E87" s="25" t="str">
        <x:v>$2.49</x:v>
      </x:c>
      <x:c r="F87" s="19" t="str">
        <x:v>3</x:v>
      </x:c>
    </x:row>
    <x:row r="88" ht="93" customHeight="1">
      <x:c r="A88" s="19" t="n">
        <x:v>85</x:v>
      </x:c>
      <x:c r="B88" s="22" t="e">
        <x:f>HYPERLINK("https://cdn.shopify.com/s/files/1/0918/6066/4603/files/e602d12342d4a3c2a2d1e2b6070796ce.jpg?v=1773803299","Open")</x:f>
        <x:v>HYPERLINK is not implemented. linkLocation=https://cdn.shopify.com/s/files/1/0918/6066/4603/files/e602d12342d4a3c2a2d1e2b6070796ce.jpg?v=1773803299, friendlyName=Open</x:v>
      </x:c>
      <x:c r="C88" s="24" t="e">
        <x:f>HYPERLINK("https://365nails.com/products/365nails-barbie-pink-shimmer-handmade-press-on-pedicure","365nails: ""Barbie Pink shimmer"" – handmade press-on pedicure")</x:f>
        <x:v>HYPERLINK is not implemented. linkLocation=https://365nails.com/products/365nails-barbie-pink-shimmer-handmade-press-on-pedicure, friendlyName=365nails: "Barbie Pink shimmer" – handmade press-on pedicure</x:v>
      </x:c>
      <x:c r="D88" s="18" t="str">
        <x:v>Size: S / M / L</x:v>
      </x:c>
      <x:c r="E88" s="25" t="str">
        <x:v>$1.99</x:v>
      </x:c>
      <x:c r="F88" s="19" t="str">
        <x:v>3</x:v>
      </x:c>
    </x:row>
    <x:row r="89" ht="93" customHeight="1">
      <x:c r="A89" s="19" t="n">
        <x:v>86</x:v>
      </x:c>
      <x:c r="B89" s="22" t="e">
        <x:f>HYPERLINK("https://cdn.shopify.com/s/files/1/0918/6066/4603/files/a91c770767cb4faf105b377a5c843f83.jpg?v=1773803486","Open")</x:f>
        <x:v>HYPERLINK is not implemented. linkLocation=https://cdn.shopify.com/s/files/1/0918/6066/4603/files/a91c770767cb4faf105b377a5c843f83.jpg?v=1773803486, friendlyName=Open</x:v>
      </x:c>
      <x:c r="C89" s="24" t="e">
        <x:f>HYPERLINK("https://365nails.com/products/365nails-rose-gold-fine-shimmer-handmade-press-on-pedicure","365nails: ""rose gold fine shimmer"" – handmade press-on pedicure")</x:f>
        <x:v>HYPERLINK is not implemented. linkLocation=https://365nails.com/products/365nails-rose-gold-fine-shimmer-handmade-press-on-pedicure, friendlyName=365nails: "rose gold fine shimmer" – handmade press-on pedicure</x:v>
      </x:c>
      <x:c r="D89" s="18" t="str">
        <x:v>Size: S / M / L</x:v>
      </x:c>
      <x:c r="E89" s="25" t="str">
        <x:v>$1.99</x:v>
      </x:c>
      <x:c r="F89" s="19" t="str">
        <x:v>3</x:v>
      </x:c>
    </x:row>
    <x:row r="90" ht="93" customHeight="1">
      <x:c r="A90" s="19" t="n">
        <x:v>87</x:v>
      </x:c>
      <x:c r="B90" s="22" t="e">
        <x:f>HYPERLINK("https://cdn.shopify.com/s/files/1/0918/6066/4603/files/170b0e87e52f733df3d665af4d2ff96f.jpg?v=1773803632","Open")</x:f>
        <x:v>HYPERLINK is not implemented. linkLocation=https://cdn.shopify.com/s/files/1/0918/6066/4603/files/170b0e87e52f733df3d665af4d2ff96f.jpg?v=1773803632, friendlyName=Open</x:v>
      </x:c>
      <x:c r="C90" s="24" t="e">
        <x:f>HYPERLINK("https://365nails.com/products/365nails-wine-red-gold-glitter-handmade-press-on-pedicure","365nails: ""wine red &amp; gold glitter"" – handmade press-on pedicure")</x:f>
        <x:v>HYPERLINK is not implemented. linkLocation=https://365nails.com/products/365nails-wine-red-gold-glitter-handmade-press-on-pedicure, friendlyName=365nails: "wine red &amp; gold glitter" – handmade press-on pedicure</x:v>
      </x:c>
      <x:c r="D90" s="18" t="str">
        <x:v>Size: S / M / L</x:v>
      </x:c>
      <x:c r="E90" s="25" t="str">
        <x:v>$2.49</x:v>
      </x:c>
      <x:c r="F90" s="19" t="str">
        <x:v>3</x:v>
      </x:c>
    </x:row>
    <x:row r="91" ht="93" customHeight="1">
      <x:c r="A91" s="19" t="n">
        <x:v>88</x:v>
      </x:c>
      <x:c r="B91" s="22" t="e">
        <x:f>HYPERLINK("https://cdn.shopify.com/s/files/1/0918/6066/4603/files/7b3e0c3c71aa32cd48c77b42768922da.jpg?v=1773803768","Open")</x:f>
        <x:v>HYPERLINK is not implemented. linkLocation=https://cdn.shopify.com/s/files/1/0918/6066/4603/files/7b3e0c3c71aa32cd48c77b42768922da.jpg?v=1773803768, friendlyName=Open</x:v>
      </x:c>
      <x:c r="C91" s="24" t="e">
        <x:f>HYPERLINK("https://365nails.com/products/365nails-smoky-purple-cat-eye-handmade-press-on-pedicure","365nails: ""smoky purple cat-eye"" – handmade press-on pedicure")</x:f>
        <x:v>HYPERLINK is not implemented. linkLocation=https://365nails.com/products/365nails-smoky-purple-cat-eye-handmade-press-on-pedicure, friendlyName=365nails: "smoky purple cat-eye" – handmade press-on pedicure</x:v>
      </x:c>
      <x:c r="D91" s="18" t="str">
        <x:v>Size: S / M / L</x:v>
      </x:c>
      <x:c r="E91" s="25" t="str">
        <x:v>$2.99</x:v>
      </x:c>
      <x:c r="F91" s="19" t="str">
        <x:v>3</x:v>
      </x:c>
    </x:row>
    <x:row r="92" ht="93" customHeight="1">
      <x:c r="A92" s="19" t="n">
        <x:v>89</x:v>
      </x:c>
      <x:c r="B92" s="22" t="e">
        <x:f>HYPERLINK("https://cdn.shopify.com/s/files/1/0918/6066/4603/files/1554ebc6a8d24f8de3ef42f412401251.jpg?v=1773803892","Open")</x:f>
        <x:v>HYPERLINK is not implemented. linkLocation=https://cdn.shopify.com/s/files/1/0918/6066/4603/files/1554ebc6a8d24f8de3ef42f412401251.jpg?v=1773803892, friendlyName=Open</x:v>
      </x:c>
      <x:c r="C92" s="24" t="e">
        <x:f>HYPERLINK("https://365nails.com/products/365nails-watery-pearl-shell-shimmer-handmade-press-on-pedicure","365nails: ""watery pearl shell shimmer"" – handmade press-on pedicure")</x:f>
        <x:v>HYPERLINK is not implemented. linkLocation=https://365nails.com/products/365nails-watery-pearl-shell-shimmer-handmade-press-on-pedicure, friendlyName=365nails: "watery pearl shell shimmer" – handmade press-on pedicure</x:v>
      </x:c>
      <x:c r="D92" s="18" t="str">
        <x:v>Size: S / M / L</x:v>
      </x:c>
      <x:c r="E92" s="25" t="str">
        <x:v>$2.99</x:v>
      </x:c>
      <x:c r="F92" s="19" t="str">
        <x:v>3</x:v>
      </x:c>
    </x:row>
    <x:row r="93" ht="93" customHeight="1">
      <x:c r="A93" s="19" t="n">
        <x:v>90</x:v>
      </x:c>
      <x:c r="B93" s="22" t="e">
        <x:f>HYPERLINK("https://cdn.shopify.com/s/files/1/0918/6066/4603/files/55091852ec37fbbad39051d0c544c131.jpg?v=1773804169","Open")</x:f>
        <x:v>HYPERLINK is not implemented. linkLocation=https://cdn.shopify.com/s/files/1/0918/6066/4603/files/55091852ec37fbbad39051d0c544c131.jpg?v=1773804169, friendlyName=Open</x:v>
      </x:c>
      <x:c r="C93" s="24" t="e">
        <x:f>HYPERLINK("https://365nails.com/products/365nails-galaxy-black-cat-eye-handmade-press-on-pedicure","365nails: ""galaxy black cat-eye"" – handmade press-on pedicure")</x:f>
        <x:v>HYPERLINK is not implemented. linkLocation=https://365nails.com/products/365nails-galaxy-black-cat-eye-handmade-press-on-pedicure, friendlyName=365nails: "galaxy black cat-eye" – handmade press-on pedicure</x:v>
      </x:c>
      <x:c r="D93" s="18" t="str">
        <x:v>Size: S / M / L</x:v>
      </x:c>
      <x:c r="E93" s="25" t="str">
        <x:v>$2.49</x:v>
      </x:c>
      <x:c r="F93" s="19" t="str">
        <x:v>3</x:v>
      </x:c>
    </x:row>
    <x:row r="94" ht="93" customHeight="1">
      <x:c r="A94" s="19" t="n">
        <x:v>91</x:v>
      </x:c>
      <x:c r="B94" s="22" t="e">
        <x:f>HYPERLINK("https://cdn.shopify.com/s/files/1/0918/6066/4603/files/f67e819c7a7c08a91700d55b46e7feb4.jpg?v=1773804289","Open")</x:f>
        <x:v>HYPERLINK is not implemented. linkLocation=https://cdn.shopify.com/s/files/1/0918/6066/4603/files/f67e819c7a7c08a91700d55b46e7feb4.jpg?v=1773804289, friendlyName=Open</x:v>
      </x:c>
      <x:c r="C94" s="24" t="e">
        <x:f>HYPERLINK("https://365nails.com/products/365nails-watery-blue-butterfly-dance-handmade-press-on-pedicure","365nails: ""watery blue &amp; butterfly dance"" – handmade press-on pedicure")</x:f>
        <x:v>HYPERLINK is not implemented. linkLocation=https://365nails.com/products/365nails-watery-blue-butterfly-dance-handmade-press-on-pedicure, friendlyName=365nails: "watery blue &amp; butterfly dance" – handmade press-on pedicure</x:v>
      </x:c>
      <x:c r="D94" s="18" t="str">
        <x:v>Size: S / M / L</x:v>
      </x:c>
      <x:c r="E94" s="25" t="str">
        <x:v>$2.49</x:v>
      </x:c>
      <x:c r="F94" s="19" t="str">
        <x:v>3</x:v>
      </x:c>
    </x:row>
    <x:row r="95" ht="93" customHeight="1">
      <x:c r="A95" s="19" t="n">
        <x:v>92</x:v>
      </x:c>
      <x:c r="B95" s="22" t="e">
        <x:f>HYPERLINK("https://cdn.shopify.com/s/files/1/0918/6066/4603/files/0a6a165cc66f90a636cb0101e4afcae4.jpg?v=1773804431","Open")</x:f>
        <x:v>HYPERLINK is not implemented. linkLocation=https://cdn.shopify.com/s/files/1/0918/6066/4603/files/0a6a165cc66f90a636cb0101e4afcae4.jpg?v=1773804431, friendlyName=Open</x:v>
      </x:c>
      <x:c r="C95" s="24" t="e">
        <x:f>HYPERLINK("https://365nails.com/products/365nails-peach-pink-butterfly-dance-handmade-press-on-pedicure","365nails: ""peach pink &amp; butterfly dance"" – handmade press-on pedicure")</x:f>
        <x:v>HYPERLINK is not implemented. linkLocation=https://365nails.com/products/365nails-peach-pink-butterfly-dance-handmade-press-on-pedicure, friendlyName=365nails: "peach pink &amp; butterfly dance" – handmade press-on pedicure</x:v>
      </x:c>
      <x:c r="D95" s="18" t="str">
        <x:v>Size: S / M / L</x:v>
      </x:c>
      <x:c r="E95" s="25" t="str">
        <x:v>$2.49</x:v>
      </x:c>
      <x:c r="F95" s="19" t="str">
        <x:v>3</x:v>
      </x:c>
    </x:row>
    <x:row r="96" ht="93" customHeight="1">
      <x:c r="A96" s="19" t="n">
        <x:v>93</x:v>
      </x:c>
      <x:c r="B96" s="22" t="e">
        <x:f>HYPERLINK("https://cdn.shopify.com/s/files/1/0918/6066/4603/files/aaeff65ef2d42c1861555328d7fa437b.jpg?v=1773804619","Open")</x:f>
        <x:v>HYPERLINK is not implemented. linkLocation=https://cdn.shopify.com/s/files/1/0918/6066/4603/files/aaeff65ef2d42c1861555328d7fa437b.jpg?v=1773804619, friendlyName=Open</x:v>
      </x:c>
      <x:c r="C96" s="24" t="e">
        <x:f>HYPERLINK("https://365nails.com/products/365nails-black-and-white-leopard-print-wild-handmade-press-on-pedicure","365nails: ""black and white leopard print wild"" – handmade press-on pedicure")</x:f>
        <x:v>HYPERLINK is not implemented. linkLocation=https://365nails.com/products/365nails-black-and-white-leopard-print-wild-handmade-press-on-pedicure, friendlyName=365nails: "black and white leopard print wild" – handmade press-on pedicure</x:v>
      </x:c>
      <x:c r="D96" s="18" t="str">
        <x:v>Size: S / M / L</x:v>
      </x:c>
      <x:c r="E96" s="25" t="str">
        <x:v>$2.49</x:v>
      </x:c>
      <x:c r="F96" s="19" t="str">
        <x:v>3</x:v>
      </x:c>
    </x:row>
    <x:row r="97" ht="93" customHeight="1">
      <x:c r="A97" s="19" t="n">
        <x:v>94</x:v>
      </x:c>
      <x:c r="B97" s="22" t="e">
        <x:f>HYPERLINK("https://cdn.shopify.com/s/files/1/0918/6066/4603/files/428cae667e3f24a6a93a82803aa02525.jpg?v=1773804754","Open")</x:f>
        <x:v>HYPERLINK is not implemented. linkLocation=https://cdn.shopify.com/s/files/1/0918/6066/4603/files/428cae667e3f24a6a93a82803aa02525.jpg?v=1773804754, friendlyName=Open</x:v>
      </x:c>
      <x:c r="C97" s="24" t="e">
        <x:f>HYPERLINK("https://365nails.com/products/365nails-elegant-deep-purple-solid-handmade-press-on-pedicure","365nails: ""elegant deep purple solid"" – handmade press-on pedicure")</x:f>
        <x:v>HYPERLINK is not implemented. linkLocation=https://365nails.com/products/365nails-elegant-deep-purple-solid-handmade-press-on-pedicure, friendlyName=365nails: "elegant deep purple solid" – handmade press-on pedicure</x:v>
      </x:c>
      <x:c r="D97" s="18" t="str">
        <x:v>Size: S / M / L</x:v>
      </x:c>
      <x:c r="E97" s="25" t="str">
        <x:v>$2.49</x:v>
      </x:c>
      <x:c r="F97" s="19" t="str">
        <x:v>3</x:v>
      </x:c>
    </x:row>
    <x:row r="98" ht="93" customHeight="1">
      <x:c r="A98" s="19" t="n">
        <x:v>95</x:v>
      </x:c>
      <x:c r="B98" s="22" t="e">
        <x:f>HYPERLINK("https://cdn.shopify.com/s/files/1/0918/6066/4603/files/a1bd4d71eb92ea329f7363efe085cfd0.jpg?v=1773804901","Open")</x:f>
        <x:v>HYPERLINK is not implemented. linkLocation=https://cdn.shopify.com/s/files/1/0918/6066/4603/files/a1bd4d71eb92ea329f7363efe085cfd0.jpg?v=1773804901, friendlyName=Open</x:v>
      </x:c>
      <x:c r="C98" s="24" t="e">
        <x:f>HYPERLINK("https://365nails.com/products/365nails-crushed-ice-cube-diamonds-handmade-press-on-pedicure","365nails: ""crushed ice cube diamonds"" – handmade press-on pedicure")</x:f>
        <x:v>HYPERLINK is not implemented. linkLocation=https://365nails.com/products/365nails-crushed-ice-cube-diamonds-handmade-press-on-pedicure, friendlyName=365nails: "crushed ice cube diamonds" – handmade press-on pedicure</x:v>
      </x:c>
      <x:c r="D98" s="18" t="str">
        <x:v>Size: S / M / L</x:v>
      </x:c>
      <x:c r="E98" s="25" t="str">
        <x:v>$2.49</x:v>
      </x:c>
      <x:c r="F98" s="19" t="str">
        <x:v>3</x:v>
      </x:c>
    </x:row>
    <x:row r="99" ht="93" customHeight="1">
      <x:c r="A99" s="19" t="n">
        <x:v>96</x:v>
      </x:c>
      <x:c r="B99" s="22" t="e">
        <x:f>HYPERLINK("https://cdn.shopify.com/s/files/1/0918/6066/4603/files/a5f6bdbb133f246dfccb4d7669ca42f4.jpg?v=1773805030","Open")</x:f>
        <x:v>HYPERLINK is not implemented. linkLocation=https://cdn.shopify.com/s/files/1/0918/6066/4603/files/a5f6bdbb133f246dfccb4d7669ca42f4.jpg?v=1773805030, friendlyName=Open</x:v>
      </x:c>
      <x:c r="C99" s="24" t="e">
        <x:f>HYPERLINK("https://365nails.com/products/365nails-burgundy-solid-handmade-press-on-pedicure","365nails: ""Burgundy solid"" – handmade press-on pedicure")</x:f>
        <x:v>HYPERLINK is not implemented. linkLocation=https://365nails.com/products/365nails-burgundy-solid-handmade-press-on-pedicure, friendlyName=365nails: "Burgundy solid" – handmade press-on pedicure</x:v>
      </x:c>
      <x:c r="D99" s="18" t="str">
        <x:v>Size: S / M / L</x:v>
      </x:c>
      <x:c r="E99" s="25" t="str">
        <x:v>$1.99</x:v>
      </x:c>
      <x:c r="F99" s="19" t="str">
        <x:v>3</x:v>
      </x:c>
    </x:row>
    <x:row r="100" ht="93" customHeight="1">
      <x:c r="A100" s="19" t="n">
        <x:v>97</x:v>
      </x:c>
      <x:c r="B100" s="22" t="e">
        <x:f>HYPERLINK("https://cdn.shopify.com/s/files/1/0918/6066/4603/files/c4e83e064ecfbcdbac4f85e764ff6a8d.jpg?v=1773805182","Open")</x:f>
        <x:v>HYPERLINK is not implemented. linkLocation=https://cdn.shopify.com/s/files/1/0918/6066/4603/files/c4e83e064ecfbcdbac4f85e764ff6a8d.jpg?v=1773805182, friendlyName=Open</x:v>
      </x:c>
      <x:c r="C100" s="24" t="e">
        <x:f>HYPERLINK("https://365nails.com/products/365nails-sky-blue-shattered-glitter-handmade-press-on-pedicure","365nails: ""sky blue shattered glitter"" – handmade press-on pedicure")</x:f>
        <x:v>HYPERLINK is not implemented. linkLocation=https://365nails.com/products/365nails-sky-blue-shattered-glitter-handmade-press-on-pedicure, friendlyName=365nails: "sky blue shattered glitter" – handmade press-on pedicure</x:v>
      </x:c>
      <x:c r="D100" s="18" t="str">
        <x:v>Size: S / M / L</x:v>
      </x:c>
      <x:c r="E100" s="25" t="str">
        <x:v>$2.49</x:v>
      </x:c>
      <x:c r="F100" s="19" t="str">
        <x:v>3</x:v>
      </x:c>
    </x:row>
    <x:row r="101" ht="93" customHeight="1">
      <x:c r="A101" s="19" t="n">
        <x:v>98</x:v>
      </x:c>
      <x:c r="B101" s="22" t="e">
        <x:f>HYPERLINK("https://cdn.shopify.com/s/files/1/0918/6066/4603/files/5243b8de470e9df8cb0bb8550d948ccc.jpg?v=1773805316","Open")</x:f>
        <x:v>HYPERLINK is not implemented. linkLocation=https://cdn.shopify.com/s/files/1/0918/6066/4603/files/5243b8de470e9df8cb0bb8550d948ccc.jpg?v=1773805316, friendlyName=Open</x:v>
      </x:c>
      <x:c r="C101" s="24" t="e">
        <x:f>HYPERLINK("https://365nails.com/products/365nails-deep-wine-red-solid-handmade-press-on-pedicure","365nails: ""deep wine red solid"" – handmade press-on pedicure")</x:f>
        <x:v>HYPERLINK is not implemented. linkLocation=https://365nails.com/products/365nails-deep-wine-red-solid-handmade-press-on-pedicure, friendlyName=365nails: "deep wine red solid" – handmade press-on pedicure</x:v>
      </x:c>
      <x:c r="D101" s="18" t="str">
        <x:v>Size: S / M / L</x:v>
      </x:c>
      <x:c r="E101" s="25" t="str">
        <x:v>$1.99</x:v>
      </x:c>
      <x:c r="F101" s="19" t="str">
        <x:v>3</x:v>
      </x:c>
    </x:row>
    <x:row r="102" ht="93" customHeight="1">
      <x:c r="A102" s="19" t="n">
        <x:v>99</x:v>
      </x:c>
      <x:c r="B102" s="22" t="e">
        <x:f>HYPERLINK("https://cdn.shopify.com/s/files/1/0918/6066/4603/files/b4bb817ea1ccf4121322fc10861950ef.jpg?v=1773805438","Open")</x:f>
        <x:v>HYPERLINK is not implemented. linkLocation=https://cdn.shopify.com/s/files/1/0918/6066/4603/files/b4bb817ea1ccf4121322fc10861950ef.jpg?v=1773805438, friendlyName=Open</x:v>
      </x:c>
      <x:c r="C102" s="24" t="e">
        <x:f>HYPERLINK("https://365nails.com/products/365nails-galaxy-iridescent-shattered-glitter-handmade-press-on-pedicure","365nails: ""galaxy iridescent shattered glitter"" – handmade press-on pedicure")</x:f>
        <x:v>HYPERLINK is not implemented. linkLocation=https://365nails.com/products/365nails-galaxy-iridescent-shattered-glitter-handmade-press-on-pedicure, friendlyName=365nails: "galaxy iridescent shattered glitter" – handmade press-on pedicure</x:v>
      </x:c>
      <x:c r="D102" s="18" t="str">
        <x:v>Size: S / M / L</x:v>
      </x:c>
      <x:c r="E102" s="25" t="str">
        <x:v>$1.99</x:v>
      </x:c>
      <x:c r="F102" s="19" t="str">
        <x:v>3</x:v>
      </x:c>
    </x:row>
    <x:row r="103" ht="93" customHeight="1">
      <x:c r="A103" s="19" t="n">
        <x:v>100</x:v>
      </x:c>
      <x:c r="B103" s="22" t="e">
        <x:f>HYPERLINK("https://cdn.shopify.com/s/files/1/0918/6066/4603/files/21a298249c7b82db0e09f3ddc7bdfc5d.jpg?v=1773805683","Open")</x:f>
        <x:v>HYPERLINK is not implemented. linkLocation=https://cdn.shopify.com/s/files/1/0918/6066/4603/files/21a298249c7b82db0e09f3ddc7bdfc5d.jpg?v=1773805683, friendlyName=Open</x:v>
      </x:c>
      <x:c r="C103" s="24" t="e">
        <x:f>HYPERLINK("https://365nails.com/products/365nails-ice-clear-white-shattered-glitter-handmade-press-on-pedicure","365nails: ""ice clear white shattered glitter"" – handmade press-on pedicure")</x:f>
        <x:v>HYPERLINK is not implemented. linkLocation=https://365nails.com/products/365nails-ice-clear-white-shattered-glitter-handmade-press-on-pedicure, friendlyName=365nails: "ice clear white shattered glitter" – handmade press-on pedicure</x:v>
      </x:c>
      <x:c r="D103" s="18" t="str">
        <x:v>Size: S / M / L</x:v>
      </x:c>
      <x:c r="E103" s="25" t="str">
        <x:v>$2.49</x:v>
      </x:c>
      <x:c r="F103" s="19" t="str">
        <x:v>3</x:v>
      </x:c>
    </x:row>
    <x:row r="104" ht="93" customHeight="1">
      <x:c r="A104" s="19" t="n">
        <x:v>101</x:v>
      </x:c>
      <x:c r="B104" s="22" t="e">
        <x:f>HYPERLINK("https://cdn.shopify.com/s/files/1/0918/6066/4603/files/dd96f8c0e13d2a5db2c365157bbcff60.jpg?v=1773805824","Open")</x:f>
        <x:v>HYPERLINK is not implemented. linkLocation=https://cdn.shopify.com/s/files/1/0918/6066/4603/files/dd96f8c0e13d2a5db2c365157bbcff60.jpg?v=1773805824, friendlyName=Open</x:v>
      </x:c>
      <x:c r="C104" s="24" t="e">
        <x:f>HYPERLINK("https://365nails.com/products/365nails-water-blue-cat-eye-handmade-press-on-pedicure","365nails: ""water blue cat-eye"" – handmade press-on pedicure")</x:f>
        <x:v>HYPERLINK is not implemented. linkLocation=https://365nails.com/products/365nails-water-blue-cat-eye-handmade-press-on-pedicure, friendlyName=365nails: "water blue cat-eye" – handmade press-on pedicure</x:v>
      </x:c>
      <x:c r="D104" s="18" t="str">
        <x:v>Size: S / M / L</x:v>
      </x:c>
      <x:c r="E104" s="25" t="str">
        <x:v>$2.49</x:v>
      </x:c>
      <x:c r="F104" s="19" t="str">
        <x:v>3</x:v>
      </x:c>
    </x:row>
    <x:row r="105" ht="93" customHeight="1">
      <x:c r="A105" s="19" t="n">
        <x:v>102</x:v>
      </x:c>
      <x:c r="B105" s="22" t="e">
        <x:f>HYPERLINK("https://cdn.shopify.com/s/files/1/0918/6066/4603/files/2d0e0ea8719beb5c45ff90ad96d11e15.jpg?v=1773806053","Open")</x:f>
        <x:v>HYPERLINK is not implemented. linkLocation=https://cdn.shopify.com/s/files/1/0918/6066/4603/files/2d0e0ea8719beb5c45ff90ad96d11e15.jpg?v=1773806053, friendlyName=Open</x:v>
      </x:c>
      <x:c r="C105" s="24" t="e">
        <x:f>HYPERLINK("https://365nails.com/products/365nails-cherry-blossom-pink-iridescent-glitter-handmade-press-on-pedicure","365nails: ""cherry blossom pink iridescent glitter"" – handmade press-on pedicure")</x:f>
        <x:v>HYPERLINK is not implemented. linkLocation=https://365nails.com/products/365nails-cherry-blossom-pink-iridescent-glitter-handmade-press-on-pedicure, friendlyName=365nails: "cherry blossom pink iridescent glitter" – handmade press-on pedicure</x:v>
      </x:c>
      <x:c r="D105" s="18" t="str">
        <x:v>Size: S / M / L</x:v>
      </x:c>
      <x:c r="E105" s="25" t="str">
        <x:v>$2.49</x:v>
      </x:c>
      <x:c r="F105" s="19" t="str">
        <x:v>3</x:v>
      </x:c>
    </x:row>
    <x:row r="106" ht="93" customHeight="1">
      <x:c r="A106" s="19" t="n">
        <x:v>103</x:v>
      </x:c>
      <x:c r="B106" s="22" t="e">
        <x:f>HYPERLINK("https://cdn.shopify.com/s/files/1/0918/6066/4603/files/1f873cc5e38d7dca492550066c2e430c_f1034165-db2b-4286-ac77-12e56efc358c.jpg?v=1779159582","Open")</x:f>
        <x:v>HYPERLINK is not implemented. linkLocation=https://cdn.shopify.com/s/files/1/0918/6066/4603/files/1f873cc5e38d7dca492550066c2e430c_f1034165-db2b-4286-ac77-12e56efc358c.jpg?v=1779159582, friendlyName=Open</x:v>
      </x:c>
      <x:c r="C106" s="24" t="e">
        <x:f>HYPERLINK("https://365nails.com/products/365nails-candy-pink-glow-handmade-liquid-motion-press-on-medium-square-nails","365nails: ""Candy Pink Glow"" – Handmade Liquid Motion Press-On Medium Square Nails-4cm")</x:f>
        <x:v>HYPERLINK is not implemented. linkLocation=https://365nails.com/products/365nails-candy-pink-glow-handmade-liquid-motion-press-on-medium-square-nails, friendlyName=365nails: "Candy Pink Glow" – Handmade Liquid Motion Press-On Medium Square Nails-4cm</x:v>
      </x:c>
      <x:c r="D106" s="18" t="str">
        <x:v>Size: S-4cm / M-4cm / L-4cm</x:v>
      </x:c>
      <x:c r="E106" s="25" t="str">
        <x:v>$6.99</x:v>
      </x:c>
      <x:c r="F106" s="19" t="str">
        <x:v>5</x:v>
      </x:c>
    </x:row>
    <x:row r="107" ht="93" customHeight="1">
      <x:c r="A107" s="19" t="n">
        <x:v>104</x:v>
      </x:c>
      <x:c r="B107" s="22" t="e">
        <x:f>HYPERLINK("https://cdn.shopify.com/s/files/1/0918/6066/4603/files/54c356dde23a64d01bcf424f49d9c424_ed58af49-1286-49c5-9924-fd4b14f3dca2.jpg?v=1779157784","Open")</x:f>
        <x:v>HYPERLINK is not implemented. linkLocation=https://cdn.shopify.com/s/files/1/0918/6066/4603/files/54c356dde23a64d01bcf424f49d9c424_ed58af49-1286-49c5-9924-fd4b14f3dca2.jpg?v=1779157784, friendlyName=Open</x:v>
      </x:c>
      <x:c r="C107" s="24" t="e">
        <x:f>HYPERLINK("https://365nails.com/products/365nails-scarlet-bow-whisper-handmade-liquid-motion-press-on-medium-square-nails","365nails: ""Scarlet Bow Whisper"" – Handmade Liquid Motion Press-On Medium Square Nails-3.5cm")</x:f>
        <x:v>HYPERLINK is not implemented. linkLocation=https://365nails.com/products/365nails-scarlet-bow-whisper-handmade-liquid-motion-press-on-medium-square-nails, friendlyName=365nails: "Scarlet Bow Whisper" – Handmade Liquid Motion Press-On Medium Square Nails-3.5cm</x:v>
      </x:c>
      <x:c r="D107" s="18" t="str">
        <x:v>Size: S-3.5cm / M-3.5cm / L-3.5cm</x:v>
      </x:c>
      <x:c r="E107" s="25" t="str">
        <x:v>$6.99</x:v>
      </x:c>
      <x:c r="F107" s="19" t="str">
        <x:v>5</x:v>
      </x:c>
    </x:row>
    <x:row r="108" ht="93" customHeight="1">
      <x:c r="A108" s="19" t="n">
        <x:v>105</x:v>
      </x:c>
      <x:c r="B108" s="22" t="e">
        <x:f>HYPERLINK("https://cdn.shopify.com/s/files/1/0918/6066/4603/files/30ad00a97d5a612149f29b044090812c_ad3b4ae3-4cf5-4164-b953-741a15044a99.jpg?v=1779159136","Open")</x:f>
        <x:v>HYPERLINK is not implemented. linkLocation=https://cdn.shopify.com/s/files/1/0918/6066/4603/files/30ad00a97d5a612149f29b044090812c_ad3b4ae3-4cf5-4164-b953-741a15044a99.jpg?v=1779159136, friendlyName=Open</x:v>
      </x:c>
      <x:c r="C108" s="24" t="e">
        <x:f>HYPERLINK("https://365nails.com/products/365nails-blue-candy-orchid-handmade-liquid-motion-press-on-medium-square-nails","365nails: ""Blue Candy Orchid"" – Handmade Liquid Motion Press-On Medium Square Nails-4cm")</x:f>
        <x:v>HYPERLINK is not implemented. linkLocation=https://365nails.com/products/365nails-blue-candy-orchid-handmade-liquid-motion-press-on-medium-square-nails, friendlyName=365nails: "Blue Candy Orchid" – Handmade Liquid Motion Press-On Medium Square Nails-4cm</x:v>
      </x:c>
      <x:c r="D108" s="18" t="str">
        <x:v>Size: S-4cm / M-4cm / L-4cm</x:v>
      </x:c>
      <x:c r="E108" s="25" t="str">
        <x:v>$6.99</x:v>
      </x:c>
      <x:c r="F108" s="19" t="str">
        <x:v>5</x:v>
      </x:c>
    </x:row>
    <x:row r="109" ht="93" customHeight="1">
      <x:c r="A109" s="19" t="n">
        <x:v>106</x:v>
      </x:c>
      <x:c r="B109" s="22" t="e">
        <x:f>HYPERLINK("https://cdn.shopify.com/s/files/1/0918/6066/4603/files/4638a5a87b63b1088e606ea67838b2f4.jpg?v=1779158995","Open")</x:f>
        <x:v>HYPERLINK is not implemented. linkLocation=https://cdn.shopify.com/s/files/1/0918/6066/4603/files/4638a5a87b63b1088e606ea67838b2f4.jpg?v=1779158995, friendlyName=Open</x:v>
      </x:c>
      <x:c r="C109" s="24" t="e">
        <x:f>HYPERLINK("https://365nails.com/products/365nails-sunset-citrus-bloom-handmade-liquid-motion-press-on-medium-square-nails","365nails: ""Sunset Citrus Bloom"" – Handmade Liquid Motion Press-On Medium Square Nails-4cm")</x:f>
        <x:v>HYPERLINK is not implemented. linkLocation=https://365nails.com/products/365nails-sunset-citrus-bloom-handmade-liquid-motion-press-on-medium-square-nails, friendlyName=365nails: "Sunset Citrus Bloom" – Handmade Liquid Motion Press-On Medium Square Nails-4cm</x:v>
      </x:c>
      <x:c r="D109" s="18" t="str">
        <x:v>Size: S-4cm / M-4cm / L-4cm</x:v>
      </x:c>
      <x:c r="E109" s="25" t="str">
        <x:v>$6.99</x:v>
      </x:c>
      <x:c r="F109" s="19" t="str">
        <x:v>5</x:v>
      </x:c>
    </x:row>
    <x:row r="110" ht="93" customHeight="1">
      <x:c r="A110" s="19" t="n">
        <x:v>107</x:v>
      </x:c>
      <x:c r="B110" s="22" t="e">
        <x:f>HYPERLINK("https://cdn.shopify.com/s/files/1/0918/6066/4603/files/3f6e770b889c0510d4234c7a4ad14ce0_8271914f-9b62-482b-a154-fb4f149e2014.jpg?v=1779156666","Open")</x:f>
        <x:v>HYPERLINK is not implemented. linkLocation=https://cdn.shopify.com/s/files/1/0918/6066/4603/files/3f6e770b889c0510d4234c7a4ad14ce0_8271914f-9b62-482b-a154-fb4f149e2014.jpg?v=1779156666, friendlyName=Open</x:v>
      </x:c>
      <x:c r="C110" s="24" t="e">
        <x:f>HYPERLINK("https://365nails.com/products/365nails-candy-swirl-bloom-handmade-liquid-motion-press-on-medium-square-nails","365nails: ""Candy Swirl Bloom"" – Handmade Liquid Motion Press-On Medium Square Nails-3cm")</x:f>
        <x:v>HYPERLINK is not implemented. linkLocation=https://365nails.com/products/365nails-candy-swirl-bloom-handmade-liquid-motion-press-on-medium-square-nails, friendlyName=365nails: "Candy Swirl Bloom" – Handmade Liquid Motion Press-On Medium Square Nails-3cm</x:v>
      </x:c>
      <x:c r="D110" s="18" t="str">
        <x:v>Size: S-3cm / M-3cm / L-3cm</x:v>
      </x:c>
      <x:c r="E110" s="25" t="str">
        <x:v>$6.99</x:v>
      </x:c>
      <x:c r="F110" s="19" t="str">
        <x:v>5</x:v>
      </x:c>
    </x:row>
    <x:row r="111" ht="93" customHeight="1">
      <x:c r="A111" s="19" t="n">
        <x:v>108</x:v>
      </x:c>
      <x:c r="B111" s="22" t="e">
        <x:f>HYPERLINK("https://cdn.shopify.com/s/files/1/0918/6066/4603/files/b673fd5d05e7d80d700455e323f4feb1.jpg?v=1779155763","Open")</x:f>
        <x:v>HYPERLINK is not implemented. linkLocation=https://cdn.shopify.com/s/files/1/0918/6066/4603/files/b673fd5d05e7d80d700455e323f4feb1.jpg?v=1779155763, friendlyName=Open</x:v>
      </x:c>
      <x:c r="C111" s="24" t="e">
        <x:f>HYPERLINK("https://365nails.com/products/365nails-pastel-flower-pop-handmade-liquid-motion-press-on-medium-square-nails","365nails: ""Pastel Flower Pop"" – Handmade Liquid Motion Press-On Medium Square Nails-3cm")</x:f>
        <x:v>HYPERLINK is not implemented. linkLocation=https://365nails.com/products/365nails-pastel-flower-pop-handmade-liquid-motion-press-on-medium-square-nails, friendlyName=365nails: "Pastel Flower Pop" – Handmade Liquid Motion Press-On Medium Square Nails-3cm</x:v>
      </x:c>
      <x:c r="D111" s="18" t="str">
        <x:v>Size: S-3cm / M-3cm / L-3cm</x:v>
      </x:c>
      <x:c r="E111" s="25" t="str">
        <x:v>$6.99</x:v>
      </x:c>
      <x:c r="F111" s="19" t="str">
        <x:v>5</x:v>
      </x:c>
    </x:row>
    <x:row r="112" ht="93" customHeight="1">
      <x:c r="A112" s="19" t="n">
        <x:v>109</x:v>
      </x:c>
      <x:c r="B112" s="22" t="e">
        <x:f>HYPERLINK("https://cdn.shopify.com/s/files/1/0918/6066/4603/files/O1CN01qrEhr81rlpSgTemVS__2215158925672-0-cib.jpg?v=1754470788","Open")</x:f>
        <x:v>HYPERLINK is not implemented. linkLocation=https://cdn.shopify.com/s/files/1/0918/6066/4603/files/O1CN01qrEhr81rlpSgTemVS__2215158925672-0-cib.jpg?v=1754470788, friendlyName=Open</x:v>
      </x:c>
      <x:c r="C112" s="24" t="e">
        <x:f>HYPERLINK("https://365nails.com/products/handmade-press-on-nails-symphony-colorful-hand-painted-line-bow-summer-almond-nail-wear-fake-nails-365nails","Iridescent Color Nails with Metallic Line Bow Accents")</x:f>
        <x:v>HYPERLINK is not implemented. linkLocation=https://365nails.com/products/handmade-press-on-nails-symphony-colorful-hand-painted-line-bow-summer-almond-nail-wear-fake-nails-365nails, friendlyName=Iridescent Color Nails with Metallic Line Bow Accents</x:v>
      </x:c>
      <x:c r="D112" s="18" t="str">
        <x:v>shape: medium almond; size: XS / S / M / L</x:v>
      </x:c>
      <x:c r="E112" s="25" t="str">
        <x:v>$3.49</x:v>
      </x:c>
      <x:c r="F112" s="19" t="str">
        <x:v>30</x:v>
      </x:c>
    </x:row>
    <x:row r="113" ht="93" customHeight="1">
      <x:c r="A113" s="19" t="n">
        <x:v>110</x:v>
      </x:c>
      <x:c r="B113" s="22" t="e">
        <x:f>HYPERLINK("https://cdn.shopify.com/s/files/1/0918/6066/4603/files/O1CN010iIzP01qQveAQales__3917635491-0-cib.jpg?v=1753523268","Open")</x:f>
        <x:v>HYPERLINK is not implemented. linkLocation=https://cdn.shopify.com/s/files/1/0918/6066/4603/files/O1CN010iIzP01qQveAQales__3917635491-0-cib.jpg?v=1753523268, friendlyName=Open</x:v>
      </x:c>
      <x:c r="C113" s="24" t="e">
        <x:f>HYPERLINK("https://365nails.com/products/cute-smile-fresh-lake-green-checkerboard-manicure-press-on-toenails-small-fresh-manicure-fake-nail-wearable-press-on-toenails-nail-365nails","Cute smile fresh lake green checkerboard manicure Press-on toenails small fresh manicure fake nail wearable Press-on toenails nail｜365nails")</x:f>
        <x:v>HYPERLINK is not implemented. linkLocation=https://365nails.com/products/cute-smile-fresh-lake-green-checkerboard-manicure-press-on-toenails-small-fresh-manicure-fake-nail-wearable-press-on-toenails-nail-365nails, friendlyName=Cute smile fresh lake green checkerboard manicure Press-on toenails small fresh manicure fake nail wearable Press-on toenails nail｜365nails</x:v>
      </x:c>
      <x:c r="D113" s="18" t="str">
        <x:v>Color: F101 Smile Chessboard [Glue]</x:v>
      </x:c>
      <x:c r="E113" s="25" t="str">
        <x:v>$0.82</x:v>
      </x:c>
      <x:c r="F113" s="19" t="str">
        <x:v>1</x:v>
      </x:c>
    </x:row>
    <x:row r="114" ht="93" customHeight="1">
      <x:c r="A114" s="19" t="n">
        <x:v>111</x:v>
      </x:c>
      <x:c r="B114" s="22" t="e">
        <x:f>HYPERLINK("https://cdn.shopify.com/s/files/1/0918/6066/4603/files/O1CN01s0s5xD1qQvqsoTIeV__3917635491-0-cib.jpg?v=1753523248","Open")</x:f>
        <x:v>HYPERLINK is not implemented. linkLocation=https://cdn.shopify.com/s/files/1/0918/6066/4603/files/O1CN01s0s5xD1qQvqsoTIeV__3917635491-0-cib.jpg?v=1753523248, friendlyName=Open</x:v>
      </x:c>
      <x:c r="C114" s="24" t="e">
        <x:f>HYPERLINK("https://365nails.com/products/summer-clear-and-cool-simple-blue-sweet-and-white-versatile-ins-wind-removable-toenails-24-pieces-365nails","Summer clear and cool simple blue sweet and white versatile  ins wind removable toenails 24 pieces｜365nails")</x:f>
        <x:v>HYPERLINK is not implemented. linkLocation=https://365nails.com/products/summer-clear-and-cool-simple-blue-sweet-and-white-versatile-ins-wind-removable-toenails-24-pieces-365nails, friendlyName=Summer clear and cool simple blue sweet and white versatile  ins wind removable toenails 24 pieces｜365nails</x:v>
      </x:c>
      <x:c r="D114" s="18" t="str">
        <x:v>Color: F177 fresh blue [glue model]</x:v>
      </x:c>
      <x:c r="E114" s="25" t="str">
        <x:v>$0.39</x:v>
      </x:c>
      <x:c r="F114" s="19" t="str">
        <x:v>1</x:v>
      </x:c>
    </x:row>
    <x:row r="115" ht="93" customHeight="1">
      <x:c r="A115" s="19" t="n">
        <x:v>112</x:v>
      </x:c>
      <x:c r="B115" s="22" t="e">
        <x:f>HYPERLINK("https://cdn.shopify.com/s/files/1/0918/6066/4603/files/O1CN01LBn5QE1qQvnn8bVBA__3917635491-0-cib.jpg?v=1753523199","Open")</x:f>
        <x:v>HYPERLINK is not implemented. linkLocation=https://cdn.shopify.com/s/files/1/0918/6066/4603/files/O1CN01LBn5QE1qQvnn8bVBA__3917635491-0-cib.jpg?v=1753523199, friendlyName=Open</x:v>
      </x:c>
      <x:c r="C115" s="24" t="e">
        <x:f>HYPERLINK("https://365nails.com/products/nail-art-fake-nail-wearing-nail-piece-burgundy-toenail-solid-color-removable-nail-piece-press-on-toenails-nail-diamond-24-pieces-365nails","Nail art fake nail  burgundy toenail solid color removable nail piece Press-on toenails nail diamond 24 pieces｜365nails")</x:f>
        <x:v>HYPERLINK is not implemented. linkLocation=https://365nails.com/products/nail-art-fake-nail-wearing-nail-piece-burgundy-toenail-solid-color-removable-nail-piece-press-on-toenails-nail-diamond-24-pieces-365nails, friendlyName=Nail art fake nail  burgundy toenail solid color removable nail piece Press-on toenails nail diamond 24 pieces｜365nails</x:v>
      </x:c>
      <x:c r="D115" s="18" t="str">
        <x:v>Color: F011 burgundy round diamond [glue model]</x:v>
      </x:c>
      <x:c r="E115" s="25" t="str">
        <x:v>$0.70</x:v>
      </x:c>
      <x:c r="F115" s="19" t="str">
        <x:v>1</x:v>
      </x:c>
    </x:row>
    <x:row r="116" ht="93" customHeight="1">
      <x:c r="A116" s="19" t="n">
        <x:v>113</x:v>
      </x:c>
      <x:c r="B116" s="22" t="e">
        <x:f>HYPERLINK("https://cdn.shopify.com/s/files/1/0918/6066/4603/files/O1CN01mU7mJc1qQvcWKvjb7__3917635491-0-cib.jpg?v=1753523129","Open")</x:f>
        <x:v>HYPERLINK is not implemented. linkLocation=https://cdn.shopify.com/s/files/1/0918/6066/4603/files/O1CN01mU7mJc1qQvcWKvjb7__3917635491-0-cib.jpg?v=1753523129, friendlyName=Open</x:v>
      </x:c>
      <x:c r="C116" s="24" t="e">
        <x:f>HYPERLINK("https://365nails.com/products/white-sweet-cool-and-shining-stars-wearable-press-on-toenails-nail-ins-wind-spice-girl-manicure-fake-nail-special-nail-film-for-press-on-toenails-365nails","White, sweet, cool and shining stars, wearable Press-on toenails nail ins wind, Spice Girl manicure, fake nail, special nail film for Press-on toenails｜365nails")</x:f>
        <x:v>HYPERLINK is not implemented. linkLocation=https://365nails.com/products/white-sweet-cool-and-shining-stars-wearable-press-on-toenails-nail-ins-wind-spice-girl-manicure-fake-nail-special-nail-film-for-press-on-toenails-365nails, friendlyName=White, sweet, cool and shining stars, wearable Press-on toenails nail ins wind, Spice Girl manicure, fake nail, special nail film for Press-on toenails｜365nails</x:v>
      </x:c>
      <x:c r="D116" s="18" t="str">
        <x:v>Color: F046 Star Sparkle Silver [Glue]</x:v>
      </x:c>
      <x:c r="E116" s="25" t="str">
        <x:v>$0.43</x:v>
      </x:c>
      <x:c r="F116" s="19" t="str">
        <x:v>1</x:v>
      </x:c>
    </x:row>
    <x:row r="117" ht="93" customHeight="1">
      <x:c r="A117" s="19" t="n">
        <x:v>114</x:v>
      </x:c>
      <x:c r="B117" s="22" t="e">
        <x:f>HYPERLINK("https://cdn.shopify.com/s/files/1/0918/6066/4603/files/O1CN013ooigO1qQvcnWQraY__3917635491-0-cib.jpg?v=1753523120","Open")</x:f>
        <x:v>HYPERLINK is not implemented. linkLocation=https://cdn.shopify.com/s/files/1/0918/6066/4603/files/O1CN013ooigO1qQvcnWQraY__3917635491-0-cib.jpg?v=1753523120, friendlyName=Open</x:v>
      </x:c>
      <x:c r="C117" s="24" t="e">
        <x:f>HYPERLINK("https://365nails.com/products/simple-french-fresh-and-elegant-cute-flower-press-on-toenails-model-wearing-nail-art-piece-sweet-ins-wind-press-on-toenails-nail-special-365nails","Simple French fresh and elegant cute flower Press-on toenails model press-on nails art piece sweet ins wind Press-on toenails nail special｜365nails")</x:f>
        <x:v>HYPERLINK is not implemented. linkLocation=https://365nails.com/products/simple-french-fresh-and-elegant-cute-flower-press-on-toenails-model-wearing-nail-art-piece-sweet-ins-wind-press-on-toenails-nail-special-365nails, friendlyName=Simple French fresh and elegant cute flower Press-on toenails model press-on nails art piece sweet ins wind Press-on toenails nail special｜365nails</x:v>
      </x:c>
      <x:c r="D117" s="18" t="str">
        <x:v>Color: F072 Elegant plain flower [glue model]</x:v>
      </x:c>
      <x:c r="E117" s="25" t="str">
        <x:v>$0.82</x:v>
      </x:c>
      <x:c r="F117" s="19" t="str">
        <x:v>1</x:v>
      </x:c>
    </x:row>
    <x:row r="118" ht="93" customHeight="1">
      <x:c r="A118" s="19" t="n">
        <x:v>115</x:v>
      </x:c>
      <x:c r="B118" s="22" t="e">
        <x:f>HYPERLINK("https://cdn.shopify.com/s/files/1/0918/6066/4603/files/O1CN01XYM9FU1qQvrFaIAPd__3917635491-0-cib.jpg?v=1753523112","Open")</x:f>
        <x:v>HYPERLINK is not implemented. linkLocation=https://cdn.shopify.com/s/files/1/0918/6066/4603/files/O1CN01XYM9FU1qQvrFaIAPd__3917635491-0-cib.jpg?v=1753523112, friendlyName=Open</x:v>
      </x:c>
      <x:c r="C118" s="24" t="e">
        <x:f>HYPERLINK("https://365nails.com/products/nail-art-piece-nail-piece-explosive-flash-wearable-nail-removable-toenail-piece-press-on-toenails-nail-piece-fine-flash-nail-art-patch-365nails","Nail art piece Nail piece Explosive flash Wearable nail Removable toenail piece  Press-on toenails nail piece Fine flash nail art patch｜365nails")</x:f>
        <x:v>HYPERLINK is not implemented. linkLocation=https://365nails.com/products/nail-art-piece-nail-piece-explosive-flash-wearable-nail-removable-toenail-piece-press-on-toenails-nail-piece-fine-flash-nail-art-patch-365nails, friendlyName=Nail art piece Nail piece Explosive flash Wearable nail Removable toenail piece  Press-on toenails nail piece Fine flash nail art patch｜365nails</x:v>
      </x:c>
      <x:c r="D118" s="18" t="str">
        <x:v>Color: F151 silver fine flash [glue model]</x:v>
      </x:c>
      <x:c r="E118" s="25" t="str">
        <x:v>$0.20</x:v>
      </x:c>
      <x:c r="F118" s="19" t="str">
        <x:v>1</x:v>
      </x:c>
    </x:row>
    <x:row r="119" ht="93" customHeight="1">
      <x:c r="A119" s="19" t="n">
        <x:v>116</x:v>
      </x:c>
      <x:c r="B119" s="22" t="e">
        <x:f>HYPERLINK("https://cdn.shopify.com/s/files/1/0918/6066/4603/files/O1CN016BsKZI1qQvdNGbt8m__3917635491-0-cib.jpg?v=1753523106","Open")</x:f>
        <x:v>HYPERLINK is not implemented. linkLocation=https://cdn.shopify.com/s/files/1/0918/6066/4603/files/O1CN016BsKZI1qQvdNGbt8m__3917635491-0-cib.jpg?v=1753523106, friendlyName=Open</x:v>
      </x:c>
      <x:c r="C119" s="24" t="e">
        <x:f>HYPERLINK("https://365nails.com/products/burgundy-sparkling-sweet-and-cool-leopard-print-manicure-press-on-toenails-model-wearing-cool-and-elegant-girl-fake-nails-24-pieces-boxed-press-on-toenails-nail-pieces-365nails","Burgundy sparkling sweet and cool leopard print manicure Press-on toenails model wearing cool and elegant girl fake nails 24 pieces boxed Press-on toenails nail pieces｜365nails")</x:f>
        <x:v>HYPERLINK is not implemented. linkLocation=https://365nails.com/products/burgundy-sparkling-sweet-and-cool-leopard-print-manicure-press-on-toenails-model-wearing-cool-and-elegant-girl-fake-nails-24-pieces-boxed-press-on-toenails-nail-pieces-365nails, friendlyName=Burgundy sparkling sweet and cool leopard print manicure Press-on toenails model wearing cool and elegant girl fake nails 24 pieces boxed Press-on toenails nail pieces｜365nails</x:v>
      </x:c>
      <x:c r="D119" s="18" t="str">
        <x:v>Color: F091 burgundy leopard print [glue model]</x:v>
      </x:c>
      <x:c r="E119" s="25" t="str">
        <x:v>$0.54</x:v>
      </x:c>
      <x:c r="F119" s="19" t="str">
        <x:v>1</x:v>
      </x:c>
    </x:row>
    <x:row r="120" ht="93" customHeight="1">
      <x:c r="A120" s="19" t="n">
        <x:v>117</x:v>
      </x:c>
      <x:c r="B120" s="22" t="e">
        <x:f>HYPERLINK("https://cdn.shopify.com/s/files/1/0918/6066/4603/files/O1CN01Ujgwru2NGHkIoTCdd__4234819935-0-cib.jpg?v=1752920153","Open")</x:f>
        <x:v>HYPERLINK is not implemented. linkLocation=https://cdn.shopify.com/s/files/1/0918/6066/4603/files/O1CN01Ujgwru2NGHkIoTCdd__4234819935-0-cib.jpg?v=1752920153, friendlyName=Open</x:v>
      </x:c>
      <x:c r="C120" s="24" t="e">
        <x:f>HYPERLINK("https://365nails.com/products/wearing-armor-french-green-edge-glitter-three-dimensional-butterfly-nail-patch-wearing-armor-european-and-american-wearable-nail-sticker","French Green Edge Glitter 3D Butterfly Press On Nails Fake Nails for Women")</x:f>
        <x:v>HYPERLINK is not implemented. linkLocation=https://365nails.com/products/wearing-armor-french-green-edge-glitter-three-dimensional-butterfly-nail-patch-wearing-armor-european-and-american-wearable-nail-sticker, friendlyName=French Green Edge Glitter 3D Butterfly Press On Nails Fake Nails for Women</x:v>
      </x:c>
      <x:c r="D120" s="18" t="str">
        <x:v>Color: JP2380</x:v>
      </x:c>
      <x:c r="E120" s="25" t="str">
        <x:v>$1.40</x:v>
      </x:c>
      <x:c r="F120" s="19" t="str">
        <x:v>1</x:v>
      </x:c>
    </x:row>
    <x:row r="121" ht="93" customHeight="1">
      <x:c r="A121" s="19" t="n">
        <x:v>118</x:v>
      </x:c>
      <x:c r="B121" s="22" t="e">
        <x:f>HYPERLINK("https://cdn.shopify.com/s/files/1/0918/6066/4603/files/O1CN01C0PTFQ1rlpWt94eHo__2215158925672-0-cib.jpg?v=1754470007","Open")</x:f>
        <x:v>HYPERLINK is not implemented. linkLocation=https://cdn.shopify.com/s/files/1/0918/6066/4603/files/O1CN01C0PTFQ1rlpWt94eHo__2215158925672-0-cib.jpg?v=1754470007, friendlyName=Open</x:v>
      </x:c>
      <x:c r="C121" s="24" t="e">
        <x:f>HYPERLINK("https://365nails.com/products/metal-irregular-relief-wearing-nail-blush-nail-short-french-almond-nail-patch-365nails","Sculpted Metallic Nails with Irregular Chrome Embellishments")</x:f>
        <x:v>HYPERLINK is not implemented. linkLocation=https://365nails.com/products/metal-irregular-relief-wearing-nail-blush-nail-short-french-almond-nail-patch-365nails, friendlyName=Sculpted Metallic Nails with Irregular Chrome Embellishments</x:v>
      </x:c>
      <x:c r="D121" s="18" t="str">
        <x:v>shape: Short almonds; size: XS / S / M / L</x:v>
      </x:c>
      <x:c r="E121" s="25" t="str">
        <x:v>$2.99</x:v>
      </x:c>
      <x:c r="F121" s="19" t="str">
        <x:v>30</x:v>
      </x:c>
    </x:row>
    <x:row r="122" ht="93" customHeight="1">
      <x:c r="A122" s="19" t="n">
        <x:v>119</x:v>
      </x:c>
      <x:c r="B122" s="22" t="e">
        <x:f>HYPERLINK("https://cdn.shopify.com/s/files/1/0918/6066/4603/files/O1CN01nNJ3481rlpRuf7Di7__2215158925672-0-cib.jpg?v=1754470415","Open")</x:f>
        <x:v>HYPERLINK is not implemented. linkLocation=https://cdn.shopify.com/s/files/1/0918/6066/4603/files/O1CN01nNJ3481rlpRuf7Di7__2215158925672-0-cib.jpg?v=1754470415, friendlyName=Open</x:v>
      </x:c>
      <x:c r="C122" s="24" t="e">
        <x:f>HYPERLINK("https://365nails.com/products/medium-and-long-water-pipes-handmade-press-on-nailss-sweet-and-icy-long-nail-art-small-fresh-stickers-365nails","Sweet Icy Nude Nails with Sparkling Floral Butterflies")</x:f>
        <x:v>HYPERLINK is not implemented. linkLocation=https://365nails.com/products/medium-and-long-water-pipes-handmade-press-on-nailss-sweet-and-icy-long-nail-art-small-fresh-stickers-365nails, friendlyName=Sweet Icy Nude Nails with Sparkling Floral Butterflies</x:v>
      </x:c>
      <x:c r="D122" s="18" t="str">
        <x:v>shape: medium and long water pipe; size: S / M / L</x:v>
      </x:c>
      <x:c r="E122" s="25" t="str">
        <x:v>$3.99</x:v>
      </x:c>
      <x:c r="F122" s="19" t="str">
        <x:v>30</x:v>
      </x:c>
    </x:row>
    <x:row r="123" ht="93" customHeight="1">
      <x:c r="A123" s="19" t="n">
        <x:v>120</x:v>
      </x:c>
      <x:c r="B123" s="22" t="e">
        <x:f>HYPERLINK("https://cdn.shopify.com/s/files/1/0918/6066/4603/files/O1CN01NpXtMp1rlpUrFbREg__2215158925672-0-cib.jpg?v=1754470069","Open")</x:f>
        <x:v>HYPERLINK is not implemented. linkLocation=https://cdn.shopify.com/s/files/1/0918/6066/4603/files/O1CN01NpXtMp1rlpUrFbREg__2215158925672-0-cib.jpg?v=1754470069, friendlyName=Open</x:v>
      </x:c>
      <x:c r="C123" s="24" t="e">
        <x:f>HYPERLINK("https://365nails.com/products/handmade-press-on-nails-simple-cat-eye-short-nail-patch-pure-desire-to-gradually-change-almond-nail-fake-nail-365nails","Simple Cat-Eye Pink Nails with Soft Shimmer Glow")</x:f>
        <x:v>HYPERLINK is not implemented. linkLocation=https://365nails.com/products/handmade-press-on-nails-simple-cat-eye-short-nail-patch-pure-desire-to-gradually-change-almond-nail-fake-nail-365nails, friendlyName=Simple Cat-Eye Pink Nails with Soft Shimmer Glow</x:v>
      </x:c>
      <x:c r="D123" s="18" t="str">
        <x:v>shape: new short square / medium almond; Size: XS / S / M / L</x:v>
      </x:c>
      <x:c r="E123" s="25" t="str">
        <x:v>$1.99</x:v>
      </x:c>
      <x:c r="F123" s="19" t="str">
        <x:v>30</x:v>
      </x:c>
    </x:row>
    <x:row r="124" ht="93" customHeight="1">
      <x:c r="A124" s="19" t="n">
        <x:v>121</x:v>
      </x:c>
      <x:c r="B124" s="22" t="e">
        <x:f>HYPERLINK("https://cdn.shopify.com/s/files/1/0918/6066/4603/files/O1CN013VmYJP1rlpXQB6scS__2215158925672-0-cib.jpg?v=1754470032","Open")</x:f>
        <x:v>HYPERLINK is not implemented. linkLocation=https://cdn.shopify.com/s/files/1/0918/6066/4603/files/O1CN013VmYJP1rlpXQB6scS__2215158925672-0-cib.jpg?v=1754470032, friendlyName=Open</x:v>
      </x:c>
      <x:c r="C124" s="24" t="e">
        <x:f>HYPERLINK("https://365nails.com/products/duck-bill-nail-black-and-white-contrasting-color-ice-through-french-bow-handmade-press-on-nails-wearable-fake-nail-365nails","Black &amp; White Contrast French Nails with Sculpted Bow Accents")</x:f>
        <x:v>HYPERLINK is not implemented. linkLocation=https://365nails.com/products/duck-bill-nail-black-and-white-contrasting-color-ice-through-french-bow-handmade-press-on-nails-wearable-fake-nail-365nails, friendlyName=Black &amp; White Contrast French Nails with Sculpted Bow Accents</x:v>
      </x:c>
      <x:c r="D124" s="18" t="str">
        <x:v>shape: short bill; size: S / M / L</x:v>
      </x:c>
      <x:c r="E124" s="25" t="str">
        <x:v>$3.49</x:v>
      </x:c>
      <x:c r="F124" s="19" t="str">
        <x:v>30</x:v>
      </x:c>
    </x:row>
    <x:row r="125" ht="93" customHeight="1">
      <x:c r="A125" s="19" t="n">
        <x:v>122</x:v>
      </x:c>
      <x:c r="B125" s="22" t="e">
        <x:f>HYPERLINK("https://cdn.shopify.com/s/files/1/0918/6066/4603/files/O1CN014YJ9Am1rlpXZrE3jK__2215158925672-0-cib.jpg?v=1754469086","Open")</x:f>
        <x:v>HYPERLINK is not implemented. linkLocation=https://cdn.shopify.com/s/files/1/0918/6066/4603/files/O1CN014YJ9Am1rlpXZrE3jK__2215158925672-0-cib.jpg?v=1754469086, friendlyName=Open</x:v>
      </x:c>
      <x:c r="C125" s="24" t="e">
        <x:f>HYPERLINK("https://365nails.com/products/simple-two-color-gradual-change-short-nail-patch-sweet-cool-hot-girl-wearing-nail-pure-hand-fake-nails-365nails","Black &amp; Silver Gradient Nails with Sculpted Metallic Accents")</x:f>
        <x:v>HYPERLINK is not implemented. linkLocation=https://365nails.com/products/simple-two-color-gradual-change-short-nail-patch-sweet-cool-hot-girl-wearing-nail-pure-hand-fake-nails-365nails, friendlyName=Black &amp; Silver Gradient Nails with Sculpted Metallic Accents</x:v>
      </x:c>
      <x:c r="D125" s="18" t="str">
        <x:v>shape: Ultra short T; size: XS / S / M / L</x:v>
      </x:c>
      <x:c r="E125" s="25" t="str">
        <x:v>$2.49</x:v>
      </x:c>
      <x:c r="F125" s="19" t="str">
        <x:v>30</x:v>
      </x:c>
    </x:row>
    <x:row r="126" ht="93" customHeight="1">
      <x:c r="A126" s="19" t="n">
        <x:v>123</x:v>
      </x:c>
      <x:c r="B126" s="22" t="e">
        <x:f>HYPERLINK("https://cdn.shopify.com/s/files/1/0918/6066/4603/files/O1CN01U3mOQA1rlpWm7Eow1__2215158925672-0-cib.jpg?v=1754468954","Open")</x:f>
        <x:v>HYPERLINK is not implemented. linkLocation=https://cdn.shopify.com/s/files/1/0918/6066/4603/files/O1CN01U3mOQA1rlpWm7Eow1__2215158925672-0-cib.jpg?v=1754468954, friendlyName=Open</x:v>
      </x:c>
      <x:c r="C126" s="24" t="e">
        <x:f>HYPERLINK("https://365nails.com/products/duck-bill-nail-sweet-and-cute-three-dimensional-engraved-ice-transparent-blush-nail-hand-painted-french-handmade-press-on-nails-365nails","Cute Ice-Blush Nails with 3D Floral Carving &amp; Sweet Gradient Tips")</x:f>
        <x:v>HYPERLINK is not implemented. linkLocation=https://365nails.com/products/duck-bill-nail-sweet-and-cute-three-dimensional-engraved-ice-transparent-blush-nail-hand-painted-french-handmade-press-on-nails-365nails, friendlyName=Cute Ice-Blush Nails with 3D Floral Carving &amp; Sweet Gradient Tips</x:v>
      </x:c>
      <x:c r="D126" s="18" t="str">
        <x:v>shape: short bill; size: S / M / L</x:v>
      </x:c>
      <x:c r="E126" s="25" t="str">
        <x:v>$4.49</x:v>
      </x:c>
      <x:c r="F126" s="19" t="str">
        <x:v>30</x:v>
      </x:c>
    </x:row>
    <x:row r="127" ht="93" customHeight="1">
      <x:c r="A127" s="19" t="n">
        <x:v>124</x:v>
      </x:c>
      <x:c r="B127" s="22" t="e">
        <x:f>HYPERLINK("https://cdn.shopify.com/s/files/1/0918/6066/4603/files/O1CN01GgbamJ1rlpS5TpIUY__2215158925672-0-cib.jpg?v=1754470367","Open")</x:f>
        <x:v>HYPERLINK is not implemented. linkLocation=https://cdn.shopify.com/s/files/1/0918/6066/4603/files/O1CN01GgbamJ1rlpS5TpIUY__2215158925672-0-cib.jpg?v=1754470367, friendlyName=Open</x:v>
      </x:c>
      <x:c r="C127" s="24" t="e">
        <x:f>HYPERLINK("https://365nails.com/products/3d-three-dimensional-ice-through-lily-spray-gun-gradual-change-handmade-press-on-nails-two-color-flower-pure-desire-sweet-long-nail-patch-365nails","Airbrushed Gradient Nails with 3D Icy Lily Florals")</x:f>
        <x:v>HYPERLINK is not implemented. linkLocation=https://365nails.com/products/3d-three-dimensional-ice-through-lily-spray-gun-gradual-change-handmade-press-on-nails-two-color-flower-pure-desire-sweet-long-nail-patch-365nails, friendlyName=Airbrushed Gradient Nails with 3D Icy Lily Florals</x:v>
      </x:c>
      <x:c r="D127" s="18" t="str">
        <x:v>shape: long tip; size: XS / S / M / L</x:v>
      </x:c>
      <x:c r="E127" s="25" t="str">
        <x:v>$4.99</x:v>
      </x:c>
      <x:c r="F127" s="19" t="str">
        <x:v>30</x:v>
      </x:c>
    </x:row>
    <x:row r="128" ht="93" customHeight="1">
      <x:c r="A128" s="19" t="n">
        <x:v>125</x:v>
      </x:c>
      <x:c r="B128" s="22" t="e">
        <x:f>HYPERLINK("https://cdn.shopify.com/s/files/1/0918/6066/4603/files/O1CN01LSbw3g1rlpWkXcPD2__2215158925672-0-cib.jpg?v=1754470159","Open")</x:f>
        <x:v>HYPERLINK is not implemented. linkLocation=https://cdn.shopify.com/s/files/1/0918/6066/4603/files/O1CN01LSbw3g1rlpWkXcPD2__2215158925672-0-cib.jpg?v=1754470159, friendlyName=Open</x:v>
      </x:c>
      <x:c r="C128" s="24" t="e">
        <x:f>HYPERLINK("https://365nails.com/products/simple-long-cat-eye-wearing-nail-dark-spice-girl-nail-art-pure-handemade-press-on-nails-finished-product-factory-wholesale-365nails","Dark Cat-Eye Nails with Metallic Molten Accents")</x:f>
        <x:v>HYPERLINK is not implemented. linkLocation=https://365nails.com/products/simple-long-cat-eye-wearing-nail-dark-spice-girl-nail-art-pure-handemade-press-on-nails-finished-product-factory-wholesale-365nails, friendlyName=Dark Cat-Eye Nails with Metallic Molten Accents</x:v>
      </x:c>
      <x:c r="D128" s="18" t="str">
        <x:v>shape: lengthened T; Size: XS / S / M / L</x:v>
      </x:c>
      <x:c r="E128" s="25" t="str">
        <x:v>$2.99</x:v>
      </x:c>
      <x:c r="F128" s="19" t="str">
        <x:v>30</x:v>
      </x:c>
    </x:row>
    <x:row r="129" ht="93" customHeight="1">
      <x:c r="A129" s="19" t="n">
        <x:v>126</x:v>
      </x:c>
      <x:c r="B129" s="22" t="e">
        <x:f>HYPERLINK("https://cdn.shopify.com/s/files/1/0918/6066/4603/files/O1CN01a4pWTu1rlpQatMzJN__2215158925672-0-cib.jpg?v=1754469059","Open")</x:f>
        <x:v>HYPERLINK is not implemented. linkLocation=https://cdn.shopify.com/s/files/1/0918/6066/4603/files/O1CN01a4pWTu1rlpQatMzJN__2215158925672-0-cib.jpg?v=1754469059, friendlyName=Open</x:v>
      </x:c>
      <x:c r="C129" s="24" t="e">
        <x:f>HYPERLINK("https://365nails.com/products/spring-and-summer-new-spray-gun-gradual-change-handmade-press-on-nails-simple-pure-want-nail-patch-sticker-wholesale-365nails","Soft Airbrushed Gradient Nails in Blush Rose Tones")</x:f>
        <x:v>HYPERLINK is not implemented. linkLocation=https://365nails.com/products/spring-and-summer-new-spray-gun-gradual-change-handmade-press-on-nails-simple-pure-want-nail-patch-sticker-wholesale-365nails, friendlyName=Soft Airbrushed Gradient Nails in Blush Rose Tones</x:v>
      </x:c>
      <x:c r="D129" s="18" t="str">
        <x:v>shape: new short square; size: XS / S / M / L</x:v>
      </x:c>
      <x:c r="E129" s="25" t="str">
        <x:v>$2.99</x:v>
      </x:c>
      <x:c r="F129" s="19" t="str">
        <x:v>30</x:v>
      </x:c>
    </x:row>
    <x:row r="130" ht="93" customHeight="1">
      <x:c r="A130" s="19" t="n">
        <x:v>127</x:v>
      </x:c>
      <x:c r="B130" s="22" t="e">
        <x:f>HYPERLINK("https://cdn.shopify.com/s/files/1/0918/6066/4603/files/O1CN01asNxEo1rlpNAEBgBf__2215158925672-0-cib.jpg?v=1754473116","Open")</x:f>
        <x:v>HYPERLINK is not implemented. linkLocation=https://cdn.shopify.com/s/files/1/0918/6066/4603/files/O1CN01asNxEo1rlpNAEBgBf__2215158925672-0-cib.jpg?v=1754473116, friendlyName=Open</x:v>
      </x:c>
      <x:c r="C130" s="24" t="e">
        <x:f>HYPERLINK("https://365nails.com/products/handmade-press-on-nails-9d-spar-cats-eye-simple-short-nail-patch-sticker-wholesale-yiwu-nail-art-365nails","Galaxy Purple Cat-Eye Nails with 9D Crystal Glow")</x:f>
        <x:v>HYPERLINK is not implemented. linkLocation=https://365nails.com/products/handmade-press-on-nails-9d-spar-cats-eye-simple-short-nail-patch-sticker-wholesale-yiwu-nail-art-365nails, friendlyName=Galaxy Purple Cat-Eye Nails with 9D Crystal Glow</x:v>
      </x:c>
      <x:c r="D130" s="18" t="str">
        <x:v>shape: new short square; size: XS / S / M / L</x:v>
      </x:c>
      <x:c r="E130" s="25" t="str">
        <x:v>$1.99</x:v>
      </x:c>
      <x:c r="F130" s="19" t="str">
        <x:v>30</x:v>
      </x:c>
    </x:row>
    <x:row r="131" ht="93" customHeight="1">
      <x:c r="A131" s="19" t="n">
        <x:v>128</x:v>
      </x:c>
      <x:c r="B131" s="22" t="e">
        <x:f>HYPERLINK("https://cdn.shopify.com/s/files/1/0918/6066/4603/files/O1CN01tmH1to1rlpQSQQLpq__2215158925672-0-cib.jpg?v=1754450003","Open")</x:f>
        <x:v>HYPERLINK is not implemented. linkLocation=https://cdn.shopify.com/s/files/1/0918/6066/4603/files/O1CN01tmH1to1rlpQSQQLpq__2215158925672-0-cib.jpg?v=1754450003, friendlyName=Open</x:v>
      </x:c>
      <x:c r="C131" s="24" t="e">
        <x:f>HYPERLINK("https://365nails.com/products/handmade-nail-art-flash-glass-beads-cats-eye-short-handmade-press-on-nails-wearable-nail-stickers-yiwu-nail-art-wholesale-365nails","Sparkling Red Nails with Crystal Glass-Bead Cat-Eye Shine")</x:f>
        <x:v>HYPERLINK is not implemented. linkLocation=https://365nails.com/products/handmade-nail-art-flash-glass-beads-cats-eye-short-handmade-press-on-nails-wearable-nail-stickers-yiwu-nail-art-wholesale-365nails, friendlyName=Sparkling Red Nails with Crystal Glass-Bead Cat-Eye Shine</x:v>
      </x:c>
      <x:c r="D131" s="18" t="str">
        <x:v>shape: new short square; size: XS / S / M / L</x:v>
      </x:c>
      <x:c r="E131" s="25" t="str">
        <x:v>$3.49</x:v>
      </x:c>
      <x:c r="F131" s="19" t="str">
        <x:v>30</x:v>
      </x:c>
    </x:row>
    <x:row r="132" ht="93" customHeight="1">
      <x:c r="A132" s="19" t="n">
        <x:v>129</x:v>
      </x:c>
      <x:c r="B132" s="22" t="e">
        <x:f>HYPERLINK("https://cdn.shopify.com/s/files/1/0918/6066/4603/files/O1CN01op0bPZ1rlpRv6rkAa__2215158925672-0-cib.jpg?v=1754449895","Open")</x:f>
        <x:v>HYPERLINK is not implemented. linkLocation=https://cdn.shopify.com/s/files/1/0918/6066/4603/files/O1CN01op0bPZ1rlpRv6rkAa__2215158925672-0-cib.jpg?v=1754449895, friendlyName=Open</x:v>
      </x:c>
      <x:c r="C132" s="24" t="e">
        <x:f>HYPERLINK("https://365nails.com/products/aurora-almond-nail-relief-modeling-cats-eye-gem-handmade-press-on-nails-simple-and-sweet-wearing-nail-sticker-365nails","Aurora Sculpted Nails with Metallic Detail and Gem Cat-Eye Accents")</x:f>
        <x:v>HYPERLINK is not implemented. linkLocation=https://365nails.com/products/aurora-almond-nail-relief-modeling-cats-eye-gem-handmade-press-on-nails-simple-and-sweet-wearing-nail-sticker-365nails, friendlyName=Aurora Sculpted Nails with Metallic Detail and Gem Cat-Eye Accents</x:v>
      </x:c>
      <x:c r="D132" s="18" t="str">
        <x:v>shape: medium almond; size: XS / S / M / L</x:v>
      </x:c>
      <x:c r="E132" s="25" t="str">
        <x:v>$3.49</x:v>
      </x:c>
      <x:c r="F132" s="19" t="str">
        <x:v>30</x:v>
      </x:c>
    </x:row>
    <x:row r="133" ht="93" customHeight="1">
      <x:c r="A133" s="19" t="n">
        <x:v>130</x:v>
      </x:c>
      <x:c r="B133" s="22" t="e">
        <x:f>HYPERLINK("https://cdn.shopify.com/s/files/1/0918/6066/4603/files/O1CN018DiShQ1craGcoiFNL__2215464023654-0-cib_3870541a-3963-4f28-a614-2ec042ef543a.jpg?v=1763988350","Open")</x:f>
        <x:v>HYPERLINK is not implemented. linkLocation=https://cdn.shopify.com/s/files/1/0918/6066/4603/files/O1CN018DiShQ1craGcoiFNL__2215464023654-0-cib_3870541a-3963-4f28-a614-2ec042ef543a.jpg?v=1763988350, friendlyName=Open</x:v>
      </x:c>
      <x:c r="C133" s="24" t="e">
        <x:f>HYPERLINK("https://365nails.com/products/galaxy-velvet-magnetic-cat-eye-collection","Galaxy Velvet: Magnetic Cat Eye Collection")</x:f>
        <x:v>HYPERLINK is not implemented. linkLocation=https://365nails.com/products/galaxy-velvet-magnetic-cat-eye-collection, friendlyName=Galaxy Velvet: Magnetic Cat Eye Collection</x:v>
      </x:c>
      <x:c r="D133" s="18" t="str">
        <x:v>Color: （CM03） / （CM04） / （CM05） / （CM06） / （CM07） / （CM08） / （CM09） / （CM10） / （CM11） / （CM12） / （CM13） / （CM14） / （CM15） / （CM16） / （CM17） / （CM18） / （CM19） / （CM20） / （CM21） / （CM22） / （CM23） / （CM24） / （CM25） / （CM26） / （CM27） / （CM28） / （CM29） / （CM30） / （CM31） / （CM32） / （CM33） / （CM34） / （CM35） / （CM36） / （CM37） / （CM38） / （CM39） / （CM40） / （CM41） / （CM42） / （CM43） / （CM44） / （CM45） / （CM46） / （CM47） / （CM48） / （CM49） / （CW07） / （CW14） / （CW15） / （CW27） / （CW39） / （CW40）; Size: XS / S / M / L</x:v>
      </x:c>
      <x:c r="E133" s="25" t="str">
        <x:v>$1.49</x:v>
      </x:c>
      <x:c r="F133" s="19" t="str">
        <x:v>5</x:v>
      </x:c>
    </x:row>
    <x:row r="134" ht="93" customHeight="1">
      <x:c r="A134" s="19" t="n">
        <x:v>131</x:v>
      </x:c>
      <x:c r="B134" s="22" t="e">
        <x:f>HYPERLINK("https://cdn.shopify.com/s/files/1/0918/6066/4603/files/O1CN01va5gut1rlpN9Fdwdr__2215158925672-0-cib.jpg?v=1754470508","Open")</x:f>
        <x:v>HYPERLINK is not implemented. linkLocation=https://cdn.shopify.com/s/files/1/0918/6066/4603/files/O1CN01va5gut1rlpN9Fdwdr__2215158925672-0-cib.jpg?v=1754470508, friendlyName=Open</x:v>
      </x:c>
      <x:c r="C134" s="24" t="e">
        <x:f>HYPERLINK("https://365nails.com/products/pure-handmade-press-on-nails-cherries-red-and-black-spray-gun-gradual-change-simple-short-nail-patch-sticker-365nails","Cherry Red-Black Nails with Smooth Airbrushed Gradient")</x:f>
        <x:v>HYPERLINK is not implemented. linkLocation=https://365nails.com/products/pure-handmade-press-on-nails-cherries-red-and-black-spray-gun-gradual-change-simple-short-nail-patch-sticker-365nails, friendlyName=Cherry Red-Black Nails with Smooth Airbrushed Gradient</x:v>
      </x:c>
      <x:c r="D134" s="18" t="str">
        <x:v>shape: new short square / Short T; size: XS / S / M / L</x:v>
      </x:c>
      <x:c r="E134" s="25" t="str">
        <x:v>$2.49</x:v>
      </x:c>
      <x:c r="F134" s="19" t="str">
        <x:v>30</x:v>
      </x:c>
    </x:row>
    <x:row r="135" ht="93" customHeight="1">
      <x:c r="A135" s="19" t="n">
        <x:v>132</x:v>
      </x:c>
      <x:c r="B135" s="22" t="e">
        <x:f>HYPERLINK("https://cdn.shopify.com/s/files/1/0918/6066/4603/files/O1CN017imdLN1rlpVJpOMXf__2215158925672-0-cib.jpg?v=1754470765","Open")</x:f>
        <x:v>HYPERLINK is not implemented. linkLocation=https://cdn.shopify.com/s/files/1/0918/6066/4603/files/O1CN017imdLN1rlpVJpOMXf__2215158925672-0-cib.jpg?v=1754470765, friendlyName=Open</x:v>
      </x:c>
      <x:c r="C135" s="24" t="e">
        <x:f>HYPERLINK("https://365nails.com/products/handmade-press-on-nails-sweet-cool-spice-girl-blush-nail-embossed-cats-eye-long-nail-patch-fake-nails-365nails","Blush Cat-Eye Nails with Sweet-Cool Metallic Sculpting")</x:f>
        <x:v>HYPERLINK is not implemented. linkLocation=https://365nails.com/products/handmade-press-on-nails-sweet-cool-spice-girl-blush-nail-embossed-cats-eye-long-nail-patch-fake-nails-365nails, friendlyName=Blush Cat-Eye Nails with Sweet-Cool Metallic Sculpting</x:v>
      </x:c>
      <x:c r="D135" s="18" t="str">
        <x:v>shape: long pointed ellipse; size: XS / S / M</x:v>
      </x:c>
      <x:c r="E135" s="25" t="str">
        <x:v>$2.99</x:v>
      </x:c>
      <x:c r="F135" s="19" t="str">
        <x:v>30</x:v>
      </x:c>
    </x:row>
    <x:row r="136" ht="93" customHeight="1">
      <x:c r="A136" s="19" t="n">
        <x:v>133</x:v>
      </x:c>
      <x:c r="B136" s="22" t="e">
        <x:f>HYPERLINK("https://cdn.shopify.com/s/files/1/0918/6066/4603/files/dde95e648221f8cca6342180da95a06d.png?v=1755001100","Open")</x:f>
        <x:v>HYPERLINK is not implemented. linkLocation=https://cdn.shopify.com/s/files/1/0918/6066/4603/files/dde95e648221f8cca6342180da95a06d.png?v=1755001100, friendlyName=Open</x:v>
      </x:c>
      <x:c r="C136" s="24" t="e">
        <x:f>HYPERLINK("https://365nails.com/products/press-on-nails-double-sided-crystal-rubber-strip","Double-sided crystal rubber strip Sold in packs of 3. Minimum order: 1 pack (3 pcs). Quantity = number of packs. Qty 1 = 3pcs, Qty 2 =6 pcs")</x:f>
        <x:v>HYPERLINK is not implemented. linkLocation=https://365nails.com/products/press-on-nails-double-sided-crystal-rubber-strip, friendlyName=Double-sided crystal rubber strip Sold in packs of 3. Minimum order: 1 pack (3 pcs). Quantity = number of packs. Qty 1 = 3pcs, Qty 2 =6 pcs</x:v>
      </x:c>
      <x:c r="D136" s="18" t="str">
        <x:v>Color classification: Narrow white paper nail art adhesive sticker 36 stickers (easy to tear) / Double-sided crystal rubber strip semicircular angle (30 pieces/piece) 10mm wide 62mm long 0.8mm thick</x:v>
      </x:c>
      <x:c r="E136" s="25" t="str">
        <x:v>$0.30–$0.42</x:v>
      </x:c>
      <x:c r="F136" s="19" t="str">
        <x:v>1</x:v>
      </x:c>
    </x:row>
    <x:row r="137" ht="93" customHeight="1">
      <x:c r="A137" s="19" t="n">
        <x:v>134</x:v>
      </x:c>
      <x:c r="B137" s="22" t="e">
        <x:f>HYPERLINK("https://cdn.shopify.com/s/files/1/0918/6066/4603/files/O1CN01Zzy3IK1rlpS59UqbI__2215158925672-0-cib.jpg?v=1754470742","Open")</x:f>
        <x:v>HYPERLINK is not implemented. linkLocation=https://cdn.shopify.com/s/files/1/0918/6066/4603/files/O1CN01Zzy3IK1rlpS59UqbI__2215158925672-0-cib.jpg?v=1754470742, friendlyName=Open</x:v>
      </x:c>
      <x:c r="C137" s="24" t="e">
        <x:f>HYPERLINK("https://365nails.com/products/simple-blush-nail-sweet-pure-flash-spice-girl-long-handemade-press-on-nails-wearable-fake-nail-wholesale-365nails","Sweet Sparkling Nails with Soft Pure Gradient")</x:f>
        <x:v>HYPERLINK is not implemented. linkLocation=https://365nails.com/products/simple-blush-nail-sweet-pure-flash-spice-girl-long-handemade-press-on-nails-wearable-fake-nail-wholesale-365nails, friendlyName=Sweet Sparkling Nails with Soft Pure Gradient</x:v>
      </x:c>
      <x:c r="D137" s="18" t="str">
        <x:v>shape: long pointed ellipse; size: XS / S / M / L</x:v>
      </x:c>
      <x:c r="E137" s="25" t="str">
        <x:v>$2.49</x:v>
      </x:c>
      <x:c r="F137" s="19" t="str">
        <x:v>30</x:v>
      </x:c>
    </x:row>
    <x:row r="138" ht="93" customHeight="1">
      <x:c r="A138" s="19" t="n">
        <x:v>135</x:v>
      </x:c>
      <x:c r="B138" s="22" t="e">
        <x:f>HYPERLINK("https://cdn.shopify.com/s/files/1/0918/6066/4603/files/O1CN0117y6Rh1rlpSqwzyK1__2215158925672-0-cib.jpg?v=1754470719","Open")</x:f>
        <x:v>HYPERLINK is not implemented. linkLocation=https://cdn.shopify.com/s/files/1/0918/6066/4603/files/O1CN0117y6Rh1rlpSqwzyK1__2215158925672-0-cib.jpg?v=1754470719, friendlyName=Open</x:v>
      </x:c>
      <x:c r="C138" s="24" t="e">
        <x:f>HYPERLINK("https://365nails.com/products/summer-colorful-candy-simple-aurora-3d-three-dimensional-relief-handemade-press-on-nails-patch-365nails","Aurora Summer Nails with Colorful Candy 3D Sculpting")</x:f>
        <x:v>HYPERLINK is not implemented. linkLocation=https://365nails.com/products/summer-colorful-candy-simple-aurora-3d-three-dimensional-relief-handemade-press-on-nails-patch-365nails, friendlyName=Aurora Summer Nails with Colorful Candy 3D Sculpting</x:v>
      </x:c>
      <x:c r="D138" s="18" t="str">
        <x:v>shape: medium almond; size: XS / S / M / L</x:v>
      </x:c>
      <x:c r="E138" s="25" t="str">
        <x:v>$3.49</x:v>
      </x:c>
      <x:c r="F138" s="19" t="str">
        <x:v>30</x:v>
      </x:c>
    </x:row>
    <x:row r="139" ht="93" customHeight="1">
      <x:c r="A139" s="19" t="n">
        <x:v>136</x:v>
      </x:c>
      <x:c r="B139" s="22" t="e">
        <x:f>HYPERLINK("https://cdn.shopify.com/s/files/1/0918/6066/4603/files/O1CN01oQzfR61qQvfWWAIPa__3917635491-0-cib.jpg?v=1753523241","Open")</x:f>
        <x:v>HYPERLINK is not implemented. linkLocation=https://cdn.shopify.com/s/files/1/0918/6066/4603/files/O1CN01oQzfR61qQvfWWAIPa__3917635491-0-cib.jpg?v=1753523241, friendlyName=Open</x:v>
      </x:c>
      <x:c r="C139" s="24" t="e">
        <x:f>HYPERLINK("https://365nails.com/products/frosted-romantic-purple-butterfly-sweet-girl-press-on-toenails-manicure-24-fake-nail-wearable-manicure-365nails","Frosted romantic purple butterfly sweet girl Press-on toenails manicure 24 fake nail wearable manicure｜365nails")</x:f>
        <x:v>HYPERLINK is not implemented. linkLocation=https://365nails.com/products/frosted-romantic-purple-butterfly-sweet-girl-press-on-toenails-manicure-24-fake-nail-wearable-manicure-365nails, friendlyName=Frosted romantic purple butterfly sweet girl Press-on toenails manicure 24 fake nail wearable manicure｜365nails</x:v>
      </x:c>
      <x:c r="D139" s="18" t="str">
        <x:v>Color: F127 Romantic Butterfly [Glue]</x:v>
      </x:c>
      <x:c r="E139" s="25" t="str">
        <x:v>$0.82</x:v>
      </x:c>
      <x:c r="F139" s="19" t="str">
        <x:v>1</x:v>
      </x:c>
    </x:row>
    <x:row r="140" ht="93" customHeight="1">
      <x:c r="A140" s="19" t="n">
        <x:v>137</x:v>
      </x:c>
      <x:c r="B140" s="22" t="e">
        <x:f>HYPERLINK("https://cdn.shopify.com/s/files/1/0918/6066/4603/files/3a2531aa33218dbe5c5cf2af56c0fa4e.jpg?v=1764002283","Open")</x:f>
        <x:v>HYPERLINK is not implemented. linkLocation=https://cdn.shopify.com/s/files/1/0918/6066/4603/files/3a2531aa33218dbe5c5cf2af56c0fa4e.jpg?v=1764002283, friendlyName=Open</x:v>
      </x:c>
      <x:c r="C140" s="24" t="e">
        <x:f>HYPERLINK("https://365nails.com/products/aurora-shimmer-handmade-cat-eye-series","Aurora Shimmer: Handmade Cat Eye Series")</x:f>
        <x:v>HYPERLINK is not implemented. linkLocation=https://365nails.com/products/aurora-shimmer-handmade-cat-eye-series, friendlyName=Aurora Shimmer: Handmade Cat Eye Series</x:v>
      </x:c>
      <x:c r="D140" s="18" t="str">
        <x:v>Color: (CB01) A short almond / (CB02) a short almond / (CB03) A short almond / (CB04) A Short Almond / (CB05) A short almond / (CB06) A Short Almond / (CB07) A Short Almond / (CB08) A Short Almond / (CB09) A Short Almond / (CB11) a short almond / (CB12) a short almond / (CB13) a short almond / (CB14) a short almond / (CB15) a short almond / (CB16) a short almond / (CB17) a short almond / (CB18) a short almond / (CB19) a short almond / (CB20) a short almond / (CB21) a short almond / (CB22) a short almond / (CB23) a short almond / (CB24) a short almond / (CB25) a short almond / (CB26) a short almond; Color classification: XS / S / M / L</x:v>
      </x:c>
      <x:c r="E140" s="25" t="str">
        <x:v>$1.49</x:v>
      </x:c>
      <x:c r="F140" s="19" t="str">
        <x:v>5</x:v>
      </x:c>
    </x:row>
    <x:row r="141" ht="93" customHeight="1">
      <x:c r="A141" s="19" t="n">
        <x:v>138</x:v>
      </x:c>
      <x:c r="B141" s="22" t="e">
        <x:f>HYPERLINK("https://cdn.shopify.com/s/files/1/0918/6066/4603/files/2145033b373e7b01f3e66884d757a2cc.png?v=1764033134","Open")</x:f>
        <x:v>HYPERLINK is not implemented. linkLocation=https://cdn.shopify.com/s/files/1/0918/6066/4603/files/2145033b373e7b01f3e66884d757a2cc.png?v=1764033134, friendlyName=Open</x:v>
      </x:c>
      <x:c r="C141" s="24" t="e">
        <x:f>HYPERLINK("https://365nails.com/products/the-essential-solids-medium-coffin-handmade-press-on-nails","The Essential Solids | Medium Coffin | Handmade Press-on Nails")</x:f>
        <x:v>HYPERLINK is not implemented. linkLocation=https://365nails.com/products/the-essential-solids-medium-coffin-handmade-press-on-nails, friendlyName=The Essential Solids | Medium Coffin | Handmade Press-on Nails</x:v>
      </x:c>
      <x:c r="D141" s="18" t="str">
        <x:v>Color: black / Cherry red / blackcurrant / pepper white / Ebony sauce / Pippi powder / Milk coffee color / Simple white; Color classification: XS / S / M / L</x:v>
      </x:c>
      <x:c r="E141" s="25" t="str">
        <x:v>$2.49</x:v>
      </x:c>
      <x:c r="F141" s="19" t="str">
        <x:v>1</x:v>
      </x:c>
    </x:row>
    <x:row r="142" ht="93" customHeight="1">
      <x:c r="A142" s="19" t="n">
        <x:v>139</x:v>
      </x:c>
      <x:c r="B142" s="22" t="e">
        <x:f>HYPERLINK("https://cdn.shopify.com/s/files/1/0918/6066/4603/files/O1CN01NjXL3x2NGI19wZYmV__4234819935-0-cib.jpg?v=1763442097","Open")</x:f>
        <x:v>HYPERLINK is not implemented. linkLocation=https://cdn.shopify.com/s/files/1/0918/6066/4603/files/O1CN01NjXL3x2NGI19wZYmV__4234819935-0-cib.jpg?v=1763442097, friendlyName=Open</x:v>
      </x:c>
      <x:c r="C142" s="24" t="e">
        <x:f>HYPERLINK("https://365nails.com/products/soft-pink-floral-almond-nails-with-gold-details","Soft Pink Floral Almond Nails with Gold Details")</x:f>
        <x:v>HYPERLINK is not implemented. linkLocation=https://365nails.com/products/soft-pink-floral-almond-nails-with-gold-details, friendlyName=Soft Pink Floral Almond Nails with Gold Details</x:v>
      </x:c>
      <x:c r="D142" s="18" t="str">
        <x:v>Color: JP4095</x:v>
      </x:c>
      <x:c r="E142" s="25" t="str">
        <x:v>$1.86</x:v>
      </x:c>
      <x:c r="F142" s="19" t="str">
        <x:v>1</x:v>
      </x:c>
    </x:row>
    <x:row r="143" ht="93" customHeight="1">
      <x:c r="A143" s="19" t="n">
        <x:v>140</x:v>
      </x:c>
      <x:c r="B143" s="22" t="e">
        <x:f>HYPERLINK("https://cdn.shopify.com/s/files/1/0918/6066/4603/files/O1CN01l5946M2NGI0uEGOzX__4234819935-0-cib.jpg?v=1763445165","Open")</x:f>
        <x:v>HYPERLINK is not implemented. linkLocation=https://cdn.shopify.com/s/files/1/0918/6066/4603/files/O1CN01l5946M2NGI0uEGOzX__4234819935-0-cib.jpg?v=1763445165, friendlyName=Open</x:v>
      </x:c>
      <x:c r="C143" s="24" t="e">
        <x:f>HYPERLINK("https://365nails.com/products/shimmer-brown-metallic-cat-eye-press-on-nails","Shimmer Brown Metallic Cat Eye Press On Nails")</x:f>
        <x:v>HYPERLINK is not implemented. linkLocation=https://365nails.com/products/shimmer-brown-metallic-cat-eye-press-on-nails, friendlyName=Shimmer Brown Metallic Cat Eye Press On Nails</x:v>
      </x:c>
      <x:c r="D143" s="18" t="str">
        <x:v>Color: JP4130</x:v>
      </x:c>
      <x:c r="E143" s="25" t="str">
        <x:v>$1.01</x:v>
      </x:c>
      <x:c r="F143" s="19" t="str">
        <x:v>1</x:v>
      </x:c>
    </x:row>
    <x:row r="144" ht="93" customHeight="1">
      <x:c r="A144" s="19" t="n">
        <x:v>141</x:v>
      </x:c>
      <x:c r="B144" s="22" t="e">
        <x:f>HYPERLINK("https://cdn.shopify.com/s/files/1/0918/6066/4603/files/O1CN014SdzgL2NGI0zkywrX__4234819935-0-cib.jpg?v=1763443507","Open")</x:f>
        <x:v>HYPERLINK is not implemented. linkLocation=https://cdn.shopify.com/s/files/1/0918/6066/4603/files/O1CN014SdzgL2NGI0zkywrX__4234819935-0-cib.jpg?v=1763443507, friendlyName=Open</x:v>
      </x:c>
      <x:c r="C144" s="24" t="e">
        <x:f>HYPERLINK("https://365nails.com/products/mixed-floral-animal-pattern-almond-art-nails","Mixed Floral Animal Pattern Almond Art Nails")</x:f>
        <x:v>HYPERLINK is not implemented. linkLocation=https://365nails.com/products/mixed-floral-animal-pattern-almond-art-nails, friendlyName=Mixed Floral Animal Pattern Almond Art Nails</x:v>
      </x:c>
      <x:c r="D144" s="18" t="str">
        <x:v>Color: JP4082</x:v>
      </x:c>
      <x:c r="E144" s="25" t="str">
        <x:v>$1.70</x:v>
      </x:c>
      <x:c r="F144" s="19" t="str">
        <x:v>1</x:v>
      </x:c>
    </x:row>
    <x:row r="145" ht="93" customHeight="1">
      <x:c r="A145" s="19" t="n">
        <x:v>142</x:v>
      </x:c>
      <x:c r="B145" s="22" t="e">
        <x:f>HYPERLINK("https://cdn.shopify.com/s/files/1/0918/6066/4603/files/tufan_2Fe05de1da-b594-11f0-a0f0-00163e17c1a1.jpg?v=1761832561","Open")</x:f>
        <x:v>HYPERLINK is not implemented. linkLocation=https://cdn.shopify.com/s/files/1/0918/6066/4603/files/tufan_2Fe05de1da-b594-11f0-a0f0-00163e17c1a1.jpg?v=1761832561, friendlyName=Open</x:v>
      </x:c>
      <x:c r="C145" s="24" t="e">
        <x:f>HYPERLINK("https://365nails.com/products/colorful-double-sided-nail-files-multiple-grit-options-customizable-with-logo","Colorful Double-Sided Nail Files | Multiple Grit Options | Customizable with Logo (MOQ=100)")</x:f>
        <x:v>HYPERLINK is not implemented. linkLocation=https://365nails.com/products/colorful-double-sided-nail-files-multiple-grit-options-customizable-with-logo, friendlyName=Colorful Double-Sided Nail Files | Multiple Grit Options | Customizable with Logo (MOQ=100)</x:v>
      </x:c>
      <x:c r="D145" s="18" t="str">
        <x:v>Color classification: 5Cm rose red and blue 50pcs / 5Cm pink 50pcs / 5Cm pink and white 50pcs / 5Cm pink and purple 50pcs / 5Cm pink and blue 50pcs / 5Cm pink orange 50pcs / 5Cm pink and yellow 50pcs / 5Cm Yellow 50pcs / 5Cm yellow and white 50pcs / 5Cm yellow orange 50pcs / 5Cm orange 50pcs / 5Cm orange and white 50pcs / 5Cm red 50pcs / 5Cm red and white 50pcs / 5Cm blue 50pcs / 5Cm blue and white 50pcs / 5Cm green 50pcs / 5Cm green and white 50pcs / 5Cm purple 50pcs / 5Cm purple and white 50pcs / 5Cm grey 50pcs / 5Cm gray and white t50pcs / 5Cm white 50pcs / 5Cm fluorescent silver and white 50pcs / 5Cm black and white 50pcs / 6Cm rose red blue 50pcs / 6Cm pink 50pcs / 6Cm pink and white 50pcs / 6Cm pink and purple 50pcs / 6Cm pink and blue 50pcs / 6Cm pink orange 50pcs / 6Cm pink and yellow 50pcs / 6Cm Yellow 50pcs / 6Cm yellow and white 50pcs / 6Cm yellow orange 50pcs / 6Cm Orange 50pcs / 6Cm orange and white 50pcs / 6Cm red 50pcs / 6Cm red and white 50pcs / 6Cm blue 50pcs / 6Cm blue and white 50pcs / 6Cm green 50pcs / 6Cm green and white 50pcs / 6Cm purple 50pcs / 6Cm purple and white 50pcs / 6Cm grey 50pcs / 6Cm gray and white 50pcs / 6Cm White 50pcs / 6Cm fluorescent silver and white 50pcs / 6Cm black 50pcs / 6Cm black and white two-sided wood chip file / 8.5Cm rose red and blue 50pcs / 8.5Cm pink 50pcs / 8.5Cm pink and white 50pcs / 8.5Cm pink and purple 50pcs / 8.5Cm pink and blue 50pcs / 8.5Cm pink orange 50pcs / 8.5Cm pink and yellow 50pcs / 8.5Cm yellow 50pcs / 8.5Cm yellow and white 50pcs / 8.5Cm yellow orange 50pcs / 8.5Cm orange 50pcs / 8.5Cm orange and white 50pcs / 8.5Cm red 50pcs / 8.5Cm red and white 50pcs / 8.5Cm blue 50pcs / 8.5Cm blue and white 50pcs / 8.5Cm green 50pcs / 8.5Cm green and white 50pcs / 8.5Cm purple 50pcs / 8.5Cm purple and white 50pcs / 8.5Cm grey 50pcs / 8.5Cm gray-white 50pcs / 8.5Cm white 50pcs / 8.5Cm fluorescent silver-white 50pcs / 8.5Cm black 50pcs / 8.5Cm black and white 50pcs / 5Cm black 50pcs; Quantity: 2</x:v>
      </x:c>
      <x:c r="E145" s="25" t="str">
        <x:v>$4.00</x:v>
      </x:c>
      <x:c r="F145" s="19" t="str">
        <x:v>1</x:v>
      </x:c>
    </x:row>
    <x:row r="146" ht="93" customHeight="1">
      <x:c r="A146" s="19" t="n">
        <x:v>143</x:v>
      </x:c>
      <x:c r="B146" s="22" t="e">
        <x:f>HYPERLINK("https://cdn.shopify.com/s/files/1/0918/6066/4603/files/O1CN01cEU9y32NGHdIFNYLH__4234819935-0-cib.jpg?v=1753429959","Open")</x:f>
        <x:v>HYPERLINK is not implemented. linkLocation=https://cdn.shopify.com/s/files/1/0918/6066/4603/files/O1CN01cEU9y32NGHdIFNYLH__4234819935-0-cib.jpg?v=1753429959, friendlyName=Open</x:v>
      </x:c>
      <x:c r="C146" s="24" t="e">
        <x:f>HYPERLINK("https://365nails.com/products/black-and-white-water-wave-press-on-nails-simple-wind-nail-wave-nail-line-nail-press-on-nails-wholesale-365nails","Black and white water wave Press on nails simple wind nail  wave nail line nail  Press on nails wholesale｜365nails")</x:f>
        <x:v>HYPERLINK is not implemented. linkLocation=https://365nails.com/products/black-and-white-water-wave-press-on-nails-simple-wind-nail-wave-nail-line-nail-press-on-nails-wholesale-365nails, friendlyName=Black and white water wave Press on nails simple wind nail  wave nail line nail  Press on nails wholesale｜365nails</x:v>
      </x:c>
      <x:c r="D146" s="18" t="str">
        <x:v>color: JP1425</x:v>
      </x:c>
      <x:c r="E146" s="25" t="str">
        <x:v>$0.86</x:v>
      </x:c>
      <x:c r="F146" s="19" t="str">
        <x:v>1</x:v>
      </x:c>
    </x:row>
    <x:row r="147" ht="93" customHeight="1">
      <x:c r="A147" s="19" t="n">
        <x:v>144</x:v>
      </x:c>
      <x:c r="B147" s="22" t="e">
        <x:f>HYPERLINK("https://cdn.shopify.com/s/files/1/0918/6066/4603/files/O1CN01qZwW5e2NGI0ObLrKk__4234819935-0-cib.jpg?v=1763451662","Open")</x:f>
        <x:v>HYPERLINK is not implemented. linkLocation=https://cdn.shopify.com/s/files/1/0918/6066/4603/files/O1CN01qZwW5e2NGI0ObLrKk__4234819935-0-cib.jpg?v=1763451662, friendlyName=Open</x:v>
      </x:c>
      <x:c r="C147" s="24" t="e">
        <x:f>HYPERLINK("https://365nails.com/products/elegant-white-floral-accents-nude-press-on-nails","Elegant White Floral Accents Nude Press On Nails")</x:f>
        <x:v>HYPERLINK is not implemented. linkLocation=https://365nails.com/products/elegant-white-floral-accents-nude-press-on-nails, friendlyName=Elegant White Floral Accents Nude Press On Nails</x:v>
      </x:c>
      <x:c r="D147" s="18" t="str">
        <x:v>color: JP4089</x:v>
      </x:c>
      <x:c r="E147" s="25" t="str">
        <x:v>$1.76</x:v>
      </x:c>
      <x:c r="F147" s="19" t="str">
        <x:v>1</x:v>
      </x:c>
    </x:row>
    <x:row r="148" ht="93" customHeight="1">
      <x:c r="A148" s="19" t="n">
        <x:v>145</x:v>
      </x:c>
      <x:c r="B148" s="22" t="e">
        <x:f>HYPERLINK("https://cdn.shopify.com/s/files/1/0918/6066/4603/files/O1CN017PiQf52NGHyYX4ALo__4234819935-0-cib_8159274e-eb60-4201-9938-1809f8fa9230.jpg?v=1761291737","Open")</x:f>
        <x:v>HYPERLINK is not implemented. linkLocation=https://cdn.shopify.com/s/files/1/0918/6066/4603/files/O1CN017PiQf52NGHyYX4ALo__4234819935-0-cib_8159274e-eb60-4201-9938-1809f8fa9230.jpg?v=1761291737, friendlyName=Open</x:v>
      </x:c>
      <x:c r="C148" s="24" t="e">
        <x:f>HYPERLINK("https://365nails.com/products/crocodile-pattern-manicure-nail-piece-french-wearing-nail-fake-nail-cross-border-hot-selling-press-on-nails-nail-piece","Crocodile pattern manicure nail piece French wearing nail fake nail cross-border hot-selling press on nails nail piece")</x:f>
        <x:v>HYPERLINK is not implemented. linkLocation=https://365nails.com/products/crocodile-pattern-manicure-nail-piece-french-wearing-nail-fake-nail-cross-border-hot-selling-press-on-nails-nail-piece, friendlyName=Crocodile pattern manicure nail piece French wearing nail fake nail cross-border hot-selling press on nails nail piece</x:v>
      </x:c>
      <x:c r="D148" s="18" t="str">
        <x:v>Color: JP3968</x:v>
      </x:c>
      <x:c r="E148" s="25" t="str">
        <x:v>$0.84</x:v>
      </x:c>
      <x:c r="F148" s="19" t="str">
        <x:v>1</x:v>
      </x:c>
    </x:row>
    <x:row r="149" ht="93" customHeight="1">
      <x:c r="A149" s="19" t="n">
        <x:v>146</x:v>
      </x:c>
      <x:c r="B149" s="22" t="e">
        <x:f>HYPERLINK("https://cdn.shopify.com/s/files/1/0918/6066/4603/files/O1CN01QcasME2NGHyC2v8xv__4234819935-0-cib_a64f4605-4722-4365-a858-3d140e2823ee.jpg?v=1761291696","Open")</x:f>
        <x:v>HYPERLINK is not implemented. linkLocation=https://cdn.shopify.com/s/files/1/0918/6066/4603/files/O1CN01QcasME2NGHyC2v8xv__4234819935-0-cib_a64f4605-4722-4365-a858-3d140e2823ee.jpg?v=1761291696, friendlyName=Open</x:v>
      </x:c>
      <x:c r="C149" s="24" t="e">
        <x:f>HYPERLINK("https://365nails.com/products/european-and-american-foreign-trade-wearing-nail-short-short-round-nail-piece-simple-french-fake-nail-flower-nail-piece-nails","European and American foreign trade wearing nail short short round nail piece simple French fake nail flower nail piece nails")</x:f>
        <x:v>HYPERLINK is not implemented. linkLocation=https://365nails.com/products/european-and-american-foreign-trade-wearing-nail-short-short-round-nail-piece-simple-french-fake-nail-flower-nail-piece-nails, friendlyName=European and American foreign trade wearing nail short short round nail piece simple French fake nail flower nail piece nails</x:v>
      </x:c>
      <x:c r="D149" s="18" t="str">
        <x:v>Color: JP3969</x:v>
      </x:c>
      <x:c r="E149" s="25" t="str">
        <x:v>$0.70</x:v>
      </x:c>
      <x:c r="F149" s="19" t="str">
        <x:v>1</x:v>
      </x:c>
    </x:row>
    <x:row r="150" ht="93" customHeight="1">
      <x:c r="A150" s="19" t="n">
        <x:v>147</x:v>
      </x:c>
      <x:c r="B150" s="22" t="e">
        <x:f>HYPERLINK("https://cdn.shopify.com/s/files/1/0918/6066/4603/files/O1CN01CXgAG32NGHas45W44__4234819935-0-cib.jpg?v=1753430511","Open")</x:f>
        <x:v>HYPERLINK is not implemented. linkLocation=https://cdn.shopify.com/s/files/1/0918/6066/4603/files/O1CN01CXgAG32NGHas45W44__4234819935-0-cib.jpg?v=1753430511, friendlyName=Open</x:v>
      </x:c>
      <x:c r="C150" s="24" t="e">
        <x:f>HYPERLINK("https://365nails.com/products/french-long-ballet-blue-rhinestone-line-feeling-wavy-small-flower-black-wearing-manicure-foreign-trade-cross-border-direct-supply-fake-nail-patch-365nails","French long ballet blue rhinestone line feeling wavy small flower black wearing manicure   direct supply  patch｜365nails")</x:f>
        <x:v>HYPERLINK is not implemented. linkLocation=https://365nails.com/products/french-long-ballet-blue-rhinestone-line-feeling-wavy-small-flower-black-wearing-manicure-foreign-trade-cross-border-direct-supply-fake-nail-patch-365nails, friendlyName=French long ballet blue rhinestone line feeling wavy small flower black wearing manicure   direct supply  patch｜365nails</x:v>
      </x:c>
      <x:c r="D150" s="18" t="str">
        <x:v>color: 1087 / 1117 / 1118 / 1200 / 1094 / 1132</x:v>
      </x:c>
      <x:c r="E150" s="25" t="str">
        <x:v>$0.99–$1.68</x:v>
      </x:c>
      <x:c r="F150" s="19" t="str">
        <x:v>1</x:v>
      </x:c>
    </x:row>
    <x:row r="151" ht="93" customHeight="1">
      <x:c r="A151" s="19" t="n">
        <x:v>148</x:v>
      </x:c>
      <x:c r="B151" s="22" t="e">
        <x:f>HYPERLINK("https://cdn.shopify.com/s/files/1/0918/6066/4603/files/O1CN0127lGEo2NGHyghpy7R__4234819935-0-cib.jpg?v=1753430698","Open")</x:f>
        <x:v>HYPERLINK is not implemented. linkLocation=https://cdn.shopify.com/s/files/1/0918/6066/4603/files/O1CN0127lGEo2NGHyghpy7R__4234819935-0-cib.jpg?v=1753430698, friendlyName=Open</x:v>
      </x:c>
      <x:c r="C151" s="24" t="e">
        <x:f>HYPERLINK("https://365nails.com/products/cross-border-hot-selling-french-white-smudged-wearable-nail-short-almond-shaped-manicure-fake-nail-removable-wearable-nail-piece-365nails","hot-selling French white smudged wearable nail short almond-shaped manicure fake nail removable wearable nail piece｜365nails")</x:f>
        <x:v>HYPERLINK is not implemented. linkLocation=https://365nails.com/products/cross-border-hot-selling-french-white-smudged-wearable-nail-short-almond-shaped-manicure-fake-nail-removable-wearable-nail-piece-365nails, friendlyName=hot-selling French white smudged wearable nail short almond-shaped manicure fake nail removable wearable nail piece｜365nails</x:v>
      </x:c>
      <x:c r="D151" s="18" t="str">
        <x:v>color: JP3924</x:v>
      </x:c>
      <x:c r="E151" s="25" t="str">
        <x:v>$0.70</x:v>
      </x:c>
      <x:c r="F151" s="19" t="str">
        <x:v>1</x:v>
      </x:c>
    </x:row>
    <x:row r="152" ht="93" customHeight="1">
      <x:c r="A152" s="19" t="n">
        <x:v>149</x:v>
      </x:c>
      <x:c r="B152" s="22" t="e">
        <x:f>HYPERLINK("https://cdn.shopify.com/s/files/1/0918/6066/4603/files/c4397c00fcff78e51c5ba86bd00925a6.png?v=1764032131","Open")</x:f>
        <x:v>HYPERLINK is not implemented. linkLocation=https://cdn.shopify.com/s/files/1/0918/6066/4603/files/c4397c00fcff78e51c5ba86bd00925a6.png?v=1764032131, friendlyName=Open</x:v>
      </x:c>
      <x:c r="C152" s="24" t="e">
        <x:f>HYPERLINK("https://365nails.com/products/the-essential-solids-medium-oval-handmade-press-on-nails","The Essential Solids | Medium Oval ｜Handmade Press-on Nails")</x:f>
        <x:v>HYPERLINK is not implemented. linkLocation=https://365nails.com/products/the-essential-solids-medium-oval-handmade-press-on-nails, friendlyName=The Essential Solids | Medium Oval ｜Handmade Press-on Nails</x:v>
      </x:c>
      <x:c r="D152" s="18" t="str">
        <x:v>Color: Cherry red / Blackcurrant [white] / milk blue / No blue no green / Highlight Black / Blue / Ebony sauce / pepper white / Pippi powder / denim blue / cream purple / Simple white / Spice Girl [Dragon Fruit] / Turmeric / emerald / Grass Bubble / Cantaloupe / Mint Green / Cardamom / Jade Green [Medium Oval] / Air Force Blue; Color classification: XS [Medium Ellipse] / S [medium ellipse] / M [medium ellipse] / L [Medium Ellipse]</x:v>
      </x:c>
      <x:c r="E152" s="25" t="str">
        <x:v>$2.49</x:v>
      </x:c>
      <x:c r="F152" s="19" t="str">
        <x:v>1</x:v>
      </x:c>
    </x:row>
    <x:row r="153" ht="93" customHeight="1">
      <x:c r="A153" s="19" t="n">
        <x:v>150</x:v>
      </x:c>
      <x:c r="B153" s="22" t="e">
        <x:f>HYPERLINK("https://cdn.shopify.com/s/files/1/0918/6066/4603/files/77a877c9b1828eabed655d0000d52c9e.png?v=1764032432","Open")</x:f>
        <x:v>HYPERLINK is not implemented. linkLocation=https://cdn.shopify.com/s/files/1/0918/6066/4603/files/77a877c9b1828eabed655d0000d52c9e.png?v=1764032432, friendlyName=Open</x:v>
      </x:c>
      <x:c r="C153" s="24" t="e">
        <x:f>HYPERLINK("https://365nails.com/products/the-essential-solids-short-medium-square-handmade-press-on-nails","The Essential Solids | Short Medium Square | Handmade Press-on Nails")</x:f>
        <x:v>HYPERLINK is not implemented. linkLocation=https://365nails.com/products/the-essential-solids-short-medium-square-handmade-press-on-nails, friendlyName=The Essential Solids | Short Medium Square | Handmade Press-on Nails</x:v>
      </x:c>
      <x:c r="D153" s="18" t="str">
        <x:v>Color: Milk Blue - Short Square / Milk Blue - Chinese / Cardamom - Short Square / Cardamom - Chinese / Cantaloupe - Short Square / Cantaloupe - Chinese / Milk Tofu - Short Cube / Milk tofu - Chinese / Chicken Yellow - Short Square / Chicken Yellow - Chinese / Grape Purple - Short Square / Grape Purple - Chinese / Egg Milk Huhu - Short Square / Egg Milk Huhu - Chinese / No Blue No Green - Short Square / Neither Blue nor Green - China / Mint Green - Short Square / Mint Green - Short Chinese / Blue - short square / Blue- China / Taro Purple - Short Square / Taro Purple - Chinese / Vanilla Bubbles - Short Square / Vanilla Bubble - Chinese / Bright Black - Short Square / Bright Black - Chinese / Spice Girl Dragon Fruit - Short Party / Spice Girl Dragon Fruit - Chinese / Denim Blue - Short Square / Denim Blue - Chinese / White Lemon Yellow - Short Square / White lemon yellow - Chinese / Pippi Powder - Short Square / Pippi Powder - Chinese / Pippi Powder - Small Short Round / Burgundy - Short Square / Burgundy - Chinese / Burgundy - Short Ellipse; Size: XS / S / M / L</x:v>
      </x:c>
      <x:c r="E153" s="25" t="str">
        <x:v>$2.49</x:v>
      </x:c>
      <x:c r="F153" s="19" t="str">
        <x:v>1</x:v>
      </x:c>
    </x:row>
    <x:row r="154" ht="93" customHeight="1">
      <x:c r="A154" s="19" t="n">
        <x:v>151</x:v>
      </x:c>
      <x:c r="B154" s="22" t="e">
        <x:f>HYPERLINK("https://cdn.shopify.com/s/files/1/0918/6066/4603/files/O1CN01l5CQPd2NGI0Vei3pu__4234819935-0-cib.jpg?v=1763443172","Open")</x:f>
        <x:v>HYPERLINK is not implemented. linkLocation=https://cdn.shopify.com/s/files/1/0918/6066/4603/files/O1CN01l5CQPd2NGI0Vei3pu__4234819935-0-cib.jpg?v=1763443172, friendlyName=Open</x:v>
      </x:c>
      <x:c r="C154" s="24" t="e">
        <x:f>HYPERLINK("https://365nails.com/products/metallic-floral-sculpted-art-nails-for-statement-style","Metallic Floral Sculpted Art Nails for Statement Style")</x:f>
        <x:v>HYPERLINK is not implemented. linkLocation=https://365nails.com/products/metallic-floral-sculpted-art-nails-for-statement-style, friendlyName=Metallic Floral Sculpted Art Nails for Statement Style</x:v>
      </x:c>
      <x:c r="D154" s="18" t="str">
        <x:v>Color: JP4020</x:v>
      </x:c>
      <x:c r="E154" s="25" t="str">
        <x:v>$1.98</x:v>
      </x:c>
      <x:c r="F154" s="19" t="str">
        <x:v>1</x:v>
      </x:c>
    </x:row>
    <x:row r="155" ht="93" customHeight="1">
      <x:c r="A155" s="19" t="n">
        <x:v>152</x:v>
      </x:c>
      <x:c r="B155" s="22" t="e">
        <x:f>HYPERLINK("https://cdn.shopify.com/s/files/1/0918/6066/4603/files/22272dc8631c22780fdf9099459e674b.png?v=1764032053","Open")</x:f>
        <x:v>HYPERLINK is not implemented. linkLocation=https://cdn.shopify.com/s/files/1/0918/6066/4603/files/22272dc8631c22780fdf9099459e674b.png?v=1764032053, friendlyName=Open</x:v>
      </x:c>
      <x:c r="C155" s="24" t="e">
        <x:f>HYPERLINK("https://365nails.com/products/the-essential-solids-short-round-handmade-press-on-nails","The Essential Solids | Short Round｜Handmade Press-on Nails")</x:f>
        <x:v>HYPERLINK is not implemented. linkLocation=https://365nails.com/products/the-essential-solids-short-round-handmade-press-on-nails, friendlyName=The Essential Solids | Short Round｜Handmade Press-on Nails</x:v>
      </x:c>
      <x:c r="D155" s="18" t="str">
        <x:v>Color: Cherry red / Blackcurrant [white] / milk blue / No blue no green / Highlight Black / Blue / Ebony sauce / pepper white / Pippi powder / denim blue / cream purple / Simple white / Spice Girl [Dragon Fruit] / Turmeric / emerald / Grass Bubble / Cantaloupe / Mint Green / Cardamom; Size: XS [Short Ellipse] / S [Short Ellipse] / M [Short Ellipse] / L [Short Ellipse]</x:v>
      </x:c>
      <x:c r="E155" s="25" t="str">
        <x:v>$2.49</x:v>
      </x:c>
      <x:c r="F155" s="19" t="str">
        <x:v>1</x:v>
      </x:c>
    </x:row>
    <x:row r="156" ht="93" customHeight="1">
      <x:c r="A156" s="19" t="n">
        <x:v>153</x:v>
      </x:c>
      <x:c r="B156" s="22" t="e">
        <x:f>HYPERLINK("https://cdn.shopify.com/s/files/1/0918/6066/4603/files/O1CN01YGvYLc2NGI0mji3K8__4234819935-0-cib.jpg?v=1763446830","Open")</x:f>
        <x:v>HYPERLINK is not implemented. linkLocation=https://cdn.shopify.com/s/files/1/0918/6066/4603/files/O1CN01YGvYLc2NGI0mji3K8__4234819935-0-cib.jpg?v=1763446830, friendlyName=Open</x:v>
      </x:c>
      <x:c r="C156" s="24" t="e">
        <x:f>HYPERLINK("https://365nails.com/products/soft-pink-glow-round-nails-for-everyday-elegance","Soft Pink Glow Round Nails for Everyday Elegance")</x:f>
        <x:v>HYPERLINK is not implemented. linkLocation=https://365nails.com/products/soft-pink-glow-round-nails-for-everyday-elegance, friendlyName=Soft Pink Glow Round Nails for Everyday Elegance</x:v>
      </x:c>
      <x:c r="D156" s="18" t="str">
        <x:v>Color: JP4136</x:v>
      </x:c>
      <x:c r="E156" s="25" t="str">
        <x:v>$1.01</x:v>
      </x:c>
      <x:c r="F156" s="19" t="str">
        <x:v>1</x:v>
      </x:c>
    </x:row>
    <x:row r="157" ht="93" customHeight="1">
      <x:c r="A157" s="19" t="n">
        <x:v>154</x:v>
      </x:c>
      <x:c r="B157" s="22" t="e">
        <x:f>HYPERLINK("https://cdn.shopify.com/s/files/1/0918/6066/4603/files/e5bc4a2c14eb5597645bc6c321623831.png?v=1764031851","Open")</x:f>
        <x:v>HYPERLINK is not implemented. linkLocation=https://cdn.shopify.com/s/files/1/0918/6066/4603/files/e5bc4a2c14eb5597645bc6c321623831.png?v=1764031851, friendlyName=Open</x:v>
      </x:c>
      <x:c r="C157" s="24" t="e">
        <x:f>HYPERLINK("https://365nails.com/products/the-essential-solids-short-round-cute-handmade-press-on-nails","The Essential Solids | Short Round Cute | Handmade Press-on Nails")</x:f>
        <x:v>HYPERLINK is not implemented. linkLocation=https://365nails.com/products/the-essential-solids-short-round-cute-handmade-press-on-nails, friendlyName=The Essential Solids | Short Round Cute | Handmade Press-on Nails</x:v>
      </x:c>
      <x:c r="D157" s="18" t="str">
        <x:v>Color: milk blue / White grass green / Egg boy / Pure black / pepper white / Grass Bubble / Pippi powder / grape purple / No blue no green / Milk Fu Purple / TF green / Dragon Fruit Spice Girls / Turmeric / pure white / lemon yellow / Cherry red / Cantaloupe; Size: XS / S / M / L</x:v>
      </x:c>
      <x:c r="E157" s="25" t="str">
        <x:v>$2.49</x:v>
      </x:c>
      <x:c r="F157" s="19" t="str">
        <x:v>1</x:v>
      </x:c>
    </x:row>
    <x:row r="158" ht="93" customHeight="1">
      <x:c r="A158" s="19" t="n">
        <x:v>155</x:v>
      </x:c>
      <x:c r="B158" s="22" t="e">
        <x:f>HYPERLINK("https://cdn.shopify.com/s/files/1/0918/6066/4603/files/O1CN01E0azt11rlpaH0Lld0__2215158925672-0-cib_b50cd2a6-c74b-4325-8ce2-b0b86b543aa1.jpg?v=1763187560","Open")</x:f>
        <x:v>HYPERLINK is not implemented. linkLocation=https://cdn.shopify.com/s/files/1/0918/6066/4603/files/O1CN01E0azt11rlpaH0Lld0__2215158925672-0-cib_b50cd2a6-c74b-4325-8ce2-b0b86b543aa1.jpg?v=1763187560, friendlyName=Open</x:v>
      </x:c>
      <x:c r="C158" s="24" t="e">
        <x:f>HYPERLINK("https://365nails.com/products/amber-rouge-series-press-on-nails","Amber Rouge Series Press-On Nails")</x:f>
        <x:v>HYPERLINK is not implemented. linkLocation=https://365nails.com/products/amber-rouge-series-press-on-nails, friendlyName=Amber Rouge Series Press-On Nails</x:v>
      </x:c>
      <x:c r="D158" s="18" t="str">
        <x:v>Size: S / M / L</x:v>
      </x:c>
      <x:c r="E158" s="25" t="str">
        <x:v>$3.99</x:v>
      </x:c>
      <x:c r="F158" s="19" t="str">
        <x:v>30</x:v>
      </x:c>
    </x:row>
    <x:row r="159" ht="93" customHeight="1">
      <x:c r="A159" s="19" t="n">
        <x:v>156</x:v>
      </x:c>
      <x:c r="B159" s="22" t="e">
        <x:f>HYPERLINK("https://cdn.shopify.com/s/files/1/0918/6066/4603/files/O1CN01bPpQa12NGI17l5aqS__4234819935-0-cib.jpg?v=1763440203","Open")</x:f>
        <x:v>HYPERLINK is not implemented. linkLocation=https://cdn.shopify.com/s/files/1/0918/6066/4603/files/O1CN01bPpQa12NGI17l5aqS__4234819935-0-cib.jpg?v=1763440203, friendlyName=Open</x:v>
      </x:c>
      <x:c r="C159" s="24" t="e">
        <x:f>HYPERLINK("https://365nails.com/products/soft-almond-yellow-french-tips-glossy-everyday-press-on-nails","Soft Almond Yellow French Tips Glossy Everyday Press-On Nails")</x:f>
        <x:v>HYPERLINK is not implemented. linkLocation=https://365nails.com/products/soft-almond-yellow-french-tips-glossy-everyday-press-on-nails, friendlyName=Soft Almond Yellow French Tips Glossy Everyday Press-On Nails</x:v>
      </x:c>
      <x:c r="D159" s="18" t="str">
        <x:v>Color: JP4157</x:v>
      </x:c>
      <x:c r="E159" s="25" t="str">
        <x:v>$1.81</x:v>
      </x:c>
      <x:c r="F159" s="19" t="str">
        <x:v>1</x:v>
      </x:c>
    </x:row>
    <x:row r="160" ht="93" customHeight="1">
      <x:c r="A160" s="19" t="n">
        <x:v>157</x:v>
      </x:c>
      <x:c r="B160" s="22" t="e">
        <x:f>HYPERLINK("https://cdn.shopify.com/s/files/1/0918/6066/4603/files/tufan_2F7d49c39e-ca6a-11f0-8404-00163e1f816f.jpg?v=1764122219","Open")</x:f>
        <x:v>HYPERLINK is not implemented. linkLocation=https://cdn.shopify.com/s/files/1/0918/6066/4603/files/tufan_2F7d49c39e-ca6a-11f0-8404-00163e1f816f.jpg?v=1764122219, friendlyName=Open</x:v>
      </x:c>
      <x:c r="C160" s="24" t="e">
        <x:f>HYPERLINK("https://365nails.com/products/classic-solid-color-short-nail-set","Classic Solid Color Short Nail Set (MOQ=3)")</x:f>
        <x:v>HYPERLINK is not implemented. linkLocation=https://365nails.com/products/classic-solid-color-short-nail-set, friendlyName=Classic Solid Color Short Nail Set (MOQ=3)</x:v>
      </x:c>
      <x:c r="D160" s="18" t="str">
        <x:v>Color classification: A077-S15 / A077-S25 / A077-S89 / A077-S117 / A077-S181 / A077-S206 / A077-S225 / A077-S248 / A077-S263 / A077-S281 / A077-S294 / A077-S295 / A077-S307 / Occidental Green-E721 / Desert Pollen-S155 / Chambray Blue-S529 / Lilac Pink Purple-S14 / Lemon Candy Yellow-S695 / Capri Blue-S153 / Fluorescent Yellow-S373 / Fluorescent Green-S374 / Fluorescent Orange-S375 / Fluorescent Blue-S376 / Round head E225 / Round head E1085 / Short Almond E241 / Short Almond E268 / Short Almond E405; Quantity: 3pcs</x:v>
      </x:c>
      <x:c r="E160" s="25" t="str">
        <x:v>$3.54</x:v>
      </x:c>
      <x:c r="F160" s="19" t="str">
        <x:v>1</x:v>
      </x:c>
    </x:row>
    <x:row r="161" ht="93" customHeight="1">
      <x:c r="A161" s="19" t="n">
        <x:v>158</x:v>
      </x:c>
      <x:c r="B161" s="22" t="e">
        <x:f>HYPERLINK("https://cdn.shopify.com/s/files/1/0918/6066/4603/files/O1CN01xq8lfe2NGI10y23yx__4234819935-0-cib.jpg?v=1763442239","Open")</x:f>
        <x:v>HYPERLINK is not implemented. linkLocation=https://cdn.shopify.com/s/files/1/0918/6066/4603/files/O1CN01xq8lfe2NGI10y23yx__4234819935-0-cib.jpg?v=1763442239, friendlyName=Open</x:v>
      </x:c>
      <x:c r="C161" s="24" t="e">
        <x:f>HYPERLINK("https://365nails.com/products/shimmer-brown-cat-eye-nails-with-glossy-elegant-finish","Shimmer Brown Cat-Eye Nails with Glossy Elegant Finish")</x:f>
        <x:v>HYPERLINK is not implemented. linkLocation=https://365nails.com/products/shimmer-brown-cat-eye-nails-with-glossy-elegant-finish, friendlyName=Shimmer Brown Cat-Eye Nails with Glossy Elegant Finish</x:v>
      </x:c>
      <x:c r="D161" s="18" t="str">
        <x:v>Color: JP4154</x:v>
      </x:c>
      <x:c r="E161" s="25" t="str">
        <x:v>$1.02</x:v>
      </x:c>
      <x:c r="F161" s="19" t="str">
        <x:v>1</x:v>
      </x:c>
    </x:row>
    <x:row r="162" ht="93" customHeight="1">
      <x:c r="A162" s="19" t="n">
        <x:v>159</x:v>
      </x:c>
      <x:c r="B162" s="22" t="e">
        <x:f>HYPERLINK("https://cdn.shopify.com/s/files/1/0918/6066/4603/files/O1CN01aDSwIU2NGI17NAOGn__4234819935-0-cib.jpg?v=1763441651","Open")</x:f>
        <x:v>HYPERLINK is not implemented. linkLocation=https://cdn.shopify.com/s/files/1/0918/6066/4603/files/O1CN01aDSwIU2NGI17NAOGn__4234819935-0-cib.jpg?v=1763441651, friendlyName=Open</x:v>
      </x:c>
      <x:c r="C162" s="24" t="e">
        <x:f>HYPERLINK("https://365nails.com/products/sweet-chocolate-patchwork-design-press-on-nails","Sweet Chocolate Patchwork Design Press On Nails")</x:f>
        <x:v>HYPERLINK is not implemented. linkLocation=https://365nails.com/products/sweet-chocolate-patchwork-design-press-on-nails, friendlyName=Sweet Chocolate Patchwork Design Press On Nails</x:v>
      </x:c>
      <x:c r="D162" s="18" t="str">
        <x:v>Color: JP4152</x:v>
      </x:c>
      <x:c r="E162" s="25" t="str">
        <x:v>$1.54</x:v>
      </x:c>
      <x:c r="F162" s="19" t="str">
        <x:v>1</x:v>
      </x:c>
    </x:row>
    <x:row r="163" ht="93" customHeight="1">
      <x:c r="A163" s="19" t="n">
        <x:v>160</x:v>
      </x:c>
      <x:c r="B163" s="22" t="e">
        <x:f>HYPERLINK("https://cdn.shopify.com/s/files/1/0918/6066/4603/files/O1CN01LaTzuK2NGI10XGxIk__4234819935-0-cib.jpg?v=1763440111","Open")</x:f>
        <x:v>HYPERLINK is not implemented. linkLocation=https://cdn.shopify.com/s/files/1/0918/6066/4603/files/O1CN01LaTzuK2NGI10XGxIk__4234819935-0-cib.jpg?v=1763440111, friendlyName=Open</x:v>
      </x:c>
      <x:c r="C163" s="24" t="e">
        <x:f>HYPERLINK("https://365nails.com/products/star-tortoiseshell-gold-accents-medium-artistic-press-on-nails","Star Tortoiseshell Gold Accents Medium Artistic Press On Nails")</x:f>
        <x:v>HYPERLINK is not implemented. linkLocation=https://365nails.com/products/star-tortoiseshell-gold-accents-medium-artistic-press-on-nails, friendlyName=Star Tortoiseshell Gold Accents Medium Artistic Press On Nails</x:v>
      </x:c>
      <x:c r="D163" s="18" t="str">
        <x:v>Color: JP4093</x:v>
      </x:c>
      <x:c r="E163" s="25" t="str">
        <x:v>$1.63</x:v>
      </x:c>
      <x:c r="F163" s="19" t="str">
        <x:v>1</x:v>
      </x:c>
    </x:row>
    <x:row r="164" ht="93" customHeight="1">
      <x:c r="A164" s="19" t="n">
        <x:v>161</x:v>
      </x:c>
      <x:c r="B164" s="22" t="e">
        <x:f>HYPERLINK("https://cdn.shopify.com/s/files/1/0918/6066/4603/files/O1CN01j9PKov2NGI12HKazR__4234819935-0-cib_e05ce73d-b742-49f0-8dc9-8960707580b4.jpg?v=1763446676","Open")</x:f>
        <x:v>HYPERLINK is not implemented. linkLocation=https://cdn.shopify.com/s/files/1/0918/6066/4603/files/O1CN01j9PKov2NGI12HKazR__4234819935-0-cib_e05ce73d-b742-49f0-8dc9-8960707580b4.jpg?v=1763446676, friendlyName=Open</x:v>
      </x:c>
      <x:c r="C164" s="24" t="e">
        <x:f>HYPERLINK("https://365nails.com/products/soft-pink-almond-nails-with-yellow-french-tip-glow","Soft Pink Almond Nails with Yellow French Tip Glow")</x:f>
        <x:v>HYPERLINK is not implemented. linkLocation=https://365nails.com/products/soft-pink-almond-nails-with-yellow-french-tip-glow, friendlyName=Soft Pink Almond Nails with Yellow French Tip Glow</x:v>
      </x:c>
      <x:c r="D164" s="18" t="str">
        <x:v>Color: JP4184</x:v>
      </x:c>
      <x:c r="E164" s="25" t="str">
        <x:v>$0.72</x:v>
      </x:c>
      <x:c r="F164" s="19" t="str">
        <x:v>1</x:v>
      </x:c>
    </x:row>
    <x:row r="165" ht="93" customHeight="1">
      <x:c r="A165" s="19" t="n">
        <x:v>162</x:v>
      </x:c>
      <x:c r="B165" s="22" t="e">
        <x:f>HYPERLINK("https://cdn.shopify.com/s/files/1/0918/6066/4603/files/O1CN01v0FpDm1JOkfXQntTE__933261019-0-cib_3c62e5c2-6623-4889-8959-645661d49ec0.jpg?v=1763877260","Open")</x:f>
        <x:v>HYPERLINK is not implemented. linkLocation=https://cdn.shopify.com/s/files/1/0918/6066/4603/files/O1CN01v0FpDm1JOkfXQntTE__933261019-0-cib_3c62e5c2-6623-4889-8959-645661d49ec0.jpg?v=1763877260, friendlyName=Open</x:v>
      </x:c>
      <x:c r="C165" s="24" t="e">
        <x:f>HYPERLINK("https://365nails.com/products/kids-press-on-nails-color-smudge-candy-color-student-safety-nail-sticker","Kids press-on nails Color smudge candy color student safety nail sticker")</x:f>
        <x:v>HYPERLINK is not implemented. linkLocation=https://365nails.com/products/kids-press-on-nails-color-smudge-candy-color-student-safety-nail-sticker, friendlyName=Kids press-on nails Color smudge candy color student safety nail sticker</x:v>
      </x:c>
      <x:c r="D165" s="18" t="str">
        <x:v>Color: 40-CM164; Quanlity: 3pcs</x:v>
      </x:c>
      <x:c r="E165" s="25" t="str">
        <x:v>$5.00</x:v>
      </x:c>
      <x:c r="F165" s="19" t="str">
        <x:v>1</x:v>
      </x:c>
    </x:row>
    <x:row r="166" ht="93" customHeight="1">
      <x:c r="A166" s="19" t="n">
        <x:v>163</x:v>
      </x:c>
      <x:c r="B166" s="22" t="e">
        <x:f>HYPERLINK("https://cdn.shopify.com/s/files/1/0918/6066/4603/files/O1CN01dVrXqX2NGHjTKorLh__4234819935-0-cib.jpg?v=1763446926","Open")</x:f>
        <x:v>HYPERLINK is not implemented. linkLocation=https://cdn.shopify.com/s/files/1/0918/6066/4603/files/O1CN01dVrXqX2NGHjTKorLh__4234819935-0-cib.jpg?v=1763446926, friendlyName=Open</x:v>
      </x:c>
      <x:c r="C166" s="24" t="e">
        <x:f>HYPERLINK("https://365nails.com/products/brown-glitter-toe-nails-with-chic-shimmer-accents","Brown Glitter Toe Nails with Chic Shimmer Accents")</x:f>
        <x:v>HYPERLINK is not implemented. linkLocation=https://365nails.com/products/brown-glitter-toe-nails-with-chic-shimmer-accents, friendlyName=Brown Glitter Toe Nails with Chic Shimmer Accents</x:v>
      </x:c>
      <x:c r="D166" s="18" t="str">
        <x:v>Color: JP2340</x:v>
      </x:c>
      <x:c r="E166" s="25" t="str">
        <x:v>$1.62</x:v>
      </x:c>
      <x:c r="F166" s="19" t="str">
        <x:v>1</x:v>
      </x:c>
    </x:row>
    <x:row r="167" ht="93" customHeight="1">
      <x:c r="A167" s="19" t="n">
        <x:v>164</x:v>
      </x:c>
      <x:c r="B167" s="22" t="e">
        <x:f>HYPERLINK("https://cdn.shopify.com/s/files/1/0918/6066/4603/files/O1CN01vVgdjQ2NGI0hw2jTR__4234819935-0-cib.jpg?v=1763443929","Open")</x:f>
        <x:v>HYPERLINK is not implemented. linkLocation=https://cdn.shopify.com/s/files/1/0918/6066/4603/files/O1CN01vVgdjQ2NGI0hw2jTR__4234819935-0-cib.jpg?v=1763443929, friendlyName=Open</x:v>
      </x:c>
      <x:c r="C167" s="24" t="e">
        <x:f>HYPERLINK("https://365nails.com/products/pink-gold-wave-charm-press-on-nails-elegant-design","Pink Gold Wave Charm Press On Nails Elegant Design")</x:f>
        <x:v>HYPERLINK is not implemented. linkLocation=https://365nails.com/products/pink-gold-wave-charm-press-on-nails-elegant-design, friendlyName=Pink Gold Wave Charm Press On Nails Elegant Design</x:v>
      </x:c>
      <x:c r="D167" s="18" t="str">
        <x:v>Color: JP4092</x:v>
      </x:c>
      <x:c r="E167" s="25" t="str">
        <x:v>$1.76</x:v>
      </x:c>
      <x:c r="F167" s="19" t="str">
        <x:v>1</x:v>
      </x:c>
    </x:row>
    <x:row r="168" ht="93" customHeight="1">
      <x:c r="A168" s="19" t="n">
        <x:v>165</x:v>
      </x:c>
      <x:c r="B168" s="22" t="e">
        <x:f>HYPERLINK("https://cdn.shopify.com/s/files/1/0918/6066/4603/files/O1CN015k5PYC2NGI0wqPMv9__4234819935-0-cib.jpg?v=1763443745","Open")</x:f>
        <x:v>HYPERLINK is not implemented. linkLocation=https://cdn.shopify.com/s/files/1/0918/6066/4603/files/O1CN015k5PYC2NGI0wqPMv9__4234819935-0-cib.jpg?v=1763443745, friendlyName=Open</x:v>
      </x:c>
      <x:c r="C168" s="24" t="e">
        <x:f>HYPERLINK("https://365nails.com/products/black-iridescent-cat-eye-glossy-press-on-nails","Black Iridescent Cat-Eye Glossy Press On Nails")</x:f>
        <x:v>HYPERLINK is not implemented. linkLocation=https://365nails.com/products/black-iridescent-cat-eye-glossy-press-on-nails, friendlyName=Black Iridescent Cat-Eye Glossy Press On Nails</x:v>
      </x:c>
      <x:c r="D168" s="18" t="str">
        <x:v>Color: JP4144</x:v>
      </x:c>
      <x:c r="E168" s="25" t="str">
        <x:v>$1.14</x:v>
      </x:c>
      <x:c r="F168" s="19" t="str">
        <x:v>1</x:v>
      </x:c>
    </x:row>
    <x:row r="169" ht="93" customHeight="1">
      <x:c r="A169" s="19" t="n">
        <x:v>166</x:v>
      </x:c>
      <x:c r="B169" s="22" t="e">
        <x:f>HYPERLINK("https://cdn.shopify.com/s/files/1/0918/6066/4603/files/O1CN015kvqiN2NGI12FnrmM__4234819935-0-cib.jpg?v=1763443268","Open")</x:f>
        <x:v>HYPERLINK is not implemented. linkLocation=https://cdn.shopify.com/s/files/1/0918/6066/4603/files/O1CN015kvqiN2NGI12FnrmM__4234819935-0-cib.jpg?v=1763443268, friendlyName=Open</x:v>
      </x:c>
      <x:c r="C169" s="24" t="e">
        <x:f>HYPERLINK("https://365nails.com/products/elegant-pink-floral-gold-accent-short-almond-press-on-nails","Elegant Pink Floral Gold Accent Short Almond Press On Nails")</x:f>
        <x:v>HYPERLINK is not implemented. linkLocation=https://365nails.com/products/elegant-pink-floral-gold-accent-short-almond-press-on-nails, friendlyName=Elegant Pink Floral Gold Accent Short Almond Press On Nails</x:v>
      </x:c>
      <x:c r="D169" s="18" t="str">
        <x:v>Color: JP4087</x:v>
      </x:c>
      <x:c r="E169" s="25" t="str">
        <x:v>$1.86</x:v>
      </x:c>
      <x:c r="F169" s="19" t="str">
        <x:v>1</x:v>
      </x:c>
    </x:row>
    <x:row r="170" ht="93" customHeight="1">
      <x:c r="A170" s="19" t="n">
        <x:v>167</x:v>
      </x:c>
      <x:c r="B170" s="22" t="e">
        <x:f>HYPERLINK("https://cdn.shopify.com/s/files/1/0918/6066/4603/files/O1CN0139bXLJ2NGI0ti0BA8__4234819935-0-cib.jpg?v=1763442002","Open")</x:f>
        <x:v>HYPERLINK is not implemented. linkLocation=https://cdn.shopify.com/s/files/1/0918/6066/4603/files/O1CN0139bXLJ2NGI0ti0BA8__4234819935-0-cib.jpg?v=1763442002, friendlyName=Open</x:v>
      </x:c>
      <x:c r="C170" s="24" t="e">
        <x:f>HYPERLINK("https://365nails.com/products/soft-nude-gradient-glitter-squoval-press-on-nails-set","Soft Nude Gradient Glitter Squoval Press On Nails Set")</x:f>
        <x:v>HYPERLINK is not implemented. linkLocation=https://365nails.com/products/soft-nude-gradient-glitter-squoval-press-on-nails-set, friendlyName=Soft Nude Gradient Glitter Squoval Press On Nails Set</x:v>
      </x:c>
      <x:c r="D170" s="18" t="str">
        <x:v>Color: JP4097</x:v>
      </x:c>
      <x:c r="E170" s="25" t="str">
        <x:v>$1.14</x:v>
      </x:c>
      <x:c r="F170" s="19" t="str">
        <x:v>1</x:v>
      </x:c>
    </x:row>
    <x:row r="171" ht="93" customHeight="1">
      <x:c r="A171" s="19" t="n">
        <x:v>168</x:v>
      </x:c>
      <x:c r="B171" s="22" t="e">
        <x:f>HYPERLINK("https://cdn.shopify.com/s/files/1/0918/6066/4603/files/O1CN0131ENAk2NGI12luwti__4234819935-0-cib.jpg?v=1763440681","Open")</x:f>
        <x:v>HYPERLINK is not implemented. linkLocation=https://cdn.shopify.com/s/files/1/0918/6066/4603/files/O1CN0131ENAk2NGI12luwti__4234819935-0-cib.jpg?v=1763440681, friendlyName=Open</x:v>
      </x:c>
      <x:c r="C171" s="24" t="e">
        <x:f>HYPERLINK("https://365nails.com/products/soft-pink-nude-gradient-almond-nails-with-subtle-sparkle","Soft Pink Nude Gradient Almond Nails with Subtle Sparkle")</x:f>
        <x:v>HYPERLINK is not implemented. linkLocation=https://365nails.com/products/soft-pink-nude-gradient-almond-nails-with-subtle-sparkle, friendlyName=Soft Pink Nude Gradient Almond Nails with Subtle Sparkle</x:v>
      </x:c>
      <x:c r="D171" s="18" t="str">
        <x:v>Color: JP4080</x:v>
      </x:c>
      <x:c r="E171" s="25" t="str">
        <x:v>$0.72</x:v>
      </x:c>
      <x:c r="F171" s="19" t="str">
        <x:v>1</x:v>
      </x:c>
    </x:row>
    <x:row r="172" ht="93" customHeight="1">
      <x:c r="A172" s="19" t="n">
        <x:v>169</x:v>
      </x:c>
      <x:c r="B172" s="22" t="e">
        <x:f>HYPERLINK("https://cdn.shopify.com/s/files/1/0918/6066/4603/files/O1CN01DdArik2NGI11tAcLt__4234819935-0-cib.jpg?v=1763440592","Open")</x:f>
        <x:v>HYPERLINK is not implemented. linkLocation=https://cdn.shopify.com/s/files/1/0918/6066/4603/files/O1CN01DdArik2NGI11tAcLt__4234819935-0-cib.jpg?v=1763440592, friendlyName=Open</x:v>
      </x:c>
      <x:c r="C172" s="24" t="e">
        <x:f>HYPERLINK("https://365nails.com/products/silver-chrome-3d-butterfly-stiletto-fantasy-press-on-nails","Silver Chrome 3D Butterfly Stiletto Fantasy Press On Nails")</x:f>
        <x:v>HYPERLINK is not implemented. linkLocation=https://365nails.com/products/silver-chrome-3d-butterfly-stiletto-fantasy-press-on-nails, friendlyName=Silver Chrome 3D Butterfly Stiletto Fantasy Press On Nails</x:v>
      </x:c>
      <x:c r="D172" s="18" t="str">
        <x:v>Color: JP4124</x:v>
      </x:c>
      <x:c r="E172" s="25" t="str">
        <x:v>$2.59</x:v>
      </x:c>
      <x:c r="F172" s="19" t="str">
        <x:v>1</x:v>
      </x:c>
    </x:row>
    <x:row r="173" ht="93" customHeight="1">
      <x:c r="A173" s="19" t="n">
        <x:v>170</x:v>
      </x:c>
      <x:c r="B173" s="22" t="e">
        <x:f>HYPERLINK("https://cdn.shopify.com/s/files/1/0918/6066/4603/files/O1CN01zhgc7j1JOkfhXFp2g__933261019-0-cib.jpg?v=1763877537","Open")</x:f>
        <x:v>HYPERLINK is not implemented. linkLocation=https://cdn.shopify.com/s/files/1/0918/6066/4603/files/O1CN01zhgc7j1JOkfhXFp2g__933261019-0-cib.jpg?v=1763877537, friendlyName=Open</x:v>
      </x:c>
      <x:c r="C173" s="24" t="e">
        <x:f>HYPERLINK("https://365nails.com/products/kids-press-on-nails-24-pieces-of-smudged-yellow-glitter-sparkles","Kids press-on nails 24 pieces of smudged yellow glitter sparkles")</x:f>
        <x:v>HYPERLINK is not implemented. linkLocation=https://365nails.com/products/kids-press-on-nails-24-pieces-of-smudged-yellow-glitter-sparkles, friendlyName=Kids press-on nails 24 pieces of smudged yellow glitter sparkles</x:v>
      </x:c>
      <x:c r="D173" s="18" t="str">
        <x:v>color: 95-CM14; quanlity: 3pcs</x:v>
      </x:c>
      <x:c r="E173" s="25" t="str">
        <x:v>$5.00</x:v>
      </x:c>
      <x:c r="F173" s="19" t="str">
        <x:v>1</x:v>
      </x:c>
    </x:row>
    <x:row r="174" ht="93" customHeight="1">
      <x:c r="A174" s="19" t="n">
        <x:v>171</x:v>
      </x:c>
      <x:c r="B174" s="22" t="e">
        <x:f>HYPERLINK("https://cdn.shopify.com/s/files/1/0918/6066/4603/files/O1CN01PrHhc42NGI0t0c0vn__4234819935-0-cib.jpg?v=1763440009","Open")</x:f>
        <x:v>HYPERLINK is not implemented. linkLocation=https://cdn.shopify.com/s/files/1/0918/6066/4603/files/O1CN01PrHhc42NGI0t0c0vn__4234819935-0-cib.jpg?v=1763440009, friendlyName=Open</x:v>
      </x:c>
      <x:c r="C174" s="24" t="e">
        <x:f>HYPERLINK("https://365nails.com/products/soft-nude-burgundy-french-tips-short-almond-press-on-nails","Soft Nude Burgundy French Tips Short Almond Press On Nails")</x:f>
        <x:v>HYPERLINK is not implemented. linkLocation=https://365nails.com/products/soft-nude-burgundy-french-tips-short-almond-press-on-nails, friendlyName=Soft Nude Burgundy French Tips Short Almond Press On Nails</x:v>
      </x:c>
      <x:c r="D174" s="18" t="str">
        <x:v>Color: JP4162</x:v>
      </x:c>
      <x:c r="E174" s="25" t="str">
        <x:v>$0.72</x:v>
      </x:c>
      <x:c r="F174" s="19" t="str">
        <x:v>1</x:v>
      </x:c>
    </x:row>
    <x:row r="175" ht="93" customHeight="1">
      <x:c r="A175" s="19" t="n">
        <x:v>172</x:v>
      </x:c>
      <x:c r="B175" s="22" t="e">
        <x:f>HYPERLINK("https://cdn.shopify.com/s/files/1/0918/6066/4603/files/tufan_2F1e249a1e-c9d5-11f0-af4c-00163e1989f2.jpg?v=1764058029","Open")</x:f>
        <x:v>HYPERLINK is not implemented. linkLocation=https://cdn.shopify.com/s/files/1/0918/6066/4603/files/tufan_2F1e249a1e-c9d5-11f0-af4c-00163e1989f2.jpg?v=1764058029, friendlyName=Open</x:v>
      </x:c>
      <x:c r="C175" s="24" t="e">
        <x:f>HYPERLINK("https://365nails.com/products/mirror-chrome-glow-short-nail-set","Mirror Chrome Glow Short Nail Set")</x:f>
        <x:v>HYPERLINK is not implemented. linkLocation=https://365nails.com/products/mirror-chrome-glow-short-nail-set, friendlyName=Mirror Chrome Glow Short Nail Set</x:v>
      </x:c>
      <x:c r="D175" s="18" t="str">
        <x:v>Color: 0083-E130 / 0083-E97</x:v>
      </x:c>
      <x:c r="E175" s="25" t="str">
        <x:v>$1.31</x:v>
      </x:c>
      <x:c r="F175" s="19" t="str">
        <x:v>1</x:v>
      </x:c>
    </x:row>
    <x:row r="176" ht="93" customHeight="1">
      <x:c r="A176" s="19" t="n">
        <x:v>173</x:v>
      </x:c>
      <x:c r="B176" s="22" t="e">
        <x:f>HYPERLINK("https://cdn.shopify.com/s/files/1/0918/6066/4603/files/O1CN01tQ7NGS2NGI0uh3TKW__4234819935-0-cib.jpg?v=1763440472","Open")</x:f>
        <x:v>HYPERLINK is not implemented. linkLocation=https://cdn.shopify.com/s/files/1/0918/6066/4603/files/O1CN01tQ7NGS2NGI0uh3TKW__4234819935-0-cib.jpg?v=1763440472, friendlyName=Open</x:v>
      </x:c>
      <x:c r="C176" s="24" t="e">
        <x:f>HYPERLINK("https://365nails.com/products/elegant-burgundy-bow-accent-oval-press-on-nails","Elegant Burgundy Bow Accent Oval Press On Nails")</x:f>
        <x:v>HYPERLINK is not implemented. linkLocation=https://365nails.com/products/elegant-burgundy-bow-accent-oval-press-on-nails, friendlyName=Elegant Burgundy Bow Accent Oval Press On Nails</x:v>
      </x:c>
      <x:c r="D176" s="18" t="str">
        <x:v>Color: JP4150</x:v>
      </x:c>
      <x:c r="E176" s="25" t="str">
        <x:v>$1.14</x:v>
      </x:c>
      <x:c r="F176" s="19" t="str">
        <x:v>1</x:v>
      </x:c>
    </x:row>
    <x:row r="177" ht="93" customHeight="1">
      <x:c r="A177" s="19" t="n">
        <x:v>174</x:v>
      </x:c>
      <x:c r="B177" s="22" t="e">
        <x:f>HYPERLINK("https://cdn.shopify.com/s/files/1/0918/6066/4603/files/O1CN01MXtEPf1rlpaTB8aEz__2215158925672-0-cib.jpg?v=1763102990","Open")</x:f>
        <x:v>HYPERLINK is not implemented. linkLocation=https://cdn.shopify.com/s/files/1/0918/6066/4603/files/O1CN01MXtEPf1rlpaTB8aEz__2215158925672-0-cib.jpg?v=1763102990, friendlyName=Open</x:v>
      </x:c>
      <x:c r="C177" s="24" t="e">
        <x:f>HYPERLINK("https://365nails.com/products/coral-petal-seashell-series-press-on-nails","Coral Petal Seashell Series Press-On Nails")</x:f>
        <x:v>HYPERLINK is not implemented. linkLocation=https://365nails.com/products/coral-petal-seashell-series-press-on-nails, friendlyName=Coral Petal Seashell Series Press-On Nails</x:v>
      </x:c>
      <x:c r="D177" s="18" t="str">
        <x:v>Size: S / M / L</x:v>
      </x:c>
      <x:c r="E177" s="25" t="str">
        <x:v>$4.99</x:v>
      </x:c>
      <x:c r="F177" s="19" t="str">
        <x:v>30</x:v>
      </x:c>
    </x:row>
    <x:row r="178" ht="93" customHeight="1">
      <x:c r="A178" s="19" t="n">
        <x:v>175</x:v>
      </x:c>
      <x:c r="B178" s="22" t="e">
        <x:f>HYPERLINK("https://cdn.shopify.com/s/files/1/0918/6066/4603/files/O1CN01WX27e21rlpaMiNC3R__2215158925672-0-cib.jpg?v=1763101899","Open")</x:f>
        <x:v>HYPERLINK is not implemented. linkLocation=https://cdn.shopify.com/s/files/1/0918/6066/4603/files/O1CN01WX27e21rlpaMiNC3R__2215158925672-0-cib.jpg?v=1763101899, friendlyName=Open</x:v>
      </x:c>
      <x:c r="C178" s="24" t="e">
        <x:f>HYPERLINK("https://365nails.com/products/sunset-bloom-ombre-series-press-on-nails","Sunset Bloom Ombre Series Press-On Nails")</x:f>
        <x:v>HYPERLINK is not implemented. linkLocation=https://365nails.com/products/sunset-bloom-ombre-series-press-on-nails, friendlyName=Sunset Bloom Ombre Series Press-On Nails</x:v>
      </x:c>
      <x:c r="D178" s="18" t="str">
        <x:v>SIZE: S / M / L</x:v>
      </x:c>
      <x:c r="E178" s="25" t="str">
        <x:v>$3.99</x:v>
      </x:c>
      <x:c r="F178" s="19" t="str">
        <x:v>30</x:v>
      </x:c>
    </x:row>
    <x:row r="179" ht="93" customHeight="1">
      <x:c r="A179" s="19" t="n">
        <x:v>176</x:v>
      </x:c>
      <x:c r="B179" s="22" t="e">
        <x:f>HYPERLINK("https://cdn.shopify.com/s/files/1/0918/6066/4603/files/O1CN01HBCjij1rlpa98t3rS__2215158925672-0-cib.jpg?v=1763175152","Open")</x:f>
        <x:v>HYPERLINK is not implemented. linkLocation=https://cdn.shopify.com/s/files/1/0918/6066/4603/files/O1CN01HBCjij1rlpa98t3rS__2215158925672-0-cib.jpg?v=1763175152, friendlyName=Open</x:v>
      </x:c>
      <x:c r="C179" s="24" t="e">
        <x:f>HYPERLINK("https://365nails.com/products/midnight-garden-series-press-on-nails","Midnight Garden Series Press-On Nails")</x:f>
        <x:v>HYPERLINK is not implemented. linkLocation=https://365nails.com/products/midnight-garden-series-press-on-nails, friendlyName=Midnight Garden Series Press-On Nails</x:v>
      </x:c>
      <x:c r="D179" s="18" t="str">
        <x:v>SIZE: S / M / L</x:v>
      </x:c>
      <x:c r="E179" s="25" t="str">
        <x:v>$4.49</x:v>
      </x:c>
      <x:c r="F179" s="19" t="str">
        <x:v>30</x:v>
      </x:c>
    </x:row>
    <x:row r="180" ht="93" customHeight="1">
      <x:c r="A180" s="19" t="n">
        <x:v>177</x:v>
      </x:c>
      <x:c r="B180" s="22" t="e">
        <x:f>HYPERLINK("https://cdn.shopify.com/s/files/1/0918/6066/4603/files/O1CN01ebZeMo1rlpaBD8GJg__2215158925672-0-cib_06c129dd-912e-4fb6-9710-a505b27ac209.jpg?v=1763183960","Open")</x:f>
        <x:v>HYPERLINK is not implemented. linkLocation=https://cdn.shopify.com/s/files/1/0918/6066/4603/files/O1CN01ebZeMo1rlpaBD8GJg__2215158925672-0-cib_06c129dd-912e-4fb6-9710-a505b27ac209.jpg?v=1763183960, friendlyName=Open</x:v>
      </x:c>
      <x:c r="C180" s="24" t="e">
        <x:f>HYPERLINK("https://365nails.com/products/garnet-bloom-series-press-on-nails","Garnet Bloom Series Press-On Nails")</x:f>
        <x:v>HYPERLINK is not implemented. linkLocation=https://365nails.com/products/garnet-bloom-series-press-on-nails, friendlyName=Garnet Bloom Series Press-On Nails</x:v>
      </x:c>
      <x:c r="D180" s="18" t="str">
        <x:v>SIZE: S / M / L</x:v>
      </x:c>
      <x:c r="E180" s="25" t="str">
        <x:v>$4.99</x:v>
      </x:c>
      <x:c r="F180" s="19" t="str">
        <x:v>30</x:v>
      </x:c>
    </x:row>
    <x:row r="181" ht="93" customHeight="1">
      <x:c r="A181" s="19" t="n">
        <x:v>178</x:v>
      </x:c>
      <x:c r="B181" s="22" t="e">
        <x:f>HYPERLINK("https://cdn.shopify.com/s/files/1/0918/6066/4603/files/O1CN01SEhOQI1rlpaMWvzls__2215158925672-0-cib_414b6d41-b342-4608-a608-5fc9129e7c0b.jpg?v=1763170653","Open")</x:f>
        <x:v>HYPERLINK is not implemented. linkLocation=https://cdn.shopify.com/s/files/1/0918/6066/4603/files/O1CN01SEhOQI1rlpaMWvzls__2215158925672-0-cib_414b6d41-b342-4608-a608-5fc9129e7c0b.jpg?v=1763170653, friendlyName=Open</x:v>
      </x:c>
      <x:c r="C181" s="24" t="e">
        <x:f>HYPERLINK("https://365nails.com/products/chrome-galaxy-aura-series-press-on-nails","Chrome Galaxy Aura Series Press-On Nails")</x:f>
        <x:v>HYPERLINK is not implemented. linkLocation=https://365nails.com/products/chrome-galaxy-aura-series-press-on-nails, friendlyName=Chrome Galaxy Aura Series Press-On Nails</x:v>
      </x:c>
      <x:c r="D181" s="18" t="str">
        <x:v>Size: S / M / L</x:v>
      </x:c>
      <x:c r="E181" s="25" t="str">
        <x:v>$4.49</x:v>
      </x:c>
      <x:c r="F181" s="19" t="str">
        <x:v>30</x:v>
      </x:c>
    </x:row>
    <x:row r="182" ht="93" customHeight="1">
      <x:c r="A182" s="19" t="n">
        <x:v>179</x:v>
      </x:c>
      <x:c r="B182" s="22" t="e">
        <x:f>HYPERLINK("https://cdn.shopify.com/s/files/1/0918/6066/4603/files/O1CN01tnHmcj1rlpaTrdMMh__2215158925672-0-cib.jpg?v=1763103780","Open")</x:f>
        <x:v>HYPERLINK is not implemented. linkLocation=https://cdn.shopify.com/s/files/1/0918/6066/4603/files/O1CN01tnHmcj1rlpaTrdMMh__2215158925672-0-cib.jpg?v=1763103780, friendlyName=Open</x:v>
      </x:c>
      <x:c r="C182" s="24" t="e">
        <x:f>HYPERLINK("https://365nails.com/products/sunset-blossom-shell-series-press-on-nails","Sunset Blossom Shell Series Press-On Nails")</x:f>
        <x:v>HYPERLINK is not implemented. linkLocation=https://365nails.com/products/sunset-blossom-shell-series-press-on-nails, friendlyName=Sunset Blossom Shell Series Press-On Nails</x:v>
      </x:c>
      <x:c r="D182" s="18" t="str">
        <x:v>SIZE: S / M / L</x:v>
      </x:c>
      <x:c r="E182" s="25" t="str">
        <x:v>$4.99</x:v>
      </x:c>
      <x:c r="F182" s="19" t="str">
        <x:v>30</x:v>
      </x:c>
    </x:row>
    <x:row r="183" ht="93" customHeight="1">
      <x:c r="A183" s="19" t="n">
        <x:v>180</x:v>
      </x:c>
      <x:c r="B183" s="22" t="e">
        <x:f>HYPERLINK("https://cdn.shopify.com/s/files/1/0918/6066/4603/files/O1CN01cfbFwI2NGHu9hkeEc__4234819935-0-cib.jpg?v=1753429820","Open")</x:f>
        <x:v>HYPERLINK is not implemented. linkLocation=https://cdn.shopify.com/s/files/1/0918/6066/4603/files/O1CN01cfbFwI2NGHu9hkeEc__4234819935-0-cib.jpg?v=1753429820, friendlyName=Open</x:v>
      </x:c>
      <x:c r="C183" s="24" t="e">
        <x:f>HYPERLINK("https://365nails.com/products/european-and-american-long-pointed-press-onable-nail-pads-finished-wholesale-solid-color-pink-simple-manicure-fake-nail-pads-365nails","long pointed Press onable nail pads finished wholesale solid color pink simple manicure fake nail pads｜365nails")</x:f>
        <x:v>HYPERLINK is not implemented. linkLocation=https://365nails.com/products/european-and-american-long-pointed-press-onable-nail-pads-finished-wholesale-solid-color-pink-simple-manicure-fake-nail-pads-365nails, friendlyName=long pointed Press onable nail pads finished wholesale solid color pink simple manicure fake nail pads｜365nails</x:v>
      </x:c>
      <x:c r="D183" s="18" t="str">
        <x:v>color: DIY34</x:v>
      </x:c>
      <x:c r="E183" s="25" t="str">
        <x:v>$1.11</x:v>
      </x:c>
      <x:c r="F183" s="19" t="str">
        <x:v>1</x:v>
      </x:c>
    </x:row>
    <x:row r="184" ht="93" customHeight="1">
      <x:c r="A184" s="19" t="n">
        <x:v>181</x:v>
      </x:c>
      <x:c r="B184" s="22" t="e">
        <x:f>HYPERLINK("https://cdn.shopify.com/s/files/1/0918/6066/4603/files/O1CN01gpJxOj1rlpaBcDOEX__2215158925672-0-cib.jpg?v=1763174751","Open")</x:f>
        <x:v>HYPERLINK is not implemented. linkLocation=https://cdn.shopify.com/s/files/1/0918/6066/4603/files/O1CN01gpJxOj1rlpaBcDOEX__2215158925672-0-cib.jpg?v=1763174751, friendlyName=Open</x:v>
      </x:c>
      <x:c r="C184" s="24" t="e">
        <x:f>HYPERLINK("https://365nails.com/products/ocean-bloom-series-press-on-nails","Ocean Bloom Series Press-On Nails")</x:f>
        <x:v>HYPERLINK is not implemented. linkLocation=https://365nails.com/products/ocean-bloom-series-press-on-nails, friendlyName=Ocean Bloom Series Press-On Nails</x:v>
      </x:c>
      <x:c r="D184" s="18" t="str">
        <x:v>Size: S / M / L</x:v>
      </x:c>
      <x:c r="E184" s="25" t="str">
        <x:v>$4.99</x:v>
      </x:c>
      <x:c r="F184" s="19" t="str">
        <x:v>30</x:v>
      </x:c>
    </x:row>
    <x:row r="185" ht="93" customHeight="1">
      <x:c r="A185" s="19" t="n">
        <x:v>182</x:v>
      </x:c>
      <x:c r="B185" s="22" t="e">
        <x:f>HYPERLINK("https://cdn.shopify.com/s/files/1/0918/6066/4603/files/O1CN01UVFvQP2NGI0gWgVOi__4234819935-0-cib.jpg?v=1763444444","Open")</x:f>
        <x:v>HYPERLINK is not implemented. linkLocation=https://cdn.shopify.com/s/files/1/0918/6066/4603/files/O1CN01UVFvQP2NGI0gWgVOi__4234819935-0-cib.jpg?v=1763444444, friendlyName=Open</x:v>
      </x:c>
      <x:c r="C185" s="24" t="e">
        <x:f>HYPERLINK("https://365nails.com/products/natural-nude-gradient-nails-with-soft-sheer-shine","Natural Nude Gradient Nails with Soft Sheer Shine")</x:f>
        <x:v>HYPERLINK is not implemented. linkLocation=https://365nails.com/products/natural-nude-gradient-nails-with-soft-sheer-shine, friendlyName=Natural Nude Gradient Nails with Soft Sheer Shine</x:v>
      </x:c>
      <x:c r="D185" s="18" t="str">
        <x:v>Color: JP4100</x:v>
      </x:c>
      <x:c r="E185" s="25" t="str">
        <x:v>$0.72</x:v>
      </x:c>
      <x:c r="F185" s="19" t="str">
        <x:v>1</x:v>
      </x:c>
    </x:row>
    <x:row r="186" ht="93" customHeight="1">
      <x:c r="A186" s="19" t="n">
        <x:v>183</x:v>
      </x:c>
      <x:c r="B186" s="22" t="e">
        <x:f>HYPERLINK("https://cdn.shopify.com/s/files/1/0918/6066/4603/files/O1CN01lMYhjh2NGI0els3lf__4234819935-0-cib.jpg?v=1763444245","Open")</x:f>
        <x:v>HYPERLINK is not implemented. linkLocation=https://cdn.shopify.com/s/files/1/0918/6066/4603/files/O1CN01lMYhjh2NGI0els3lf__4234819935-0-cib.jpg?v=1763444245, friendlyName=Open</x:v>
      </x:c>
      <x:c r="C186" s="24" t="e">
        <x:f>HYPERLINK("https://365nails.com/products/soft-milky-french-nails-with-subtle-shimmer-finish","Soft Milky French Nails with Subtle Shimmer Finish")</x:f>
        <x:v>HYPERLINK is not implemented. linkLocation=https://365nails.com/products/soft-milky-french-nails-with-subtle-shimmer-finish, friendlyName=Soft Milky French Nails with Subtle Shimmer Finish</x:v>
      </x:c>
      <x:c r="D186" s="18" t="str">
        <x:v>Color: JP4071</x:v>
      </x:c>
      <x:c r="E186" s="25" t="str">
        <x:v>$1.01</x:v>
      </x:c>
      <x:c r="F186" s="19" t="str">
        <x:v>1</x:v>
      </x:c>
    </x:row>
    <x:row r="187" ht="93" customHeight="1">
      <x:c r="A187" s="19" t="n">
        <x:v>184</x:v>
      </x:c>
      <x:c r="B187" s="22" t="e">
        <x:f>HYPERLINK("https://cdn.shopify.com/s/files/1/0918/6066/4603/files/O1CN01CCKvZn1rlpaJq8HiR__2215158925672-0-cib.jpg?v=1763175890","Open")</x:f>
        <x:v>HYPERLINK is not implemented. linkLocation=https://cdn.shopify.com/s/files/1/0918/6066/4603/files/O1CN01CCKvZn1rlpaJq8HiR__2215158925672-0-cib.jpg?v=1763175890, friendlyName=Open</x:v>
      </x:c>
      <x:c r="C187" s="24" t="e">
        <x:f>HYPERLINK("https://365nails.com/products/crystal-bloom-series-press-on-nails","Crystal Bloom Series Press-On Nails")</x:f>
        <x:v>HYPERLINK is not implemented. linkLocation=https://365nails.com/products/crystal-bloom-series-press-on-nails, friendlyName=Crystal Bloom Series Press-On Nails</x:v>
      </x:c>
      <x:c r="D187" s="18" t="str">
        <x:v>Size: S / M / L</x:v>
      </x:c>
      <x:c r="E187" s="25" t="str">
        <x:v>$4.99</x:v>
      </x:c>
      <x:c r="F187" s="19" t="str">
        <x:v>30</x:v>
      </x:c>
    </x:row>
    <x:row r="188" ht="93" customHeight="1">
      <x:c r="A188" s="19" t="n">
        <x:v>185</x:v>
      </x:c>
      <x:c r="B188" s="22" t="e">
        <x:f>HYPERLINK("https://cdn.shopify.com/s/files/1/0918/6066/4603/files/O1CN01baYzAp1rlpaMiHyaT__2215158925672-0-cib.jpg?v=1763174319","Open")</x:f>
        <x:v>HYPERLINK is not implemented. linkLocation=https://cdn.shopify.com/s/files/1/0918/6066/4603/files/O1CN01baYzAp1rlpaMiHyaT__2215158925672-0-cib.jpg?v=1763174319, friendlyName=Open</x:v>
      </x:c>
      <x:c r="C188" s="24" t="e">
        <x:f>HYPERLINK("https://365nails.com/products/pastel-petal-dream-series-press-on-nails","Pastel Petal Dream Series Press-On Nails")</x:f>
        <x:v>HYPERLINK is not implemented. linkLocation=https://365nails.com/products/pastel-petal-dream-series-press-on-nails, friendlyName=Pastel Petal Dream Series Press-On Nails</x:v>
      </x:c>
      <x:c r="D188" s="18" t="str">
        <x:v>SIZE: S / M / L</x:v>
      </x:c>
      <x:c r="E188" s="25" t="str">
        <x:v>$3.99</x:v>
      </x:c>
      <x:c r="F188" s="19" t="str">
        <x:v>30</x:v>
      </x:c>
    </x:row>
    <x:row r="189" ht="93" customHeight="1">
      <x:c r="A189" s="19" t="n">
        <x:v>186</x:v>
      </x:c>
      <x:c r="B189" s="22" t="e">
        <x:f>HYPERLINK("https://cdn.shopify.com/s/files/1/0918/6066/4603/files/O1CN01Notiu91rlpaMjsOY7__2215158925672-0-cib.jpg?v=1763106874","Open")</x:f>
        <x:v>HYPERLINK is not implemented. linkLocation=https://cdn.shopify.com/s/files/1/0918/6066/4603/files/O1CN01Notiu91rlpaMjsOY7__2215158925672-0-cib.jpg?v=1763106874, friendlyName=Open</x:v>
      </x:c>
      <x:c r="C189" s="24" t="e">
        <x:f>HYPERLINK("https://365nails.com/products/moonlit-blossom-series-press-on-nails","Moonlit Blossom Series Press-On Nails")</x:f>
        <x:v>HYPERLINK is not implemented. linkLocation=https://365nails.com/products/moonlit-blossom-series-press-on-nails, friendlyName=Moonlit Blossom Series Press-On Nails</x:v>
      </x:c>
      <x:c r="D189" s="18" t="str">
        <x:v>Size: S / M / L</x:v>
      </x:c>
      <x:c r="E189" s="25" t="str">
        <x:v>$3.99</x:v>
      </x:c>
      <x:c r="F189" s="19" t="str">
        <x:v>30</x:v>
      </x:c>
    </x:row>
    <x:row r="190" ht="93" customHeight="1">
      <x:c r="A190" s="19" t="n">
        <x:v>187</x:v>
      </x:c>
      <x:c r="B190" s="22" t="e">
        <x:f>HYPERLINK("https://cdn.shopify.com/s/files/1/0918/6066/4603/files/O1CN015rJgft1rlpaNyEYkU__2215158925672-0-cib.jpg?v=1763106485","Open")</x:f>
        <x:v>HYPERLINK is not implemented. linkLocation=https://cdn.shopify.com/s/files/1/0918/6066/4603/files/O1CN015rJgft1rlpaNyEYkU__2215158925672-0-cib.jpg?v=1763106485, friendlyName=Open</x:v>
      </x:c>
      <x:c r="C190" s="24" t="e">
        <x:f>HYPERLINK("https://365nails.com/products/pearl-shell-elegance-series-press-on-nails","Pearl Shell Elegance Series Press-On Nails")</x:f>
        <x:v>HYPERLINK is not implemented. linkLocation=https://365nails.com/products/pearl-shell-elegance-series-press-on-nails, friendlyName=Pearl Shell Elegance Series Press-On Nails</x:v>
      </x:c>
      <x:c r="D190" s="18" t="str">
        <x:v>SIZE: S / M / L</x:v>
      </x:c>
      <x:c r="E190" s="25" t="str">
        <x:v>$3.99</x:v>
      </x:c>
      <x:c r="F190" s="19" t="str">
        <x:v>30</x:v>
      </x:c>
    </x:row>
    <x:row r="191" ht="93" customHeight="1">
      <x:c r="A191" s="19" t="n">
        <x:v>188</x:v>
      </x:c>
      <x:c r="B191" s="22" t="e">
        <x:f>HYPERLINK("https://cdn.shopify.com/s/files/1/0918/6066/4603/files/O1CN01QGpX8U1rlpaLnfE0n__2215158925672-0-cib.jpg?v=1763105635","Open")</x:f>
        <x:v>HYPERLINK is not implemented. linkLocation=https://cdn.shopify.com/s/files/1/0918/6066/4603/files/O1CN01QGpX8U1rlpaLnfE0n__2215158925672-0-cib.jpg?v=1763105635, friendlyName=Open</x:v>
      </x:c>
      <x:c r="C191" s="24" t="e">
        <x:f>HYPERLINK("https://365nails.com/products/aqua-bloom-seashell-series-press-on-nails","Aqua Bloom Seashell Series Press-On Nails")</x:f>
        <x:v>HYPERLINK is not implemented. linkLocation=https://365nails.com/products/aqua-bloom-seashell-series-press-on-nails, friendlyName=Aqua Bloom Seashell Series Press-On Nails</x:v>
      </x:c>
      <x:c r="D191" s="18" t="str">
        <x:v>颜色: 短鸭嘴; SIZE: S / M / L</x:v>
      </x:c>
      <x:c r="E191" s="25" t="str">
        <x:v>$4.99</x:v>
      </x:c>
      <x:c r="F191" s="19" t="str">
        <x:v>30</x:v>
      </x:c>
    </x:row>
    <x:row r="192" ht="93" customHeight="1">
      <x:c r="A192" s="19" t="n">
        <x:v>189</x:v>
      </x:c>
      <x:c r="B192" s="22" t="e">
        <x:f>HYPERLINK("https://cdn.shopify.com/s/files/1/0918/6066/4603/files/O1CN01tt183c1rlpaJTxT6X__2215158925672-0-cib.jpg?v=1763175628","Open")</x:f>
        <x:v>HYPERLINK is not implemented. linkLocation=https://cdn.shopify.com/s/files/1/0918/6066/4603/files/O1CN01tt183c1rlpaJTxT6X__2215158925672-0-cib.jpg?v=1763175628, friendlyName=Open</x:v>
      </x:c>
      <x:c r="C192" s="24" t="e">
        <x:f>HYPERLINK("https://365nails.com/products/opal-grace-series-press-on-nails","Opal Grace Series Press-On Nails")</x:f>
        <x:v>HYPERLINK is not implemented. linkLocation=https://365nails.com/products/opal-grace-series-press-on-nails, friendlyName=Opal Grace Series Press-On Nails</x:v>
      </x:c>
      <x:c r="D192" s="18" t="str">
        <x:v>SIZE: S / M / L</x:v>
      </x:c>
      <x:c r="E192" s="25" t="str">
        <x:v>$3.99</x:v>
      </x:c>
      <x:c r="F192" s="19" t="str">
        <x:v>30</x:v>
      </x:c>
    </x:row>
    <x:row r="193" ht="93" customHeight="1">
      <x:c r="A193" s="19" t="n">
        <x:v>190</x:v>
      </x:c>
      <x:c r="B193" s="22" t="e">
        <x:f>HYPERLINK("https://cdn.shopify.com/s/files/1/0918/6066/4603/files/O1CN019nnQqK1rlpaN0Y01B__2215158925672-0-cib.jpg?v=1763107232","Open")</x:f>
        <x:v>HYPERLINK is not implemented. linkLocation=https://cdn.shopify.com/s/files/1/0918/6066/4603/files/O1CN019nnQqK1rlpaN0Y01B__2215158925672-0-cib.jpg?v=1763107232, friendlyName=Open</x:v>
      </x:c>
      <x:c r="C193" s="24" t="e">
        <x:f>HYPERLINK("https://365nails.com/products/pink-blossom-luxe-series-press-on-nails","Pink Blossom Luxe Series Press-On Nails")</x:f>
        <x:v>HYPERLINK is not implemented. linkLocation=https://365nails.com/products/pink-blossom-luxe-series-press-on-nails, friendlyName=Pink Blossom Luxe Series Press-On Nails</x:v>
      </x:c>
      <x:c r="D193" s="18" t="str">
        <x:v>Size: S / M / L</x:v>
      </x:c>
      <x:c r="E193" s="25" t="str">
        <x:v>$4.99</x:v>
      </x:c>
      <x:c r="F193" s="19" t="str">
        <x:v>30</x:v>
      </x:c>
    </x:row>
    <x:row r="194" ht="93" customHeight="1">
      <x:c r="A194" s="19" t="n">
        <x:v>191</x:v>
      </x:c>
      <x:c r="B194" s="22" t="e">
        <x:f>HYPERLINK("https://cdn.shopify.com/s/files/1/0918/6066/4603/files/O1CN01gR9M451rlpaAflYzs__2215158925672-0-cib.jpg?v=1763182058","Open")</x:f>
        <x:v>HYPERLINK is not implemented. linkLocation=https://cdn.shopify.com/s/files/1/0918/6066/4603/files/O1CN01gR9M451rlpaAflYzs__2215158925672-0-cib.jpg?v=1763182058, friendlyName=Open</x:v>
      </x:c>
      <x:c r="C194" s="24" t="e">
        <x:f>HYPERLINK("https://365nails.com/products/golden-blossom-series-press-on-nails","Golden Blossom Series Press-On Nails")</x:f>
        <x:v>HYPERLINK is not implemented. linkLocation=https://365nails.com/products/golden-blossom-series-press-on-nails, friendlyName=Golden Blossom Series Press-On Nails</x:v>
      </x:c>
      <x:c r="D194" s="18" t="str">
        <x:v>SIZE: S / M / L</x:v>
      </x:c>
      <x:c r="E194" s="25" t="str">
        <x:v>$4.99</x:v>
      </x:c>
      <x:c r="F194" s="19" t="str">
        <x:v>30</x:v>
      </x:c>
    </x:row>
    <x:row r="195" ht="93" customHeight="1">
      <x:c r="A195" s="19" t="n">
        <x:v>192</x:v>
      </x:c>
      <x:c r="B195" s="22" t="e">
        <x:f>HYPERLINK("https://cdn.shopify.com/s/files/1/0918/6066/4603/files/O1CN01XPr5oL1Jcwqr1cLN2__1944781050-0-cib_76cbd7dc-0f62-4b5a-90e7-353478c95476.jpg?v=1769001900","Open")</x:f>
        <x:v>HYPERLINK is not implemented. linkLocation=https://cdn.shopify.com/s/files/1/0918/6066/4603/files/O1CN01XPr5oL1Jcwqr1cLN2__1944781050-0-cib_76cbd7dc-0f62-4b5a-90e7-353478c95476.jpg?v=1769001900, friendlyName=Open</x:v>
      </x:c>
      <x:c r="C195" s="24" t="e">
        <x:f>HYPERLINK("https://365nails.com/products/75-alcohol-prep-pads-individually-wrapped-disposable-for-nail-art-cleaning-sterilization-and-press-on-nail-prep-wholesale-from-manufacturer","75% alcohol prep pads - individually wrapped, disposable, for nail art cleaning, sterilization, and press-on nail prep")</x:f>
        <x:v>HYPERLINK is not implemented. linkLocation=https://365nails.com/products/75-alcohol-prep-pads-individually-wrapped-disposable-for-nail-art-cleaning-sterilization-and-press-on-nail-prep-wholesale-from-manufacturer, friendlyName=75% alcohol prep pads - individually wrapped, disposable, for nail art cleaning, sterilization, and press-on nail prep</x:v>
      </x:c>
      <x:c r="D195" s="18" t="str">
        <x:v>Color classification: 100 pieces in box (3*6cm) / 100 pieces in box (6*6cm); quanlity: 2box</x:v>
      </x:c>
      <x:c r="E195" s="25" t="str">
        <x:v>$1.00–$1.50</x:v>
      </x:c>
      <x:c r="F195" s="19" t="str">
        <x:v>1</x:v>
      </x:c>
    </x:row>
    <x:row r="196" ht="93" customHeight="1">
      <x:c r="A196" s="19" t="n">
        <x:v>193</x:v>
      </x:c>
      <x:c r="B196" s="22" t="e">
        <x:f>HYPERLINK("https://cdn.shopify.com/s/files/1/0918/6066/4603/files/O1CN01trmnOm1rlpaMkC0Ls__2215158925672-0-cib.jpg?v=1763180555","Open")</x:f>
        <x:v>HYPERLINK is not implemented. linkLocation=https://cdn.shopify.com/s/files/1/0918/6066/4603/files/O1CN01trmnOm1rlpaMkC0Ls__2215158925672-0-cib.jpg?v=1763180555, friendlyName=Open</x:v>
      </x:c>
      <x:c r="C196" s="24" t="e">
        <x:f>HYPERLINK("https://365nails.com/products/berry-tide-series-press-on-nails","Berry Tide Series Press-On Nails")</x:f>
        <x:v>HYPERLINK is not implemented. linkLocation=https://365nails.com/products/berry-tide-series-press-on-nails, friendlyName=Berry Tide Series Press-On Nails</x:v>
      </x:c>
      <x:c r="D196" s="18" t="str">
        <x:v>SIZE: S / M / L</x:v>
      </x:c>
      <x:c r="E196" s="25" t="str">
        <x:v>$4.99</x:v>
      </x:c>
      <x:c r="F196" s="19" t="str">
        <x:v>30</x:v>
      </x:c>
    </x:row>
    <x:row r="197" ht="93" customHeight="1">
      <x:c r="A197" s="19" t="n">
        <x:v>194</x:v>
      </x:c>
      <x:c r="B197" s="22" t="e">
        <x:f>HYPERLINK("https://cdn.shopify.com/s/files/1/0918/6066/4603/files/O1CN01C4USuC1rlpaFKvG3l__2215158925672-0-cib.jpg?v=1763180197","Open")</x:f>
        <x:v>HYPERLINK is not implemented. linkLocation=https://cdn.shopify.com/s/files/1/0918/6066/4603/files/O1CN01C4USuC1rlpaFKvG3l__2215158925672-0-cib.jpg?v=1763180197, friendlyName=Open</x:v>
      </x:c>
      <x:c r="C197" s="24" t="e">
        <x:f>HYPERLINK("https://365nails.com/products/crimson-elegance-series-press-on-nails","Crimson Elegance Series Press-On Nails")</x:f>
        <x:v>HYPERLINK is not implemented. linkLocation=https://365nails.com/products/crimson-elegance-series-press-on-nails, friendlyName=Crimson Elegance Series Press-On Nails</x:v>
      </x:c>
      <x:c r="D197" s="18" t="str">
        <x:v>SIZE: S / M / L</x:v>
      </x:c>
      <x:c r="E197" s="25" t="str">
        <x:v>$3.99</x:v>
      </x:c>
      <x:c r="F197" s="19" t="str">
        <x:v>30</x:v>
      </x:c>
    </x:row>
    <x:row r="198" ht="93" customHeight="1">
      <x:c r="A198" s="19" t="n">
        <x:v>195</x:v>
      </x:c>
      <x:c r="B198" s="22" t="e">
        <x:f>HYPERLINK("https://cdn.shopify.com/s/files/1/0918/6066/4603/files/O1CN01yF01bC1rlpaL21txZ__2215158925672-0-cib.jpg?v=1763180044","Open")</x:f>
        <x:v>HYPERLINK is not implemented. linkLocation=https://cdn.shopify.com/s/files/1/0918/6066/4603/files/O1CN01yF01bC1rlpaL21txZ__2215158925672-0-cib.jpg?v=1763180044, friendlyName=Open</x:v>
      </x:c>
      <x:c r="C198" s="24" t="e">
        <x:f>HYPERLINK("https://365nails.com/products/sunrise-bloom-series-press-on-nails","Sunrise Bloom Series Press-On Nails")</x:f>
        <x:v>HYPERLINK is not implemented. linkLocation=https://365nails.com/products/sunrise-bloom-series-press-on-nails, friendlyName=Sunrise Bloom Series Press-On Nails</x:v>
      </x:c>
      <x:c r="D198" s="18" t="str">
        <x:v>SIZE: S / M / L</x:v>
      </x:c>
      <x:c r="E198" s="25" t="str">
        <x:v>$5.99</x:v>
      </x:c>
      <x:c r="F198" s="19" t="str">
        <x:v>30</x:v>
      </x:c>
    </x:row>
    <x:row r="199" ht="93" customHeight="1">
      <x:c r="A199" s="19" t="n">
        <x:v>196</x:v>
      </x:c>
      <x:c r="B199" s="22" t="e">
        <x:f>HYPERLINK("https://cdn.shopify.com/s/files/1/0918/6066/4603/files/O1CN01OcvB431rlpaN5ysbZ__2215158925672-0-cib.jpg?v=1763177835","Open")</x:f>
        <x:v>HYPERLINK is not implemented. linkLocation=https://cdn.shopify.com/s/files/1/0918/6066/4603/files/O1CN01OcvB431rlpaN5ysbZ__2215158925672-0-cib.jpg?v=1763177835, friendlyName=Open</x:v>
      </x:c>
      <x:c r="C199" s="24" t="e">
        <x:f>HYPERLINK("https://365nails.com/products/coral-whisper-series-press-on-nails","Coral Whisper Series Press-On Nails")</x:f>
        <x:v>HYPERLINK is not implemented. linkLocation=https://365nails.com/products/coral-whisper-series-press-on-nails, friendlyName=Coral Whisper Series Press-On Nails</x:v>
      </x:c>
      <x:c r="D199" s="18" t="str">
        <x:v>SIZE: S / M / L</x:v>
      </x:c>
      <x:c r="E199" s="25" t="str">
        <x:v>$4.99</x:v>
      </x:c>
      <x:c r="F199" s="19" t="str">
        <x:v>30</x:v>
      </x:c>
    </x:row>
    <x:row r="200" ht="93" customHeight="1">
      <x:c r="A200" s="19" t="n">
        <x:v>197</x:v>
      </x:c>
      <x:c r="B200" s="22" t="e">
        <x:f>HYPERLINK("https://cdn.shopify.com/s/files/1/0918/6066/4603/files/O1CN01Jivmxl1rlpaKIlZlB__2215158925672-0-cib.jpg?v=1763177433","Open")</x:f>
        <x:v>HYPERLINK is not implemented. linkLocation=https://cdn.shopify.com/s/files/1/0918/6066/4603/files/O1CN01Jivmxl1rlpaKIlZlB__2215158925672-0-cib.jpg?v=1763177433, friendlyName=Open</x:v>
      </x:c>
      <x:c r="C200" s="24" t="e">
        <x:f>HYPERLINK("https://365nails.com/products/ruby-heart-series-press-on-nails","Ruby Heart Series Press-On Nails")</x:f>
        <x:v>HYPERLINK is not implemented. linkLocation=https://365nails.com/products/ruby-heart-series-press-on-nails, friendlyName=Ruby Heart Series Press-On Nails</x:v>
      </x:c>
      <x:c r="D200" s="18" t="str">
        <x:v>SIZE: S / M</x:v>
      </x:c>
      <x:c r="E200" s="25" t="str">
        <x:v>$3.99</x:v>
      </x:c>
      <x:c r="F200" s="19" t="str">
        <x:v>30</x:v>
      </x:c>
    </x:row>
    <x:row r="201" ht="93" customHeight="1">
      <x:c r="A201" s="19" t="n">
        <x:v>198</x:v>
      </x:c>
      <x:c r="B201" s="22" t="e">
        <x:f>HYPERLINK("https://cdn.shopify.com/s/files/1/0918/6066/4603/files/O1CN014RKb8v1rlpaIQHEnQ__2215158925672-0-cib.jpg?v=1763177139","Open")</x:f>
        <x:v>HYPERLINK is not implemented. linkLocation=https://cdn.shopify.com/s/files/1/0918/6066/4603/files/O1CN014RKb8v1rlpaIQHEnQ__2215158925672-0-cib.jpg?v=1763177139, friendlyName=Open</x:v>
      </x:c>
      <x:c r="C201" s="24" t="e">
        <x:f>HYPERLINK("https://365nails.com/products/chic-dot-series-press-on-nails","Chic Dot Series Press-On Nails")</x:f>
        <x:v>HYPERLINK is not implemented. linkLocation=https://365nails.com/products/chic-dot-series-press-on-nails, friendlyName=Chic Dot Series Press-On Nails</x:v>
      </x:c>
      <x:c r="D201" s="18" t="str">
        <x:v>SIZE: S / M / L</x:v>
      </x:c>
      <x:c r="E201" s="25" t="str">
        <x:v>$2.49</x:v>
      </x:c>
      <x:c r="F201" s="19" t="str">
        <x:v>30</x:v>
      </x:c>
    </x:row>
    <x:row r="202" ht="93" customHeight="1">
      <x:c r="A202" s="19" t="n">
        <x:v>199</x:v>
      </x:c>
      <x:c r="B202" s="22" t="e">
        <x:f>HYPERLINK("https://cdn.shopify.com/s/files/1/0918/6066/4603/files/O1CN01wMd9Fq1rlpaKecu1p__2215158925672-0-cib.jpg?v=1763177011","Open")</x:f>
        <x:v>HYPERLINK is not implemented. linkLocation=https://cdn.shopify.com/s/files/1/0918/6066/4603/files/O1CN01wMd9Fq1rlpaKecu1p__2215158925672-0-cib.jpg?v=1763177011, friendlyName=Open</x:v>
      </x:c>
      <x:c r="C202" s="24" t="e">
        <x:f>HYPERLINK("https://365nails.com/products/sweetheart-blossom-series-press-on-nails","Sweetheart Blossom Series Press-On Nails")</x:f>
        <x:v>HYPERLINK is not implemented. linkLocation=https://365nails.com/products/sweetheart-blossom-series-press-on-nails, friendlyName=Sweetheart Blossom Series Press-On Nails</x:v>
      </x:c>
      <x:c r="D202" s="18" t="str">
        <x:v>SIZE: S / M</x:v>
      </x:c>
      <x:c r="E202" s="25" t="str">
        <x:v>$3.99</x:v>
      </x:c>
      <x:c r="F202" s="19" t="str">
        <x:v>30</x:v>
      </x:c>
    </x:row>
    <x:row r="203" ht="93" customHeight="1">
      <x:c r="A203" s="19" t="n">
        <x:v>200</x:v>
      </x:c>
      <x:c r="B203" s="22" t="e">
        <x:f>HYPERLINK("https://cdn.shopify.com/s/files/1/0918/6066/4603/files/O1CN01EFXFF01rlpaNLSiUe__2215158925672-0-cib.jpg?v=1763176463","Open")</x:f>
        <x:v>HYPERLINK is not implemented. linkLocation=https://cdn.shopify.com/s/files/1/0918/6066/4603/files/O1CN01EFXFF01rlpaNLSiUe__2215158925672-0-cib.jpg?v=1763176463, friendlyName=Open</x:v>
      </x:c>
      <x:c r="C203" s="24" t="e">
        <x:f>HYPERLINK("https://365nails.com/products/twilight-orchid-series-press-on-nails","Twilight Orchid Series Press-On Nails")</x:f>
        <x:v>HYPERLINK is not implemented. linkLocation=https://365nails.com/products/twilight-orchid-series-press-on-nails, friendlyName=Twilight Orchid Series Press-On Nails</x:v>
      </x:c>
      <x:c r="D203" s="18" t="str">
        <x:v>SIZE: S / M / L</x:v>
      </x:c>
      <x:c r="E203" s="25" t="str">
        <x:v>$4.49</x:v>
      </x:c>
      <x:c r="F203" s="19" t="str">
        <x:v>30</x:v>
      </x:c>
    </x:row>
    <x:row r="204" ht="93" customHeight="1">
      <x:c r="A204" s="19" t="n">
        <x:v>201</x:v>
      </x:c>
      <x:c r="B204" s="22" t="e">
        <x:f>HYPERLINK("https://cdn.shopify.com/s/files/1/0918/6066/4603/files/O1CN013jCD5h1rlpaE0YRRT__2215158925672-0-cib.jpg?v=1763176174","Open")</x:f>
        <x:v>HYPERLINK is not implemented. linkLocation=https://cdn.shopify.com/s/files/1/0918/6066/4603/files/O1CN013jCD5h1rlpaE0YRRT__2215158925672-0-cib.jpg?v=1763176174, friendlyName=Open</x:v>
      </x:c>
      <x:c r="C204" s="24" t="e">
        <x:f>HYPERLINK("https://365nails.com/products/midnight-blossom-series-press-on-nails","Midnight Blossom Series Press-On Nails")</x:f>
        <x:v>HYPERLINK is not implemented. linkLocation=https://365nails.com/products/midnight-blossom-series-press-on-nails, friendlyName=Midnight Blossom Series Press-On Nails</x:v>
      </x:c>
      <x:c r="D204" s="18" t="str">
        <x:v>SIZE: S / M / L</x:v>
      </x:c>
      <x:c r="E204" s="25" t="str">
        <x:v>$3.99</x:v>
      </x:c>
      <x:c r="F204" s="19" t="str">
        <x:v>30</x:v>
      </x:c>
    </x:row>
    <x:row r="205" ht="93" customHeight="1">
      <x:c r="A205" s="19" t="n">
        <x:v>202</x:v>
      </x:c>
      <x:c r="B205" s="22" t="e">
        <x:f>HYPERLINK("https://cdn.shopify.com/s/files/1/0918/6066/4603/files/O1CN011hoFxf1CKRSYx9zHJ__2214145390062-0-cib_ba8e8cfe-25e3-47f3-96ca-c232817ee8d5.jpg?v=1761835034","Open")</x:f>
        <x:v>HYPERLINK is not implemented. linkLocation=https://cdn.shopify.com/s/files/1/0918/6066/4603/files/O1CN011hoFxf1CKRSYx9zHJ__2214145390062-0-cib_ba8e8cfe-25e3-47f3-96ca-c232817ee8d5.jpg?v=1761835034, friendlyName=Open</x:v>
      </x:c>
      <x:c r="C205" s="24" t="e">
        <x:f>HYPERLINK("https://365nails.com/products/press-on-nail-glue-2g-50pcs","Press-On Nail Glue | 2g | 100pcs")</x:f>
        <x:v>HYPERLINK is not implemented. linkLocation=https://365nails.com/products/press-on-nail-glue-2g-50pcs, friendlyName=Press-On Nail Glue | 2g | 100pcs</x:v>
      </x:c>
      <x:c r="D205" s="18" t="str">
        <x:v>Color classification: Glue (with label) 100pcs / Glue (without label) 100pcs</x:v>
      </x:c>
      <x:c r="E205" s="25" t="str">
        <x:v>$2.00</x:v>
      </x:c>
      <x:c r="F205" s="19" t="str">
        <x:v>1</x:v>
      </x:c>
    </x:row>
    <x:row r="206" ht="93" customHeight="1">
      <x:c r="A206" s="19" t="n">
        <x:v>203</x:v>
      </x:c>
      <x:c r="B206" s="22" t="e">
        <x:f>HYPERLINK("https://cdn.shopify.com/s/files/1/0918/6066/4603/files/O1CN01RNWeBa2NGHfOjv6Vo__4234819935-0-cib.jpg?v=1753429932","Open")</x:f>
        <x:v>HYPERLINK is not implemented. linkLocation=https://cdn.shopify.com/s/files/1/0918/6066/4603/files/O1CN01RNWeBa2NGHfOjv6Vo__4234819935-0-cib.jpg?v=1753429932, friendlyName=Open</x:v>
      </x:c>
      <x:c r="C206" s="24" t="e">
        <x:f>HYPERLINK("https://365nails.com/products/blue-edge-french-simple-flower-press-on-nails-wholesale-press-on-nails-nail-nail-nail-365nails","Blue Edge French Simple Flower Press on nails  Wholesale Press on nails  Nail  Nail  Nail ｜365nails")</x:f>
        <x:v>HYPERLINK is not implemented. linkLocation=https://365nails.com/products/blue-edge-french-simple-flower-press-on-nails-wholesale-press-on-nails-nail-nail-nail-365nails, friendlyName=Blue Edge French Simple Flower Press on nails  Wholesale Press on nails  Nail  Nail  Nail ｜365nails</x:v>
      </x:c>
      <x:c r="D206" s="18" t="str">
        <x:v>color: JP1479</x:v>
      </x:c>
      <x:c r="E206" s="25" t="str">
        <x:v>$0.76</x:v>
      </x:c>
      <x:c r="F206" s="19" t="str">
        <x:v>1</x:v>
      </x:c>
    </x:row>
    <x:row r="207" ht="93" customHeight="1">
      <x:c r="A207" s="19" t="n">
        <x:v>204</x:v>
      </x:c>
      <x:c r="B207" s="22" t="e">
        <x:f>HYPERLINK("https://cdn.shopify.com/s/files/1/0918/6066/4603/files/O1CN019rH4md2NGHb7PAqZE__4234819935-0-cib.jpg?v=1753429847","Open")</x:f>
        <x:v>HYPERLINK is not implemented. linkLocation=https://cdn.shopify.com/s/files/1/0918/6066/4603/files/O1CN019rH4md2NGHb7PAqZE__4234819935-0-cib.jpg?v=1753429847, friendlyName=Open</x:v>
      </x:c>
      <x:c r="C207" s="24" t="e">
        <x:f>HYPERLINK("https://365nails.com/products/direct-supply-of-lavender-simple-double-french-press-on-finished-fake-nail-nail-removable-365nails","direct supply of lavender simple double French Press on  finished fake nail   nail  removable｜365nails")</x:f>
        <x:v>HYPERLINK is not implemented. linkLocation=https://365nails.com/products/direct-supply-of-lavender-simple-double-french-press-on-finished-fake-nail-nail-removable-365nails, friendlyName=direct supply of lavender simple double French Press on  finished fake nail   nail  removable｜365nails</x:v>
      </x:c>
      <x:c r="D207" s="18" t="str">
        <x:v>color: JP1121</x:v>
      </x:c>
      <x:c r="E207" s="25" t="str">
        <x:v>$0.70</x:v>
      </x:c>
      <x:c r="F207" s="19" t="str">
        <x:v>1</x:v>
      </x:c>
    </x:row>
    <x:row r="208" ht="93" customHeight="1">
      <x:c r="A208" s="19" t="n">
        <x:v>205</x:v>
      </x:c>
      <x:c r="B208" s="22" t="e">
        <x:f>HYPERLINK("https://cdn.shopify.com/s/files/1/0918/6066/4603/files/O1CN01HxyOB72NGHf0wj6nd__4234819935-0-cib.jpg?v=1753428830","Open")</x:f>
        <x:v>HYPERLINK is not implemented. linkLocation=https://cdn.shopify.com/s/files/1/0918/6066/4603/files/O1CN01HxyOB72NGHf0wj6nd__4234819935-0-cib.jpg?v=1753428830, friendlyName=Open</x:v>
      </x:c>
      <x:c r="C208" s="24" t="e">
        <x:f>HYPERLINK("https://365nails.com/products/press-onable-nails-art-matcha-chessboard-nails-art-whitening-nails-press-onable-nails-art-wholesale-nails-365nails","Press onable nails Art  Matcha Chessboard nails Art Whitening nails  Press onable nails Art Wholesale nails｜365nails")</x:f>
        <x:v>HYPERLINK is not implemented. linkLocation=https://365nails.com/products/press-onable-nails-art-matcha-chessboard-nails-art-whitening-nails-press-onable-nails-art-wholesale-nails-365nails, friendlyName=Press onable nails Art  Matcha Chessboard nails Art Whitening nails  Press onable nails Art Wholesale nails｜365nails</x:v>
      </x:c>
      <x:c r="D208" s="18" t="str">
        <x:v>color: JP1539</x:v>
      </x:c>
      <x:c r="E208" s="25" t="str">
        <x:v>$1.03</x:v>
      </x:c>
      <x:c r="F208" s="19" t="str">
        <x:v>1</x:v>
      </x:c>
    </x:row>
    <x:row r="209" ht="93" customHeight="1">
      <x:c r="A209" s="19" t="n">
        <x:v>206</x:v>
      </x:c>
      <x:c r="B209" s="22" t="e">
        <x:f>HYPERLINK("https://cdn.shopify.com/s/files/1/0918/6066/4603/files/O1CN01LbQRrU1rlpaGeMBHk__2215158925672-0-cib.jpg?v=1763178307","Open")</x:f>
        <x:v>HYPERLINK is not implemented. linkLocation=https://cdn.shopify.com/s/files/1/0918/6066/4603/files/O1CN01LbQRrU1rlpaGeMBHk__2215158925672-0-cib.jpg?v=1763178307, friendlyName=Open</x:v>
      </x:c>
      <x:c r="C209" s="24" t="e">
        <x:f>HYPERLINK("https://365nails.com/products/petal-dalmation-series-press-on-nails","Petal Dalmation Series Press-On Nails")</x:f>
        <x:v>HYPERLINK is not implemented. linkLocation=https://365nails.com/products/petal-dalmation-series-press-on-nails, friendlyName=Petal Dalmation Series Press-On Nails</x:v>
      </x:c>
      <x:c r="D209" s="18" t="str">
        <x:v>SIZE: S / M / L</x:v>
      </x:c>
      <x:c r="E209" s="25" t="str">
        <x:v>$3.99</x:v>
      </x:c>
      <x:c r="F209" s="19" t="str">
        <x:v>30</x:v>
      </x:c>
    </x:row>
    <x:row r="210" ht="93" customHeight="1">
      <x:c r="A210" s="19" t="n">
        <x:v>207</x:v>
      </x:c>
      <x:c r="B210" s="22" t="e">
        <x:f>HYPERLINK("https://cdn.shopify.com/s/files/1/0918/6066/4603/files/O1CN014yD2YE2NGHcokoOmD__4234819935-0-cib.jpg?v=1753429968","Open")</x:f>
        <x:v>HYPERLINK is not implemented. linkLocation=https://cdn.shopify.com/s/files/1/0918/6066/4603/files/O1CN014yD2YE2NGHcokoOmD__4234819935-0-cib.jpg?v=1753429968, friendlyName=Open</x:v>
      </x:c>
      <x:c r="C210" s="24" t="e">
        <x:f>HYPERLINK("https://365nails.com/products/dream-sweetheart-bear-press-on-finished-fake-nail-nail-removable-nail-factory-sales-365nails","Dream Sweetheart Bear Press on  Finished Fake Nail   Nail  Removable Nail  Factory Sales｜365nails")</x:f>
        <x:v>HYPERLINK is not implemented. linkLocation=https://365nails.com/products/dream-sweetheart-bear-press-on-finished-fake-nail-nail-removable-nail-factory-sales-365nails, friendlyName=Dream Sweetheart Bear Press on  Finished Fake Nail   Nail  Removable Nail  Factory Sales｜365nails</x:v>
      </x:c>
      <x:c r="D210" s="18" t="str">
        <x:v>color: JP1376</x:v>
      </x:c>
      <x:c r="E210" s="25" t="str">
        <x:v>$1.16</x:v>
      </x:c>
      <x:c r="F210" s="19" t="str">
        <x:v>1</x:v>
      </x:c>
    </x:row>
    <x:row r="211" ht="93" customHeight="1">
      <x:c r="A211" s="19" t="n">
        <x:v>208</x:v>
      </x:c>
      <x:c r="B211" s="22" t="e">
        <x:f>HYPERLINK("https://cdn.shopify.com/s/files/1/0918/6066/4603/files/O1CN015wC2wC2NGHg1exKKT__4234819935-0-cib.jpg?v=1753430052","Open")</x:f>
        <x:v>HYPERLINK is not implemented. linkLocation=https://cdn.shopify.com/s/files/1/0918/6066/4603/files/O1CN015wC2wC2NGHg1exKKT__4234819935-0-cib.jpg?v=1753430052, friendlyName=Open</x:v>
      </x:c>
      <x:c r="C211" s="24" t="e">
        <x:f>HYPERLINK("https://365nails.com/products/nails-art-tablets-press-on-nails-wholesale-french-orange-and-white-flower-fake-nails-removable-nails-art-press-on-nails-wholesale-365nails","nails art tablets Press on nails wholesale, French orange and white flower fake nails removable nails art Press on nails wholesale｜365nails")</x:f>
        <x:v>HYPERLINK is not implemented. linkLocation=https://365nails.com/products/nails-art-tablets-press-on-nails-wholesale-french-orange-and-white-flower-fake-nails-removable-nails-art-press-on-nails-wholesale-365nails, friendlyName=nails art tablets Press on nails wholesale, French orange and white flower fake nails removable nails art Press on nails wholesale｜365nails</x:v>
      </x:c>
      <x:c r="D211" s="18" t="str">
        <x:v>color: JP1687</x:v>
      </x:c>
      <x:c r="E211" s="25" t="str">
        <x:v>$0.76</x:v>
      </x:c>
      <x:c r="F211" s="19" t="str">
        <x:v>1</x:v>
      </x:c>
    </x:row>
    <x:row r="212" ht="93" customHeight="1">
      <x:c r="A212" s="19" t="n">
        <x:v>209</x:v>
      </x:c>
      <x:c r="B212" s="22" t="e">
        <x:f>HYPERLINK("https://cdn.shopify.com/s/files/1/0918/6066/4603/files/O1CN01CSd0fh2NGHe9gKuRq__4234819935-0-cib.jpg?v=1753429883","Open")</x:f>
        <x:v>HYPERLINK is not implemented. linkLocation=https://cdn.shopify.com/s/files/1/0918/6066/4603/files/O1CN01CSd0fh2NGHe9gKuRq__4234819935-0-cib.jpg?v=1753429883, friendlyName=Open</x:v>
      </x:c>
      <x:c r="C212" s="24" t="e">
        <x:f>HYPERLINK("https://365nails.com/products/press-on-nails-finished-french-line-undercurrent-style-press-onable-nail-nails-365nails","Press on nails Finished French  Line  Undercurrent Style   Press onable Nail  Nails｜365nails")</x:f>
        <x:v>HYPERLINK is not implemented. linkLocation=https://365nails.com/products/press-on-nails-finished-french-line-undercurrent-style-press-onable-nail-nails-365nails, friendlyName=Press on nails Finished French  Line  Undercurrent Style   Press onable Nail  Nails｜365nails</x:v>
      </x:c>
      <x:c r="D212" s="18" t="str">
        <x:v>color: JP1507</x:v>
      </x:c>
      <x:c r="E212" s="25" t="str">
        <x:v>$0.82</x:v>
      </x:c>
      <x:c r="F212" s="19" t="str">
        <x:v>1</x:v>
      </x:c>
    </x:row>
    <x:row r="213" ht="93" customHeight="1">
      <x:c r="A213" s="19" t="n">
        <x:v>210</x:v>
      </x:c>
      <x:c r="B213" s="22" t="e">
        <x:f>HYPERLINK("https://cdn.shopify.com/s/files/1/0918/6066/4603/files/tufan_2F79c07366-b607-11f0-a562-00163e1cfe67.jpg?v=1761890763","Open")</x:f>
        <x:v>HYPERLINK is not implemented. linkLocation=https://cdn.shopify.com/s/files/1/0918/6066/4603/files/tufan_2F79c07366-b607-11f0-a562-00163e1cfe67.jpg?v=1761890763, friendlyName=Open</x:v>
      </x:c>
      <x:c r="C213" s="24" t="e">
        <x:f>HYPERLINK("https://365nails.com/products/super-sticky-nail-art-jelly-glue","Super sticky nail art jelly glue ｜50pcs")</x:f>
        <x:v>HYPERLINK is not implemented. linkLocation=https://365nails.com/products/super-sticky-nail-art-jelly-glue, friendlyName=Super sticky nail art jelly glue ｜50pcs</x:v>
      </x:c>
      <x:c r="D213" s="18" t="str">
        <x:v>Color: Red H7083 / Red H6083 / Yellow H7083 / Yellow H6083 / Blue 7083B / Blue 6083B / Blue Children's / Kraft paper H5283 feet / Kraft paper H602L 30 stickers / Kraft paper H6083 24 stickers / Kraft paper H7083 24 stickers; Quantity: 50pcs</x:v>
      </x:c>
      <x:c r="E213" s="25" t="str">
        <x:v>$3.00–$5.00</x:v>
      </x:c>
      <x:c r="F213" s="19" t="str">
        <x:v>1</x:v>
      </x:c>
    </x:row>
    <x:row r="214" ht="93" customHeight="1">
      <x:c r="A214" s="19" t="n">
        <x:v>211</x:v>
      </x:c>
      <x:c r="B214" s="22" t="e">
        <x:f>HYPERLINK("https://cdn.shopify.com/s/files/1/0918/6066/4603/files/O1CN01i65nXu2NGHkXA18fs__4234819935-0-cib.jpg?v=1753430324","Open")</x:f>
        <x:v>HYPERLINK is not implemented. linkLocation=https://cdn.shopify.com/s/files/1/0918/6066/4603/files/O1CN01i65nXu2NGHkXA18fs__4234819935-0-cib.jpg?v=1753430324, friendlyName=Open</x:v>
      </x:c>
      <x:c r="C214" s="24" t="e">
        <x:f>HYPERLINK("https://365nails.com/products/press-on-nails-french-white-edge-rhinestone-press-on-nails-wholesale-nails-patch-finished-fake-nails-nails-nails-365nails","Press on nails, French white edge rhinestone Press on nails wholesale nails patch finished fake nails nails nails｜365nails")</x:f>
        <x:v>HYPERLINK is not implemented. linkLocation=https://365nails.com/products/press-on-nails-french-white-edge-rhinestone-press-on-nails-wholesale-nails-patch-finished-fake-nails-nails-nails-365nails, friendlyName=Press on nails, French white edge rhinestone Press on nails wholesale nails patch finished fake nails nails nails｜365nails</x:v>
      </x:c>
      <x:c r="D214" s="18" t="str">
        <x:v>color: JP2463</x:v>
      </x:c>
      <x:c r="E214" s="25" t="str">
        <x:v>$1.03</x:v>
      </x:c>
      <x:c r="F214" s="19" t="str">
        <x:v>1</x:v>
      </x:c>
    </x:row>
    <x:row r="215" ht="93" customHeight="1">
      <x:c r="A215" s="19" t="n">
        <x:v>212</x:v>
      </x:c>
      <x:c r="B215" s="22" t="e">
        <x:f>HYPERLINK("https://cdn.shopify.com/s/files/1/0918/6066/4603/files/O1CN0172m3AV2NGI0M19hmG__4234819935-0-cib.jpg?v=1763453298","Open")</x:f>
        <x:v>HYPERLINK is not implemented. linkLocation=https://cdn.shopify.com/s/files/1/0918/6066/4603/files/O1CN0172m3AV2NGI0M19hmG__4234819935-0-cib.jpg?v=1763453298, friendlyName=Open</x:v>
      </x:c>
      <x:c r="C215" s="24" t="e">
        <x:f>HYPERLINK("https://365nails.com/products/soft-nude-sheer-glitter-glow-press-on-nails","Soft Nude Sheer Glitter Glow Press On Nails")</x:f>
        <x:v>HYPERLINK is not implemented. linkLocation=https://365nails.com/products/soft-nude-sheer-glitter-glow-press-on-nails, friendlyName=Soft Nude Sheer Glitter Glow Press On Nails</x:v>
      </x:c>
      <x:c r="D215" s="18" t="str">
        <x:v>color: JP4103</x:v>
      </x:c>
      <x:c r="E215" s="25" t="str">
        <x:v>$0.72</x:v>
      </x:c>
      <x:c r="F215" s="19" t="str">
        <x:v>1</x:v>
      </x:c>
    </x:row>
    <x:row r="216" ht="93" customHeight="1">
      <x:c r="A216" s="19" t="n">
        <x:v>213</x:v>
      </x:c>
      <x:c r="B216" s="22" t="e">
        <x:f>HYPERLINK("https://cdn.shopify.com/s/files/1/0918/6066/4603/files/O1CN01RwtLDa2NGHwnu2eDK__4234819935-0-cib_f298f51d-b1a7-403f-a687-7482999a061d.jpg?v=1761287777","Open")</x:f>
        <x:v>HYPERLINK is not implemented. linkLocation=https://cdn.shopify.com/s/files/1/0918/6066/4603/files/O1CN01RwtLDa2NGHwnu2eDK__4234819935-0-cib_f298f51d-b1a7-403f-a687-7482999a061d.jpg?v=1761287777, friendlyName=Open</x:v>
      </x:c>
      <x:c r="C216" s="24" t="e">
        <x:f>HYPERLINK("https://365nails.com/products/simple-red-atmospheric-wearable-manicure-advanced-sense-wearable-nail-film-short-almond-flower-fake-nail-wholesale","Simple red atmospheric wearable manicure, advanced sense wearable nail film, short almond flower fake nail wholesale")</x:f>
        <x:v>HYPERLINK is not implemented. linkLocation=https://365nails.com/products/simple-red-atmospheric-wearable-manicure-advanced-sense-wearable-nail-film-short-almond-flower-fake-nail-wholesale, friendlyName=Simple red atmospheric wearable manicure, advanced sense wearable nail film, short almond flower fake nail wholesale</x:v>
      </x:c>
      <x:c r="D216" s="18" t="str">
        <x:v>color: JP3695</x:v>
      </x:c>
      <x:c r="E216" s="25" t="str">
        <x:v>$0.73</x:v>
      </x:c>
      <x:c r="F216" s="19" t="str">
        <x:v>1</x:v>
      </x:c>
    </x:row>
    <x:row r="217" ht="93" customHeight="1">
      <x:c r="A217" s="19" t="n">
        <x:v>214</x:v>
      </x:c>
      <x:c r="B217" s="22" t="e">
        <x:f>HYPERLINK("https://cdn.shopify.com/s/files/1/0918/6066/4603/files/O1CN01RqPxi92NGI0enTovV__4234819935-0-cib.jpg?v=1763447217","Open")</x:f>
        <x:v>HYPERLINK is not implemented. linkLocation=https://cdn.shopify.com/s/files/1/0918/6066/4603/files/O1CN01RqPxi92NGI0enTovV__4234819935-0-cib.jpg?v=1763447217, friendlyName=Open</x:v>
      </x:c>
      <x:c r="C217" s="24" t="e">
        <x:f>HYPERLINK("https://365nails.com/products/soft-pink-jelly-natural-press-on-nails","Soft Pink Jelly Natural Press On Nails")</x:f>
        <x:v>HYPERLINK is not implemented. linkLocation=https://365nails.com/products/soft-pink-jelly-natural-press-on-nails, friendlyName=Soft Pink Jelly Natural Press On Nails</x:v>
      </x:c>
      <x:c r="D217" s="18" t="str">
        <x:v>Color: JP4138</x:v>
      </x:c>
      <x:c r="E217" s="25" t="str">
        <x:v>$0.72</x:v>
      </x:c>
      <x:c r="F217" s="19" t="str">
        <x:v>1</x:v>
      </x:c>
    </x:row>
    <x:row r="218" ht="93" customHeight="1">
      <x:c r="A218" s="19" t="n">
        <x:v>215</x:v>
      </x:c>
      <x:c r="B218" s="22" t="e">
        <x:f>HYPERLINK("https://cdn.shopify.com/s/files/1/0918/6066/4603/files/O1CN012nBK3b2NGI0nLBfTT__4234819935-0-cib.jpg?v=1763446609","Open")</x:f>
        <x:v>HYPERLINK is not implemented. linkLocation=https://cdn.shopify.com/s/files/1/0918/6066/4603/files/O1CN012nBK3b2NGI0nLBfTT__4234819935-0-cib.jpg?v=1763446609, friendlyName=Open</x:v>
      </x:c>
      <x:c r="C218" s="24" t="e">
        <x:f>HYPERLINK("https://365nails.com/products/pink-3d-floral-press-on-nails-sweet-girly-design","Pink 3D Floral Press On Nails Sweet Girly Design")</x:f>
        <x:v>HYPERLINK is not implemented. linkLocation=https://365nails.com/products/pink-3d-floral-press-on-nails-sweet-girly-design, friendlyName=Pink 3D Floral Press On Nails Sweet Girly Design</x:v>
      </x:c>
      <x:c r="D218" s="18" t="str">
        <x:v>Color: JP4088</x:v>
      </x:c>
      <x:c r="E218" s="25" t="str">
        <x:v>$1.81</x:v>
      </x:c>
      <x:c r="F218" s="19" t="str">
        <x:v>1</x:v>
      </x:c>
    </x:row>
    <x:row r="219" ht="93" customHeight="1">
      <x:c r="A219" s="19" t="n">
        <x:v>216</x:v>
      </x:c>
      <x:c r="B219" s="22" t="e">
        <x:f>HYPERLINK("https://cdn.shopify.com/s/files/1/0918/6066/4603/files/O1CN01KAxJwK2NGI0ufxKNf__4234819935-0-cib.jpg?v=1763446485","Open")</x:f>
        <x:v>HYPERLINK is not implemented. linkLocation=https://cdn.shopify.com/s/files/1/0918/6066/4603/files/O1CN01KAxJwK2NGI0ufxKNf__4234819935-0-cib.jpg?v=1763446485, friendlyName=Open</x:v>
      </x:c>
      <x:c r="C219" s="24" t="e">
        <x:f>HYPERLINK("https://365nails.com/products/delicate-white-lace-press-on-nails-soft-bridal-look","Delicate White Lace Press On Nails Soft Bridal Look")</x:f>
        <x:v>HYPERLINK is not implemented. linkLocation=https://365nails.com/products/delicate-white-lace-press-on-nails-soft-bridal-look, friendlyName=Delicate White Lace Press On Nails Soft Bridal Look</x:v>
      </x:c>
      <x:c r="D219" s="18" t="str">
        <x:v>Color: JP4121</x:v>
      </x:c>
      <x:c r="E219" s="25" t="str">
        <x:v>$2.22</x:v>
      </x:c>
      <x:c r="F219" s="19" t="str">
        <x:v>1</x:v>
      </x:c>
    </x:row>
    <x:row r="220" ht="93" customHeight="1">
      <x:c r="A220" s="19" t="n">
        <x:v>217</x:v>
      </x:c>
      <x:c r="B220" s="22" t="e">
        <x:f>HYPERLINK("https://cdn.shopify.com/s/files/1/0918/6066/4603/files/O1CN01sSHcQd2NGI0S83L51__4234819935-0-cib.jpg?v=1763446239","Open")</x:f>
        <x:v>HYPERLINK is not implemented. linkLocation=https://cdn.shopify.com/s/files/1/0918/6066/4603/files/O1CN01sSHcQd2NGI0S83L51__4234819935-0-cib.jpg?v=1763446239, friendlyName=Open</x:v>
      </x:c>
      <x:c r="C220" s="24" t="e">
        <x:f>HYPERLINK("https://365nails.com/products/sweet-pink-dot-press-on-nails-cute-daily-style","Sweet Pink Dot Press On Nails Cute Daily Style")</x:f>
        <x:v>HYPERLINK is not implemented. linkLocation=https://365nails.com/products/sweet-pink-dot-press-on-nails-cute-daily-style, friendlyName=Sweet Pink Dot Press On Nails Cute Daily Style</x:v>
      </x:c>
      <x:c r="D220" s="18" t="str">
        <x:v>Color: JP4067</x:v>
      </x:c>
      <x:c r="E220" s="25" t="str">
        <x:v>$1.09</x:v>
      </x:c>
      <x:c r="F220" s="19" t="str">
        <x:v>1</x:v>
      </x:c>
    </x:row>
    <x:row r="221" ht="93" customHeight="1">
      <x:c r="A221" s="19" t="n">
        <x:v>218</x:v>
      </x:c>
      <x:c r="B221" s="22" t="e">
        <x:f>HYPERLINK("https://cdn.shopify.com/s/files/1/0918/6066/4603/files/O1CN01d9rjTB2NGI0bhDnUe__4234819935-0-cib.jpg?v=1763444913","Open")</x:f>
        <x:v>HYPERLINK is not implemented. linkLocation=https://cdn.shopify.com/s/files/1/0918/6066/4603/files/O1CN01d9rjTB2NGI0bhDnUe__4234819935-0-cib.jpg?v=1763444913, friendlyName=Open</x:v>
      </x:c>
      <x:c r="C221" s="24" t="e">
        <x:f>HYPERLINK("https://365nails.com/products/soft-nude-gradient-nails-with-subtle-shimmer-glow","Soft Nude Gradient Nails with Subtle Shimmer Glow")</x:f>
        <x:v>HYPERLINK is not implemented. linkLocation=https://365nails.com/products/soft-nude-gradient-nails-with-subtle-shimmer-glow, friendlyName=Soft Nude Gradient Nails with Subtle Shimmer Glow</x:v>
      </x:c>
      <x:c r="D221" s="18" t="str">
        <x:v>Color: JP4098</x:v>
      </x:c>
      <x:c r="E221" s="25" t="str">
        <x:v>$1.01</x:v>
      </x:c>
      <x:c r="F221" s="19" t="str">
        <x:v>1</x:v>
      </x:c>
    </x:row>
    <x:row r="222" ht="93" customHeight="1">
      <x:c r="A222" s="19" t="n">
        <x:v>219</x:v>
      </x:c>
      <x:c r="B222" s="22" t="e">
        <x:f>HYPERLINK("https://cdn.shopify.com/s/files/1/0918/6066/4603/files/O1CN013pjBTD1rlpZYNHK2b__2215158925672-0-cib.jpg?v=1763188535","Open")</x:f>
        <x:v>HYPERLINK is not implemented. linkLocation=https://cdn.shopify.com/s/files/1/0918/6066/4603/files/O1CN013pjBTD1rlpZYNHK2b__2215158925672-0-cib.jpg?v=1763188535, friendlyName=Open</x:v>
      </x:c>
      <x:c r="C222" s="24" t="e">
        <x:f>HYPERLINK("https://365nails.com/products/sweet-blush-series-press-on-nails","Sweet Blush Series Press-On Nails")</x:f>
        <x:v>HYPERLINK is not implemented. linkLocation=https://365nails.com/products/sweet-blush-series-press-on-nails, friendlyName=Sweet Blush Series Press-On Nails</x:v>
      </x:c>
      <x:c r="D222" s="18" t="str">
        <x:v>Size: S / M / L</x:v>
      </x:c>
      <x:c r="E222" s="25" t="str">
        <x:v>$4.99</x:v>
      </x:c>
      <x:c r="F222" s="19" t="str">
        <x:v>30</x:v>
      </x:c>
    </x:row>
    <x:row r="223" ht="93" customHeight="1">
      <x:c r="A223" s="19" t="n">
        <x:v>220</x:v>
      </x:c>
      <x:c r="B223" s="22" t="e">
        <x:f>HYPERLINK("https://cdn.shopify.com/s/files/1/0918/6066/4603/files/O1CN01Efeoyq1rlpaBKDJfu__2215158925672-0-cib_f123ab13-62e1-45e4-87d8-3c1559dfbd9a.jpg?v=1763184639","Open")</x:f>
        <x:v>HYPERLINK is not implemented. linkLocation=https://cdn.shopify.com/s/files/1/0918/6066/4603/files/O1CN01Efeoyq1rlpaBKDJfu__2215158925672-0-cib_f123ab13-62e1-45e4-87d8-3c1559dfbd9a.jpg?v=1763184639, friendlyName=Open</x:v>
      </x:c>
      <x:c r="C223" s="24" t="e">
        <x:f>HYPERLINK("https://365nails.com/products/rose-ember-series-press-on-nails","Rosé Ember Series Press-On Nails")</x:f>
        <x:v>HYPERLINK is not implemented. linkLocation=https://365nails.com/products/rose-ember-series-press-on-nails, friendlyName=Rosé Ember Series Press-On Nails</x:v>
      </x:c>
      <x:c r="D223" s="18" t="str">
        <x:v>SIZE: S / M / L</x:v>
      </x:c>
      <x:c r="E223" s="25" t="str">
        <x:v>$4.49</x:v>
      </x:c>
      <x:c r="F223" s="19" t="str">
        <x:v>30</x:v>
      </x:c>
    </x:row>
    <x:row r="224" ht="93" customHeight="1">
      <x:c r="A224" s="19" t="n">
        <x:v>221</x:v>
      </x:c>
      <x:c r="B224" s="22" t="e">
        <x:f>HYPERLINK("https://cdn.shopify.com/s/files/1/0918/6066/4603/files/O1CN01Hb8d1o1rlpaDBHn1B__2215158925672-0-cib_802e61e2-1471-4071-bd79-e76118ed4c8e.jpg?v=1763184126","Open")</x:f>
        <x:v>HYPERLINK is not implemented. linkLocation=https://cdn.shopify.com/s/files/1/0918/6066/4603/files/O1CN01Hb8d1o1rlpaDBHn1B__2215158925672-0-cib_802e61e2-1471-4071-bd79-e76118ed4c8e.jpg?v=1763184126, friendlyName=Open</x:v>
      </x:c>
      <x:c r="C224" s="24" t="e">
        <x:f>HYPERLINK("https://365nails.com/products/cherry-dusk-series-press-on-nails","Cherry Dusk Series Press-On Nails")</x:f>
        <x:v>HYPERLINK is not implemented. linkLocation=https://365nails.com/products/cherry-dusk-series-press-on-nails, friendlyName=Cherry Dusk Series Press-On Nails</x:v>
      </x:c>
      <x:c r="D224" s="18" t="str">
        <x:v>SIZE: S / M / L</x:v>
      </x:c>
      <x:c r="E224" s="25" t="str">
        <x:v>$3.99</x:v>
      </x:c>
      <x:c r="F224" s="19" t="str">
        <x:v>30</x:v>
      </x:c>
    </x:row>
    <x:row r="225" ht="93" customHeight="1">
      <x:c r="A225" s="19" t="n">
        <x:v>222</x:v>
      </x:c>
      <x:c r="B225" s="22" t="e">
        <x:f>HYPERLINK("https://cdn.shopify.com/s/files/1/0918/6066/4603/files/tufan_2Fb6930be8-b722-11f0-b37f-00163e112a0d.jpg?v=1762002204","Open")</x:f>
        <x:v>HYPERLINK is not implemented. linkLocation=https://cdn.shopify.com/s/files/1/0918/6066/4603/files/tufan_2Fb6930be8-b722-11f0-b37f-00163e112a0d.jpg?v=1762002204, friendlyName=Open</x:v>
      </x:c>
      <x:c r="C225" s="24" t="e">
        <x:f>HYPERLINK("https://365nails.com/products/manicure-grinding-sand-strip-special-polishing-tool-for-manicure","Manicure grinding sand strip special polishing tool for manicure (MOQ=100)")</x:f>
        <x:v>HYPERLINK is not implemented. linkLocation=https://365nails.com/products/manicure-grinding-sand-strip-special-polishing-tool-for-manicure, friendlyName=Manicure grinding sand strip special polishing tool for manicure (MOQ=100)</x:v>
      </x:c>
      <x:c r="D225" s="18" t="str">
        <x:v>Color classification: Pink small round straight / Blue small circle straight / Purple small round straight / Green small circle straight / Orange small round straight / Yellow small round straight / Gray small circle straight / Black small round straight / Pink and blue small round straight / Pink purple small round straight / Huangtang Xiaoyuanzhi / Gray-black small round straight; Quantity: 100pcs</x:v>
      </x:c>
      <x:c r="E225" s="25" t="str">
        <x:v>$4.00</x:v>
      </x:c>
      <x:c r="F225" s="19" t="str">
        <x:v>1</x:v>
      </x:c>
    </x:row>
    <x:row r="226" ht="93" customHeight="1">
      <x:c r="A226" s="19" t="n">
        <x:v>223</x:v>
      </x:c>
      <x:c r="B226" s="22" t="e">
        <x:f>HYPERLINK("https://cdn.shopify.com/s/files/1/0918/6066/4603/files/O1CN015vQDLg2NGHz21MEbN__4234819935-0-cib.jpg?v=1754378414","Open")</x:f>
        <x:v>HYPERLINK is not implemented. linkLocation=https://cdn.shopify.com/s/files/1/0918/6066/4603/files/O1CN015vQDLg2NGHz21MEbN__4234819935-0-cib.jpg?v=1754378414, friendlyName=Open</x:v>
      </x:c>
      <x:c r="C226" s="24" t="e">
        <x:f>HYPERLINK("https://365nails.com/products/cross-border-hot-french-cream-press-on-nails-blush-cat-eye-pure-desire-wind-manicure-nail-piece-short-ballet-fake-nail-wholesale-365nails","French cream press on nails blush cat eye pure desire wind manicure nail piece short ballet fake nail wholesale｜365nails")</x:f>
        <x:v>HYPERLINK is not implemented. linkLocation=https://365nails.com/products/cross-border-hot-french-cream-press-on-nails-blush-cat-eye-pure-desire-wind-manicure-nail-piece-short-ballet-fake-nail-wholesale-365nails, friendlyName=French cream press on nails blush cat eye pure desire wind manicure nail piece short ballet fake nail wholesale｜365nails</x:v>
      </x:c>
      <x:c r="D226" s="18" t="str">
        <x:v>color: JL0690</x:v>
      </x:c>
      <x:c r="E226" s="25" t="str">
        <x:v>$1.03</x:v>
      </x:c>
      <x:c r="F226" s="19" t="str">
        <x:v>1</x:v>
      </x:c>
    </x:row>
    <x:row r="227" ht="93" customHeight="1">
      <x:c r="A227" s="19" t="n">
        <x:v>224</x:v>
      </x:c>
      <x:c r="B227" s="22" t="e">
        <x:f>HYPERLINK("https://cdn.shopify.com/s/files/1/0918/6066/4603/files/O1CN01BVy0ug2NGHk2GJLj4__4234819935-0-cib.jpg?v=1753429507","Open")</x:f>
        <x:v>HYPERLINK is not implemented. linkLocation=https://cdn.shopify.com/s/files/1/0918/6066/4603/files/O1CN01BVy0ug2NGHk2GJLj4__4234819935-0-cib.jpg?v=1753429507, friendlyName=Open</x:v>
      </x:c>
      <x:c r="C227" s="24" t="e">
        <x:f>HYPERLINK("https://365nails.com/products/press-on-nails-finished-product-wholesale-five-color-solid-color-fresh-ins-wind-press-on-nails-and-nail-finished-product-fake-nail-365nails","Press on nails finished product wholesale five-color solid color fresh ins wind Press on nails and nail finished product fake nail｜365nails")</x:f>
        <x:v>HYPERLINK is not implemented. linkLocation=https://365nails.com/products/press-on-nails-finished-product-wholesale-five-color-solid-color-fresh-ins-wind-press-on-nails-and-nail-finished-product-fake-nail-365nails, friendlyName=Press on nails finished product wholesale five-color solid color fresh ins wind Press on nails and nail finished product fake nail｜365nails</x:v>
      </x:c>
      <x:c r="D227" s="18" t="str">
        <x:v>color: JP2495</x:v>
      </x:c>
      <x:c r="E227" s="25" t="str">
        <x:v>$0.94</x:v>
      </x:c>
      <x:c r="F227" s="19" t="str">
        <x:v>1</x:v>
      </x:c>
    </x:row>
    <x:row r="228" ht="93" customHeight="1">
      <x:c r="A228" s="19" t="n">
        <x:v>225</x:v>
      </x:c>
      <x:c r="B228" s="22" t="e">
        <x:f>HYPERLINK("https://cdn.shopify.com/s/files/1/0918/6066/4603/files/O1CN01J3cqTb2NGHtTPBsLn__4234819935-0-cib.jpg?v=1753429011","Open")</x:f>
        <x:v>HYPERLINK is not implemented. linkLocation=https://cdn.shopify.com/s/files/1/0918/6066/4603/files/O1CN01J3cqTb2NGHtTPBsLn__4234819935-0-cib.jpg?v=1753429011, friendlyName=Open</x:v>
      </x:c>
      <x:c r="C228" s="24" t="e">
        <x:f>HYPERLINK("https://365nails.com/products/summer-new-piece-press-onable-fake-nail-french-purple-cat-eye-press-on-nails-three-dimensional-butterfly-nail-piece-finished-product-365nails","Summer new  piece Press onable fake nail French purple cat eye Press on nails Three-dimensional butterfly nail piece Finished product｜365nails")</x:f>
        <x:v>HYPERLINK is not implemented. linkLocation=https://365nails.com/products/summer-new-piece-press-onable-fake-nail-french-purple-cat-eye-press-on-nails-three-dimensional-butterfly-nail-piece-finished-product-365nails, friendlyName=Summer new  piece Press onable fake nail French purple cat eye Press on nails Three-dimensional butterfly nail piece Finished product｜365nails</x:v>
      </x:c>
      <x:c r="D228" s="18" t="str">
        <x:v>Color classification: SP167-XS / SP167-S / SP167-M</x:v>
      </x:c>
      <x:c r="E228" s="25" t="str">
        <x:v>$1.36</x:v>
      </x:c>
      <x:c r="F228" s="19" t="str">
        <x:v>1</x:v>
      </x:c>
    </x:row>
    <x:row r="229" ht="93" customHeight="1">
      <x:c r="A229" s="19" t="n">
        <x:v>226</x:v>
      </x:c>
      <x:c r="B229" s="22" t="e">
        <x:f>HYPERLINK("https://cdn.shopify.com/s/files/1/0918/6066/4603/files/O1CN01kyI7532NGI0pqoT68__4234819935-0-cib.jpg?v=1763446739","Open")</x:f>
        <x:v>HYPERLINK is not implemented. linkLocation=https://cdn.shopify.com/s/files/1/0918/6066/4603/files/O1CN01kyI7532NGI0pqoT68__4234819935-0-cib.jpg?v=1763446739, friendlyName=Open</x:v>
      </x:c>
      <x:c r="C229" s="24" t="e">
        <x:f>HYPERLINK("https://365nails.com/products/brown-glow-square-nails-with-glossy-metallic-shine","Brown Glow Square Nails with Glossy Metallic Shine")</x:f>
        <x:v>HYPERLINK is not implemented. linkLocation=https://365nails.com/products/brown-glow-square-nails-with-glossy-metallic-shine, friendlyName=Brown Glow Square Nails with Glossy Metallic Shine</x:v>
      </x:c>
      <x:c r="D229" s="18" t="str">
        <x:v>Color: JP4153</x:v>
      </x:c>
      <x:c r="E229" s="25" t="str">
        <x:v>$1.01</x:v>
      </x:c>
      <x:c r="F229" s="19" t="str">
        <x:v>1</x:v>
      </x:c>
    </x:row>
    <x:row r="230" ht="93" customHeight="1">
      <x:c r="A230" s="19" t="n">
        <x:v>227</x:v>
      </x:c>
      <x:c r="B230" s="22" t="e">
        <x:f>HYPERLINK("https://cdn.shopify.com/s/files/1/0918/6066/4603/files/O1CN01X9JFeJ2NGI0qxEBBL__4234819935-0-cib.jpg?v=1763445458","Open")</x:f>
        <x:v>HYPERLINK is not implemented. linkLocation=https://cdn.shopify.com/s/files/1/0918/6066/4603/files/O1CN01X9JFeJ2NGI0qxEBBL__4234819935-0-cib.jpg?v=1763445458, friendlyName=Open</x:v>
      </x:c>
      <x:c r="C230" s="24" t="e">
        <x:f>HYPERLINK("https://365nails.com/products/cream-white-minimal-french-press-on-nails","Cream White Minimal French Press On Nails")</x:f>
        <x:v>HYPERLINK is not implemented. linkLocation=https://365nails.com/products/cream-white-minimal-french-press-on-nails, friendlyName=Cream White Minimal French Press On Nails</x:v>
      </x:c>
      <x:c r="D230" s="18" t="str">
        <x:v>Color: JP4164</x:v>
      </x:c>
      <x:c r="E230" s="25" t="str">
        <x:v>$0.72</x:v>
      </x:c>
      <x:c r="F230" s="19" t="str">
        <x:v>1</x:v>
      </x:c>
    </x:row>
    <x:row r="231" ht="93" customHeight="1">
      <x:c r="A231" s="19" t="n">
        <x:v>228</x:v>
      </x:c>
      <x:c r="B231" s="22" t="e">
        <x:f>HYPERLINK("https://cdn.shopify.com/s/files/1/0918/6066/4603/files/O1CN01R54ckq2NGI0nMsGV9__4234819935-0-cib.jpg?v=1763445400","Open")</x:f>
        <x:v>HYPERLINK is not implemented. linkLocation=https://cdn.shopify.com/s/files/1/0918/6066/4603/files/O1CN01R54ckq2NGI0nMsGV9__4234819935-0-cib.jpg?v=1763445400, friendlyName=Open</x:v>
      </x:c>
      <x:c r="C231" s="24" t="e">
        <x:f>HYPERLINK("https://365nails.com/products/brown-polka-dot-french-tips-press-on-nails","Brown Polka Dot French Tips Press On Nails")</x:f>
        <x:v>HYPERLINK is not implemented. linkLocation=https://365nails.com/products/brown-polka-dot-french-tips-press-on-nails, friendlyName=Brown Polka Dot French Tips Press On Nails</x:v>
      </x:c>
      <x:c r="D231" s="18" t="str">
        <x:v>Color: JP4155</x:v>
      </x:c>
      <x:c r="E231" s="25" t="str">
        <x:v>$0.72</x:v>
      </x:c>
      <x:c r="F231" s="19" t="str">
        <x:v>1</x:v>
      </x:c>
    </x:row>
    <x:row r="232" ht="93" customHeight="1">
      <x:c r="A232" s="19" t="n">
        <x:v>229</x:v>
      </x:c>
      <x:c r="B232" s="22" t="e">
        <x:f>HYPERLINK("https://cdn.shopify.com/s/files/1/0918/6066/4603/files/O1CN01KvuBNG2NGI0ceJUb8__4234819935-0-cib.jpg?v=1763445035","Open")</x:f>
        <x:v>HYPERLINK is not implemented. linkLocation=https://cdn.shopify.com/s/files/1/0918/6066/4603/files/O1CN01KvuBNG2NGI0ceJUb8__4234819935-0-cib.jpg?v=1763445035, friendlyName=Open</x:v>
      </x:c>
      <x:c r="C232" s="24" t="e">
        <x:f>HYPERLINK("https://365nails.com/products/romantic-red-bow-heart-press-on-nails-design","Romantic Red Bow Heart Press On Nails Design")</x:f>
        <x:v>HYPERLINK is not implemented. linkLocation=https://365nails.com/products/romantic-red-bow-heart-press-on-nails-design, friendlyName=Romantic Red Bow Heart Press On Nails Design</x:v>
      </x:c>
      <x:c r="D232" s="18" t="str">
        <x:v>Color: JP4140</x:v>
      </x:c>
      <x:c r="E232" s="25" t="str">
        <x:v>$1.66</x:v>
      </x:c>
      <x:c r="F232" s="19" t="str">
        <x:v>1</x:v>
      </x:c>
    </x:row>
    <x:row r="233" ht="93" customHeight="1">
      <x:c r="A233" s="19" t="n">
        <x:v>230</x:v>
      </x:c>
      <x:c r="B233" s="22" t="e">
        <x:f>HYPERLINK("https://cdn.shopify.com/s/files/1/0918/6066/4603/files/O1CN01V9xWLq1rlpaGaUvhX__2215158925672-0-cib_76e17e5a-2e6b-4d7c-990b-f35e5dc18b70.jpg?v=1763185005","Open")</x:f>
        <x:v>HYPERLINK is not implemented. linkLocation=https://cdn.shopify.com/s/files/1/0918/6066/4603/files/O1CN01V9xWLq1rlpaGaUvhX__2215158925672-0-cib_76e17e5a-2e6b-4d7c-990b-f35e5dc18b70.jpg?v=1763185005, friendlyName=Open</x:v>
      </x:c>
      <x:c r="C233" s="24" t="e">
        <x:f>HYPERLINK("https://365nails.com/products/noir-blossom-series-press-on-nails","Noir Blossom Series Press-On Nails")</x:f>
        <x:v>HYPERLINK is not implemented. linkLocation=https://365nails.com/products/noir-blossom-series-press-on-nails, friendlyName=Noir Blossom Series Press-On Nails</x:v>
      </x:c>
      <x:c r="D233" s="18" t="str">
        <x:v>SIZE: S / M</x:v>
      </x:c>
      <x:c r="E233" s="25" t="str">
        <x:v>$3.69</x:v>
      </x:c>
      <x:c r="F233" s="19" t="str">
        <x:v>30</x:v>
      </x:c>
    </x:row>
    <x:row r="234" ht="93" customHeight="1">
      <x:c r="A234" s="19" t="n">
        <x:v>231</x:v>
      </x:c>
      <x:c r="B234" s="22" t="e">
        <x:f>HYPERLINK("https://cdn.shopify.com/s/files/1/0918/6066/4603/files/O1CN01hQDZ4U2NGHikU6bTA__4234819935-0-cib.jpg?v=1753429493","Open")</x:f>
        <x:v>HYPERLINK is not implemented. linkLocation=https://cdn.shopify.com/s/files/1/0918/6066/4603/files/O1CN01hQDZ4U2NGHikU6bTA__4234819935-0-cib.jpg?v=1753429493, friendlyName=Open</x:v>
      </x:c>
      <x:c r="C234" s="24" t="e">
        <x:f>HYPERLINK("https://365nails.com/products/press-on-rainbow-cloud-multicolor-french-edge-love-press-on-nails-wholesale-removable-nails-365nails","Press on  Rainbow Cloud Multicolor French Edge Love  Press on nails Wholesale Removable  Nails｜365nails")</x:f>
        <x:v>HYPERLINK is not implemented. linkLocation=https://365nails.com/products/press-on-rainbow-cloud-multicolor-french-edge-love-press-on-nails-wholesale-removable-nails-365nails, friendlyName=Press on  Rainbow Cloud Multicolor French Edge Love  Press on nails Wholesale Removable  Nails｜365nails</x:v>
      </x:c>
      <x:c r="D234" s="18" t="str">
        <x:v>color: JP2298</x:v>
      </x:c>
      <x:c r="E234" s="25" t="str">
        <x:v>$1.03</x:v>
      </x:c>
      <x:c r="F234" s="19" t="str">
        <x:v>1</x:v>
      </x:c>
    </x:row>
    <x:row r="235" ht="93" customHeight="1">
      <x:c r="A235" s="19" t="n">
        <x:v>232</x:v>
      </x:c>
      <x:c r="B235" s="22" t="e">
        <x:f>HYPERLINK("https://cdn.shopify.com/s/files/1/0918/6066/4603/files/O1CN01JOft8z2NGHi3A6WgF__4234819935-0-cib.jpg?v=1753429432","Open")</x:f>
        <x:v>HYPERLINK is not implemented. linkLocation=https://cdn.shopify.com/s/files/1/0918/6066/4603/files/O1CN01JOft8z2NGHi3A6WgF__4234819935-0-cib.jpg?v=1753429432, friendlyName=Open</x:v>
      </x:c>
      <x:c r="C235" s="24" t="e">
        <x:f>HYPERLINK("https://365nails.com/products/press-on-nails-short-gill-black-rhinestone-press-on-nails-advanced-nail-piece-nail-wholesale-nail-piece-half-sticker-nail-piece-365nails","Press on nails short gill black rhinestone Press on nails advanced nail piece nail  wholesale nail piece half sticker nail piece｜365nails")</x:f>
        <x:v>HYPERLINK is not implemented. linkLocation=https://365nails.com/products/press-on-nails-short-gill-black-rhinestone-press-on-nails-advanced-nail-piece-nail-wholesale-nail-piece-half-sticker-nail-piece-365nails, friendlyName=Press on nails short gill black rhinestone Press on nails advanced nail piece nail  wholesale nail piece half sticker nail piece｜365nails</x:v>
      </x:c>
      <x:c r="D235" s="18" t="str">
        <x:v>color: JP2055</x:v>
      </x:c>
      <x:c r="E235" s="25" t="str">
        <x:v>$1.16</x:v>
      </x:c>
      <x:c r="F235" s="19" t="str">
        <x:v>1</x:v>
      </x:c>
    </x:row>
    <x:row r="236" ht="93" customHeight="1">
      <x:c r="A236" s="19" t="n">
        <x:v>233</x:v>
      </x:c>
      <x:c r="B236" s="22" t="e">
        <x:f>HYPERLINK("https://cdn.shopify.com/s/files/1/0918/6066/4603/files/O1CN01J58iEf2NGHhxSaFsR__4234819935-0-cib.jpg?v=1753429399","Open")</x:f>
        <x:v>HYPERLINK is not implemented. linkLocation=https://cdn.shopify.com/s/files/1/0918/6066/4603/files/O1CN01J58iEf2NGHhxSaFsR__4234819935-0-cib.jpg?v=1753429399, friendlyName=Open</x:v>
      </x:c>
      <x:c r="C236" s="24" t="e">
        <x:f>HYPERLINK("https://365nails.com/products/multi-color-french-edge-nail-wholesale-press-on-nails-medium-and-long-nail-press-on-nails-finished-product-wholesale-365nails","Multi-color French Edge Nail  Wholesale Press on nails Medium and Long Nail  Press on nails  Finished Product Wholesale｜365nails")</x:f>
        <x:v>HYPERLINK is not implemented. linkLocation=https://365nails.com/products/multi-color-french-edge-nail-wholesale-press-on-nails-medium-and-long-nail-press-on-nails-finished-product-wholesale-365nails, friendlyName=Multi-color French Edge Nail  Wholesale Press on nails Medium and Long Nail  Press on nails  Finished Product Wholesale｜365nails</x:v>
      </x:c>
      <x:c r="D236" s="18" t="str">
        <x:v>color: JP1984</x:v>
      </x:c>
      <x:c r="E236" s="25" t="str">
        <x:v>$0.94</x:v>
      </x:c>
      <x:c r="F236" s="19" t="str">
        <x:v>1</x:v>
      </x:c>
    </x:row>
    <x:row r="237" ht="93" customHeight="1">
      <x:c r="A237" s="19" t="n">
        <x:v>234</x:v>
      </x:c>
      <x:c r="B237" s="22" t="e">
        <x:f>HYPERLINK("https://cdn.shopify.com/s/files/1/0918/6066/4603/files/O1CN01E80DZ12NGHkHOTLbx__4234819935-0-cib.jpg?v=1753428993","Open")</x:f>
        <x:v>HYPERLINK is not implemented. linkLocation=https://cdn.shopify.com/s/files/1/0918/6066/4603/files/O1CN01E80DZ12NGHkHOTLbx__4234819935-0-cib.jpg?v=1753428993, friendlyName=Open</x:v>
      </x:c>
      <x:c r="C237" s="24" t="e">
        <x:f>HYPERLINK("https://365nails.com/products/press-on-armor-finished-white-flame-polka-dots-ins-wind-press-on-armor-gold-glitter-love-pink-blue-flower-nail-piece-365nails","Press on armor finished white flame polka dots ins wind Press on armor gold glitter love pink blue flower nail piece｜365nails")</x:f>
        <x:v>HYPERLINK is not implemented. linkLocation=https://365nails.com/products/press-on-armor-finished-white-flame-polka-dots-ins-wind-press-on-armor-gold-glitter-love-pink-blue-flower-nail-piece-365nails, friendlyName=Press on armor finished white flame polka dots ins wind Press on armor gold glitter love pink blue flower nail piece｜365nails</x:v>
      </x:c>
      <x:c r="D237" s="18" t="str">
        <x:v>color: JP2486</x:v>
      </x:c>
      <x:c r="E237" s="25" t="str">
        <x:v>$1.11</x:v>
      </x:c>
      <x:c r="F237" s="19" t="str">
        <x:v>1</x:v>
      </x:c>
    </x:row>
    <x:row r="238" ht="93" customHeight="1">
      <x:c r="A238" s="19" t="n">
        <x:v>235</x:v>
      </x:c>
      <x:c r="B238" s="22" t="e">
        <x:f>HYPERLINK("https://cdn.shopify.com/s/files/1/0918/6066/4603/files/O1CN016iKX9D2NGHhMr6KFs__4234819935-0-cib.jpg?v=1753428900","Open")</x:f>
        <x:v>HYPERLINK is not implemented. linkLocation=https://cdn.shopify.com/s/files/1/0918/6066/4603/files/O1CN016iKX9D2NGHhMr6KFs__4234819935-0-cib.jpg?v=1753428900, friendlyName=Open</x:v>
      </x:c>
      <x:c r="C238" s="24" t="e">
        <x:f>HYPERLINK("https://365nails.com/products/press-on-nails-wholesale-press-on-nails-french-powder-edge-nail-piece-wholesale-press-on-nails-wholesale-nails-365nails","Press on nails wholesale Press on nails, French powder edge nail piece wholesale Press on nails  wholesale nails｜365nails")</x:f>
        <x:v>HYPERLINK is not implemented. linkLocation=https://365nails.com/products/press-on-nails-wholesale-press-on-nails-french-powder-edge-nail-piece-wholesale-press-on-nails-wholesale-nails-365nails, friendlyName=Press on nails wholesale Press on nails, French powder edge nail piece wholesale Press on nails  wholesale nails｜365nails</x:v>
      </x:c>
      <x:c r="D238" s="18" t="str">
        <x:v>color: JP1481</x:v>
      </x:c>
      <x:c r="E238" s="25" t="str">
        <x:v>$0.82</x:v>
      </x:c>
      <x:c r="F238" s="19" t="str">
        <x:v>1</x:v>
      </x:c>
    </x:row>
    <x:row r="239" ht="93" customHeight="1">
      <x:c r="A239" s="19" t="n">
        <x:v>236</x:v>
      </x:c>
      <x:c r="B239" s="22" t="e">
        <x:f>HYPERLINK("https://cdn.shopify.com/s/files/1/0918/6066/4603/files/O1CN01QATpfr2NGI0nLMwyE__4234819935-0-cib.jpg?v=1763447162","Open")</x:f>
        <x:v>HYPERLINK is not implemented. linkLocation=https://cdn.shopify.com/s/files/1/0918/6066/4603/files/O1CN01QATpfr2NGI0nLMwyE__4234819935-0-cib.jpg?v=1763447162, friendlyName=Open</x:v>
      </x:c>
      <x:c r="C239" s="24" t="e">
        <x:f>HYPERLINK("https://365nails.com/products/floral-crystal-noir-press-on-nails","Floral Crystal Noir Press On Nails")</x:f>
        <x:v>HYPERLINK is not implemented. linkLocation=https://365nails.com/products/floral-crystal-noir-press-on-nails, friendlyName=Floral Crystal Noir Press On Nails</x:v>
      </x:c>
      <x:c r="D239" s="18" t="str">
        <x:v>Color: JP4111</x:v>
      </x:c>
      <x:c r="E239" s="25" t="str">
        <x:v>$1.62</x:v>
      </x:c>
      <x:c r="F239" s="19" t="str">
        <x:v>1</x:v>
      </x:c>
    </x:row>
    <x:row r="240" ht="93" customHeight="1">
      <x:c r="A240" s="19" t="n">
        <x:v>237</x:v>
      </x:c>
      <x:c r="B240" s="22" t="e">
        <x:f>HYPERLINK("https://cdn.shopify.com/s/files/1/0918/6066/4603/files/O1CN01F91Kj72NGI0hVWOtu__4234819935-0-cib.jpg?v=1763445245","Open")</x:f>
        <x:v>HYPERLINK is not implemented. linkLocation=https://cdn.shopify.com/s/files/1/0918/6066/4603/files/O1CN01F91Kj72NGI0hVWOtu__4234819935-0-cib.jpg?v=1763445245, friendlyName=Open</x:v>
      </x:c>
      <x:c r="C240" s="24" t="e">
        <x:f>HYPERLINK("https://365nails.com/products/minimal-burgundy-french-tip-press-on-nails","Minimal Burgundy French Tip Press On Nails")</x:f>
        <x:v>HYPERLINK is not implemented. linkLocation=https://365nails.com/products/minimal-burgundy-french-tip-press-on-nails, friendlyName=Minimal Burgundy French Tip Press On Nails</x:v>
      </x:c>
      <x:c r="D240" s="18" t="str">
        <x:v>Color: JP4160</x:v>
      </x:c>
      <x:c r="E240" s="25" t="str">
        <x:v>$0.72</x:v>
      </x:c>
      <x:c r="F240" s="19" t="str">
        <x:v>1</x:v>
      </x:c>
    </x:row>
    <x:row r="241" ht="93" customHeight="1">
      <x:c r="A241" s="19" t="n">
        <x:v>238</x:v>
      </x:c>
      <x:c r="B241" s="22" t="e">
        <x:f>HYPERLINK("https://cdn.shopify.com/s/files/1/0918/6066/4603/files/O1CN01G6vCd32NGHzOg2U7X__4234819935-0-cib.jpg?v=1758609846","Open")</x:f>
        <x:v>HYPERLINK is not implemented. linkLocation=https://cdn.shopify.com/s/files/1/0918/6066/4603/files/O1CN01G6vCd32NGHzOg2U7X__4234819935-0-cib.jpg?v=1758609846, friendlyName=Open</x:v>
      </x:c>
      <x:c r="C241" s="24" t="e">
        <x:f>HYPERLINK("https://365nails.com/products/sweet-japanese-style-cat-eye-wearing-nail-cute-cat-bow-nail-art","Sweet Japanese style cat eye cute bow press-on nails")</x:f>
        <x:v>HYPERLINK is not implemented. linkLocation=https://365nails.com/products/sweet-japanese-style-cat-eye-wearing-nail-cute-cat-bow-nail-art, friendlyName=Sweet Japanese style cat eye cute bow press-on nails</x:v>
      </x:c>
      <x:c r="D241" s="18" t="str">
        <x:v>Color: JP4025</x:v>
      </x:c>
      <x:c r="E241" s="25" t="str">
        <x:v>$1.44</x:v>
      </x:c>
      <x:c r="F241" s="19" t="str">
        <x:v>1</x:v>
      </x:c>
    </x:row>
    <x:row r="242" ht="93" customHeight="1">
      <x:c r="A242" s="19" t="n">
        <x:v>239</x:v>
      </x:c>
      <x:c r="B242" s="22" t="e">
        <x:f>HYPERLINK("https://cdn.shopify.com/s/files/1/0918/6066/4603/files/O1CN01eoDE8f2NGHlacMB9y__4234819935-0-cib.jpg?v=1753430479","Open")</x:f>
        <x:v>HYPERLINK is not implemented. linkLocation=https://cdn.shopify.com/s/files/1/0918/6066/4603/files/O1CN01eoDE8f2NGHlacMB9y__4234819935-0-cib.jpg?v=1753430479, friendlyName=Open</x:v>
      </x:c>
      <x:c r="C242" s="24" t="e">
        <x:f>HYPERLINK("https://365nails.com/products/press-on-armor-wholesale-pink-smudge-silver-flame-chain-three-dimensional-snake-shaped-rhinestone-press-on-armor-finished-nails-piece-nails-365nails","press on armor wholesale pink smudge silver flame chain three-dimensional snake-shaped rhinestone press on armor finished nails piece nails｜365nails")</x:f>
        <x:v>HYPERLINK is not implemented. linkLocation=https://365nails.com/products/press-on-armor-wholesale-pink-smudge-silver-flame-chain-three-dimensional-snake-shaped-rhinestone-press-on-armor-finished-nails-piece-nails-365nails, friendlyName=press on armor wholesale pink smudge silver flame chain three-dimensional snake-shaped rhinestone press on armor finished nails piece nails｜365nails</x:v>
      </x:c>
      <x:c r="D242" s="18" t="str">
        <x:v>color: JP2622</x:v>
      </x:c>
      <x:c r="E242" s="25" t="str">
        <x:v>$1.03</x:v>
      </x:c>
      <x:c r="F242" s="19" t="str">
        <x:v>1</x:v>
      </x:c>
    </x:row>
    <x:row r="243" ht="93" customHeight="1">
      <x:c r="A243" s="19" t="n">
        <x:v>240</x:v>
      </x:c>
      <x:c r="B243" s="22" t="e">
        <x:f>HYPERLINK("https://cdn.shopify.com/s/files/1/0918/6066/4603/files/O1CN01eIBCXz2NGI0uD0aKh__4234819935-0-cib.jpg?v=1763444791","Open")</x:f>
        <x:v>HYPERLINK is not implemented. linkLocation=https://cdn.shopify.com/s/files/1/0918/6066/4603/files/O1CN01eIBCXz2NGI0uD0aKh__4234819935-0-cib.jpg?v=1763444791, friendlyName=Open</x:v>
      </x:c>
      <x:c r="C243" s="24" t="e">
        <x:f>HYPERLINK("https://365nails.com/products/brown-metallic-art-nails-with-modern-abstract-details","Brown Metallic Art Nails with Modern Abstract Details")</x:f>
        <x:v>HYPERLINK is not implemented. linkLocation=https://365nails.com/products/brown-metallic-art-nails-with-modern-abstract-details, friendlyName=Brown Metallic Art Nails with Modern Abstract Details</x:v>
      </x:c>
      <x:c r="D243" s="18" t="str">
        <x:v>Color: JP4118</x:v>
      </x:c>
      <x:c r="E243" s="25" t="str">
        <x:v>$2.22</x:v>
      </x:c>
      <x:c r="F243" s="19" t="str">
        <x:v>1</x:v>
      </x:c>
    </x:row>
    <x:row r="244" ht="93" customHeight="1">
      <x:c r="A244" s="19" t="n">
        <x:v>241</x:v>
      </x:c>
      <x:c r="B244" s="22" t="e">
        <x:f>HYPERLINK("https://cdn.shopify.com/s/files/1/0918/6066/4603/files/O1CN01sjKTQJ2NGHmcMTmyJ__4234819935-0-cib.jpg?v=1753430518","Open")</x:f>
        <x:v>HYPERLINK is not implemented. linkLocation=https://cdn.shopify.com/s/files/1/0918/6066/4603/files/O1CN01sjKTQJ2NGHmcMTmyJ__4234819935-0-cib.jpg?v=1753430518, friendlyName=Open</x:v>
      </x:c>
      <x:c r="C244" s="24" t="e">
        <x:f>HYPERLINK("https://365nails.com/products/nails-piece-wholesale-gradual-change-smudging-detachable-press-on-nails-art-medium-and-short-fake-nails-finished-nails-piece-wholesale-365nails","nails piece wholesale gradual change smudging detachable Press on nails art medium and short fake nails finished nails piece wholesale｜365nails")</x:f>
        <x:v>HYPERLINK is not implemented. linkLocation=https://365nails.com/products/nails-piece-wholesale-gradual-change-smudging-detachable-press-on-nails-art-medium-and-short-fake-nails-finished-nails-piece-wholesale-365nails, friendlyName=nails piece wholesale gradual change smudging detachable Press on nails art medium and short fake nails finished nails piece wholesale｜365nails</x:v>
      </x:c>
      <x:c r="D244" s="18" t="str">
        <x:v>color: JP2587</x:v>
      </x:c>
      <x:c r="E244" s="25" t="str">
        <x:v>$0.77</x:v>
      </x:c>
      <x:c r="F244" s="19" t="str">
        <x:v>1</x:v>
      </x:c>
    </x:row>
    <x:row r="245" ht="93" customHeight="1">
      <x:c r="A245" s="19" t="n">
        <x:v>242</x:v>
      </x:c>
      <x:c r="B245" s="22" t="e">
        <x:f>HYPERLINK("https://cdn.shopify.com/s/files/1/0918/6066/4603/files/O1CN01mbozg62NGHi5aqTaT__4234819935-0-cib.jpg?v=1753430292","Open")</x:f>
        <x:v>HYPERLINK is not implemented. linkLocation=https://cdn.shopify.com/s/files/1/0918/6066/4603/files/O1CN01mbozg62NGHi5aqTaT__4234819935-0-cib.jpg?v=1753430292, friendlyName=Open</x:v>
      </x:c>
      <x:c r="C245" s="24" t="e">
        <x:f>HYPERLINK("https://365nails.com/products/press-on-nails-pads-aurora-glitter-powder-nails-patches-press-on-nails-pads-wholesale-nails-pads-wholesale-nails-products-nails-365nails","press on nails pads Aurora glitter powder nails patches press on nails pads wholesale nails pads wholesale nails products nails｜365nails")</x:f>
        <x:v>HYPERLINK is not implemented. linkLocation=https://365nails.com/products/press-on-nails-pads-aurora-glitter-powder-nails-patches-press-on-nails-pads-wholesale-nails-pads-wholesale-nails-products-nails-365nails, friendlyName=press on nails pads Aurora glitter powder nails patches press on nails pads wholesale nails pads wholesale nails products nails｜365nails</x:v>
      </x:c>
      <x:c r="D245" s="18" t="str">
        <x:v>color: JP2068</x:v>
      </x:c>
      <x:c r="E245" s="25" t="str">
        <x:v>$0.97</x:v>
      </x:c>
      <x:c r="F245" s="19" t="str">
        <x:v>1</x:v>
      </x:c>
    </x:row>
    <x:row r="246" ht="93" customHeight="1">
      <x:c r="A246" s="19" t="n">
        <x:v>243</x:v>
      </x:c>
      <x:c r="B246" s="22" t="e">
        <x:f>HYPERLINK("https://cdn.shopify.com/s/files/1/0918/6066/4603/files/O1CN01CM9ktt2NGI0mvZz5V__4234819935-0-cib.jpg?v=1763447447","Open")</x:f>
        <x:v>HYPERLINK is not implemented. linkLocation=https://cdn.shopify.com/s/files/1/0918/6066/4603/files/O1CN01CM9ktt2NGI0mvZz5V__4234819935-0-cib.jpg?v=1763447447, friendlyName=Open</x:v>
      </x:c>
      <x:c r="C246" s="24" t="e">
        <x:f>HYPERLINK("https://365nails.com/products/sweet-pink-dot-art-press-on-nails","Sweet Pink Dot Art Press On Nails")</x:f>
        <x:v>HYPERLINK is not implemented. linkLocation=https://365nails.com/products/sweet-pink-dot-art-press-on-nails, friendlyName=Sweet Pink Dot Art Press On Nails</x:v>
      </x:c>
      <x:c r="D246" s="18" t="str">
        <x:v>Color: JP4147</x:v>
      </x:c>
      <x:c r="E246" s="25" t="str">
        <x:v>$0.72</x:v>
      </x:c>
      <x:c r="F246" s="19" t="str">
        <x:v>1</x:v>
      </x:c>
    </x:row>
    <x:row r="247" ht="93" customHeight="1">
      <x:c r="A247" s="19" t="n">
        <x:v>244</x:v>
      </x:c>
      <x:c r="B247" s="22" t="e">
        <x:f>HYPERLINK("https://cdn.shopify.com/s/files/1/0918/6066/4603/files/O1CN01EiVi0s2NGI0qEDqvo__4234819935-0-cib.jpg?v=1763446414","Open")</x:f>
        <x:v>HYPERLINK is not implemented. linkLocation=https://cdn.shopify.com/s/files/1/0918/6066/4603/files/O1CN01EiVi0s2NGI0qEDqvo__4234819935-0-cib.jpg?v=1763446414, friendlyName=Open</x:v>
      </x:c>
      <x:c r="C247" s="24" t="e">
        <x:f>HYPERLINK("https://365nails.com/products/wine-red-floral-accent-press-on-nails-elegant-style","Wine Red Floral Accent Press On Nails Elegant Style")</x:f>
        <x:v>HYPERLINK is not implemented. linkLocation=https://365nails.com/products/wine-red-floral-accent-press-on-nails-elegant-style, friendlyName=Wine Red Floral Accent Press On Nails Elegant Style</x:v>
      </x:c>
      <x:c r="D247" s="18" t="str">
        <x:v>Color: JP4158</x:v>
      </x:c>
      <x:c r="E247" s="25" t="str">
        <x:v>$0.90</x:v>
      </x:c>
      <x:c r="F247" s="19" t="str">
        <x:v>1</x:v>
      </x:c>
    </x:row>
    <x:row r="248" ht="93" customHeight="1">
      <x:c r="A248" s="19" t="n">
        <x:v>245</x:v>
      </x:c>
      <x:c r="B248" s="22" t="e">
        <x:f>HYPERLINK("https://cdn.shopify.com/s/files/1/0918/6066/4603/files/O1CN01dHtsmi2NGHnlCTC3t__4234819935-0-cib_248bd4b2-b135-4ec7-b560-797b4f327e0b.jpg?v=1761290238","Open")</x:f>
        <x:v>HYPERLINK is not implemented. linkLocation=https://cdn.shopify.com/s/files/1/0918/6066/4603/files/O1CN01dHtsmi2NGHnlCTC3t__4234819935-0-cib_248bd4b2-b135-4ec7-b560-797b4f327e0b.jpg?v=1761290238, friendlyName=Open</x:v>
      </x:c>
      <x:c r="C248" s="24" t="e">
        <x:f>HYPERLINK("https://365nails.com/products/yiwu-nail-art-wearing-nail-piece-solid-color-burgundy-nail-art-fake-nail-short-wearable-nail-sticker-wholesale","Yiwu nail art wearing nail piece solid color burgundy nail art fake nail short wearable nail sticker wholesale")</x:f>
        <x:v>HYPERLINK is not implemented. linkLocation=https://365nails.com/products/yiwu-nail-art-wearing-nail-piece-solid-color-burgundy-nail-art-fake-nail-short-wearable-nail-sticker-wholesale, friendlyName=Yiwu nail art wearing nail piece solid color burgundy nail art fake nail short wearable nail sticker wholesale</x:v>
      </x:c>
      <x:c r="D248" s="18" t="str">
        <x:v>Color: JP2936</x:v>
      </x:c>
      <x:c r="E248" s="25" t="str">
        <x:v>$1.01</x:v>
      </x:c>
      <x:c r="F248" s="19" t="str">
        <x:v>1</x:v>
      </x:c>
    </x:row>
    <x:row r="249" ht="93" customHeight="1">
      <x:c r="A249" s="19" t="n">
        <x:v>246</x:v>
      </x:c>
      <x:c r="B249" s="22" t="e">
        <x:f>HYPERLINK("https://cdn.shopify.com/s/files/1/0918/6066/4603/files/O1CN01OocRgW2NGHyX4r24e__4234819935-0-cib_23378e5e-35e3-4fa3-be4c-035a8a881f85.jpg?v=1761291345","Open")</x:f>
        <x:v>HYPERLINK is not implemented. linkLocation=https://cdn.shopify.com/s/files/1/0918/6066/4603/files/O1CN01OocRgW2NGHyX4r24e__4234819935-0-cib_23378e5e-35e3-4fa3-be4c-035a8a881f85.jpg?v=1761291345, friendlyName=Open</x:v>
      </x:c>
      <x:c r="C249" s="24" t="e">
        <x:f>HYPERLINK("https://365nails.com/products/pearlescent-powder-smudged-nail-art-wearing-nail-short-almond-nail-fake-nail-simple-cherry-removable-nail-finished-product-wholesale","Pearlescent powder smudged nail art wearing nail short almond nail fake nail simple cherry removable nail finished product wholesale")</x:f>
        <x:v>HYPERLINK is not implemented. linkLocation=https://365nails.com/products/pearlescent-powder-smudged-nail-art-wearing-nail-short-almond-nail-fake-nail-simple-cherry-removable-nail-finished-product-wholesale, friendlyName=Pearlescent powder smudged nail art wearing nail short almond nail fake nail simple cherry removable nail finished product wholesale</x:v>
      </x:c>
      <x:c r="D249" s="18" t="str">
        <x:v>Color: JP3928</x:v>
      </x:c>
      <x:c r="E249" s="25" t="str">
        <x:v>$0.58</x:v>
      </x:c>
      <x:c r="F249" s="19" t="str">
        <x:v>1</x:v>
      </x:c>
    </x:row>
    <x:row r="250" ht="93" customHeight="1">
      <x:c r="A250" s="19" t="n">
        <x:v>247</x:v>
      </x:c>
      <x:c r="B250" s="22" t="e">
        <x:f>HYPERLINK("https://cdn.shopify.com/s/files/1/0918/6066/4603/files/O1CN018RsxL42NGHfDe6uXm__4234819935-0-cib.jpg?v=1753428910","Open")</x:f>
        <x:v>HYPERLINK is not implemented. linkLocation=https://cdn.shopify.com/s/files/1/0918/6066/4603/files/O1CN018RsxL42NGHfDe6uXm__4234819935-0-cib.jpg?v=1753428910, friendlyName=Open</x:v>
      </x:c>
      <x:c r="C250" s="24" t="e">
        <x:f>HYPERLINK("https://365nails.com/products/blue-and-yellow-mandarin-duck-crocodile-pattern-press-on-nails-piece-fake-nail-nail-sticker-removable-nail-piece-nail-piece-wholesale-365nails","Blue and yellow mandarin duck crocodile pattern press on nails piece fake nail nail sticker removable nail piece nail piece wholesale｜365nails")</x:f>
        <x:v>HYPERLINK is not implemented. linkLocation=https://365nails.com/products/blue-and-yellow-mandarin-duck-crocodile-pattern-press-on-nails-piece-fake-nail-nail-sticker-removable-nail-piece-nail-piece-wholesale-365nails, friendlyName=Blue and yellow mandarin duck crocodile pattern press on nails piece fake nail nail sticker removable nail piece nail piece wholesale｜365nails</x:v>
      </x:c>
      <x:c r="D250" s="18" t="str">
        <x:v>color: JP1587</x:v>
      </x:c>
      <x:c r="E250" s="25" t="str">
        <x:v>$1.03</x:v>
      </x:c>
      <x:c r="F250" s="19" t="str">
        <x:v>1</x:v>
      </x:c>
    </x:row>
    <x:row r="251" ht="93" customHeight="1">
      <x:c r="A251" s="19" t="n">
        <x:v>248</x:v>
      </x:c>
      <x:c r="B251" s="22" t="e">
        <x:f>HYPERLINK("https://cdn.shopify.com/s/files/1/0918/6066/4603/files/O1CN01biuiia2NGI0SSxNwO__4234819935-0-cib.jpg?v=1763451817","Open")</x:f>
        <x:v>HYPERLINK is not implemented. linkLocation=https://cdn.shopify.com/s/files/1/0918/6066/4603/files/O1CN01biuiia2NGI0SSxNwO__4234819935-0-cib.jpg?v=1763451817, friendlyName=Open</x:v>
      </x:c>
      <x:c r="C251" s="24" t="e">
        <x:f>HYPERLINK("https://365nails.com/products/soft-purple-bloom-nails-with-elegant-floral-accents","Soft Purple Bloom Nails with Elegant Floral Accents")</x:f>
        <x:v>HYPERLINK is not implemented. linkLocation=https://365nails.com/products/soft-purple-bloom-nails-with-elegant-floral-accents, friendlyName=Soft Purple Bloom Nails with Elegant Floral Accents</x:v>
      </x:c>
      <x:c r="D251" s="18" t="str">
        <x:v>color: JP4017</x:v>
      </x:c>
      <x:c r="E251" s="25" t="str">
        <x:v>$1.62</x:v>
      </x:c>
      <x:c r="F251" s="19" t="str">
        <x:v>1</x:v>
      </x:c>
    </x:row>
    <x:row r="252" ht="93" customHeight="1">
      <x:c r="A252" s="19" t="n">
        <x:v>249</x:v>
      </x:c>
      <x:c r="B252" s="22" t="e">
        <x:f>HYPERLINK("https://cdn.shopify.com/s/files/1/0918/6066/4603/files/O1CN01EdHDZq2NGHhNVaQiT__4234819935-0-cib.jpg?v=1753430040","Open")</x:f>
        <x:v>HYPERLINK is not implemented. linkLocation=https://cdn.shopify.com/s/files/1/0918/6066/4603/files/O1CN01EdHDZq2NGHhNVaQiT__4234819935-0-cib.jpg?v=1753430040, friendlyName=Open</x:v>
      </x:c>
      <x:c r="C252" s="24" t="e">
        <x:f>HYPERLINK("https://365nails.com/products/press-on-nails-art-naked-pink-french-phnom-penh-glitter-press-on-nails-art-finished-wholesale-press-on-nails-365nails","Press on nails Art Naked Pink French Phnom Penh Glitter Press on nails Art Finished Wholesale press on nails｜365nails")</x:f>
        <x:v>HYPERLINK is not implemented. linkLocation=https://365nails.com/products/press-on-nails-art-naked-pink-french-phnom-penh-glitter-press-on-nails-art-finished-wholesale-press-on-nails-365nails, friendlyName=Press on nails Art Naked Pink French Phnom Penh Glitter Press on nails Art Finished Wholesale press on nails｜365nails</x:v>
      </x:c>
      <x:c r="D252" s="18" t="str">
        <x:v>color: JP1754</x:v>
      </x:c>
      <x:c r="E252" s="25" t="str">
        <x:v>$0.70</x:v>
      </x:c>
      <x:c r="F252" s="19" t="str">
        <x:v>1</x:v>
      </x:c>
    </x:row>
    <x:row r="253" ht="93" customHeight="1">
      <x:c r="A253" s="19" t="n">
        <x:v>250</x:v>
      </x:c>
      <x:c r="B253" s="22" t="e">
        <x:f>HYPERLINK("https://cdn.shopify.com/s/files/1/0918/6066/4603/files/O1CN013LBWaC2NGI0W00pPM__4234819935-0-cib.jpg?v=1763452921","Open")</x:f>
        <x:v>HYPERLINK is not implemented. linkLocation=https://cdn.shopify.com/s/files/1/0918/6066/4603/files/O1CN013LBWaC2NGI0W00pPM__4234819935-0-cib.jpg?v=1763452921, friendlyName=Open</x:v>
      </x:c>
      <x:c r="C253" s="24" t="e">
        <x:f>HYPERLINK("https://365nails.com/products/soft-blush-red-sheer-nails-with-natural-gloss-finish","Soft Blush Red Sheer Nails with Natural Gloss Finish")</x:f>
        <x:v>HYPERLINK is not implemented. linkLocation=https://365nails.com/products/soft-blush-red-sheer-nails-with-natural-gloss-finish, friendlyName=Soft Blush Red Sheer Nails with Natural Gloss Finish</x:v>
      </x:c>
      <x:c r="D253" s="18" t="str">
        <x:v>color: JP4139</x:v>
      </x:c>
      <x:c r="E253" s="25" t="str">
        <x:v>$0.72</x:v>
      </x:c>
      <x:c r="F253" s="19" t="str">
        <x:v>1</x:v>
      </x:c>
    </x:row>
    <x:row r="254" ht="93" customHeight="1">
      <x:c r="A254" s="19" t="n">
        <x:v>251</x:v>
      </x:c>
      <x:c r="B254" s="22" t="e">
        <x:f>HYPERLINK("https://cdn.shopify.com/s/files/1/0918/6066/4603/files/O1CN01MTl1Zi2NGI07poTfe__4234819935-0-cib.jpg?v=1758610057","Open")</x:f>
        <x:v>HYPERLINK is not implemented. linkLocation=https://cdn.shopify.com/s/files/1/0918/6066/4603/files/O1CN01MTl1Zi2NGI07poTfe__4234819935-0-cib.jpg?v=1758610057, friendlyName=Open</x:v>
      </x:c>
      <x:c r="C254" s="24" t="e">
        <x:f>HYPERLINK("https://365nails.com/products/french-brown-crack-nail-patch-wear-nail-short-almond-nail-pink-flower-false-nail-finger","French Brown Cracked Short Almond Pink Flowers press-on nails")</x:f>
        <x:v>HYPERLINK is not implemented. linkLocation=https://365nails.com/products/french-brown-crack-nail-patch-wear-nail-short-almond-nail-pink-flower-false-nail-finger, friendlyName=French Brown Cracked Short Almond Pink Flowers press-on nails</x:v>
      </x:c>
      <x:c r="D254" s="18" t="str">
        <x:v>color: JP4021</x:v>
      </x:c>
      <x:c r="E254" s="25" t="str">
        <x:v>$1.44</x:v>
      </x:c>
      <x:c r="F254" s="19" t="str">
        <x:v>1</x:v>
      </x:c>
    </x:row>
    <x:row r="255" ht="93" customHeight="1">
      <x:c r="A255" s="19" t="n">
        <x:v>252</x:v>
      </x:c>
      <x:c r="B255" s="22" t="e">
        <x:f>HYPERLINK("https://cdn.shopify.com/s/files/1/0918/6066/4603/files/O1CN01rJe65S2NGHmN96Gnt__4234819935-0-cib.jpg?v=1753430503","Open")</x:f>
        <x:v>HYPERLINK is not implemented. linkLocation=https://cdn.shopify.com/s/files/1/0918/6066/4603/files/O1CN01rJe65S2NGHmN96Gnt__4234819935-0-cib.jpg?v=1753430503, friendlyName=Open</x:v>
      </x:c>
      <x:c r="C255" s="24" t="e">
        <x:f>HYPERLINK("https://365nails.com/products/press-on-nails-piece-black-milk-yellow-contrasting-color-french-with-milk-white-star-rhinestone-fake-nails-patch-nails-365nails","Press on nails piece black milk yellow contrasting color French with milk white star rhinestone fake nails patch nails｜365nails")</x:f>
        <x:v>HYPERLINK is not implemented. linkLocation=https://365nails.com/products/press-on-nails-piece-black-milk-yellow-contrasting-color-french-with-milk-white-star-rhinestone-fake-nails-patch-nails-365nails, friendlyName=Press on nails piece black milk yellow contrasting color French with milk white star rhinestone fake nails patch nails｜365nails</x:v>
      </x:c>
      <x:c r="D255" s="18" t="str">
        <x:v>color: JP2624</x:v>
      </x:c>
      <x:c r="E255" s="25" t="str">
        <x:v>$1.25</x:v>
      </x:c>
      <x:c r="F255" s="19" t="str">
        <x:v>1</x:v>
      </x:c>
    </x:row>
    <x:row r="256" ht="93" customHeight="1">
      <x:c r="A256" s="19" t="n">
        <x:v>253</x:v>
      </x:c>
      <x:c r="B256" s="22" t="e">
        <x:f>HYPERLINK("https://cdn.shopify.com/s/files/1/0918/6066/4603/files/O1CN01gbgxNp2JzqoeVbLze__2206404269493-0-cib_1e679841-764a-47ab-818c-a382d406e10b.jpg?v=1761839048","Open")</x:f>
        <x:v>HYPERLINK is not implemented. linkLocation=https://cdn.shopify.com/s/files/1/0918/6066/4603/files/O1CN01gbgxNp2JzqoeVbLze__2206404269493-0-cib_1e679841-764a-47ab-818c-a382d406e10b.jpg?v=1761839048, friendlyName=Open</x:v>
      </x:c>
      <x:c r="C256" s="24" t="e">
        <x:f>HYPERLINK("https://365nails.com/products/colorful-stand-up-zip-pouches-with-window-and-hang-hole-resealable-multiple-sizes-100pcs","Colorful Stand-Up Zip Pouches with Window and Hang Hole | Resealable | Multiple Sizes | 100pcs")</x:f>
        <x:v>HYPERLINK is not implemented. linkLocation=https://365nails.com/products/colorful-stand-up-zip-pouches-with-window-and-hang-hole-resealable-multiple-sizes-100pcs, friendlyName=Colorful Stand-Up Zip Pouches with Window and Hang Hole | Resealable | Multiple Sizes | 100pcs</x:v>
      </x:c>
      <x:c r="D256" s="18" t="str">
        <x:v>Specifications and models: 6 * 10Cm * white / 6 * 10Cm * black / 6 * 10Cm * blue / 6 * 10Cm * green / 6 * 10Cm * pink / 6 * 10Cm * purple / 6 * 10Cm * red / 6 * 10Cm * gold / 7 * 10Cm * white / 7 * 10Cm * black / 7 * 10Cm * blue / 7 * 10Cm * green / 7 * 10Cm * pink / 7 * 10Cm * purple / 7 * 10Cm * champagne gold / 7 * 10Cm * red / 7 * 10Cm * gold / 7.5 * 12cm * white / 7.5 * 12cm * black / 7.5 * 12cm * blue / 7.5 * 12cm * green / 7.5 * 12cm * pink / 7.5 * 12cm * purple / 7.5 * 12cm * red / 7.5 * 12cm * gold / 8 * 13Cm * white / 8 * 13Cm * black / 8 * 13Cm * blue / 8 * 13Cm * green / 8 * 13Cm * pink / 8 * 13Cm * purple / 8 * 13Cm * champagne gold / 8 * 13Cm * red / 8 * 13Cm * gold / 9 * 12Cm * white / 9 * 12Cm * black / 9 * 12Cm * blue / 9 * 12Cm * green / 9 * 12Cm * pink / 9 * 12Cm * purple / 9 * 12Cm * red / 9 * 12Cm * gold / 9 * 16Cm * white / 9 * 16Cm * black / 9 * 16Cm * blue / 9 * 16Cm * green / 9 * 16Cm * pink / 9 * 16Cm * purple / 9 * 16Cm * champagne gold / 9 * 16Cm * red / 9 * 16Cm * gold / 10.5 * 15cm * white / 10.5 * 15cm * black / 10.5 * 15cm * blue / 10.5 * 15cm * green / 10.5 * 15cm * pink / 10.5 * 15Cm * purple / 10.5 * 15Cm * Champagne Gold / 10.5 * 15cm * red / 10.5 * 15cm * gold / 10 * 18Cm * white / 10 * 18Cm * black / 10 * 18Cm * blue / 10 * 18Cm * green / 10 * 18Cm * pink / 10 * 18Cm * purple / 10 * 18Cm * red / 10 * 18Cm * gold / 12 * 18Cm * black / 12 * 18Cm * pink / 12 * 18Cm * blue / 12 * 18Cm * red / 12 * 18Cm * champagne gold / 12 * 18Cm * green / 12 * 18Cm * gold / 12 * 20Cm * white / 12 * 20Cm * black / 12 * 20Cm * blue / 12 * 20Cm * green / 12 * 20Cm * pink / 12 * 20Cm * purple / 12 * 20Cm * champagne gold / 12 * 20Cm * red / 12 * 20Cm * gold / 12 * 22Cm * white / 12 * 22Cm * black / 12 * 22Cm * blue / 12 * 22Cm * green / 12 * 22Cm * pink / 12 * 22Cm * purple / 12 * 22Cm * red / 12 * 22Cm * gold / 13 * 21Cm * White / 13 * 21Cm * black / 13 * 21Cm * Blue / 13 * 21Cm * green / 13 * 21Cm * pink / 13 * 21Cm * purple / 13 * 21Cm * champagne gold / 13 * 21Cm * red / 13 * 21Cm * gold / 14 * 20Cm * white / 14 * 20Cm * black / 14 * 20Cm * blue / 14 * 20Cm * green / 14 * 20Cm * pink / 14 * 20Cm * purple / 14 * 20Cm * champagne gold / 14 * 20Cm * red / 14 * 20Cm * gold / 16 * 24Cm * white / 16 * 24Cm * black / 16 * 24Cm * blue / 16 * 24Cm * green / 16 * 24Cm * pink / 16 * 24Cm * purple / 16 * 24Cm * champagne gold / 16 * 24Cm * red / 16 * 24Cm * gold / 18 * 26Cm * white / 18 * 26Cm * black / 18 * 26Cm * blue / 18 * 26Cm * green / 18 * 26Cm * pink / 18 * 26Cm * purple / 18 * 26Cm * champagne gold / 18 * 26Cm * red / 18 * 26Cm * gold / 20 * 30Cm * white / 20 * 30Cm * black / 20 * 30Cm * blue / 20 * 30Cm * green / 20 * 30Cm * pink / 20 * 30Cm * purple / 20 * 30Cm * red / 20 * 30Cm * gold; quantity: 100pcs</x:v>
      </x:c>
      <x:c r="E256" s="25" t="str">
        <x:v>$2.00–$7.00</x:v>
      </x:c>
      <x:c r="F256" s="19" t="str">
        <x:v>1</x:v>
      </x:c>
    </x:row>
    <x:row r="257" ht="93" customHeight="1">
      <x:c r="A257" s="19" t="n">
        <x:v>254</x:v>
      </x:c>
      <x:c r="B257" s="22" t="e">
        <x:f>HYPERLINK("https://cdn.shopify.com/s/files/1/0918/6066/4603/files/O1CN01uJZGaj1UekCwHfOGQ__2218445742543-0-cib_66cde324-50f0-44a3-a2a6-55e128de95ad.jpg?v=1761881038","Open")</x:f>
        <x:v>HYPERLINK is not implemented. linkLocation=https://cdn.shopify.com/s/files/1/0918/6066/4603/files/O1CN01uJZGaj1UekCwHfOGQ__2218445742543-0-cib_66cde324-50f0-44a3-a2a6-55e128de95ad.jpg?v=1761881038, friendlyName=Open</x:v>
      </x:c>
      <x:c r="C257" s="24" t="e">
        <x:f>HYPERLINK("https://365nails.com/products/press-on-nail-jelly-adhesive-tabs-0-3-mm-ultra-thin-waterproof-long-lasting-multiple-sizes","Press-On Nail Jelly Adhesive Tabs | 50pcs")</x:f>
        <x:v>HYPERLINK is not implemented. linkLocation=https://365nails.com/products/press-on-nail-jelly-adhesive-tabs-0-3-mm-ultra-thin-waterproof-long-lasting-multiple-sizes, friendlyName=Press-On Nail Jelly Adhesive Tabs | 50pcs</x:v>
      </x:c>
      <x:c r="D257" s="18" t="str">
        <x:v>Color: Yellow glue (6083) 50pcs / White glue (6083) 50pcs / Powder glue (6083) 50pcs / Blue glue (6083) 50pcs / Added yellow glue (7083) 50pcs / Extended white glue (7083) 50pcs / Plus Powder (7083) 50pcs / Extended blue glue (7083) 50pcs / Yellow gum 0.5mm thick (6083)  50pcs / White glue 0.5mm thick (6083)  50pcs / Powder 0.5mm thick (6083)  50pcs / Blue glue 0.5mm thick (6083)  50pcs / Kraft paper YBJK (regular)  50pcs / Kraft paper YBJK (large)  50pcs / Kraft paper cartons (regular)  50pcs / Kraft paper Gatles (extra large)  50pcs / English alphabet syllables (regular)  50pcs / English alphabet syllable (enlarged)  50pcs / English alphabet syllable (foot) 50pcs / Children's jelly glue (white glue)  50pcs / Light solid UV black film jelly glue (regular)  50pcs / Light solid UV black film jelly glue (enlarged)  50pcs / Kraft paper YBJK foot model  50pcs; Quantity: 200pcs</x:v>
      </x:c>
      <x:c r="E257" s="25" t="str">
        <x:v>$8.00–$24.00</x:v>
      </x:c>
      <x:c r="F257" s="19" t="str">
        <x:v>1</x:v>
      </x:c>
    </x:row>
    <x:row r="258" ht="93" customHeight="1">
      <x:c r="A258" s="19" t="n">
        <x:v>255</x:v>
      </x:c>
      <x:c r="B258" s="22" t="e">
        <x:f>HYPERLINK("https://cdn.shopify.com/s/files/1/0918/6066/4603/files/O1CN01odpdgN2NGHzv1B5yV__4234819935-0-cib.jpg?v=1758610045","Open")</x:f>
        <x:v>HYPERLINK is not implemented. linkLocation=https://cdn.shopify.com/s/files/1/0918/6066/4603/files/O1CN01odpdgN2NGHzv1B5yV__4234819935-0-cib.jpg?v=1758610045, friendlyName=Open</x:v>
      </x:c>
      <x:c r="C258" s="24" t="e">
        <x:f>HYPERLINK("https://365nails.com/products/short-square-nail-french-white-wearing-nail-explosive-repeatable-nail-art-sheet-finished-product-wholesale","Short square French white explosion press-on nails")</x:f>
        <x:v>HYPERLINK is not implemented. linkLocation=https://365nails.com/products/short-square-nail-french-white-wearing-nail-explosive-repeatable-nail-art-sheet-finished-product-wholesale, friendlyName=Short square French white explosion press-on nails</x:v>
      </x:c>
      <x:c r="D258" s="18" t="str">
        <x:v>Color: JL0698</x:v>
      </x:c>
      <x:c r="E258" s="25" t="str">
        <x:v>$0.68</x:v>
      </x:c>
      <x:c r="F258" s="19" t="str">
        <x:v>1</x:v>
      </x:c>
    </x:row>
    <x:row r="259" ht="93" customHeight="1">
      <x:c r="A259" s="19" t="n">
        <x:v>256</x:v>
      </x:c>
      <x:c r="B259" s="22" t="e">
        <x:f>HYPERLINK("https://cdn.shopify.com/s/files/1/0918/6066/4603/files/O1CN01A9wDNX2NGHzPYuryA__4234819935-0-cib.jpg?v=1758609942","Open")</x:f>
        <x:v>HYPERLINK is not implemented. linkLocation=https://cdn.shopify.com/s/files/1/0918/6066/4603/files/O1CN01A9wDNX2NGHzPYuryA__4234819935-0-cib.jpg?v=1758609942, friendlyName=Open</x:v>
      </x:c>
      <x:c r="C259" s="24" t="e">
        <x:f>HYPERLINK("https://365nails.com/products/hot-selling-coating-flash-wearing-nail-french-pink-short-almond-manicure-fake-nail-press-on-nails","Hot-selling Coating Explosive French Pink Short Almonds press-on nails")</x:f>
        <x:v>HYPERLINK is not implemented. linkLocation=https://365nails.com/products/hot-selling-coating-flash-wearing-nail-french-pink-short-almond-manicure-fake-nail-press-on-nails, friendlyName=Hot-selling Coating Explosive French Pink Short Almonds press-on nails</x:v>
      </x:c>
      <x:c r="D259" s="18" t="str">
        <x:v>Color: JP3990</x:v>
      </x:c>
      <x:c r="E259" s="25" t="str">
        <x:v>$1.14</x:v>
      </x:c>
      <x:c r="F259" s="19" t="str">
        <x:v>1</x:v>
      </x:c>
    </x:row>
    <x:row r="260" ht="93" customHeight="1">
      <x:c r="A260" s="19" t="n">
        <x:v>257</x:v>
      </x:c>
      <x:c r="B260" s="22" t="e">
        <x:f>HYPERLINK("https://cdn.shopify.com/s/files/1/0918/6066/4603/files/O1CN010Wfhhe2NGHzK34Kci__4234819935-0-cib.jpg?v=1758609930","Open")</x:f>
        <x:v>HYPERLINK is not implemented. linkLocation=https://cdn.shopify.com/s/files/1/0918/6066/4603/files/O1CN010Wfhhe2NGHzK34Kci__4234819935-0-cib.jpg?v=1758609930, friendlyName=Open</x:v>
      </x:c>
      <x:c r="C260" s="24" t="e">
        <x:f>HYPERLINK("https://365nails.com/products/brown-petal-flower-wearing-nail-piece-short-square-nail-3d-manicure-fake-nail-nails-wholesale","Brown Petals Flower Square Short 3D press-on nails")</x:f>
        <x:v>HYPERLINK is not implemented. linkLocation=https://365nails.com/products/brown-petal-flower-wearing-nail-piece-short-square-nail-3d-manicure-fake-nail-nails-wholesale, friendlyName=Brown Petals Flower Square Short 3D press-on nails</x:v>
      </x:c>
      <x:c r="D260" s="18" t="str">
        <x:v>color: JP4023</x:v>
      </x:c>
      <x:c r="E260" s="25" t="str">
        <x:v>$1.09</x:v>
      </x:c>
      <x:c r="F260" s="19" t="str">
        <x:v>1</x:v>
      </x:c>
    </x:row>
    <x:row r="261" ht="93" customHeight="1">
      <x:c r="A261" s="19" t="n">
        <x:v>258</x:v>
      </x:c>
      <x:c r="B261" s="22" t="e">
        <x:f>HYPERLINK("https://cdn.shopify.com/s/files/1/0918/6066/4603/files/O1CN012bxBxe2NGHzEXWExB__4234819935-0-cib.jpg?v=1758609864","Open")</x:f>
        <x:v>HYPERLINK is not implemented. linkLocation=https://cdn.shopify.com/s/files/1/0918/6066/4603/files/O1CN012bxBxe2NGHzEXWExB__4234819935-0-cib.jpg?v=1758609864, friendlyName=Open</x:v>
      </x:c>
      <x:c r="C261" s="24" t="e">
        <x:f>HYPERLINK("https://365nails.com/products/fresh-green-smudge-wearing-nail-summer-flower-nail-art-almond-nail-art","Fresh green smudges summer flowers almond-shaped press-on nails")</x:f>
        <x:v>HYPERLINK is not implemented. linkLocation=https://365nails.com/products/fresh-green-smudge-wearing-nail-summer-flower-nail-art-almond-nail-art, friendlyName=Fresh green smudges summer flowers almond-shaped press-on nails</x:v>
      </x:c>
      <x:c r="D261" s="18" t="str">
        <x:v>Color: JP3993</x:v>
      </x:c>
      <x:c r="E261" s="25" t="str">
        <x:v>$0.84</x:v>
      </x:c>
      <x:c r="F261" s="19" t="str">
        <x:v>1</x:v>
      </x:c>
    </x:row>
    <x:row r="262" ht="93" customHeight="1">
      <x:c r="A262" s="19" t="n">
        <x:v>259</x:v>
      </x:c>
      <x:c r="B262" s="22" t="e">
        <x:f>HYPERLINK("https://cdn.shopify.com/s/files/1/0918/6066/4603/files/O1CN01XHA9jo2NGHg8BuzeC__4234819935-0-cib.jpg?v=1753430112","Open")</x:f>
        <x:v>HYPERLINK is not implemented. linkLocation=https://cdn.shopify.com/s/files/1/0918/6066/4603/files/O1CN01XHA9jo2NGHg8BuzeC__4234819935-0-cib.jpg?v=1753430112, friendlyName=Open</x:v>
      </x:c>
      <x:c r="C262" s="24" t="e">
        <x:f>HYPERLINK("https://365nails.com/products/press-on-armor-french-simple-black-and-white-wavy-lines-press-on-armor-short-nails-art-press-on-nails-press-on-nails-365nails","Press on armor, French simple black and white wavy lines Press on armor, short nails art Press on nails press on nails｜365nails")</x:f>
        <x:v>HYPERLINK is not implemented. linkLocation=https://365nails.com/products/press-on-armor-french-simple-black-and-white-wavy-lines-press-on-armor-short-nails-art-press-on-nails-press-on-nails-365nails, friendlyName=Press on armor, French simple black and white wavy lines Press on armor, short nails art Press on nails press on nails｜365nails</x:v>
      </x:c>
      <x:c r="D262" s="18" t="str">
        <x:v>color: JP1763</x:v>
      </x:c>
      <x:c r="E262" s="25" t="str">
        <x:v>$0.70</x:v>
      </x:c>
      <x:c r="F262" s="19" t="str">
        <x:v>1</x:v>
      </x:c>
    </x:row>
    <x:row r="263" ht="93" customHeight="1">
      <x:c r="A263" s="19" t="n">
        <x:v>260</x:v>
      </x:c>
      <x:c r="B263" s="22" t="e">
        <x:f>HYPERLINK("https://cdn.shopify.com/s/files/1/0918/6066/4603/files/O1CN01jJPZo32NGHcLBSFYo__4234819935-0-cib.jpg?v=1753429948","Open")</x:f>
        <x:v>HYPERLINK is not implemented. linkLocation=https://cdn.shopify.com/s/files/1/0918/6066/4603/files/O1CN01jJPZo32NGHcLBSFYo__4234819935-0-cib.jpg?v=1753429948, friendlyName=Open</x:v>
      </x:c>
      <x:c r="C263" s="24" t="e">
        <x:f>HYPERLINK("https://365nails.com/products/mandarin-duck-powder-flame-bow-press-on-finished-fake-nail-nail-removable-nail-piece-365nails","Mandarin duck powder flame bow Press on  finished fake nail   nail  removable nail piece｜365nails")</x:f>
        <x:v>HYPERLINK is not implemented. linkLocation=https://365nails.com/products/mandarin-duck-powder-flame-bow-press-on-finished-fake-nail-nail-removable-nail-piece-365nails, friendlyName=Mandarin duck powder flame bow Press on  finished fake nail   nail  removable nail piece｜365nails</x:v>
      </x:c>
      <x:c r="D263" s="18" t="str">
        <x:v>color: JP1195</x:v>
      </x:c>
      <x:c r="E263" s="25" t="str">
        <x:v>$1.05</x:v>
      </x:c>
      <x:c r="F263" s="19" t="str">
        <x:v>1</x:v>
      </x:c>
    </x:row>
    <x:row r="264" ht="93" customHeight="1">
      <x:c r="A264" s="19" t="n">
        <x:v>261</x:v>
      </x:c>
      <x:c r="B264" s="22" t="e">
        <x:f>HYPERLINK("https://cdn.shopify.com/s/files/1/0918/6066/4603/files/tufan_2Fbb2e5884-b58c-11f0-a5d9-00163e1b4130.jpg?v=1761828182","Open")</x:f>
        <x:v>HYPERLINK is not implemented. linkLocation=https://cdn.shopify.com/s/files/1/0918/6066/4603/files/tufan_2Fbb2e5884-b58c-11f0-a5d9-00163e1b4130.jpg?v=1761828182, friendlyName=Open</x:v>
      </x:c>
      <x:c r="C264" s="24" t="e">
        <x:f>HYPERLINK("https://365nails.com/products/new-nail-art-tool-point-drilling-glue-stick-crystal-rod-nail-art-stick-double-head-push-dead-skin-beauty-tool","New nail art tool point drilling glue stick crystal rod nail art stick double head push dead skin beauty tool")</x:f>
        <x:v>HYPERLINK is not implemented. linkLocation=https://365nails.com/products/new-nail-art-tool-point-drilling-glue-stick-crystal-rod-nail-art-stick-double-head-push-dead-skin-beauty-tool, friendlyName=New nail art tool point drilling glue stick crystal rod nail art stick double head push dead skin beauty tool</x:v>
      </x:c>
      <x:c r="D264" s="18" t="str">
        <x:v>Color classification: 7.5 cm 100PCS / 9.3 cm 100PCS; Size: pink / black / red / White / Rose red / purple / green / Yellow / blue</x:v>
      </x:c>
      <x:c r="E264" s="25" t="str">
        <x:v>$2.00</x:v>
      </x:c>
      <x:c r="F264" s="19" t="str">
        <x:v>1</x:v>
      </x:c>
    </x:row>
    <x:row r="265" ht="93" customHeight="1">
      <x:c r="A265" s="19" t="n">
        <x:v>262</x:v>
      </x:c>
      <x:c r="B265" s="22" t="e">
        <x:f>HYPERLINK("https://cdn.shopify.com/s/files/1/0918/6066/4603/files/O1CN01g8srVs2NGHfhrRgu4__4234819935-0-cib.jpg?v=1753430106","Open")</x:f>
        <x:v>HYPERLINK is not implemented. linkLocation=https://cdn.shopify.com/s/files/1/0918/6066/4603/files/O1CN01g8srVs2NGHfhrRgu4__4234819935-0-cib.jpg?v=1753430106, friendlyName=Open</x:v>
      </x:c>
      <x:c r="C265" s="24" t="e">
        <x:f>HYPERLINK("https://365nails.com/products/press-on-nails-blue-foot-nails-cool-eye-manicure-foot-nails-patch-finished-product-wholesale-removable-fake-nails-365nails","Press on nails blue foot nails cool eye manicure foot nails patch finished product wholesale removable fake nails｜365nails")</x:f>
        <x:v>HYPERLINK is not implemented. linkLocation=https://365nails.com/products/press-on-nails-blue-foot-nails-cool-eye-manicure-foot-nails-patch-finished-product-wholesale-removable-fake-nails-365nails, friendlyName=Press on nails blue foot nails cool eye manicure foot nails patch finished product wholesale removable fake nails｜365nails</x:v>
      </x:c>
      <x:c r="D265" s="18" t="str">
        <x:v>color: JP1671</x:v>
      </x:c>
      <x:c r="E265" s="25" t="str">
        <x:v>$0.82</x:v>
      </x:c>
      <x:c r="F265" s="19" t="str">
        <x:v>1</x:v>
      </x:c>
    </x:row>
    <x:row r="266" ht="93" customHeight="1">
      <x:c r="A266" s="19" t="n">
        <x:v>263</x:v>
      </x:c>
      <x:c r="B266" s="22" t="e">
        <x:f>HYPERLINK("https://cdn.shopify.com/s/files/1/0918/6066/4603/files/O1CN015Dp1gw2NGHfl1pAMt__4234819935-0-cib.jpg?v=1753430058","Open")</x:f>
        <x:v>HYPERLINK is not implemented. linkLocation=https://cdn.shopify.com/s/files/1/0918/6066/4603/files/O1CN015Dp1gw2NGHfl1pAMt__4234819935-0-cib.jpg?v=1753430058, friendlyName=Open</x:v>
      </x:c>
      <x:c r="C266" s="24" t="e">
        <x:f>HYPERLINK("https://365nails.com/products/press-on-nails-simple-and-fresh-green-nails-patch-white-flower-detachable-nails-patch-press-on-nails-finished-product-365nails","press on nails Simple and Fresh Green nails Patch White Flower Detachable nails Patch press on nails Finished Product｜365nails")</x:f>
        <x:v>HYPERLINK is not implemented. linkLocation=https://365nails.com/products/press-on-nails-simple-and-fresh-green-nails-patch-white-flower-detachable-nails-patch-press-on-nails-finished-product-365nails, friendlyName=press on nails Simple and Fresh Green nails Patch White Flower Detachable nails Patch press on nails Finished Product｜365nails</x:v>
      </x:c>
      <x:c r="D266" s="18" t="str">
        <x:v>color: JP1492</x:v>
      </x:c>
      <x:c r="E266" s="25" t="str">
        <x:v>$0.76</x:v>
      </x:c>
      <x:c r="F266" s="19" t="str">
        <x:v>1</x:v>
      </x:c>
    </x:row>
    <x:row r="267" ht="93" customHeight="1">
      <x:c r="A267" s="19" t="n">
        <x:v>264</x:v>
      </x:c>
      <x:c r="B267" s="22" t="e">
        <x:f>HYPERLINK("https://cdn.shopify.com/s/files/1/0918/6066/4603/files/O1CN01Hy7c6H2NGHgoZSpRZ__4234819935-0-cib.jpg?v=1753430011","Open")</x:f>
        <x:v>HYPERLINK is not implemented. linkLocation=https://cdn.shopify.com/s/files/1/0918/6066/4603/files/O1CN01Hy7c6H2NGHgoZSpRZ__4234819935-0-cib.jpg?v=1753430011, friendlyName=Open</x:v>
      </x:c>
      <x:c r="C267" s="24" t="e">
        <x:f>HYPERLINK("https://365nails.com/products/press-on-nails-pads-wholesale-powder-yellow-edge-french-flower-wave-nails-patch-wholesale-nails-pads-finished-product-wholesale-365nails","press on nails pads wholesale powder yellow edge French flower wave nails patch wholesale nails pads finished product wholesale｜365nails")</x:f>
        <x:v>HYPERLINK is not implemented. linkLocation=https://365nails.com/products/press-on-nails-pads-wholesale-powder-yellow-edge-french-flower-wave-nails-patch-wholesale-nails-pads-finished-product-wholesale-365nails, friendlyName=press on nails pads wholesale powder yellow edge French flower wave nails patch wholesale nails pads finished product wholesale｜365nails</x:v>
      </x:c>
      <x:c r="D267" s="18" t="str">
        <x:v>color: JP1810</x:v>
      </x:c>
      <x:c r="E267" s="25" t="str">
        <x:v>$0.76</x:v>
      </x:c>
      <x:c r="F267" s="19" t="str">
        <x:v>1</x:v>
      </x:c>
    </x:row>
    <x:row r="268" ht="93" customHeight="1">
      <x:c r="A268" s="19" t="n">
        <x:v>265</x:v>
      </x:c>
      <x:c r="B268" s="22" t="e">
        <x:f>HYPERLINK("https://cdn.shopify.com/s/files/1/0918/6066/4603/files/O1CN012nEPPk2NGHeixuEaE__4234819935-0-cib.jpg?v=1753430003","Open")</x:f>
        <x:v>HYPERLINK is not implemented. linkLocation=https://cdn.shopify.com/s/files/1/0918/6066/4603/files/O1CN012nEPPk2NGHeixuEaE__4234819935-0-cib.jpg?v=1753430003, friendlyName=Open</x:v>
      </x:c>
      <x:c r="C268" s="24" t="e">
        <x:f>HYPERLINK("https://365nails.com/products/coffee-brown-press-on-nails-simple-ins-color-block-graffiti-nail-nail-piece-finished-product-wholesale-press-on-365nails","Coffee brown Press on nails simple ins color block graffiti nail  nail piece finished product wholesale Press on ｜365nails")</x:f>
        <x:v>HYPERLINK is not implemented. linkLocation=https://365nails.com/products/coffee-brown-press-on-nails-simple-ins-color-block-graffiti-nail-nail-piece-finished-product-wholesale-press-on-365nails, friendlyName=Coffee brown Press on nails simple ins color block graffiti nail  nail piece finished product wholesale Press on ｜365nails</x:v>
      </x:c>
      <x:c r="D268" s="18" t="str">
        <x:v>color: JP1546</x:v>
      </x:c>
      <x:c r="E268" s="25" t="str">
        <x:v>$0.70</x:v>
      </x:c>
      <x:c r="F268" s="19" t="str">
        <x:v>1</x:v>
      </x:c>
    </x:row>
    <x:row r="269" ht="93" customHeight="1">
      <x:c r="A269" s="19" t="n">
        <x:v>266</x:v>
      </x:c>
      <x:c r="B269" s="22" t="e">
        <x:f>HYPERLINK("https://cdn.shopify.com/s/files/1/0918/6066/4603/files/O1CN017tMy0b2NGHeqzVtMe__4234819935-0-cib.jpg?v=1753429892","Open")</x:f>
        <x:v>HYPERLINK is not implemented. linkLocation=https://cdn.shopify.com/s/files/1/0918/6066/4603/files/O1CN017tMy0b2NGHeqzVtMe__4234819935-0-cib.jpg?v=1753429892, friendlyName=Open</x:v>
      </x:c>
      <x:c r="C269" s="24" t="e">
        <x:f>HYPERLINK("https://365nails.com/products/press-on-nails-finished-fake-nail-nail-french-nail-false-nails-direct-supply-365nails","Press on nails finished fake nail nail  French nail  false nails  direct supply｜365nails")</x:f>
        <x:v>HYPERLINK is not implemented. linkLocation=https://365nails.com/products/press-on-nails-finished-fake-nail-nail-french-nail-false-nails-direct-supply-365nails, friendlyName=Press on nails finished fake nail nail  French nail  false nails  direct supply｜365nails</x:v>
      </x:c>
      <x:c r="D269" s="18" t="str">
        <x:v>color: JP1520</x:v>
      </x:c>
      <x:c r="E269" s="25" t="str">
        <x:v>$0.76</x:v>
      </x:c>
      <x:c r="F269" s="19" t="str">
        <x:v>1</x:v>
      </x:c>
    </x:row>
    <x:row r="270" ht="93" customHeight="1">
      <x:c r="A270" s="19" t="n">
        <x:v>267</x:v>
      </x:c>
      <x:c r="B270" s="22" t="e">
        <x:f>HYPERLINK("https://cdn.shopify.com/s/files/1/0918/6066/4603/files/O1CN01XLgP9J2NGHbJJ1HdI__4234819935-0-cib.jpg?v=1753429875","Open")</x:f>
        <x:v>HYPERLINK is not implemented. linkLocation=https://cdn.shopify.com/s/files/1/0918/6066/4603/files/O1CN01XLgP9J2NGHbJJ1HdI__4234819935-0-cib.jpg?v=1753429875, friendlyName=Open</x:v>
      </x:c>
      <x:c r="C270" s="24" t="e">
        <x:f>HYPERLINK("https://365nails.com/products/summer-whitening-tender-peach-powder-press-on-nails-finished-fake-nail-nail-nail-nail-removable-nail-piece-365nails","Summer whitening tender peach powder Press on nails finished fake nail nail nail  nail  removable nail piece｜365nails")</x:f>
        <x:v>HYPERLINK is not implemented. linkLocation=https://365nails.com/products/summer-whitening-tender-peach-powder-press-on-nails-finished-fake-nail-nail-nail-nail-removable-nail-piece-365nails, friendlyName=Summer whitening tender peach powder Press on nails finished fake nail nail nail  nail  removable nail piece｜365nails</x:v>
      </x:c>
      <x:c r="D270" s="18" t="str">
        <x:v>color: JP1158</x:v>
      </x:c>
      <x:c r="E270" s="25" t="str">
        <x:v>$0.76</x:v>
      </x:c>
      <x:c r="F270" s="19" t="str">
        <x:v>1</x:v>
      </x:c>
    </x:row>
    <x:row r="271" ht="93" customHeight="1">
      <x:c r="A271" s="19" t="n">
        <x:v>268</x:v>
      </x:c>
      <x:c r="B271" s="22" t="e">
        <x:f>HYPERLINK("https://cdn.shopify.com/s/files/1/0918/6066/4603/files/O1CN01vcATpK2NGHaiiDBGA__4234819935-0-cib.jpg?v=1753429866","Open")</x:f>
        <x:v>HYPERLINK is not implemented. linkLocation=https://cdn.shopify.com/s/files/1/0918/6066/4603/files/O1CN01vcATpK2NGHaiiDBGA__4234819935-0-cib.jpg?v=1753429866, friendlyName=Open</x:v>
      </x:c>
      <x:c r="C271" s="24" t="e">
        <x:f>HYPERLINK("https://365nails.com/products/wave-simple-series-pointed-press-on-finished-fake-nail-nail-nail-direct-supply-365nails","Wave Simple Series Pointed Press on  Finished Fake Nail Nail  Nail   Direct Supply｜365nails")</x:f>
        <x:v>HYPERLINK is not implemented. linkLocation=https://365nails.com/products/wave-simple-series-pointed-press-on-finished-fake-nail-nail-nail-direct-supply-365nails, friendlyName=Wave Simple Series Pointed Press on  Finished Fake Nail Nail  Nail   Direct Supply｜365nails</x:v>
      </x:c>
      <x:c r="D271" s="18" t="str">
        <x:v>color: JP1068</x:v>
      </x:c>
      <x:c r="E271" s="25" t="str">
        <x:v>$0.76</x:v>
      </x:c>
      <x:c r="F271" s="19" t="str">
        <x:v>1</x:v>
      </x:c>
    </x:row>
    <x:row r="272" ht="93" customHeight="1">
      <x:c r="A272" s="19" t="n">
        <x:v>269</x:v>
      </x:c>
      <x:c r="B272" s="22" t="e">
        <x:f>HYPERLINK("https://cdn.shopify.com/s/files/1/0918/6066/4603/files/O1CN01yWLVd02NGHafaw9A0__4234819935-0-cib.jpg?v=1753429851","Open")</x:f>
        <x:v>HYPERLINK is not implemented. linkLocation=https://cdn.shopify.com/s/files/1/0918/6066/4603/files/O1CN01yWLVd02NGHafaw9A0__4234819935-0-cib.jpg?v=1753429851, friendlyName=Open</x:v>
      </x:c>
      <x:c r="C272" s="24" t="e">
        <x:f>HYPERLINK("https://365nails.com/products/simple-french-pop-sense-press-on-finished-fake-nail-nail-removable-nail-365nails","Simple French Pop Sense Press on  Finished Fake Nail   Nail  Removable Nail ｜365nails")</x:f>
        <x:v>HYPERLINK is not implemented. linkLocation=https://365nails.com/products/simple-french-pop-sense-press-on-finished-fake-nail-nail-removable-nail-365nails, friendlyName=Simple French Pop Sense Press on  Finished Fake Nail   Nail  Removable Nail ｜365nails</x:v>
      </x:c>
      <x:c r="D272" s="18" t="str">
        <x:v>color: JP1070</x:v>
      </x:c>
      <x:c r="E272" s="25" t="str">
        <x:v>$0.70</x:v>
      </x:c>
      <x:c r="F272" s="19" t="str">
        <x:v>1</x:v>
      </x:c>
    </x:row>
    <x:row r="273" ht="93" customHeight="1">
      <x:c r="A273" s="19" t="n">
        <x:v>270</x:v>
      </x:c>
      <x:c r="B273" s="22" t="e">
        <x:f>HYPERLINK("https://cdn.shopify.com/s/files/1/0918/6066/4603/files/O1CN01Np7eAR2NGHxuYwVnm__4234819935-0-cib.jpg?v=1753429821","Open")</x:f>
        <x:v>HYPERLINK is not implemented. linkLocation=https://cdn.shopify.com/s/files/1/0918/6066/4603/files/O1CN01Np7eAR2NGHxuYwVnm__4234819935-0-cib.jpg?v=1753429821, friendlyName=Open</x:v>
      </x:c>
      <x:c r="C273" s="24" t="e">
        <x:f>HYPERLINK("https://365nails.com/products/3d-french-water-ripple-press-on-nails-short-almond-film-smudging-hot-selling-detachable-fake-nails-in-europe-and-america-365nails","3D French water ripple Press on nails short almond  film smudging hot-selling detachable fake nails in Europe and America｜365nails")</x:f>
        <x:v>HYPERLINK is not implemented. linkLocation=https://365nails.com/products/3d-french-water-ripple-press-on-nails-short-almond-film-smudging-hot-selling-detachable-fake-nails-in-europe-and-america-365nails, friendlyName=3D French water ripple Press on nails short almond  film smudging hot-selling detachable fake nails in Europe and America｜365nails</x:v>
      </x:c>
      <x:c r="D273" s="18" t="str">
        <x:v>color: JP3844</x:v>
      </x:c>
      <x:c r="E273" s="25" t="str">
        <x:v>$0.70</x:v>
      </x:c>
      <x:c r="F273" s="19" t="str">
        <x:v>1</x:v>
      </x:c>
    </x:row>
    <x:row r="274" ht="93" customHeight="1">
      <x:c r="A274" s="19" t="n">
        <x:v>271</x:v>
      </x:c>
      <x:c r="B274" s="22" t="e">
        <x:f>HYPERLINK("https://cdn.shopify.com/s/files/1/0918/6066/4603/files/O1CN01oU072u1tTczR9qycu__2212798155903-0-cib.jpg?v=1761551400","Open")</x:f>
        <x:v>HYPERLINK is not implemented. linkLocation=https://cdn.shopify.com/s/files/1/0918/6066/4603/files/O1CN01oU072u1tTczR9qycu__2212798155903-0-cib.jpg?v=1761551400, friendlyName=Open</x:v>
      </x:c>
      <x:c r="C274" s="24" t="e">
        <x:f>HYPERLINK("https://365nails.com/products/nail-art-kit","Jelly Adhesive Tabs and Tool Kit for Press-On Nails (MOQ=5)")</x:f>
        <x:v>HYPERLINK is not implemented. linkLocation=https://365nails.com/products/nail-art-kit, friendlyName=Jelly Adhesive Tabs and Tool Kit for Press-On Nails (MOQ=5)</x:v>
      </x:c>
      <x:c r="D274" s="18" t="str">
        <x:v>Color: 7083M four pieces / 7083M five-piece set / H7083 four-piece set bag with holes / H7083 five-piece set with 2 sheets of jelly glue / H7083 handmade five-piece set / H7083 five-piece set bag with holes / H7083 handmade eleven-piece set / H7083 handmade seven-piece set; Quantity: 5pcs</x:v>
      </x:c>
      <x:c r="E274" s="25" t="str">
        <x:v>$0.35–$1.30</x:v>
      </x:c>
      <x:c r="F274" s="19" t="str">
        <x:v>1</x:v>
      </x:c>
    </x:row>
    <x:row r="275" ht="93" customHeight="1">
      <x:c r="A275" s="19" t="n">
        <x:v>272</x:v>
      </x:c>
      <x:c r="B275" s="22" t="e">
        <x:f>HYPERLINK("https://cdn.shopify.com/s/files/1/0918/6066/4603/files/O1CN01G8Xqlv2NGHoDJotDA__4234819935-0-cib_e357a868-d901-4b12-8c65-389c5f4b9842.jpg?v=1761287229","Open")</x:f>
        <x:v>HYPERLINK is not implemented. linkLocation=https://cdn.shopify.com/s/files/1/0918/6066/4603/files/O1CN01G8Xqlv2NGHoDJotDA__4234819935-0-cib_e357a868-d901-4b12-8c65-389c5f4b9842.jpg?v=1761287229, friendlyName=Open</x:v>
      </x:c>
      <x:c r="C275" s="24" t="e">
        <x:f>HYPERLINK("https://365nails.com/products/simple-solid-color-classic-nail-art-film-short-short-round-wearing-nail-autumn-new-nail-patch-fake-nail-film","Simple solid color classic nail art film short short round wearing nail autumn new nail patch fake nail film")</x:f>
        <x:v>HYPERLINK is not implemented. linkLocation=https://365nails.com/products/simple-solid-color-classic-nail-art-film-short-short-round-wearing-nail-autumn-new-nail-patch-fake-nail-film, friendlyName=Simple solid color classic nail art film short short round wearing nail autumn new nail patch fake nail film</x:v>
      </x:c>
      <x:c r="D275" s="18" t="str">
        <x:v>Color: JP2895</x:v>
      </x:c>
      <x:c r="E275" s="25" t="str">
        <x:v>$1.10</x:v>
      </x:c>
      <x:c r="F275" s="19" t="str">
        <x:v>1</x:v>
      </x:c>
    </x:row>
    <x:row r="276" ht="93" customHeight="1">
      <x:c r="A276" s="19" t="n">
        <x:v>273</x:v>
      </x:c>
      <x:c r="B276" s="22" t="e">
        <x:f>HYPERLINK("https://cdn.shopify.com/s/files/1/0918/6066/4603/files/O1CN01kXdB7j2NGHhht8Ktt__4234819935-0-cib.jpg?v=1753430208","Open")</x:f>
        <x:v>HYPERLINK is not implemented. linkLocation=https://cdn.shopify.com/s/files/1/0918/6066/4603/files/O1CN01kXdB7j2NGHhht8Ktt__4234819935-0-cib.jpg?v=1753430208, friendlyName=Open</x:v>
      </x:c>
      <x:c r="C276" s="24" t="e">
        <x:f>HYPERLINK("https://365nails.com/products/press-on-manicure-simple-flower-press-on-manicure-french-three-color-manicure-patch-nails-piece-wholesale-nails-product-wholesale-365nails","press on manicure, simple flower press on manicure, French three-color manicure patch, nails piece wholesale, nails product wholesale｜365nails")</x:f>
        <x:v>HYPERLINK is not implemented. linkLocation=https://365nails.com/products/press-on-manicure-simple-flower-press-on-manicure-french-three-color-manicure-patch-nails-piece-wholesale-nails-product-wholesale-365nails, friendlyName=press on manicure, simple flower press on manicure, French three-color manicure patch, nails piece wholesale, nails product wholesale｜365nails</x:v>
      </x:c>
      <x:c r="D276" s="18" t="str">
        <x:v>color: JP2032</x:v>
      </x:c>
      <x:c r="E276" s="25" t="str">
        <x:v>$0.82</x:v>
      </x:c>
      <x:c r="F276" s="19" t="str">
        <x:v>1</x:v>
      </x:c>
    </x:row>
    <x:row r="277" ht="93" customHeight="1">
      <x:c r="A277" s="19" t="n">
        <x:v>274</x:v>
      </x:c>
      <x:c r="B277" s="22" t="e">
        <x:f>HYPERLINK("https://cdn.shopify.com/s/files/1/0918/6066/4603/files/O1CN01XLpCVP2NGHfUzaGse__4234819935-0-cib.jpg?v=1753430118","Open")</x:f>
        <x:v>HYPERLINK is not implemented. linkLocation=https://cdn.shopify.com/s/files/1/0918/6066/4603/files/O1CN01XLpCVP2NGHfUzaGse__4234819935-0-cib.jpg?v=1753430118, friendlyName=Open</x:v>
      </x:c>
      <x:c r="C277" s="24" t="e">
        <x:f>HYPERLINK("https://365nails.com/products/french-green-flower-press-on-nails-nails-patch-press-on-finished-nails-sticker-removable-nails-piece-nails-piece-365nails","French green flower press on nails nails patch press on finished nails sticker removable nails piece nails piece｜365nails")</x:f>
        <x:v>HYPERLINK is not implemented. linkLocation=https://365nails.com/products/french-green-flower-press-on-nails-nails-patch-press-on-finished-nails-sticker-removable-nails-piece-nails-piece-365nails, friendlyName=French green flower press on nails nails patch press on finished nails sticker removable nails piece nails piece｜365nails</x:v>
      </x:c>
      <x:c r="D277" s="18" t="str">
        <x:v>color: JP1480</x:v>
      </x:c>
      <x:c r="E277" s="25" t="str">
        <x:v>$0.76</x:v>
      </x:c>
      <x:c r="F277" s="19" t="str">
        <x:v>1</x:v>
      </x:c>
    </x:row>
    <x:row r="278" ht="93" customHeight="1">
      <x:c r="A278" s="19" t="n">
        <x:v>275</x:v>
      </x:c>
      <x:c r="B278" s="22" t="e">
        <x:f>HYPERLINK("https://cdn.shopify.com/s/files/1/0918/6066/4603/files/O1CN01rFBeUe2NGHhA2pkiS__4234819935-0-cib.jpg?v=1753430043","Open")</x:f>
        <x:v>HYPERLINK is not implemented. linkLocation=https://cdn.shopify.com/s/files/1/0918/6066/4603/files/O1CN01rFBeUe2NGHhA2pkiS__4234819935-0-cib.jpg?v=1753430043, friendlyName=Open</x:v>
      </x:c>
      <x:c r="C278" s="24" t="e">
        <x:f>HYPERLINK("https://365nails.com/products/wholesale-of-finished-nails-products-simple-platinum-contrasting-colors-wavy-fake-nails-press-on-nails-art-nails-in-autumn-and-winter-365nails","Wholesale of finished nails products, simple platinum contrasting colors, wavy fake nails, press on nails art nails in autumn and winter｜365nails")</x:f>
        <x:v>HYPERLINK is not implemented. linkLocation=https://365nails.com/products/wholesale-of-finished-nails-products-simple-platinum-contrasting-colors-wavy-fake-nails-press-on-nails-art-nails-in-autumn-and-winter-365nails, friendlyName=Wholesale of finished nails products, simple platinum contrasting colors, wavy fake nails, press on nails art nails in autumn and winter｜365nails</x:v>
      </x:c>
      <x:c r="D278" s="18" t="str">
        <x:v>color: JP1947</x:v>
      </x:c>
      <x:c r="E278" s="25" t="str">
        <x:v>$0.86</x:v>
      </x:c>
      <x:c r="F278" s="19" t="str">
        <x:v>1</x:v>
      </x:c>
    </x:row>
    <x:row r="279" ht="93" customHeight="1">
      <x:c r="A279" s="19" t="n">
        <x:v>276</x:v>
      </x:c>
      <x:c r="B279" s="22" t="e">
        <x:f>HYPERLINK("https://cdn.shopify.com/s/files/1/0918/6066/4603/files/O1CN015y7Krr2NGHf8SVSjy__4234819935-0-cib.jpg?v=1753429946","Open")</x:f>
        <x:v>HYPERLINK is not implemented. linkLocation=https://cdn.shopify.com/s/files/1/0918/6066/4603/files/O1CN015y7Krr2NGHf8SVSjy__4234819935-0-cib.jpg?v=1753429946, friendlyName=Open</x:v>
      </x:c>
      <x:c r="C279" s="24" t="e">
        <x:f>HYPERLINK("https://365nails.com/products/press-on-strong-tea-coffee-nail-white-fake-press-on-nails-wholesale-nails-365nails","Press on   strong tea coffee nail  white fake  Press on nails wholesale nails｜365nails")</x:f>
        <x:v>HYPERLINK is not implemented. linkLocation=https://365nails.com/products/press-on-strong-tea-coffee-nail-white-fake-press-on-nails-wholesale-nails-365nails, friendlyName=Press on   strong tea coffee nail  white fake  Press on nails wholesale nails｜365nails</x:v>
      </x:c>
      <x:c r="D279" s="18" t="str">
        <x:v>color: JP1530</x:v>
      </x:c>
      <x:c r="E279" s="25" t="str">
        <x:v>$0.82</x:v>
      </x:c>
      <x:c r="F279" s="19" t="str">
        <x:v>1</x:v>
      </x:c>
    </x:row>
    <x:row r="280" ht="93" customHeight="1">
      <x:c r="A280" s="19" t="n">
        <x:v>277</x:v>
      </x:c>
      <x:c r="B280" s="22" t="e">
        <x:f>HYPERLINK("https://cdn.shopify.com/s/files/1/0918/6066/4603/files/O1CN01WvxyWA2NGHeuV2UUE__4234819935-0-cib.jpg?v=1753429940","Open")</x:f>
        <x:v>HYPERLINK is not implemented. linkLocation=https://cdn.shopify.com/s/files/1/0918/6066/4603/files/O1CN01WvxyWA2NGHeuV2UUE__4234819935-0-cib.jpg?v=1753429940, friendlyName=Open</x:v>
      </x:c>
      <x:c r="C280" s="24" t="e">
        <x:f>HYPERLINK("https://365nails.com/products/cherry-red-jumping-color-graffiti-press-on-nails-piece-wholesale-nail-piece-finished-nail-piece-wholesale-press-on-nails-short-365nails","Cherry red jumping color graffiti Press on nails piece wholesale nail piece finished nail piece wholesale Press on nails short｜365nails")</x:f>
        <x:v>HYPERLINK is not implemented. linkLocation=https://365nails.com/products/cherry-red-jumping-color-graffiti-press-on-nails-piece-wholesale-nail-piece-finished-nail-piece-wholesale-press-on-nails-short-365nails, friendlyName=Cherry red jumping color graffiti Press on nails piece wholesale nail piece finished nail piece wholesale Press on nails short｜365nails</x:v>
      </x:c>
      <x:c r="D280" s="18" t="str">
        <x:v>color: JP1548</x:v>
      </x:c>
      <x:c r="E280" s="25" t="str">
        <x:v>$0.76</x:v>
      </x:c>
      <x:c r="F280" s="19" t="str">
        <x:v>1</x:v>
      </x:c>
    </x:row>
    <x:row r="281" ht="93" customHeight="1">
      <x:c r="A281" s="19" t="n">
        <x:v>278</x:v>
      </x:c>
      <x:c r="B281" s="22" t="e">
        <x:f>HYPERLINK("https://cdn.shopify.com/s/files/1/0918/6066/4603/files/O1CN01rrORsk2NGHbMsh1Vh__4234819935-0-cib.jpg?v=1753429890","Open")</x:f>
        <x:v>HYPERLINK is not implemented. linkLocation=https://cdn.shopify.com/s/files/1/0918/6066/4603/files/O1CN01rrORsk2NGHbMsh1Vh__4234819935-0-cib.jpg?v=1753429890, friendlyName=Open</x:v>
      </x:c>
      <x:c r="C281" s="24" t="e">
        <x:f>HYPERLINK("https://365nails.com/products/simple-series-white-french-presson-nail-fake-nail-nail-nail-removable-nail-piece-365nails","Simple series white French Presson nail fake nail nail  nail  removable nail piece｜365nails")</x:f>
        <x:v>HYPERLINK is not implemented. linkLocation=https://365nails.com/products/simple-series-white-french-presson-nail-fake-nail-nail-nail-removable-nail-piece-365nails, friendlyName=Simple series white French Presson nail fake nail nail  nail  removable nail piece｜365nails</x:v>
      </x:c>
      <x:c r="D281" s="18" t="str">
        <x:v>Color: JP1221</x:v>
      </x:c>
      <x:c r="E281" s="25" t="str">
        <x:v>$0.70</x:v>
      </x:c>
      <x:c r="F281" s="19" t="str">
        <x:v>1</x:v>
      </x:c>
    </x:row>
    <x:row r="282" ht="93" customHeight="1">
      <x:c r="A282" s="19" t="n">
        <x:v>279</x:v>
      </x:c>
      <x:c r="B282" s="22" t="e">
        <x:f>HYPERLINK("https://cdn.shopify.com/s/files/1/0918/6066/4603/files/O1CN01xZDeFc2NGHb9zXOjj__4234819935-0-cib.jpg?v=1753429871","Open")</x:f>
        <x:v>HYPERLINK is not implemented. linkLocation=https://cdn.shopify.com/s/files/1/0918/6066/4603/files/O1CN01xZDeFc2NGHb9zXOjj__4234819935-0-cib.jpg?v=1753429871, friendlyName=Open</x:v>
      </x:c>
      <x:c r="C282" s="24" t="e">
        <x:f>HYPERLINK("https://365nails.com/products/simple-cream-blue-and-white-color-matching-press-on-finished-fake-nail-nail-removable-nail-piece-365nails","Simple cream blue and white color matching Press on  finished fake nail   nail  removable nail piece｜365nails")</x:f>
        <x:v>HYPERLINK is not implemented. linkLocation=https://365nails.com/products/simple-cream-blue-and-white-color-matching-press-on-finished-fake-nail-nail-removable-nail-piece-365nails, friendlyName=Simple cream blue and white color matching Press on  finished fake nail   nail  removable nail piece｜365nails</x:v>
      </x:c>
      <x:c r="D282" s="18" t="str">
        <x:v>color: JP1128</x:v>
      </x:c>
      <x:c r="E282" s="25" t="str">
        <x:v>$0.82</x:v>
      </x:c>
      <x:c r="F282" s="19" t="str">
        <x:v>1</x:v>
      </x:c>
    </x:row>
    <x:row r="283" ht="93" customHeight="1">
      <x:c r="A283" s="19" t="n">
        <x:v>280</x:v>
      </x:c>
      <x:c r="B283" s="22" t="e">
        <x:f>HYPERLINK("https://cdn.shopify.com/s/files/1/0918/6066/4603/files/O1CN01zi8jiV2NGHl8niYLp__4234819935-0-cib_c22eb546-b28a-4752-8139-2bd182513466.jpg?v=1761286962","Open")</x:f>
        <x:v>HYPERLINK is not implemented. linkLocation=https://cdn.shopify.com/s/files/1/0918/6066/4603/files/O1CN01zi8jiV2NGHl8niYLp__4234819935-0-cib_c22eb546-b28a-4752-8139-2bd182513466.jpg?v=1761286962, friendlyName=Open</x:v>
      </x:c>
      <x:c r="C283" s="24" t="e">
        <x:f>HYPERLINK("https://365nails.com/products/wearable-nail-sticker-summer-multi-color-french-fresh-rainbow-wearable-nail-piece-wholesale-false-nails","Wearable nail sticker summer multi-color French fresh rainbow wearable nail piece wholesale false nails")</x:f>
        <x:v>HYPERLINK is not implemented. linkLocation=https://365nails.com/products/wearable-nail-sticker-summer-multi-color-french-fresh-rainbow-wearable-nail-piece-wholesale-false-nails, friendlyName=Wearable nail sticker summer multi-color French fresh rainbow wearable nail piece wholesale false nails</x:v>
      </x:c>
      <x:c r="D283" s="18" t="str">
        <x:v>color: JP2528</x:v>
      </x:c>
      <x:c r="E283" s="25" t="str">
        <x:v>$1.24</x:v>
      </x:c>
      <x:c r="F283" s="19" t="str">
        <x:v>1</x:v>
      </x:c>
    </x:row>
    <x:row r="284" ht="93" customHeight="1">
      <x:c r="A284" s="19" t="n">
        <x:v>281</x:v>
      </x:c>
      <x:c r="B284" s="22" t="e">
        <x:f>HYPERLINK("https://cdn.shopify.com/s/files/1/0918/6066/4603/files/O1CN01c5iVju2NGHz5V7n6d__4234819935-0-cib.jpg?v=1753430687","Open")</x:f>
        <x:v>HYPERLINK is not implemented. linkLocation=https://cdn.shopify.com/s/files/1/0918/6066/4603/files/O1CN01c5iVju2NGHz5V7n6d__4234819935-0-cib.jpg?v=1753430687, friendlyName=Open</x:v>
      </x:c>
      <x:c r="C284" s="24" t="e">
        <x:f>HYPERLINK("https://365nails.com/products/cross-border-press-on-nails-french-white-edge-manicure-nail-piece-short-almond-fake-nail-sweet-strawberry-press-on-nails-piece-365nails","press on nails French white edge manicure nail piece short almond fake nail sweet strawberry press on nails piece｜365nails")</x:f>
        <x:v>HYPERLINK is not implemented. linkLocation=https://365nails.com/products/cross-border-press-on-nails-french-white-edge-manicure-nail-piece-short-almond-fake-nail-sweet-strawberry-press-on-nails-piece-365nails, friendlyName=press on nails French white edge manicure nail piece short almond fake nail sweet strawberry press on nails piece｜365nails</x:v>
      </x:c>
      <x:c r="D284" s="18" t="str">
        <x:v>color: JP3911</x:v>
      </x:c>
      <x:c r="E284" s="25" t="str">
        <x:v>$1.30</x:v>
      </x:c>
      <x:c r="F284" s="19" t="str">
        <x:v>1</x:v>
      </x:c>
    </x:row>
    <x:row r="285" ht="93" customHeight="1">
      <x:c r="A285" s="19" t="n">
        <x:v>282</x:v>
      </x:c>
      <x:c r="B285" s="22" t="e">
        <x:f>HYPERLINK("https://cdn.shopify.com/s/files/1/0918/6066/4603/files/O1CN01wxjsoN2NGI09YXtHN__4234819935-0-cib.jpg?v=1758609997","Open")</x:f>
        <x:v>HYPERLINK is not implemented. linkLocation=https://cdn.shopify.com/s/files/1/0918/6066/4603/files/O1CN01wxjsoN2NGI09YXtHN__4234819935-0-cib.jpg?v=1758609997, friendlyName=Open</x:v>
      </x:c>
      <x:c r="C285" s="24" t="e">
        <x:f>HYPERLINK("https://365nails.com/products/short-fresh-white-flower-wearing-nail-art-nail-art-piece-simple-almond-nail-finger","Short Fresh White Flower Simple Almond press-on nails")</x:f>
        <x:v>HYPERLINK is not implemented. linkLocation=https://365nails.com/products/short-fresh-white-flower-wearing-nail-art-nail-art-piece-simple-almond-nail-finger, friendlyName=Short Fresh White Flower Simple Almond press-on nails</x:v>
      </x:c>
      <x:c r="D285" s="18" t="str">
        <x:v>color: JP4065</x:v>
      </x:c>
      <x:c r="E285" s="25" t="str">
        <x:v>$1.65</x:v>
      </x:c>
      <x:c r="F285" s="19" t="str">
        <x:v>1</x:v>
      </x:c>
    </x:row>
    <x:row r="286" ht="93" customHeight="1">
      <x:c r="A286" s="19" t="n">
        <x:v>283</x:v>
      </x:c>
      <x:c r="B286" s="22" t="e">
        <x:f>HYPERLINK("https://cdn.shopify.com/s/files/1/0918/6066/4603/files/O1CN01aFLBD42NGHzPolBM6__4234819935-0-cib.jpg?v=1758609898","Open")</x:f>
        <x:v>HYPERLINK is not implemented. linkLocation=https://cdn.shopify.com/s/files/1/0918/6066/4603/files/O1CN01aFLBD42NGHzPolBM6__4234819935-0-cib.jpg?v=1758609898, friendlyName=Open</x:v>
      </x:c>
      <x:c r="C286" s="24" t="e">
        <x:f>HYPERLINK("https://365nails.com/products/simple-french-cat-eye-wearing-nail-short-square-round-manicure-nail-piece-press-on-nails","Simple French cat's eye short square round press-on nails")</x:f>
        <x:v>HYPERLINK is not implemented. linkLocation=https://365nails.com/products/simple-french-cat-eye-wearing-nail-short-square-round-manicure-nail-piece-press-on-nails, friendlyName=Simple French cat's eye short square round press-on nails</x:v>
      </x:c>
      <x:c r="D286" s="18" t="str">
        <x:v>Color: JP3930</x:v>
      </x:c>
      <x:c r="E286" s="25" t="str">
        <x:v>$1.09</x:v>
      </x:c>
      <x:c r="F286" s="19" t="str">
        <x:v>1</x:v>
      </x:c>
    </x:row>
    <x:row r="287" ht="93" customHeight="1">
      <x:c r="A287" s="19" t="n">
        <x:v>284</x:v>
      </x:c>
      <x:c r="B287" s="22" t="e">
        <x:f>HYPERLINK("https://cdn.shopify.com/s/files/1/0918/6066/4603/files/O1CN01QRxgMO2NGHmgitTeS__4234819935-0-cib.jpg?v=1753430499","Open")</x:f>
        <x:v>HYPERLINK is not implemented. linkLocation=https://cdn.shopify.com/s/files/1/0918/6066/4603/files/O1CN01QRxgMO2NGHmgitTeS__4234819935-0-cib.jpg?v=1753430499, friendlyName=Open</x:v>
      </x:c>
      <x:c r="C287" s="24" t="e">
        <x:f>HYPERLINK("https://365nails.com/products/cross-border-explosion-christmas-snowflake-fake-nails-patch-detachable-press-onable-nails-manicure-nails-piece-finished-product-factory-wholesale-365nails","explosion Christmas snowflake fake nails patch detachable Press onable nails manicure nails piece finished product factory wholesale｜365nails")</x:f>
        <x:v>HYPERLINK is not implemented. linkLocation=https://365nails.com/products/cross-border-explosion-christmas-snowflake-fake-nails-patch-detachable-press-onable-nails-manicure-nails-piece-finished-product-factory-wholesale-365nails, friendlyName=explosion Christmas snowflake fake nails patch detachable Press onable nails manicure nails piece finished product factory wholesale｜365nails</x:v>
      </x:c>
      <x:c r="D287" s="18" t="str">
        <x:v>color: JP2681</x:v>
      </x:c>
      <x:c r="E287" s="25" t="str">
        <x:v>$1.47</x:v>
      </x:c>
      <x:c r="F287" s="19" t="str">
        <x:v>1</x:v>
      </x:c>
    </x:row>
    <x:row r="288" ht="93" customHeight="1">
      <x:c r="A288" s="19" t="n">
        <x:v>285</x:v>
      </x:c>
      <x:c r="B288" s="22" t="e">
        <x:f>HYPERLINK("https://cdn.shopify.com/s/files/1/0918/6066/4603/files/O1CN01U5ELQn2NGHlJLYwCR__4234819935-0-cib.jpg?v=1753430472","Open")</x:f>
        <x:v>HYPERLINK is not implemented. linkLocation=https://cdn.shopify.com/s/files/1/0918/6066/4603/files/O1CN01U5ELQn2NGHlJLYwCR__4234819935-0-cib.jpg?v=1753430472, friendlyName=Open</x:v>
      </x:c>
      <x:c r="C288" s="24" t="e">
        <x:f>HYPERLINK("https://365nails.com/products/press-on-nails-piece-wholesale-blue-french-purple-nails-piece-multicolor-wavy-white-love-nails-piece-finished-product-wholesale-nails-365nails","press on nails piece wholesale blue French purple nails piece multicolor wavy white love nails piece finished product wholesale nails｜365nails")</x:f>
        <x:v>HYPERLINK is not implemented. linkLocation=https://365nails.com/products/press-on-nails-piece-wholesale-blue-french-purple-nails-piece-multicolor-wavy-white-love-nails-piece-finished-product-wholesale-nails-365nails, friendlyName=press on nails piece wholesale blue French purple nails piece multicolor wavy white love nails piece finished product wholesale nails｜365nails</x:v>
      </x:c>
      <x:c r="D288" s="18" t="str">
        <x:v>color: JP2584</x:v>
      </x:c>
      <x:c r="E288" s="25" t="str">
        <x:v>$0.86</x:v>
      </x:c>
      <x:c r="F288" s="19" t="str">
        <x:v>1</x:v>
      </x:c>
    </x:row>
    <x:row r="289" ht="93" customHeight="1">
      <x:c r="A289" s="19" t="n">
        <x:v>286</x:v>
      </x:c>
      <x:c r="B289" s="22" t="e">
        <x:f>HYPERLINK("https://cdn.shopify.com/s/files/1/0918/6066/4603/files/O1CN01KOYO0v2NGHiC7WvjG__4234819935-0-cib.jpg?v=1753430298","Open")</x:f>
        <x:v>HYPERLINK is not implemented. linkLocation=https://cdn.shopify.com/s/files/1/0918/6066/4603/files/O1CN01KOYO0v2NGHiC7WvjG__4234819935-0-cib.jpg?v=1753430298, friendlyName=Open</x:v>
      </x:c>
      <x:c r="C289" s="24" t="e">
        <x:f>HYPERLINK("https://365nails.com/products/nails-art-pieces-simple-press-on-nails-short-half-sticker-nails-piece-wholesale-nails-art-press-on-nails-piece-wholesale-nails-nails-piece-365nails","nails art pieces Simple press on nails short half sticker nails piece Wholesale nails art press on nails piece Wholesale nails nails piece｜365nails")</x:f>
        <x:v>HYPERLINK is not implemented. linkLocation=https://365nails.com/products/nails-art-pieces-simple-press-on-nails-short-half-sticker-nails-piece-wholesale-nails-art-press-on-nails-piece-wholesale-nails-nails-piece-365nails, friendlyName=nails art pieces Simple press on nails short half sticker nails piece Wholesale nails art press on nails piece Wholesale nails nails piece｜365nails</x:v>
      </x:c>
      <x:c r="D289" s="18" t="str">
        <x:v>color: JP2159</x:v>
      </x:c>
      <x:c r="E289" s="25" t="str">
        <x:v>$0.70</x:v>
      </x:c>
      <x:c r="F289" s="19" t="str">
        <x:v>1</x:v>
      </x:c>
    </x:row>
    <x:row r="290" ht="93" customHeight="1">
      <x:c r="A290" s="19" t="n">
        <x:v>287</x:v>
      </x:c>
      <x:c r="B290" s="22" t="e">
        <x:f>HYPERLINK("https://cdn.shopify.com/s/files/1/0918/6066/4603/files/O1CN01hbQ7112NGHgIJ0pPx__4234819935-0-cib.jpg?v=1753430124","Open")</x:f>
        <x:v>HYPERLINK is not implemented. linkLocation=https://cdn.shopify.com/s/files/1/0918/6066/4603/files/O1CN01hbQ7112NGHgIJ0pPx__4234819935-0-cib.jpg?v=1753430124, friendlyName=Open</x:v>
      </x:c>
      <x:c r="C290" s="24" t="e">
        <x:f>HYPERLINK("https://365nails.com/products/press-on-nails-french-yellow-purple-edge-flower-removable-manicure-nails-patch-wholesale-fake-nails-nails-piece-365nails","press on nails, French yellow purple edge flower removable manicure nails patch wholesale fake nails nails piece｜365nails")</x:f>
        <x:v>HYPERLINK is not implemented. linkLocation=https://365nails.com/products/press-on-nails-french-yellow-purple-edge-flower-removable-manicure-nails-patch-wholesale-fake-nails-nails-piece-365nails, friendlyName=press on nails, French yellow purple edge flower removable manicure nails patch wholesale fake nails nails piece｜365nails</x:v>
      </x:c>
      <x:c r="D290" s="18" t="str">
        <x:v>color: JP1807</x:v>
      </x:c>
      <x:c r="E290" s="25" t="str">
        <x:v>$0.76</x:v>
      </x:c>
      <x:c r="F290" s="19" t="str">
        <x:v>1</x:v>
      </x:c>
    </x:row>
    <x:row r="291" ht="93" customHeight="1">
      <x:c r="A291" s="19" t="n">
        <x:v>288</x:v>
      </x:c>
      <x:c r="B291" s="22" t="e">
        <x:f>HYPERLINK("https://cdn.shopify.com/s/files/1/0918/6066/4603/files/O1CN01lGOTRM2NGHuzW4s5h__4234819935-0-cib_a731c1e4-6bf6-4554-9ac3-d54a009abeaa.jpg?v=1761621455","Open")</x:f>
        <x:v>HYPERLINK is not implemented. linkLocation=https://cdn.shopify.com/s/files/1/0918/6066/4603/files/O1CN01lGOTRM2NGHuzW4s5h__4234819935-0-cib_a731c1e4-6bf6-4554-9ac3-d54a009abeaa.jpg?v=1761621455, friendlyName=Open</x:v>
      </x:c>
      <x:c r="C291" s="24" t="e">
        <x:f>HYPERLINK("https://365nails.com/products/sweetheart-cherry-bow-press-on-nails","Sweetheart Cherry &amp; Bow Press-On Nails")</x:f>
        <x:v>HYPERLINK is not implemented. linkLocation=https://365nails.com/products/sweetheart-cherry-bow-press-on-nails, friendlyName=Sweetheart Cherry &amp; Bow Press-On Nails</x:v>
      </x:c>
      <x:c r="D291" s="18" t="str">
        <x:v>code: SP176; size: XS / S / M</x:v>
      </x:c>
      <x:c r="E291" s="25" t="str">
        <x:v>$1.52</x:v>
      </x:c>
      <x:c r="F291" s="19" t="str">
        <x:v>1</x:v>
      </x:c>
    </x:row>
    <x:row r="292" ht="93" customHeight="1">
      <x:c r="A292" s="19" t="n">
        <x:v>289</x:v>
      </x:c>
      <x:c r="B292" s="22" t="e">
        <x:f>HYPERLINK("https://cdn.shopify.com/s/files/1/0918/6066/4603/files/O1CN01edsd2j2NGHuw8zOP0__4234819935-0-cib_6bf1c862-3094-4fdd-9084-804b008c39a9.jpg?v=1761621452","Open")</x:f>
        <x:v>HYPERLINK is not implemented. linkLocation=https://cdn.shopify.com/s/files/1/0918/6066/4603/files/O1CN01edsd2j2NGHuw8zOP0__4234819935-0-cib_6bf1c862-3094-4fdd-9084-804b008c39a9.jpg?v=1761621452, friendlyName=Open</x:v>
      </x:c>
      <x:c r="C292" s="24" t="e">
        <x:f>HYPERLINK("https://365nails.com/products/lolita-bow-lace-heart-press-on-nails","Lolita Bow &amp; Lace Heart Press-On Nails")</x:f>
        <x:v>HYPERLINK is not implemented. linkLocation=https://365nails.com/products/lolita-bow-lace-heart-press-on-nails, friendlyName=Lolita Bow &amp; Lace Heart Press-On Nails</x:v>
      </x:c>
      <x:c r="D292" s="18" t="str">
        <x:v>Color: SP172; Color classification: XS / S / M</x:v>
      </x:c>
      <x:c r="E292" s="25" t="str">
        <x:v>$1.52</x:v>
      </x:c>
      <x:c r="F292" s="19" t="str">
        <x:v>1</x:v>
      </x:c>
    </x:row>
    <x:row r="293" ht="93" customHeight="1">
      <x:c r="A293" s="19" t="n">
        <x:v>290</x:v>
      </x:c>
      <x:c r="B293" s="22" t="e">
        <x:f>HYPERLINK("https://cdn.shopify.com/s/files/1/0918/6066/4603/files/O1CN01hVafNQ2NGHmloF76w__4234819935-0-cib.jpg?v=1753430508","Open")</x:f>
        <x:v>HYPERLINK is not implemented. linkLocation=https://cdn.shopify.com/s/files/1/0918/6066/4603/files/O1CN01hVafNQ2NGHmloF76w__4234819935-0-cib.jpg?v=1753430508, friendlyName=Open</x:v>
      </x:c>
      <x:c r="C293" s="24" t="e">
        <x:f>HYPERLINK("https://365nails.com/products/cross-border-popular-nails-stickers-christmas-short-nails-patches-press-onable-nails-removable-nails-patches-finished-products-wholesale-365nails","popular nails stickers, Christmas short nails patches, Press onable nails removable nails patches, finished products wholesale｜365nails")</x:f>
        <x:v>HYPERLINK is not implemented. linkLocation=https://365nails.com/products/cross-border-popular-nails-stickers-christmas-short-nails-patches-press-onable-nails-removable-nails-patches-finished-products-wholesale-365nails, friendlyName=popular nails stickers, Christmas short nails patches, Press onable nails removable nails patches, finished products wholesale｜365nails</x:v>
      </x:c>
      <x:c r="D293" s="18" t="str">
        <x:v>color: JP2698</x:v>
      </x:c>
      <x:c r="E293" s="25" t="str">
        <x:v>$1.30</x:v>
      </x:c>
      <x:c r="F293" s="19" t="str">
        <x:v>1</x:v>
      </x:c>
    </x:row>
    <x:row r="294" ht="93" customHeight="1">
      <x:c r="A294" s="19" t="n">
        <x:v>291</x:v>
      </x:c>
      <x:c r="B294" s="22" t="e">
        <x:f>HYPERLINK("https://cdn.shopify.com/s/files/1/0918/6066/4603/files/O1CN01RIPJfO2NGHlP38wIM__4234819935-0-cib.jpg?v=1753430422","Open")</x:f>
        <x:v>HYPERLINK is not implemented. linkLocation=https://cdn.shopify.com/s/files/1/0918/6066/4603/files/O1CN01RIPJfO2NGHlP38wIM__4234819935-0-cib.jpg?v=1753430422, friendlyName=Open</x:v>
      </x:c>
      <x:c r="C294" s="24" t="e">
        <x:f>HYPERLINK("https://365nails.com/products/nails-patch-press-on-nails-pink-nails-piece-black-cartoon-graffiti-silver-love-ins-wind-press-on-nails-nails-365nails","nails patch press on nails pink nails piece black cartoon graffiti silver love ins wind press on nails nails｜365nails")</x:f>
        <x:v>HYPERLINK is not implemented. linkLocation=https://365nails.com/products/nails-patch-press-on-nails-pink-nails-piece-black-cartoon-graffiti-silver-love-ins-wind-press-on-nails-nails-365nails, friendlyName=nails patch press on nails pink nails piece black cartoon graffiti silver love ins wind press on nails nails｜365nails</x:v>
      </x:c>
      <x:c r="D294" s="18" t="str">
        <x:v>color: JP2615</x:v>
      </x:c>
      <x:c r="E294" s="25" t="str">
        <x:v>$0.86</x:v>
      </x:c>
      <x:c r="F294" s="19" t="str">
        <x:v>1</x:v>
      </x:c>
    </x:row>
    <x:row r="295" ht="93" customHeight="1">
      <x:c r="A295" s="19" t="n">
        <x:v>292</x:v>
      </x:c>
      <x:c r="B295" s="22" t="e">
        <x:f>HYPERLINK("https://cdn.shopify.com/s/files/1/0918/6066/4603/files/O1CN013yeYUW2NGHjzErtxx__4234819935-0-cib.jpg?v=1753430376","Open")</x:f>
        <x:v>HYPERLINK is not implemented. linkLocation=https://cdn.shopify.com/s/files/1/0918/6066/4603/files/O1CN013yeYUW2NGHjzErtxx__4234819935-0-cib.jpg?v=1753430376, friendlyName=Open</x:v>
      </x:c>
      <x:c r="C295" s="24" t="e">
        <x:f>HYPERLINK("https://365nails.com/products/press-on-nails-short-simple-white-french-nails-patch-press-on-nails-nails-nails-piece-false-nails-piece-wholesale-nails-365nails","Press on nails short simple white French nails patch Press on nails nails nails piece False nails piece Wholesale nails｜365nails")</x:f>
        <x:v>HYPERLINK is not implemented. linkLocation=https://365nails.com/products/press-on-nails-short-simple-white-french-nails-patch-press-on-nails-nails-nails-piece-false-nails-piece-wholesale-nails-365nails, friendlyName=Press on nails short simple white French nails patch Press on nails nails nails piece False nails piece Wholesale nails｜365nails</x:v>
      </x:c>
      <x:c r="D295" s="18" t="str">
        <x:v>color: JP2485</x:v>
      </x:c>
      <x:c r="E295" s="25" t="str">
        <x:v>$0.70</x:v>
      </x:c>
      <x:c r="F295" s="19" t="str">
        <x:v>1</x:v>
      </x:c>
    </x:row>
    <x:row r="296" ht="93" customHeight="1">
      <x:c r="A296" s="19" t="n">
        <x:v>293</x:v>
      </x:c>
      <x:c r="B296" s="22" t="e">
        <x:f>HYPERLINK("https://cdn.shopify.com/s/files/1/0918/6066/4603/files/O1CN01xoymB82NGHjxQCkSy__4234819935-0-cib.jpg?v=1753430361","Open")</x:f>
        <x:v>HYPERLINK is not implemented. linkLocation=https://cdn.shopify.com/s/files/1/0918/6066/4603/files/O1CN01xoymB82NGHjxQCkSy__4234819935-0-cib.jpg?v=1753430361, friendlyName=Open</x:v>
      </x:c>
      <x:c r="C296" s="24" t="e">
        <x:f>HYPERLINK("https://365nails.com/products/nails-patch-simple-white-french-press-on-nails-patch-wholesale-nails-patch-wholesale-false-nails-patch-wholesale-365nails","nails Patch Simple White French press on nails Patch Wholesale nails Patch Wholesale False nails Patch Wholesale｜365nails")</x:f>
        <x:v>HYPERLINK is not implemented. linkLocation=https://365nails.com/products/nails-patch-simple-white-french-press-on-nails-patch-wholesale-nails-patch-wholesale-false-nails-patch-wholesale-365nails, friendlyName=nails Patch Simple White French press on nails Patch Wholesale nails Patch Wholesale False nails Patch Wholesale｜365nails</x:v>
      </x:c>
      <x:c r="D296" s="18" t="str">
        <x:v>Color: JP2386</x:v>
      </x:c>
      <x:c r="E296" s="25" t="str">
        <x:v>$0.70</x:v>
      </x:c>
      <x:c r="F296" s="19" t="str">
        <x:v>1</x:v>
      </x:c>
    </x:row>
    <x:row r="297" ht="93" customHeight="1">
      <x:c r="A297" s="19" t="n">
        <x:v>294</x:v>
      </x:c>
      <x:c r="B297" s="22" t="e">
        <x:f>HYPERLINK("https://cdn.shopify.com/s/files/1/0918/6066/4603/files/O1CN013TTaTa2NGHiI8wRdA__4234819935-0-cib.jpg?v=1753430272","Open")</x:f>
        <x:v>HYPERLINK is not implemented. linkLocation=https://cdn.shopify.com/s/files/1/0918/6066/4603/files/O1CN013TTaTa2NGHiI8wRdA__4234819935-0-cib.jpg?v=1753430272, friendlyName=Open</x:v>
      </x:c>
      <x:c r="C297" s="24" t="e">
        <x:f>HYPERLINK("https://365nails.com/products/press-on-nails-wholesale-simple-white-edge-french-manicure-patch-press-on-nails-wholesale-fake-nails-press-on-nails-365nails","press on nails wholesale simple white edge French manicure patch press on nails wholesale fake nails press on nails｜365nails")</x:f>
        <x:v>HYPERLINK is not implemented. linkLocation=https://365nails.com/products/press-on-nails-wholesale-simple-white-edge-french-manicure-patch-press-on-nails-wholesale-fake-nails-press-on-nails-365nails, friendlyName=press on nails wholesale simple white edge French manicure patch press on nails wholesale fake nails press on nails｜365nails</x:v>
      </x:c>
      <x:c r="D297" s="18" t="str">
        <x:v>color: JP2152</x:v>
      </x:c>
      <x:c r="E297" s="25" t="str">
        <x:v>$0.70</x:v>
      </x:c>
      <x:c r="F297" s="19" t="str">
        <x:v>1</x:v>
      </x:c>
    </x:row>
    <x:row r="298" ht="93" customHeight="1">
      <x:c r="A298" s="19" t="n">
        <x:v>295</x:v>
      </x:c>
      <x:c r="B298" s="22" t="e">
        <x:f>HYPERLINK("https://cdn.shopify.com/s/files/1/0918/6066/4603/files/O1CN015M5XBX2NGHi9DgfoN__4234819935-0-cib.jpg?v=1753430257","Open")</x:f>
        <x:v>HYPERLINK is not implemented. linkLocation=https://cdn.shopify.com/s/files/1/0918/6066/4603/files/O1CN015M5XBX2NGHi9DgfoN__4234819935-0-cib.jpg?v=1753430257, friendlyName=Open</x:v>
      </x:c>
      <x:c r="C298" s="24" t="e">
        <x:f>HYPERLINK("https://365nails.com/products/press-on-nails-film-black-and-white-sweet-and-cool-press-on-nails-autumn-and-winter-cartoon-animation-cross-border-nails-patch-press-on-nails-film-wholesale-365nails","press on nails film black and white sweet and cool press on nails autumn and winter cartoon animation  nails patch press on nails film wholesale｜365nails")</x:f>
        <x:v>HYPERLINK is not implemented. linkLocation=https://365nails.com/products/press-on-nails-film-black-and-white-sweet-and-cool-press-on-nails-autumn-and-winter-cartoon-animation-cross-border-nails-patch-press-on-nails-film-wholesale-365nails, friendlyName=press on nails film black and white sweet and cool press on nails autumn and winter cartoon animation  nails patch press on nails film wholesale｜365nails</x:v>
      </x:c>
      <x:c r="D298" s="18" t="str">
        <x:v>color: JP1683</x:v>
      </x:c>
      <x:c r="E298" s="25" t="str">
        <x:v>$0.70</x:v>
      </x:c>
      <x:c r="F298" s="19" t="str">
        <x:v>1</x:v>
      </x:c>
    </x:row>
    <x:row r="299" ht="93" customHeight="1">
      <x:c r="A299" s="19" t="n">
        <x:v>296</x:v>
      </x:c>
      <x:c r="B299" s="22" t="e">
        <x:f>HYPERLINK("https://cdn.shopify.com/s/files/1/0918/6066/4603/files/O1CN01dI7ni92NGHgjyG29O__4234819935-0-cib.jpg?v=1753430151","Open")</x:f>
        <x:v>HYPERLINK is not implemented. linkLocation=https://cdn.shopify.com/s/files/1/0918/6066/4603/files/O1CN01dI7ni92NGHgjyG29O__4234819935-0-cib.jpg?v=1753430151, friendlyName=Open</x:v>
      </x:c>
      <x:c r="C299" s="24" t="e">
        <x:f>HYPERLINK("https://365nails.com/products/press-onable-manicure-wholesale-christmas-short-red-and-green-plaid-fake-nails-piece-wholesale-removable-manicure-nails-365nails","Press onable manicure wholesale Christmas short red and green plaid fake nails piece wholesale removable manicure nails｜365nails")</x:f>
        <x:v>HYPERLINK is not implemented. linkLocation=https://365nails.com/products/press-onable-manicure-wholesale-christmas-short-red-and-green-plaid-fake-nails-piece-wholesale-removable-manicure-nails-365nails, friendlyName=Press onable manicure wholesale Christmas short red and green plaid fake nails piece wholesale removable manicure nails｜365nails</x:v>
      </x:c>
      <x:c r="D299" s="18" t="str">
        <x:v>color: JP1895</x:v>
      </x:c>
      <x:c r="E299" s="25" t="str">
        <x:v>$0.76</x:v>
      </x:c>
      <x:c r="F299" s="19" t="str">
        <x:v>1</x:v>
      </x:c>
    </x:row>
    <x:row r="300" ht="93" customHeight="1">
      <x:c r="A300" s="19" t="n">
        <x:v>297</x:v>
      </x:c>
      <x:c r="B300" s="22" t="e">
        <x:f>HYPERLINK("https://cdn.shopify.com/s/files/1/0918/6066/4603/files/O1CN01u0P1XC2NGHuyv0a1x__4234819935-0-cib_1e8cf671-d482-47d0-ad5a-794c1c69283c.jpg?v=1761630267","Open")</x:f>
        <x:v>HYPERLINK is not implemented. linkLocation=https://cdn.shopify.com/s/files/1/0918/6066/4603/files/O1CN01u0P1XC2NGHuyv0a1x__4234819935-0-cib_1e8cf671-d482-47d0-ad5a-794c1c69283c.jpg?v=1761630267, friendlyName=Open</x:v>
      </x:c>
      <x:c r="C300" s="24" t="e">
        <x:f>HYPERLINK("https://365nails.com/products/europe-america-and-foreign-trade-sub-code-wearing-nail-piece-french-red-solid-color-nail-art-fake-nail-flower-nail-patch-wholesale","French red solid color nail art fake nail flower nail patch wholesale")</x:f>
        <x:v>HYPERLINK is not implemented. linkLocation=https://365nails.com/products/europe-america-and-foreign-trade-sub-code-wearing-nail-piece-french-red-solid-color-nail-art-fake-nail-flower-nail-patch-wholesale, friendlyName=French red solid color nail art fake nail flower nail patch wholesale</x:v>
      </x:c>
      <x:c r="D300" s="18" t="str">
        <x:v>Color: SP178; Color classification: XS / S / M</x:v>
      </x:c>
      <x:c r="E300" s="25" t="str">
        <x:v>$1.32</x:v>
      </x:c>
      <x:c r="F300" s="19" t="str">
        <x:v>1</x:v>
      </x:c>
    </x:row>
    <x:row r="301" ht="93" customHeight="1">
      <x:c r="A301" s="19" t="n">
        <x:v>298</x:v>
      </x:c>
      <x:c r="B301" s="22" t="e">
        <x:f>HYPERLINK("https://cdn.shopify.com/s/files/1/0918/6066/4603/files/O1CN01MVUzd62NGHhvL8qRG__4234819935-0-cib.jpg?v=1753430214","Open")</x:f>
        <x:v>HYPERLINK is not implemented. linkLocation=https://cdn.shopify.com/s/files/1/0918/6066/4603/files/O1CN01MVUzd62NGHhvL8qRG__4234819935-0-cib.jpg?v=1753430214, friendlyName=Open</x:v>
      </x:c>
      <x:c r="C301" s="24" t="e">
        <x:f>HYPERLINK("https://365nails.com/products/press-on-nails-art-finished-wholesale-naked-powder-through-gray-gradual-change-star-manicure-patch-press-on-nails-short-fake-nails-piece-365nails","Press on nails art finished wholesale naked powder through gray gradual change star manicure patch Press on nails short fake nails piece｜365nails")</x:f>
        <x:v>HYPERLINK is not implemented. linkLocation=https://365nails.com/products/press-on-nails-art-finished-wholesale-naked-powder-through-gray-gradual-change-star-manicure-patch-press-on-nails-short-fake-nails-piece-365nails, friendlyName=Press on nails art finished wholesale naked powder through gray gradual change star manicure patch Press on nails short fake nails piece｜365nails</x:v>
      </x:c>
      <x:c r="D301" s="18" t="str">
        <x:v>color: JP2116</x:v>
      </x:c>
      <x:c r="E301" s="25" t="str">
        <x:v>$0.70</x:v>
      </x:c>
      <x:c r="F301" s="19" t="str">
        <x:v>1</x:v>
      </x:c>
    </x:row>
    <x:row r="302" ht="93" customHeight="1">
      <x:c r="A302" s="19" t="n">
        <x:v>299</x:v>
      </x:c>
      <x:c r="B302" s="22" t="e">
        <x:f>HYPERLINK("https://cdn.shopify.com/s/files/1/0918/6066/4603/files/O1CN014TzKdn2NGHmI7WR7u__4234819935-0-cib.jpg?v=1753429083","Open")</x:f>
        <x:v>HYPERLINK is not implemented. linkLocation=https://cdn.shopify.com/s/files/1/0918/6066/4603/files/O1CN014TzKdn2NGHmI7WR7u__4234819935-0-cib.jpg?v=1753429083, friendlyName=Open</x:v>
      </x:c>
      <x:c r="C302" s="24" t="e">
        <x:f>HYPERLINK("https://365nails.com/products/press-onable-nails-sticker-chameleon-polarized-pink-white-flower-nails-piece-finished-nails-art-fake-nails-removable-finished-product-365nails","Press onable nails sticker, chameleon polarized pink white flower nails piece, finished nails art, fake nails removable finished product｜365nails")</x:f>
        <x:v>HYPERLINK is not implemented. linkLocation=https://365nails.com/products/press-onable-nails-sticker-chameleon-polarized-pink-white-flower-nails-piece-finished-nails-art-fake-nails-removable-finished-product-365nails, friendlyName=Press onable nails sticker, chameleon polarized pink white flower nails piece, finished nails art, fake nails removable finished product｜365nails</x:v>
      </x:c>
      <x:c r="D302" s="18" t="str">
        <x:v>color: JP2547</x:v>
      </x:c>
      <x:c r="E302" s="25" t="str">
        <x:v>$1.33</x:v>
      </x:c>
      <x:c r="F302" s="19" t="str">
        <x:v>1</x:v>
      </x:c>
    </x:row>
    <x:row r="303" ht="93" customHeight="1">
      <x:c r="A303" s="19" t="n">
        <x:v>300</x:v>
      </x:c>
      <x:c r="B303" s="22" t="e">
        <x:f>HYPERLINK("https://cdn.shopify.com/s/files/1/0918/6066/4603/files/O1CN01CNFdfy2NGHu4JuIXu__4234819935-0-cib_856465a0-c4eb-4240-91cf-f8cbce64b14c.jpg?v=1761629824","Open")</x:f>
        <x:v>HYPERLINK is not implemented. linkLocation=https://cdn.shopify.com/s/files/1/0918/6066/4603/files/O1CN01CNFdfy2NGHu4JuIXu__4234819935-0-cib_856465a0-c4eb-4240-91cf-f8cbce64b14c.jpg?v=1761629824, friendlyName=Open</x:v>
      </x:c>
      <x:c r="C303" s="24" t="e">
        <x:f>HYPERLINK("https://365nails.com/products/advanced-sense-of-cross-border-foreign-trade-wearing-armor-hot-selling-in-europe-and-the-united-states-flame-planet-cup-manicure-almond-shaped-false-nail-nail-piece","Red-Black Flame Press-On Nails | Stiletto | Handmade with Silver Cross &amp; Planet Charms")</x:f>
        <x:v>HYPERLINK is not implemented. linkLocation=https://365nails.com/products/advanced-sense-of-cross-border-foreign-trade-wearing-armor-hot-selling-in-europe-and-the-united-states-flame-planet-cup-manicure-almond-shaped-false-nail-nail-piece, friendlyName=Red-Black Flame Press-On Nails | Stiletto | Handmade with Silver Cross &amp; Planet Charms</x:v>
      </x:c>
      <x:c r="D303" s="18" t="str">
        <x:v>Color classification: SP171-XS / SP171-S / SP171-M</x:v>
      </x:c>
      <x:c r="E303" s="25" t="str">
        <x:v>$1.66</x:v>
      </x:c>
      <x:c r="F303" s="19" t="str">
        <x:v>1</x:v>
      </x:c>
    </x:row>
    <x:row r="304" ht="93" customHeight="1">
      <x:c r="A304" s="19" t="n">
        <x:v>301</x:v>
      </x:c>
      <x:c r="B304" s="22" t="e">
        <x:f>HYPERLINK("https://cdn.shopify.com/s/files/1/0918/6066/4603/files/O1CN01iT1az92NGHfZYNRV7__4234819935-0-cib.jpg?v=1753430115","Open")</x:f>
        <x:v>HYPERLINK is not implemented. linkLocation=https://cdn.shopify.com/s/files/1/0918/6066/4603/files/O1CN01iT1az92NGHfZYNRV7__4234819935-0-cib.jpg?v=1753430115, friendlyName=Open</x:v>
      </x:c>
      <x:c r="C304" s="24" t="e">
        <x:f>HYPERLINK("https://365nails.com/products/summer-white-edge-french-red-and-green-flower-press-on-nails-special-nails-piece-nails-piece-detachable-nails-piece-nails-piece-nails-piece-365nails","Summer white edge French red and green flower press on nails special nails piece nails piece detachable nails piece nails piece nails piece｜365nails")</x:f>
        <x:v>HYPERLINK is not implemented. linkLocation=https://365nails.com/products/summer-white-edge-french-red-and-green-flower-press-on-nails-special-nails-piece-nails-piece-detachable-nails-piece-nails-piece-nails-piece-365nails, friendlyName=Summer white edge French red and green flower press on nails special nails piece nails piece detachable nails piece nails piece nails piece｜365nails</x:v>
      </x:c>
      <x:c r="D304" s="18" t="str">
        <x:v>color: JP1486</x:v>
      </x:c>
      <x:c r="E304" s="25" t="str">
        <x:v>$0.82</x:v>
      </x:c>
      <x:c r="F304" s="19" t="str">
        <x:v>1</x:v>
      </x:c>
    </x:row>
    <x:row r="305" ht="93" customHeight="1">
      <x:c r="A305" s="19" t="n">
        <x:v>302</x:v>
      </x:c>
      <x:c r="B305" s="22" t="e">
        <x:f>HYPERLINK("https://cdn.shopify.com/s/files/1/0918/6066/4603/files/O1CN01SrtIXd2NGHtptybIv__4234819935-0-cib_253060a6-4806-4f4c-b79f-26c712d6e666.jpg?v=1761629961","Open")</x:f>
        <x:v>HYPERLINK is not implemented. linkLocation=https://cdn.shopify.com/s/files/1/0918/6066/4603/files/O1CN01SrtIXd2NGHtptybIv__4234819935-0-cib_253060a6-4806-4f4c-b79f-26c712d6e666.jpg?v=1761629961, friendlyName=Open</x:v>
      </x:c>
      <x:c r="C305" s="24" t="e">
        <x:f>HYPERLINK("https://365nails.com/products/european-american-and-foreign-trade-sub-code-wearing-nail-piece-french-black-smudge-nail-art-fake-nail-cross-nail-patch","Red-Black Ombre Flame-Inspired Handmade Press-On Nails | Stiletto | Silver Cross Charms with Rhinestones")</x:f>
        <x:v>HYPERLINK is not implemented. linkLocation=https://365nails.com/products/european-american-and-foreign-trade-sub-code-wearing-nail-piece-french-black-smudge-nail-art-fake-nail-cross-nail-patch, friendlyName=Red-Black Ombre Flame-Inspired Handmade Press-On Nails | Stiletto | Silver Cross Charms with Rhinestones</x:v>
      </x:c>
      <x:c r="D305" s="18" t="str">
        <x:v>Color classification: SP173-XS / SP173-S / SP173-M</x:v>
      </x:c>
      <x:c r="E305" s="25" t="str">
        <x:v>$1.52</x:v>
      </x:c>
      <x:c r="F305" s="19" t="str">
        <x:v>1</x:v>
      </x:c>
    </x:row>
    <x:row r="306" ht="93" customHeight="1">
      <x:c r="A306" s="19" t="n">
        <x:v>303</x:v>
      </x:c>
      <x:c r="B306" s="22" t="e">
        <x:f>HYPERLINK("https://cdn.shopify.com/s/files/1/0918/6066/4603/files/O1CN01YwwscL2NGHsDHYP8W__4234819935-0-cib_00c8931b-0b6a-467d-bcbb-efb85baade0d.jpg?v=1761289690","Open")</x:f>
        <x:v>HYPERLINK is not implemented. linkLocation=https://cdn.shopify.com/s/files/1/0918/6066/4603/files/O1CN01YwwscL2NGHsDHYP8W__4234819935-0-cib_00c8931b-0b6a-467d-bcbb-efb85baade0d.jpg?v=1761289690, friendlyName=Open</x:v>
      </x:c>
      <x:c r="C306" s="24" t="e">
        <x:f>HYPERLINK("https://365nails.com/products/factory-direct-sales-wearing-nail-yiwu-manicure-24-pieces-short-round-nail-piece-solid-color-simple-fake-nail-wholesale","Factory direct sales wearing nail Yiwu manicure 24 pieces short round nail piece solid color simple fake nail wholesale")</x:f>
        <x:v>HYPERLINK is not implemented. linkLocation=https://365nails.com/products/factory-direct-sales-wearing-nail-yiwu-manicure-24-pieces-short-round-nail-piece-solid-color-simple-fake-nail-wholesale, friendlyName=Factory direct sales wearing nail Yiwu manicure 24 pieces short round nail piece solid color simple fake nail wholesale</x:v>
      </x:c>
      <x:c r="D306" s="18" t="str">
        <x:v>Color: JP3351 / JP3352 / JP3353 / JP3354 / JP3355 / JP3356 / JP3358 / JP3359 / JP3360</x:v>
      </x:c>
      <x:c r="E306" s="25" t="str">
        <x:v>$1.07</x:v>
      </x:c>
      <x:c r="F306" s="19" t="str">
        <x:v>1</x:v>
      </x:c>
    </x:row>
    <x:row r="307" ht="93" customHeight="1">
      <x:c r="A307" s="19" t="n">
        <x:v>304</x:v>
      </x:c>
      <x:c r="B307" s="22" t="e">
        <x:f>HYPERLINK("https://cdn.shopify.com/s/files/1/0918/6066/4603/files/O1CN01N1r1wH2NGHfuu0rmG__4234819935-0-cib.jpg?v=1753430091","Open")</x:f>
        <x:v>HYPERLINK is not implemented. linkLocation=https://cdn.shopify.com/s/files/1/0918/6066/4603/files/O1CN01N1r1wH2NGHfuu0rmG__4234819935-0-cib.jpg?v=1753430091, friendlyName=Open</x:v>
      </x:c>
      <x:c r="C307" s="24" t="e">
        <x:f>HYPERLINK("https://365nails.com/products/nails-art-press-on-nails-simple-blue-french-nails-art-nails-patch-nails-patch-wholesale-nails-patch-nails-patch-nails-patch-nails-patch-nails-patch-365nails","nails Art Press on nails Simple Blue French nails Art nails Patch nails Patch Wholesale nails Patch nails Patch nails Patch nails Patch nails Patch｜365nails")</x:f>
        <x:v>HYPERLINK is not implemented. linkLocation=https://365nails.com/products/nails-art-press-on-nails-simple-blue-french-nails-art-nails-patch-nails-patch-wholesale-nails-patch-nails-patch-nails-patch-nails-patch-nails-patch-365nails, friendlyName=nails Art Press on nails Simple Blue French nails Art nails Patch nails Patch Wholesale nails Patch nails Patch nails Patch nails Patch nails Patch｜365nails</x:v>
      </x:c>
      <x:c r="D307" s="18" t="str">
        <x:v>color: JP1787</x:v>
      </x:c>
      <x:c r="E307" s="25" t="str">
        <x:v>$0.70</x:v>
      </x:c>
      <x:c r="F307" s="19" t="str">
        <x:v>1</x:v>
      </x:c>
    </x:row>
    <x:row r="308" ht="93" customHeight="1">
      <x:c r="A308" s="19" t="n">
        <x:v>305</x:v>
      </x:c>
      <x:c r="B308" s="22" t="e">
        <x:f>HYPERLINK("https://cdn.shopify.com/s/files/1/0918/6066/4603/files/O1CN01KBvpdB2NGHkBsrIjZ__4234819935-0-cib.jpg?v=1753430368","Open")</x:f>
        <x:v>HYPERLINK is not implemented. linkLocation=https://cdn.shopify.com/s/files/1/0918/6066/4603/files/O1CN01KBvpdB2NGHkBsrIjZ__4234819935-0-cib.jpg?v=1753430368, friendlyName=Open</x:v>
      </x:c>
      <x:c r="C308" s="24" t="e">
        <x:f>HYPERLINK("https://365nails.com/products/nails-art-press-on-nails-simple-pink-french-red-purple-love-nails-art-finished-fake-nails-press-on-nails-365nails","nails Art Press on nails Simple Pink French Red Purple Love nails Art Finished Fake nails Press on nails｜365nails")</x:f>
        <x:v>HYPERLINK is not implemented. linkLocation=https://365nails.com/products/nails-art-press-on-nails-simple-pink-french-red-purple-love-nails-art-finished-fake-nails-press-on-nails-365nails, friendlyName=nails Art Press on nails Simple Pink French Red Purple Love nails Art Finished Fake nails Press on nails｜365nails</x:v>
      </x:c>
      <x:c r="D308" s="18" t="str">
        <x:v>color: JP2526</x:v>
      </x:c>
      <x:c r="E308" s="25" t="str">
        <x:v>$0.70</x:v>
      </x:c>
      <x:c r="F308" s="19" t="str">
        <x:v>1</x:v>
      </x:c>
    </x:row>
    <x:row r="309" ht="93" customHeight="1">
      <x:c r="A309" s="19" t="n">
        <x:v>306</x:v>
      </x:c>
      <x:c r="B309" s="22" t="e">
        <x:f>HYPERLINK("https://cdn.shopify.com/s/files/1/0918/6066/4603/files/O1CN01zGp80I2NGHfiahVgr__4234819935-0-cib.jpg?v=1753430103","Open")</x:f>
        <x:v>HYPERLINK is not implemented. linkLocation=https://cdn.shopify.com/s/files/1/0918/6066/4603/files/O1CN01zGp80I2NGHfiahVgr__4234819935-0-cib.jpg?v=1753430103, friendlyName=Open</x:v>
      </x:c>
      <x:c r="C309" s="24" t="e">
        <x:f>HYPERLINK("https://365nails.com/products/press-on-nails-french-manicure-fresh-yellow-pink-line-glitter-matte-nails-piece-fake-nails-removable-nails-365nails","press on nails French manicure fresh yellow pink line glitter matte nails piece fake nails removable nails｜365nails")</x:f>
        <x:v>HYPERLINK is not implemented. linkLocation=https://365nails.com/products/press-on-nails-french-manicure-fresh-yellow-pink-line-glitter-matte-nails-piece-fake-nails-removable-nails-365nails, friendlyName=press on nails French manicure fresh yellow pink line glitter matte nails piece fake nails removable nails｜365nails</x:v>
      </x:c>
      <x:c r="D309" s="18" t="str">
        <x:v>color: JP1684</x:v>
      </x:c>
      <x:c r="E309" s="25" t="str">
        <x:v>$0.76</x:v>
      </x:c>
      <x:c r="F309" s="19" t="str">
        <x:v>1</x:v>
      </x:c>
    </x:row>
    <x:row r="310" ht="93" customHeight="1">
      <x:c r="A310" s="19" t="n">
        <x:v>307</x:v>
      </x:c>
      <x:c r="B310" s="22" t="e">
        <x:f>HYPERLINK("https://cdn.shopify.com/s/files/1/0918/6066/4603/files/O1CN012Pp60K2NGHpYQ5TPF__4234819935-0-cib.jpg?v=1753430283","Open")</x:f>
        <x:v>HYPERLINK is not implemented. linkLocation=https://cdn.shopify.com/s/files/1/0918/6066/4603/files/O1CN012Pp60K2NGHpYQ5TPF__4234819935-0-cib.jpg?v=1753430283, friendlyName=Open</x:v>
      </x:c>
      <x:c r="C310" s="24" t="e">
        <x:f>HYPERLINK("https://365nails.com/products/press-on-nails-art-wholesale-pink-valentines-day-press-on-nails-love-flash-diamond-nail-piece-star-moon-heart-blush-nail-piece-365nails","Press on nails art wholesale pink Valentine's Day Press on nails love flash diamond nail piece star moon heart blush nail piece｜365nails")</x:f>
        <x:v>HYPERLINK is not implemented. linkLocation=https://365nails.com/products/press-on-nails-art-wholesale-pink-valentines-day-press-on-nails-love-flash-diamond-nail-piece-star-moon-heart-blush-nail-piece-365nails, friendlyName=Press on nails art wholesale pink Valentine's Day Press on nails love flash diamond nail piece star moon heart blush nail piece｜365nails</x:v>
      </x:c>
      <x:c r="D310" s="18" t="str">
        <x:v>Color: JP2254</x:v>
      </x:c>
      <x:c r="E310" s="25" t="str">
        <x:v>$1.47</x:v>
      </x:c>
      <x:c r="F310" s="19" t="str">
        <x:v>1</x:v>
      </x:c>
    </x:row>
    <x:row r="311" ht="93" customHeight="1">
      <x:c r="A311" s="19" t="n">
        <x:v>308</x:v>
      </x:c>
      <x:c r="B311" s="22" t="e">
        <x:f>HYPERLINK("https://cdn.shopify.com/s/files/1/0918/6066/4603/files/O1CN014XlXtD2NGHospvdZI__4234819935-0-cib.jpg?v=1753430261","Open")</x:f>
        <x:v>HYPERLINK is not implemented. linkLocation=https://cdn.shopify.com/s/files/1/0918/6066/4603/files/O1CN014XlXtD2NGHospvdZI__4234819935-0-cib.jpg?v=1753430261, friendlyName=Open</x:v>
      </x:c>
      <x:c r="C311" s="24" t="e">
        <x:f>HYPERLINK("https://365nails.com/products/electroplated-gold-press-on-nails-solid-color-khaki-nail-piece-press-on-nail-removable-nail-piece-wholesale-365nails","Electroplated gold press on nails solid color khaki nail piece press on nail removable nail piece wholesale｜365nails")</x:f>
        <x:v>HYPERLINK is not implemented. linkLocation=https://365nails.com/products/electroplated-gold-press-on-nails-solid-color-khaki-nail-piece-press-on-nail-removable-nail-piece-wholesale-365nails, friendlyName=Electroplated gold press on nails solid color khaki nail piece press on nail removable nail piece wholesale｜365nails</x:v>
      </x:c>
      <x:c r="D311" s="18" t="str">
        <x:v>Color: JP3131</x:v>
      </x:c>
      <x:c r="E311" s="25" t="str">
        <x:v>$0.70</x:v>
      </x:c>
      <x:c r="F311" s="19" t="str">
        <x:v>1</x:v>
      </x:c>
    </x:row>
    <x:row r="312" ht="93" customHeight="1">
      <x:c r="A312" s="19" t="n">
        <x:v>309</x:v>
      </x:c>
      <x:c r="B312" s="22" t="e">
        <x:f>HYPERLINK("https://cdn.shopify.com/s/files/1/0918/6066/4603/files/O1CN01LHfsSJ2NGHy2bTqyG__4234819935-0-cib_366064c5-4de0-4548-911e-1a11e4573c59.jpg?v=1761289818","Open")</x:f>
        <x:v>HYPERLINK is not implemented. linkLocation=https://cdn.shopify.com/s/files/1/0918/6066/4603/files/O1CN01LHfsSJ2NGHy2bTqyG__4234819935-0-cib_366064c5-4de0-4548-911e-1a11e4573c59.jpg?v=1761289818, friendlyName=Open</x:v>
      </x:c>
      <x:c r="C312" s="24" t="e">
        <x:f>HYPERLINK("https://365nails.com/products/cross-border-foreign-trade-short-round-manicure-petals-flower-wearing-nail-press-on-nails-fake-nails-wholesale","Cross-border foreign trade short round manicure petals flower wearing nail press on nails fake nails wholesale")</x:f>
        <x:v>HYPERLINK is not implemented. linkLocation=https://365nails.com/products/cross-border-foreign-trade-short-round-manicure-petals-flower-wearing-nail-press-on-nails-fake-nails-wholesale, friendlyName=Cross-border foreign trade short round manicure petals flower wearing nail press on nails fake nails wholesale</x:v>
      </x:c>
      <x:c r="D312" s="18" t="str">
        <x:v>color: JP3820</x:v>
      </x:c>
      <x:c r="E312" s="25" t="str">
        <x:v>$1.15</x:v>
      </x:c>
      <x:c r="F312" s="19" t="str">
        <x:v>1</x:v>
      </x:c>
    </x:row>
    <x:row r="313" ht="93" customHeight="1">
      <x:c r="A313" s="19" t="n">
        <x:v>310</x:v>
      </x:c>
      <x:c r="B313" s="22" t="e">
        <x:f>HYPERLINK("https://cdn.shopify.com/s/files/1/0918/6066/4603/files/O1CN01UNtwpX2NGHsg1hgqI__4234819935-0-cib_fce3e3d6-666f-4c04-9a24-f82bd85c1431.jpg?v=1761289366","Open")</x:f>
        <x:v>HYPERLINK is not implemented. linkLocation=https://cdn.shopify.com/s/files/1/0918/6066/4603/files/O1CN01UNtwpX2NGHsg1hgqI__4234819935-0-cib_fce3e3d6-666f-4c04-9a24-f82bd85c1431.jpg?v=1761289366, friendlyName=Open</x:v>
      </x:c>
      <x:c r="C313" s="24" t="e">
        <x:f>HYPERLINK("https://365nails.com/products/24-pieces-simple-short-short-round-wearable-french-manicure-rose-red-detachable-wearable-nail-piece-finished-product-wholesale","24 pieces simple short short round wearable French manicure rose red detachable wearable nail piece finished product wholesale")</x:f>
        <x:v>HYPERLINK is not implemented. linkLocation=https://365nails.com/products/24-pieces-simple-short-short-round-wearable-french-manicure-rose-red-detachable-wearable-nail-piece-finished-product-wholesale, friendlyName=24 pieces simple short short round wearable French manicure rose red detachable wearable nail piece finished product wholesale</x:v>
      </x:c>
      <x:c r="D313" s="18" t="str">
        <x:v>Color: JP3273</x:v>
      </x:c>
      <x:c r="E313" s="25" t="str">
        <x:v>$1.01</x:v>
      </x:c>
      <x:c r="F313" s="19" t="str">
        <x:v>1</x:v>
      </x:c>
    </x:row>
    <x:row r="314" ht="93" customHeight="1">
      <x:c r="A314" s="19" t="n">
        <x:v>311</x:v>
      </x:c>
      <x:c r="B314" s="22" t="e">
        <x:f>HYPERLINK("https://cdn.shopify.com/s/files/1/0918/6066/4603/files/O1CN011BgEfs2NGHvBjCgJo__4234819935-0-cib_a9df08fa-7d13-4cb7-a7cd-0bd98d29db6f.jpg?v=1761291428","Open")</x:f>
        <x:v>HYPERLINK is not implemented. linkLocation=https://cdn.shopify.com/s/files/1/0918/6066/4603/files/O1CN011BgEfs2NGHvBjCgJo__4234819935-0-cib_a9df08fa-7d13-4cb7-a7cd-0bd98d29db6f.jpg?v=1761291428, friendlyName=Open</x:v>
      </x:c>
      <x:c r="C314" s="24" t="e">
        <x:f>HYPERLINK("https://365nails.com/products/new-european-and-american-popular-cross-border-personalized-black-coated-nail-piece-simple-short-almond-wearing-nail-piece-wholesale","New European and American popular cross-border personalized black coated nail piece, simple short almond wearing nail piece wholesale")</x:f>
        <x:v>HYPERLINK is not implemented. linkLocation=https://365nails.com/products/new-european-and-american-popular-cross-border-personalized-black-coated-nail-piece-simple-short-almond-wearing-nail-piece-wholesale, friendlyName=New European and American popular cross-border personalized black coated nail piece, simple short almond wearing nail piece wholesale</x:v>
      </x:c>
      <x:c r="D314" s="18" t="str">
        <x:v>Color: JP3572</x:v>
      </x:c>
      <x:c r="E314" s="25" t="str">
        <x:v>$0.70</x:v>
      </x:c>
      <x:c r="F314" s="19" t="str">
        <x:v>1</x:v>
      </x:c>
    </x:row>
    <x:row r="315" ht="93" customHeight="1">
      <x:c r="A315" s="19" t="n">
        <x:v>312</x:v>
      </x:c>
      <x:c r="B315" s="22" t="e">
        <x:f>HYPERLINK("https://cdn.shopify.com/s/files/1/0918/6066/4603/files/O1CN01mU5Od82NGHy9SM5C1__4234819935-0-cib_3d5718ee-786a-47c0-9589-9d18d53a0dba.jpg?v=1761291214","Open")</x:f>
        <x:v>HYPERLINK is not implemented. linkLocation=https://cdn.shopify.com/s/files/1/0918/6066/4603/files/O1CN01mU5Od82NGHy9SM5C1__4234819935-0-cib_3d5718ee-786a-47c0-9589-9d18d53a0dba.jpg?v=1761291214, friendlyName=Open</x:v>
      </x:c>
      <x:c r="C315" s="24" t="e">
        <x:f>HYPERLINK("https://365nails.com/products/foreign-trade-hot-selling-wearable-fake-nails-short-short-round-manicure-pieces-french-simple-wearable-fake-nails","Foreign trade hot-selling wearable fake nails short short round manicure pieces French simple wearable fake nails")</x:f>
        <x:v>HYPERLINK is not implemented. linkLocation=https://365nails.com/products/foreign-trade-hot-selling-wearable-fake-nails-short-short-round-manicure-pieces-french-simple-wearable-fake-nails, friendlyName=Foreign trade hot-selling wearable fake nails short short round manicure pieces French simple wearable fake nails</x:v>
      </x:c>
      <x:c r="D315" s="18" t="str">
        <x:v>Color: JP3961</x:v>
      </x:c>
      <x:c r="E315" s="25" t="str">
        <x:v>$0.51</x:v>
      </x:c>
      <x:c r="F315" s="19" t="str">
        <x:v>1</x:v>
      </x:c>
    </x:row>
    <x:row r="316" ht="93" customHeight="1">
      <x:c r="A316" s="19" t="n">
        <x:v>313</x:v>
      </x:c>
      <x:c r="B316" s="22" t="e">
        <x:f>HYPERLINK("https://cdn.shopify.com/s/files/1/0918/6066/4603/files/O1CN01Jc7XSP2NGHvZbzgC7__4234819935-0-cib_b7af51b8-6e03-460a-adaf-a32f5dac2d50.jpg?v=1761290190","Open")</x:f>
        <x:v>HYPERLINK is not implemented. linkLocation=https://cdn.shopify.com/s/files/1/0918/6066/4603/files/O1CN01Jc7XSP2NGHvZbzgC7__4234819935-0-cib_b7af51b8-6e03-460a-adaf-a32f5dac2d50.jpg?v=1761290190, friendlyName=Open</x:v>
      </x:c>
      <x:c r="C316" s="24" t="e">
        <x:f>HYPERLINK("https://365nails.com/products/simple-cat-eye-almond-manicure-fake-nails-european-and-american-cross-border-short-nail-film-hailey-style-advanced-sense-wearing-nail","Simple cat eye almond manicure fake nails European and American cross-border short nail film Hailey style advanced sense wearing nail")</x:f>
        <x:v>HYPERLINK is not implemented. linkLocation=https://365nails.com/products/simple-cat-eye-almond-manicure-fake-nails-european-and-american-cross-border-short-nail-film-hailey-style-advanced-sense-wearing-nail, friendlyName=Simple cat eye almond manicure fake nails European and American cross-border short nail film Hailey style advanced sense wearing nail</x:v>
      </x:c>
      <x:c r="D316" s="18" t="str">
        <x:v>color: GD37</x:v>
      </x:c>
      <x:c r="E316" s="25" t="str">
        <x:v>$1.55</x:v>
      </x:c>
      <x:c r="F316" s="19" t="str">
        <x:v>1</x:v>
      </x:c>
    </x:row>
    <x:row r="317" ht="93" customHeight="1">
      <x:c r="A317" s="19" t="n">
        <x:v>314</x:v>
      </x:c>
      <x:c r="B317" s="22" t="e">
        <x:f>HYPERLINK("https://cdn.shopify.com/s/files/1/0918/6066/4603/files/O1CN01Snc1ZT2NGHo6KXOd5__4234819935-0-cib.jpg?v=1753430687","Open")</x:f>
        <x:v>HYPERLINK is not implemented. linkLocation=https://cdn.shopify.com/s/files/1/0918/6066/4603/files/O1CN01Snc1ZT2NGHo6KXOd5__4234819935-0-cib.jpg?v=1753430687, friendlyName=Open</x:v>
      </x:c>
      <x:c r="C317" s="24" t="e">
        <x:f>HYPERLINK("https://365nails.com/products/simple-solid-color-dark-coffee-color-press-on-nails-piece-wholesale-fake-nail-nude-glitter-nail-art-autumn-and-winter-new-nail-piece-365nails","Simple solid color dark coffee color press on nails piece wholesale fake nail nude glitter nail art autumn and winter new nail piece｜365nails")</x:f>
        <x:v>HYPERLINK is not implemented. linkLocation=https://365nails.com/products/simple-solid-color-dark-coffee-color-press-on-nails-piece-wholesale-fake-nail-nude-glitter-nail-art-autumn-and-winter-new-nail-piece-365nails, friendlyName=Simple solid color dark coffee color press on nails piece wholesale fake nail nude glitter nail art autumn and winter new nail piece｜365nails</x:v>
      </x:c>
      <x:c r="D317" s="18" t="str">
        <x:v>Color: JP2928</x:v>
      </x:c>
      <x:c r="E317" s="25" t="str">
        <x:v>$0.94</x:v>
      </x:c>
      <x:c r="F317" s="19" t="str">
        <x:v>1</x:v>
      </x:c>
    </x:row>
    <x:row r="318" ht="93" customHeight="1">
      <x:c r="A318" s="19" t="n">
        <x:v>315</x:v>
      </x:c>
      <x:c r="B318" s="22" t="e">
        <x:f>HYPERLINK("https://cdn.shopify.com/s/files/1/0918/6066/4603/files/O1CN01r1xs9L2NGHn5e3f5U__4234819935-0-cib.jpg?v=1753430609","Open")</x:f>
        <x:v>HYPERLINK is not implemented. linkLocation=https://cdn.shopify.com/s/files/1/0918/6066/4603/files/O1CN01r1xs9L2NGHn5e3f5U__4234819935-0-cib.jpg?v=1753430609, friendlyName=Open</x:v>
      </x:c>
      <x:c r="C318" s="24" t="e">
        <x:f>HYPERLINK("https://365nails.com/products/pink-nails-piece-press-on-nails-removable-fake-nails-flower-nails-piece-cross-border-nails-sticker-nails-piece-365nails","Pink nails piece Press on nails removable fake nails flower nails piece  nails sticker nails piece｜365nails")</x:f>
        <x:v>HYPERLINK is not implemented. linkLocation=https://365nails.com/products/pink-nails-piece-press-on-nails-removable-fake-nails-flower-nails-piece-cross-border-nails-sticker-nails-piece-365nails, friendlyName=Pink nails piece Press on nails removable fake nails flower nails piece  nails sticker nails piece｜365nails</x:v>
      </x:c>
      <x:c r="D318" s="18" t="str">
        <x:v>color: JP2757</x:v>
      </x:c>
      <x:c r="E318" s="25" t="str">
        <x:v>$1.03</x:v>
      </x:c>
      <x:c r="F318" s="19" t="str">
        <x:v>1</x:v>
      </x:c>
    </x:row>
    <x:row r="319" ht="93" customHeight="1">
      <x:c r="A319" s="19" t="n">
        <x:v>316</x:v>
      </x:c>
      <x:c r="B319" s="22" t="e">
        <x:f>HYPERLINK("https://cdn.shopify.com/s/files/1/0918/6066/4603/files/O1CN01CL2u3E2NGHn5Jfu5c__4234819935-0-cib.jpg?v=1753430599","Open")</x:f>
        <x:v>HYPERLINK is not implemented. linkLocation=https://cdn.shopify.com/s/files/1/0918/6066/4603/files/O1CN01CL2u3E2NGHn5Jfu5c__4234819935-0-cib.jpg?v=1753430599, friendlyName=Open</x:v>
      </x:c>
      <x:c r="C319" s="24" t="e">
        <x:f>HYPERLINK("https://365nails.com/products/simple-nails-piece-press-on-nails-nails-piece-cross-border-foreign-trade-fake-nails-art-rectangular-nails-sticker-nails-piece-press-on-nails-365nails","Simpl nails pic  nails pic   Fak nails art Rctangular nails stickr nails pic ｜365nails")</x:f>
        <x:v>HYPERLINK is not implemented. linkLocation=https://365nails.com/products/simple-nails-piece-press-on-nails-nails-piece-cross-border-foreign-trade-fake-nails-art-rectangular-nails-sticker-nails-piece-press-on-nails-365nails, friendlyName=Simpl nails pic  nails pic   Fak nails art Rctangular nails stickr nails pic ｜365nails</x:v>
      </x:c>
      <x:c r="D319" s="18" t="str">
        <x:v>color: JP2815</x:v>
      </x:c>
      <x:c r="E319" s="25" t="str">
        <x:v>$0.70</x:v>
      </x:c>
      <x:c r="F319" s="19" t="str">
        <x:v>1</x:v>
      </x:c>
    </x:row>
    <x:row r="320" ht="93" customHeight="1">
      <x:c r="A320" s="19" t="n">
        <x:v>317</x:v>
      </x:c>
      <x:c r="B320" s="22" t="e">
        <x:f>HYPERLINK("https://cdn.shopify.com/s/files/1/0918/6066/4603/files/O1CN010aZ9uf2NGHmyIgaKv__4234819935-0-cib_5fdcbae1-7e10-42bb-9032-460aa4891a27.jpg?v=1753430550","Open")</x:f>
        <x:v>HYPERLINK is not implemented. linkLocation=https://cdn.shopify.com/s/files/1/0918/6066/4603/files/O1CN010aZ9uf2NGHmyIgaKv__4234819935-0-cib_5fdcbae1-7e10-42bb-9032-460aa4891a27.jpg?v=1753430550, friendlyName=Open</x:v>
      </x:c>
      <x:c r="C320" s="24" t="e">
        <x:f>HYPERLINK("https://365nails.com/products/christmas-nails-art-false-nails-press-on-nails-in-autumn-and-winter-removable-nails-art-tablets-cross-border-nails-stickers-finished-products-wholesale-365nails","Christmas nails Art False nails Press on nails in Autumn and Winter Removable nails Art Tablets  nails Stickers Finished Products Wholesale｜365nails")</x:f>
        <x:v>HYPERLINK is not implemented. linkLocation=https://365nails.com/products/christmas-nails-art-false-nails-press-on-nails-in-autumn-and-winter-removable-nails-art-tablets-cross-border-nails-stickers-finished-products-wholesale-365nails, friendlyName=Christmas nails Art False nails Press on nails in Autumn and Winter Removable nails Art Tablets  nails Stickers Finished Products Wholesale｜365nails</x:v>
      </x:c>
      <x:c r="D320" s="18" t="str">
        <x:v>color: JP2778</x:v>
      </x:c>
      <x:c r="E320" s="25" t="str">
        <x:v>$1.30</x:v>
      </x:c>
      <x:c r="F320" s="19" t="str">
        <x:v>1</x:v>
      </x:c>
    </x:row>
    <x:row r="321" ht="93" customHeight="1">
      <x:c r="A321" s="19" t="n">
        <x:v>318</x:v>
      </x:c>
      <x:c r="B321" s="22" t="e">
        <x:f>HYPERLINK("https://cdn.shopify.com/s/files/1/0918/6066/4603/files/O1CN01njBd802NGHu5OSemf__4234819935-0-cib.jpg?v=1753430330","Open")</x:f>
        <x:v>HYPERLINK is not implemented. linkLocation=https://cdn.shopify.com/s/files/1/0918/6066/4603/files/O1CN01njBd802NGHu5OSemf__4234819935-0-cib.jpg?v=1753430330, friendlyName=Open</x:v>
      </x:c>
      <x:c r="C321" s="24" t="e">
        <x:f>HYPERLINK("https://365nails.com/products/cross-border-nail-film-short-almond-shaped-wearable-nail-film-finished-product-wholesale-aurora-cat-eye-simple-manicure-fake-nails-365nails","nail film short almond-shaped wearable nail film finished product wholesale Aurora cat eye simple manicure fake nails｜365nails")</x:f>
        <x:v>HYPERLINK is not implemented. linkLocation=https://365nails.com/products/cross-border-nail-film-short-almond-shaped-wearable-nail-film-finished-product-wholesale-aurora-cat-eye-simple-manicure-fake-nails-365nails, friendlyName=nail film short almond-shaped wearable nail film finished product wholesale Aurora cat eye simple manicure fake nails｜365nails</x:v>
      </x:c>
      <x:c r="D321" s="18" t="str">
        <x:v>Color: DIY42</x:v>
      </x:c>
      <x:c r="E321" s="25" t="str">
        <x:v>$1.51</x:v>
      </x:c>
      <x:c r="F321" s="19" t="str">
        <x:v>1</x:v>
      </x:c>
    </x:row>
    <x:row r="322" ht="93" customHeight="1">
      <x:c r="A322" s="19" t="n">
        <x:v>319</x:v>
      </x:c>
      <x:c r="B322" s="22" t="e">
        <x:f>HYPERLINK("https://cdn.shopify.com/s/files/1/0918/6066/4603/files/O1CN01QNms522NGHux2HLcK__4234819935-0-cib_24234145-7b08-4369-b700-aa1f9bda5d7b.jpg?v=1761290819","Open")</x:f>
        <x:v>HYPERLINK is not implemented. linkLocation=https://cdn.shopify.com/s/files/1/0918/6066/4603/files/O1CN01QNms522NGHux2HLcK__4234819935-0-cib_24234145-7b08-4369-b700-aa1f9bda5d7b.jpg?v=1761290819, friendlyName=Open</x:v>
      </x:c>
      <x:c r="C322" s="24" t="e">
        <x:f>HYPERLINK("https://365nails.com/products/simple-french-cat-eye-manicure-fake-nails-advanced-sense-transparent-gray-almond-type-wearing-nail-fake-nails-wholesale","Simple French cat eye manicure fake nails advanced sense transparent gray almond type wearing nail fake nails wholesale")</x:f>
        <x:v>HYPERLINK is not implemented. linkLocation=https://365nails.com/products/simple-french-cat-eye-manicure-fake-nails-advanced-sense-transparent-gray-almond-type-wearing-nail-fake-nails-wholesale, friendlyName=Simple French cat eye manicure fake nails advanced sense transparent gray almond type wearing nail fake nails wholesale</x:v>
      </x:c>
      <x:c r="D322" s="18" t="str">
        <x:v>color: GD26</x:v>
      </x:c>
      <x:c r="E322" s="25" t="str">
        <x:v>$1.55</x:v>
      </x:c>
      <x:c r="F322" s="19" t="str">
        <x:v>1</x:v>
      </x:c>
    </x:row>
    <x:row r="323" ht="93" customHeight="1">
      <x:c r="A323" s="19" t="n">
        <x:v>320</x:v>
      </x:c>
      <x:c r="B323" s="22" t="e">
        <x:f>HYPERLINK("https://cdn.shopify.com/s/files/1/0918/6066/4603/files/O1CN01EYcRFO2NGHkWdC9vV__4234819935-0-cib_2b916c5b-38e2-4dd6-bd16-c98334a25781.jpg?v=1761288972","Open")</x:f>
        <x:v>HYPERLINK is not implemented. linkLocation=https://cdn.shopify.com/s/files/1/0918/6066/4603/files/O1CN01EYcRFO2NGHkWdC9vV__4234819935-0-cib_2b916c5b-38e2-4dd6-bd16-c98334a25781.jpg?v=1761288972, friendlyName=Open</x:v>
      </x:c>
      <x:c r="C323" s="24" t="e">
        <x:f>HYPERLINK("https://365nails.com/products/wearing-nail-short-black-french-wearable-nail-patch-wearing-nail-piece-nail-piece-wearable-finished-nail","Wearing nail short black French wearable nail patch Wearing nail piece Nail piece Wearable finished nail")</x:f>
        <x:v>HYPERLINK is not implemented. linkLocation=https://365nails.com/products/wearing-nail-short-black-french-wearable-nail-patch-wearing-nail-piece-nail-piece-wearable-finished-nail, friendlyName=Wearing nail short black French wearable nail patch Wearing nail piece Nail piece Wearable finished nail</x:v>
      </x:c>
      <x:c r="D323" s="18" t="str">
        <x:v>color: JP2494</x:v>
      </x:c>
      <x:c r="E323" s="25" t="str">
        <x:v>$1.01</x:v>
      </x:c>
      <x:c r="F323" s="19" t="str">
        <x:v>1</x:v>
      </x:c>
    </x:row>
    <x:row r="324" ht="93" customHeight="1">
      <x:c r="A324" s="19" t="n">
        <x:v>321</x:v>
      </x:c>
      <x:c r="B324" s="22" t="e">
        <x:f>HYPERLINK("https://cdn.shopify.com/s/files/1/0918/6066/4603/files/O1CN01qdw7ro2NGHidGbyso__4234819935-0-cib.jpg?v=1753430362","Open")</x:f>
        <x:v>HYPERLINK is not implemented. linkLocation=https://cdn.shopify.com/s/files/1/0918/6066/4603/files/O1CN01qdw7ro2NGHidGbyso__4234819935-0-cib.jpg?v=1753430362, friendlyName=Open</x:v>
      </x:c>
      <x:c r="C324" s="24" t="e">
        <x:f>HYPERLINK("https://365nails.com/products/french-white-edge-cute-flower-press-on-nails-fresh-detachable-24-pieces-nail-art-fake-nail-nail-finished-product-wholesale-365nails","French white edge cute flower press on nails fresh detachable 24 pieces nail art fake nail nail finished product wholesale｜365nails")</x:f>
        <x:v>HYPERLINK is not implemented. linkLocation=https://365nails.com/products/french-white-edge-cute-flower-press-on-nails-fresh-detachable-24-pieces-nail-art-fake-nail-nail-finished-product-wholesale-365nails, friendlyName=French white edge cute flower press on nails fresh detachable 24 pieces nail art fake nail nail finished product wholesale｜365nails</x:v>
      </x:c>
      <x:c r="D324" s="18" t="str">
        <x:v>Color: JP2256</x:v>
      </x:c>
      <x:c r="E324" s="25" t="str">
        <x:v>$1.08</x:v>
      </x:c>
      <x:c r="F324" s="19" t="str">
        <x:v>1</x:v>
      </x:c>
    </x:row>
    <x:row r="325" ht="93" customHeight="1">
      <x:c r="A325" s="19" t="n">
        <x:v>322</x:v>
      </x:c>
      <x:c r="B325" s="22" t="e">
        <x:f>HYPERLINK("https://cdn.shopify.com/s/files/1/0918/6066/4603/files/O1CN01ltw76K2NGHuguSNi0__4234819935-0-cib_b4543a8c-cf7e-4be7-b7db-1b98fa302857.jpg?v=1761291291","Open")</x:f>
        <x:v>HYPERLINK is not implemented. linkLocation=https://cdn.shopify.com/s/files/1/0918/6066/4603/files/O1CN01ltw76K2NGHuguSNi0__4234819935-0-cib_b4543a8c-cf7e-4be7-b7db-1b98fa302857.jpg?v=1761291291, friendlyName=Open</x:v>
      </x:c>
      <x:c r="C325" s="24" t="e">
        <x:f>HYPERLINK("https://365nails.com/products/french-leopard-print-wearing-nail-european-and-american-cross-border-manicure-fake-nail-short-flower-repeatable-nail-finished-product-wholesale","French leopard print wearing nail, European and American cross-border manicure, fake nail, short flower repeatable nail, finished product wholesale")</x:f>
        <x:v>HYPERLINK is not implemented. linkLocation=https://365nails.com/products/french-leopard-print-wearing-nail-european-and-american-cross-border-manicure-fake-nail-short-flower-repeatable-nail-finished-product-wholesale, friendlyName=French leopard print wearing nail, European and American cross-border manicure, fake nail, short flower repeatable nail, finished product wholesale</x:v>
      </x:c>
      <x:c r="D325" s="18" t="str">
        <x:v>Color: JP3532</x:v>
      </x:c>
      <x:c r="E325" s="25" t="str">
        <x:v>$1.14</x:v>
      </x:c>
      <x:c r="F325" s="19" t="str">
        <x:v>1</x:v>
      </x:c>
    </x:row>
    <x:row r="326" ht="93" customHeight="1">
      <x:c r="A326" s="19" t="n">
        <x:v>323</x:v>
      </x:c>
      <x:c r="B326" s="22" t="e">
        <x:f>HYPERLINK("https://cdn.shopify.com/s/files/1/0918/6066/4603/files/O1CN01OUBIHd2NGHrcVxHdB__4234819935-0-cib_e4310d16-a280-47c7-9839-8674c80da940.jpg?v=1761291330","Open")</x:f>
        <x:v>HYPERLINK is not implemented. linkLocation=https://cdn.shopify.com/s/files/1/0918/6066/4603/files/O1CN01OUBIHd2NGHrcVxHdB__4234819935-0-cib_e4310d16-a280-47c7-9839-8674c80da940.jpg?v=1761291330, friendlyName=Open</x:v>
      </x:c>
      <x:c r="C326" s="24" t="e">
        <x:f>HYPERLINK("https://365nails.com/products/24-pieces-3d-bow-manicure-three-dimensional-handmade-magic-mirror-powder-wearing-nail-french-love-blush-fake-nail-nail-piece","24 pieces 3D bow manicure three-dimensional handmade magic mirror powder wearing nail French love blush fake nail nail piece")</x:f>
        <x:v>HYPERLINK is not implemented. linkLocation=https://365nails.com/products/24-pieces-3d-bow-manicure-three-dimensional-handmade-magic-mirror-powder-wearing-nail-french-love-blush-fake-nail-nail-piece, friendlyName=24 pieces 3D bow manicure three-dimensional handmade magic mirror powder wearing nail French love blush fake nail nail piece</x:v>
      </x:c>
      <x:c r="D326" s="18" t="str">
        <x:v>Color: JP3300</x:v>
      </x:c>
      <x:c r="E326" s="25" t="str">
        <x:v>$2.18</x:v>
      </x:c>
      <x:c r="F326" s="19" t="str">
        <x:v>1</x:v>
      </x:c>
    </x:row>
    <x:row r="327" ht="93" customHeight="1">
      <x:c r="A327" s="19" t="n">
        <x:v>324</x:v>
      </x:c>
      <x:c r="B327" s="22" t="e">
        <x:f>HYPERLINK("https://cdn.shopify.com/s/files/1/0918/6066/4603/files/O1CN013j4HMG2NGHoqbD0wL__4234819935-0-cib.jpg?v=1753430757","Open")</x:f>
        <x:v>HYPERLINK is not implemented. linkLocation=https://cdn.shopify.com/s/files/1/0918/6066/4603/files/O1CN013j4HMG2NGHoqbD0wL__4234819935-0-cib.jpg?v=1753430757, friendlyName=Open</x:v>
      </x:c>
      <x:c r="C327" s="24" t="e">
        <x:f>HYPERLINK("https://365nails.com/products/valentines-day-nude-red-love-bronzing-press-on-nails-fake-nail-almond-nail-nail-piece-removable-nail-piece-finished-product-365nails","Valentine's Day nude red love bronzing press on nails fake nail almond nail nail piece removable nail piece finished product｜365nails")</x:f>
        <x:v>HYPERLINK is not implemented. linkLocation=https://365nails.com/products/valentines-day-nude-red-love-bronzing-press-on-nails-fake-nail-almond-nail-nail-piece-removable-nail-piece-finished-product-365nails, friendlyName=Valentine's Day nude red love bronzing press on nails fake nail almond nail nail piece removable nail piece finished product｜365nails</x:v>
      </x:c>
      <x:c r="D327" s="18" t="str">
        <x:v>Color: JP3135</x:v>
      </x:c>
      <x:c r="E327" s="25" t="str">
        <x:v>$0.91</x:v>
      </x:c>
      <x:c r="F327" s="19" t="str">
        <x:v>1</x:v>
      </x:c>
    </x:row>
    <x:row r="328" ht="93" customHeight="1">
      <x:c r="A328" s="19" t="n">
        <x:v>325</x:v>
      </x:c>
      <x:c r="B328" s="22" t="e">
        <x:f>HYPERLINK("https://cdn.shopify.com/s/files/1/0918/6066/4603/files/O1CN01uNdJ7A2NGHnhzbc4l__4234819935-0-cib.jpg?v=1753430360","Open")</x:f>
        <x:v>HYPERLINK is not implemented. linkLocation=https://cdn.shopify.com/s/files/1/0918/6066/4603/files/O1CN01uNdJ7A2NGHnhzbc4l__4234819935-0-cib.jpg?v=1753430360, friendlyName=Open</x:v>
      </x:c>
      <x:c r="C328" s="24" t="e">
        <x:f>HYPERLINK("https://365nails.com/products/french-simple-almond-nail-art-nail-piece-solid-color-glitter-powder-special-nail-piece-for-press-on-nails-snowflake-nail-art-piece-nail-sticker-365nails","French simple almond nail art nail piece, special nail piece for press on nails, snowflake nail art piece nail sticker｜365nails")</x:f>
        <x:v>HYPERLINK is not implemented. linkLocation=https://365nails.com/products/french-simple-almond-nail-art-nail-piece-solid-color-glitter-powder-special-nail-piece-for-press-on-nails-snowflake-nail-art-piece-nail-sticker-365nails, friendlyName=French simple almond nail art nail piece, special nail piece for press on nails, snowflake nail art piece nail sticker｜365nails</x:v>
      </x:c>
      <x:c r="D328" s="18" t="str">
        <x:v>Color: JP2807</x:v>
      </x:c>
      <x:c r="E328" s="25" t="str">
        <x:v>$1.03</x:v>
      </x:c>
      <x:c r="F328" s="19" t="str">
        <x:v>1</x:v>
      </x:c>
    </x:row>
    <x:row r="329" ht="93" customHeight="1">
      <x:c r="A329" s="19" t="n">
        <x:v>326</x:v>
      </x:c>
      <x:c r="B329" s="22" t="e">
        <x:f>HYPERLINK("https://cdn.shopify.com/s/files/1/0918/6066/4603/files/O1CN01NupccY2NGHnnFAky5__4234819935-0-cib.jpg?v=1753429124","Open")</x:f>
        <x:v>HYPERLINK is not implemented. linkLocation=https://cdn.shopify.com/s/files/1/0918/6066/4603/files/O1CN01NupccY2NGHnnFAky5__4234819935-0-cib.jpg?v=1753429124, friendlyName=Open</x:v>
      </x:c>
      <x:c r="C329" s="24" t="e">
        <x:f>HYPERLINK("https://365nails.com/products/yiwu-manicure-press-on-nails-piece-simple-pink-splicing-fake-nails-nails-piece-press-onable-nails-piece-nails-sticker-wholesale-365nails","Yiwu manicure press on nails piece simple pink splicing fake nails nails piece Press onable nails piece nails sticker wholesale｜365nails")</x:f>
        <x:v>HYPERLINK is not implemented. linkLocation=https://365nails.com/products/yiwu-manicure-press-on-nails-piece-simple-pink-splicing-fake-nails-nails-piece-press-onable-nails-piece-nails-sticker-wholesale-365nails, friendlyName=Yiwu manicure press on nails piece simple pink splicing fake nails nails piece Press onable nails piece nails sticker wholesale｜365nails</x:v>
      </x:c>
      <x:c r="D329" s="18" t="str">
        <x:v>color: JP2916 [Glue model] / JP2916 [Including wearable kit]</x:v>
      </x:c>
      <x:c r="E329" s="25" t="str">
        <x:v>$0.86–$1.03</x:v>
      </x:c>
      <x:c r="F329" s="19" t="str">
        <x:v>1</x:v>
      </x:c>
    </x:row>
    <x:row r="330" ht="93" customHeight="1">
      <x:c r="A330" s="19" t="n">
        <x:v>327</x:v>
      </x:c>
      <x:c r="B330" s="22" t="e">
        <x:f>HYPERLINK("https://cdn.shopify.com/s/files/1/0918/6066/4603/files/O1CN01YwwscL2NGHsDHYP8W__4234819935-0-cib_a2d78b6a-470d-456b-9aba-5207a8494d26.jpg?v=1761979828","Open")</x:f>
        <x:v>HYPERLINK is not implemented. linkLocation=https://cdn.shopify.com/s/files/1/0918/6066/4603/files/O1CN01YwwscL2NGHsDHYP8W__4234819935-0-cib_a2d78b6a-470d-456b-9aba-5207a8494d26.jpg?v=1761979828, friendlyName=Open</x:v>
      </x:c>
      <x:c r="C330" s="24" t="e">
        <x:f>HYPERLINK("https://365nails.com/products/nail-art-24-pieces-short-round-nail-piece-solid-color-monochrome-simple","Nail art 24 pieces short round nail piece solid color monochrome simple")</x:f>
        <x:v>HYPERLINK is not implemented. linkLocation=https://365nails.com/products/nail-art-24-pieces-short-round-nail-piece-solid-color-monochrome-simple, friendlyName=Nail art 24 pieces short round nail piece solid color monochrome simple</x:v>
      </x:c>
      <x:c r="D330" s="18" t="str">
        <x:v>color: JP3351 / JP3352 / JP3353 / JP3354 / JP3355 / JP3356 / JP3358 / JP3359 / JP3360</x:v>
      </x:c>
      <x:c r="E330" s="25" t="str">
        <x:v>$1.07</x:v>
      </x:c>
      <x:c r="F330" s="19" t="str">
        <x:v>1</x:v>
      </x:c>
    </x:row>
    <x:row r="331" ht="93" customHeight="1">
      <x:c r="A331" s="19" t="n">
        <x:v>328</x:v>
      </x:c>
      <x:c r="B331" s="22" t="e">
        <x:f>HYPERLINK("https://cdn.shopify.com/s/files/1/0918/6066/4603/files/O1CN01m1u1xM2NGHofgeUm6__4234819935-0-cib.jpg?v=1753430751","Open")</x:f>
        <x:v>HYPERLINK is not implemented. linkLocation=https://cdn.shopify.com/s/files/1/0918/6066/4603/files/O1CN01m1u1xM2NGHofgeUm6__4234819935-0-cib.jpg?v=1753430751, friendlyName=Open</x:v>
      </x:c>
      <x:c r="C331" s="24" t="e">
        <x:f>HYPERLINK("https://365nails.com/products/press-on-nails-short-almond-nail-autumn-and-winter-warm-orange-nail-art-european-and-american-simple-ins-style-nail-piece-fake-nail-patch-finished-product-365nails","Press on nails short almond nail autumn and winter warm orange nail art  simple  nail piece fake nail patch finished product｜365nails")</x:f>
        <x:v>HYPERLINK is not implemented. linkLocation=https://365nails.com/products/press-on-nails-short-almond-nail-autumn-and-winter-warm-orange-nail-art-european-and-american-simple-ins-style-nail-piece-fake-nail-patch-finished-product-365nails, friendlyName=Press on nails short almond nail autumn and winter warm orange nail art  simple  nail piece fake nail patch finished product｜365nails</x:v>
      </x:c>
      <x:c r="D331" s="18" t="str">
        <x:v>Color: JP3077</x:v>
      </x:c>
      <x:c r="E331" s="25" t="str">
        <x:v>$0.94</x:v>
      </x:c>
      <x:c r="F331" s="19" t="str">
        <x:v>1</x:v>
      </x:c>
    </x:row>
    <x:row r="332" ht="93" customHeight="1">
      <x:c r="A332" s="19" t="n">
        <x:v>329</x:v>
      </x:c>
      <x:c r="B332" s="22" t="e">
        <x:f>HYPERLINK("https://cdn.shopify.com/s/files/1/0918/6066/4603/files/O1CN01tO9Hu72NGHoSTgUn1__4234819935-0-cib.jpg?v=1753430659","Open")</x:f>
        <x:v>HYPERLINK is not implemented. linkLocation=https://cdn.shopify.com/s/files/1/0918/6066/4603/files/O1CN01tO9Hu72NGHoSTgUn1__4234819935-0-cib.jpg?v=1753430659, friendlyName=Open</x:v>
      </x:c>
      <x:c r="C332" s="24" t="e">
        <x:f>HYPERLINK("https://365nails.com/products/french-white-medium-and-long-press-on-nails-silver-glitter-flower-nails-patch-nude-point-diamond-nails-piece-finished-product-wholesale-365nails","French white medium and long press on nails silver glitter flower nails patch nude point diamond nails piece finished product wholesale｜365nails")</x:f>
        <x:v>HYPERLINK is not implemented. linkLocation=https://365nails.com/products/french-white-medium-and-long-press-on-nails-silver-glitter-flower-nails-patch-nude-point-diamond-nails-piece-finished-product-wholesale-365nails, friendlyName=French white medium and long press on nails silver glitter flower nails patch nude point diamond nails piece finished product wholesale｜365nails</x:v>
      </x:c>
      <x:c r="D332" s="18" t="str">
        <x:v>Color: JP2875</x:v>
      </x:c>
      <x:c r="E332" s="25" t="str">
        <x:v>$1.03</x:v>
      </x:c>
      <x:c r="F332" s="19" t="str">
        <x:v>1</x:v>
      </x:c>
    </x:row>
    <x:row r="333" ht="93" customHeight="1">
      <x:c r="A333" s="19" t="n">
        <x:v>330</x:v>
      </x:c>
      <x:c r="B333" s="22" t="e">
        <x:f>HYPERLINK("https://cdn.shopify.com/s/files/1/0918/6066/4603/files/O1CN012KtJIh2NGHxyk31Mv__4234819935-0-cib_aa6c6974-08ee-47dd-b78b-b640e58a823e.jpg?v=1761289934","Open")</x:f>
        <x:v>HYPERLINK is not implemented. linkLocation=https://cdn.shopify.com/s/files/1/0918/6066/4603/files/O1CN012KtJIh2NGHxyk31Mv__4234819935-0-cib_aa6c6974-08ee-47dd-b78b-b640e58a823e.jpg?v=1761289934, friendlyName=Open</x:v>
      </x:c>
      <x:c r="C333" s="24" t="e">
        <x:f>HYPERLINK("https://365nails.com/products/foreign-trade-cross-border-wearing-nail-french-red-manicure-nail-piece-short-round-wearing-nail-piece-petal-fake-nail-wholesale","Foreign trade cross-border wearing nail French red manicure nail piece short round wearing nail piece petal fake nail wholesale")</x:f>
        <x:v>HYPERLINK is not implemented. linkLocation=https://365nails.com/products/foreign-trade-cross-border-wearing-nail-french-red-manicure-nail-piece-short-round-wearing-nail-piece-petal-fake-nail-wholesale, friendlyName=Foreign trade cross-border wearing nail French red manicure nail piece short round wearing nail piece petal fake nail wholesale</x:v>
      </x:c>
      <x:c r="D333" s="18" t="str">
        <x:v>color: JP3841</x:v>
      </x:c>
      <x:c r="E333" s="25" t="str">
        <x:v>$0.73</x:v>
      </x:c>
      <x:c r="F333" s="19" t="str">
        <x:v>1</x:v>
      </x:c>
    </x:row>
    <x:row r="334" ht="93" customHeight="1">
      <x:c r="A334" s="19" t="n">
        <x:v>331</x:v>
      </x:c>
      <x:c r="B334" s="22" t="e">
        <x:f>HYPERLINK("https://cdn.shopify.com/s/files/1/0918/6066/4603/files/O1CN01EhFjCD2NGHuaYrUWy__4234819935-0-cib_10decd5e-a9cc-4203-ac33-78fcdaf72501.jpg?v=1761289236","Open")</x:f>
        <x:v>HYPERLINK is not implemented. linkLocation=https://cdn.shopify.com/s/files/1/0918/6066/4603/files/O1CN01EhFjCD2NGHuaYrUWy__4234819935-0-cib_10decd5e-a9cc-4203-ac33-78fcdaf72501.jpg?v=1761289236, friendlyName=Open</x:v>
      </x:c>
      <x:c r="C334" s="24" t="e">
        <x:f>HYPERLINK("https://365nails.com/products/simple-solid-color-high-end-manicure-fake-nail-short-almond-shaped-wearable-nail-piece-repeatable-wearable-nail-wholesale","Simple solid color high-end manicure fake nail short almond-shaped wearable nail piece Repeatable wearable nail wholesale")</x:f>
        <x:v>HYPERLINK is not implemented. linkLocation=https://365nails.com/products/simple-solid-color-high-end-manicure-fake-nail-short-almond-shaped-wearable-nail-piece-repeatable-wearable-nail-wholesale, friendlyName=Simple solid color high-end manicure fake nail short almond-shaped wearable nail piece Repeatable wearable nail wholesale</x:v>
      </x:c>
      <x:c r="D334" s="18" t="str">
        <x:v>Color: GD23</x:v>
      </x:c>
      <x:c r="E334" s="25" t="str">
        <x:v>$1.05</x:v>
      </x:c>
      <x:c r="F334" s="19" t="str">
        <x:v>1</x:v>
      </x:c>
    </x:row>
    <x:row r="335" ht="93" customHeight="1">
      <x:c r="A335" s="19" t="n">
        <x:v>332</x:v>
      </x:c>
      <x:c r="B335" s="22" t="e">
        <x:f>HYPERLINK("https://cdn.shopify.com/s/files/1/0918/6066/4603/files/O1CN01LLcUzJ2NGHmmvIgtM__4234819935-0-cib_99a06134-d3ec-4f58-bb0f-76af8bfdd892.jpg?v=1761289099","Open")</x:f>
        <x:v>HYPERLINK is not implemented. linkLocation=https://cdn.shopify.com/s/files/1/0918/6066/4603/files/O1CN01LLcUzJ2NGHmmvIgtM__4234819935-0-cib_99a06134-d3ec-4f58-bb0f-76af8bfdd892.jpg?v=1761289099, friendlyName=Open</x:v>
      </x:c>
      <x:c r="C335" s="24" t="e">
        <x:f>HYPERLINK("https://365nails.com/products/xiaohongshu-french-wear-nail-art-wholesale-cross-border-special-for-fake-nails-white-edge-nail-art-pieces-finished-nails","Xiaohongshu French Wear Nail Art Wholesale Cross-border Special for fake nails white edge nail art pieces Finished nails")</x:f>
        <x:v>HYPERLINK is not implemented. linkLocation=https://365nails.com/products/xiaohongshu-french-wear-nail-art-wholesale-cross-border-special-for-fake-nails-white-edge-nail-art-pieces-finished-nails, friendlyName=Xiaohongshu French Wear Nail Art Wholesale Cross-border Special for fake nails white edge nail art pieces Finished nails</x:v>
      </x:c>
      <x:c r="D335" s="18" t="str">
        <x:v>color: JP2704</x:v>
      </x:c>
      <x:c r="E335" s="25" t="str">
        <x:v>$1.29</x:v>
      </x:c>
      <x:c r="F335" s="19" t="str">
        <x:v>1</x:v>
      </x:c>
    </x:row>
    <x:row r="336" ht="93" customHeight="1">
      <x:c r="A336" s="19" t="n">
        <x:v>333</x:v>
      </x:c>
      <x:c r="B336" s="22" t="e">
        <x:f>HYPERLINK("https://cdn.shopify.com/s/files/1/0918/6066/4603/files/O1CN010XHvKr2NGHnjnBGb1__4234819935-0-cib.jpg?v=1753430596","Open")</x:f>
        <x:v>HYPERLINK is not implemented. linkLocation=https://cdn.shopify.com/s/files/1/0918/6066/4603/files/O1CN010XHvKr2NGHnjnBGb1__4234819935-0-cib.jpg?v=1753430596, friendlyName=Open</x:v>
      </x:c>
      <x:c r="C336" s="24" t="e">
        <x:f>HYPERLINK("https://365nails.com/products/yiwu-nails-art-press-on-fake-nails-piece-glitter-powder-simple-nails-art-piece-fake-nails-press-on-nails-sticker-wholesale-365nails","press on fake nails piece glitter powder simple nails art piece fake nails press on nails sticker wholesale｜365nails")</x:f>
        <x:v>HYPERLINK is not implemented. linkLocation=https://365nails.com/products/yiwu-nails-art-press-on-fake-nails-piece-glitter-powder-simple-nails-art-piece-fake-nails-press-on-nails-sticker-wholesale-365nails, friendlyName=press on fake nails piece glitter powder simple nails art piece fake nails press on nails sticker wholesale｜365nails</x:v>
      </x:c>
      <x:c r="D336" s="18" t="str">
        <x:v>Color: JP2890</x:v>
      </x:c>
      <x:c r="E336" s="25" t="str">
        <x:v>$0.70</x:v>
      </x:c>
      <x:c r="F336" s="19" t="str">
        <x:v>1</x:v>
      </x:c>
    </x:row>
    <x:row r="337" ht="93" customHeight="1">
      <x:c r="A337" s="19" t="n">
        <x:v>334</x:v>
      </x:c>
      <x:c r="B337" s="22" t="e">
        <x:f>HYPERLINK("https://cdn.shopify.com/s/files/1/0918/6066/4603/files/O1CN01N56zPK2NGHnI3uL6W__4234819935-0-cib.jpg?v=1753430582","Open")</x:f>
        <x:v>HYPERLINK is not implemented. linkLocation=https://cdn.shopify.com/s/files/1/0918/6066/4603/files/O1CN01N56zPK2NGHnI3uL6W__4234819935-0-cib.jpg?v=1753430582, friendlyName=Open</x:v>
      </x:c>
      <x:c r="C337" s="24" t="e">
        <x:f>HYPERLINK("https://365nails.com/products/blue-press-on-nails-manicure-rectangular-fake-nails-nails-piece-solid-color-nails-piece-press-on-nails-piece-nails-sticker-nails-piece-365nails","Blue press on nails manicure rectangular fake nails nails piece solid color nails piece press on nails piece nails sticker nails piece｜365nails")</x:f>
        <x:v>HYPERLINK is not implemented. linkLocation=https://365nails.com/products/blue-press-on-nails-manicure-rectangular-fake-nails-nails-piece-solid-color-nails-piece-press-on-nails-piece-nails-sticker-nails-piece-365nails, friendlyName=Blue press on nails manicure rectangular fake nails nails piece solid color nails piece press on nails piece nails sticker nails piece｜365nails</x:v>
      </x:c>
      <x:c r="D337" s="18" t="str">
        <x:v>color: JP2309</x:v>
      </x:c>
      <x:c r="E337" s="25" t="str">
        <x:v>$0.86</x:v>
      </x:c>
      <x:c r="F337" s="19" t="str">
        <x:v>1</x:v>
      </x:c>
    </x:row>
    <x:row r="338" ht="93" customHeight="1">
      <x:c r="A338" s="19" t="n">
        <x:v>335</x:v>
      </x:c>
      <x:c r="B338" s="22" t="e">
        <x:f>HYPERLINK("https://cdn.shopify.com/s/files/1/0918/6066/4603/files/O1CN01foNfTy2NGHpcSirtu__4234819935-0-cib.jpg?v=1753430256","Open")</x:f>
        <x:v>HYPERLINK is not implemented. linkLocation=https://cdn.shopify.com/s/files/1/0918/6066/4603/files/O1CN01foNfTy2NGHpcSirtu__4234819935-0-cib.jpg?v=1753430256, friendlyName=Open</x:v>
      </x:c>
      <x:c r="C338" s="24" t="e">
        <x:f>HYPERLINK("https://365nails.com/products/internet-celebrity-cute-cartoon-yugui-dog-wearing-armor-short-round-nail-piece-finished-product-wholesale-xiaohongshu-bow-nail-piece-365nails","Internet celebrity cute cartoon Yugui dog wearing armor short round nail piece finished product wholesale  bow nail piece｜365nails")</x:f>
        <x:v>HYPERLINK is not implemented. linkLocation=https://365nails.com/products/internet-celebrity-cute-cartoon-yugui-dog-wearing-armor-short-round-nail-piece-finished-product-wholesale-xiaohongshu-bow-nail-piece-365nails, friendlyName=Internet celebrity cute cartoon Yugui dog wearing armor short round nail piece finished product wholesale  bow nail piece｜365nails</x:v>
      </x:c>
      <x:c r="D338" s="18" t="str">
        <x:v>Color: JP1375</x:v>
      </x:c>
      <x:c r="E338" s="25" t="str">
        <x:v>$1.16</x:v>
      </x:c>
      <x:c r="F338" s="19" t="str">
        <x:v>1</x:v>
      </x:c>
    </x:row>
    <x:row r="339" ht="93" customHeight="1">
      <x:c r="A339" s="19" t="n">
        <x:v>336</x:v>
      </x:c>
      <x:c r="B339" s="22" t="e">
        <x:f>HYPERLINK("https://cdn.shopify.com/s/files/1/0918/6066/4603/files/O1CN01PyE5YQ2NGHoCKAdCU__4234819935-0-cib_fc1a2009-cca9-43b5-a506-f8854d13930b.jpg?v=1761288995","Open")</x:f>
        <x:v>HYPERLINK is not implemented. linkLocation=https://cdn.shopify.com/s/files/1/0918/6066/4603/files/O1CN01PyE5YQ2NGHoCKAdCU__4234819935-0-cib_fc1a2009-cca9-43b5-a506-f8854d13930b.jpg?v=1761288995, friendlyName=Open</x:v>
      </x:c>
      <x:c r="C339" s="24" t="e">
        <x:f>HYPERLINK("https://365nails.com/products/three-dimensional-water-drop-feeling-wearing-nail-fake-nail-star-love-nail-art-pink-smudge-nail-patch-nail-wholesale","Three-dimensional water drop feeling wearing nail fake nail star love nail art pink smudge nail patch nail wholesale")</x:f>
        <x:v>HYPERLINK is not implemented. linkLocation=https://365nails.com/products/three-dimensional-water-drop-feeling-wearing-nail-fake-nail-star-love-nail-art-pink-smudge-nail-patch-nail-wholesale, friendlyName=Three-dimensional water drop feeling wearing nail fake nail star love nail art pink smudge nail patch nail wholesale</x:v>
      </x:c>
      <x:c r="D339" s="18" t="str">
        <x:v>Color: JP2822</x:v>
      </x:c>
      <x:c r="E339" s="25" t="str">
        <x:v>$2.18</x:v>
      </x:c>
      <x:c r="F339" s="19" t="str">
        <x:v>1</x:v>
      </x:c>
    </x:row>
    <x:row r="340" ht="93" customHeight="1">
      <x:c r="A340" s="19" t="n">
        <x:v>337</x:v>
      </x:c>
      <x:c r="B340" s="22" t="e">
        <x:f>HYPERLINK("https://cdn.shopify.com/s/files/1/0918/6066/4603/files/O1CN01fegqjM2NGHtstkBcC__4234819935-0-cib_9a5e0963-883d-4647-82d1-d003a0308be8.jpg?v=1761291321","Open")</x:f>
        <x:v>HYPERLINK is not implemented. linkLocation=https://cdn.shopify.com/s/files/1/0918/6066/4603/files/O1CN01fegqjM2NGHtstkBcC__4234819935-0-cib_9a5e0963-883d-4647-82d1-d003a0308be8.jpg?v=1761291321, friendlyName=Open</x:v>
      </x:c>
      <x:c r="C340" s="24" t="e">
        <x:f>HYPERLINK("https://365nails.com/products/summer-style-almond-wearing-nail-french-manicure-fake-nail-3d-tropical-flower-removable-nail-finished-product-wholesale","Summer style almond wearing nail French manicure fake nail 3D tropical flower removable nail finished product wholesale")</x:f>
        <x:v>HYPERLINK is not implemented. linkLocation=https://365nails.com/products/summer-style-almond-wearing-nail-french-manicure-fake-nail-3d-tropical-flower-removable-nail-finished-product-wholesale, friendlyName=Summer style almond wearing nail French manicure fake nail 3D tropical flower removable nail finished product wholesale</x:v>
      </x:c>
      <x:c r="D340" s="18" t="str">
        <x:v>Color: JP3477</x:v>
      </x:c>
      <x:c r="E340" s="25" t="str">
        <x:v>$1.58</x:v>
      </x:c>
      <x:c r="F340" s="19" t="str">
        <x:v>1</x:v>
      </x:c>
    </x:row>
    <x:row r="341" ht="93" customHeight="1">
      <x:c r="A341" s="19" t="n">
        <x:v>338</x:v>
      </x:c>
      <x:c r="B341" s="22" t="e">
        <x:f>HYPERLINK("https://cdn.shopify.com/s/files/1/0918/6066/4603/files/O1CN01FKQUfX2NGI0AURJdN__4234819935-0-cib.jpg?v=1758610023","Open")</x:f>
        <x:v>HYPERLINK is not implemented. linkLocation=https://cdn.shopify.com/s/files/1/0918/6066/4603/files/O1CN01FKQUfX2NGI0AURJdN__4234819935-0-cib.jpg?v=1758610023, friendlyName=Open</x:v>
      </x:c>
      <x:c r="C341" s="24" t="e">
        <x:f>HYPERLINK("https://365nails.com/products/medium-and-long-almond-shaped-nail-art-piece-wearing-nail-3d-three-dimensional-cat-eye-fake-nails","Medium and long almond shaped 3d three-dimensional cat eye press-on nails")</x:f>
        <x:v>HYPERLINK is not implemented. linkLocation=https://365nails.com/products/medium-and-long-almond-shaped-nail-art-piece-wearing-nail-3d-three-dimensional-cat-eye-fake-nails, friendlyName=Medium and long almond shaped 3d three-dimensional cat eye press-on nails</x:v>
      </x:c>
      <x:c r="D341" s="18" t="str">
        <x:v>color: JP3997</x:v>
      </x:c>
      <x:c r="E341" s="25" t="str">
        <x:v>$1.69</x:v>
      </x:c>
      <x:c r="F341" s="19" t="str">
        <x:v>1</x:v>
      </x:c>
    </x:row>
    <x:row r="342" ht="93" customHeight="1">
      <x:c r="A342" s="19" t="n">
        <x:v>339</x:v>
      </x:c>
      <x:c r="B342" s="22" t="e">
        <x:f>HYPERLINK("https://cdn.shopify.com/s/files/1/0918/6066/4603/files/O1CN01rYxxMR2NGHnL4kKIH__4234819935-0-cib_245fe3e2-ea79-40fd-b07e-2adb39245cc6.jpg?v=1761288576","Open")</x:f>
        <x:v>HYPERLINK is not implemented. linkLocation=https://cdn.shopify.com/s/files/1/0918/6066/4603/files/O1CN01rYxxMR2NGHnL4kKIH__4234819935-0-cib_245fe3e2-ea79-40fd-b07e-2adb39245cc6.jpg?v=1761288576, friendlyName=Open</x:v>
      </x:c>
      <x:c r="C342" s="24" t="e">
        <x:f>HYPERLINK("https://365nails.com/products/gentle-and-sweet-wind-manicure-tablets-fake-nail-love-strawberry-wearing-nail-nail-tablets-xiaohongshu-nail-stickers","Gentle and sweet wind manicure tablets, fake nail love, strawberry wearing nail nail tablets")</x:f>
        <x:v>HYPERLINK is not implemented. linkLocation=https://365nails.com/products/gentle-and-sweet-wind-manicure-tablets-fake-nail-love-strawberry-wearing-nail-nail-tablets-xiaohongshu-nail-stickers, friendlyName=Gentle and sweet wind manicure tablets, fake nail love, strawberry wearing nail nail tablets</x:v>
      </x:c>
      <x:c r="D342" s="18" t="str">
        <x:v>Color: JP2767</x:v>
      </x:c>
      <x:c r="E342" s="25" t="str">
        <x:v>$1.43</x:v>
      </x:c>
      <x:c r="F342" s="19" t="str">
        <x:v>1</x:v>
      </x:c>
    </x:row>
    <x:row r="343" ht="93" customHeight="1">
      <x:c r="A343" s="19" t="n">
        <x:v>340</x:v>
      </x:c>
      <x:c r="B343" s="22" t="e">
        <x:f>HYPERLINK("https://cdn.shopify.com/s/files/1/0918/6066/4603/files/O1CN01d3Xo7s2NGHz13B4XQ__4234819935-0-cib.jpg?v=1758521220","Open")</x:f>
        <x:v>HYPERLINK is not implemented. linkLocation=https://cdn.shopify.com/s/files/1/0918/6066/4603/files/O1CN01d3Xo7s2NGHz13B4XQ__4234819935-0-cib.jpg?v=1758521220, friendlyName=Open</x:v>
      </x:c>
      <x:c r="C343" s="24" t="e">
        <x:f>HYPERLINK("https://365nails.com/products/wear-nail-simple-white-fresh-flower-fake-nail-almond-nail-art","Simple white fresh flower almond press-on nails")</x:f>
        <x:v>HYPERLINK is not implemented. linkLocation=https://365nails.com/products/wear-nail-simple-white-fresh-flower-fake-nail-almond-nail-art, friendlyName=Simple white fresh flower almond press-on nails</x:v>
      </x:c>
      <x:c r="D343" s="18" t="str">
        <x:v>color: JP3943</x:v>
      </x:c>
      <x:c r="E343" s="25" t="str">
        <x:v>$1.05</x:v>
      </x:c>
      <x:c r="F343" s="19" t="str">
        <x:v>1</x:v>
      </x:c>
    </x:row>
    <x:row r="344" ht="93" customHeight="1">
      <x:c r="A344" s="19" t="n">
        <x:v>341</x:v>
      </x:c>
      <x:c r="B344" s="22" t="e">
        <x:f>HYPERLINK("https://cdn.shopify.com/s/files/1/0918/6066/4603/files/O1CN01h7foTu2NGHz5Vkb4W__4234819935-0-cib.jpg?v=1753430746","Open")</x:f>
        <x:v>HYPERLINK is not implemented. linkLocation=https://cdn.shopify.com/s/files/1/0918/6066/4603/files/O1CN01h7foTu2NGHz5Vkb4W__4234819935-0-cib.jpg?v=1753430746, friendlyName=Open</x:v>
      </x:c>
      <x:c r="C344" s="24" t="e">
        <x:f>HYPERLINK("https://365nails.com/products/pearlescent-powder-gradual-change-nail-art-fake-nail-short-almond-wearable-nail-piece-cross-border-hot-selling-wearable-nail-piece-wholesale-365nails","Pearlescent powder gradual change nail art fake nail short almond wearable nail piece  hot-selling wearable nail piece wholesale｜365nails")</x:f>
        <x:v>HYPERLINK is not implemented. linkLocation=https://365nails.com/products/pearlescent-powder-gradual-change-nail-art-fake-nail-short-almond-wearable-nail-piece-cross-border-hot-selling-wearable-nail-piece-wholesale-365nails, friendlyName=Pearlescent powder gradual change nail art fake nail short almond wearable nail piece  hot-selling wearable nail piece wholesale｜365nails</x:v>
      </x:c>
      <x:c r="D344" s="18" t="str">
        <x:v>color: JP3991</x:v>
      </x:c>
      <x:c r="E344" s="25" t="str">
        <x:v>$0.68</x:v>
      </x:c>
      <x:c r="F344" s="19" t="str">
        <x:v>1</x:v>
      </x:c>
    </x:row>
    <x:row r="345" ht="93" customHeight="1">
      <x:c r="A345" s="19" t="n">
        <x:v>342</x:v>
      </x:c>
      <x:c r="B345" s="22" t="e">
        <x:f>HYPERLINK("https://cdn.shopify.com/s/files/1/0918/6066/4603/files/O1CN01AMeUHt2NGHyINyiSr__4234819935-0-cib_878b7829-a264-44d5-9885-682b389cf801.jpg?v=1761288770","Open")</x:f>
        <x:v>HYPERLINK is not implemented. linkLocation=https://cdn.shopify.com/s/files/1/0918/6066/4603/files/O1CN01AMeUHt2NGHyINyiSr__4234819935-0-cib_878b7829-a264-44d5-9885-682b389cf801.jpg?v=1761288770, friendlyName=Open</x:v>
      </x:c>
      <x:c r="C345" s="24" t="e">
        <x:f>HYPERLINK("https://365nails.com/products/cute-and-fresh-cartoon-fruit-wearing-nail-short-round-short-manicure-nail-piece-french-wearing-nail-piece-wholesale","Cute and fresh cartoon fruit wearing nail short round short manicure nail piece French wearing nail piece wholesale")</x:f>
        <x:v>HYPERLINK is not implemented. linkLocation=https://365nails.com/products/cute-and-fresh-cartoon-fruit-wearing-nail-short-round-short-manicure-nail-piece-french-wearing-nail-piece-wholesale, friendlyName=Cute and fresh cartoon fruit wearing nail short round short manicure nail piece French wearing nail piece wholesale</x:v>
      </x:c>
      <x:c r="D345" s="18" t="str">
        <x:v>color: JP3963</x:v>
      </x:c>
      <x:c r="E345" s="25" t="str">
        <x:v>$0.73</x:v>
      </x:c>
      <x:c r="F345" s="19" t="str">
        <x:v>1</x:v>
      </x:c>
    </x:row>
    <x:row r="346" ht="93" customHeight="1">
      <x:c r="A346" s="19" t="n">
        <x:v>343</x:v>
      </x:c>
      <x:c r="B346" s="22" t="e">
        <x:f>HYPERLINK("https://cdn.shopify.com/s/files/1/0918/6066/4603/files/O1CN014VnRfM2NGI0Fqgm5S__4234819935-0-cib.jpg?v=1763451176","Open")</x:f>
        <x:v>HYPERLINK is not implemented. linkLocation=https://cdn.shopify.com/s/files/1/0918/6066/4603/files/O1CN014VnRfM2NGI0Fqgm5S__4234819935-0-cib.jpg?v=1763451176, friendlyName=Open</x:v>
      </x:c>
      <x:c r="C346" s="24" t="e">
        <x:f>HYPERLINK("https://365nails.com/products/soft-nude-sheer-almond-nails-with-natural-glow","Soft Nude Sheer Almond Nails with Natural Glow")</x:f>
        <x:v>HYPERLINK is not implemented. linkLocation=https://365nails.com/products/soft-nude-sheer-almond-nails-with-natural-glow, friendlyName=Soft Nude Sheer Almond Nails with Natural Glow</x:v>
      </x:c>
      <x:c r="D346" s="18" t="str">
        <x:v>color: JP4104</x:v>
      </x:c>
      <x:c r="E346" s="25" t="str">
        <x:v>$0.72</x:v>
      </x:c>
      <x:c r="F346" s="19" t="str">
        <x:v>1</x:v>
      </x:c>
    </x:row>
    <x:row r="347" ht="93" customHeight="1">
      <x:c r="A347" s="19" t="n">
        <x:v>344</x:v>
      </x:c>
      <x:c r="B347" s="22" t="e">
        <x:f>HYPERLINK("https://cdn.shopify.com/s/files/1/0918/6066/4603/files/O1CN01i16vJx2NGHzgOOFXt__4234819935-0-cib.jpg?v=1758610131","Open")</x:f>
        <x:v>HYPERLINK is not implemented. linkLocation=https://cdn.shopify.com/s/files/1/0918/6066/4603/files/O1CN01i16vJx2NGHzgOOFXt__4234819935-0-cib.jpg?v=1758610131, friendlyName=Open</x:v>
      </x:c>
      <x:c r="C347" s="24" t="e">
        <x:f>HYPERLINK("https://365nails.com/products/30-boxed-premium-nail-art-wearing-nail-mirror-powder-short-almond-nail-false-nails","30 boxed high-end magic mirror powder almond short press-on nails")</x:f>
        <x:v>HYPERLINK is not implemented. linkLocation=https://365nails.com/products/30-boxed-premium-nail-art-wearing-nail-mirror-powder-short-almond-nail-false-nails, friendlyName=30 boxed high-end magic mirror powder almond short press-on nails</x:v>
      </x:c>
      <x:c r="D347" s="18" t="str">
        <x:v>color: GD63</x:v>
      </x:c>
      <x:c r="E347" s="25" t="str">
        <x:v>$1.47</x:v>
      </x:c>
      <x:c r="F347" s="19" t="str">
        <x:v>1</x:v>
      </x:c>
    </x:row>
    <x:row r="348" ht="93" customHeight="1">
      <x:c r="A348" s="19" t="n">
        <x:v>345</x:v>
      </x:c>
      <x:c r="B348" s="22" t="e">
        <x:f>HYPERLINK("https://cdn.shopify.com/s/files/1/0918/6066/4603/files/O1CN01Yx27jC2NGI0JD6Wn3__4234819935-0-cib.jpg?v=1763452770","Open")</x:f>
        <x:v>HYPERLINK is not implemented. linkLocation=https://cdn.shopify.com/s/files/1/0918/6066/4603/files/O1CN01Yx27jC2NGI0JD6Wn3__4234819935-0-cib.jpg?v=1763452770, friendlyName=Open</x:v>
      </x:c>
      <x:c r="C348" s="24" t="e">
        <x:f>HYPERLINK("https://365nails.com/products/soft-pink-3d-bow-nails-with-glossy-charm-accents","Soft Pink 3D Bow Nails with Glossy Charm Accents")</x:f>
        <x:v>HYPERLINK is not implemented. linkLocation=https://365nails.com/products/soft-pink-3d-bow-nails-with-glossy-charm-accents, friendlyName=Soft Pink 3D Bow Nails with Glossy Charm Accents</x:v>
      </x:c>
      <x:c r="D348" s="18" t="str">
        <x:v>color: JP4074</x:v>
      </x:c>
      <x:c r="E348" s="25" t="str">
        <x:v>$1.31</x:v>
      </x:c>
      <x:c r="F348" s="19" t="str">
        <x:v>1</x:v>
      </x:c>
    </x:row>
    <x:row r="349" ht="93" customHeight="1">
      <x:c r="A349" s="19" t="n">
        <x:v>346</x:v>
      </x:c>
      <x:c r="B349" s="22" t="e">
        <x:f>HYPERLINK("https://cdn.shopify.com/s/files/1/0918/6066/4603/files/O1CN01PllSPF2NGI0Phmft3__4234819935-0-cib.jpg?v=1763451248","Open")</x:f>
        <x:v>HYPERLINK is not implemented. linkLocation=https://cdn.shopify.com/s/files/1/0918/6066/4603/files/O1CN01PllSPF2NGI0Phmft3__4234819935-0-cib.jpg?v=1763451248, friendlyName=Open</x:v>
      </x:c>
      <x:c r="C349" s="24" t="e">
        <x:f>HYPERLINK("https://365nails.com/products/milky-nude-gradient-almond-nails-with-soft-shine","Milky Nude Gradient Almond Nails with Soft Shine")</x:f>
        <x:v>HYPERLINK is not implemented. linkLocation=https://365nails.com/products/milky-nude-gradient-almond-nails-with-soft-shine, friendlyName=Milky Nude Gradient Almond Nails with Soft Shine</x:v>
      </x:c>
      <x:c r="D349" s="18" t="str">
        <x:v>color: JP4134</x:v>
      </x:c>
      <x:c r="E349" s="25" t="str">
        <x:v>$1.01</x:v>
      </x:c>
      <x:c r="F349" s="19" t="str">
        <x:v>1</x:v>
      </x:c>
    </x:row>
    <x:row r="350" ht="93" customHeight="1">
      <x:c r="A350" s="19" t="n">
        <x:v>347</x:v>
      </x:c>
      <x:c r="B350" s="22" t="e">
        <x:f>HYPERLINK("https://cdn.shopify.com/s/files/1/0918/6066/4603/files/O1CN013a5U802NGI0LE06Ol__4234819935-0-cib.jpg?v=1763447911","Open")</x:f>
        <x:v>HYPERLINK is not implemented. linkLocation=https://cdn.shopify.com/s/files/1/0918/6066/4603/files/O1CN013a5U802NGI0LE06Ol__4234819935-0-cib.jpg?v=1763447911, friendlyName=Open</x:v>
      </x:c>
      <x:c r="C350" s="24" t="e">
        <x:f>HYPERLINK("https://365nails.com/products/green-gem-inspired-nails-with-gold-metallic-accent-details","Green Gem Inspired Nails with Gold Metallic Accent Details")</x:f>
        <x:v>HYPERLINK is not implemented. linkLocation=https://365nails.com/products/green-gem-inspired-nails-with-gold-metallic-accent-details, friendlyName=Green Gem Inspired Nails with Gold Metallic Accent Details</x:v>
      </x:c>
      <x:c r="D350" s="18" t="str">
        <x:v>color: JP3996</x:v>
      </x:c>
      <x:c r="E350" s="25" t="str">
        <x:v>$1.62</x:v>
      </x:c>
      <x:c r="F350" s="19" t="str">
        <x:v>1</x:v>
      </x:c>
    </x:row>
    <x:row r="351" ht="93" customHeight="1">
      <x:c r="A351" s="19" t="n">
        <x:v>348</x:v>
      </x:c>
      <x:c r="B351" s="22" t="e">
        <x:f>HYPERLINK("https://cdn.shopify.com/s/files/1/0918/6066/4603/files/O1CN01nYW9X32NGHwE4yOqv__4234819935-0-cib_044e859e-83ec-4e25-b07f-4dc45513c6d8.jpg?v=1761287718","Open")</x:f>
        <x:v>HYPERLINK is not implemented. linkLocation=https://cdn.shopify.com/s/files/1/0918/6066/4603/files/O1CN01nYW9X32NGHwE4yOqv__4234819935-0-cib_044e859e-83ec-4e25-b07f-4dc45513c6d8.jpg?v=1761287718, friendlyName=Open</x:v>
      </x:c>
      <x:c r="C351" s="24" t="e">
        <x:f>HYPERLINK("https://365nails.com/products/sweet-pink-cat-eye-wearing-nail-almond-wearing-nail-piece-press-on-nails-nail-piece-wholesale","Sweet pink cat eye wearing nail almond wearing nail piece press on nails nail piece wholesale")</x:f>
        <x:v>HYPERLINK is not implemented. linkLocation=https://365nails.com/products/sweet-pink-cat-eye-wearing-nail-almond-wearing-nail-piece-press-on-nails-nail-piece-wholesale, friendlyName=Sweet pink cat eye wearing nail almond wearing nail piece press on nails nail piece wholesale</x:v>
      </x:c>
      <x:c r="D351" s="18" t="str">
        <x:v>color: JP3727</x:v>
      </x:c>
      <x:c r="E351" s="25" t="str">
        <x:v>$1.41</x:v>
      </x:c>
      <x:c r="F351" s="19" t="str">
        <x:v>1</x:v>
      </x:c>
    </x:row>
    <x:row r="352" ht="93" customHeight="1">
      <x:c r="A352" s="19" t="n">
        <x:v>349</x:v>
      </x:c>
      <x:c r="B352" s="22" t="e">
        <x:f>HYPERLINK("https://cdn.shopify.com/s/files/1/0918/6066/4603/files/O1CN01F8joTR2NGHoXAuaFS__4234819935-0-cib_6da49ed5-2332-4ef6-83e9-a22f7ad81f84.jpg?v=1761288083","Open")</x:f>
        <x:v>HYPERLINK is not implemented. linkLocation=https://cdn.shopify.com/s/files/1/0918/6066/4603/files/O1CN01F8joTR2NGHoXAuaFS__4234819935-0-cib_6da49ed5-2332-4ef6-83e9-a22f7ad81f84.jpg?v=1761288083, friendlyName=Open</x:v>
      </x:c>
      <x:c r="C352" s="24" t="e">
        <x:f>HYPERLINK("https://365nails.com/products/factory-direct-sales-black-white-french-wear-nail-2023-premium-flat-nail-shop-nail-pad-box","Factory Direct Sales Black White French press-on Nail  Flat Nail Shop Nail Pad Box")</x:f>
        <x:v>HYPERLINK is not implemented. linkLocation=https://365nails.com/products/factory-direct-sales-black-white-french-wear-nail-2023-premium-flat-nail-shop-nail-pad-box, friendlyName=Factory Direct Sales Black White French press-on Nail  Flat Nail Shop Nail Pad Box</x:v>
      </x:c>
      <x:c r="D352" s="18" t="str">
        <x:v>Color: ZG001 / ZG002 / ZG003 / ZG013 / ZG014 / ZG015</x:v>
      </x:c>
      <x:c r="E352" s="25" t="str">
        <x:v>$1.80</x:v>
      </x:c>
      <x:c r="F352" s="19" t="str">
        <x:v>1</x:v>
      </x:c>
    </x:row>
    <x:row r="353" ht="93" customHeight="1">
      <x:c r="A353" s="19" t="n">
        <x:v>350</x:v>
      </x:c>
      <x:c r="B353" s="22" t="e">
        <x:f>HYPERLINK("https://cdn.shopify.com/s/files/1/0918/6066/4603/files/O1CN01Ruzd8o2NGHyIcHEU9__4234819935-0-cib_c09ef374-639c-4c5a-97b6-0f22f422875d.jpg?v=1761287653","Open")</x:f>
        <x:v>HYPERLINK is not implemented. linkLocation=https://cdn.shopify.com/s/files/1/0918/6066/4603/files/O1CN01Ruzd8o2NGHyIcHEU9__4234819935-0-cib_c09ef374-639c-4c5a-97b6-0f22f422875d.jpg?v=1761287653, friendlyName=Open</x:v>
      </x:c>
      <x:c r="C353" s="24" t="e">
        <x:f>HYPERLINK("https://365nails.com/products/minimalist-french-white-wearing-nail-short-square-nail-wearing-nail-sheet-finished-product-wholesale-foreign-trade-hot-sale-nail-art-false-nail","Minimalist French White Wearing Nail Short Square Nail Wearing Nail Sheet Finished Product Wholesale Foreign Trade Hot Sale Nail Art False Nail")</x:f>
        <x:v>HYPERLINK is not implemented. linkLocation=https://365nails.com/products/minimalist-french-white-wearing-nail-short-square-nail-wearing-nail-sheet-finished-product-wholesale-foreign-trade-hot-sale-nail-art-false-nail, friendlyName=Minimalist French White Wearing Nail Short Square Nail Wearing Nail Sheet Finished Product Wholesale Foreign Trade Hot Sale Nail Art False Nail</x:v>
      </x:c>
      <x:c r="D353" s="18" t="str">
        <x:v>color: JP3939</x:v>
      </x:c>
      <x:c r="E353" s="25" t="str">
        <x:v>$0.45</x:v>
      </x:c>
      <x:c r="F353" s="19" t="str">
        <x:v>1</x:v>
      </x:c>
    </x:row>
    <x:row r="354" ht="93" customHeight="1">
      <x:c r="A354" s="19" t="n">
        <x:v>351</x:v>
      </x:c>
      <x:c r="B354" s="22" t="e">
        <x:f>HYPERLINK("https://cdn.shopify.com/s/files/1/0918/6066/4603/files/O1CN01IDapFp2NGHungRjR9__4234819935-0-cib_536e84fc-8181-459a-9927-cac536c0a573.jpg?v=1761286901","Open")</x:f>
        <x:v>HYPERLINK is not implemented. linkLocation=https://cdn.shopify.com/s/files/1/0918/6066/4603/files/O1CN01IDapFp2NGHungRjR9__4234819935-0-cib_536e84fc-8181-459a-9927-cac536c0a573.jpg?v=1761286901, friendlyName=Open</x:v>
      </x:c>
      <x:c r="C354" s="24" t="e">
        <x:f>HYPERLINK("https://365nails.com/products/naked-white-gradual-change-manicure-fake-nails-minimalist-wear-nail-short-short-square-wear-nail-simple-fake-nails","Naked white gradual change manicure fake nails minimalist wear nail short short square wear nail simple fake nails")</x:f>
        <x:v>HYPERLINK is not implemented. linkLocation=https://365nails.com/products/naked-white-gradual-change-manicure-fake-nails-minimalist-wear-nail-short-short-square-wear-nail-simple-fake-nails, friendlyName=Naked white gradual change manicure fake nails minimalist wear nail short short square wear nail simple fake nails</x:v>
      </x:c>
      <x:c r="D354" s="18" t="str">
        <x:v>color: JP3575</x:v>
      </x:c>
      <x:c r="E354" s="25" t="str">
        <x:v>$1.01</x:v>
      </x:c>
      <x:c r="F354" s="19" t="str">
        <x:v>1</x:v>
      </x:c>
    </x:row>
    <x:row r="355" ht="93" customHeight="1">
      <x:c r="A355" s="19" t="n">
        <x:v>352</x:v>
      </x:c>
      <x:c r="B355" s="22" t="e">
        <x:f>HYPERLINK("https://cdn.shopify.com/s/files/1/0918/6066/4603/files/O1CN01yzG3a52NGHxXOOG6M__4234819935-0-cib_6ae5e7ad-292a-4d80-a5c6-7dd6473ef213.jpg?v=1761291678","Open")</x:f>
        <x:v>HYPERLINK is not implemented. linkLocation=https://cdn.shopify.com/s/files/1/0918/6066/4603/files/O1CN01yzG3a52NGHxXOOG6M__4234819935-0-cib_6ae5e7ad-292a-4d80-a5c6-7dd6473ef213.jpg?v=1761291678, friendlyName=Open</x:v>
      </x:c>
      <x:c r="C355" s="24" t="e">
        <x:f>HYPERLINK("https://365nails.com/products/europe-and-the-united-states-cross-border-special-wear-armor-short-and-medium-almond-nail-foreign-trade-french-manicure-spring-and-summer-flowers-fake-nail-wholesale","Europe and the United States cross-border special wear armor short and medium almond nail foreign trade French manicure spring and summer flowers fake nail wholesale")</x:f>
        <x:v>HYPERLINK is not implemented. linkLocation=https://365nails.com/products/europe-and-the-united-states-cross-border-special-wear-armor-short-and-medium-almond-nail-foreign-trade-french-manicure-spring-and-summer-flowers-fake-nail-wholesale, friendlyName=Europe and the United States cross-border special wear armor short and medium almond nail foreign trade French manicure spring and summer flowers fake nail wholesale</x:v>
      </x:c>
      <x:c r="D355" s="18" t="str">
        <x:v>Color: JP3776</x:v>
      </x:c>
      <x:c r="E355" s="25" t="str">
        <x:v>$0.73</x:v>
      </x:c>
      <x:c r="F355" s="19" t="str">
        <x:v>1</x:v>
      </x:c>
    </x:row>
    <x:row r="356" ht="93" customHeight="1">
      <x:c r="A356" s="19" t="n">
        <x:v>353</x:v>
      </x:c>
      <x:c r="B356" s="22" t="e">
        <x:f>HYPERLINK("https://cdn.shopify.com/s/files/1/0918/6066/4603/files/O1CN01SCvJJj2NGHzbxrxuY__4234819935-0-cib.jpg?v=1758609914","Open")</x:f>
        <x:v>HYPERLINK is not implemented. linkLocation=https://cdn.shopify.com/s/files/1/0918/6066/4603/files/O1CN01SCvJJj2NGHzbxrxuY__4234819935-0-cib.jpg?v=1758609914, friendlyName=Open</x:v>
      </x:c>
      <x:c r="C356" s="24" t="e">
        <x:f>HYPERLINK("https://365nails.com/products/blush-wearing-nail-nail-piece-3d-three-dimensional-flower-manicure-fake-nail-short-almond-nail","Blush 3D Stereo Flower Short Almond press-on nails")</x:f>
        <x:v>HYPERLINK is not implemented. linkLocation=https://365nails.com/products/blush-wearing-nail-nail-piece-3d-three-dimensional-flower-manicure-fake-nail-short-almond-nail, friendlyName=Blush 3D Stereo Flower Short Almond press-on nails</x:v>
      </x:c>
      <x:c r="D356" s="18" t="str">
        <x:v>Color: JP4022</x:v>
      </x:c>
      <x:c r="E356" s="25" t="str">
        <x:v>$1.52</x:v>
      </x:c>
      <x:c r="F356" s="19" t="str">
        <x:v>1</x:v>
      </x:c>
    </x:row>
    <x:row r="357" ht="93" customHeight="1">
      <x:c r="A357" s="19" t="n">
        <x:v>354</x:v>
      </x:c>
      <x:c r="B357" s="22" t="e">
        <x:f>HYPERLINK("https://cdn.shopify.com/s/files/1/0918/6066/4603/files/O1CN01K4NEod1qQvduHFfOs__3917635491-0-cib.jpg?v=1753522982","Open")</x:f>
        <x:v>HYPERLINK is not implemented. linkLocation=https://cdn.shopify.com/s/files/1/0918/6066/4603/files/O1CN01K4NEod1qQvduHFfOs__3917635491-0-cib.jpg?v=1753522982, friendlyName=Open</x:v>
      </x:c>
      <x:c r="C357" s="24" t="e">
        <x:f>HYPERLINK("https://365nails.com/products/solid-color-elegant-natural-glitter-press-on-toenails-fake-nails-essential-for-summer-press-on-toenails-beauty-press-on-toenails-wear-nail-pads-wholesale-365nails","Solid color, elegant natural glitter, Press-on toenails fake nails｜365nails")</x:f>
        <x:v>HYPERLINK is not implemented. linkLocation=https://365nails.com/products/solid-color-elegant-natural-glitter-press-on-toenails-fake-nails-essential-for-summer-press-on-toenails-beauty-press-on-toenails-wear-nail-pads-wholesale-365nails, friendlyName=Solid color, elegant natural glitter, Press-on toenails fake nails｜365nails</x:v>
      </x:c>
      <x:c r="D357" s="18" t="str">
        <x:v>Color: F098 glitter foot armor [glue model]</x:v>
      </x:c>
      <x:c r="E357" s="25" t="str">
        <x:v>$0.76</x:v>
      </x:c>
      <x:c r="F357" s="19" t="str">
        <x:v>1</x:v>
      </x:c>
    </x:row>
    <x:row r="358" ht="93" customHeight="1">
      <x:c r="A358" s="19" t="n">
        <x:v>355</x:v>
      </x:c>
      <x:c r="B358" s="22" t="e">
        <x:f>HYPERLINK("https://cdn.shopify.com/s/files/1/0918/6066/4603/files/O1CN01G8U59j2NGHoeUapRv__4234819935-0-cib.jpg?v=1753431197","Open")</x:f>
        <x:v>HYPERLINK is not implemented. linkLocation=https://cdn.shopify.com/s/files/1/0918/6066/4603/files/O1CN01G8U59j2NGHoeUapRv__4234819935-0-cib.jpg?v=1753431197, friendlyName=Open</x:v>
      </x:c>
      <x:c r="C358" s="24" t="e">
        <x:f>HYPERLINK("https://365nails.com/products/factory-direct-sales-solid-color-feel-matte-nail-art-wholesale-nail-art-piece-finished-product-wearing-nail-short-nail-piece-nails-365nails","Factory direct sales solid color feel matte nail art wholesale nail art piece finished product press-on nails short nail piece nails｜365nails")</x:f>
        <x:v>HYPERLINK is not implemented. linkLocation=https://365nails.com/products/factory-direct-sales-solid-color-feel-matte-nail-art-wholesale-nail-art-piece-finished-product-wearing-nail-short-nail-piece-nails-365nails, friendlyName=Factory direct sales solid color feel matte nail art wholesale nail art piece finished product press-on nails short nail piece nails｜365nails</x:v>
      </x:c>
      <x:c r="D358" s="18" t="str">
        <x:v>color: JP2998 / JP3000 / JP3002 / JP3004 / JP3006 / JP3008 / JP3010 / JP3012; Color classification: [Glue model] / [Including wearing kit]</x:v>
      </x:c>
      <x:c r="E358" s="25" t="str">
        <x:v>$0.70–$0.86</x:v>
      </x:c>
      <x:c r="F358" s="19" t="str">
        <x:v>1</x:v>
      </x:c>
    </x:row>
    <x:row r="359" ht="93" customHeight="1">
      <x:c r="A359" s="19" t="n">
        <x:v>356</x:v>
      </x:c>
      <x:c r="B359" s="22" t="e">
        <x:f>HYPERLINK("https://cdn.shopify.com/s/files/1/0918/6066/4603/files/O1CN01gHtTn12NGHahusJdb__4234819935-0-cib_a0c02850-3d04-47ea-86d8-6861d5101bac.jpg?v=1753430429","Open")</x:f>
        <x:v>HYPERLINK is not implemented. linkLocation=https://cdn.shopify.com/s/files/1/0918/6066/4603/files/O1CN01gHtTn12NGHahusJdb__4234819935-0-cib_a0c02850-3d04-47ea-86d8-6861d5101bac.jpg?v=1753430429, friendlyName=Open</x:v>
      </x:c>
      <x:c r="C359" s="24" t="e">
        <x:f>HYPERLINK("https://365nails.com/products/summer-flash-diamond-press-on-nails-art-finished-fake-nail-nail-patch-nail-patch-toenail-patch-removable-nail-365nails","Summer Flash Diamond Press on nails Art Finished Fake Nail Nail Patch Nail Patch Toenail Patch Removable Nail｜365nails")</x:f>
        <x:v>HYPERLINK is not implemented. linkLocation=https://365nails.com/products/summer-flash-diamond-press-on-nails-art-finished-fake-nail-nail-patch-nail-patch-toenail-patch-removable-nail-365nails, friendlyName=Summer Flash Diamond Press on nails Art Finished Fake Nail Nail Patch Nail Patch Toenail Patch Removable Nail｜365nails</x:v>
      </x:c>
      <x:c r="D359" s="18" t="str">
        <x:v>color: JP1066</x:v>
      </x:c>
      <x:c r="E359" s="25" t="str">
        <x:v>$1.03</x:v>
      </x:c>
      <x:c r="F359" s="19" t="str">
        <x:v>1</x:v>
      </x:c>
    </x:row>
    <x:row r="360" ht="93" customHeight="1">
      <x:c r="A360" s="19" t="n">
        <x:v>357</x:v>
      </x:c>
      <x:c r="B360" s="22" t="e">
        <x:f>HYPERLINK("https://cdn.shopify.com/s/files/1/0918/6066/4603/files/O1CN01lqntWy2NGHywGTJri__4234819935-0-cib.jpg?v=1753429035","Open")</x:f>
        <x:v>HYPERLINK is not implemented. linkLocation=https://cdn.shopify.com/s/files/1/0918/6066/4603/files/O1CN01lqntWy2NGHywGTJri__4234819935-0-cib.jpg?v=1753429035, friendlyName=Open</x:v>
      </x:c>
      <x:c r="C360" s="24" t="e">
        <x:f>HYPERLINK("https://365nails.com/products/foreign-trade-hot-selling-french-red-press-on-nails-cross-border-explosion-wearable-nail-piece-almond-nail-art-fake-nail-365nails","hot-selling French red press on nails  explosion wearable  almond nail art ｜365nails")</x:f>
        <x:v>HYPERLINK is not implemented. linkLocation=https://365nails.com/products/foreign-trade-hot-selling-french-red-press-on-nails-cross-border-explosion-wearable-nail-piece-almond-nail-art-fake-nail-365nails, friendlyName=hot-selling French red press on nails  explosion wearable  almond nail art ｜365nails</x:v>
      </x:c>
      <x:c r="D360" s="18" t="str">
        <x:v>color: JP3853</x:v>
      </x:c>
      <x:c r="E360" s="25" t="str">
        <x:v>$1.28</x:v>
      </x:c>
      <x:c r="F360" s="19" t="str">
        <x:v>1</x:v>
      </x:c>
    </x:row>
    <x:row r="361" ht="93" customHeight="1">
      <x:c r="A361" s="19" t="n">
        <x:v>358</x:v>
      </x:c>
      <x:c r="B361" s="22" t="e">
        <x:f>HYPERLINK("https://cdn.shopify.com/s/files/1/0918/6066/4603/files/O1CN01XXlYtr2NGHtx0e5kY__4234819935-0-cib_d673a146-8ede-4b6d-9de2-987e6760e570.jpg?v=1761287907","Open")</x:f>
        <x:v>HYPERLINK is not implemented. linkLocation=https://cdn.shopify.com/s/files/1/0918/6066/4603/files/O1CN01XXlYtr2NGHtx0e5kY__4234819935-0-cib_d673a146-8ede-4b6d-9de2-987e6760e570.jpg?v=1761287907, friendlyName=Open</x:v>
      </x:c>
      <x:c r="C361" s="24" t="e">
        <x:f>HYPERLINK("https://365nails.com/products/high-sense-manicure-30-pieces-boxed-coated-fake-nails-simple-french-white-edge-wearing-nail-fake-nails","High sense manicure 30 pieces boxed coated fake nails simple French white edge wearing nail fake nails")</x:f>
        <x:v>HYPERLINK is not implemented. linkLocation=https://365nails.com/products/high-sense-manicure-30-pieces-boxed-coated-fake-nails-simple-french-white-edge-wearing-nail-fake-nails, friendlyName=High sense manicure 30 pieces boxed coated fake nails simple French white edge wearing nail fake nails</x:v>
      </x:c>
      <x:c r="D361" s="18" t="str">
        <x:v>Color: JP3496</x:v>
      </x:c>
      <x:c r="E361" s="25" t="str">
        <x:v>$1.41</x:v>
      </x:c>
      <x:c r="F361" s="19" t="str">
        <x:v>1</x:v>
      </x:c>
    </x:row>
    <x:row r="362" ht="93" customHeight="1">
      <x:c r="A362" s="19" t="n">
        <x:v>359</x:v>
      </x:c>
      <x:c r="B362" s="22" t="e">
        <x:f>HYPERLINK("https://cdn.shopify.com/s/files/1/0918/6066/4603/files/O1CN012pCrQe2NGHy9JgeHJ__4234819935-0-cib_dd1ff513-64d0-49df-9d2b-7fedbe084623.jpg?v=1761287456","Open")</x:f>
        <x:v>HYPERLINK is not implemented. linkLocation=https://cdn.shopify.com/s/files/1/0918/6066/4603/files/O1CN012pCrQe2NGHy9JgeHJ__4234819935-0-cib_dd1ff513-64d0-49df-9d2b-7fedbe084623.jpg?v=1761287456, friendlyName=Open</x:v>
      </x:c>
      <x:c r="C362" s="24" t="e">
        <x:f>HYPERLINK("https://365nails.com/products/2025-new-european-and-american-hot-selling-wearing-nail-short-almond-nail-nail-nail-piece-press-on-nails-fake-nails","press on nails short almond nail nail nail piece press on nails fake nails")</x:f>
        <x:v>HYPERLINK is not implemented. linkLocation=https://365nails.com/products/2025-new-european-and-american-hot-selling-wearing-nail-short-almond-nail-nail-nail-piece-press-on-nails-fake-nails, friendlyName=press on nails short almond nail nail nail piece press on nails fake nails</x:v>
      </x:c>
      <x:c r="D362" s="18" t="str">
        <x:v>Color: JP3838</x:v>
      </x:c>
      <x:c r="E362" s="25" t="str">
        <x:v>$0.79</x:v>
      </x:c>
      <x:c r="F362" s="19" t="str">
        <x:v>1</x:v>
      </x:c>
    </x:row>
    <x:row r="363" ht="93" customHeight="1">
      <x:c r="A363" s="19" t="n">
        <x:v>360</x:v>
      </x:c>
      <x:c r="B363" s="22" t="e">
        <x:f>HYPERLINK("https://cdn.shopify.com/s/files/1/0918/6066/4603/files/O1CN01q71ajB2NGHzX8nTaf__4234819935-0-cib.jpg?v=1758609934","Open")</x:f>
        <x:v>HYPERLINK is not implemented. linkLocation=https://cdn.shopify.com/s/files/1/0918/6066/4603/files/O1CN01q71ajB2NGHzX8nTaf__4234819935-0-cib.jpg?v=1758609934, friendlyName=Open</x:v>
      </x:c>
      <x:c r="C363" s="24" t="e">
        <x:f>HYPERLINK("https://365nails.com/products/3d-cherry-wear-nail-piece-french-red-short-almond-nail-piece-finished-wholesale","3D Cherry French Red Short Almond press-on nails")</x:f>
        <x:v>HYPERLINK is not implemented. linkLocation=https://365nails.com/products/3d-cherry-wear-nail-piece-french-red-short-almond-nail-piece-finished-wholesale, friendlyName=3D Cherry French Red Short Almond press-on nails</x:v>
      </x:c>
      <x:c r="D363" s="18" t="str">
        <x:v>color: JP4050</x:v>
      </x:c>
      <x:c r="E363" s="25" t="str">
        <x:v>$1.86</x:v>
      </x:c>
      <x:c r="F363" s="19" t="str">
        <x:v>1</x:v>
      </x:c>
    </x:row>
    <x:row r="364" ht="93" customHeight="1">
      <x:c r="A364" s="19" t="n">
        <x:v>361</x:v>
      </x:c>
      <x:c r="B364" s="22" t="e">
        <x:f>HYPERLINK("https://cdn.shopify.com/s/files/1/0918/6066/4603/files/O1CN01YllT862NGI0Qks7Kv__4234819935-0-cib.jpg?v=1763453551","Open")</x:f>
        <x:v>HYPERLINK is not implemented. linkLocation=https://cdn.shopify.com/s/files/1/0918/6066/4603/files/O1CN01YllT862NGI0Qks7Kv__4234819935-0-cib.jpg?v=1763453551, friendlyName=Open</x:v>
      </x:c>
      <x:c r="C364" s="24" t="e">
        <x:f>HYPERLINK("https://365nails.com/products/cherry-red-cute-french-accent-press-on-nails","Cherry Red Cute French Accent Press On Nails")</x:f>
        <x:v>HYPERLINK is not implemented. linkLocation=https://365nails.com/products/cherry-red-cute-french-accent-press-on-nails, friendlyName=Cherry Red Cute French Accent Press On Nails</x:v>
      </x:c>
      <x:c r="D364" s="18" t="str">
        <x:v>color: JP3999</x:v>
      </x:c>
      <x:c r="E364" s="25" t="str">
        <x:v>$1.79</x:v>
      </x:c>
      <x:c r="F364" s="19" t="str">
        <x:v>1</x:v>
      </x:c>
    </x:row>
    <x:row r="365" ht="93" customHeight="1">
      <x:c r="A365" s="19" t="n">
        <x:v>362</x:v>
      </x:c>
      <x:c r="B365" s="22" t="e">
        <x:f>HYPERLINK("https://cdn.shopify.com/s/files/1/0918/6066/4603/files/O1CN0132CvMb2NGI0JZBmis__4234819935-0-cib.jpg?v=1763453232","Open")</x:f>
        <x:v>HYPERLINK is not implemented. linkLocation=https://cdn.shopify.com/s/files/1/0918/6066/4603/files/O1CN0132CvMb2NGI0JZBmis__4234819935-0-cib.jpg?v=1763453232, friendlyName=Open</x:v>
      </x:c>
      <x:c r="C365" s="24" t="e">
        <x:f>HYPERLINK("https://365nails.com/products/pink-abstract-chrome-bubble-accent-press-on-nails","Pink Abstract Chrome Bubble Accent Press On Nails")</x:f>
        <x:v>HYPERLINK is not implemented. linkLocation=https://365nails.com/products/pink-abstract-chrome-bubble-accent-press-on-nails, friendlyName=Pink Abstract Chrome Bubble Accent Press On Nails</x:v>
      </x:c>
      <x:c r="D365" s="18" t="str">
        <x:v>color: JP4036</x:v>
      </x:c>
      <x:c r="E365" s="25" t="str">
        <x:v>$1.76</x:v>
      </x:c>
      <x:c r="F365" s="19" t="str">
        <x:v>1</x:v>
      </x:c>
    </x:row>
    <x:row r="366" ht="93" customHeight="1">
      <x:c r="A366" s="19" t="n">
        <x:v>363</x:v>
      </x:c>
      <x:c r="B366" s="22" t="e">
        <x:f>HYPERLINK("https://cdn.shopify.com/s/files/1/0918/6066/4603/files/O1CN01mmN8m12NGI0IensT1__4234819935-0-cib.jpg?v=1763451386","Open")</x:f>
        <x:v>HYPERLINK is not implemented. linkLocation=https://cdn.shopify.com/s/files/1/0918/6066/4603/files/O1CN01mmN8m12NGI0IensT1__4234819935-0-cib.jpg?v=1763451386, friendlyName=Open</x:v>
      </x:c>
      <x:c r="C366" s="24" t="e">
        <x:f>HYPERLINK("https://365nails.com/products/neutral-nude-almond-nails-with-subtle-gloss-glow","Neutral Nude Almond Nails with Subtle Gloss Glow")</x:f>
        <x:v>HYPERLINK is not implemented. linkLocation=https://365nails.com/products/neutral-nude-almond-nails-with-subtle-gloss-glow, friendlyName=Neutral Nude Almond Nails with Subtle Gloss Glow</x:v>
      </x:c>
      <x:c r="D366" s="18" t="str">
        <x:v>color: JP4099</x:v>
      </x:c>
      <x:c r="E366" s="25" t="str">
        <x:v>$1.34</x:v>
      </x:c>
      <x:c r="F366" s="19" t="str">
        <x:v>1</x:v>
      </x:c>
    </x:row>
    <x:row r="367" ht="93" customHeight="1">
      <x:c r="A367" s="19" t="n">
        <x:v>364</x:v>
      </x:c>
      <x:c r="B367" s="22" t="e">
        <x:f>HYPERLINK("https://cdn.shopify.com/s/files/1/0918/6066/4603/files/O1CN019OVcXh2NGHgxhj7tk__4234819935-0-cib_b7064d8e-b574-4f34-904b-467d3a15349b.jpg?v=1761287854","Open")</x:f>
        <x:v>HYPERLINK is not implemented. linkLocation=https://cdn.shopify.com/s/files/1/0918/6066/4603/files/O1CN019OVcXh2NGHgxhj7tk__4234819935-0-cib_b7064d8e-b574-4f34-904b-467d3a15349b.jpg?v=1761287854, friendlyName=Open</x:v>
      </x:c>
      <x:c r="C367" s="24" t="e">
        <x:f>HYPERLINK("https://365nails.com/products/nail-patch-wearing-nail-wholesale-macaron-color-purple-frosted-nail-sheet-nail-sheet-press-on-nails","Nail Patch Wearing Nail Wholesale Macaron Color Purple Frosted Nail Sheet Nail Sheet Press on nails")</x:f>
        <x:v>HYPERLINK is not implemented. linkLocation=https://365nails.com/products/nail-patch-wearing-nail-wholesale-macaron-color-purple-frosted-nail-sheet-nail-sheet-press-on-nails, friendlyName=Nail Patch Wearing Nail Wholesale Macaron Color Purple Frosted Nail Sheet Nail Sheet Press on nails</x:v>
      </x:c>
      <x:c r="D367" s="18" t="str">
        <x:v>color: JP1747</x:v>
      </x:c>
      <x:c r="E367" s="25" t="str">
        <x:v>$1.01</x:v>
      </x:c>
      <x:c r="F367" s="19" t="str">
        <x:v>1</x:v>
      </x:c>
    </x:row>
    <x:row r="368" ht="93" customHeight="1">
      <x:c r="A368" s="19" t="n">
        <x:v>365</x:v>
      </x:c>
      <x:c r="B368" s="22" t="e">
        <x:f>HYPERLINK("https://cdn.shopify.com/s/files/1/0918/6066/4603/files/O1CN01SXBgRL2NGI0IwN40Q__4234819935-0-cib.jpg?v=1763451946","Open")</x:f>
        <x:v>HYPERLINK is not implemented. linkLocation=https://cdn.shopify.com/s/files/1/0918/6066/4603/files/O1CN01SXBgRL2NGI0IwN40Q__4234819935-0-cib.jpg?v=1763451946, friendlyName=Open</x:v>
      </x:c>
      <x:c r="C368" s="24" t="e">
        <x:f>HYPERLINK("https://365nails.com/products/elegant-nude-floral-shimmer-press-on-nails-for-daily-charm","Elegant Nude Floral Shimmer Press On Nails for Daily Charm")</x:f>
        <x:v>HYPERLINK is not implemented. linkLocation=https://365nails.com/products/elegant-nude-floral-shimmer-press-on-nails-for-daily-charm, friendlyName=Elegant Nude Floral Shimmer Press On Nails for Daily Charm</x:v>
      </x:c>
      <x:c r="D368" s="18" t="str">
        <x:v>color: JP4091</x:v>
      </x:c>
      <x:c r="E368" s="25" t="str">
        <x:v>$1.46</x:v>
      </x:c>
      <x:c r="F368" s="19" t="str">
        <x:v>1</x:v>
      </x:c>
    </x:row>
    <x:row r="369" ht="93" customHeight="1">
      <x:c r="A369" s="19" t="n">
        <x:v>366</x:v>
      </x:c>
      <x:c r="B369" s="22" t="e">
        <x:f>HYPERLINK("https://cdn.shopify.com/s/files/1/0918/6066/4603/files/O1CN01hHgApC2NGI0Jp3o2S__4234819935-0-cib.jpg?v=1763448092","Open")</x:f>
        <x:v>HYPERLINK is not implemented. linkLocation=https://cdn.shopify.com/s/files/1/0918/6066/4603/files/O1CN01hHgApC2NGI0Jp3o2S__4234819935-0-cib.jpg?v=1763448092, friendlyName=Open</x:v>
      </x:c>
      <x:c r="C369" s="24" t="e">
        <x:f>HYPERLINK("https://365nails.com/products/pearl-sheer-french-nails-with-soft-white-shimmer-highlights","Pearl Sheer French Nails with Soft White Shimmer Highlights")</x:f>
        <x:v>HYPERLINK is not implemented. linkLocation=https://365nails.com/products/pearl-sheer-french-nails-with-soft-white-shimmer-highlights, friendlyName=Pearl Sheer French Nails with Soft White Shimmer Highlights</x:v>
      </x:c>
      <x:c r="D369" s="18" t="str">
        <x:v>color: JP4102</x:v>
      </x:c>
      <x:c r="E369" s="25" t="str">
        <x:v>$0.82</x:v>
      </x:c>
      <x:c r="F369" s="19" t="str">
        <x:v>1</x:v>
      </x:c>
    </x:row>
    <x:row r="370" ht="93" customHeight="1">
      <x:c r="A370" s="19" t="n">
        <x:v>367</x:v>
      </x:c>
      <x:c r="B370" s="22" t="e">
        <x:f>HYPERLINK("https://cdn.shopify.com/s/files/1/0918/6066/4603/files/O1CN01nnuouU2NGI0KcqJ0w__4234819935-0-cib.jpg?v=1763447978","Open")</x:f>
        <x:v>HYPERLINK is not implemented. linkLocation=https://cdn.shopify.com/s/files/1/0918/6066/4603/files/O1CN01nnuouU2NGI0KcqJ0w__4234819935-0-cib.jpg?v=1763447978, friendlyName=Open</x:v>
      </x:c>
      <x:c r="C370" s="24" t="e">
        <x:f>HYPERLINK("https://365nails.com/products/chic-monochrome-nails-with-dalmatian-spots-and-white-accents","Chic Monochrome Nails with Dalmatian Spots and White Accents")</x:f>
        <x:v>HYPERLINK is not implemented. linkLocation=https://365nails.com/products/chic-monochrome-nails-with-dalmatian-spots-and-white-accents, friendlyName=Chic Monochrome Nails with Dalmatian Spots and White Accents</x:v>
      </x:c>
      <x:c r="D370" s="18" t="str">
        <x:v>color: JP4078</x:v>
      </x:c>
      <x:c r="E370" s="25" t="str">
        <x:v>$0.82</x:v>
      </x:c>
      <x:c r="F370" s="19" t="str">
        <x:v>1</x:v>
      </x:c>
    </x:row>
    <x:row r="371" ht="93" customHeight="1">
      <x:c r="A371" s="19" t="n">
        <x:v>368</x:v>
      </x:c>
      <x:c r="B371" s="22" t="e">
        <x:f>HYPERLINK("https://cdn.shopify.com/s/files/1/0918/6066/4603/files/O1CN01LZmtaU2NGHwJOieN7__4234819935-0-cib_cab3cbed-9267-44ef-962b-26c3df802ed3.jpg?v=1761291708","Open")</x:f>
        <x:v>HYPERLINK is not implemented. linkLocation=https://cdn.shopify.com/s/files/1/0918/6066/4603/files/O1CN01LZmtaU2NGHwJOieN7__4234819935-0-cib_cab3cbed-9267-44ef-962b-26c3df802ed3.jpg?v=1761291708, friendlyName=Open</x:v>
      </x:c>
      <x:c r="C371" s="24" t="e">
        <x:f>HYPERLINK("https://365nails.com/products/autumn-and-winter-popular-french-leopard-print-manicure-medium-and-short-square-wearing-armor-press-on-nails-nail-piece-removable","Autumn and winter popular French leopard print manicure medium and short square wearing armor press on nails nail piece removable")</x:f>
        <x:v>HYPERLINK is not implemented. linkLocation=https://365nails.com/products/autumn-and-winter-popular-french-leopard-print-manicure-medium-and-short-square-wearing-armor-press-on-nails-nail-piece-removable, friendlyName=Autumn and winter popular French leopard print manicure medium and short square wearing armor press on nails nail piece removable</x:v>
      </x:c>
      <x:c r="D371" s="18" t="str">
        <x:v>Color: JP3661</x:v>
      </x:c>
      <x:c r="E371" s="25" t="str">
        <x:v>$1.01</x:v>
      </x:c>
      <x:c r="F371" s="19" t="str">
        <x:v>1</x:v>
      </x:c>
    </x:row>
    <x:row r="372" ht="93" customHeight="1">
      <x:c r="A372" s="19" t="n">
        <x:v>369</x:v>
      </x:c>
      <x:c r="B372" s="22" t="e">
        <x:f>HYPERLINK("https://cdn.shopify.com/s/files/1/0918/6066/4603/files/O1CN01SB2LtD2NGI0NxgqYY__4234819935-0-cib.jpg?v=1763453778","Open")</x:f>
        <x:v>HYPERLINK is not implemented. linkLocation=https://cdn.shopify.com/s/files/1/0918/6066/4603/files/O1CN01SB2LtD2NGI0NxgqYY__4234819935-0-cib.jpg?v=1763453778, friendlyName=Open</x:v>
      </x:c>
      <x:c r="C372" s="24" t="e">
        <x:f>HYPERLINK("https://365nails.com/products/pink-glitter-sheer-nails-with-sparkling-accent-shine","Pink Glitter Sheer Nails with Sparkling Accent Shine")</x:f>
        <x:v>HYPERLINK is not implemented. linkLocation=https://365nails.com/products/pink-glitter-sheer-nails-with-sparkling-accent-shine, friendlyName=Pink Glitter Sheer Nails with Sparkling Accent Shine</x:v>
      </x:c>
      <x:c r="D372" s="18" t="str">
        <x:v>color: JL0696</x:v>
      </x:c>
      <x:c r="E372" s="25" t="str">
        <x:v>$1.34</x:v>
      </x:c>
      <x:c r="F372" s="19" t="str">
        <x:v>1</x:v>
      </x:c>
    </x:row>
    <x:row r="373" ht="93" customHeight="1">
      <x:c r="A373" s="19" t="n">
        <x:v>370</x:v>
      </x:c>
      <x:c r="B373" s="22" t="e">
        <x:f>HYPERLINK("https://cdn.shopify.com/s/files/1/0918/6066/4603/files/O1CN01dcR0iP2NGI0RMqX3B__4234819935-0-cib.jpg?v=1763452706","Open")</x:f>
        <x:v>HYPERLINK is not implemented. linkLocation=https://cdn.shopify.com/s/files/1/0918/6066/4603/files/O1CN01dcR0iP2NGI0RMqX3B__4234819935-0-cib.jpg?v=1763452706, friendlyName=Open</x:v>
      </x:c>
      <x:c r="C373" s="24" t="e">
        <x:f>HYPERLINK("https://365nails.com/products/silver-glitter-leopard-nails-with-cute-metallic-bows","Silver Glitter Leopard Nails with Cute Metallic Bows")</x:f>
        <x:v>HYPERLINK is not implemented. linkLocation=https://365nails.com/products/silver-glitter-leopard-nails-with-cute-metallic-bows, friendlyName=Silver Glitter Leopard Nails with Cute Metallic Bows</x:v>
      </x:c>
      <x:c r="D373" s="18" t="str">
        <x:v>color: JP4051</x:v>
      </x:c>
      <x:c r="E373" s="25" t="str">
        <x:v>$1.54</x:v>
      </x:c>
      <x:c r="F373" s="19" t="str">
        <x:v>1</x:v>
      </x:c>
    </x:row>
    <x:row r="374" ht="93" customHeight="1">
      <x:c r="A374" s="19" t="n">
        <x:v>371</x:v>
      </x:c>
      <x:c r="B374" s="22" t="e">
        <x:f>HYPERLINK("https://cdn.shopify.com/s/files/1/0918/6066/4603/files/O1CN01TShpeG2NGI0LXGcKH__4234819935-0-cib.jpg?v=1763448033","Open")</x:f>
        <x:v>HYPERLINK is not implemented. linkLocation=https://cdn.shopify.com/s/files/1/0918/6066/4603/files/O1CN01TShpeG2NGI0LXGcKH__4234819935-0-cib.jpg?v=1763448033, friendlyName=Open</x:v>
      </x:c>
      <x:c r="C374" s="24" t="e">
        <x:f>HYPERLINK("https://365nails.com/products/warm-brown-gradient-nails-with-deep-chocolate-french-tips","Warm Brown Gradient Nails with Deep Chocolate French Tips")</x:f>
        <x:v>HYPERLINK is not implemented. linkLocation=https://365nails.com/products/warm-brown-gradient-nails-with-deep-chocolate-french-tips, friendlyName=Warm Brown Gradient Nails with Deep Chocolate French Tips</x:v>
      </x:c>
      <x:c r="D374" s="18" t="str">
        <x:v>color: JP4094</x:v>
      </x:c>
      <x:c r="E374" s="25" t="str">
        <x:v>$0.82</x:v>
      </x:c>
      <x:c r="F374" s="19" t="str">
        <x:v>1</x:v>
      </x:c>
    </x:row>
    <x:row r="375" ht="93" customHeight="1">
      <x:c r="A375" s="19" t="n">
        <x:v>372</x:v>
      </x:c>
      <x:c r="B375" s="22" t="e">
        <x:f>HYPERLINK("https://cdn.shopify.com/s/files/1/0918/6066/4603/files/O1CN01OZApWG2NGHy9bWO4Y__4234819935-0-cib_dac61e3b-7cd3-494c-9130-29210cdb2071.jpg?v=1761288710","Open")</x:f>
        <x:v>HYPERLINK is not implemented. linkLocation=https://cdn.shopify.com/s/files/1/0918/6066/4603/files/O1CN01OZApWG2NGHy9bWO4Y__4234819935-0-cib_dac61e3b-7cd3-494c-9130-29210cdb2071.jpg?v=1761288710, friendlyName=Open</x:v>
      </x:c>
      <x:c r="C375" s="24" t="e">
        <x:f>HYPERLINK("https://365nails.com/products/fresh-green-short-round-short-wear-nail-summer-new-foreign-trade-hot-selling-nail-piece-press-on-nails","Fresh green short round short wear nail summer new foreign trade hot-selling nail piece press on nails")</x:f>
        <x:v>HYPERLINK is not implemented. linkLocation=https://365nails.com/products/fresh-green-short-round-short-wear-nail-summer-new-foreign-trade-hot-selling-nail-piece-press-on-nails, friendlyName=Fresh green short round short wear nail summer new foreign trade hot-selling nail piece press on nails</x:v>
      </x:c>
      <x:c r="D375" s="18" t="str">
        <x:v>color: JP3837</x:v>
      </x:c>
      <x:c r="E375" s="25" t="str">
        <x:v>$1.18</x:v>
      </x:c>
      <x:c r="F375" s="19" t="str">
        <x:v>1</x:v>
      </x:c>
    </x:row>
    <x:row r="376" ht="93" customHeight="1">
      <x:c r="A376" s="19" t="n">
        <x:v>373</x:v>
      </x:c>
      <x:c r="B376" s="22" t="e">
        <x:f>HYPERLINK("https://cdn.shopify.com/s/files/1/0918/6066/4603/files/O1CN017mXDhl2NGHygDKUEb__4234819935-0-cib_3984f1b9-0bc9-4ce7-9828-032eb7811848.jpg?v=1761288210","Open")</x:f>
        <x:v>HYPERLINK is not implemented. linkLocation=https://cdn.shopify.com/s/files/1/0918/6066/4603/files/O1CN017mXDhl2NGHygDKUEb__4234819935-0-cib_3984f1b9-0bc9-4ce7-9828-032eb7811848.jpg?v=1761288210, friendlyName=Open</x:v>
      </x:c>
      <x:c r="C376" s="24" t="e">
        <x:f>HYPERLINK("https://365nails.com/products/cross-border-foreign-trade-yellow-french-wearing-nail-simple-manicure-fake-nail-short-almond-wearing-nail-piece-wholesale","Cross-border foreign trade yellow French wearing nail simple manicure fake nail short almond wearing nail piece wholesale")</x:f>
        <x:v>HYPERLINK is not implemented. linkLocation=https://365nails.com/products/cross-border-foreign-trade-yellow-french-wearing-nail-simple-manicure-fake-nail-short-almond-wearing-nail-piece-wholesale, friendlyName=Cross-border foreign trade yellow French wearing nail simple manicure fake nail short almond wearing nail piece wholesale</x:v>
      </x:c>
      <x:c r="D376" s="18" t="str">
        <x:v>color: JP3926</x:v>
      </x:c>
      <x:c r="E376" s="25" t="str">
        <x:v>$0.45</x:v>
      </x:c>
      <x:c r="F376" s="19" t="str">
        <x:v>1</x:v>
      </x:c>
    </x:row>
    <x:row r="377" ht="93" customHeight="1">
      <x:c r="A377" s="19" t="n">
        <x:v>374</x:v>
      </x:c>
      <x:c r="B377" s="22" t="e">
        <x:f>HYPERLINK("https://cdn.shopify.com/s/files/1/0918/6066/4603/files/15238567858_2037667256.jpg?v=1753430438","Open")</x:f>
        <x:v>HYPERLINK is not implemented. linkLocation=https://cdn.shopify.com/s/files/1/0918/6066/4603/files/15238567858_2037667256.jpg?v=1753430438, friendlyName=Open</x:v>
      </x:c>
      <x:c r="C377" s="24" t="e">
        <x:f>HYPERLINK("https://365nails.com/products/solid-color-short-avocado-green-grass-green-white-press-on-nails-finished-fake-nail-manicure-patch-nail-patch-waterproof-365nails","Solid color short avocado green grass green white press on nails finished fake nail manicure patch nail patch waterproof｜365nails")</x:f>
        <x:v>HYPERLINK is not implemented. linkLocation=https://365nails.com/products/solid-color-short-avocado-green-grass-green-white-press-on-nails-finished-fake-nail-manicure-patch-nail-patch-waterproof-365nails, friendlyName=Solid color short avocado green grass green white press on nails finished fake nail manicure patch nail patch waterproof｜365nails</x:v>
      </x:c>
      <x:c r="D377" s="18" t="str">
        <x:v>Color: JP771</x:v>
      </x:c>
      <x:c r="E377" s="25" t="str">
        <x:v>$0.83</x:v>
      </x:c>
      <x:c r="F377" s="19" t="str">
        <x:v>1</x:v>
      </x:c>
    </x:row>
    <x:row r="378" ht="93" customHeight="1">
      <x:c r="A378" s="19" t="n">
        <x:v>375</x:v>
      </x:c>
      <x:c r="B378" s="22" t="e">
        <x:f>HYPERLINK("https://cdn.shopify.com/s/files/1/0918/6066/4603/files/O1CN01vOJIqJ2NGI0RlCPAY__4234819935-0-cib.jpg?v=1763447658","Open")</x:f>
        <x:v>HYPERLINK is not implemented. linkLocation=https://cdn.shopify.com/s/files/1/0918/6066/4603/files/O1CN01vOJIqJ2NGI0RlCPAY__4234819935-0-cib.jpg?v=1763447658, friendlyName=Open</x:v>
      </x:c>
      <x:c r="C378" s="24" t="e">
        <x:f>HYPERLINK("https://365nails.com/products/brown-bow-art-nails-with-playful-dot-details","Brown Bow Art Nails with Playful Dot Details")</x:f>
        <x:v>HYPERLINK is not implemented. linkLocation=https://365nails.com/products/brown-bow-art-nails-with-playful-dot-details, friendlyName=Brown Bow Art Nails with Playful Dot Details</x:v>
      </x:c>
      <x:c r="D378" s="18" t="str">
        <x:v>color: JP4018</x:v>
      </x:c>
      <x:c r="E378" s="25" t="str">
        <x:v>$1.98</x:v>
      </x:c>
      <x:c r="F378" s="19" t="str">
        <x:v>1</x:v>
      </x:c>
    </x:row>
    <x:row r="379" ht="93" customHeight="1">
      <x:c r="A379" s="19" t="n">
        <x:v>376</x:v>
      </x:c>
      <x:c r="B379" s="22" t="e">
        <x:f>HYPERLINK("https://cdn.shopify.com/s/files/1/0918/6066/4603/files/1032d00840d93082dcf18a55cd2eea16.jpg?v=1761291644","Open")</x:f>
        <x:v>HYPERLINK is not implemented. linkLocation=https://cdn.shopify.com/s/files/1/0918/6066/4603/files/1032d00840d93082dcf18a55cd2eea16.jpg?v=1761291644, friendlyName=Open</x:v>
      </x:c>
      <x:c r="C379" s="24" t="e">
        <x:f>HYPERLINK("https://365nails.com/products/naked-powder-flash-cat-eye-wearing-nail-short-square-manicure-fake-nails-cross-border-hot-selling-wearable-nail-fake-nails","Naked powder flash cat eye wearing nail short square manicure fake nails cross-border hot-selling wearable nail fake nails")</x:f>
        <x:v>HYPERLINK is not implemented. linkLocation=https://365nails.com/products/naked-powder-flash-cat-eye-wearing-nail-short-square-manicure-fake-nails-cross-border-hot-selling-wearable-nail-fake-nails, friendlyName=Naked powder flash cat eye wearing nail short square manicure fake nails cross-border hot-selling wearable nail fake nails</x:v>
      </x:c>
      <x:c r="D379" s="18" t="str">
        <x:v>Color: JP3730</x:v>
      </x:c>
      <x:c r="E379" s="25" t="str">
        <x:v>$0.68</x:v>
      </x:c>
      <x:c r="F379" s="19" t="str">
        <x:v>1</x:v>
      </x:c>
    </x:row>
    <x:row r="380" ht="93" customHeight="1">
      <x:c r="A380" s="19" t="n">
        <x:v>377</x:v>
      </x:c>
      <x:c r="B380" s="22" t="e">
        <x:f>HYPERLINK("https://cdn.shopify.com/s/files/1/0918/6066/4603/files/O1CN01GZ19C52NGI3OmTCim__4234819935-0-cib.jpg?v=1779454459","Open")</x:f>
        <x:v>HYPERLINK is not implemented. linkLocation=https://cdn.shopify.com/s/files/1/0918/6066/4603/files/O1CN01GZ19C52NGI3OmTCim__4234819935-0-cib.jpg?v=1779454459, friendlyName=Open</x:v>
      </x:c>
      <x:c r="C380" s="24" t="e">
        <x:f>HYPERLINK("https://365nails.com/products/365nails-3d-pink-flower-with-polka-dot-french-stiletto-elegant-press-on-nails","365nails: ""3D Pink Flower with Polka Dot French Stiletto"" – Elegant Press-on Nails")</x:f>
        <x:v>HYPERLINK is not implemented. linkLocation=https://365nails.com/products/365nails-3d-pink-flower-with-polka-dot-french-stiletto-elegant-press-on-nails, friendlyName=365nails: "3D Pink Flower with Polka Dot French Stiletto" – Elegant Press-on Nails</x:v>
      </x:c>
      <x:c r="D380" s="18" t="str">
        <x:v>Color: Jp 4417</x:v>
      </x:c>
      <x:c r="E380" s="25" t="str">
        <x:v>$1.04</x:v>
      </x:c>
      <x:c r="F380" s="19" t="str">
        <x:v>1</x:v>
      </x:c>
    </x:row>
    <x:row r="381" ht="93" customHeight="1">
      <x:c r="A381" s="19" t="n">
        <x:v>378</x:v>
      </x:c>
      <x:c r="B381" s="22" t="e">
        <x:f>HYPERLINK("https://cdn.shopify.com/s/files/1/0918/6066/4603/files/O1CN01aTH9Dr1CPwQI1NtWR__2213196780074-0-cib.jpg?v=1776936651","Open")</x:f>
        <x:v>HYPERLINK is not implemented. linkLocation=https://cdn.shopify.com/s/files/1/0918/6066/4603/files/O1CN01aTH9Dr1CPwQI1NtWR__2213196780074-0-cib.jpg?v=1776936651, friendlyName=Open</x:v>
      </x:c>
      <x:c r="C381" s="24" t="e">
        <x:f>HYPERLINK("https://365nails.com/products/365nails-gothic-garden-3d-floral-butterfly-handmade-medium-coffin-nails","365nails: ""Gothic Garden"" – 3D Floral &amp; Butterfly Handmade Medium Coffin Nails")</x:f>
        <x:v>HYPERLINK is not implemented. linkLocation=https://365nails.com/products/365nails-gothic-garden-3d-floral-butterfly-handmade-medium-coffin-nails, friendlyName=365nails: "Gothic Garden" – 3D Floral &amp; Butterfly Handmade Medium Coffin Nails</x:v>
      </x:c>
      <x:c r="D381" s="18" t="str">
        <x:v>Color: 3466-new sino-sino; Color classification: Extra small size xs / Small s / Medium m / Large l</x:v>
      </x:c>
      <x:c r="E381" s="25" t="str">
        <x:v>$3.99</x:v>
      </x:c>
      <x:c r="F381" s="19" t="str">
        <x:v>1</x:v>
      </x:c>
    </x:row>
    <x:row r="382" ht="93" customHeight="1">
      <x:c r="A382" s="19" t="n">
        <x:v>379</x:v>
      </x:c>
      <x:c r="B382" s="22" t="e">
        <x:f>HYPERLINK("https://cdn.shopify.com/s/files/1/0918/6066/4603/files/O1CN012R8aBP1rlpZyvkRU0__2215158925672-0-cib.jpg?v=1763189355","Open")</x:f>
        <x:v>HYPERLINK is not implemented. linkLocation=https://cdn.shopify.com/s/files/1/0918/6066/4603/files/O1CN012R8aBP1rlpZyvkRU0__2215158925672-0-cib.jpg?v=1763189355, friendlyName=Open</x:v>
      </x:c>
      <x:c r="C382" s="24" t="e">
        <x:f>HYPERLINK("https://365nails.com/products/emerald-muse-series-press-on-nails","Emerald Muse Series Press-On Nails")</x:f>
        <x:v>HYPERLINK is not implemented. linkLocation=https://365nails.com/products/emerald-muse-series-press-on-nails, friendlyName=Emerald Muse Series Press-On Nails</x:v>
      </x:c>
      <x:c r="D382" s="18" t="str">
        <x:v>SIZE: S / M / L</x:v>
      </x:c>
      <x:c r="E382" s="25" t="str">
        <x:v>$4.49</x:v>
      </x:c>
      <x:c r="F382" s="19" t="str">
        <x:v>30</x:v>
      </x:c>
    </x:row>
    <x:row r="383" ht="93" customHeight="1">
      <x:c r="A383" s="19" t="n">
        <x:v>380</x:v>
      </x:c>
      <x:c r="B383" s="22" t="e">
        <x:f>HYPERLINK("https://cdn.shopify.com/s/files/1/0918/6066/4603/files/O1CN01ROW23F1CPwPuArZEU__2213196780074-0-cib.jpg?v=1776852477","Open")</x:f>
        <x:v>HYPERLINK is not implemented. linkLocation=https://cdn.shopify.com/s/files/1/0918/6066/4603/files/O1CN01ROW23F1CPwPuArZEU__2213196780074-0-cib.jpg?v=1776852477, friendlyName=Open</x:v>
      </x:c>
      <x:c r="C383" s="24" t="e">
        <x:f>HYPERLINK("https://365nails.com/products/365nails-cosmic-dusk-magnetic-cat-eye-floral-handmade-short-square-nails","365nails: ""Cosmic Dusk"" – Magnetic Cat-Eye &amp; Floral Handmade Short Square Nails")</x:f>
        <x:v>HYPERLINK is not implemented. linkLocation=https://365nails.com/products/365nails-cosmic-dusk-magnetic-cat-eye-floral-handmade-short-square-nails, friendlyName=365nails: "Cosmic Dusk" – Magnetic Cat-Eye &amp; Floral Handmade Short Square Nails</x:v>
      </x:c>
      <x:c r="D383" s="18" t="str">
        <x:v>Color: 1303-short ladder; Color classification: Extra small size xs / Small s / Medium m / Large l</x:v>
      </x:c>
      <x:c r="E383" s="25" t="str">
        <x:v>$2.99</x:v>
      </x:c>
      <x:c r="F383" s="19" t="str">
        <x:v>1</x:v>
      </x:c>
    </x:row>
    <x:row r="384" ht="93" customHeight="1">
      <x:c r="A384" s="19" t="n">
        <x:v>381</x:v>
      </x:c>
      <x:c r="B384" s="22" t="e">
        <x:f>HYPERLINK("https://cdn.shopify.com/s/files/1/0918/6066/4603/files/O1CN010NHXjz2NGHzsMGQjg__4234819935-0-cib.jpg?v=1758610028","Open")</x:f>
        <x:v>HYPERLINK is not implemented. linkLocation=https://cdn.shopify.com/s/files/1/0918/6066/4603/files/O1CN010NHXjz2NGHzsMGQjg__4234819935-0-cib.jpg?v=1758610028, friendlyName=Open</x:v>
      </x:c>
      <x:c r="C384" s="24" t="e">
        <x:f>HYPERLINK("https://365nails.com/products/naked-pink-cat-eye-flash-wearing-nail-art-nail-piece-short-square-nail-fake-nail-can-be-repeated-finger","Naked pink cat eye flash short square press-on nails")</x:f>
        <x:v>HYPERLINK is not implemented. linkLocation=https://365nails.com/products/naked-pink-cat-eye-flash-wearing-nail-art-nail-piece-short-square-nail-fake-nail-can-be-repeated-finger, friendlyName=Naked pink cat eye flash short square press-on nails</x:v>
      </x:c>
      <x:c r="D384" s="18" t="str">
        <x:v>color: JL0700</x:v>
      </x:c>
      <x:c r="E384" s="25" t="str">
        <x:v>$1.36</x:v>
      </x:c>
      <x:c r="F384" s="19" t="str">
        <x:v>1</x:v>
      </x:c>
    </x:row>
    <x:row r="385" ht="93" customHeight="1">
      <x:c r="A385" s="19" t="n">
        <x:v>382</x:v>
      </x:c>
      <x:c r="B385" s="22" t="e">
        <x:f>HYPERLINK("https://cdn.shopify.com/s/files/1/0918/6066/4603/files/O1CN01VHsnNZ2NGHzAPRg5I__4234819935-0-cib.jpg?v=1758609854","Open")</x:f>
        <x:v>HYPERLINK is not implemented. linkLocation=https://cdn.shopify.com/s/files/1/0918/6066/4603/files/O1CN01VHsnNZ2NGHzAPRg5I__4234819935-0-cib.jpg?v=1758609854, friendlyName=Open</x:v>
      </x:c>
      <x:c r="C385" s="24" t="e">
        <x:f>HYPERLINK("https://365nails.com/products/fresh-blue-flower-manicure-nail-piece-pink-white-gradual-change-simple-wear-nail-fake-nail-short-square-nail","Fresh blue flowers pink and white gradual change simple short square press-on nails")</x:f>
        <x:v>HYPERLINK is not implemented. linkLocation=https://365nails.com/products/fresh-blue-flower-manicure-nail-piece-pink-white-gradual-change-simple-wear-nail-fake-nail-short-square-nail, friendlyName=Fresh blue flowers pink and white gradual change simple short square press-on nails</x:v>
      </x:c>
      <x:c r="D385" s="18" t="str">
        <x:v>Color: JP3897</x:v>
      </x:c>
      <x:c r="E385" s="25" t="str">
        <x:v>$1.36</x:v>
      </x:c>
      <x:c r="F385" s="19" t="str">
        <x:v>1</x:v>
      </x:c>
    </x:row>
    <x:row r="386" ht="93" customHeight="1">
      <x:c r="A386" s="19" t="n">
        <x:v>383</x:v>
      </x:c>
      <x:c r="B386" s="22" t="e">
        <x:f>HYPERLINK("https://cdn.shopify.com/s/files/1/0918/6066/4603/files/O1CN01AGVaCU1CPwLxMe6w4__2213196780074-0-cib.jpg?v=1776763656","Open")</x:f>
        <x:v>HYPERLINK is not implemented. linkLocation=https://cdn.shopify.com/s/files/1/0918/6066/4603/files/O1CN01AGVaCU1CPwLxMe6w4__2213196780074-0-cib.jpg?v=1776763656, friendlyName=Open</x:v>
      </x:c>
      <x:c r="C386" s="24" t="e">
        <x:f>HYPERLINK("https://365nails.com/products/365nails-gothic-angel-3d-charms-cross-handmade-coffin-nails","365nails: ""Gothic Angel"" – 3D Charms &amp; Cross Handmade Coffin Nails")</x:f>
        <x:v>HYPERLINK is not implemented. linkLocation=https://365nails.com/products/365nails-gothic-angel-3d-charms-cross-handmade-coffin-nails, friendlyName=365nails: "Gothic Angel" – 3D Charms &amp; Cross Handmade Coffin Nails</x:v>
      </x:c>
      <x:c r="D386" s="18" t="str">
        <x:v>Color: 161-short ladder; Color classification: Xs / S / M / L</x:v>
      </x:c>
      <x:c r="E386" s="25" t="str">
        <x:v>$3.49</x:v>
      </x:c>
      <x:c r="F386" s="19" t="str">
        <x:v>1</x:v>
      </x:c>
    </x:row>
    <x:row r="387" ht="93" customHeight="1">
      <x:c r="A387" s="19" t="n">
        <x:v>384</x:v>
      </x:c>
      <x:c r="B387" s="22" t="e">
        <x:f>HYPERLINK("https://cdn.shopify.com/s/files/1/0918/6066/4603/files/O1CN01qzIbrM2NGHyvQZxGp__4234819935-0-cib.jpg?v=1753430690","Open")</x:f>
        <x:v>HYPERLINK is not implemented. linkLocation=https://cdn.shopify.com/s/files/1/0918/6066/4603/files/O1CN01qzIbrM2NGHyvQZxGp__4234819935-0-cib.jpg?v=1753430690, friendlyName=Open</x:v>
      </x:c>
      <x:c r="C387" s="24" t="e">
        <x:f>HYPERLINK("https://365nails.com/products/love-bow-manicure-fake-nails-almond-shaped-press-on-nails-pieces-finished-flash-diamond-flash-press-on-nails-wholesale-365nails","Love bow manicure fake nails almond-shaped press on nails pieces finished flash diamond flash press on nails wholesale｜365nails")</x:f>
        <x:v>HYPERLINK is not implemented. linkLocation=https://365nails.com/products/love-bow-manicure-fake-nails-almond-shaped-press-on-nails-pieces-finished-flash-diamond-flash-press-on-nails-wholesale-365nails, friendlyName=Love bow manicure fake nails almond-shaped press on nails pieces finished flash diamond flash press on nails wholesale｜365nails</x:v>
      </x:c>
      <x:c r="D387" s="18" t="str">
        <x:v>color: JP3888</x:v>
      </x:c>
      <x:c r="E387" s="25" t="str">
        <x:v>$1.03</x:v>
      </x:c>
      <x:c r="F387" s="19" t="str">
        <x:v>1</x:v>
      </x:c>
    </x:row>
    <x:row r="388" ht="93" customHeight="1">
      <x:c r="A388" s="19" t="n">
        <x:v>385</x:v>
      </x:c>
      <x:c r="B388" s="22" t="e">
        <x:f>HYPERLINK("https://cdn.shopify.com/s/files/1/0918/6066/4603/files/O1CN01MaRmMa2NGHeS0tR3S__4234819935-0-cib_db8d38ec-43b5-47a5-a68a-739402b375e7.jpg?v=1753430665","Open")</x:f>
        <x:v>HYPERLINK is not implemented. linkLocation=https://cdn.shopify.com/s/files/1/0918/6066/4603/files/O1CN01MaRmMa2NGHeS0tR3S__4234819935-0-cib_db8d38ec-43b5-47a5-a68a-739402b375e7.jpg?v=1753430665, friendlyName=Open</x:v>
      </x:c>
      <x:c r="C388" s="24" t="e">
        <x:f>HYPERLINK("https://365nails.com/products/simple-solid-color-press-on-nails-plaid-nail-art-fake-nail-short-xiaohongshu-ins-press-on-nails-piece-finished-product-wholesale-365nails","Simple solid color press on nails plaid nail art fake nail short  ins press on nails piece finished product wholesale｜365nails")</x:f>
        <x:v>HYPERLINK is not implemented. linkLocation=https://365nails.com/products/simple-solid-color-press-on-nails-plaid-nail-art-fake-nail-short-xiaohongshu-ins-press-on-nails-piece-finished-product-wholesale-365nails, friendlyName=Simple solid color press on nails plaid nail art fake nail short  ins press on nails piece finished product wholesale｜365nails</x:v>
      </x:c>
      <x:c r="D388" s="18" t="str">
        <x:v>color: JP983 / JP980 / JP993 / JP1320 / JP1365</x:v>
      </x:c>
      <x:c r="E388" s="25" t="str">
        <x:v>$0.70</x:v>
      </x:c>
      <x:c r="F388" s="19" t="str">
        <x:v>1</x:v>
      </x:c>
    </x:row>
    <x:row r="389" ht="93" customHeight="1">
      <x:c r="A389" s="19" t="n">
        <x:v>386</x:v>
      </x:c>
      <x:c r="B389" s="22" t="e">
        <x:f>HYPERLINK("https://cdn.shopify.com/s/files/1/0918/6066/4603/files/O1CN01phEInb2NGI0UsiIwV__4234819935-0-cib.jpg?v=1763453976","Open")</x:f>
        <x:v>HYPERLINK is not implemented. linkLocation=https://cdn.shopify.com/s/files/1/0918/6066/4603/files/O1CN01phEInb2NGI0UsiIwV__4234819935-0-cib.jpg?v=1763453976, friendlyName=Open</x:v>
      </x:c>
      <x:c r="C389" s="24" t="e">
        <x:f>HYPERLINK("https://365nails.com/products/silver-bow-star-nails-with-frosted-metallic-accents","Silver Bow Star Nails with Frosted Metallic Accents")</x:f>
        <x:v>HYPERLINK is not implemented. linkLocation=https://365nails.com/products/silver-bow-star-nails-with-frosted-metallic-accents, friendlyName=Silver Bow Star Nails with Frosted Metallic Accents</x:v>
      </x:c>
      <x:c r="D389" s="18" t="str">
        <x:v>color: JP4110</x:v>
      </x:c>
      <x:c r="E389" s="25" t="str">
        <x:v>$1.54</x:v>
      </x:c>
      <x:c r="F389" s="19" t="str">
        <x:v>1</x:v>
      </x:c>
    </x:row>
    <x:row r="390" ht="93" customHeight="1">
      <x:c r="A390" s="19" t="n">
        <x:v>387</x:v>
      </x:c>
      <x:c r="B390" s="22" t="e">
        <x:f>HYPERLINK("https://cdn.shopify.com/s/files/1/0918/6066/4603/files/O1CN01GCcyLM1rlpZWVCKki__2215158925672-0-cib.jpg?v=1763187906","Open")</x:f>
        <x:v>HYPERLINK is not implemented. linkLocation=https://cdn.shopify.com/s/files/1/0918/6066/4603/files/O1CN01GCcyLM1rlpZWVCKki__2215158925672-0-cib.jpg?v=1763187906, friendlyName=Open</x:v>
      </x:c>
      <x:c r="C390" s="24" t="e">
        <x:f>HYPERLINK("https://365nails.com/products/solar-tide-series-press-on-nails","Solar Tide Series Press-On Nails")</x:f>
        <x:v>HYPERLINK is not implemented. linkLocation=https://365nails.com/products/solar-tide-series-press-on-nails, friendlyName=Solar Tide Series Press-On Nails</x:v>
      </x:c>
      <x:c r="D390" s="18" t="str">
        <x:v>SIZE: XS / S / M / L</x:v>
      </x:c>
      <x:c r="E390" s="25" t="str">
        <x:v>$4.49</x:v>
      </x:c>
      <x:c r="F390" s="19" t="str">
        <x:v>30</x:v>
      </x:c>
    </x:row>
    <x:row r="391" ht="93" customHeight="1">
      <x:c r="A391" s="19" t="n">
        <x:v>388</x:v>
      </x:c>
      <x:c r="B391" s="22" t="e">
        <x:f>HYPERLINK("https://cdn.shopify.com/s/files/1/0918/6066/4603/files/O1CN01UoEF4S1rlpZYMoZH1__2215158925672-0-cib.jpg?v=1763186161","Open")</x:f>
        <x:v>HYPERLINK is not implemented. linkLocation=https://cdn.shopify.com/s/files/1/0918/6066/4603/files/O1CN01UoEF4S1rlpZYMoZH1__2215158925672-0-cib.jpg?v=1763186161, friendlyName=Open</x:v>
      </x:c>
      <x:c r="C391" s="24" t="e">
        <x:f>HYPERLINK("https://365nails.com/products/serene-garden-series-press-on-nails","Serene Garden Series Press-On Nails")</x:f>
        <x:v>HYPERLINK is not implemented. linkLocation=https://365nails.com/products/serene-garden-series-press-on-nails, friendlyName=Serene Garden Series Press-On Nails</x:v>
      </x:c>
      <x:c r="D391" s="18" t="str">
        <x:v>SIZE: S / M / L</x:v>
      </x:c>
      <x:c r="E391" s="25" t="str">
        <x:v>$4.49</x:v>
      </x:c>
      <x:c r="F391" s="19" t="str">
        <x:v>30</x:v>
      </x:c>
    </x:row>
    <x:row r="392" ht="93" customHeight="1">
      <x:c r="A392" s="19" t="n">
        <x:v>389</x:v>
      </x:c>
      <x:c r="B392" s="22" t="e">
        <x:f>HYPERLINK("https://cdn.shopify.com/s/files/1/0918/6066/4603/files/O1CN01pDXeul2NGHh4PBCqW__4234819935-0-cib.jpg?v=1753430579","Open")</x:f>
        <x:v>HYPERLINK is not implemented. linkLocation=https://cdn.shopify.com/s/files/1/0918/6066/4603/files/O1CN01pDXeul2NGHh4PBCqW__4234819935-0-cib.jpg?v=1753430579, friendlyName=Open</x:v>
      </x:c>
      <x:c r="C392" s="24" t="e">
        <x:f>HYPERLINK("https://365nails.com/products/nail-patch-wholesale-nail-tablets-macaron-powder-press-on-nails-art-advanced-press-on-nails-wholesale-nail-frosted-nail-tablets-365nails","Nail Patch Wholesale Nail Tablets Macaron Powder press on nails Art Advanced press on nails Wholesale Nail Frosted Nail Tablets｜365nails")</x:f>
        <x:v>HYPERLINK is not implemented. linkLocation=https://365nails.com/products/nail-patch-wholesale-nail-tablets-macaron-powder-press-on-nails-art-advanced-press-on-nails-wholesale-nail-frosted-nail-tablets-365nails, friendlyName=Nail Patch Wholesale Nail Tablets Macaron Powder press on nails Art Advanced press on nails Wholesale Nail Frosted Nail Tablets｜365nails</x:v>
      </x:c>
      <x:c r="D392" s="18" t="str">
        <x:v>color: JP1746</x:v>
      </x:c>
      <x:c r="E392" s="25" t="str">
        <x:v>$0.70</x:v>
      </x:c>
      <x:c r="F392" s="19" t="str">
        <x:v>1</x:v>
      </x:c>
    </x:row>
    <x:row r="393" ht="93" customHeight="1">
      <x:c r="A393" s="19" t="n">
        <x:v>390</x:v>
      </x:c>
      <x:c r="B393" s="22" t="e">
        <x:f>HYPERLINK("https://cdn.shopify.com/s/files/1/0918/6066/4603/files/O1CN01FHjBya2NGHz9wmcSL__4234819935-0-cib.jpg?v=1758609919","Open")</x:f>
        <x:v>HYPERLINK is not implemented. linkLocation=https://cdn.shopify.com/s/files/1/0918/6066/4603/files/O1CN01FHjBya2NGHz9wmcSL__4234819935-0-cib.jpg?v=1758609919, friendlyName=Open</x:v>
      </x:c>
      <x:c r="C393" s="24" t="e">
        <x:f>HYPERLINK("https://365nails.com/products/simple-naked-pink-solid-color-manicure-fake-nail-coating-flash-almond-shape-wearing-nail","Simple bare powder solid color coating flash almond press-on nails")</x:f>
        <x:v>HYPERLINK is not implemented. linkLocation=https://365nails.com/products/simple-naked-pink-solid-color-manicure-fake-nail-coating-flash-almond-shape-wearing-nail, friendlyName=Simple bare powder solid color coating flash almond press-on nails</x:v>
      </x:c>
      <x:c r="D393" s="18" t="str">
        <x:v>color: JP4026</x:v>
      </x:c>
      <x:c r="E393" s="25" t="str">
        <x:v>$1.05</x:v>
      </x:c>
      <x:c r="F393" s="19" t="str">
        <x:v>1</x:v>
      </x:c>
    </x:row>
    <x:row r="394" ht="93" customHeight="1">
      <x:c r="A394" s="19" t="n">
        <x:v>391</x:v>
      </x:c>
      <x:c r="B394" s="22" t="e">
        <x:f>HYPERLINK("https://cdn.shopify.com/s/files/1/0918/6066/4603/files/O1CN012Yhung2NGHz3ht0YV__4234819935-0-cib.jpg?v=1753430749","Open")</x:f>
        <x:v>HYPERLINK is not implemented. linkLocation=https://cdn.shopify.com/s/files/1/0918/6066/4603/files/O1CN012Yhung2NGHz3ht0YV__4234819935-0-cib.jpg?v=1753430749, friendlyName=Open</x:v>
      </x:c>
      <x:c r="C394" s="24" t="e">
        <x:f>HYPERLINK("https://365nails.com/products/hot-selling-french-press-on-nails-pads-wholesale-in-europe-and-america-3d-short-almond-shaped-nail-pads-wearable-fake-nails-365nails","Hot-selling French press on nails pads wholesale in Europe and America 3D short almond-shaped nail pads Wearable fake nails｜365nails")</x:f>
        <x:v>HYPERLINK is not implemented. linkLocation=https://365nails.com/products/hot-selling-french-press-on-nails-pads-wholesale-in-europe-and-america-3d-short-almond-shaped-nail-pads-wearable-fake-nails-365nails, friendlyName=Hot-selling French press on nails pads wholesale in Europe and America 3D short almond-shaped nail pads Wearable fake nails｜365nails</x:v>
      </x:c>
      <x:c r="D394" s="18" t="str">
        <x:v>color: JP3903</x:v>
      </x:c>
      <x:c r="E394" s="25" t="str">
        <x:v>$0.70</x:v>
      </x:c>
      <x:c r="F394" s="19" t="str">
        <x:v>1</x:v>
      </x:c>
    </x:row>
    <x:row r="395" ht="93" customHeight="1">
      <x:c r="A395" s="19" t="n">
        <x:v>392</x:v>
      </x:c>
      <x:c r="B395" s="22" t="e">
        <x:f>HYPERLINK("https://cdn.shopify.com/s/files/1/0918/6066/4603/files/O1CN01TF5joQ2NGHz5V7La8__4234819935-0-cib.jpg?v=1753429032","Open")</x:f>
        <x:v>HYPERLINK is not implemented. linkLocation=https://cdn.shopify.com/s/files/1/0918/6066/4603/files/O1CN01TF5joQ2NGHz5V7La8__4234819935-0-cib.jpg?v=1753429032, friendlyName=Open</x:v>
      </x:c>
      <x:c r="C395" s="24" t="e">
        <x:f>HYPERLINK("https://365nails.com/products/cross-border-hot-selling-simple-french-white-edge-press-on-nails-short-almond-press-on-nails-piece-golden-curve-nail-art-fake-nail-365nails","hot-selling simple French white edge press on nails short almond press on nails piece golden curve nail art fake nail｜365nails")</x:f>
        <x:v>HYPERLINK is not implemented. linkLocation=https://365nails.com/products/cross-border-hot-selling-simple-french-white-edge-press-on-nails-short-almond-press-on-nails-piece-golden-curve-nail-art-fake-nail-365nails, friendlyName=hot-selling simple French white edge press on nails short almond press on nails piece golden curve nail art fake nail｜365nails</x:v>
      </x:c>
      <x:c r="D395" s="18" t="str">
        <x:v>Color: JP3995</x:v>
      </x:c>
      <x:c r="E395" s="25" t="str">
        <x:v>$0.68</x:v>
      </x:c>
      <x:c r="F395" s="19" t="str">
        <x:v>1</x:v>
      </x:c>
    </x:row>
    <x:row r="396" ht="93" customHeight="1">
      <x:c r="A396" s="19" t="n">
        <x:v>393</x:v>
      </x:c>
      <x:c r="B396" s="22" t="e">
        <x:f>HYPERLINK("https://cdn.shopify.com/s/files/1/0918/6066/4603/files/O1CN016Qq9V12NGI04Du6tQ__4234819935-0-cib.jpg?v=1758610032","Open")</x:f>
        <x:v>HYPERLINK is not implemented. linkLocation=https://cdn.shopify.com/s/files/1/0918/6066/4603/files/O1CN016Qq9V12NGI04Du6tQ__4234819935-0-cib.jpg?v=1758610032, friendlyName=Open</x:v>
      </x:c>
      <x:c r="C396" s="24" t="e">
        <x:f>HYPERLINK("https://365nails.com/products/simple-nude-blush-smudge-wearing-nail-art-whitening-almond-nail-piece-finished-product-wholesale","Simple nude blush smudge white almonds press-on nails")</x:f>
        <x:v>HYPERLINK is not implemented. linkLocation=https://365nails.com/products/simple-nude-blush-smudge-wearing-nail-art-whitening-almond-nail-piece-finished-product-wholesale, friendlyName=Simple nude blush smudge white almonds press-on nails</x:v>
      </x:c>
      <x:c r="D396" s="18" t="str">
        <x:v>color: JP4133</x:v>
      </x:c>
      <x:c r="E396" s="25" t="str">
        <x:v>$0.68</x:v>
      </x:c>
      <x:c r="F396" s="19" t="str">
        <x:v>1</x:v>
      </x:c>
    </x:row>
    <x:row r="397" ht="93" customHeight="1">
      <x:c r="A397" s="19" t="n">
        <x:v>394</x:v>
      </x:c>
      <x:c r="B397" s="22" t="e">
        <x:f>HYPERLINK("https://cdn.shopify.com/s/files/1/0918/6066/4603/files/O1CN01DAKkjr2NGHzXtw3fw__4234819935-0-cib.jpg?v=1758587681","Open")</x:f>
        <x:v>HYPERLINK is not implemented. linkLocation=https://cdn.shopify.com/s/files/1/0918/6066/4603/files/O1CN01DAKkjr2NGHzXtw3fw__4234819935-0-cib.jpg?v=1758587681, friendlyName=Open</x:v>
      </x:c>
      <x:c r="C397" s="24" t="e">
        <x:f>HYPERLINK("https://365nails.com/products/french-30-piece-wear-nail-short-almond-nail-art-false-nail-nail-pads","Soft Nude Pink Gloss Short Almond Press‑On Nails 30pcs")</x:f>
        <x:v>HYPERLINK is not implemented. linkLocation=https://365nails.com/products/french-30-piece-wear-nail-short-almond-nail-art-false-nail-nail-pads, friendlyName=Soft Nude Pink Gloss Short Almond Press‑On Nails 30pcs</x:v>
      </x:c>
      <x:c r="D397" s="18" t="str">
        <x:v>Color: GD52</x:v>
      </x:c>
      <x:c r="E397" s="25" t="str">
        <x:v>$1.14</x:v>
      </x:c>
      <x:c r="F397" s="19" t="str">
        <x:v>1</x:v>
      </x:c>
    </x:row>
    <x:row r="398" ht="93" customHeight="1">
      <x:c r="A398" s="19" t="n">
        <x:v>395</x:v>
      </x:c>
      <x:c r="B398" s="22" t="e">
        <x:f>HYPERLINK("https://cdn.shopify.com/s/files/1/0918/6066/4603/files/O1CN01VWSkvb2NGI07SO2Ps__4234819935-0-cib.jpg?v=1758610010","Open")</x:f>
        <x:v>HYPERLINK is not implemented. linkLocation=https://cdn.shopify.com/s/files/1/0918/6066/4603/files/O1CN01VWSkvb2NGI07SO2Ps__4234819935-0-cib.jpg?v=1758610010, friendlyName=Open</x:v>
      </x:c>
      <x:c r="C398" s="24" t="e">
        <x:f>HYPERLINK("https://365nails.com/products/y2k-gothic-red-and-black-gradual-change-manicure-wear-nail-short-round-fake-nail","Y2k gothic red and black gradual change short circle press-on nails")</x:f>
        <x:v>HYPERLINK is not implemented. linkLocation=https://365nails.com/products/y2k-gothic-red-and-black-gradual-change-manicure-wear-nail-short-round-fake-nail, friendlyName=Y2k gothic red and black gradual change short circle press-on nails</x:v>
      </x:c>
      <x:c r="D398" s="18" t="str">
        <x:v>color: JP4073</x:v>
      </x:c>
      <x:c r="E398" s="25" t="str">
        <x:v>$0.68</x:v>
      </x:c>
      <x:c r="F398" s="19" t="str">
        <x:v>1</x:v>
      </x:c>
    </x:row>
    <x:row r="399" ht="93" customHeight="1">
      <x:c r="A399" s="19" t="n">
        <x:v>396</x:v>
      </x:c>
      <x:c r="B399" s="22" t="e">
        <x:f>HYPERLINK("https://cdn.shopify.com/s/files/1/0918/6066/4603/files/O1CN012XGxJC2NGHymSscTz__4234819935-0-cib.jpg?v=1758609886","Open")</x:f>
        <x:v>HYPERLINK is not implemented. linkLocation=https://cdn.shopify.com/s/files/1/0918/6066/4603/files/O1CN012XGxJC2NGHymSscTz__4234819935-0-cib.jpg?v=1758609886, friendlyName=Open</x:v>
      </x:c>
      <x:c r="C399" s="24" t="e">
        <x:f>HYPERLINK("https://365nails.com/products/3d-flower-nail-art-wear-nail-short-almond-french-false-nail-removable-nail-pad","3D flower short almond French removable press-on nails")</x:f>
        <x:v>HYPERLINK is not implemented. linkLocation=https://365nails.com/products/3d-flower-nail-art-wear-nail-short-almond-french-false-nail-removable-nail-pad, friendlyName=3D flower short almond French removable press-on nails</x:v>
      </x:c>
      <x:c r="D399" s="18" t="str">
        <x:v>Color: JL0677</x:v>
      </x:c>
      <x:c r="E399" s="25" t="str">
        <x:v>$1.30</x:v>
      </x:c>
      <x:c r="F399" s="19" t="str">
        <x:v>1</x:v>
      </x:c>
    </x:row>
    <x:row r="400" ht="93" customHeight="1">
      <x:c r="A400" s="19" t="n">
        <x:v>397</x:v>
      </x:c>
      <x:c r="B400" s="22" t="e">
        <x:f>HYPERLINK("https://cdn.shopify.com/s/files/1/0918/6066/4603/files/O1CN01n7ehZL2NGHzQfrj3J__4234819935-0-cib.jpg?v=1758609883","Open")</x:f>
        <x:v>HYPERLINK is not implemented. linkLocation=https://cdn.shopify.com/s/files/1/0918/6066/4603/files/O1CN01n7ehZL2NGHzQfrj3J__4234819935-0-cib.jpg?v=1758609883, friendlyName=Open</x:v>
      </x:c>
      <x:c r="C400" s="24" t="e">
        <x:f>HYPERLINK("https://365nails.com/products/french-pearlescent-nail-art-blush-nail-art-false-nails-short-square-finger","French Pearlescent Blush Short Square press-on nails")</x:f>
        <x:v>HYPERLINK is not implemented. linkLocation=https://365nails.com/products/french-pearlescent-nail-art-blush-nail-art-false-nails-short-square-finger, friendlyName=French Pearlescent Blush Short Square press-on nails</x:v>
      </x:c>
      <x:c r="D400" s="18" t="str">
        <x:v>Color: JL0695</x:v>
      </x:c>
      <x:c r="E400" s="25" t="str">
        <x:v>$1.44</x:v>
      </x:c>
      <x:c r="F400" s="19" t="str">
        <x:v>1</x:v>
      </x:c>
    </x:row>
    <x:row r="401" ht="93" customHeight="1">
      <x:c r="A401" s="19" t="n">
        <x:v>398</x:v>
      </x:c>
      <x:c r="B401" s="22" t="e">
        <x:f>HYPERLINK("https://cdn.shopify.com/s/files/1/0918/6066/4603/files/O1CN017alL8p2NGHzXFKmNM__4234819935-0-cib.jpg?v=1758609858","Open")</x:f>
        <x:v>HYPERLINK is not implemented. linkLocation=https://cdn.shopify.com/s/files/1/0918/6066/4603/files/O1CN017alL8p2NGHzXFKmNM__4234819935-0-cib.jpg?v=1758609858, friendlyName=Open</x:v>
      </x:c>
      <x:c r="C401" s="24" t="e">
        <x:f>HYPERLINK("https://365nails.com/products/japanese-style-wearing-nail-art-pink-bow-sweet-and-cute-short-square-nail-piece","Japanese style pink bow sweet and cute short square press-on nails")</x:f>
        <x:v>HYPERLINK is not implemented. linkLocation=https://365nails.com/products/japanese-style-wearing-nail-art-pink-bow-sweet-and-cute-short-square-nail-piece, friendlyName=Japanese style pink bow sweet and cute short square press-on nails</x:v>
      </x:c>
      <x:c r="D401" s="18" t="str">
        <x:v>Color: JP4007</x:v>
      </x:c>
      <x:c r="E401" s="25" t="str">
        <x:v>$0.93</x:v>
      </x:c>
      <x:c r="F401" s="19" t="str">
        <x:v>1</x:v>
      </x:c>
    </x:row>
    <x:row r="402" ht="93" customHeight="1">
      <x:c r="A402" s="19" t="n">
        <x:v>399</x:v>
      </x:c>
      <x:c r="B402" s="22" t="e">
        <x:f>HYPERLINK("https://cdn.shopify.com/s/files/1/0918/6066/4603/files/O1CN01kgDpuE2NGHymTCUkx__4234819935-0-cib.jpg?v=1753429046","Open")</x:f>
        <x:v>HYPERLINK is not implemented. linkLocation=https://cdn.shopify.com/s/files/1/0918/6066/4603/files/O1CN01kgDpuE2NGHymTCUkx__4234819935-0-cib.jpg?v=1753429046, friendlyName=Open</x:v>
      </x:c>
      <x:c r="C402" s="24" t="e">
        <x:f>HYPERLINK("https://365nails.com/products/cross-border-hot-selling-european-and-american-press-on-nails-and-foot-nail-3d-flower-summer-manicure-foot-nail-piece-toenail-piece-finished-product-wholesale-365nails","hot-selling  press on nails and foot nail 3D flower summer manicure foot nail piece toenail piece finished product wholesale｜365nails")</x:f>
        <x:v>HYPERLINK is not implemented. linkLocation=https://365nails.com/products/cross-border-hot-selling-european-and-american-press-on-nails-and-foot-nail-3d-flower-summer-manicure-foot-nail-piece-toenail-piece-finished-product-wholesale-365nails, friendlyName=hot-selling  press on nails and foot nail 3D flower summer manicure foot nail piece toenail piece finished product wholesale｜365nails</x:v>
      </x:c>
      <x:c r="D402" s="18" t="str">
        <x:v>color: JP3814</x:v>
      </x:c>
      <x:c r="E402" s="25" t="str">
        <x:v>$0.70</x:v>
      </x:c>
      <x:c r="F402" s="19" t="str">
        <x:v>1</x:v>
      </x:c>
    </x:row>
    <x:row r="403" ht="93" customHeight="1">
      <x:c r="A403" s="19" t="n">
        <x:v>400</x:v>
      </x:c>
      <x:c r="B403" s="22" t="e">
        <x:f>HYPERLINK("https://cdn.shopify.com/s/files/1/0918/6066/4603/files/O1CN01yBiSVj2NGI0DcNtG8__4234819935-0-cib.jpg?v=1758609976","Open")</x:f>
        <x:v>HYPERLINK is not implemented. linkLocation=https://cdn.shopify.com/s/files/1/0918/6066/4603/files/O1CN01yBiSVj2NGI0DcNtG8__4234819935-0-cib.jpg?v=1758609976, friendlyName=Open</x:v>
      </x:c>
      <x:c r="C403" s="24" t="e">
        <x:f>HYPERLINK("https://365nails.com/products/sweet-cool-black-star-pentagram-nail-art-wear-nail-short-almond-nail-fake-nails","Sweet Cool Black Pentagram Short Almond press-on nails")</x:f>
        <x:v>HYPERLINK is not implemented. linkLocation=https://365nails.com/products/sweet-cool-black-star-pentagram-nail-art-wear-nail-short-almond-nail-fake-nails, friendlyName=Sweet Cool Black Pentagram Short Almond press-on nails</x:v>
      </x:c>
      <x:c r="D403" s="18" t="str">
        <x:v>color: JP4066</x:v>
      </x:c>
      <x:c r="E403" s="25" t="str">
        <x:v>$0.77</x:v>
      </x:c>
      <x:c r="F403" s="19" t="str">
        <x:v>1</x:v>
      </x:c>
    </x:row>
    <x:row r="404" ht="93" customHeight="1">
      <x:c r="A404" s="19" t="n">
        <x:v>401</x:v>
      </x:c>
      <x:c r="B404" s="22" t="e">
        <x:f>HYPERLINK("https://cdn.shopify.com/s/files/1/0918/6066/4603/files/O1CN01vkJvEW2NGHyHWtEYy__4234819935-0-cib.jpg?v=1758609911","Open")</x:f>
        <x:v>HYPERLINK is not implemented. linkLocation=https://cdn.shopify.com/s/files/1/0918/6066/4603/files/O1CN01vkJvEW2NGHyHWtEYy__4234819935-0-cib.jpg?v=1758609911, friendlyName=Open</x:v>
      </x:c>
      <x:c r="C404" s="24" t="e">
        <x:f>HYPERLINK("https://365nails.com/products/medium-and-short-square-nail-wearing-nail-fake-nail-french-gold-3d-nail-art-finished-product-wholesale","Short and medium square French gold 3D press-on nails")</x:f>
        <x:v>HYPERLINK is not implemented. linkLocation=https://365nails.com/products/medium-and-short-square-nail-wearing-nail-fake-nail-french-gold-3d-nail-art-finished-product-wholesale, friendlyName=Short and medium square French gold 3D press-on nails</x:v>
      </x:c>
      <x:c r="D404" s="18" t="str">
        <x:v>Color: JP3919</x:v>
      </x:c>
      <x:c r="E404" s="25" t="str">
        <x:v>$1.23</x:v>
      </x:c>
      <x:c r="F404" s="19" t="str">
        <x:v>1</x:v>
      </x:c>
    </x:row>
    <x:row r="405" ht="93" customHeight="1">
      <x:c r="A405" s="19" t="n">
        <x:v>402</x:v>
      </x:c>
      <x:c r="B405" s="22" t="e">
        <x:f>HYPERLINK("https://cdn.shopify.com/s/files/1/0918/6066/4603/files/O1CN01292FP22NGHzVTDIeO__4234819935-0-cib.jpg?v=1758609871","Open")</x:f>
        <x:v>HYPERLINK is not implemented. linkLocation=https://cdn.shopify.com/s/files/1/0918/6066/4603/files/O1CN01292FP22NGHzVTDIeO__4234819935-0-cib.jpg?v=1758609871, friendlyName=Open</x:v>
      </x:c>
      <x:c r="C405" s="24" t="e">
        <x:f>HYPERLINK("https://365nails.com/products/simple-short-short-round-wearing-nail-art-fake-nail-glitter-shiny-nail-piece-nail-piece","Simple short pink round glitter powder shiny press-on nails")</x:f>
        <x:v>HYPERLINK is not implemented. linkLocation=https://365nails.com/products/simple-short-short-round-wearing-nail-art-fake-nail-glitter-shiny-nail-piece-nail-piece, friendlyName=Simple short pink round glitter powder shiny press-on nails</x:v>
      </x:c>
      <x:c r="D405" s="18" t="str">
        <x:v>Color: JP3908</x:v>
      </x:c>
      <x:c r="E405" s="25" t="str">
        <x:v>$0.77</x:v>
      </x:c>
      <x:c r="F405" s="19" t="str">
        <x:v>1</x:v>
      </x:c>
    </x:row>
    <x:row r="406" ht="93" customHeight="1">
      <x:c r="A406" s="19" t="n">
        <x:v>403</x:v>
      </x:c>
      <x:c r="B406" s="22" t="e">
        <x:f>HYPERLINK("https://cdn.shopify.com/s/files/1/0918/6066/4603/files/O1CN017B9DoY2NGHz0laD7j__4234819935-0-cib.jpg?v=1753430735","Open")</x:f>
        <x:v>HYPERLINK is not implemented. linkLocation=https://cdn.shopify.com/s/files/1/0918/6066/4603/files/O1CN017B9DoY2NGHz0laD7j__4234819935-0-cib.jpg?v=1753430735, friendlyName=Open</x:v>
      </x:c>
      <x:c r="C406" s="24" t="e">
        <x:f>HYPERLINK("https://365nails.com/products/new-summer-products-white-fresh-flower-manicure-fake-nails-almond-shaped-wearable-nail-pieces-wearable-nail-wholesale-365nails","New summer products, white fresh flower manicure, fake nails, almond-shaped wearable nail pieces, wearable nail wholesale｜365nails")</x:f>
        <x:v>HYPERLINK is not implemented. linkLocation=https://365nails.com/products/new-summer-products-white-fresh-flower-manicure-fake-nails-almond-shaped-wearable-nail-pieces-wearable-nail-wholesale-365nails, friendlyName=New summer products, white fresh flower manicure, fake nails, almond-shaped wearable nail pieces, wearable nail wholesale｜365nails</x:v>
      </x:c>
      <x:c r="D406" s="18" t="str">
        <x:v>color: JP3932</x:v>
      </x:c>
      <x:c r="E406" s="25" t="str">
        <x:v>$0.86</x:v>
      </x:c>
      <x:c r="F406" s="19" t="str">
        <x:v>1</x:v>
      </x:c>
    </x:row>
    <x:row r="407" ht="93" customHeight="1">
      <x:c r="A407" s="19" t="n">
        <x:v>404</x:v>
      </x:c>
      <x:c r="B407" s="22" t="e">
        <x:f>HYPERLINK("https://cdn.shopify.com/s/files/1/0918/6066/4603/files/O1CN01UnMqfy2NGHz5eX9qZ__4234819935-0-cib.jpg?v=1753430680","Open")</x:f>
        <x:v>HYPERLINK is not implemented. linkLocation=https://cdn.shopify.com/s/files/1/0918/6066/4603/files/O1CN01UnMqfy2NGHz5eX9qZ__4234819935-0-cib.jpg?v=1753430680, friendlyName=Open</x:v>
      </x:c>
      <x:c r="C407" s="24" t="e">
        <x:f>HYPERLINK("https://365nails.com/products/simple-and-fresh-flower-press-on-nails-short-short-round-manicure-fake-nail-glitter-explosive-flash-wearable-nail-piece-wholesale-365nails","Simple and fresh flower press on nails short short round manicure fake nail glitter explosive flash wearable nail piece wholesale｜365nails")</x:f>
        <x:v>HYPERLINK is not implemented. linkLocation=https://365nails.com/products/simple-and-fresh-flower-press-on-nails-short-short-round-manicure-fake-nail-glitter-explosive-flash-wearable-nail-piece-wholesale-365nails, friendlyName=Simple and fresh flower press on nails short short round manicure fake nail glitter explosive flash wearable nail piece wholesale｜365nails</x:v>
      </x:c>
      <x:c r="D407" s="18" t="str">
        <x:v>color: JP3901</x:v>
      </x:c>
      <x:c r="E407" s="25" t="str">
        <x:v>$0.50</x:v>
      </x:c>
      <x:c r="F407" s="19" t="str">
        <x:v>1</x:v>
      </x:c>
    </x:row>
    <x:row r="408" ht="93" customHeight="1">
      <x:c r="A408" s="19" t="n">
        <x:v>405</x:v>
      </x:c>
      <x:c r="B408" s="22" t="e">
        <x:f>HYPERLINK("https://cdn.shopify.com/s/files/1/0918/6066/4603/files/O1CN01wuFZul2NGI0DFBW5E__4234819935-0-cib.jpg?v=1758609992","Open")</x:f>
        <x:v>HYPERLINK is not implemented. linkLocation=https://cdn.shopify.com/s/files/1/0918/6066/4603/files/O1CN01wuFZul2NGI0DFBW5E__4234819935-0-cib.jpg?v=1758609992, friendlyName=Open</x:v>
      </x:c>
      <x:c r="C408" s="24" t="e">
        <x:f>HYPERLINK("https://365nails.com/products/pack-of-30-pieces-burgundy-solid-color-flash-cats-eye-wearing-nail-art-nail-art-short-square-nail-fake-nail","30 pieces burgundy solid color flash cat eye square short press-on nails")</x:f>
        <x:v>HYPERLINK is not implemented. linkLocation=https://365nails.com/products/pack-of-30-pieces-burgundy-solid-color-flash-cats-eye-wearing-nail-art-nail-art-short-square-nail-fake-nail, friendlyName=30 pieces burgundy solid color flash cat eye square short press-on nails</x:v>
      </x:c>
      <x:c r="D408" s="18" t="str">
        <x:v>color: JP4129</x:v>
      </x:c>
      <x:c r="E408" s="25" t="str">
        <x:v>$1.26</x:v>
      </x:c>
      <x:c r="F408" s="19" t="str">
        <x:v>1</x:v>
      </x:c>
    </x:row>
    <x:row r="409" ht="93" customHeight="1">
      <x:c r="A409" s="19" t="n">
        <x:v>406</x:v>
      </x:c>
      <x:c r="B409" s="22" t="e">
        <x:f>HYPERLINK("https://cdn.shopify.com/s/files/1/0918/6066/4603/files/O1CN01A3nt0r2NGI0EGaGA0__4234819935-0-cib.jpg?v=1758609979","Open")</x:f>
        <x:v>HYPERLINK is not implemented. linkLocation=https://cdn.shopify.com/s/files/1/0918/6066/4603/files/O1CN01A3nt0r2NGI0EGaGA0__4234819935-0-cib.jpg?v=1758609979, friendlyName=Open</x:v>
      </x:c>
      <x:c r="C409" s="24" t="e">
        <x:f>HYPERLINK("https://365nails.com/products/3d-three-dimensional-hot-selling-wearing-nail-art-short-almond-nail-explosion-nail-piece","3D three-dimensional hot-selling short almond explosion press-on nails")</x:f>
        <x:v>HYPERLINK is not implemented. linkLocation=https://365nails.com/products/3d-three-dimensional-hot-selling-wearing-nail-art-short-almond-nail-explosion-nail-piece, friendlyName=3D three-dimensional hot-selling short almond explosion press-on nails</x:v>
      </x:c>
      <x:c r="D409" s="18" t="str">
        <x:v>color: JP4081</x:v>
      </x:c>
      <x:c r="E409" s="25" t="str">
        <x:v>$1.65</x:v>
      </x:c>
      <x:c r="F409" s="19" t="str">
        <x:v>1</x:v>
      </x:c>
    </x:row>
    <x:row r="410" ht="93" customHeight="1">
      <x:c r="A410" s="19" t="n">
        <x:v>407</x:v>
      </x:c>
      <x:c r="B410" s="22" t="e">
        <x:f>HYPERLINK("https://cdn.shopify.com/s/files/1/0918/6066/4603/files/O1CN01h4FUwL2NGI09dLl1u__4234819935-0-cib.jpg?v=1758609959","Open")</x:f>
        <x:v>HYPERLINK is not implemented. linkLocation=https://cdn.shopify.com/s/files/1/0918/6066/4603/files/O1CN01h4FUwL2NGI09dLl1u__4234819935-0-cib.jpg?v=1758609959, friendlyName=Open</x:v>
      </x:c>
      <x:c r="C410" s="24" t="e">
        <x:f>HYPERLINK("https://365nails.com/products/simple-almond-manicure-nail-piece-fake-nail-silver-bow-wearing-nail-wholesale","Simple almond silver bow press-on nails")</x:f>
        <x:v>HYPERLINK is not implemented. linkLocation=https://365nails.com/products/simple-almond-manicure-nail-piece-fake-nail-silver-bow-wearing-nail-wholesale, friendlyName=Simple almond silver bow press-on nails</x:v>
      </x:c>
      <x:c r="D410" s="18" t="str">
        <x:v>color: JP4106</x:v>
      </x:c>
      <x:c r="E410" s="25" t="str">
        <x:v>$0.68</x:v>
      </x:c>
      <x:c r="F410" s="19" t="str">
        <x:v>1</x:v>
      </x:c>
    </x:row>
    <x:row r="411" ht="93" customHeight="1">
      <x:c r="A411" s="19" t="n">
        <x:v>408</x:v>
      </x:c>
      <x:c r="B411" s="22" t="e">
        <x:f>HYPERLINK("https://cdn.shopify.com/s/files/1/0918/6066/4603/files/O1CN01HhpXeg2NGHyPZY2eR__4234819935-0-cib.jpg?v=1758609950","Open")</x:f>
        <x:v>HYPERLINK is not implemented. linkLocation=https://cdn.shopify.com/s/files/1/0918/6066/4603/files/O1CN01HhpXeg2NGHyPZY2eR__4234819935-0-cib.jpg?v=1758609950, friendlyName=Open</x:v>
      </x:c>
      <x:c r="C411" s="24" t="e">
        <x:f>HYPERLINK("https://365nails.com/products/short-square-nail-fake-nail-internet-celebrity-explosion-xiaohongshufeng-wearing-nail-butterfly-flower-nail-art-finished-product-wholesale","Short square armor Internet celebrity explosion butterfly flower press-on nails")</x:f>
        <x:v>HYPERLINK is not implemented. linkLocation=https://365nails.com/products/short-square-nail-fake-nail-internet-celebrity-explosion-xiaohongshufeng-wearing-nail-butterfly-flower-nail-art-finished-product-wholesale, friendlyName=Short square armor Internet celebrity explosion butterfly flower press-on nails</x:v>
      </x:c>
      <x:c r="D411" s="18" t="str">
        <x:v>color: JL0682</x:v>
      </x:c>
      <x:c r="E411" s="25" t="str">
        <x:v>$1.26</x:v>
      </x:c>
      <x:c r="F411" s="19" t="str">
        <x:v>1</x:v>
      </x:c>
    </x:row>
    <x:row r="412" ht="93" customHeight="1">
      <x:c r="A412" s="19" t="n">
        <x:v>409</x:v>
      </x:c>
      <x:c r="B412" s="22" t="e">
        <x:f>HYPERLINK("https://cdn.shopify.com/s/files/1/0918/6066/4603/files/O1CN01CKjr982NGHzP8dRlm__4234819935-0-cib.jpg?v=1758609947","Open")</x:f>
        <x:v>HYPERLINK is not implemented. linkLocation=https://cdn.shopify.com/s/files/1/0918/6066/4603/files/O1CN01CKjr982NGHzP8dRlm__4234819935-0-cib.jpg?v=1758609947, friendlyName=Open</x:v>
      </x:c>
      <x:c r="C412" s="24" t="e">
        <x:f>HYPERLINK("https://365nails.com/products/sweet-and-cool-y2k-wearing-nail-short-almond-nail-art-fake-nail-hot-selling-detachable-wearing-nail-piece-finished-product","Sweet Cool Y2K Short Almond Removable press-on nails")</x:f>
        <x:v>HYPERLINK is not implemented. linkLocation=https://365nails.com/products/sweet-and-cool-y2k-wearing-nail-short-almond-nail-art-fake-nail-hot-selling-detachable-wearing-nail-piece-finished-product, friendlyName=Sweet Cool Y2K Short Almond Removable press-on nails</x:v>
      </x:c>
      <x:c r="D412" s="18" t="str">
        <x:v>color: JP4041</x:v>
      </x:c>
      <x:c r="E412" s="25" t="str">
        <x:v>$1.35</x:v>
      </x:c>
      <x:c r="F412" s="19" t="str">
        <x:v>1</x:v>
      </x:c>
    </x:row>
    <x:row r="413" ht="93" customHeight="1">
      <x:c r="A413" s="19" t="n">
        <x:v>410</x:v>
      </x:c>
      <x:c r="B413" s="22" t="e">
        <x:f>HYPERLINK("https://cdn.shopify.com/s/files/1/0918/6066/4603/files/O1CN01mSA8JC2NGHzNKPOST__4234819935-0-cib.jpg?v=1758609922","Open")</x:f>
        <x:v>HYPERLINK is not implemented. linkLocation=https://cdn.shopify.com/s/files/1/0918/6066/4603/files/O1CN01mSA8JC2NGHzNKPOST__4234819935-0-cib.jpg?v=1758609922, friendlyName=Open</x:v>
      </x:c>
      <x:c r="C413" s="24" t="e">
        <x:f>HYPERLINK("https://365nails.com/products/french-leopard-print-wearing-nail-piece-finished-product-flash-3d-almond-nail-art-fake-nail","French leopard print flash 3D almond shape press-on nails")</x:f>
        <x:v>HYPERLINK is not implemented. linkLocation=https://365nails.com/products/french-leopard-print-wearing-nail-piece-finished-product-flash-3d-almond-nail-art-fake-nail, friendlyName=French leopard print flash 3D almond shape press-on nails</x:v>
      </x:c>
      <x:c r="D413" s="18" t="str">
        <x:v>color: JP4012</x:v>
      </x:c>
      <x:c r="E413" s="25" t="str">
        <x:v>$1.59</x:v>
      </x:c>
      <x:c r="F413" s="19" t="str">
        <x:v>1</x:v>
      </x:c>
    </x:row>
    <x:row r="414" ht="93" customHeight="1">
      <x:c r="A414" s="19" t="n">
        <x:v>411</x:v>
      </x:c>
      <x:c r="B414" s="22" t="e">
        <x:f>HYPERLINK("https://cdn.shopify.com/s/files/1/0918/6066/4603/files/O1CN01CNJcqS2NGHz8TsW8i__4234819935-0-cib.jpg?v=1758609906","Open")</x:f>
        <x:v>HYPERLINK is not implemented. linkLocation=https://cdn.shopify.com/s/files/1/0918/6066/4603/files/O1CN01CNJcqS2NGHz8TsW8i__4234819935-0-cib.jpg?v=1758609906, friendlyName=Open</x:v>
      </x:c>
      <x:c r="C414" s="24" t="e">
        <x:f>HYPERLINK("https://365nails.com/products/japanese-style-sweet-wear-nail-fake-nail-blush-bow-love-nail-art","Japanese style sweet blush bow love press-on nails")</x:f>
        <x:v>HYPERLINK is not implemented. linkLocation=https://365nails.com/products/japanese-style-sweet-wear-nail-fake-nail-blush-bow-love-nail-art, friendlyName=Japanese style sweet blush bow love press-on nails</x:v>
      </x:c>
      <x:c r="D414" s="18" t="str">
        <x:v>Color: JP4006</x:v>
      </x:c>
      <x:c r="E414" s="25" t="str">
        <x:v>$1.14</x:v>
      </x:c>
      <x:c r="F414" s="19" t="str">
        <x:v>1</x:v>
      </x:c>
    </x:row>
    <x:row r="415" ht="93" customHeight="1">
      <x:c r="A415" s="19" t="n">
        <x:v>412</x:v>
      </x:c>
      <x:c r="B415" s="22" t="e">
        <x:f>HYPERLINK("https://cdn.shopify.com/s/files/1/0918/6066/4603/files/O1CN01IVzlWd2NGHyxpJaC2__4234819935-0-cib.jpg?v=1758609894","Open")</x:f>
        <x:v>HYPERLINK is not implemented. linkLocation=https://cdn.shopify.com/s/files/1/0918/6066/4603/files/O1CN01IVzlWd2NGHyxpJaC2__4234819935-0-cib.jpg?v=1758609894, friendlyName=Open</x:v>
      </x:c>
      <x:c r="C415" s="24" t="e">
        <x:f>HYPERLINK("https://365nails.com/products/wear-nail-3d-flower-nail-art-false-nail-short-short-round","3D flower short almond press-on nails")</x:f>
        <x:v>HYPERLINK is not implemented. linkLocation=https://365nails.com/products/wear-nail-3d-flower-nail-art-false-nail-short-short-round, friendlyName=3D flower short almond press-on nails</x:v>
      </x:c>
      <x:c r="D415" s="18" t="str">
        <x:v>Color: JL0668</x:v>
      </x:c>
      <x:c r="E415" s="25" t="str">
        <x:v>$1.52</x:v>
      </x:c>
      <x:c r="F415" s="19" t="str">
        <x:v>1</x:v>
      </x:c>
    </x:row>
    <x:row r="416" ht="93" customHeight="1">
      <x:c r="A416" s="19" t="n">
        <x:v>413</x:v>
      </x:c>
      <x:c r="B416" s="22" t="e">
        <x:f>HYPERLINK("https://cdn.shopify.com/s/files/1/0918/6066/4603/files/O1CN01RgbYXS2NGHzEpUOWp__4234819935-0-cib.jpg?v=1758609890","Open")</x:f>
        <x:v>HYPERLINK is not implemented. linkLocation=https://cdn.shopify.com/s/files/1/0918/6066/4603/files/O1CN01RgbYXS2NGHzEpUOWp__4234819935-0-cib.jpg?v=1758609890, friendlyName=Open</x:v>
      </x:c>
      <x:c r="C416" s="24" t="e">
        <x:f>HYPERLINK("https://365nails.com/products/new-french-white-wearing-nail-hot-selling-almond-nail-art-nail-piece-short","New French White Hot-Selling Almond press-on nails")</x:f>
        <x:v>HYPERLINK is not implemented. linkLocation=https://365nails.com/products/new-french-white-wearing-nail-hot-selling-almond-nail-art-nail-piece-short, friendlyName=New French White Hot-Selling Almond press-on nails</x:v>
      </x:c>
      <x:c r="D416" s="18" t="str">
        <x:v>Color: JP4029</x:v>
      </x:c>
      <x:c r="E416" s="25" t="str">
        <x:v>$0.68</x:v>
      </x:c>
      <x:c r="F416" s="19" t="str">
        <x:v>1</x:v>
      </x:c>
    </x:row>
    <x:row r="417" ht="93" customHeight="1">
      <x:c r="A417" s="19" t="n">
        <x:v>414</x:v>
      </x:c>
      <x:c r="B417" s="22" t="e">
        <x:f>HYPERLINK("https://cdn.shopify.com/s/files/1/0918/6066/4603/files/O1CN019QKGL12NGHzKDiKpC__4234819935-0-cib.jpg?v=1758609878","Open")</x:f>
        <x:v>HYPERLINK is not implemented. linkLocation=https://cdn.shopify.com/s/files/1/0918/6066/4603/files/O1CN019QKGL12NGHzKDiKpC__4234819935-0-cib.jpg?v=1758609878, friendlyName=Open</x:v>
      </x:c>
      <x:c r="C417" s="24" t="e">
        <x:f>HYPERLINK("https://365nails.com/products/simple-blush-wear-nail-nail-piece-short-almond-fake-nail-love-point-drill-nail-piece","Simple blush short almond love point diamond press-on nails")</x:f>
        <x:v>HYPERLINK is not implemented. linkLocation=https://365nails.com/products/simple-blush-wear-nail-nail-piece-short-almond-fake-nail-love-point-drill-nail-piece, friendlyName=Simple blush short almond love point diamond press-on nails</x:v>
      </x:c>
      <x:c r="D417" s="18" t="str">
        <x:v>Color: JP4015</x:v>
      </x:c>
      <x:c r="E417" s="25" t="str">
        <x:v>$1.09</x:v>
      </x:c>
      <x:c r="F417" s="19" t="str">
        <x:v>1</x:v>
      </x:c>
    </x:row>
    <x:row r="418" ht="93" customHeight="1">
      <x:c r="A418" s="19" t="n">
        <x:v>415</x:v>
      </x:c>
      <x:c r="B418" s="22" t="e">
        <x:f>HYPERLINK("https://cdn.shopify.com/s/files/1/0918/6066/4603/files/O1CN011N8sBo2NGHzE5zwgU__4234819935-0-cib.jpg?v=1758609851","Open")</x:f>
        <x:v>HYPERLINK is not implemented. linkLocation=https://cdn.shopify.com/s/files/1/0918/6066/4603/files/O1CN011N8sBo2NGHzE5zwgU__4234819935-0-cib.jpg?v=1758609851, friendlyName=Open</x:v>
      </x:c>
      <x:c r="C418" s="24" t="e">
        <x:f>HYPERLINK("https://365nails.com/products/french-leopard-print-wearing-nail-japanese-style-sweet-fake-nail-short-almond-nail-art-finished-product-wholesale","French leopard print Japanese style sweet short almond press-on nails")</x:f>
        <x:v>HYPERLINK is not implemented. linkLocation=https://365nails.com/products/french-leopard-print-wearing-nail-japanese-style-sweet-fake-nail-short-almond-nail-art-finished-product-wholesale, friendlyName=French leopard print Japanese style sweet short almond press-on nails</x:v>
      </x:c>
      <x:c r="D418" s="18" t="str">
        <x:v>Color: JP4009</x:v>
      </x:c>
      <x:c r="E418" s="25" t="str">
        <x:v>$1.23</x:v>
      </x:c>
      <x:c r="F418" s="19" t="str">
        <x:v>1</x:v>
      </x:c>
    </x:row>
    <x:row r="419" ht="93" customHeight="1">
      <x:c r="A419" s="19" t="n">
        <x:v>416</x:v>
      </x:c>
      <x:c r="B419" s="22" t="e">
        <x:f>HYPERLINK("https://cdn.shopify.com/s/files/1/0918/6066/4603/files/O1CN01G26RTc2NGHzWDdupY__4234819935-0-cib.jpg?v=1758526360","Open")</x:f>
        <x:v>HYPERLINK is not implemented. linkLocation=https://cdn.shopify.com/s/files/1/0918/6066/4603/files/O1CN01G26RTc2NGHzWDdupY__4234819935-0-cib.jpg?v=1758526360, friendlyName=Open</x:v>
      </x:c>
      <x:c r="C419" s="24" t="e">
        <x:f>HYPERLINK("https://365nails.com/products/sparkling-powder-sequins-butterfly-wearing-nail-french-white-3d-gold-powder-nail-art-false-nails-short-almond-nail-art","Sparkling Powder Sequins Butterfly French White 3D Gold Dust Short Almonds press-on nails")</x:f>
        <x:v>HYPERLINK is not implemented. linkLocation=https://365nails.com/products/sparkling-powder-sequins-butterfly-wearing-nail-french-white-3d-gold-powder-nail-art-false-nails-short-almond-nail-art, friendlyName=Sparkling Powder Sequins Butterfly French White 3D Gold Dust Short Almonds press-on nails</x:v>
      </x:c>
      <x:c r="D419" s="18" t="str">
        <x:v>color: JP4058</x:v>
      </x:c>
      <x:c r="E419" s="25" t="str">
        <x:v>$1.72</x:v>
      </x:c>
      <x:c r="F419" s="19" t="str">
        <x:v>1</x:v>
      </x:c>
    </x:row>
    <x:row r="420" ht="93" customHeight="1">
      <x:c r="A420" s="19" t="n">
        <x:v>417</x:v>
      </x:c>
      <x:c r="B420" s="22" t="e">
        <x:f>HYPERLINK("https://cdn.shopify.com/s/files/1/0918/6066/4603/files/O1CN01GlTPGm2NGHiLrXdZ2__4234819935-0-cib.jpg?v=1753430768","Open")</x:f>
        <x:v>HYPERLINK is not implemented. linkLocation=https://cdn.shopify.com/s/files/1/0918/6066/4603/files/O1CN01GlTPGm2NGHiLrXdZ2__4234819935-0-cib.jpg?v=1753430768, friendlyName=Open</x:v>
      </x:c>
      <x:c r="C420" s="24" t="e">
        <x:f>HYPERLINK("https://365nails.com/products/press-on-nails-short-french-white-edge-wavy-gold-powder-nail-piece-small-love-nail-piece-wholesale-press-on-nails-piece-365nails","Press on nails short French white edge wavy gold powder nail piece small love nail piece wholesale Press on nails piece｜365nails")</x:f>
        <x:v>HYPERLINK is not implemented. linkLocation=https://365nails.com/products/press-on-nails-short-french-white-edge-wavy-gold-powder-nail-piece-small-love-nail-piece-wholesale-press-on-nails-piece-365nails, friendlyName=Press on nails short French white edge wavy gold powder nail piece small love nail piece wholesale Press on nails piece｜365nails</x:v>
      </x:c>
      <x:c r="D420" s="18" t="str">
        <x:v>color: JP2145</x:v>
      </x:c>
      <x:c r="E420" s="25" t="str">
        <x:v>$0.70</x:v>
      </x:c>
      <x:c r="F420" s="19" t="str">
        <x:v>1</x:v>
      </x:c>
    </x:row>
    <x:row r="421" ht="93" customHeight="1">
      <x:c r="A421" s="19" t="n">
        <x:v>418</x:v>
      </x:c>
      <x:c r="B421" s="22" t="e">
        <x:f>HYPERLINK("https://cdn.shopify.com/s/files/1/0918/6066/4603/files/O1CN01q11ido2NGHzAKgFPv__4234819935-0-cib.jpg?v=1753430725","Open")</x:f>
        <x:v>HYPERLINK is not implemented. linkLocation=https://cdn.shopify.com/s/files/1/0918/6066/4603/files/O1CN01q11ido2NGHzAKgFPv__4234819935-0-cib.jpg?v=1753430725, friendlyName=Open</x:v>
      </x:c>
      <x:c r="C421" s="24" t="e">
        <x:f>HYPERLINK("https://365nails.com/products/nude-solid-color-simple-press-on-nails-short-almond-nail-piece-foreign-trade-hot-selling-wearing-fake-nail-piece-365nails","Nude solid color simple press on nails short almond   hot-selling wearing fake ｜365nails")</x:f>
        <x:v>HYPERLINK is not implemented. linkLocation=https://365nails.com/products/nude-solid-color-simple-press-on-nails-short-almond-nail-piece-foreign-trade-hot-selling-wearing-fake-nail-piece-365nails, friendlyName=Nude solid color simple press on nails short almond   hot-selling wearing fake ｜365nails</x:v>
      </x:c>
      <x:c r="D421" s="18" t="str">
        <x:v>color: JP4059</x:v>
      </x:c>
      <x:c r="E421" s="25" t="str">
        <x:v>$0.68</x:v>
      </x:c>
      <x:c r="F421" s="19" t="str">
        <x:v>1</x:v>
      </x:c>
    </x:row>
    <x:row r="422" ht="93" customHeight="1">
      <x:c r="A422" s="19" t="n">
        <x:v>419</x:v>
      </x:c>
      <x:c r="B422" s="22" t="e">
        <x:f>HYPERLINK("https://cdn.shopify.com/s/files/1/0918/6066/4603/files/O1CN01qkE2HZ2NGHylXoHJ7__4234819935-0-cib.jpg?v=1753430713","Open")</x:f>
        <x:v>HYPERLINK is not implemented. linkLocation=https://cdn.shopify.com/s/files/1/0918/6066/4603/files/O1CN01qkE2HZ2NGHylXoHJ7__4234819935-0-cib.jpg?v=1753430713, friendlyName=Open</x:v>
      </x:c>
      <x:c r="C422" s="24" t="e">
        <x:f>HYPERLINK("https://365nails.com/products/sweet-girl-wind-press-on-nails-art-almond-fake-nail-cute-strawberry-removable-nail-finished-product-wholesale-365nails","Sweet girl wind press on nails art almond fake nail cute strawberry removable nail finished product wholesale｜365nails")</x:f>
        <x:v>HYPERLINK is not implemented. linkLocation=https://365nails.com/products/sweet-girl-wind-press-on-nails-art-almond-fake-nail-cute-strawberry-removable-nail-finished-product-wholesale-365nails, friendlyName=Sweet girl wind press on nails art almond fake nail cute strawberry removable nail finished product wholesale｜365nails</x:v>
      </x:c>
      <x:c r="D422" s="18" t="str">
        <x:v>color: JP3915</x:v>
      </x:c>
      <x:c r="E422" s="25" t="str">
        <x:v>$0.70</x:v>
      </x:c>
      <x:c r="F422" s="19" t="str">
        <x:v>1</x:v>
      </x:c>
    </x:row>
    <x:row r="423" ht="93" customHeight="1">
      <x:c r="A423" s="19" t="n">
        <x:v>420</x:v>
      </x:c>
      <x:c r="B423" s="22" t="e">
        <x:f>HYPERLINK("https://cdn.shopify.com/s/files/1/0918/6066/4603/files/O1CN01rX0K9I2NGHz1s6QK5__4234819935-0-cib.jpg?v=1753430696","Open")</x:f>
        <x:v>HYPERLINK is not implemented. linkLocation=https://cdn.shopify.com/s/files/1/0918/6066/4603/files/O1CN01rX0K9I2NGHz1s6QK5__4234819935-0-cib.jpg?v=1753430696, friendlyName=Open</x:v>
      </x:c>
      <x:c r="C423" s="24" t="e">
        <x:f>HYPERLINK("https://365nails.com/products/cross-border-hot-selling-red-star-manicure-nail-piece-short-almond-shaped-repeatable-fake-nail-french-leopard-print-press-on-nails-365nails","hot-selling red star manicure nail piece short almond-shaped repeatable fake nail French leopard print press on nails｜365nails")</x:f>
        <x:v>HYPERLINK is not implemented. linkLocation=https://365nails.com/products/cross-border-hot-selling-red-star-manicure-nail-piece-short-almond-shaped-repeatable-fake-nail-french-leopard-print-press-on-nails-365nails, friendlyName=hot-selling red star manicure nail piece short almond-shaped repeatable fake nail French leopard print press on nails｜365nails</x:v>
      </x:c>
      <x:c r="D423" s="18" t="str">
        <x:v>color: JP3941</x:v>
      </x:c>
      <x:c r="E423" s="25" t="str">
        <x:v>$0.86</x:v>
      </x:c>
      <x:c r="F423" s="19" t="str">
        <x:v>1</x:v>
      </x:c>
    </x:row>
    <x:row r="424" ht="93" customHeight="1">
      <x:c r="A424" s="19" t="n">
        <x:v>421</x:v>
      </x:c>
      <x:c r="B424" s="22" t="e">
        <x:f>HYPERLINK("https://cdn.shopify.com/s/files/1/0918/6066/4603/files/O1CN01BVJuvP2NGI07rs23z__4234819935-0-cib.jpg?v=1758610037","Open")</x:f>
        <x:v>HYPERLINK is not implemented. linkLocation=https://cdn.shopify.com/s/files/1/0918/6066/4603/files/O1CN01BVJuvP2NGI07rs23z__4234819935-0-cib.jpg?v=1758610037, friendlyName=Open</x:v>
      </x:c>
      <x:c r="C424" s="24" t="e">
        <x:f>HYPERLINK("https://365nails.com/products/simple-blush-smudge-nail-piece-wear-nail-mini-square","Simple blush smudge mini square press-on nails")</x:f>
        <x:v>HYPERLINK is not implemented. linkLocation=https://365nails.com/products/simple-blush-smudge-nail-piece-wear-nail-mini-square, friendlyName=Simple blush smudge mini square press-on nails</x:v>
      </x:c>
      <x:c r="D424" s="18" t="str">
        <x:v>color: JP4137</x:v>
      </x:c>
      <x:c r="E424" s="25" t="str">
        <x:v>$0.68</x:v>
      </x:c>
      <x:c r="F424" s="19" t="str">
        <x:v>1</x:v>
      </x:c>
    </x:row>
    <x:row r="425" ht="93" customHeight="1">
      <x:c r="A425" s="19" t="n">
        <x:v>422</x:v>
      </x:c>
      <x:c r="B425" s="22" t="e">
        <x:f>HYPERLINK("https://cdn.shopify.com/s/files/1/0918/6066/4603/files/O1CN01QAPOnQ2NGI08V0LQo__4234819935-0-cib.jpg?v=1758610017","Open")</x:f>
        <x:v>HYPERLINK is not implemented. linkLocation=https://cdn.shopify.com/s/files/1/0918/6066/4603/files/O1CN01QAPOnQ2NGI08V0LQo__4234819935-0-cib.jpg?v=1758610017, friendlyName=Open</x:v>
      </x:c>
      <x:c r="C425" s="24" t="e">
        <x:f>HYPERLINK("https://365nails.com/products/autumn-brown-manicure-wearing-nail-piece-short-almond-nail-white-polka-dot-dot-false-nail-finger","Autumn Brown Short Almond Nail White Dots press-on nails")</x:f>
        <x:v>HYPERLINK is not implemented. linkLocation=https://365nails.com/products/autumn-brown-manicure-wearing-nail-piece-short-almond-nail-white-polka-dot-dot-false-nail-finger, friendlyName=Autumn Brown Short Almond Nail White Dots press-on nails</x:v>
      </x:c>
      <x:c r="D425" s="18" t="str">
        <x:v>color: JP4002</x:v>
      </x:c>
      <x:c r="E425" s="25" t="str">
        <x:v>$1.52</x:v>
      </x:c>
      <x:c r="F425" s="19" t="str">
        <x:v>1</x:v>
      </x:c>
    </x:row>
    <x:row r="426" ht="93" customHeight="1">
      <x:c r="A426" s="19" t="n">
        <x:v>423</x:v>
      </x:c>
      <x:c r="B426" s="22" t="e">
        <x:f>HYPERLINK("https://cdn.shopify.com/s/files/1/0918/6066/4603/files/O1CN01iTsNrv2NGI0Cr6VTb__4234819935-0-cib.jpg?v=1758610005","Open")</x:f>
        <x:v>HYPERLINK is not implemented. linkLocation=https://cdn.shopify.com/s/files/1/0918/6066/4603/files/O1CN01iTsNrv2NGI0Cr6VTb__4234819935-0-cib.jpg?v=1758610005, friendlyName=Open</x:v>
      </x:c>
      <x:c r="C426" s="24" t="e">
        <x:f>HYPERLINK("https://365nails.com/products/point-diamond-three-dimensional-bow-japanese-style-manicure-wearing-short-almond-shaped-love-nail-piece-fake-nail","Point diamond three-dimensional bow Japanese style short almond shape love press-on nails")</x:f>
        <x:v>HYPERLINK is not implemented. linkLocation=https://365nails.com/products/point-diamond-three-dimensional-bow-japanese-style-manicure-wearing-short-almond-shaped-love-nail-piece-fake-nail, friendlyName=Point diamond three-dimensional bow Japanese style short almond shape love press-on nails</x:v>
      </x:c>
      <x:c r="D426" s="18" t="str">
        <x:v>color: JP4054</x:v>
      </x:c>
      <x:c r="E426" s="25" t="str">
        <x:v>$1.59</x:v>
      </x:c>
      <x:c r="F426" s="19" t="str">
        <x:v>1</x:v>
      </x:c>
    </x:row>
    <x:row r="427" ht="93" customHeight="1">
      <x:c r="A427" s="19" t="n">
        <x:v>424</x:v>
      </x:c>
      <x:c r="B427" s="22" t="e">
        <x:f>HYPERLINK("https://cdn.shopify.com/s/files/1/0918/6066/4603/files/O1CN01OuH2MU2NGI09Z09cC__4234819935-0-cib.jpg?v=1758610001","Open")</x:f>
        <x:v>HYPERLINK is not implemented. linkLocation=https://cdn.shopify.com/s/files/1/0918/6066/4603/files/O1CN01OuH2MU2NGI09Z09cC__4234819935-0-cib.jpg?v=1758610001, friendlyName=Open</x:v>
      </x:c>
      <x:c r="C427" s="24" t="e">
        <x:f>HYPERLINK("https://365nails.com/products/simple-silver-french-edge-wearing-nail-art-nail-piece-short-square-nail-fake-nail-fake-nails-wholesale","Simple silver French short square press-on nails")</x:f>
        <x:v>HYPERLINK is not implemented. linkLocation=https://365nails.com/products/simple-silver-french-edge-wearing-nail-art-nail-piece-short-square-nail-fake-nail-fake-nails-wholesale, friendlyName=Simple silver French short square press-on nails</x:v>
      </x:c>
      <x:c r="D427" s="18" t="str">
        <x:v>color: JP4113</x:v>
      </x:c>
      <x:c r="E427" s="25" t="str">
        <x:v>$0.68</x:v>
      </x:c>
      <x:c r="F427" s="19" t="str">
        <x:v>1</x:v>
      </x:c>
    </x:row>
    <x:row r="428" ht="93" customHeight="1">
      <x:c r="A428" s="19" t="n">
        <x:v>425</x:v>
      </x:c>
      <x:c r="B428" s="22" t="e">
        <x:f>HYPERLINK("https://cdn.shopify.com/s/files/1/0918/6066/4603/files/O1CN01qhHUFP2NGHzJef7Hj__4234819935-0-cib.jpg?v=1758609903","Open")</x:f>
        <x:v>HYPERLINK is not implemented. linkLocation=https://cdn.shopify.com/s/files/1/0918/6066/4603/files/O1CN01qhHUFP2NGHzJef7Hj__4234819935-0-cib.jpg?v=1758609903, friendlyName=Open</x:v>
      </x:c>
      <x:c r="C428" s="24" t="e">
        <x:f>HYPERLINK("https://365nails.com/products/xingyue-wears-simple-short-almond-nail-art-fake-nails-press-on-nails-wholesale","Star and Moon Simple Short Almond Shape press-on nails")</x:f>
        <x:v>HYPERLINK is not implemented. linkLocation=https://365nails.com/products/xingyue-wears-simple-short-almond-nail-art-fake-nails-press-on-nails-wholesale, friendlyName=Star and Moon Simple Short Almond Shape press-on nails</x:v>
      </x:c>
      <x:c r="D428" s="18" t="str">
        <x:v>Color: JP3988</x:v>
      </x:c>
      <x:c r="E428" s="25" t="str">
        <x:v>$0.68</x:v>
      </x:c>
      <x:c r="F428" s="19" t="str">
        <x:v>1</x:v>
      </x:c>
    </x:row>
    <x:row r="429" ht="93" customHeight="1">
      <x:c r="A429" s="19" t="n">
        <x:v>426</x:v>
      </x:c>
      <x:c r="B429" s="22" t="e">
        <x:f>HYPERLINK("https://cdn.shopify.com/s/files/1/0918/6066/4603/files/O1CN01rZZYSL2NGHy3TQPXp__4234819935-0-cib.jpg?v=1758609842","Open")</x:f>
        <x:v>HYPERLINK is not implemented. linkLocation=https://cdn.shopify.com/s/files/1/0918/6066/4603/files/O1CN01rZZYSL2NGHy3TQPXp__4234819935-0-cib.jpg?v=1758609842, friendlyName=Open</x:v>
      </x:c>
      <x:c r="C429" s="24" t="e">
        <x:f>HYPERLINK("https://365nails.com/products/explosive-flash-naked-powder-cat-eye-wearing-nail-simple-almond-nail-nail-nail-piece-point-drill-flash-diamond","Explosive flash naked powder cat eye simple almond point drill flash diamond press-on nails")</x:f>
        <x:v>HYPERLINK is not implemented. linkLocation=https://365nails.com/products/explosive-flash-naked-powder-cat-eye-wearing-nail-simple-almond-nail-nail-nail-piece-point-drill-flash-diamond, friendlyName=Explosive flash naked powder cat eye simple almond point drill flash diamond press-on nails</x:v>
      </x:c>
      <x:c r="D429" s="18" t="str">
        <x:v>Color: JL0701</x:v>
      </x:c>
      <x:c r="E429" s="25" t="str">
        <x:v>$1.47</x:v>
      </x:c>
      <x:c r="F429" s="19" t="str">
        <x:v>1</x:v>
      </x:c>
    </x:row>
    <x:row r="430" ht="93" customHeight="1">
      <x:c r="A430" s="19" t="n">
        <x:v>427</x:v>
      </x:c>
      <x:c r="B430" s="22" t="e">
        <x:f>HYPERLINK("https://cdn.shopify.com/s/files/1/0918/6066/4603/files/O1CN01HhcH0M2NGHz55YdQg__4234819935-0-cib.jpg?v=1758609866","Open")</x:f>
        <x:v>HYPERLINK is not implemented. linkLocation=https://cdn.shopify.com/s/files/1/0918/6066/4603/files/O1CN01HhcH0M2NGHz55YdQg__4234819935-0-cib.jpg?v=1758609866, friendlyName=Open</x:v>
      </x:c>
      <x:c r="C430" s="24" t="e">
        <x:f>HYPERLINK("https://365nails.com/products/fresh-french-green-3d-wearing-nail-gold-mirror-powder-nail-art-false-nail-short-square-nail","Fresh French Green 3D Gold Mirror Pink Short Square press-on nails")</x:f>
        <x:v>HYPERLINK is not implemented. linkLocation=https://365nails.com/products/fresh-french-green-3d-wearing-nail-gold-mirror-powder-nail-art-false-nail-short-square-nail, friendlyName=Fresh French Green 3D Gold Mirror Pink Short Square press-on nails</x:v>
      </x:c>
      <x:c r="D430" s="18" t="str">
        <x:v>Color: JP3992</x:v>
      </x:c>
      <x:c r="E430" s="25" t="str">
        <x:v>$1.30</x:v>
      </x:c>
      <x:c r="F430" s="19" t="str">
        <x:v>1</x:v>
      </x:c>
    </x:row>
    <x:row r="431" ht="93" customHeight="1">
      <x:c r="A431" s="19" t="n">
        <x:v>428</x:v>
      </x:c>
      <x:c r="B431" s="22" t="e">
        <x:f>HYPERLINK("https://cdn.shopify.com/s/files/1/0918/6066/4603/files/O1CN01voXQAe2NGHyJ7ojc1__4234819935-0-cib.jpg?v=1758609955","Open")</x:f>
        <x:v>HYPERLINK is not implemented. linkLocation=https://cdn.shopify.com/s/files/1/0918/6066/4603/files/O1CN01voXQAe2NGHyJ7ojc1__4234819935-0-cib.jpg?v=1758609955, friendlyName=Open</x:v>
      </x:c>
      <x:c r="C431" s="24" t="e">
        <x:f>HYPERLINK("https://365nails.com/products/wear-nail-short-almond-nail-art-false-nail-rose-red-flower-star-removable-nail-piece-finished-product","Short Almond Rose Red Flower Star Removable press-on nails")</x:f>
        <x:v>HYPERLINK is not implemented. linkLocation=https://365nails.com/products/wear-nail-short-almond-nail-art-false-nail-rose-red-flower-star-removable-nail-piece-finished-product, friendlyName=Short Almond Rose Red Flower Star Removable press-on nails</x:v>
      </x:c>
      <x:c r="D431" s="18" t="str">
        <x:v>color: JP3942</x:v>
      </x:c>
      <x:c r="E431" s="25" t="str">
        <x:v>$1.30</x:v>
      </x:c>
      <x:c r="F431" s="19" t="str">
        <x:v>1</x:v>
      </x:c>
    </x:row>
    <x:row r="432" ht="93" customHeight="1">
      <x:c r="A432" s="19" t="n">
        <x:v>429</x:v>
      </x:c>
      <x:c r="B432" s="22" t="e">
        <x:f>HYPERLINK("https://cdn.shopify.com/s/files/1/0918/6066/4603/files/O1CN01YIM2In2NGHywYMeQG__4234819935-0-cib.jpg?v=1753430709","Open")</x:f>
        <x:v>HYPERLINK is not implemented. linkLocation=https://cdn.shopify.com/s/files/1/0918/6066/4603/files/O1CN01YIM2In2NGHywYMeQG__4234819935-0-cib.jpg?v=1753430709, friendlyName=Open</x:v>
      </x:c>
      <x:c r="C432" s="24" t="e">
        <x:f>HYPERLINK("https://365nails.com/products/light-red-smudge-blush-press-on-nails-coating-french-white-press-on-nails-piece-almond-nail-art-fake-nail-wholesale-365nails","Light red smudge blush press on nails coating French white press on nails piece almond nail art fake nail wholesale｜365nails")</x:f>
        <x:v>HYPERLINK is not implemented. linkLocation=https://365nails.com/products/light-red-smudge-blush-press-on-nails-coating-french-white-press-on-nails-piece-almond-nail-art-fake-nail-wholesale-365nails, friendlyName=Light red smudge blush press on nails coating French white press on nails piece almond nail art fake nail wholesale｜365nails</x:v>
      </x:c>
      <x:c r="D432" s="18" t="str">
        <x:v>color: JL0704</x:v>
      </x:c>
      <x:c r="E432" s="25" t="str">
        <x:v>$1.07</x:v>
      </x:c>
      <x:c r="F432" s="19" t="str">
        <x:v>1</x:v>
      </x:c>
    </x:row>
    <x:row r="433" ht="93" customHeight="1">
      <x:c r="A433" s="19" t="n">
        <x:v>430</x:v>
      </x:c>
      <x:c r="B433" s="22" t="e">
        <x:f>HYPERLINK("https://cdn.shopify.com/s/files/1/0918/6066/4603/files/O1CN01pljOYJ2NGHc3qR2RX__4234819935-0-cib.jpg?v=1753429130","Open")</x:f>
        <x:v>HYPERLINK is not implemented. linkLocation=https://cdn.shopify.com/s/files/1/0918/6066/4603/files/O1CN01pljOYJ2NGHc3qR2RX__4234819935-0-cib.jpg?v=1753429130, friendlyName=Open</x:v>
      </x:c>
      <x:c r="C433" s="24" t="e">
        <x:f>HYPERLINK("https://365nails.com/products/pointed-pink-long-ballet-rhinestone-nail-patch-wearing-nail-finished-nail-patch-waterproof-removable-nail-piece-cross-border-365nails","Pointed pink long ballet rhinestone nail patch press-on nails finished nail patch waterproof removable nail piece ｜365nails")</x:f>
        <x:v>HYPERLINK is not implemented. linkLocation=https://365nails.com/products/pointed-pink-long-ballet-rhinestone-nail-patch-wearing-nail-finished-nail-patch-waterproof-removable-nail-piece-cross-border-365nails, friendlyName=Pointed pink long ballet rhinestone nail patch press-on nails finished nail patch waterproof removable nail piece ｜365nails</x:v>
      </x:c>
      <x:c r="D433" s="18" t="str">
        <x:v>color: JP1276</x:v>
      </x:c>
      <x:c r="E433" s="25" t="str">
        <x:v>$1.54</x:v>
      </x:c>
      <x:c r="F433" s="19" t="str">
        <x:v>1</x:v>
      </x:c>
    </x:row>
    <x:row r="434" ht="93" customHeight="1">
      <x:c r="A434" s="19" t="n">
        <x:v>431</x:v>
      </x:c>
      <x:c r="B434" s="22" t="e">
        <x:f>HYPERLINK("https://cdn.shopify.com/s/files/1/0918/6066/4603/files/O1CN01kzyFku2NGI3OBzZoV__4234819935-0-cib.jpg?v=1779436188","Open")</x:f>
        <x:v>HYPERLINK is not implemented. linkLocation=https://cdn.shopify.com/s/files/1/0918/6066/4603/files/O1CN01kzyFku2NGI3OBzZoV__4234819935-0-cib.jpg?v=1779436188, friendlyName=Open</x:v>
      </x:c>
      <x:c r="C434" s="24" t="e">
        <x:f>HYPERLINK("https://365nails.com/products/365nails-glossy-natural-nude-oval-minimalist-press-on-nails","365nails: ""Glossy Natural Nude Oval"" – Minimalist Press-on Nails")</x:f>
        <x:v>HYPERLINK is not implemented. linkLocation=https://365nails.com/products/365nails-glossy-natural-nude-oval-minimalist-press-on-nails, friendlyName=365nails: "Glossy Natural Nude Oval" – Minimalist Press-on Nails</x:v>
      </x:c>
      <x:c r="D434" s="18" t="str">
        <x:v>Color: Jp 4419</x:v>
      </x:c>
      <x:c r="E434" s="25" t="str">
        <x:v>$1.13</x:v>
      </x:c>
      <x:c r="F434" s="19" t="str">
        <x:v>1</x:v>
      </x:c>
    </x:row>
    <x:row r="435" ht="93" customHeight="1">
      <x:c r="A435" s="19" t="n">
        <x:v>432</x:v>
      </x:c>
      <x:c r="B435" s="22" t="e">
        <x:f>HYPERLINK("https://cdn.shopify.com/s/files/1/0918/6066/4603/files/O1CN01J62yLk2NGHzjXKk65__4234819935-0-cib.jpg?v=1758610219","Open")</x:f>
        <x:v>HYPERLINK is not implemented. linkLocation=https://cdn.shopify.com/s/files/1/0918/6066/4603/files/O1CN01J62yLk2NGHzjXKk65__4234819935-0-cib.jpg?v=1758610219, friendlyName=Open</x:v>
      </x:c>
      <x:c r="C435" s="24" t="e">
        <x:f>HYPERLINK("https://365nails.com/products/naked-pink-cat-eye-flash-wearing-nail-art-nail-piece-short-almond-nail","Naked pink cat eye sparkle butterfly short almond press-on nails")</x:f>
        <x:v>HYPERLINK is not implemented. linkLocation=https://365nails.com/products/naked-pink-cat-eye-flash-wearing-nail-art-nail-piece-short-almond-nail, friendlyName=Naked pink cat eye sparkle butterfly short almond press-on nails</x:v>
      </x:c>
      <x:c r="D435" s="18" t="str">
        <x:v>color: JP3879</x:v>
      </x:c>
      <x:c r="E435" s="25" t="str">
        <x:v>$1.65</x:v>
      </x:c>
      <x:c r="F435" s="19" t="str">
        <x:v>1</x:v>
      </x:c>
    </x:row>
    <x:row r="436" ht="93" customHeight="1">
      <x:c r="A436" s="19" t="n">
        <x:v>433</x:v>
      </x:c>
      <x:c r="B436" s="22" t="e">
        <x:f>HYPERLINK("https://cdn.shopify.com/s/files/1/0918/6066/4603/files/O1CN01Rbp6pV1qQvr6KwIUX__3917635491-0-cib.jpg?v=1753523272","Open")</x:f>
        <x:v>HYPERLINK is not implemented. linkLocation=https://cdn.shopify.com/s/files/1/0918/6066/4603/files/O1CN01Rbp6pV1qQvr6KwIUX__3917635491-0-cib.jpg?v=1753523272, friendlyName=Open</x:v>
      </x:c>
      <x:c r="C436" s="24" t="e">
        <x:f>HYPERLINK("https://365nails.com/products/xia-jing-fresh-white-small-daisy-french-white-versatile-removable-toenails-24-pieces-365nails","Xia Jing fresh white small daisy French white versatile   removable toenails 24 pieces｜365nails")</x:f>
        <x:v>HYPERLINK is not implemented. linkLocation=https://365nails.com/products/xia-jing-fresh-white-small-daisy-french-white-versatile-removable-toenails-24-pieces-365nails, friendlyName=Xia Jing fresh white small daisy French white versatile   removable toenails 24 pieces｜365nails</x:v>
      </x:c>
      <x:c r="D436" s="18" t="str">
        <x:v>Color: F175 Summer Daisies [Glue]</x:v>
      </x:c>
      <x:c r="E436" s="25" t="str">
        <x:v>$0.60</x:v>
      </x:c>
      <x:c r="F436" s="19" t="str">
        <x:v>1</x:v>
      </x:c>
    </x:row>
    <x:row r="437" ht="93" customHeight="1">
      <x:c r="A437" s="19" t="n">
        <x:v>434</x:v>
      </x:c>
      <x:c r="B437" s="22" t="e">
        <x:f>HYPERLINK("https://cdn.shopify.com/s/files/1/0918/6066/4603/files/O1CN01VAJQac2NGHzk54h0Q__4234819935-0-cib.jpg?v=1758610201","Open")</x:f>
        <x:v>HYPERLINK is not implemented. linkLocation=https://cdn.shopify.com/s/files/1/0918/6066/4603/files/O1CN01VAJQac2NGHzk54h0Q__4234819935-0-cib.jpg?v=1758610201, friendlyName=Open</x:v>
      </x:c>
      <x:c r="C437" s="24" t="e">
        <x:f>HYPERLINK("https://365nails.com/products/3d-three-dimensional-fresh-flower-manicure-cat-eye-flash-wearing-short-ballet-nail","3D three-dimensional fresh flower cat's eye short ballet press-on nails")</x:f>
        <x:v>HYPERLINK is not implemented. linkLocation=https://365nails.com/products/3d-three-dimensional-fresh-flower-manicure-cat-eye-flash-wearing-short-ballet-nail, friendlyName=3D three-dimensional fresh flower cat's eye short ballet press-on nails</x:v>
      </x:c>
      <x:c r="D437" s="18" t="str">
        <x:v>Color: JL0680</x:v>
      </x:c>
      <x:c r="E437" s="25" t="str">
        <x:v>$1.86</x:v>
      </x:c>
      <x:c r="F437" s="19" t="str">
        <x:v>1</x:v>
      </x:c>
    </x:row>
    <x:row r="438" ht="93" customHeight="1">
      <x:c r="A438" s="19" t="n">
        <x:v>435</x:v>
      </x:c>
      <x:c r="B438" s="22" t="e">
        <x:f>HYPERLINK("https://cdn.shopify.com/s/files/1/0918/6066/4603/files/O1CN01FWKqYM2NGHzXFcIY5__4234819935-0-cib.jpg?v=1758610186","Open")</x:f>
        <x:v>HYPERLINK is not implemented. linkLocation=https://cdn.shopify.com/s/files/1/0918/6066/4603/files/O1CN01FWKqYM2NGHzXFcIY5__4234819935-0-cib.jpg?v=1758610186, friendlyName=Open</x:v>
      </x:c>
      <x:c r="C438" s="24" t="e">
        <x:f>HYPERLINK("https://365nails.com/products/30-short-almond-nail-art-nail-art-pieces-simple-french-beige-high-end-wearing-nail","30pcs short almonds simple French beige high sense press-on nails")</x:f>
        <x:v>HYPERLINK is not implemented. linkLocation=https://365nails.com/products/30-short-almond-nail-art-nail-art-pieces-simple-french-beige-high-end-wearing-nail, friendlyName=30pcs short almonds simple French beige high sense press-on nails</x:v>
      </x:c>
      <x:c r="D438" s="18" t="str">
        <x:v>Color: GD51</x:v>
      </x:c>
      <x:c r="E438" s="25" t="str">
        <x:v>$1.14</x:v>
      </x:c>
      <x:c r="F438" s="19" t="str">
        <x:v>1</x:v>
      </x:c>
    </x:row>
    <x:row r="439" ht="93" customHeight="1">
      <x:c r="A439" s="19" t="n">
        <x:v>436</x:v>
      </x:c>
      <x:c r="B439" s="22" t="e">
        <x:f>HYPERLINK("https://cdn.shopify.com/s/files/1/0918/6066/4603/files/O1CN01yQ0Uhr2NGHxysIuW1__4234819935-0-cib.jpg?v=1758610144","Open")</x:f>
        <x:v>HYPERLINK is not implemented. linkLocation=https://cdn.shopify.com/s/files/1/0918/6066/4603/files/O1CN01yQ0Uhr2NGHxysIuW1__4234819935-0-cib.jpg?v=1758610144, friendlyName=Open</x:v>
      </x:c>
      <x:c r="C439" s="24" t="e">
        <x:f>HYPERLINK("https://365nails.com/products/french-fresh-green-gradual-change-manicure-3d-flower-short-nail-piece-finished-almond-nail","French fresh green gradual change 3D flower short almond press-on nails")</x:f>
        <x:v>HYPERLINK is not implemented. linkLocation=https://365nails.com/products/french-fresh-green-gradual-change-manicure-3d-flower-short-nail-piece-finished-almond-nail, friendlyName=French fresh green gradual change 3D flower short almond press-on nails</x:v>
      </x:c>
      <x:c r="D439" s="18" t="str">
        <x:v>color: JP3846</x:v>
      </x:c>
      <x:c r="E439" s="25" t="str">
        <x:v>$1.44</x:v>
      </x:c>
      <x:c r="F439" s="19" t="str">
        <x:v>1</x:v>
      </x:c>
    </x:row>
    <x:row r="440" ht="93" customHeight="1">
      <x:c r="A440" s="19" t="n">
        <x:v>437</x:v>
      </x:c>
      <x:c r="B440" s="22" t="e">
        <x:f>HYPERLINK("https://cdn.shopify.com/s/files/1/0918/6066/4603/files/O1CN01m7S6iI2NGI07qxRK5__4234819935-0-cib.jpg?v=1758610113","Open")</x:f>
        <x:v>HYPERLINK is not implemented. linkLocation=https://cdn.shopify.com/s/files/1/0918/6066/4603/files/O1CN01m7S6iI2NGI07qxRK5__4234819935-0-cib.jpg?v=1758610113, friendlyName=Open</x:v>
      </x:c>
      <x:c r="C440" s="24" t="e">
        <x:f>HYPERLINK("https://365nails.com/products/simple-white-polka-dot-nail-art-film-short-almond-nail-wear-nail-fake-nail","Simple white polka dot short almond press-on nails")</x:f>
        <x:v>HYPERLINK is not implemented. linkLocation=https://365nails.com/products/simple-white-polka-dot-nail-art-film-short-almond-nail-wear-nail-fake-nail, friendlyName=Simple white polka dot short almond press-on nails</x:v>
      </x:c>
      <x:c r="D440" s="18" t="str">
        <x:v>color: JP4069</x:v>
      </x:c>
      <x:c r="E440" s="25" t="str">
        <x:v>$0.68</x:v>
      </x:c>
      <x:c r="F440" s="19" t="str">
        <x:v>1</x:v>
      </x:c>
    </x:row>
    <x:row r="441" ht="93" customHeight="1">
      <x:c r="A441" s="19" t="n">
        <x:v>438</x:v>
      </x:c>
      <x:c r="B441" s="22" t="e">
        <x:f>HYPERLINK("https://cdn.shopify.com/s/files/1/0918/6066/4603/files/O1CN01jzOs4g2NGI0AP2S0l__4234819935-0-cib.jpg?v=1758610092","Open")</x:f>
        <x:v>HYPERLINK is not implemented. linkLocation=https://cdn.shopify.com/s/files/1/0918/6066/4603/files/O1CN01jzOs4g2NGI0AP2S0l__4234819935-0-cib.jpg?v=1758610092, friendlyName=Open</x:v>
      </x:c>
      <x:c r="C441" s="24" t="e">
        <x:f>HYPERLINK("https://365nails.com/products/3d-three-dimensional-golden-rose-flower-wearing-nail-art-nail-piece-almond-nail-fake-nail","3D three-dimensional golden rose flower almond press-on nails")</x:f>
        <x:v>HYPERLINK is not implemented. linkLocation=https://365nails.com/products/3d-three-dimensional-golden-rose-flower-wearing-nail-art-nail-piece-almond-nail-fake-nail, friendlyName=3D three-dimensional golden rose flower almond press-on nails</x:v>
      </x:c>
      <x:c r="D441" s="18" t="str">
        <x:v>color: JP4038</x:v>
      </x:c>
      <x:c r="E441" s="25" t="str">
        <x:v>$1.69</x:v>
      </x:c>
      <x:c r="F441" s="19" t="str">
        <x:v>1</x:v>
      </x:c>
    </x:row>
    <x:row r="442" ht="93" customHeight="1">
      <x:c r="A442" s="19" t="n">
        <x:v>439</x:v>
      </x:c>
      <x:c r="B442" s="22" t="e">
        <x:f>HYPERLINK("https://cdn.shopify.com/s/files/1/0918/6066/4603/files/O1CN01tp8KU32NGI01NC4yu__4234819935-0-cib.jpg?v=1758610061","Open")</x:f>
        <x:v>HYPERLINK is not implemented. linkLocation=https://cdn.shopify.com/s/files/1/0918/6066/4603/files/O1CN01tp8KU32NGI01NC4yu__4234819935-0-cib.jpg?v=1758610061, friendlyName=Open</x:v>
      </x:c>
      <x:c r="C442" s="24" t="e">
        <x:f>HYPERLINK("https://365nails.com/products/leopard-print-manicure-fake-nails-short-almond-nail-pieces-french-white-flower-armor","Leopard print short almond French white flower press-on nails")</x:f>
        <x:v>HYPERLINK is not implemented. linkLocation=https://365nails.com/products/leopard-print-manicure-fake-nails-short-almond-nail-pieces-french-white-flower-armor, friendlyName=Leopard print short almond French white flower press-on nails</x:v>
      </x:c>
      <x:c r="D442" s="18" t="str">
        <x:v>Color: JP4003</x:v>
      </x:c>
      <x:c r="E442" s="25" t="str">
        <x:v>$0.84</x:v>
      </x:c>
      <x:c r="F442" s="19" t="str">
        <x:v>1</x:v>
      </x:c>
    </x:row>
    <x:row r="443" ht="93" customHeight="1">
      <x:c r="A443" s="19" t="n">
        <x:v>440</x:v>
      </x:c>
      <x:c r="B443" s="22" t="e">
        <x:f>HYPERLINK("https://cdn.shopify.com/s/files/1/0918/6066/4603/files/O1CN019bv4OY2NGHhPdeFCe__4234819935-0-cib.jpg?v=1753430823","Open")</x:f>
        <x:v>HYPERLINK is not implemented. linkLocation=https://cdn.shopify.com/s/files/1/0918/6066/4603/files/O1CN019bv4OY2NGHhPdeFCe__4234819935-0-cib.jpg?v=1753430823, friendlyName=Open</x:v>
      </x:c>
      <x:c r="C443" s="24" t="e">
        <x:f>HYPERLINK("https://365nails.com/products/nail-patch-wholesale-simple-multi-color-wave-nail-piece-nail-press-on-nails-piece-wholesale-removable-nail-365nails","Nail patch wholesale simple multi-color wave nail piece nail Press on nails piece wholesale removable nail｜365nails")</x:f>
        <x:v>HYPERLINK is not implemented. linkLocation=https://365nails.com/products/nail-patch-wholesale-simple-multi-color-wave-nail-piece-nail-press-on-nails-piece-wholesale-removable-nail-365nails, friendlyName=Nail patch wholesale simple multi-color wave nail piece nail Press on nails piece wholesale removable nail｜365nails</x:v>
      </x:c>
      <x:c r="D443" s="18" t="str">
        <x:v>color: JP1688</x:v>
      </x:c>
      <x:c r="E443" s="25" t="str">
        <x:v>$0.82</x:v>
      </x:c>
      <x:c r="F443" s="19" t="str">
        <x:v>1</x:v>
      </x:c>
    </x:row>
    <x:row r="444" ht="93" customHeight="1">
      <x:c r="A444" s="19" t="n">
        <x:v>441</x:v>
      </x:c>
      <x:c r="B444" s="22" t="e">
        <x:f>HYPERLINK("https://cdn.shopify.com/s/files/1/0918/6066/4603/files/O1CN01S98hhU2NGHzrrk0mg__4234819935-0-cib.jpg?v=1758610240","Open")</x:f>
        <x:v>HYPERLINK is not implemented. linkLocation=https://cdn.shopify.com/s/files/1/0918/6066/4603/files/O1CN01S98hhU2NGHzrrk0mg__4234819935-0-cib.jpg?v=1758610240, friendlyName=Open</x:v>
      </x:c>
      <x:c r="C444" s="24" t="e">
        <x:f>HYPERLINK("https://365nails.com/products/water-drop-3d-three-dimensional-nail-art-film-wearing-nail-smudge-short-almond-nail-fake-nails","Water drop 3D three-dimensional smudge short almonds press-on nails")</x:f>
        <x:v>HYPERLINK is not implemented. linkLocation=https://365nails.com/products/water-drop-3d-three-dimensional-nail-art-film-wearing-nail-smudge-short-almond-nail-fake-nails, friendlyName=Water drop 3D three-dimensional smudge short almonds press-on nails</x:v>
      </x:c>
      <x:c r="D444" s="18" t="str">
        <x:v>color: JP4034</x:v>
      </x:c>
      <x:c r="E444" s="25" t="str">
        <x:v>$2.07</x:v>
      </x:c>
      <x:c r="F444" s="19" t="str">
        <x:v>1</x:v>
      </x:c>
    </x:row>
    <x:row r="445" ht="93" customHeight="1">
      <x:c r="A445" s="19" t="n">
        <x:v>442</x:v>
      </x:c>
      <x:c r="B445" s="22" t="e">
        <x:f>HYPERLINK("https://cdn.shopify.com/s/files/1/0918/6066/4603/files/O1CN01NQXsDQ2NGHzvznZ5D__4234819935-0-cib.jpg?v=1758610214","Open")</x:f>
        <x:v>HYPERLINK is not implemented. linkLocation=https://cdn.shopify.com/s/files/1/0918/6066/4603/files/O1CN01NQXsDQ2NGHzvznZ5D__4234819935-0-cib.jpg?v=1758610214, friendlyName=Open</x:v>
      </x:c>
      <x:c r="C445" s="24" t="e">
        <x:f>HYPERLINK("https://365nails.com/products/wear-nail-art-short-almond-nail-false-nail-french-leopard-print-nail-pieces","Almond French Leopard press-on nails")</x:f>
        <x:v>HYPERLINK is not implemented. linkLocation=https://365nails.com/products/wear-nail-art-short-almond-nail-false-nail-french-leopard-print-nail-pieces, friendlyName=Almond French Leopard press-on nails</x:v>
      </x:c>
      <x:c r="D445" s="18" t="str">
        <x:v>color: JP4035</x:v>
      </x:c>
      <x:c r="E445" s="25" t="str">
        <x:v>$0.77</x:v>
      </x:c>
      <x:c r="F445" s="19" t="str">
        <x:v>1</x:v>
      </x:c>
    </x:row>
    <x:row r="446" ht="93" customHeight="1">
      <x:c r="A446" s="19" t="n">
        <x:v>443</x:v>
      </x:c>
      <x:c r="B446" s="22" t="e">
        <x:f>HYPERLINK("https://cdn.shopify.com/s/files/1/0918/6066/4603/files/O1CN0195ZfRd2NGHzs7qIOj__4234819935-0-cib.jpg?v=1758610210","Open")</x:f>
        <x:v>HYPERLINK is not implemented. linkLocation=https://cdn.shopify.com/s/files/1/0918/6066/4603/files/O1CN0195ZfRd2NGHzs7qIOj__4234819935-0-cib.jpg?v=1758610210, friendlyName=Open</x:v>
      </x:c>
      <x:c r="C446" s="24" t="e">
        <x:f>HYPERLINK("https://365nails.com/products/blue-bow-manicure-wearing-nail-piece-fake-nail-finger","French blue bow press-on nails")</x:f>
        <x:v>HYPERLINK is not implemented. linkLocation=https://365nails.com/products/blue-bow-manicure-wearing-nail-piece-fake-nail-finger, friendlyName=French blue bow press-on nails</x:v>
      </x:c>
      <x:c r="D446" s="18" t="str">
        <x:v>Color: JL0672</x:v>
      </x:c>
      <x:c r="E446" s="25" t="str">
        <x:v>$1.44</x:v>
      </x:c>
      <x:c r="F446" s="19" t="str">
        <x:v>1</x:v>
      </x:c>
    </x:row>
    <x:row r="447" ht="93" customHeight="1">
      <x:c r="A447" s="19" t="n">
        <x:v>444</x:v>
      </x:c>
      <x:c r="B447" s="22" t="e">
        <x:f>HYPERLINK("https://cdn.shopify.com/s/files/1/0918/6066/4603/files/O1CN01KOed282NGHzyJUHnl__4234819935-0-cib.jpg?v=1758610198","Open")</x:f>
        <x:v>HYPERLINK is not implemented. linkLocation=https://cdn.shopify.com/s/files/1/0918/6066/4603/files/O1CN01KOed282NGHzyJUHnl__4234819935-0-cib.jpg?v=1758610198, friendlyName=Open</x:v>
      </x:c>
      <x:c r="C447" s="24" t="e">
        <x:f>HYPERLINK("https://365nails.com/products/smudge-petal-flower-manicure-wear-nail-piece-french-short-almond-nail","Stained Petal Flower French Short Almond press-on nails")</x:f>
        <x:v>HYPERLINK is not implemented. linkLocation=https://365nails.com/products/smudge-petal-flower-manicure-wear-nail-piece-french-short-almond-nail, friendlyName=Stained Petal Flower French Short Almond press-on nails</x:v>
      </x:c>
      <x:c r="D447" s="18" t="str">
        <x:v>color: JP4039</x:v>
      </x:c>
      <x:c r="E447" s="25" t="str">
        <x:v>$1.69</x:v>
      </x:c>
      <x:c r="F447" s="19" t="str">
        <x:v>1</x:v>
      </x:c>
    </x:row>
    <x:row r="448" ht="93" customHeight="1">
      <x:c r="A448" s="19" t="n">
        <x:v>445</x:v>
      </x:c>
      <x:c r="B448" s="22" t="e">
        <x:f>HYPERLINK("https://cdn.shopify.com/s/files/1/0918/6066/4603/files/O1CN01vrzuIA2NGHziiDXeW__4234819935-0-cib.jpg?v=1758610178","Open")</x:f>
        <x:v>HYPERLINK is not implemented. linkLocation=https://cdn.shopify.com/s/files/1/0918/6066/4603/files/O1CN01vrzuIA2NGHziiDXeW__4234819935-0-cib.jpg?v=1758610178, friendlyName=Open</x:v>
      </x:c>
      <x:c r="C448" s="24" t="e">
        <x:f>HYPERLINK("https://365nails.com/products/flash-blue-aurora-cat-eye-wearing-nail-art-fake-nail-short-almond-nail-piece","Blazing Blue Aurora Cat's Eye Short Almond press-on nails")</x:f>
        <x:v>HYPERLINK is not implemented. linkLocation=https://365nails.com/products/flash-blue-aurora-cat-eye-wearing-nail-art-fake-nail-short-almond-nail-piece, friendlyName=Blazing Blue Aurora Cat's Eye Short Almond press-on nails</x:v>
      </x:c>
      <x:c r="D448" s="18" t="str">
        <x:v>color: GD65</x:v>
      </x:c>
      <x:c r="E448" s="25" t="str">
        <x:v>$1.69</x:v>
      </x:c>
      <x:c r="F448" s="19" t="str">
        <x:v>1</x:v>
      </x:c>
    </x:row>
    <x:row r="449" ht="93" customHeight="1">
      <x:c r="A449" s="19" t="n">
        <x:v>446</x:v>
      </x:c>
      <x:c r="B449" s="22" t="e">
        <x:f>HYPERLINK("https://cdn.shopify.com/s/files/1/0918/6066/4603/files/O1CN01Mxoynh2NGHzbopx9m__4234819935-0-cib.jpg?v=1758610173","Open")</x:f>
        <x:v>HYPERLINK is not implemented. linkLocation=https://cdn.shopify.com/s/files/1/0918/6066/4603/files/O1CN01Mxoynh2NGHzbopx9m__4234819935-0-cib.jpg?v=1758610173, friendlyName=Open</x:v>
      </x:c>
      <x:c r="C449" s="24" t="e">
        <x:f>HYPERLINK("https://365nails.com/products/red-cat-eyes-flash-wearing-short-armor-square-armor-simple-butterfly-nail-piece","Red cat's eye flashes short square simple butterfly press-on nails")</x:f>
        <x:v>HYPERLINK is not implemented. linkLocation=https://365nails.com/products/red-cat-eyes-flash-wearing-short-armor-square-armor-simple-butterfly-nail-piece, friendlyName=Red cat's eye flashes short square simple butterfly press-on nails</x:v>
      </x:c>
      <x:c r="D449" s="18" t="str">
        <x:v>color: JP3951</x:v>
      </x:c>
      <x:c r="E449" s="25" t="str">
        <x:v>$1.05</x:v>
      </x:c>
      <x:c r="F449" s="19" t="str">
        <x:v>1</x:v>
      </x:c>
    </x:row>
    <x:row r="450" ht="93" customHeight="1">
      <x:c r="A450" s="19" t="n">
        <x:v>447</x:v>
      </x:c>
      <x:c r="B450" s="22" t="e">
        <x:f>HYPERLINK("https://cdn.shopify.com/s/files/1/0918/6066/4603/files/O1CN01vD8ERm2NGHzbPg57n__4234819935-0-cib.jpg?v=1758610165","Open")</x:f>
        <x:v>HYPERLINK is not implemented. linkLocation=https://cdn.shopify.com/s/files/1/0918/6066/4603/files/O1CN01vD8ERm2NGHzbPg57n__4234819935-0-cib.jpg?v=1758610165, friendlyName=Open</x:v>
      </x:c>
      <x:c r="C450" s="24" t="e">
        <x:f>HYPERLINK("https://365nails.com/products/simple-french-white-nail-piece-butterfly-short-square-nail-wearing-nail-gold-glitter-nail-art-fake-nail","Simple French White Butterfly Gold Glitter Square press-on nails")</x:f>
        <x:v>HYPERLINK is not implemented. linkLocation=https://365nails.com/products/simple-french-white-nail-piece-butterfly-short-square-nail-wearing-nail-gold-glitter-nail-art-fake-nail, friendlyName=Simple French White Butterfly Gold Glitter Square press-on nails</x:v>
      </x:c>
      <x:c r="D450" s="18" t="str">
        <x:v>color: JP3923</x:v>
      </x:c>
      <x:c r="E450" s="25" t="str">
        <x:v>$0.77</x:v>
      </x:c>
      <x:c r="F450" s="19" t="str">
        <x:v>1</x:v>
      </x:c>
    </x:row>
    <x:row r="451" ht="93" customHeight="1">
      <x:c r="A451" s="19" t="n">
        <x:v>448</x:v>
      </x:c>
      <x:c r="B451" s="22" t="e">
        <x:f>HYPERLINK("https://cdn.shopify.com/s/files/1/0918/6066/4603/files/O1CN01RM0wRn2NGHzcyLrvx__4234819935-0-cib.jpg?v=1758610161","Open")</x:f>
        <x:v>HYPERLINK is not implemented. linkLocation=https://cdn.shopify.com/s/files/1/0918/6066/4603/files/O1CN01RM0wRn2NGHzcyLrvx__4234819935-0-cib.jpg?v=1758610161, friendlyName=Open</x:v>
      </x:c>
      <x:c r="C451" s="24" t="e">
        <x:f>HYPERLINK("https://365nails.com/products/french-burgundy-manicure-fake-nails-3d-three-dimensional-flower-wearing-nail-short-almond-nail","French burgundy 3D three-dimensional flower short almond press-on nails")</x:f>
        <x:v>HYPERLINK is not implemented. linkLocation=https://365nails.com/products/french-burgundy-manicure-fake-nails-3d-three-dimensional-flower-wearing-nail-short-almond-nail, friendlyName=French burgundy 3D three-dimensional flower short almond press-on nails</x:v>
      </x:c>
      <x:c r="D451" s="18" t="str">
        <x:v>color: JL0666</x:v>
      </x:c>
      <x:c r="E451" s="25" t="str">
        <x:v>$1.44</x:v>
      </x:c>
      <x:c r="F451" s="19" t="str">
        <x:v>1</x:v>
      </x:c>
    </x:row>
    <x:row r="452" ht="93" customHeight="1">
      <x:c r="A452" s="19" t="n">
        <x:v>449</x:v>
      </x:c>
      <x:c r="B452" s="22" t="e">
        <x:f>HYPERLINK("https://cdn.shopify.com/s/files/1/0918/6066/4603/files/O1CN012UDReA2NGHziSQeyP__4234819935-0-cib.jpg?v=1758610157","Open")</x:f>
        <x:v>HYPERLINK is not implemented. linkLocation=https://cdn.shopify.com/s/files/1/0918/6066/4603/files/O1CN012UDReA2NGHziSQeyP__4234819935-0-cib.jpg?v=1758610157, friendlyName=Open</x:v>
      </x:c>
      <x:c r="C452" s="24" t="e">
        <x:f>HYPERLINK("https://365nails.com/products/advanced-french-cats-eye-nail-art-wearing-nail-short-almond-nail-art-sheet-gold-pulp-curve-finger","Premium French Cat's Eye Golden Short Almond press-on nails")</x:f>
        <x:v>HYPERLINK is not implemented. linkLocation=https://365nails.com/products/advanced-french-cats-eye-nail-art-wearing-nail-short-almond-nail-art-sheet-gold-pulp-curve-finger, friendlyName=Premium French Cat's Eye Golden Short Almond press-on nails</x:v>
      </x:c>
      <x:c r="D452" s="18" t="str">
        <x:v>color: JP3863</x:v>
      </x:c>
      <x:c r="E452" s="25" t="str">
        <x:v>$1.26</x:v>
      </x:c>
      <x:c r="F452" s="19" t="str">
        <x:v>1</x:v>
      </x:c>
    </x:row>
    <x:row r="453" ht="93" customHeight="1">
      <x:c r="A453" s="19" t="n">
        <x:v>450</x:v>
      </x:c>
      <x:c r="B453" s="22" t="e">
        <x:f>HYPERLINK("https://cdn.shopify.com/s/files/1/0918/6066/4603/files/O1CN015EesCo2NGHzffsGmy__4234819935-0-cib.jpg?v=1758610148","Open")</x:f>
        <x:v>HYPERLINK is not implemented. linkLocation=https://cdn.shopify.com/s/files/1/0918/6066/4603/files/O1CN015EesCo2NGHzffsGmy__4234819935-0-cib.jpg?v=1758610148, friendlyName=Open</x:v>
      </x:c>
      <x:c r="C453" s="24" t="e">
        <x:f>HYPERLINK("https://365nails.com/products/japanese-sweet-cat-wears-nail-french-leopard-print-manicure-fake-nail-short-square-nail","Japanese sweet cat French leopard print short square press-on nails")</x:f>
        <x:v>HYPERLINK is not implemented. linkLocation=https://365nails.com/products/japanese-sweet-cat-wears-nail-french-leopard-print-manicure-fake-nail-short-square-nail, friendlyName=Japanese sweet cat French leopard print short square press-on nails</x:v>
      </x:c>
      <x:c r="D453" s="18" t="str">
        <x:v>color: JP4011</x:v>
      </x:c>
      <x:c r="E453" s="25" t="str">
        <x:v>$1.05</x:v>
      </x:c>
      <x:c r="F453" s="19" t="str">
        <x:v>1</x:v>
      </x:c>
    </x:row>
    <x:row r="454" ht="93" customHeight="1">
      <x:c r="A454" s="19" t="n">
        <x:v>451</x:v>
      </x:c>
      <x:c r="B454" s="22" t="e">
        <x:f>HYPERLINK("https://cdn.shopify.com/s/files/1/0918/6066/4603/files/O1CN01VcKH892NGHzbOp7Cd__4234819935-0-cib.jpg?v=1758610139","Open")</x:f>
        <x:v>HYPERLINK is not implemented. linkLocation=https://cdn.shopify.com/s/files/1/0918/6066/4603/files/O1CN01VcKH892NGHzbOp7Cd__4234819935-0-cib.jpg?v=1758610139, friendlyName=Open</x:v>
      </x:c>
      <x:c r="C454" s="24" t="e">
        <x:f>HYPERLINK("https://365nails.com/products/cherry-3d-three-dimensional-wearing-nail-simple-and-fresh-french-yellow-manicure-fake-nail-almond-nail-piece","Cherry 3D three-dimensional simple and fresh French yellow almonds press-on nails")</x:f>
        <x:v>HYPERLINK is not implemented. linkLocation=https://365nails.com/products/cherry-3d-three-dimensional-wearing-nail-simple-and-fresh-french-yellow-manicure-fake-nail-almond-nail-piece, friendlyName=Cherry 3D three-dimensional simple and fresh French yellow almonds press-on nails</x:v>
      </x:c>
      <x:c r="D454" s="18" t="str">
        <x:v>color: GD68</x:v>
      </x:c>
      <x:c r="E454" s="25" t="str">
        <x:v>$1.59</x:v>
      </x:c>
      <x:c r="F454" s="19" t="str">
        <x:v>1</x:v>
      </x:c>
    </x:row>
    <x:row r="455" ht="93" customHeight="1">
      <x:c r="A455" s="19" t="n">
        <x:v>452</x:v>
      </x:c>
      <x:c r="B455" s="22" t="e">
        <x:f>HYPERLINK("https://cdn.shopify.com/s/files/1/0918/6066/4603/files/O1CN01ygJwwR2NGHzatWK0S__4234819935-0-cib.jpg?v=1758610122","Open")</x:f>
        <x:v>HYPERLINK is not implemented. linkLocation=https://cdn.shopify.com/s/files/1/0918/6066/4603/files/O1CN01ygJwwR2NGHzatWK0S__4234819935-0-cib.jpg?v=1758610122, friendlyName=Open</x:v>
      </x:c>
      <x:c r="C455" s="24" t="e">
        <x:f>HYPERLINK("https://365nails.com/products/30-pieces-wearing-nail-pads-finished-gold-love-nail-art-short-almond-nail","30 pieces of golden love short almonds press-on nails")</x:f>
        <x:v>HYPERLINK is not implemented. linkLocation=https://365nails.com/products/30-pieces-wearing-nail-pads-finished-gold-love-nail-art-short-almond-nail, friendlyName=30 pieces of golden love short almonds press-on nails</x:v>
      </x:c>
      <x:c r="D455" s="18" t="str">
        <x:v>color: GD72</x:v>
      </x:c>
      <x:c r="E455" s="25" t="str">
        <x:v>$1.69</x:v>
      </x:c>
      <x:c r="F455" s="19" t="str">
        <x:v>1</x:v>
      </x:c>
    </x:row>
    <x:row r="456" ht="93" customHeight="1">
      <x:c r="A456" s="19" t="n">
        <x:v>453</x:v>
      </x:c>
      <x:c r="B456" s="22" t="e">
        <x:f>HYPERLINK("https://cdn.shopify.com/s/files/1/0918/6066/4603/files/O1CN01FNabKd2NGHziTPt16__4234819935-0-cib.jpg?v=1758610118","Open")</x:f>
        <x:v>HYPERLINK is not implemented. linkLocation=https://cdn.shopify.com/s/files/1/0918/6066/4603/files/O1CN01FNabKd2NGHziTPt16__4234819935-0-cib.jpg?v=1758610118, friendlyName=Open</x:v>
      </x:c>
      <x:c r="C456" s="24" t="e">
        <x:f>HYPERLINK("https://365nails.com/products/sweet-pink-rose-flower-wear-nail-blush-bow-nail-art-nail-piece-removable-fake-nail-piece","Sweet pink rose blush bow removable press-on nails")</x:f>
        <x:v>HYPERLINK is not implemented. linkLocation=https://365nails.com/products/sweet-pink-rose-flower-wear-nail-blush-bow-nail-art-nail-piece-removable-fake-nail-piece, friendlyName=Sweet pink rose blush bow removable press-on nails</x:v>
      </x:c>
      <x:c r="D456" s="18" t="str">
        <x:v>color: JP3891</x:v>
      </x:c>
      <x:c r="E456" s="25" t="str">
        <x:v>$2.29</x:v>
      </x:c>
      <x:c r="F456" s="19" t="str">
        <x:v>1</x:v>
      </x:c>
    </x:row>
    <x:row r="457" ht="93" customHeight="1">
      <x:c r="A457" s="19" t="n">
        <x:v>454</x:v>
      </x:c>
      <x:c r="B457" s="22" t="e">
        <x:f>HYPERLINK("https://cdn.shopify.com/s/files/1/0918/6066/4603/files/O1CN01orcEi12NGHzjWne0N__4234819935-0-cib.jpg?v=1758610110","Open")</x:f>
        <x:v>HYPERLINK is not implemented. linkLocation=https://cdn.shopify.com/s/files/1/0918/6066/4603/files/O1CN01orcEi12NGHzjWne0N__4234819935-0-cib.jpg?v=1758610110, friendlyName=Open</x:v>
      </x:c>
      <x:c r="C457" s="24" t="e">
        <x:f>HYPERLINK("https://365nails.com/products/wear-nail-short-almond-nail-manicure-nail-piece-3d-three-dimensional-nail-piece-finished-product-wholesale","Short almond 3D three-dimensional press-on nails")</x:f>
        <x:v>HYPERLINK is not implemented. linkLocation=https://365nails.com/products/wear-nail-short-almond-nail-manicure-nail-piece-3d-three-dimensional-nail-piece-finished-product-wholesale, friendlyName=Short almond 3D three-dimensional press-on nails</x:v>
      </x:c>
      <x:c r="D457" s="18" t="str">
        <x:v>color: JP3871</x:v>
      </x:c>
      <x:c r="E457" s="25" t="str">
        <x:v>$1.44</x:v>
      </x:c>
      <x:c r="F457" s="19" t="str">
        <x:v>1</x:v>
      </x:c>
    </x:row>
    <x:row r="458" ht="93" customHeight="1">
      <x:c r="A458" s="19" t="n">
        <x:v>455</x:v>
      </x:c>
      <x:c r="B458" s="22" t="e">
        <x:f>HYPERLINK("https://cdn.shopify.com/s/files/1/0918/6066/4603/files/O1CN014nNv112NGI01catwB__4234819935-0-cib.jpg?v=1758610102","Open")</x:f>
        <x:v>HYPERLINK is not implemented. linkLocation=https://cdn.shopify.com/s/files/1/0918/6066/4603/files/O1CN014nNv112NGI01catwB__4234819935-0-cib.jpg?v=1758610102, friendlyName=Open</x:v>
      </x:c>
      <x:c r="C458" s="24" t="e">
        <x:f>HYPERLINK("https://365nails.com/products/popular-black-petal-flower-nail-art-nail-piece-short-almond-nail-false-nail-wear-nail","Popular Black Petals Flowers Short Almonds press-on nails")</x:f>
        <x:v>HYPERLINK is not implemented. linkLocation=https://365nails.com/products/popular-black-petal-flower-nail-art-nail-piece-short-almond-nail-false-nail-wear-nail, friendlyName=Popular Black Petals Flowers Short Almonds press-on nails</x:v>
      </x:c>
      <x:c r="D458" s="18" t="str">
        <x:v>color: JP4043</x:v>
      </x:c>
      <x:c r="E458" s="25" t="str">
        <x:v>$1.69</x:v>
      </x:c>
      <x:c r="F458" s="19" t="str">
        <x:v>1</x:v>
      </x:c>
    </x:row>
    <x:row r="459" ht="93" customHeight="1">
      <x:c r="A459" s="19" t="n">
        <x:v>456</x:v>
      </x:c>
      <x:c r="B459" s="22" t="e">
        <x:f>HYPERLINK("https://cdn.shopify.com/s/files/1/0918/6066/4603/files/O1CN01bIdwBL2NGI07UeWlV__4234819935-0-cib.jpg?v=1758610079","Open")</x:f>
        <x:v>HYPERLINK is not implemented. linkLocation=https://cdn.shopify.com/s/files/1/0918/6066/4603/files/O1CN01bIdwBL2NGI07UeWlV__4234819935-0-cib.jpg?v=1758610079, friendlyName=Open</x:v>
      </x:c>
      <x:c r="C459" s="24" t="e">
        <x:f>HYPERLINK("https://365nails.com/products/gothic-cool-spicy-silver-3d-stereo-silver-paste-wear-nail-art-nail-film-short-almond-nail-hot-selling-fake-nails","Gothic Cool Spicy Silver 3D Stereoscopic Short Almond press-on nails")</x:f>
        <x:v>HYPERLINK is not implemented. linkLocation=https://365nails.com/products/gothic-cool-spicy-silver-3d-stereo-silver-paste-wear-nail-art-nail-film-short-almond-nail-hot-selling-fake-nails, friendlyName=Gothic Cool Spicy Silver 3D Stereoscopic Short Almond press-on nails</x:v>
      </x:c>
      <x:c r="D459" s="18" t="str">
        <x:v>color: JP3998</x:v>
      </x:c>
      <x:c r="E459" s="25" t="str">
        <x:v>$1.69</x:v>
      </x:c>
      <x:c r="F459" s="19" t="str">
        <x:v>1</x:v>
      </x:c>
    </x:row>
    <x:row r="460" ht="93" customHeight="1">
      <x:c r="A460" s="19" t="n">
        <x:v>457</x:v>
      </x:c>
      <x:c r="B460" s="22" t="e">
        <x:f>HYPERLINK("https://cdn.shopify.com/s/files/1/0918/6066/4603/files/O1CN016M8STv2NGI02g3qEX__4234819935-0-cib.jpg?v=1758610070","Open")</x:f>
        <x:v>HYPERLINK is not implemented. linkLocation=https://cdn.shopify.com/s/files/1/0918/6066/4603/files/O1CN016M8STv2NGI02g3qEX__4234819935-0-cib.jpg?v=1758610070, friendlyName=Open</x:v>
      </x:c>
      <x:c r="C460" s="24" t="e">
        <x:f>HYPERLINK("https://365nails.com/products/hot-selling-star-nail-art-piece-french-almond-nail-wearing-nail-3d-blush-removable","Hot Selling Star French Almond 3D Blush press-on nails")</x:f>
        <x:v>HYPERLINK is not implemented. linkLocation=https://365nails.com/products/hot-selling-star-nail-art-piece-french-almond-nail-wearing-nail-3d-blush-removable, friendlyName=Hot Selling Star French Almond 3D Blush press-on nails</x:v>
      </x:c>
      <x:c r="D460" s="18" t="str">
        <x:v>color: JP4031</x:v>
      </x:c>
      <x:c r="E460" s="25" t="str">
        <x:v>$1.35</x:v>
      </x:c>
      <x:c r="F460" s="19" t="str">
        <x:v>1</x:v>
      </x:c>
    </x:row>
    <x:row r="461" ht="93" customHeight="1">
      <x:c r="A461" s="19" t="n">
        <x:v>458</x:v>
      </x:c>
      <x:c r="B461" s="22" t="e">
        <x:f>HYPERLINK("https://cdn.shopify.com/s/files/1/0918/6066/4603/files/O1CN014gRRp12NGI02f2yI5__4234819935-0-cib.jpg?v=1758357423","Open")</x:f>
        <x:v>HYPERLINK is not implemented. linkLocation=https://cdn.shopify.com/s/files/1/0918/6066/4603/files/O1CN014gRRp12NGI02f2yI5__4234819935-0-cib.jpg?v=1758357423, friendlyName=Open</x:v>
      </x:c>
      <x:c r="C461" s="24" t="e">
        <x:f>HYPERLINK("https://365nails.com/products/30-pieces-of-simple-french-pink-and-white-gradual-change-nail-art-pieces-wear-nail-almond-nail-removable","30 pcs simple French pink and white gradual change almond-shaped")</x:f>
        <x:v>HYPERLINK is not implemented. linkLocation=https://365nails.com/products/30-pieces-of-simple-french-pink-and-white-gradual-change-nail-art-pieces-wear-nail-almond-nail-removable, friendlyName=30 pcs simple French pink and white gradual change almond-shaped</x:v>
      </x:c>
      <x:c r="D461" s="18" t="str">
        <x:v>Color: JP4028</x:v>
      </x:c>
      <x:c r="E461" s="25" t="str">
        <x:v>$0.68</x:v>
      </x:c>
      <x:c r="F461" s="19" t="str">
        <x:v>1</x:v>
      </x:c>
    </x:row>
    <x:row r="462" ht="93" customHeight="1">
      <x:c r="A462" s="19" t="n">
        <x:v>459</x:v>
      </x:c>
      <x:c r="B462" s="22" t="e">
        <x:f>HYPERLINK("https://cdn.shopify.com/s/files/1/0918/6066/4603/files/O1CN01RG2DAo2NGHzjPyXAY__4234819935-0-cib_2f632472-037c-4782-8885-4f19bb8e1620.jpg?v=1758006344","Open")</x:f>
        <x:v>HYPERLINK is not implemented. linkLocation=https://cdn.shopify.com/s/files/1/0918/6066/4603/files/O1CN01RG2DAo2NGHzjPyXAY__4234819935-0-cib_2f632472-037c-4782-8885-4f19bb8e1620.jpg?v=1758006344, friendlyName=Open</x:v>
      </x:c>
      <x:c r="C462" s="24" t="e">
        <x:f>HYPERLINK("https://365nails.com/products/silver-star-manicure-30-fake-nails-boxed-high-end-nail-pieces-finished-short-almond-nail-wearing-nail","Silver star manicure 30pcs fake nails short almond nail")</x:f>
        <x:v>HYPERLINK is not implemented. linkLocation=https://365nails.com/products/silver-star-manicure-30-fake-nails-boxed-high-end-nail-pieces-finished-short-almond-nail-wearing-nail, friendlyName=Silver star manicure 30pcs fake nails short almond nail</x:v>
      </x:c>
      <x:c r="D462" s="18" t="str">
        <x:v>Color: GD54</x:v>
      </x:c>
      <x:c r="E462" s="25" t="str">
        <x:v>$1.35</x:v>
      </x:c>
      <x:c r="F462" s="19" t="str">
        <x:v>1</x:v>
      </x:c>
    </x:row>
    <x:row r="463" ht="93" customHeight="1">
      <x:c r="A463" s="19" t="n">
        <x:v>460</x:v>
      </x:c>
      <x:c r="B463" s="22" t="e">
        <x:f>HYPERLINK("https://cdn.shopify.com/s/files/1/0918/6066/4603/files/O1CN01OkxoUu1qQvqstqEEB__3917635491-0-cib.jpg?v=1753523008","Open")</x:f>
        <x:v>HYPERLINK is not implemented. linkLocation=https://cdn.shopify.com/s/files/1/0918/6066/4603/files/O1CN01OkxoUu1qQvqstqEEB__3917635491-0-cib.jpg?v=1753523008, friendlyName=Open</x:v>
      </x:c>
      <x:c r="C463" s="24" t="e">
        <x:f>HYPERLINK("https://365nails.com/products/cold-and-broken-french-lily-pearl-temperament-versatile-toenails-removable-24-pieces-365nails","Cold and broken French lily pearl temperament versatile   toenails removable 24 pieces｜365nails")</x:f>
        <x:v>HYPERLINK is not implemented. linkLocation=https://365nails.com/products/cold-and-broken-french-lily-pearl-temperament-versatile-toenails-removable-24-pieces-365nails, friendlyName=Cold and broken French lily pearl temperament versatile   toenails removable 24 pieces｜365nails</x:v>
      </x:c>
      <x:c r="D463" s="18" t="str">
        <x:v>color: F172 Cold Lily [Glue]</x:v>
      </x:c>
      <x:c r="E463" s="25" t="str">
        <x:v>$0.68</x:v>
      </x:c>
      <x:c r="F463" s="19" t="str">
        <x:v>1</x:v>
      </x:c>
    </x:row>
    <x:row r="464" ht="93" customHeight="1">
      <x:c r="A464" s="19" t="n">
        <x:v>461</x:v>
      </x:c>
      <x:c r="B464" s="22" t="e">
        <x:f>HYPERLINK("https://cdn.shopify.com/s/files/1/0918/6066/4603/files/O1CN01VCFLsK2NGHzijHjY3__4234819935-0-cib.jpg?v=1758610231","Open")</x:f>
        <x:v>HYPERLINK is not implemented. linkLocation=https://cdn.shopify.com/s/files/1/0918/6066/4603/files/O1CN01VCFLsK2NGHzijHjY3__4234819935-0-cib.jpg?v=1758610231, friendlyName=Open</x:v>
      </x:c>
      <x:c r="C464" s="24" t="e">
        <x:f>HYPERLINK("https://365nails.com/products/nude-gradual-change-wearing-nail-french-white-coated-manicure-fake-nail-short-square-nail-nail-piece-nail-piece","Nude gradual change French white coated short square press-on nails")</x:f>
        <x:v>HYPERLINK is not implemented. linkLocation=https://365nails.com/products/nude-gradual-change-wearing-nail-french-white-coated-manicure-fake-nail-short-square-nail-nail-piece-nail-piece, friendlyName=Nude gradual change French white coated short square press-on nails</x:v>
      </x:c>
      <x:c r="D464" s="18" t="str">
        <x:v>Color: JL0697</x:v>
      </x:c>
      <x:c r="E464" s="25" t="str">
        <x:v>$1.23</x:v>
      </x:c>
      <x:c r="F464" s="19" t="str">
        <x:v>1</x:v>
      </x:c>
    </x:row>
    <x:row r="465" ht="93" customHeight="1">
      <x:c r="A465" s="19" t="n">
        <x:v>462</x:v>
      </x:c>
      <x:c r="B465" s="22" t="e">
        <x:f>HYPERLINK("https://cdn.shopify.com/s/files/1/0918/6066/4603/files/O1CN01PSKSQf2NGHzilF6bW__4234819935-0-cib.jpg?v=1758610135","Open")</x:f>
        <x:v>HYPERLINK is not implemented. linkLocation=https://cdn.shopify.com/s/files/1/0918/6066/4603/files/O1CN01PSKSQf2NGHzilF6bW__4234819935-0-cib.jpg?v=1758610135, friendlyName=Open</x:v>
      </x:c>
      <x:c r="C465" s="24" t="e">
        <x:f>HYPERLINK("https://365nails.com/products/french-white-smudge-wearing-nail-gold-pulp-curve-nail-art-nail-piece-finished-product-wholesale","French white smudged gold pulp press-on nails")</x:f>
        <x:v>HYPERLINK is not implemented. linkLocation=https://365nails.com/products/french-white-smudge-wearing-nail-gold-pulp-curve-nail-art-nail-piece-finished-product-wholesale, friendlyName=French white smudged gold pulp press-on nails</x:v>
      </x:c>
      <x:c r="D465" s="18" t="str">
        <x:v>color: GD73</x:v>
      </x:c>
      <x:c r="E465" s="25" t="str">
        <x:v>$1.26</x:v>
      </x:c>
      <x:c r="F465" s="19" t="str">
        <x:v>1</x:v>
      </x:c>
    </x:row>
    <x:row r="466" ht="93" customHeight="1">
      <x:c r="A466" s="19" t="n">
        <x:v>463</x:v>
      </x:c>
      <x:c r="B466" s="22" t="e">
        <x:f>HYPERLINK("https://cdn.shopify.com/s/files/1/0918/6066/4603/files/O1CN01cZ0Rab2NGI07rQh9W__4234819935-0-cib.jpg?v=1758610074","Open")</x:f>
        <x:v>HYPERLINK is not implemented. linkLocation=https://cdn.shopify.com/s/files/1/0918/6066/4603/files/O1CN01cZ0Rab2NGI07rQh9W__4234819935-0-cib.jpg?v=1758610074, friendlyName=Open</x:v>
      </x:c>
      <x:c r="C466" s="24" t="e">
        <x:f>HYPERLINK("https://365nails.com/products/gothic-sweet-wearing-nail-art-black-polka-dot-bow-nail-piece-finished-product-wholesale","Gothic Sweet Black Polka Dot Butterfly press-on nails")</x:f>
        <x:v>HYPERLINK is not implemented. linkLocation=https://365nails.com/products/gothic-sweet-wearing-nail-art-black-polka-dot-bow-nail-piece-finished-product-wholesale, friendlyName=Gothic Sweet Black Polka Dot Butterfly press-on nails</x:v>
      </x:c>
      <x:c r="D466" s="18" t="str">
        <x:v>color: JP4049</x:v>
      </x:c>
      <x:c r="E466" s="25" t="str">
        <x:v>$1.44</x:v>
      </x:c>
      <x:c r="F466" s="19" t="str">
        <x:v>1</x:v>
      </x:c>
    </x:row>
    <x:row r="467" ht="93" customHeight="1">
      <x:c r="A467" s="19" t="n">
        <x:v>464</x:v>
      </x:c>
      <x:c r="B467" s="22" t="e">
        <x:f>HYPERLINK("https://cdn.shopify.com/s/files/1/0918/6066/4603/files/O1CN01xTMie82NGHbCcuF37__4234819935-0-cib.jpg?v=1753430846","Open")</x:f>
        <x:v>HYPERLINK is not implemented. linkLocation=https://cdn.shopify.com/s/files/1/0918/6066/4603/files/O1CN01xTMie82NGHbCcuF37__4234819935-0-cib.jpg?v=1753430846, friendlyName=Open</x:v>
      </x:c>
      <x:c r="C467" s="24" t="e">
        <x:f>HYPERLINK("https://365nails.com/products/oblique-french-white-nude-press-on-nails-medium-and-long-square-manicure-nail-piece-removable-fake-nail-piece-wholesale-365nails","Oblique French white nude press on nails medium and long square manicure nail piece removable fake nail piece wholesale｜365nails")</x:f>
        <x:v>HYPERLINK is not implemented. linkLocation=https://365nails.com/products/oblique-french-white-nude-press-on-nails-medium-and-long-square-manicure-nail-piece-removable-fake-nail-piece-wholesale-365nails, friendlyName=Oblique French white nude press on nails medium and long square manicure nail piece removable fake nail piece wholesale｜365nails</x:v>
      </x:c>
      <x:c r="D467" s="18" t="str">
        <x:v>color: JP1130</x:v>
      </x:c>
      <x:c r="E467" s="25" t="str">
        <x:v>$0.70</x:v>
      </x:c>
      <x:c r="F467" s="19" t="str">
        <x:v>1</x:v>
      </x:c>
    </x:row>
    <x:row r="468" ht="93" customHeight="1">
      <x:c r="A468" s="19" t="n">
        <x:v>465</x:v>
      </x:c>
      <x:c r="B468" s="22" t="e">
        <x:f>HYPERLINK("https://cdn.shopify.com/s/files/1/0918/6066/4603/files/O1CN01Vu4cOn2NGHn8WuPdr__4234819935-0-cib.jpg?v=1753429063","Open")</x:f>
        <x:v>HYPERLINK is not implemented. linkLocation=https://cdn.shopify.com/s/files/1/0918/6066/4603/files/O1CN01Vu4cOn2NGHn8WuPdr__4234819935-0-cib.jpg?v=1753429063, friendlyName=Open</x:v>
      </x:c>
      <x:c r="C468" s="24" t="e">
        <x:f>HYPERLINK("https://365nails.com/products/cross-border-foreign-trade-nail-art-nail-sticker-ballet-press-on-nails-art-piece-fake-nail-press-on-nails-piece-nail-piece-365nails","nail art , ballet press on nails art piece,  press on nails piece, ｜365nails")</x:f>
        <x:v>HYPERLINK is not implemented. linkLocation=https://365nails.com/products/cross-border-foreign-trade-nail-art-nail-sticker-ballet-press-on-nails-art-piece-fake-nail-press-on-nails-piece-nail-piece-365nails, friendlyName=nail art , ballet press on nails art piece,  press on nails piece, ｜365nails</x:v>
      </x:c>
      <x:c r="D468" s="18" t="str">
        <x:v>color: JP2848 [Glue model] / JP2848 [Wear model]</x:v>
      </x:c>
      <x:c r="E468" s="25" t="str">
        <x:v>$0.94–$1.11</x:v>
      </x:c>
      <x:c r="F468" s="19" t="str">
        <x:v>1</x:v>
      </x:c>
    </x:row>
    <x:row r="469" ht="93" customHeight="1">
      <x:c r="A469" s="19" t="n">
        <x:v>466</x:v>
      </x:c>
      <x:c r="B469" s="22" t="e">
        <x:f>HYPERLINK("https://cdn.shopify.com/s/files/1/0918/6066/4603/files/O1CN01S3yO3u2NGHzjpm0xC__4234819935-0-cib.jpg?v=1758610169","Open")</x:f>
        <x:v>HYPERLINK is not implemented. linkLocation=https://cdn.shopify.com/s/files/1/0918/6066/4603/files/O1CN01S3yO3u2NGHzjpm0xC__4234819935-0-cib.jpg?v=1758610169, friendlyName=Open</x:v>
      </x:c>
      <x:c r="C469" s="24" t="e">
        <x:f>HYPERLINK("https://365nails.com/products/minimalist-french-white-coated-wearing-nail-piece-short-almond-nail-art-false-nail","Minimalist French White Coated Short Almonds press-on nails")</x:f>
        <x:v>HYPERLINK is not implemented. linkLocation=https://365nails.com/products/minimalist-french-white-coated-wearing-nail-piece-short-almond-nail-art-false-nail, friendlyName=Minimalist French White Coated Short Almonds press-on nails</x:v>
      </x:c>
      <x:c r="D469" s="18" t="str">
        <x:v>color: GD56</x:v>
      </x:c>
      <x:c r="E469" s="25" t="str">
        <x:v>$1.35</x:v>
      </x:c>
      <x:c r="F469" s="19" t="str">
        <x:v>1</x:v>
      </x:c>
    </x:row>
    <x:row r="470" ht="93" customHeight="1">
      <x:c r="A470" s="19" t="n">
        <x:v>467</x:v>
      </x:c>
      <x:c r="B470" s="22" t="e">
        <x:f>HYPERLINK("https://cdn.shopify.com/s/files/1/0918/6066/4603/files/O1CN01A1giA82NGI073p7WI__4234819935-0-cib.jpg?v=1758610065","Open")</x:f>
        <x:v>HYPERLINK is not implemented. linkLocation=https://cdn.shopify.com/s/files/1/0918/6066/4603/files/O1CN01A1giA82NGI073p7WI__4234819935-0-cib.jpg?v=1758610065, friendlyName=Open</x:v>
      </x:c>
      <x:c r="C470" s="24" t="e">
        <x:f>HYPERLINK("https://365nails.com/products/short-almond-nail-3d-three-dimensional-fresh-flower-wearing-nail-piece-nail-art-fake-nail","Short almond 3D three-dimensional fresh flower press-on nails")</x:f>
        <x:v>HYPERLINK is not implemented. linkLocation=https://365nails.com/products/short-almond-nail-3d-three-dimensional-fresh-flower-wearing-nail-piece-nail-art-fake-nail, friendlyName=Short almond 3D three-dimensional fresh flower press-on nails</x:v>
      </x:c>
      <x:c r="D470" s="18" t="str">
        <x:v>color: JP4048</x:v>
      </x:c>
      <x:c r="E470" s="25" t="str">
        <x:v>$1.44</x:v>
      </x:c>
      <x:c r="F470" s="19" t="str">
        <x:v>1</x:v>
      </x:c>
    </x:row>
    <x:row r="471" ht="93" customHeight="1">
      <x:c r="A471" s="19" t="n">
        <x:v>468</x:v>
      </x:c>
      <x:c r="B471" s="22" t="e">
        <x:f>HYPERLINK("https://cdn.shopify.com/s/files/1/0918/6066/4603/files/O1CN01qxlEh42NGI08VlKuL__4234819935-0-cib.jpg?v=1758610053","Open")</x:f>
        <x:v>HYPERLINK is not implemented. linkLocation=https://cdn.shopify.com/s/files/1/0918/6066/4603/files/O1CN01qxlEh42NGI08VlKuL__4234819935-0-cib.jpg?v=1758610053, friendlyName=Open</x:v>
      </x:c>
      <x:c r="C471" s="24" t="e">
        <x:f>HYPERLINK("https://365nails.com/products/short-almond-nail-3d-three-dimensional-color-wear-nail-art-french-striped-fake-nail","Short almond 3D three-dimensional color French markings press-on nails")</x:f>
        <x:v>HYPERLINK is not implemented. linkLocation=https://365nails.com/products/short-almond-nail-3d-three-dimensional-color-wear-nail-art-french-striped-fake-nail, friendlyName=Short almond 3D three-dimensional color French markings press-on nails</x:v>
      </x:c>
      <x:c r="D471" s="18" t="str">
        <x:v>color: JP4047</x:v>
      </x:c>
      <x:c r="E471" s="25" t="str">
        <x:v>$1.86</x:v>
      </x:c>
      <x:c r="F471" s="19" t="str">
        <x:v>1</x:v>
      </x:c>
    </x:row>
    <x:row r="472" ht="93" customHeight="1">
      <x:c r="A472" s="19" t="n">
        <x:v>469</x:v>
      </x:c>
      <x:c r="B472" s="22" t="e">
        <x:f>HYPERLINK("https://cdn.shopify.com/s/files/1/0918/6066/4603/files/O1CN019ek0Cj2NGHzaHvC9Z__4234819935-0-cib.jpg?v=1758610243","Open")</x:f>
        <x:v>HYPERLINK is not implemented. linkLocation=https://cdn.shopify.com/s/files/1/0918/6066/4603/files/O1CN019ek0Cj2NGHzaHvC9Z__4234819935-0-cib.jpg?v=1758610243, friendlyName=Open</x:v>
      </x:c>
      <x:c r="C472" s="24" t="e">
        <x:f>HYPERLINK("https://365nails.com/products/blue-smudged-manicure-nail-piece-simple-french-almond-nail-short-wearing-nail-piece-finished-product-wholesale","Blue Smudge Simple French Almond Short press-on nails")</x:f>
        <x:v>HYPERLINK is not implemented. linkLocation=https://365nails.com/products/blue-smudged-manicure-nail-piece-simple-french-almond-nail-short-wearing-nail-piece-finished-product-wholesale, friendlyName=Blue Smudge Simple French Almond Short press-on nails</x:v>
      </x:c>
      <x:c r="D472" s="18" t="str">
        <x:v>color: JP4033</x:v>
      </x:c>
      <x:c r="E472" s="25" t="str">
        <x:v>$1.69</x:v>
      </x:c>
      <x:c r="F472" s="19" t="str">
        <x:v>1</x:v>
      </x:c>
    </x:row>
    <x:row r="473" ht="93" customHeight="1">
      <x:c r="A473" s="19" t="n">
        <x:v>470</x:v>
      </x:c>
      <x:c r="B473" s="22" t="e">
        <x:f>HYPERLINK("https://cdn.shopify.com/s/files/1/0918/6066/4603/files/O1CN01HxaQCV2NGHzbEPw4M__4234819935-0-cib.jpg?v=1758610226","Open")</x:f>
        <x:v>HYPERLINK is not implemented. linkLocation=https://cdn.shopify.com/s/files/1/0918/6066/4603/files/O1CN01HxaQCV2NGHzbEPw4M__4234819935-0-cib.jpg?v=1758610226, friendlyName=Open</x:v>
      </x:c>
      <x:c r="C473" s="24" t="e">
        <x:f>HYPERLINK("https://365nails.com/products/3d-three-dimensional-strawberry-wearing-nail-medium-and-long-square-nail-art-explosion-sweet-french-fake-nail-nail-piece","3D three-dimensional strawberry explosion sweet French press-on nails")</x:f>
        <x:v>HYPERLINK is not implemented. linkLocation=https://365nails.com/products/3d-three-dimensional-strawberry-wearing-nail-medium-and-long-square-nail-art-explosion-sweet-french-fake-nail-nail-piece, friendlyName=3D three-dimensional strawberry explosion sweet French press-on nails</x:v>
      </x:c>
      <x:c r="D473" s="18" t="str">
        <x:v>color: JP4045</x:v>
      </x:c>
      <x:c r="E473" s="25" t="str">
        <x:v>$1.59</x:v>
      </x:c>
      <x:c r="F473" s="19" t="str">
        <x:v>1</x:v>
      </x:c>
    </x:row>
    <x:row r="474" ht="93" customHeight="1">
      <x:c r="A474" s="19" t="n">
        <x:v>471</x:v>
      </x:c>
      <x:c r="B474" s="22" t="e">
        <x:f>HYPERLINK("https://cdn.shopify.com/s/files/1/0918/6066/4603/files/O1CN01hr9j7I1qQvqu7Ubio__3917635491-0-cib.jpg?v=1753522989","Open")</x:f>
        <x:v>HYPERLINK is not implemented. linkLocation=https://cdn.shopify.com/s/files/1/0918/6066/4603/files/O1CN01hr9j7I1qQvqu7Ubio__3917635491-0-cib.jpg?v=1753522989, friendlyName=Open</x:v>
      </x:c>
      <x:c r="C474" s="24" t="e">
        <x:f>HYPERLINK("https://365nails.com/products/cool-blue-cats-eye-sweet-fashion-white-versatile-removable-toenails-24-pieces-365nails","Cool blue cat eye sweet fashion white versatile   removable toenails 24 pieces｜365nails")</x:f>
        <x:v>HYPERLINK is not implemented. linkLocation=https://365nails.com/products/cool-blue-cats-eye-sweet-fashion-white-versatile-removable-toenails-24-pieces-365nails, friendlyName=Cool blue cat eye sweet fashion white versatile   removable toenails 24 pieces｜365nails</x:v>
      </x:c>
      <x:c r="D474" s="18" t="str">
        <x:v>Color: F183 Cold Glacier [Glue]</x:v>
      </x:c>
      <x:c r="E474" s="25" t="str">
        <x:v>$0.82</x:v>
      </x:c>
      <x:c r="F474" s="19" t="str">
        <x:v>1</x:v>
      </x:c>
    </x:row>
    <x:row r="475" ht="93" customHeight="1">
      <x:c r="A475" s="19" t="n">
        <x:v>472</x:v>
      </x:c>
      <x:c r="B475" s="22" t="e">
        <x:f>HYPERLINK("https://cdn.shopify.com/s/files/1/0918/6066/4603/files/O1CN01owXfa02NGHZgjwGWp__4234819935-0-cib.jpg?v=1753430997","Open")</x:f>
        <x:v>HYPERLINK is not implemented. linkLocation=https://cdn.shopify.com/s/files/1/0918/6066/4603/files/O1CN01owXfa02NGHZgjwGWp__4234819935-0-cib.jpg?v=1753430997, friendlyName=Open</x:v>
      </x:c>
      <x:c r="C475" s="24" t="e">
        <x:f>HYPERLINK("https://365nails.com/products/milk-tea-color-smudged-leopard-print-wearing-nail-art-finished-nail-art-patch-nail-patch-fake-nail-removable-nail-piece-365nails","Milk tea color smudged leopard print press-on nails art finished nail art patch nail patch fake nail removable nail piece｜365nails")</x:f>
        <x:v>HYPERLINK is not implemented. linkLocation=https://365nails.com/products/milk-tea-color-smudged-leopard-print-wearing-nail-art-finished-nail-art-patch-nail-patch-fake-nail-removable-nail-piece-365nails, friendlyName=Milk tea color smudged leopard print press-on nails art finished nail art patch nail patch fake nail removable nail piece｜365nails</x:v>
      </x:c>
      <x:c r="D475" s="18" t="str">
        <x:v>color: JP1003</x:v>
      </x:c>
      <x:c r="E475" s="25" t="str">
        <x:v>$0.76</x:v>
      </x:c>
      <x:c r="F475" s="19" t="str">
        <x:v>1</x:v>
      </x:c>
    </x:row>
    <x:row r="476" ht="93" customHeight="1">
      <x:c r="A476" s="19" t="n">
        <x:v>473</x:v>
      </x:c>
      <x:c r="B476" s="22" t="e">
        <x:f>HYPERLINK("https://cdn.shopify.com/s/files/1/0918/6066/4603/files/O1CN01dxuod42NGHZdCRdis__4234819935-0-cib.jpg?v=1753430915","Open")</x:f>
        <x:v>HYPERLINK is not implemented. linkLocation=https://cdn.shopify.com/s/files/1/0918/6066/4603/files/O1CN01dxuod42NGHZdCRdis__4234819935-0-cib.jpg?v=1753430915, friendlyName=Open</x:v>
      </x:c>
      <x:c r="C476" s="24" t="e">
        <x:f>HYPERLINK("https://365nails.com/products/cinnamon-nude-short-nail-patch-nail-patch-fake-nail-press-on-nails-finished-removable-nail-patch-365nails","Cinnamon Nude Short Nail Patch Nail Patch Fake Nail press on nails Finished Removable Nail Patch｜365nails")</x:f>
        <x:v>HYPERLINK is not implemented. linkLocation=https://365nails.com/products/cinnamon-nude-short-nail-patch-nail-patch-fake-nail-press-on-nails-finished-removable-nail-patch-365nails, friendlyName=Cinnamon Nude Short Nail Patch Nail Patch Fake Nail press on nails Finished Removable Nail Patch｜365nails</x:v>
      </x:c>
      <x:c r="D476" s="18" t="str">
        <x:v>color: JP994</x:v>
      </x:c>
      <x:c r="E476" s="25" t="str">
        <x:v>$0.70</x:v>
      </x:c>
      <x:c r="F476" s="19" t="str">
        <x:v>1</x:v>
      </x:c>
    </x:row>
    <x:row r="477" ht="93" customHeight="1">
      <x:c r="A477" s="19" t="n">
        <x:v>474</x:v>
      </x:c>
      <x:c r="B477" s="22" t="e">
        <x:f>HYPERLINK("https://cdn.shopify.com/s/files/1/0918/6066/4603/files/O1CN01ibLIBJ2NGHzfJN5Oe__4234819935-0-cib.jpg?v=1758610256","Open")</x:f>
        <x:v>HYPERLINK is not implemented. linkLocation=https://cdn.shopify.com/s/files/1/0918/6066/4603/files/O1CN01ibLIBJ2NGHzfJN5Oe__4234819935-0-cib.jpg?v=1758610256, friendlyName=Open</x:v>
      </x:c>
      <x:c r="C477" s="24" t="e">
        <x:f>HYPERLINK("https://365nails.com/products/fresh-leaves-flower-nail-art-false-nails-cat-eye-flash-false-nails-long-almond-nails","Fresh leaves flowers cat eyes sparkling almonds press-on nails")</x:f>
        <x:v>HYPERLINK is not implemented. linkLocation=https://365nails.com/products/fresh-leaves-flower-nail-art-false-nails-cat-eye-flash-false-nails-long-almond-nails, friendlyName=Fresh leaves flowers cat eyes sparkling almonds press-on nails</x:v>
      </x:c>
      <x:c r="D477" s="18" t="str">
        <x:v>color: JP3986</x:v>
      </x:c>
      <x:c r="E477" s="25" t="str">
        <x:v>$0.95</x:v>
      </x:c>
      <x:c r="F477" s="19" t="str">
        <x:v>1</x:v>
      </x:c>
    </x:row>
    <x:row r="478" ht="93" customHeight="1">
      <x:c r="A478" s="19" t="n">
        <x:v>475</x:v>
      </x:c>
      <x:c r="B478" s="22" t="e">
        <x:f>HYPERLINK("https://cdn.shopify.com/s/files/1/0918/6066/4603/files/O1CN01lQ60dh2NGHzf1OJ01__4234819935-0-cib.jpg?v=1758609850","Open")</x:f>
        <x:v>HYPERLINK is not implemented. linkLocation=https://cdn.shopify.com/s/files/1/0918/6066/4603/files/O1CN01lQ60dh2NGHzf1OJ01__4234819935-0-cib.jpg?v=1758609850, friendlyName=Open</x:v>
      </x:c>
      <x:c r="C478" s="24" t="e">
        <x:f>HYPERLINK("https://365nails.com/products/autumn-3d-three-dimensional-rose-brown-cat-eye-flash-wearing-nail-fake-nail-short-almond-nail-art","Autumn 3D Stereo Rose Brown Cat Eye Flash Short Almond press-on nails")</x:f>
        <x:v>HYPERLINK is not implemented. linkLocation=https://365nails.com/products/autumn-3d-three-dimensional-rose-brown-cat-eye-flash-wearing-nail-fake-nail-short-almond-nail-art, friendlyName=Autumn 3D Stereo Rose Brown Cat Eye Flash Short Almond press-on nails</x:v>
      </x:c>
      <x:c r="D478" s="18" t="str">
        <x:v>color: JP3994</x:v>
      </x:c>
      <x:c r="E478" s="25" t="str">
        <x:v>$1.19</x:v>
      </x:c>
      <x:c r="F478" s="19" t="str">
        <x:v>1</x:v>
      </x:c>
    </x:row>
    <x:row r="479" ht="93" customHeight="1">
      <x:c r="A479" s="19" t="n">
        <x:v>476</x:v>
      </x:c>
      <x:c r="B479" s="22" t="e">
        <x:f>HYPERLINK("https://cdn.shopify.com/s/files/1/0918/6066/4603/files/O1CN01y5nDp52NGHncWk0jO__4234819935-0-cib.jpg?v=1753431158","Open")</x:f>
        <x:v>HYPERLINK is not implemented. linkLocation=https://cdn.shopify.com/s/files/1/0918/6066/4603/files/O1CN01y5nDp52NGHncWk0jO__4234819935-0-cib.jpg?v=1753431158, friendlyName=Open</x:v>
      </x:c>
      <x:c r="C479" s="24" t="e">
        <x:f>HYPERLINK("https://365nails.com/products/nude-white-edge-wearing-nail-piece-simple-fake-nail-art-wearable-nail-sticker-rectangular-nail-piece-wholesale-365nails","Nude white edge  simple fake nail art  sticker rectangular nail piece wholesale｜365nails")</x:f>
        <x:v>HYPERLINK is not implemented. linkLocation=https://365nails.com/products/nude-white-edge-wearing-nail-piece-simple-fake-nail-art-wearable-nail-sticker-rectangular-nail-piece-wholesale-365nails, friendlyName=Nude white edge  simple fake nail art  sticker rectangular nail piece wholesale｜365nails</x:v>
      </x:c>
      <x:c r="D479" s="18" t="str">
        <x:v>Color: JP2812</x:v>
      </x:c>
      <x:c r="E479" s="25" t="str">
        <x:v>$1.11</x:v>
      </x:c>
      <x:c r="F479" s="19" t="str">
        <x:v>1</x:v>
      </x:c>
    </x:row>
    <x:row r="480" ht="93" customHeight="1">
      <x:c r="A480" s="19" t="n">
        <x:v>477</x:v>
      </x:c>
      <x:c r="B480" s="22" t="e">
        <x:f>HYPERLINK("https://cdn.shopify.com/s/files/1/0918/6066/4603/files/O1CN01J4ElOs2NGHzszANkE__4234819935-0-cib.jpg?v=1758610247","Open")</x:f>
        <x:v>HYPERLINK is not implemented. linkLocation=https://cdn.shopify.com/s/files/1/0918/6066/4603/files/O1CN01J4ElOs2NGHzszANkE__4234819935-0-cib.jpg?v=1758610247, friendlyName=Open</x:v>
      </x:c>
      <x:c r="C480" s="24" t="e">
        <x:f>HYPERLINK("https://365nails.com/products/hot-selling-nail-art-pieces-wear-nail-short-almond-nail-fake-nail-3d-three-dimensional-flower-nail-pieces","Short Almond 3D Stereo Pink Flower press-on nails")</x:f>
        <x:v>HYPERLINK is not implemented. linkLocation=https://365nails.com/products/hot-selling-nail-art-pieces-wear-nail-short-almond-nail-fake-nail-3d-three-dimensional-flower-nail-pieces, friendlyName=Short Almond 3D Stereo Pink Flower press-on nails</x:v>
      </x:c>
      <x:c r="D480" s="18" t="str">
        <x:v>color: JP4052</x:v>
      </x:c>
      <x:c r="E480" s="25" t="str">
        <x:v>$1.65</x:v>
      </x:c>
      <x:c r="F480" s="19" t="str">
        <x:v>1</x:v>
      </x:c>
    </x:row>
    <x:row r="481" ht="93" customHeight="1">
      <x:c r="A481" s="19" t="n">
        <x:v>478</x:v>
      </x:c>
      <x:c r="B481" s="22" t="e">
        <x:f>HYPERLINK("https://cdn.shopify.com/s/files/1/0918/6066/4603/files/O1CN01r7QGao2NGHzix8KG5__4234819935-0-cib.jpg?v=1758609907","Open")</x:f>
        <x:v>HYPERLINK is not implemented. linkLocation=https://cdn.shopify.com/s/files/1/0918/6066/4603/files/O1CN01r7QGao2NGHzix8KG5__4234819935-0-cib.jpg?v=1758609907, friendlyName=Open</x:v>
      </x:c>
      <x:c r="C481" s="24" t="e">
        <x:f>HYPERLINK("https://365nails.com/products/3d-three-dimensional-flower-wearing-nail-pink-smudge-nail-art-fake-nail-short-almond-nail-piece","3D three-dimensional flower pink smudge press-on nails")</x:f>
        <x:v>HYPERLINK is not implemented. linkLocation=https://365nails.com/products/3d-three-dimensional-flower-wearing-nail-pink-smudge-nail-art-fake-nail-short-almond-nail-piece, friendlyName=3D three-dimensional flower pink smudge press-on nails</x:v>
      </x:c>
      <x:c r="D481" s="18" t="str">
        <x:v>color: JP3854</x:v>
      </x:c>
      <x:c r="E481" s="25" t="str">
        <x:v>$1.65</x:v>
      </x:c>
      <x:c r="F481" s="19" t="str">
        <x:v>1</x:v>
      </x:c>
    </x:row>
    <x:row r="482" ht="93" customHeight="1">
      <x:c r="A482" s="19" t="n">
        <x:v>479</x:v>
      </x:c>
      <x:c r="B482" s="22" t="e">
        <x:f>HYPERLINK("https://cdn.shopify.com/s/files/1/0918/6066/4603/files/O1CN01wcfEci2NGHziT0yo2__4234819935-0-cib.jpg?v=1758609874","Open")</x:f>
        <x:v>HYPERLINK is not implemented. linkLocation=https://cdn.shopify.com/s/files/1/0918/6066/4603/files/O1CN01wcfEci2NGHziT0yo2__4234819935-0-cib.jpg?v=1758609874, friendlyName=Open</x:v>
      </x:c>
      <x:c r="C482" s="24" t="e">
        <x:f>HYPERLINK("https://365nails.com/products/medium-rectangle-wearing-nail-3d-three-dimensional-pink-flower-nail-art-french","Medium and long 3D three-dimensional pink flower French square press-on nails")</x:f>
        <x:v>HYPERLINK is not implemented. linkLocation=https://365nails.com/products/medium-rectangle-wearing-nail-3d-three-dimensional-pink-flower-nail-art-french, friendlyName=Medium and long 3D three-dimensional pink flower French square press-on nails</x:v>
      </x:c>
      <x:c r="D482" s="18" t="str">
        <x:v>color: JP3878</x:v>
      </x:c>
      <x:c r="E482" s="25" t="str">
        <x:v>$1.30</x:v>
      </x:c>
      <x:c r="F482" s="19" t="str">
        <x:v>1</x:v>
      </x:c>
    </x:row>
    <x:row r="483" ht="93" customHeight="1">
      <x:c r="A483" s="19" t="n">
        <x:v>480</x:v>
      </x:c>
      <x:c r="B483" s="22" t="e">
        <x:f>HYPERLINK("https://cdn.shopify.com/s/files/1/0918/6066/4603/files/O1CN01Mnhf9S2NGHzyea3un__4234819935-0-cib.jpg?v=1758609861","Open")</x:f>
        <x:v>HYPERLINK is not implemented. linkLocation=https://cdn.shopify.com/s/files/1/0918/6066/4603/files/O1CN01Mnhf9S2NGHzyea3un__4234819935-0-cib.jpg?v=1758609861, friendlyName=Open</x:v>
      </x:c>
      <x:c r="C483" s="24" t="e">
        <x:f>HYPERLINK("https://365nails.com/products/3d-bohemian-style-wearing-nail-french-white-nail-piece-short-almond-nail-wearing-nail-wholesale","3D Bohemian French White Short Almonds press-on nails")</x:f>
        <x:v>HYPERLINK is not implemented. linkLocation=https://365nails.com/products/3d-bohemian-style-wearing-nail-french-white-nail-piece-short-almond-nail-wearing-nail-wholesale, friendlyName=3D Bohemian French White Short Almonds press-on nails</x:v>
      </x:c>
      <x:c r="D483" s="18" t="str">
        <x:v>Color: JP4030</x:v>
      </x:c>
      <x:c r="E483" s="25" t="str">
        <x:v>$1.65</x:v>
      </x:c>
      <x:c r="F483" s="19" t="str">
        <x:v>1</x:v>
      </x:c>
    </x:row>
    <x:row r="484" ht="93" customHeight="1">
      <x:c r="A484" s="19" t="n">
        <x:v>481</x:v>
      </x:c>
      <x:c r="B484" s="22" t="e">
        <x:f>HYPERLINK("https://cdn.shopify.com/s/files/1/0918/6066/4603/files/O1CN0198kngv2NGHzaD18Ww__4234819935-0-cib.jpg?v=1758609857","Open")</x:f>
        <x:v>HYPERLINK is not implemented. linkLocation=https://cdn.shopify.com/s/files/1/0918/6066/4603/files/O1CN0198kngv2NGHzaD18Ww__4234819935-0-cib.jpg?v=1758609857, friendlyName=Open</x:v>
      </x:c>
      <x:c r="C484" s="24" t="e">
        <x:f>HYPERLINK("https://365nails.com/products/reverse-french-gold-glitter-gradual-change-nail-art-fake-nail-simple-short-square-nail-fake-nail-nail-piece","Reverse French gold glitter gradual change simple short square press-on nails")</x:f>
        <x:v>HYPERLINK is not implemented. linkLocation=https://365nails.com/products/reverse-french-gold-glitter-gradual-change-nail-art-fake-nail-simple-short-square-nail-fake-nail-nail-piece, friendlyName=Reverse French gold glitter gradual change simple short square press-on nails</x:v>
      </x:c>
      <x:c r="D484" s="18" t="str">
        <x:v>color: JP3952</x:v>
      </x:c>
      <x:c r="E484" s="25" t="str">
        <x:v>$0.77</x:v>
      </x:c>
      <x:c r="F484" s="19" t="str">
        <x:v>1</x:v>
      </x:c>
    </x:row>
    <x:row r="485" ht="93" customHeight="1">
      <x:c r="A485" s="19" t="n">
        <x:v>482</x:v>
      </x:c>
      <x:c r="B485" s="22" t="e">
        <x:f>HYPERLINK("https://cdn.shopify.com/s/files/1/0918/6066/4603/files/O1CN01Tae16i2NGHdlYG8Sf__4234819935-0-cib.jpg?v=1753431116","Open")</x:f>
        <x:v>HYPERLINK is not implemented. linkLocation=https://cdn.shopify.com/s/files/1/0918/6066/4603/files/O1CN01Tae16i2NGHdlYG8Sf__4234819935-0-cib.jpg?v=1753431116, friendlyName=Open</x:v>
      </x:c>
      <x:c r="C485" s="24" t="e">
        <x:f>HYPERLINK("https://365nails.com/products/wear-nail-hawthorn-safflower-nail-art-autumn-and-winter-white-nail-film-smudged-fake-nail-removable-nail-art-nail-patch-365nails","Wear nail hawthorn safflower nail art autumn and winter white nail film smudged fake nail removable nail art nail patch｜365nails")</x:f>
        <x:v>HYPERLINK is not implemented. linkLocation=https://365nails.com/products/wear-nail-hawthorn-safflower-nail-art-autumn-and-winter-white-nail-film-smudged-fake-nail-removable-nail-art-nail-patch-365nails, friendlyName=Wear nail hawthorn safflower nail art autumn and winter white nail film smudged fake nail removable nail art nail patch｜365nails</x:v>
      </x:c>
      <x:c r="D485" s="18" t="str">
        <x:v>color: JP1458</x:v>
      </x:c>
      <x:c r="E485" s="25" t="str">
        <x:v>$0.88</x:v>
      </x:c>
      <x:c r="F485" s="19" t="str">
        <x:v>1</x:v>
      </x:c>
    </x:row>
    <x:row r="486" ht="93" customHeight="1">
      <x:c r="A486" s="19" t="n">
        <x:v>483</x:v>
      </x:c>
      <x:c r="B486" s="22" t="e">
        <x:f>HYPERLINK("https://cdn.shopify.com/s/files/1/0918/6066/4603/files/O1CN01kdW7yj2NGHepMesba__4234819935-0-cib.jpg?v=1753431086","Open")</x:f>
        <x:v>HYPERLINK is not implemented. linkLocation=https://cdn.shopify.com/s/files/1/0918/6066/4603/files/O1CN01kdW7yj2NGHepMesba__4234819935-0-cib.jpg?v=1753431086, friendlyName=Open</x:v>
      </x:c>
      <x:c r="C486" s="24" t="e">
        <x:f>HYPERLINK("https://365nails.com/products/french-bare-powder-frosted-rhinestone-nail-art-wear-nail-art-wear-wholesale-nail-art-patch-nail-art-patch-frosted-nail-art-365nails","French Bare Powder Frosted Rhinestone Nail Art Wear Nail Art Wear Wholesale Nail Art Patch Nail Art Patch Frosted Nail Art｜365nails")</x:f>
        <x:v>HYPERLINK is not implemented. linkLocation=https://365nails.com/products/french-bare-powder-frosted-rhinestone-nail-art-wear-nail-art-wear-wholesale-nail-art-patch-nail-art-patch-frosted-nail-art-365nails, friendlyName=French Bare Powder Frosted Rhinestone Nail Art Wear Nail Art Wear Wholesale Nail Art Patch Nail Art Patch Frosted Nail Art｜365nails</x:v>
      </x:c>
      <x:c r="D486" s="18" t="str">
        <x:v>color: JP1462</x:v>
      </x:c>
      <x:c r="E486" s="25" t="str">
        <x:v>$1.03</x:v>
      </x:c>
      <x:c r="F486" s="19" t="str">
        <x:v>1</x:v>
      </x:c>
    </x:row>
    <x:row r="487" ht="93" customHeight="1">
      <x:c r="A487" s="19" t="n">
        <x:v>484</x:v>
      </x:c>
      <x:c r="B487" s="22" t="e">
        <x:f>HYPERLINK("https://cdn.shopify.com/s/files/1/0918/6066/4603/files/O1CN01SNKCCp2NGHcNVxSSD__4234819935-0-cib.jpg?v=1753431047","Open")</x:f>
        <x:v>HYPERLINK is not implemented. linkLocation=https://cdn.shopify.com/s/files/1/0918/6066/4603/files/O1CN01SNKCCp2NGHcNVxSSD__4234819935-0-cib.jpg?v=1753431047, friendlyName=Open</x:v>
      </x:c>
      <x:c r="C487" s="24" t="e">
        <x:f>HYPERLINK("https://365nails.com/products/scarlet-spice-girl-red-lips-wear-nail-art-finished-product-false-nail-nail-patch-nail-patch-removable-nail-patch-365nails","Scarlet Spice Girl Red Lips Wear Nail Art Finished Product False Nail Nail Patch Nail Patch Removable Nail Patch｜365nails")</x:f>
        <x:v>HYPERLINK is not implemented. linkLocation=https://365nails.com/products/scarlet-spice-girl-red-lips-wear-nail-art-finished-product-false-nail-nail-patch-nail-patch-removable-nail-patch-365nails, friendlyName=Scarlet Spice Girl Red Lips Wear Nail Art Finished Product False Nail Nail Patch Nail Patch Removable Nail Patch｜365nails</x:v>
      </x:c>
      <x:c r="D487" s="18" t="str">
        <x:v>color: JP1383</x:v>
      </x:c>
      <x:c r="E487" s="25" t="str">
        <x:v>$1.08</x:v>
      </x:c>
      <x:c r="F487" s="19" t="str">
        <x:v>1</x:v>
      </x:c>
    </x:row>
    <x:row r="488" ht="93" customHeight="1">
      <x:c r="A488" s="19" t="n">
        <x:v>485</x:v>
      </x:c>
      <x:c r="B488" s="22" t="e">
        <x:f>HYPERLINK("https://cdn.shopify.com/s/files/1/0918/6066/4603/files/19300021799_2037667256.jpg?v=1753430988","Open")</x:f>
        <x:v>HYPERLINK is not implemented. linkLocation=https://cdn.shopify.com/s/files/1/0918/6066/4603/files/19300021799_2037667256.jpg?v=1753430988, friendlyName=Open</x:v>
      </x:c>
      <x:c r="C488" s="24" t="e">
        <x:f>HYPERLINK("https://365nails.com/products/punk-wind-dark-flame-nail-patch-nail-patch-wearing-nail-finished-fake-nail-waterproof-removable-nail-patch-365nails","Punk Wind Dark Flame Nail Patch Nail Patch press-on nails Finished Fake Nail Waterproof Removable Nail Patch｜365nails")</x:f>
        <x:v>HYPERLINK is not implemented. linkLocation=https://365nails.com/products/punk-wind-dark-flame-nail-patch-nail-patch-wearing-nail-finished-fake-nail-waterproof-removable-nail-patch-365nails, friendlyName=Punk Wind Dark Flame Nail Patch Nail Patch press-on nails Finished Fake Nail Waterproof Removable Nail Patch｜365nails</x:v>
      </x:c>
      <x:c r="D488" s="18" t="str">
        <x:v>color: JP834</x:v>
      </x:c>
      <x:c r="E488" s="25" t="str">
        <x:v>$0.70</x:v>
      </x:c>
      <x:c r="F488" s="19" t="str">
        <x:v>1</x:v>
      </x:c>
    </x:row>
    <x:row r="489" ht="93" customHeight="1">
      <x:c r="A489" s="19" t="n">
        <x:v>486</x:v>
      </x:c>
      <x:c r="B489" s="22" t="e">
        <x:f>HYPERLINK("https://cdn.shopify.com/s/files/1/0918/6066/4603/files/14473296512_2037667256.jpg?v=1753430985","Open")</x:f>
        <x:v>HYPERLINK is not implemented. linkLocation=https://cdn.shopify.com/s/files/1/0918/6066/4603/files/14473296512_2037667256.jpg?v=1753430985, friendlyName=Open</x:v>
      </x:c>
      <x:c r="C489" s="24" t="e">
        <x:f>HYPERLINK("https://365nails.com/products/candy-color-jumping-small-fresh-summer-wear-nail-finished-nail-art-patch-cute-nail-piece-waterproof-removable-nail-piece-365nails","Candy color jumping small fresh summer wear nail finished nail art patch cute nail piece waterproof removable nail piece｜365nails")</x:f>
        <x:v>HYPERLINK is not implemented. linkLocation=https://365nails.com/products/candy-color-jumping-small-fresh-summer-wear-nail-finished-nail-art-patch-cute-nail-piece-waterproof-removable-nail-piece-365nails, friendlyName=Candy color jumping small fresh summer wear nail finished nail art patch cute nail piece waterproof removable nail piece｜365nails</x:v>
      </x:c>
      <x:c r="D489" s="18" t="str">
        <x:v>Color: JP750</x:v>
      </x:c>
      <x:c r="E489" s="25" t="str">
        <x:v>$0.70</x:v>
      </x:c>
      <x:c r="F489" s="19" t="str">
        <x:v>1</x:v>
      </x:c>
    </x:row>
    <x:row r="490" ht="93" customHeight="1">
      <x:c r="A490" s="19" t="n">
        <x:v>487</x:v>
      </x:c>
      <x:c r="B490" s="22" t="e">
        <x:f>HYPERLINK("https://cdn.shopify.com/s/files/1/0918/6066/4603/files/O1CN01Fi0qQq2NGHzbxDzH9__4234819935-0-cib.jpg?v=1763454124","Open")</x:f>
        <x:v>HYPERLINK is not implemented. linkLocation=https://cdn.shopify.com/s/files/1/0918/6066/4603/files/O1CN01Fi0qQq2NGHzbxDzH9__4234819935-0-cib.jpg?v=1763454124, friendlyName=Open</x:v>
      </x:c>
      <x:c r="C490" s="24" t="e">
        <x:f>HYPERLINK("https://365nails.com/products/navy-petal-accent-nails-with-soft-nude-contrast","Navy Petal Accent Nails with Soft Nude Contrast")</x:f>
        <x:v>HYPERLINK is not implemented. linkLocation=https://365nails.com/products/navy-petal-accent-nails-with-soft-nude-contrast, friendlyName=Navy Petal Accent Nails with Soft Nude Contrast</x:v>
      </x:c>
      <x:c r="D490" s="18" t="str">
        <x:v>color: JP4046</x:v>
      </x:c>
      <x:c r="E490" s="25" t="str">
        <x:v>$0.82</x:v>
      </x:c>
      <x:c r="F490" s="19" t="str">
        <x:v>1</x:v>
      </x:c>
    </x:row>
    <x:row r="491" ht="93" customHeight="1">
      <x:c r="A491" s="19" t="n">
        <x:v>488</x:v>
      </x:c>
      <x:c r="B491" s="22" t="e">
        <x:f>HYPERLINK("https://cdn.shopify.com/s/files/1/0918/6066/4603/files/O1CN01dVtGUS2NGHzhmhXhT__4234819935-0-cib.jpg?v=1758609898","Open")</x:f>
        <x:v>HYPERLINK is not implemented. linkLocation=https://cdn.shopify.com/s/files/1/0918/6066/4603/files/O1CN01dVtGUS2NGHzhmhXhT__4234819935-0-cib.jpg?v=1758609898, friendlyName=Open</x:v>
      </x:c>
      <x:c r="C491" s="24" t="e">
        <x:f>HYPERLINK("https://365nails.com/products/almond-nail-art-3d-three-dimensional-flower-nail-film-short-wear-nail-fake-nail","Almond 3D three-dimensional flower short pearl mix and match press-on nails")</x:f>
        <x:v>HYPERLINK is not implemented. linkLocation=https://365nails.com/products/almond-nail-art-3d-three-dimensional-flower-nail-film-short-wear-nail-fake-nail, friendlyName=Almond 3D three-dimensional flower short pearl mix and match press-on nails</x:v>
      </x:c>
      <x:c r="D491" s="18" t="str">
        <x:v>color: JP3902</x:v>
      </x:c>
      <x:c r="E491" s="25" t="str">
        <x:v>$1.52</x:v>
      </x:c>
      <x:c r="F491" s="19" t="str">
        <x:v>1</x:v>
      </x:c>
    </x:row>
    <x:row r="492" ht="93" customHeight="1">
      <x:c r="A492" s="19" t="n">
        <x:v>489</x:v>
      </x:c>
      <x:c r="B492" s="22" t="e">
        <x:f>HYPERLINK("https://cdn.shopify.com/s/files/1/0918/6066/4603/files/O1CN01nW1TY42NGHzyJEJGM__4234819935-0-cib.jpg?v=1758609890","Open")</x:f>
        <x:v>HYPERLINK is not implemented. linkLocation=https://cdn.shopify.com/s/files/1/0918/6066/4603/files/O1CN01nW1TY42NGHzyJEJGM__4234819935-0-cib.jpg?v=1758609890, friendlyName=Open</x:v>
      </x:c>
      <x:c r="C492" s="24" t="e">
        <x:f>HYPERLINK("https://365nails.com/products/french-3d-silver-metal-wind-wearing-nail-piece-short-almond-nail-art","French 3D Silver Metallic Wind Pink Short Almond press-on nails")</x:f>
        <x:v>HYPERLINK is not implemented. linkLocation=https://365nails.com/products/french-3d-silver-metal-wind-wearing-nail-piece-short-almond-nail-art, friendlyName=French 3D Silver Metallic Wind Pink Short Almond press-on nails</x:v>
      </x:c>
      <x:c r="D492" s="18" t="str">
        <x:v>color: JP4032</x:v>
      </x:c>
      <x:c r="E492" s="25" t="str">
        <x:v>$1.23</x:v>
      </x:c>
      <x:c r="F492" s="19" t="str">
        <x:v>1</x:v>
      </x:c>
    </x:row>
    <x:row r="493" ht="93" customHeight="1">
      <x:c r="A493" s="19" t="n">
        <x:v>490</x:v>
      </x:c>
      <x:c r="B493" s="22" t="e">
        <x:f>HYPERLINK("https://cdn.shopify.com/s/files/1/0918/6066/4603/files/O1CN01NXwGV72NGHzbqR6wq__4234819935-0-cib.jpg?v=1758609884","Open")</x:f>
        <x:v>HYPERLINK is not implemented. linkLocation=https://cdn.shopify.com/s/files/1/0918/6066/4603/files/O1CN01NXwGV72NGHzbqR6wq__4234819935-0-cib.jpg?v=1758609884, friendlyName=Open</x:v>
      </x:c>
      <x:c r="C493" s="24" t="e">
        <x:f>HYPERLINK("https://365nails.com/products/short-almond-nail-art-nail-piece-3d-three-dimensional-flower-fresh-wear-nail","Short almond 3D three-dimensional flower fresh press-on nails")</x:f>
        <x:v>HYPERLINK is not implemented. linkLocation=https://365nails.com/products/short-almond-nail-art-nail-piece-3d-three-dimensional-flower-fresh-wear-nail, friendlyName=Short almond 3D three-dimensional flower fresh press-on nails</x:v>
      </x:c>
      <x:c r="D493" s="18" t="str">
        <x:v>color: JP4053</x:v>
      </x:c>
      <x:c r="E493" s="25" t="str">
        <x:v>$1.36</x:v>
      </x:c>
      <x:c r="F493" s="19" t="str">
        <x:v>1</x:v>
      </x:c>
    </x:row>
    <x:row r="494" ht="93" customHeight="1">
      <x:c r="A494" s="19" t="n">
        <x:v>491</x:v>
      </x:c>
      <x:c r="B494" s="22" t="e">
        <x:f>HYPERLINK("https://cdn.shopify.com/s/files/1/0918/6066/4603/files/O1CN01YAKtEn2NGHzsKVVbR__4234819935-0-cib.jpg?v=1758609865","Open")</x:f>
        <x:v>HYPERLINK is not implemented. linkLocation=https://cdn.shopify.com/s/files/1/0918/6066/4603/files/O1CN01YAKtEn2NGHzsKVVbR__4234819935-0-cib.jpg?v=1758609865, friendlyName=Open</x:v>
      </x:c>
      <x:c r="C494" s="24" t="e">
        <x:f>HYPERLINK("https://365nails.com/products/wear-nail-art-nail-piece-french-almond-shaped-false-nail-removable-repeated-nail-piece-nails-wholesale","French Almond Pink Bow press-on nails")</x:f>
        <x:v>HYPERLINK is not implemented. linkLocation=https://365nails.com/products/wear-nail-art-nail-piece-french-almond-shaped-false-nail-removable-repeated-nail-piece-nails-wholesale, friendlyName=French Almond Pink Bow press-on nails</x:v>
      </x:c>
      <x:c r="D494" s="18" t="str">
        <x:v>color: JP4001</x:v>
      </x:c>
      <x:c r="E494" s="25" t="str">
        <x:v>$1.23</x:v>
      </x:c>
      <x:c r="F494" s="19" t="str">
        <x:v>1</x:v>
      </x:c>
    </x:row>
    <x:row r="495" ht="93" customHeight="1">
      <x:c r="A495" s="19" t="n">
        <x:v>492</x:v>
      </x:c>
      <x:c r="B495" s="22" t="e">
        <x:f>HYPERLINK("https://cdn.shopify.com/s/files/1/0918/6066/4603/files/O1CN01f4Fcov1qQvcvbP9Qn__3917635491-0-cib.jpg?v=1753522999","Open")</x:f>
        <x:v>HYPERLINK is not implemented. linkLocation=https://cdn.shopify.com/s/files/1/0918/6066/4603/files/O1CN01f4Fcov1qQvcvbP9Qn__3917635491-0-cib.jpg?v=1753522999, friendlyName=Open</x:v>
      </x:c>
      <x:c r="C495" s="24" t="e">
        <x:f>HYPERLINK("https://365nails.com/products/simple-french-flash-full-of-nail-piles-drill-press-on-toenails-nail-pads-new-summer-products-shining-wearing-nail-pads-wholesale-365nails","Simple French flash full of nail piles, drill Press-on toenails nail pads, new summer products, shining press-on nails pads wholesale｜365nails")</x:f>
        <x:v>HYPERLINK is not implemented. linkLocation=https://365nails.com/products/simple-french-flash-full-of-nail-piles-drill-press-on-toenails-nail-pads-new-summer-products-shining-wearing-nail-pads-wholesale-365nails, friendlyName=Simple French flash full of nail piles, drill Press-on toenails nail pads, new summer products, shining press-on nails pads wholesale｜365nails</x:v>
      </x:c>
      <x:c r="D495" s="18" t="str">
        <x:v>Color: F065 Explosive Flash Stack Diamond [Glue Model]</x:v>
      </x:c>
      <x:c r="E495" s="25" t="str">
        <x:v>$0.82</x:v>
      </x:c>
      <x:c r="F495" s="19" t="str">
        <x:v>1</x:v>
      </x:c>
    </x:row>
    <x:row r="496" ht="93" customHeight="1">
      <x:c r="A496" s="19" t="n">
        <x:v>493</x:v>
      </x:c>
      <x:c r="B496" s="22" t="e">
        <x:f>HYPERLINK("https://cdn.shopify.com/s/files/1/0918/6066/4603/files/O1CN0170JA9P2NGHeyldork__4234819935-0-cib.jpg?v=1753431090","Open")</x:f>
        <x:v>HYPERLINK is not implemented. linkLocation=https://cdn.shopify.com/s/files/1/0918/6066/4603/files/O1CN0170JA9P2NGHeyldork__4234819935-0-cib.jpg?v=1753431090, friendlyName=Open</x:v>
      </x:c>
      <x:c r="C496" s="24" t="e">
        <x:f>HYPERLINK("https://365nails.com/products/wear-nail-nail-patch-ice-through-grapefruit-red-checkerboard-nail-whitening-fake-nail-nail-patch-wholesale-365nails","Wear nail nail patch ice through grapefruit red checkerboard nail whitening fake nail nail patch wholesale｜365nails")</x:f>
        <x:v>HYPERLINK is not implemented. linkLocation=https://365nails.com/products/wear-nail-nail-patch-ice-through-grapefruit-red-checkerboard-nail-whitening-fake-nail-nail-patch-wholesale-365nails, friendlyName=Wear nail nail patch ice through grapefruit red checkerboard nail whitening fake nail nail patch wholesale｜365nails</x:v>
      </x:c>
      <x:c r="D496" s="18" t="str">
        <x:v>color: JP1537</x:v>
      </x:c>
      <x:c r="E496" s="25" t="str">
        <x:v>$1.03</x:v>
      </x:c>
      <x:c r="F496" s="19" t="str">
        <x:v>1</x:v>
      </x:c>
    </x:row>
    <x:row r="497" ht="93" customHeight="1">
      <x:c r="A497" s="19" t="n">
        <x:v>494</x:v>
      </x:c>
      <x:c r="B497" s="22" t="e">
        <x:f>HYPERLINK("https://cdn.shopify.com/s/files/1/0918/6066/4603/files/O1CN01EiRceI2NGHaG670mq__4234819935-0-cib.jpg?v=1753431028","Open")</x:f>
        <x:v>HYPERLINK is not implemented. linkLocation=https://cdn.shopify.com/s/files/1/0918/6066/4603/files/O1CN01EiRceI2NGHaG670mq__4234819935-0-cib.jpg?v=1753431028, friendlyName=Open</x:v>
      </x:c>
      <x:c r="C497" s="24" t="e">
        <x:f>HYPERLINK("https://365nails.com/products/nude-love-glitter-wearing-nail-art-finished-fake-nail-nail-art-patch-nail-patch-removable-nail-piece-365nails","Nude love glitter press-on nails art finished fake nail nail art patch nail patch removable nail piece｜365nails")</x:f>
        <x:v>HYPERLINK is not implemented. linkLocation=https://365nails.com/products/nude-love-glitter-wearing-nail-art-finished-fake-nail-nail-art-patch-nail-patch-removable-nail-piece-365nails, friendlyName=Nude love glitter press-on nails art finished fake nail nail art patch nail patch removable nail piece｜365nails</x:v>
      </x:c>
      <x:c r="D497" s="18" t="str">
        <x:v>color: JP1027</x:v>
      </x:c>
      <x:c r="E497" s="25" t="str">
        <x:v>$0.68</x:v>
      </x:c>
      <x:c r="F497" s="19" t="str">
        <x:v>1</x:v>
      </x:c>
    </x:row>
    <x:row r="498" ht="93" customHeight="1">
      <x:c r="A498" s="19" t="n">
        <x:v>495</x:v>
      </x:c>
      <x:c r="B498" s="22" t="e">
        <x:f>HYPERLINK("https://cdn.shopify.com/s/files/1/0918/6066/4603/files/O1CN01p75bA12NGHabiwxOx__4234819935-0-cib.jpg?v=1753431004","Open")</x:f>
        <x:v>HYPERLINK is not implemented. linkLocation=https://cdn.shopify.com/s/files/1/0918/6066/4603/files/O1CN01p75bA12NGHabiwxOx__4234819935-0-cib.jpg?v=1753431004, friendlyName=Open</x:v>
      </x:c>
      <x:c r="C498" s="24" t="e">
        <x:f>HYPERLINK("https://365nails.com/products/cross-border-direct-supply-of-white-flame-soft-nail-wear-nail-art-finished-fake-nail-nail-art-patch-nail-patch-removable-nail-365nails","direct supply of white flame soft nail wear nail art finished fake nail nail art patch nail patch removable nail｜365nails")</x:f>
        <x:v>HYPERLINK is not implemented. linkLocation=https://365nails.com/products/cross-border-direct-supply-of-white-flame-soft-nail-wear-nail-art-finished-fake-nail-nail-art-patch-nail-patch-removable-nail-365nails, friendlyName=direct supply of white flame soft nail wear nail art finished fake nail nail art patch nail patch removable nail｜365nails</x:v>
      </x:c>
      <x:c r="D498" s="18" t="str">
        <x:v>color: JP1038</x:v>
      </x:c>
      <x:c r="E498" s="25" t="str">
        <x:v>$1.54</x:v>
      </x:c>
      <x:c r="F498" s="19" t="str">
        <x:v>1</x:v>
      </x:c>
    </x:row>
    <x:row r="499" ht="93" customHeight="1">
      <x:c r="A499" s="19" t="n">
        <x:v>496</x:v>
      </x:c>
      <x:c r="B499" s="22" t="e">
        <x:f>HYPERLINK("https://cdn.shopify.com/s/files/1/0918/6066/4603/files/20656852852_2037667256.jpg?v=1753430957","Open")</x:f>
        <x:v>HYPERLINK is not implemented. linkLocation=https://cdn.shopify.com/s/files/1/0918/6066/4603/files/20656852852_2037667256.jpg?v=1753430957, friendlyName=Open</x:v>
      </x:c>
      <x:c r="C499" s="24" t="e">
        <x:f>HYPERLINK("https://365nails.com/products/platycodon-red-floral-wearing-nail-finished-whitening-nail-patch-nail-patch-fake-nail-waterproof-factory-direct-sales-365nails","Platycodon red floral press-on nails finished whitening nail patch nail patch fake nail waterproof factory direct sales｜365nails")</x:f>
        <x:v>HYPERLINK is not implemented. linkLocation=https://365nails.com/products/platycodon-red-floral-wearing-nail-finished-whitening-nail-patch-nail-patch-fake-nail-waterproof-factory-direct-sales-365nails, friendlyName=Platycodon red floral press-on nails finished whitening nail patch nail patch fake nail waterproof factory direct sales｜365nails</x:v>
      </x:c>
      <x:c r="D499" s="18" t="str">
        <x:v>color: JP870</x:v>
      </x:c>
      <x:c r="E499" s="25" t="str">
        <x:v>$0.70</x:v>
      </x:c>
      <x:c r="F499" s="19" t="str">
        <x:v>1</x:v>
      </x:c>
    </x:row>
    <x:row r="500" ht="93" customHeight="1">
      <x:c r="A500" s="19" t="n">
        <x:v>497</x:v>
      </x:c>
      <x:c r="B500" s="22" t="e">
        <x:f>HYPERLINK("https://cdn.shopify.com/s/files/1/0918/6066/4603/files/19374674177_2037667256_087cbe16-780d-4f42-9c0f-4dd7cc1bc007.jpg?v=1753430889","Open")</x:f>
        <x:v>HYPERLINK is not implemented. linkLocation=https://cdn.shopify.com/s/files/1/0918/6066/4603/files/19374674177_2037667256_087cbe16-780d-4f42-9c0f-4dd7cc1bc007.jpg?v=1753430889, friendlyName=Open</x:v>
      </x:c>
      <x:c r="C500" s="24" t="e">
        <x:f>HYPERLINK("https://365nails.com/products/spar-cats-eye-long-press-on-nails-nail-patch-nail-patch-waterproof-removable-fake-nail-patch-wholesale-365nails","Spar cat eye Long Press on nails   Waterproof Removable  Patch ｜365nails")</x:f>
        <x:v>HYPERLINK is not implemented. linkLocation=https://365nails.com/products/spar-cats-eye-long-press-on-nails-nail-patch-nail-patch-waterproof-removable-fake-nail-patch-wholesale-365nails, friendlyName=Spar cat eye Long Press on nails   Waterproof Removable  Patch ｜365nails</x:v>
      </x:c>
      <x:c r="D500" s="18" t="str">
        <x:v>Color: JP832</x:v>
      </x:c>
      <x:c r="E500" s="25" t="str">
        <x:v>$0.86</x:v>
      </x:c>
      <x:c r="F500" s="19" t="str">
        <x:v>1</x:v>
      </x:c>
    </x:row>
    <x:row r="501" ht="93" customHeight="1">
      <x:c r="A501" s="19" t="n">
        <x:v>498</x:v>
      </x:c>
      <x:c r="B501" s="22" t="e">
        <x:f>HYPERLINK("https://cdn.shopify.com/s/files/1/0918/6066/4603/files/O1CN01ffVW2u2NGHr171dzA__4234819935-0-cib.jpg?v=1753430871","Open")</x:f>
        <x:v>HYPERLINK is not implemented. linkLocation=https://cdn.shopify.com/s/files/1/0918/6066/4603/files/O1CN01ffVW2u2NGHr171dzA__4234819935-0-cib.jpg?v=1753430871, friendlyName=Open</x:v>
      </x:c>
      <x:c r="C501" s="24" t="e">
        <x:f>HYPERLINK("https://365nails.com/products/classic-hot-selling-french-manicure-press-on-nails-cross-border-european-and-american-fake-nails-european-square-rectangular-nail-finished-product-wholesale-365nails","Classic hot-selling French manicure press on nails   fake nails European square rectangular nail finished product wholesale｜365nails")</x:f>
        <x:v>HYPERLINK is not implemented. linkLocation=https://365nails.com/products/classic-hot-selling-french-manicure-press-on-nails-cross-border-european-and-american-fake-nails-european-square-rectangular-nail-finished-product-wholesale-365nails, friendlyName=Classic hot-selling French manicure press on nails   fake nails European square rectangular nail finished product wholesale｜365nails</x:v>
      </x:c>
      <x:c r="D501" s="18" t="str">
        <x:v>Color: JP3247</x:v>
      </x:c>
      <x:c r="E501" s="25" t="str">
        <x:v>$0.70</x:v>
      </x:c>
      <x:c r="F501" s="19" t="str">
        <x:v>1</x:v>
      </x:c>
    </x:row>
    <x:row r="502" ht="93" customHeight="1">
      <x:c r="A502" s="19" t="n">
        <x:v>499</x:v>
      </x:c>
      <x:c r="B502" s="22" t="e">
        <x:f>HYPERLINK("https://cdn.shopify.com/s/files/1/0918/6066/4603/files/O1CN01POaXNn2NGHaezEgX0__4234819935-0-cib.jpg?v=1753429111","Open")</x:f>
        <x:v>HYPERLINK is not implemented. linkLocation=https://cdn.shopify.com/s/files/1/0918/6066/4603/files/O1CN01POaXNn2NGHaezEgX0__4234819935-0-cib.jpg?v=1753429111, friendlyName=Open</x:v>
      </x:c>
      <x:c r="C502" s="24" t="e">
        <x:f>HYPERLINK("https://365nails.com/products/pop-color-matching-line-sense-wearing-nail-art-finished-fake-nail-nail-art-patch-nail-patch-removable-nail-piece-365nails","Pop color matching line sense press on nails art finished fake nail nail art patch nail patch removable nail piece｜365nails")</x:f>
        <x:v>HYPERLINK is not implemented. linkLocation=https://365nails.com/products/pop-color-matching-line-sense-wearing-nail-art-finished-fake-nail-nail-art-patch-nail-patch-removable-nail-piece-365nails, friendlyName=Pop color matching line sense press on nails art finished fake nail nail art patch nail patch removable nail piece｜365nails</x:v>
      </x:c>
      <x:c r="D502" s="18" t="str">
        <x:v>color: JP1102</x:v>
      </x:c>
      <x:c r="E502" s="25" t="str">
        <x:v>$0.76</x:v>
      </x:c>
      <x:c r="F502" s="19" t="str">
        <x:v>1</x:v>
      </x:c>
    </x:row>
    <x:row r="503" ht="93" customHeight="1">
      <x:c r="A503" s="19" t="n">
        <x:v>500</x:v>
      </x:c>
      <x:c r="B503" s="22" t="e">
        <x:f>HYPERLINK("https://cdn.shopify.com/s/files/1/0918/6066/4603/files/O1CN01PQbW8x2NGHoKIXp1g__4234819935-0-cib.jpg?v=1753431289","Open")</x:f>
        <x:v>HYPERLINK is not implemented. linkLocation=https://cdn.shopify.com/s/files/1/0918/6066/4603/files/O1CN01PQbW8x2NGHoKIXp1g__4234819935-0-cib.jpg?v=1753431289, friendlyName=Open</x:v>
      </x:c>
      <x:c r="C503" s="24" t="e">
        <x:f>HYPERLINK("https://365nails.com/products/cross-border-foreign-trade-wearing-nail-piece-wholesale-nude-laser-nail-art-long-almond-wearing-nail-piece-fake-nail-365nails","wholesale nude laser nail art long almond  ｜365nails")</x:f>
        <x:v>HYPERLINK is not implemented. linkLocation=https://365nails.com/products/cross-border-foreign-trade-wearing-nail-piece-wholesale-nude-laser-nail-art-long-almond-wearing-nail-piece-fake-nail-365nails, friendlyName=wholesale nude laser nail art long almond  ｜365nails</x:v>
      </x:c>
      <x:c r="D503" s="18" t="str">
        <x:v>Color: JP2785</x:v>
      </x:c>
      <x:c r="E503" s="25" t="str">
        <x:v>$1.16</x:v>
      </x:c>
      <x:c r="F503" s="19" t="str">
        <x:v>1</x:v>
      </x:c>
    </x:row>
    <x:row r="504" ht="93" customHeight="1">
      <x:c r="A504" s="19" t="n">
        <x:v>501</x:v>
      </x:c>
      <x:c r="B504" s="22" t="e">
        <x:f>HYPERLINK("https://cdn.shopify.com/s/files/1/0918/6066/4603/files/O1CN01Y4Vvft2NGHtw371xX__4234819935-0-cib.jpg?v=1753428943","Open")</x:f>
        <x:v>HYPERLINK is not implemented. linkLocation=https://cdn.shopify.com/s/files/1/0918/6066/4603/files/O1CN01Y4Vvft2NGHtw371xX__4234819935-0-cib.jpg?v=1753428943, friendlyName=Open</x:v>
      </x:c>
      <x:c r="C504" s="24" t="e">
        <x:f>HYPERLINK("https://365nails.com/products/3d-girl-pink-bow-love-wearing-nail-piece-pearl-leopard-print-manicure-fake-nail-three-dimensional-camellia-nail-piece-365nails","3D girl pink bow love  pearl leopard print manicure fake nail three-dimensional camellia nail piece｜365nails")</x:f>
        <x:v>HYPERLINK is not implemented. linkLocation=https://365nails.com/products/3d-girl-pink-bow-love-wearing-nail-piece-pearl-leopard-print-manicure-fake-nail-three-dimensional-camellia-nail-piece-365nails, friendlyName=3D girl pink bow love  pearl leopard print manicure fake nail three-dimensional camellia nail piece｜365nails</x:v>
      </x:c>
      <x:c r="D504" s="18" t="str">
        <x:v>Color: JP3432</x:v>
      </x:c>
      <x:c r="E504" s="25" t="str">
        <x:v>$1.47</x:v>
      </x:c>
      <x:c r="F504" s="19" t="str">
        <x:v>1</x:v>
      </x:c>
    </x:row>
    <x:row r="505" ht="93" customHeight="1">
      <x:c r="A505" s="19" t="n">
        <x:v>502</x:v>
      </x:c>
      <x:c r="B505" s="22" t="e">
        <x:f>HYPERLINK("https://cdn.shopify.com/s/files/1/0918/6066/4603/files/O1CN01p03gZf1qQvcqycisd__3917635491-0-cib.jpg?v=1753523011","Open")</x:f>
        <x:v>HYPERLINK is not implemented. linkLocation=https://cdn.shopify.com/s/files/1/0918/6066/4603/files/O1CN01p03gZf1qQvcqycisd__3917635491-0-cib.jpg?v=1753523011, friendlyName=Open</x:v>
      </x:c>
      <x:c r="C505" s="24" t="e">
        <x:f>HYPERLINK("https://365nails.com/products/pure-and-simple-milk-white-press-on-toenails-nail-polish-bright-white-fake-nail-wearable-manicure-piece-24-pieces-boxed-nails-365nails","Pure and simple milk white Press-on toenails nail polish bright white fake nail wearable manicure piece 24 pieces boxed nails｜365nails")</x:f>
        <x:v>HYPERLINK is not implemented. linkLocation=https://365nails.com/products/pure-and-simple-milk-white-press-on-toenails-nail-polish-bright-white-fake-nail-wearable-manicure-piece-24-pieces-boxed-nails-365nails, friendlyName=Pure and simple milk white Press-on toenails nail polish bright white fake nail wearable manicure piece 24 pieces boxed nails｜365nails</x:v>
      </x:c>
      <x:c r="D505" s="18" t="str">
        <x:v>color: F069 solid color milk white [glue model]</x:v>
      </x:c>
      <x:c r="E505" s="25" t="str">
        <x:v>$0.30</x:v>
      </x:c>
      <x:c r="F505" s="19" t="str">
        <x:v>1</x:v>
      </x:c>
    </x:row>
    <x:row r="506" ht="93" customHeight="1">
      <x:c r="A506" s="19" t="n">
        <x:v>503</x:v>
      </x:c>
      <x:c r="B506" s="22" t="e">
        <x:f>HYPERLINK("https://cdn.shopify.com/s/files/1/0918/6066/4603/files/O1CN01oHU0mp2NGHyHHMWsL__4234819935-0-cib.jpg?v=1753431142","Open")</x:f>
        <x:v>HYPERLINK is not implemented. linkLocation=https://cdn.shopify.com/s/files/1/0918/6066/4603/files/O1CN01oHU0mp2NGHyHHMWsL__4234819935-0-cib.jpg?v=1753431142, friendlyName=Open</x:v>
      </x:c>
      <x:c r="C506" s="24" t="e">
        <x:f>HYPERLINK("https://365nails.com/products/summer-ins-wind-short-square-nail-wearing-fake-nail-small-fresh-daisy-flower-nail-art-wholesale-365nails","Summer ins wind short square nail wearing fake nail small fresh daisy flower nail art wholesale｜365nails")</x:f>
        <x:v>HYPERLINK is not implemented. linkLocation=https://365nails.com/products/summer-ins-wind-short-square-nail-wearing-fake-nail-small-fresh-daisy-flower-nail-art-wholesale-365nails, friendlyName=Summer ins wind short square nail wearing fake nail small fresh daisy flower nail art wholesale｜365nails</x:v>
      </x:c>
      <x:c r="D506" s="18" t="str">
        <x:v>color: JP3921</x:v>
      </x:c>
      <x:c r="E506" s="25" t="str">
        <x:v>$0.86</x:v>
      </x:c>
      <x:c r="F506" s="19" t="str">
        <x:v>1</x:v>
      </x:c>
    </x:row>
    <x:row r="507" ht="93" customHeight="1">
      <x:c r="A507" s="19" t="n">
        <x:v>504</x:v>
      </x:c>
      <x:c r="B507" s="22" t="e">
        <x:f>HYPERLINK("https://cdn.shopify.com/s/files/1/0918/6066/4603/files/O1CN011QJ00A2NGHsqPyTbn__4234819935-0-cib.jpg?v=1753431098","Open")</x:f>
        <x:v>HYPERLINK is not implemented. linkLocation=https://cdn.shopify.com/s/files/1/0918/6066/4603/files/O1CN011QJ00A2NGHsqPyTbn__4234819935-0-cib.jpg?v=1753431098, friendlyName=Open</x:v>
      </x:c>
      <x:c r="C507" s="24" t="e">
        <x:f>HYPERLINK("https://365nails.com/products/new-halloween-wear-armor-cross-border-foreign-trade-spider-flash-manicure-short-almond-press-on-nails-365nails","New Halloween wear armor   spider flash manicure short almond press on nails｜365nails")</x:f>
        <x:v>HYPERLINK is not implemented. linkLocation=https://365nails.com/products/new-halloween-wear-armor-cross-border-foreign-trade-spider-flash-manicure-short-almond-press-on-nails-365nails, friendlyName=New Halloween wear armor   spider flash manicure short almond press on nails｜365nails</x:v>
      </x:c>
      <x:c r="D507" s="18" t="str">
        <x:v>Color: JP3419</x:v>
      </x:c>
      <x:c r="E507" s="25" t="str">
        <x:v>$1.90</x:v>
      </x:c>
      <x:c r="F507" s="19" t="str">
        <x:v>1</x:v>
      </x:c>
    </x:row>
    <x:row r="508" ht="93" customHeight="1">
      <x:c r="A508" s="19" t="n">
        <x:v>505</x:v>
      </x:c>
      <x:c r="B508" s="22" t="e">
        <x:f>HYPERLINK("https://cdn.shopify.com/s/files/1/0918/6066/4603/files/O1CN01YaDVuW2NGHsYXZ7Yd__4234819935-0-cib_c2525df4-77b7-4a4b-b1f9-fcd81b8536a5.jpg?v=1753431073","Open")</x:f>
        <x:v>HYPERLINK is not implemented. linkLocation=https://cdn.shopify.com/s/files/1/0918/6066/4603/files/O1CN01YaDVuW2NGHsYXZ7Yd__4234819935-0-cib_c2525df4-77b7-4a4b-b1f9-fcd81b8536a5.jpg?v=1753431073, friendlyName=Open</x:v>
      </x:c>
      <x:c r="C508" s="24" t="e">
        <x:f>HYPERLINK("https://365nails.com/products/factory-direct-supply-french-nail-products-wholesale-3d-wearable-manicure-fake-nails-simple-square-wearable-nail-365nails","Factory direct supply French nail products wholesale 3D wearable manicure fake nails simple square wearable nail｜365nails")</x:f>
        <x:v>HYPERLINK is not implemented. linkLocation=https://365nails.com/products/factory-direct-supply-french-nail-products-wholesale-3d-wearable-manicure-fake-nails-simple-square-wearable-nail-365nails, friendlyName=Factory direct supply French nail products wholesale 3D wearable manicure fake nails simple square wearable nail｜365nails</x:v>
      </x:c>
      <x:c r="D508" s="18" t="str">
        <x:v>Color: DIY28</x:v>
      </x:c>
      <x:c r="E508" s="25" t="str">
        <x:v>$1.25</x:v>
      </x:c>
      <x:c r="F508" s="19" t="str">
        <x:v>1</x:v>
      </x:c>
    </x:row>
    <x:row r="509" ht="93" customHeight="1">
      <x:c r="A509" s="19" t="n">
        <x:v>506</x:v>
      </x:c>
      <x:c r="B509" s="22" t="e">
        <x:f>HYPERLINK("https://cdn.shopify.com/s/files/1/0918/6066/4603/files/O1CN01KZyUBu2NGHoxhbo85__4234819935-0-cib.jpg?v=1753429166","Open")</x:f>
        <x:v>HYPERLINK is not implemented. linkLocation=https://cdn.shopify.com/s/files/1/0918/6066/4603/files/O1CN01KZyUBu2NGHoxhbo85__4234819935-0-cib.jpg?v=1753429166, friendlyName=Open</x:v>
      </x:c>
      <x:c r="C509" s="24" t="e">
        <x:f>HYPERLINK("https://365nails.com/products/factory-hot-selling-simple-french-black-edge-wearing-nail-gold-glitter-line-ins-manicure-piece-short-t-fake-nail-piece-365nails","Factory hot-selling simple French black edge press-on nails gold glitter line ins manicure piece short T fake nail piece｜365nails")</x:f>
        <x:v>HYPERLINK is not implemented. linkLocation=https://365nails.com/products/factory-hot-selling-simple-french-black-edge-wearing-nail-gold-glitter-line-ins-manicure-piece-short-t-fake-nail-piece-365nails, friendlyName=Factory hot-selling simple French black edge press-on nails gold glitter line ins manicure piece short T fake nail piece｜365nails</x:v>
      </x:c>
      <x:c r="D509" s="18" t="str">
        <x:v>color: JP3113 [Glue model] / JP3113 [including wearable kit]</x:v>
      </x:c>
      <x:c r="E509" s="25" t="str">
        <x:v>$0.86–$1.03</x:v>
      </x:c>
      <x:c r="F509" s="19" t="str">
        <x:v>1</x:v>
      </x:c>
    </x:row>
    <x:row r="510" ht="93" customHeight="1">
      <x:c r="A510" s="19" t="n">
        <x:v>507</x:v>
      </x:c>
      <x:c r="B510" s="22" t="e">
        <x:f>HYPERLINK("https://cdn.shopify.com/s/files/1/0918/6066/4603/files/O1CN01IU1ytq1qQvdLTpwUl__3917635491-0-cib.jpg?v=1753523062","Open")</x:f>
        <x:v>HYPERLINK is not implemented. linkLocation=https://cdn.shopify.com/s/files/1/0918/6066/4603/files/O1CN01IU1ytq1qQvdLTpwUl__3917635491-0-cib.jpg?v=1753523062, friendlyName=Open</x:v>
      </x:c>
      <x:c r="C510" s="24" t="e">
        <x:f>HYPERLINK("https://365nails.com/products/press-on-toenails-style-fresh-and-natural-green-apple-vitality-manicure-light-green-fake-nails-fashion-press-on-toenails-nail-wear-365nails","Press-on toenails style, fresh and natural, green apple vitality manicure, light green fake nails,  fashion Press-on toenails nail wear｜365nails")</x:f>
        <x:v>HYPERLINK is not implemented. linkLocation=https://365nails.com/products/press-on-toenails-style-fresh-and-natural-green-apple-vitality-manicure-light-green-fake-nails-fashion-press-on-toenails-nail-wear-365nails, friendlyName=Press-on toenails style, fresh and natural, green apple vitality manicure, light green fake nails,  fashion Press-on toenails nail wear｜365nails</x:v>
      </x:c>
      <x:c r="D510" s="18" t="str">
        <x:v>color: F092 Apple Paradise [Glue]</x:v>
      </x:c>
      <x:c r="E510" s="25" t="str">
        <x:v>$0.82</x:v>
      </x:c>
      <x:c r="F510" s="19" t="str">
        <x:v>1</x:v>
      </x:c>
    </x:row>
    <x:row r="511" ht="93" customHeight="1">
      <x:c r="A511" s="19" t="n">
        <x:v>508</x:v>
      </x:c>
      <x:c r="B511" s="22" t="e">
        <x:f>HYPERLINK("https://cdn.shopify.com/s/files/1/0918/6066/4603/files/O1CN01G3Wi3x1qQvr9NP6tF__3917635491-0-cib.jpg?v=1753523046","Open")</x:f>
        <x:v>HYPERLINK is not implemented. linkLocation=https://cdn.shopify.com/s/files/1/0918/6066/4603/files/O1CN01G3Wi3x1qQvr9NP6tF__3917635491-0-cib.jpg?v=1753523046, friendlyName=Open</x:v>
      </x:c>
      <x:c r="C511" s="24" t="e">
        <x:f>HYPERLINK("https://365nails.com/products/simple-and-light-lines-french-matcha-green-fashion-simple-removable-toenails-24-pieces-365nails","Simple and light lines French matcha green fashion simple   removable toenails 24 pieces｜365nails")</x:f>
        <x:v>HYPERLINK is not implemented. linkLocation=https://365nails.com/products/simple-and-light-lines-french-matcha-green-fashion-simple-removable-toenails-24-pieces-365nails, friendlyName=Simple and light lines French matcha green fashion simple   removable toenails 24 pieces｜365nails</x:v>
      </x:c>
      <x:c r="D511" s="18" t="str">
        <x:v>color: F189 Light Matcha [Glue]</x:v>
      </x:c>
      <x:c r="E511" s="25" t="str">
        <x:v>$0.51</x:v>
      </x:c>
      <x:c r="F511" s="19" t="str">
        <x:v>1</x:v>
      </x:c>
    </x:row>
    <x:row r="512" ht="93" customHeight="1">
      <x:c r="A512" s="19" t="n">
        <x:v>509</x:v>
      </x:c>
      <x:c r="B512" s="22" t="e">
        <x:f>HYPERLINK("https://cdn.shopify.com/s/files/1/0918/6066/4603/files/O1CN018IjH1j1qQvrgYR4Fx__3917635491-0-cib.jpg?v=1753523043","Open")</x:f>
        <x:v>HYPERLINK is not implemented. linkLocation=https://cdn.shopify.com/s/files/1/0918/6066/4603/files/O1CN018IjH1j1qQvrgYR4Fx__3917635491-0-cib.jpg?v=1753523043, friendlyName=Open</x:v>
      </x:c>
      <x:c r="C512" s="24" t="e">
        <x:f>HYPERLINK("https://365nails.com/products/three-dimensional-cats-eye-gilt-flower-discrimination-french-gentle-white-versatile-ins-wind-removable-toenails-24-pieces-365nails","Three-dimensional cat eye gilt flower discrimination French gentle white versatile  ins wind removable toenails 24 pieces｜365nails")</x:f>
        <x:v>HYPERLINK is not implemented. linkLocation=https://365nails.com/products/three-dimensional-cats-eye-gilt-flower-discrimination-french-gentle-white-versatile-ins-wind-removable-toenails-24-pieces-365nails, friendlyName=Three-dimensional cat eye gilt flower discrimination French gentle white versatile  ins wind removable toenails 24 pieces｜365nails</x:v>
      </x:c>
      <x:c r="D512" s="18" t="str">
        <x:v>color: F198 gilt flower [glue model]</x:v>
      </x:c>
      <x:c r="E512" s="25" t="str">
        <x:v>$0.86</x:v>
      </x:c>
      <x:c r="F512" s="19" t="str">
        <x:v>1</x:v>
      </x:c>
    </x:row>
    <x:row r="513" ht="93" customHeight="1">
      <x:c r="A513" s="19" t="n">
        <x:v>510</x:v>
      </x:c>
      <x:c r="B513" s="22" t="e">
        <x:f>HYPERLINK("https://cdn.shopify.com/s/files/1/0918/6066/4603/files/O1CN01xiFlmB1qQvcSpqyLM__3917635491-0-cib.jpg?v=1753523041","Open")</x:f>
        <x:v>HYPERLINK is not implemented. linkLocation=https://cdn.shopify.com/s/files/1/0918/6066/4603/files/O1CN01xiFlmB1qQvcSpqyLM__3917635491-0-cib.jpg?v=1753523041, friendlyName=Open</x:v>
      </x:c>
      <x:c r="C513" s="24" t="e">
        <x:f>HYPERLINK("https://365nails.com/products/white-sweet-and-cool-black-solid-color-manicure-flash-silver-special-fake-for-wearing-nail-feet-press-on-toenails-365nails","White, sweet and cool, black solid color manicure, flash silver, special fake  for press-on nails feet, Press-on toenails ｜365nails")</x:f>
        <x:v>HYPERLINK is not implemented. linkLocation=https://365nails.com/products/white-sweet-and-cool-black-solid-color-manicure-flash-silver-special-fake-for-wearing-nail-feet-press-on-toenails-365nails, friendlyName=White, sweet and cool, black solid color manicure, flash silver, special fake  for press-on nails feet, Press-on toenails ｜365nails</x:v>
      </x:c>
      <x:c r="D513" s="18" t="str">
        <x:v>color: F045 Sweet Cool Black Silver [Glue]</x:v>
      </x:c>
      <x:c r="E513" s="25" t="str">
        <x:v>$0.43</x:v>
      </x:c>
      <x:c r="F513" s="19" t="str">
        <x:v>1</x:v>
      </x:c>
    </x:row>
    <x:row r="514" ht="93" customHeight="1">
      <x:c r="A514" s="19" t="n">
        <x:v>511</x:v>
      </x:c>
      <x:c r="B514" s="22" t="e">
        <x:f>HYPERLINK("https://cdn.shopify.com/s/files/1/0918/6066/4603/files/O1CN012xuCwi2NGHyAo127f__4234819935-0-cib.jpg?v=1753431299","Open")</x:f>
        <x:v>HYPERLINK is not implemented. linkLocation=https://cdn.shopify.com/s/files/1/0918/6066/4603/files/O1CN012xuCwi2NGHyAo127f__4234819935-0-cib.jpg?v=1753431299, friendlyName=Open</x:v>
      </x:c>
      <x:c r="C514" s="24" t="e">
        <x:f>HYPERLINK("https://365nails.com/products/french-blue-simple-nail-art-film-short-short-round-wearing-fake-nails-3d-tropical-flower-wearing-nail-wholesale-365nails","French blue simple nail art film short short round wearing fake nails 3D tropical flower press-on nails wholesale｜365nails")</x:f>
        <x:v>HYPERLINK is not implemented. linkLocation=https://365nails.com/products/french-blue-simple-nail-art-film-short-short-round-wearing-fake-nails-3d-tropical-flower-wearing-nail-wholesale-365nails, friendlyName=French blue simple nail art film short short round wearing fake nails 3D tropical flower press-on nails wholesale｜365nails</x:v>
      </x:c>
      <x:c r="D514" s="18" t="str">
        <x:v>color: JL0667</x:v>
      </x:c>
      <x:c r="E514" s="25" t="str">
        <x:v>$0.91</x:v>
      </x:c>
      <x:c r="F514" s="19" t="str">
        <x:v>1</x:v>
      </x:c>
    </x:row>
    <x:row r="515" ht="93" customHeight="1">
      <x:c r="A515" s="19" t="n">
        <x:v>512</x:v>
      </x:c>
      <x:c r="B515" s="22" t="e">
        <x:f>HYPERLINK("https://cdn.shopify.com/s/files/1/0918/6066/4603/files/O1CN01FCYJZR2NGHuZxLJfc__4234819935-0-cib.jpg?v=1753431221","Open")</x:f>
        <x:v>HYPERLINK is not implemented. linkLocation=https://cdn.shopify.com/s/files/1/0918/6066/4603/files/O1CN01FCYJZR2NGHuZxLJfc__4234819935-0-cib.jpg?v=1753431221, friendlyName=Open</x:v>
      </x:c>
      <x:c r="C515" s="24" t="e">
        <x:f>HYPERLINK("https://365nails.com/products/colorful-coated-wearable-nail-art-short-almond-nail-patch-european-and-american-cross-border-hot-selling-wearable-nail-wholesale-365nails","Colorful coated wearable nail art short almond nail patch   hot-selling wearable nail wholesale｜365nails")</x:f>
        <x:v>HYPERLINK is not implemented. linkLocation=https://365nails.com/products/colorful-coated-wearable-nail-art-short-almond-nail-patch-european-and-american-cross-border-hot-selling-wearable-nail-wholesale-365nails, friendlyName=Colorful coated wearable nail art short almond nail patch   hot-selling wearable nail wholesale｜365nails</x:v>
      </x:c>
      <x:c r="D515" s="18" t="str">
        <x:v>color: JP3471</x:v>
      </x:c>
      <x:c r="E515" s="25" t="str">
        <x:v>$1.30</x:v>
      </x:c>
      <x:c r="F515" s="19" t="str">
        <x:v>1</x:v>
      </x:c>
    </x:row>
    <x:row r="516" ht="93" customHeight="1">
      <x:c r="A516" s="19" t="n">
        <x:v>513</x:v>
      </x:c>
      <x:c r="B516" s="22" t="e">
        <x:f>HYPERLINK("https://cdn.shopify.com/s/files/1/0918/6066/4603/files/O1CN01faPvxg2NGHxbXdXD2__4234819935-0-cib.jpg?v=1753431188","Open")</x:f>
        <x:v>HYPERLINK is not implemented. linkLocation=https://cdn.shopify.com/s/files/1/0918/6066/4603/files/O1CN01faPvxg2NGHxbXdXD2__4234819935-0-cib.jpg?v=1753431188, friendlyName=Open</x:v>
      </x:c>
      <x:c r="C516" s="24" t="e">
        <x:f>HYPERLINK("https://365nails.com/products/foreign-trade-europe-and-the-united-states-wear-nail-summer-gentle-white-flower-nail-art-short-square-nail-art-nail-piece-finished-product-wholesale-365nails","Europe and the United States wear nail summer gentle white flower nail art short square nail art  finished product wholesale｜365nails")</x:f>
        <x:v>HYPERLINK is not implemented. linkLocation=https://365nails.com/products/foreign-trade-europe-and-the-united-states-wear-nail-summer-gentle-white-flower-nail-art-short-square-nail-art-nail-piece-finished-product-wholesale-365nails, friendlyName=Europe and the United States wear nail summer gentle white flower nail art short square nail art  finished product wholesale｜365nails</x:v>
      </x:c>
      <x:c r="D516" s="18" t="str">
        <x:v>color: JP3833</x:v>
      </x:c>
      <x:c r="E516" s="25" t="str">
        <x:v>$1.30</x:v>
      </x:c>
      <x:c r="F516" s="19" t="str">
        <x:v>1</x:v>
      </x:c>
    </x:row>
    <x:row r="517" ht="93" customHeight="1">
      <x:c r="A517" s="19" t="n">
        <x:v>514</x:v>
      </x:c>
      <x:c r="B517" s="22" t="e">
        <x:f>HYPERLINK("https://cdn.shopify.com/s/files/1/0918/6066/4603/files/O1CN01BUjVh02NGHxTqygYb__4234819935-0-cib.jpg?v=1753431113","Open")</x:f>
        <x:v>HYPERLINK is not implemented. linkLocation=https://cdn.shopify.com/s/files/1/0918/6066/4603/files/O1CN01BUjVh02NGHxTqygYb__4234819935-0-cib.jpg?v=1753431113, friendlyName=Open</x:v>
      </x:c>
      <x:c r="C517" s="24" t="e">
        <x:f>HYPERLINK("https://365nails.com/products/spring-and-summer-new-products-daisy-flowers-simple-and-small-toenails-fresh-toenails-french-white-feet-wearing-nail-pads-365nails","Spring and summer new products, daisy flowers, simple and small toenails, fresh toenails, French white feet, press-on nails pads｜365nails")</x:f>
        <x:v>HYPERLINK is not implemented. linkLocation=https://365nails.com/products/spring-and-summer-new-products-daisy-flowers-simple-and-small-toenails-fresh-toenails-french-white-feet-wearing-nail-pads-365nails, friendlyName=Spring and summer new products, daisy flowers, simple and small toenails, fresh toenails, French white feet, press-on nails pads｜365nails</x:v>
      </x:c>
      <x:c r="D517" s="18" t="str">
        <x:v>color: JP3809</x:v>
      </x:c>
      <x:c r="E517" s="25" t="str">
        <x:v>$0.68</x:v>
      </x:c>
      <x:c r="F517" s="19" t="str">
        <x:v>1</x:v>
      </x:c>
    </x:row>
    <x:row r="518" ht="93" customHeight="1">
      <x:c r="A518" s="19" t="n">
        <x:v>515</x:v>
      </x:c>
      <x:c r="B518" s="22" t="e">
        <x:f>HYPERLINK("https://cdn.shopify.com/s/files/1/0918/6066/4603/files/O1CN01gCL6Eo2NGHyB6dDrj__4234819935-0-cib.jpg?v=1753428971","Open")</x:f>
        <x:v>HYPERLINK is not implemented. linkLocation=https://cdn.shopify.com/s/files/1/0918/6066/4603/files/O1CN01gCL6Eo2NGHyB6dDrj__4234819935-0-cib.jpg?v=1753428971, friendlyName=Open</x:v>
      </x:c>
      <x:c r="C518" s="24" t="e">
        <x:f>HYPERLINK("https://365nails.com/products/simple-and-fresh-flower-nail-art-film-short-almond-nail-fake-nail-french-white-short-wearing-nail-film-365nails","Simple and fresh flower nail art film Short almond nail fake nail French white short press-on nails film｜365nails")</x:f>
        <x:v>HYPERLINK is not implemented. linkLocation=https://365nails.com/products/simple-and-fresh-flower-nail-art-film-short-almond-nail-fake-nail-french-white-short-wearing-nail-film-365nails, friendlyName=Simple and fresh flower nail art film Short almond nail fake nail French white short press-on nails film｜365nails</x:v>
      </x:c>
      <x:c r="D518" s="18" t="str">
        <x:v>color: JP3970</x:v>
      </x:c>
      <x:c r="E518" s="25" t="str">
        <x:v>$0.68</x:v>
      </x:c>
      <x:c r="F518" s="19" t="str">
        <x:v>1</x:v>
      </x:c>
    </x:row>
    <x:row r="519" ht="93" customHeight="1">
      <x:c r="A519" s="19" t="n">
        <x:v>516</x:v>
      </x:c>
      <x:c r="B519" s="22" t="e">
        <x:f>HYPERLINK("https://cdn.shopify.com/s/files/1/0918/6066/4603/files/O1CN01hVKP2I2NGHuGQ6A86__4234819935-0-cib.jpg?v=1753428962","Open")</x:f>
        <x:v>HYPERLINK is not implemented. linkLocation=https://cdn.shopify.com/s/files/1/0918/6066/4603/files/O1CN01hVKP2I2NGHuGQ6A86__4234819935-0-cib.jpg?v=1753428962, friendlyName=Open</x:v>
      </x:c>
      <x:c r="C519" s="24" t="e">
        <x:f>HYPERLINK("https://365nails.com/products/2024-simple-french-white-wear-nail-christmas-snowflake-nail-art-false-nail-gold-glitter-short-nail-sheet-wholesale-365nails","Simple French White Wear Nail Christmas Snowflake Nail Art False Nail Gold Glitter Short Nail Sheet Wholesale｜365nails")</x:f>
        <x:v>HYPERLINK is not implemented. linkLocation=https://365nails.com/products/2024-simple-french-white-wear-nail-christmas-snowflake-nail-art-false-nail-gold-glitter-short-nail-sheet-wholesale-365nails, friendlyName=Simple French White Wear Nail Christmas Snowflake Nail Art False Nail Gold Glitter Short Nail Sheet Wholesale｜365nails</x:v>
      </x:c>
      <x:c r="D519" s="18" t="str">
        <x:v>Color: JP3456</x:v>
      </x:c>
      <x:c r="E519" s="25" t="str">
        <x:v>$0.70</x:v>
      </x:c>
      <x:c r="F519" s="19" t="str">
        <x:v>1</x:v>
      </x:c>
    </x:row>
    <x:row r="520" ht="93" customHeight="1">
      <x:c r="A520" s="19" t="n">
        <x:v>517</x:v>
      </x:c>
      <x:c r="B520" s="22" t="e">
        <x:f>HYPERLINK("https://cdn.shopify.com/s/files/1/0918/6066/4603/files/O1CN01b5XqQj1CPwP8Rhhf2__2213196780074-0-cib.jpg?v=1776936040","Open")</x:f>
        <x:v>HYPERLINK is not implemented. linkLocation=https://cdn.shopify.com/s/files/1/0918/6066/4603/files/O1CN01b5XqQj1CPwP8Rhhf2__2213196780074-0-cib.jpg?v=1776936040, friendlyName=Open</x:v>
      </x:c>
      <x:c r="C520" s="24" t="e">
        <x:f>HYPERLINK("https://365nails.com/products/365nails-crimson-bloom-3d-floral-french-tip-handmade-almond-nails-1","365nails: ""Crimson Bloom"" – 3D Floral French Tip Handmade Almond Nails")</x:f>
        <x:v>HYPERLINK is not implemented. linkLocation=https://365nails.com/products/365nails-crimson-bloom-3d-floral-french-tip-handmade-almond-nails-1, friendlyName=365nails: "Crimson Bloom" – 3D Floral French Tip Handmade Almond Nails</x:v>
      </x:c>
      <x:c r="D520" s="18" t="str">
        <x:v>Color: 2848 - medium oval; Color classification: Xs / S / M / L</x:v>
      </x:c>
      <x:c r="E520" s="25" t="str">
        <x:v>$3.49</x:v>
      </x:c>
      <x:c r="F520" s="19" t="str">
        <x:v>1</x:v>
      </x:c>
    </x:row>
    <x:row r="521" ht="93" customHeight="1">
      <x:c r="A521" s="19" t="n">
        <x:v>518</x:v>
      </x:c>
      <x:c r="B521" s="22" t="e">
        <x:f>HYPERLINK("https://cdn.shopify.com/s/files/1/0918/6066/4603/files/O1CN01apcw8W1qQvqPnvhKS__3917635491-0-cib.jpg?v=1753523035","Open")</x:f>
        <x:v>HYPERLINK is not implemented. linkLocation=https://cdn.shopify.com/s/files/1/0918/6066/4603/files/O1CN01apcw8W1qQvqPnvhKS__3917635491-0-cib.jpg?v=1753523035, friendlyName=Open</x:v>
      </x:c>
      <x:c r="C521" s="24" t="e">
        <x:f>HYPERLINK("https://365nails.com/products/press-on-toenails-multi-color-solid-color-manicure-into-autumn-blue-and-white-gold-powder-cool-black-fake-nails-press-on-toenails-nail-wholesale-nails-365nails","Press-on toenails multi-color solid color manicure into autumn blue and white gold powder cool black fake nails Press-on toenails nail wholesale nails｜365nails")</x:f>
        <x:v>HYPERLINK is not implemented. linkLocation=https://365nails.com/products/press-on-toenails-multi-color-solid-color-manicure-into-autumn-blue-and-white-gold-powder-cool-black-fake-nails-press-on-toenails-nail-wholesale-nails-365nails, friendlyName=Press-on toenails multi-color solid color manicure into autumn blue and white gold powder cool black fake nails Press-on toenails nail wholesale nails｜365nails</x:v>
      </x:c>
      <x:c r="D521" s="18" t="str">
        <x:v>color: F131 solid color matching [jelly glue]</x:v>
      </x:c>
      <x:c r="E521" s="25" t="str">
        <x:v>$0.97</x:v>
      </x:c>
      <x:c r="F521" s="19" t="str">
        <x:v>1</x:v>
      </x:c>
    </x:row>
    <x:row r="522" ht="93" customHeight="1">
      <x:c r="A522" s="19" t="n">
        <x:v>519</x:v>
      </x:c>
      <x:c r="B522" s="22" t="e">
        <x:f>HYPERLINK("https://cdn.shopify.com/s/files/1/0918/6066/4603/files/O1CN01XnigKg2NGHyXQFZ5I__4234819935-0-cib.jpg?v=1753431175","Open")</x:f>
        <x:v>HYPERLINK is not implemented. linkLocation=https://cdn.shopify.com/s/files/1/0918/6066/4603/files/O1CN01XnigKg2NGHyXQFZ5I__4234819935-0-cib.jpg?v=1753431175, friendlyName=Open</x:v>
      </x:c>
      <x:c r="C522" s="24" t="e">
        <x:f>HYPERLINK("https://365nails.com/products/cross-border-hot-selling-wearing-nail-butterfly-nail-art-fake-nail-medium-and-long-square-nail-piece-press-on-nails-365nails","hot-selling press-on nails butterfly nail art fake nail medium and long square nail piece press on nails｜365nails")</x:f>
        <x:v>HYPERLINK is not implemented. linkLocation=https://365nails.com/products/cross-border-hot-selling-wearing-nail-butterfly-nail-art-fake-nail-medium-and-long-square-nail-piece-press-on-nails-365nails, friendlyName=hot-selling press-on nails butterfly nail art fake nail medium and long square nail piece press on nails｜365nails</x:v>
      </x:c>
      <x:c r="D522" s="18" t="str">
        <x:v>color: JP3954</x:v>
      </x:c>
      <x:c r="E522" s="25" t="str">
        <x:v>$0.86</x:v>
      </x:c>
      <x:c r="F522" s="19" t="str">
        <x:v>1</x:v>
      </x:c>
    </x:row>
    <x:row r="523" ht="93" customHeight="1">
      <x:c r="A523" s="19" t="n">
        <x:v>520</x:v>
      </x:c>
      <x:c r="B523" s="22" t="e">
        <x:f>HYPERLINK("https://cdn.shopify.com/s/files/1/0918/6066/4603/files/O1CN01gPEWLT1CPwRJL5bPR__2213196780074-0-cib.jpg?v=1776852962","Open")</x:f>
        <x:v>HYPERLINK is not implemented. linkLocation=https://cdn.shopify.com/s/files/1/0918/6066/4603/files/O1CN01gPEWLT1CPwRJL5bPR__2213196780074-0-cib.jpg?v=1776852962, friendlyName=Open</x:v>
      </x:c>
      <x:c r="C523" s="24" t="e">
        <x:f>HYPERLINK("https://365nails.com/products/365nails-blossom-veil-3d-floral-crystal-handmade-coffin-nails","365nails: ""Blossom Veil"" – 3D Floral &amp; Crystal Handmade Coffin Nails")</x:f>
        <x:v>HYPERLINK is not implemented. linkLocation=https://365nails.com/products/365nails-blossom-veil-3d-floral-crystal-handmade-coffin-nails, friendlyName=365nails: "Blossom Veil" – 3D Floral &amp; Crystal Handmade Coffin Nails</x:v>
      </x:c>
      <x:c r="D523" s="18" t="str">
        <x:v>Color: K2-short duckbill; Color classification: Extra small size xs / Small s / Medium m / Large l</x:v>
      </x:c>
      <x:c r="E523" s="25" t="str">
        <x:v>$4.49</x:v>
      </x:c>
      <x:c r="F523" s="19" t="str">
        <x:v>1</x:v>
      </x:c>
    </x:row>
    <x:row r="524" ht="93" customHeight="1">
      <x:c r="A524" s="19" t="n">
        <x:v>521</x:v>
      </x:c>
      <x:c r="B524" s="22" t="e">
        <x:f>HYPERLINK("https://cdn.shopify.com/s/files/1/0918/6066/4603/files/O1CN01748IeR2NGHozQiS41__4234819935-0-cib_dd876998-cc03-41e6-b82c-6f5caedd7d03.jpg?v=1753431476","Open")</x:f>
        <x:v>HYPERLINK is not implemented. linkLocation=https://cdn.shopify.com/s/files/1/0918/6066/4603/files/O1CN01748IeR2NGHozQiS41__4234819935-0-cib_dd876998-cc03-41e6-b82c-6f5caedd7d03.jpg?v=1753431476, friendlyName=Open</x:v>
      </x:c>
      <x:c r="C524" s="24" t="e">
        <x:f>HYPERLINK("https://365nails.com/products/color-striped-wear-nail-piece-golden-glitter-corrugated-nail-art-point-drill-almond-nail-false-nail-false-nail-365nails","Color striped wear nail piece Golden glitter corrugated nail art point drill Almond nail false nail false nail｜365nails")</x:f>
        <x:v>HYPERLINK is not implemented. linkLocation=https://365nails.com/products/color-striped-wear-nail-piece-golden-glitter-corrugated-nail-art-point-drill-almond-nail-false-nail-false-nail-365nails, friendlyName=Color striped wear nail piece Golden glitter corrugated nail art point drill Almond nail false nail false nail｜365nails</x:v>
      </x:c>
      <x:c r="D524" s="18" t="str">
        <x:v>Color: JP2988</x:v>
      </x:c>
      <x:c r="E524" s="25" t="str">
        <x:v>$1.25</x:v>
      </x:c>
      <x:c r="F524" s="19" t="str">
        <x:v>1</x:v>
      </x:c>
    </x:row>
    <x:row r="525" ht="93" customHeight="1">
      <x:c r="A525" s="19" t="n">
        <x:v>522</x:v>
      </x:c>
      <x:c r="B525" s="22" t="e">
        <x:f>HYPERLINK("https://cdn.shopify.com/s/files/1/0918/6066/4603/files/O1CN0199lBLn2NGHpEAIuSg__4234819935-0-cib.jpg?v=1753429060","Open")</x:f>
        <x:v>HYPERLINK is not implemented. linkLocation=https://cdn.shopify.com/s/files/1/0918/6066/4603/files/O1CN0199lBLn2NGHpEAIuSg__4234819935-0-cib.jpg?v=1753429060, friendlyName=Open</x:v>
      </x:c>
      <x:c r="C525" s="24" t="e">
        <x:f>HYPERLINK("https://365nails.com/products/3d-bow-wearing-nail-white-french-manicure-internet-celebrity-xiaohongshu-pure-desire-xingmang-wearing-nail-finished-product-wholesale-365nails","3D bow press-on nails white French manicure Internet celebrity  pure desire Xingmang press-on nails finished product wholesale｜365nails")</x:f>
        <x:v>HYPERLINK is not implemented. linkLocation=https://365nails.com/products/3d-bow-wearing-nail-white-french-manicure-internet-celebrity-xiaohongshu-pure-desire-xingmang-wearing-nail-finished-product-wholesale-365nails, friendlyName=3D bow press-on nails white French manicure Internet celebrity  pure desire Xingmang press-on nails finished product wholesale｜365nails</x:v>
      </x:c>
      <x:c r="D525" s="18" t="str">
        <x:v>color: JP3127 [Glue model] / JP3127 [Including wearable kit]</x:v>
      </x:c>
      <x:c r="E525" s="25" t="str">
        <x:v>$1.62–$1.79</x:v>
      </x:c>
      <x:c r="F525" s="19" t="str">
        <x:v>1</x:v>
      </x:c>
    </x:row>
    <x:row r="526" ht="93" customHeight="1">
      <x:c r="A526" s="19" t="n">
        <x:v>523</x:v>
      </x:c>
      <x:c r="B526" s="22" t="e">
        <x:f>HYPERLINK("https://cdn.shopify.com/s/files/1/0918/6066/4603/files/O1CN01c7F7wL1qQvjkgsT3v__3917635491-0-cib.jpg?v=1753523168","Open")</x:f>
        <x:v>HYPERLINK is not implemented. linkLocation=https://cdn.shopify.com/s/files/1/0918/6066/4603/files/O1CN01c7F7wL1qQvjkgsT3v__3917635491-0-cib.jpg?v=1753523168, friendlyName=Open</x:v>
      </x:c>
      <x:c r="C526" s="24" t="e">
        <x:f>HYPERLINK("https://365nails.com/products/cats-eye-butterfly-wearing-nail-manicure-piece-press-on-toenails-nail-piece-toenail-nail-piece-spar-cats-eye-24-pieces-365nails","cat eye butterfly press-on nails manicure piece  Press-on toenails nail piece toenail nail piece spar cat eye 24 pieces｜365nails")</x:f>
        <x:v>HYPERLINK is not implemented. linkLocation=https://365nails.com/products/cats-eye-butterfly-wearing-nail-manicure-piece-press-on-toenails-nail-piece-toenail-nail-piece-spar-cats-eye-24-pieces-365nails, friendlyName=cat eye butterfly press-on nails manicure piece  Press-on toenails nail piece toenail nail piece spar cat eye 24 pieces｜365nails</x:v>
      </x:c>
      <x:c r="D526" s="18" t="str">
        <x:v>color: F138 Cat's Eye Butterfly [Glue]</x:v>
      </x:c>
      <x:c r="E526" s="25" t="str">
        <x:v>$1.13</x:v>
      </x:c>
      <x:c r="F526" s="19" t="str">
        <x:v>1</x:v>
      </x:c>
    </x:row>
    <x:row r="527" ht="93" customHeight="1">
      <x:c r="A527" s="19" t="n">
        <x:v>524</x:v>
      </x:c>
      <x:c r="B527" s="22" t="e">
        <x:f>HYPERLINK("https://cdn.shopify.com/s/files/1/0918/6066/4603/files/O1CN0128EcyH2NGHoSgMH7A__4234819935-0-cib.jpg?v=1753431481","Open")</x:f>
        <x:v>HYPERLINK is not implemented. linkLocation=https://cdn.shopify.com/s/files/1/0918/6066/4603/files/O1CN0128EcyH2NGHoSgMH7A__4234819935-0-cib.jpg?v=1753431481, friendlyName=Open</x:v>
      </x:c>
      <x:c r="C527" s="24" t="e">
        <x:f>HYPERLINK("https://365nails.com/products/wearing-nail-pink-cats-eye-diamond-diamond-short-round-nail-art-nail-art-sheet-finished-product-wholesale-solid-color-nail-art-sheet-removable-365nails","press-on nails Pink cat eye Diamond Diamond Short Round Nail Art Nail Art Sheet Finished Product  Solid Color Nail Art Sheet Removable｜365nails")</x:f>
        <x:v>HYPERLINK is not implemented. linkLocation=https://365nails.com/products/wearing-nail-pink-cats-eye-diamond-diamond-short-round-nail-art-nail-art-sheet-finished-product-wholesale-solid-color-nail-art-sheet-removable-365nails, friendlyName=press-on nails Pink cat eye Diamond Diamond Short Round Nail Art Nail Art Sheet Finished Product  Solid Color Nail Art Sheet Removable｜365nails</x:v>
      </x:c>
      <x:c r="D527" s="18" t="str">
        <x:v>Color: JP2984</x:v>
      </x:c>
      <x:c r="E527" s="25" t="str">
        <x:v>$1.40</x:v>
      </x:c>
      <x:c r="F527" s="19" t="str">
        <x:v>1</x:v>
      </x:c>
    </x:row>
    <x:row r="528" ht="93" customHeight="1">
      <x:c r="A528" s="19" t="n">
        <x:v>525</x:v>
      </x:c>
      <x:c r="B528" s="22" t="e">
        <x:f>HYPERLINK("https://cdn.shopify.com/s/files/1/0918/6066/4603/files/O1CN01OOcN6y2NGHog2b2w3__4234819935-0-cib.jpg?v=1753431479","Open")</x:f>
        <x:v>HYPERLINK is not implemented. linkLocation=https://cdn.shopify.com/s/files/1/0918/6066/4603/files/O1CN01OOcN6y2NGHog2b2w3__4234819935-0-cib.jpg?v=1753431479, friendlyName=Open</x:v>
      </x:c>
      <x:c r="C528" s="24" t="e">
        <x:f>HYPERLINK("https://365nails.com/products/french-white-edge-autumn-and-winter-deciduous-leaves-wear-nail-pads-black-curve-lines-manicure-square-nail-pads-wholesale-365nails","French white edge autumn and winter deciduous leaves wear nail pads black curve lines manicure square nail pads wholesale｜365nails")</x:f>
        <x:v>HYPERLINK is not implemented. linkLocation=https://365nails.com/products/french-white-edge-autumn-and-winter-deciduous-leaves-wear-nail-pads-black-curve-lines-manicure-square-nail-pads-wholesale-365nails, friendlyName=French white edge autumn and winter deciduous leaves wear nail pads black curve lines manicure square nail pads wholesale｜365nails</x:v>
      </x:c>
      <x:c r="D528" s="18" t="str">
        <x:v>Color: JP3041</x:v>
      </x:c>
      <x:c r="E528" s="25" t="str">
        <x:v>$0.86</x:v>
      </x:c>
      <x:c r="F528" s="19" t="str">
        <x:v>1</x:v>
      </x:c>
    </x:row>
    <x:row r="529" ht="93" customHeight="1">
      <x:c r="A529" s="19" t="n">
        <x:v>526</x:v>
      </x:c>
      <x:c r="B529" s="22" t="e">
        <x:f>HYPERLINK("https://cdn.shopify.com/s/files/1/0918/6066/4603/files/O1CN01RCF8252NGHn9euvEY__4234819935-0-cib.jpg?v=1753431439","Open")</x:f>
        <x:v>HYPERLINK is not implemented. linkLocation=https://cdn.shopify.com/s/files/1/0918/6066/4603/files/O1CN01RCF8252NGHn9euvEY__4234819935-0-cib.jpg?v=1753431439, friendlyName=Open</x:v>
      </x:c>
      <x:c r="C529" s="24" t="e">
        <x:f>HYPERLINK("https://365nails.com/products/yiwu-wearing-nail-art-film-european-and-american-nail-film-nail-sticker-nail-film-cross-border-wearing-nail-film-nail-art-fake-nail-film-365nails","art film  nail film nail sticker nail film  press-on nails film nail art fake nail film｜365nails")</x:f>
        <x:v>HYPERLINK is not implemented. linkLocation=https://365nails.com/products/yiwu-wearing-nail-art-film-european-and-american-nail-film-nail-sticker-nail-film-cross-border-wearing-nail-film-nail-art-fake-nail-film-365nails, friendlyName=art film  nail film nail sticker nail film  press-on nails film nail art fake nail film｜365nails</x:v>
      </x:c>
      <x:c r="D529" s="18" t="str">
        <x:v>color: JP2461</x:v>
      </x:c>
      <x:c r="E529" s="25" t="str">
        <x:v>$0.86</x:v>
      </x:c>
      <x:c r="F529" s="19" t="str">
        <x:v>1</x:v>
      </x:c>
    </x:row>
    <x:row r="530" ht="93" customHeight="1">
      <x:c r="A530" s="19" t="n">
        <x:v>527</x:v>
      </x:c>
      <x:c r="B530" s="22" t="e">
        <x:f>HYPERLINK("https://cdn.shopify.com/s/files/1/0918/6066/4603/files/O1CN01BGaUVv2NGHmkgI5rv__4234819935-0-cib_326488ef-cb95-49a9-aaa2-7bbdc1ecaa18.jpg?v=1753431435","Open")</x:f>
        <x:v>HYPERLINK is not implemented. linkLocation=https://cdn.shopify.com/s/files/1/0918/6066/4603/files/O1CN01BGaUVv2NGHmkgI5rv__4234819935-0-cib_326488ef-cb95-49a9-aaa2-7bbdc1ecaa18.jpg?v=1753431435, friendlyName=Open</x:v>
      </x:c>
      <x:c r="C530" s="24" t="e">
        <x:f>HYPERLINK("https://365nails.com/products/popular-christmas-wear-nail-fake-nail-nail-sheet-cross-border-foreign-trade-nail-art-wear-nail-sticker-nail-sheet-wholesale-365nails","Popular Christmas Wear Nail  Nail Sheet   Nail Art Wear  Nail Sheet Wholesale｜365nails")</x:f>
        <x:v>HYPERLINK is not implemented. linkLocation=https://365nails.com/products/popular-christmas-wear-nail-fake-nail-nail-sheet-cross-border-foreign-trade-nail-art-wear-nail-sticker-nail-sheet-wholesale-365nails, friendlyName=Popular Christmas Wear Nail  Nail Sheet   Nail Art Wear  Nail Sheet Wholesale｜365nails</x:v>
      </x:c>
      <x:c r="D530" s="18" t="str">
        <x:v>Color: JP2694</x:v>
      </x:c>
      <x:c r="E530" s="25" t="str">
        <x:v>$1.16</x:v>
      </x:c>
      <x:c r="F530" s="19" t="str">
        <x:v>1</x:v>
      </x:c>
    </x:row>
    <x:row r="531" ht="93" customHeight="1">
      <x:c r="A531" s="19" t="n">
        <x:v>528</x:v>
      </x:c>
      <x:c r="B531" s="22" t="e">
        <x:f>HYPERLINK("https://cdn.shopify.com/s/files/1/0918/6066/4603/files/O1CN01XqINs12NGHmrAH9zj__4234819935-0-cib.jpg?v=1753431321","Open")</x:f>
        <x:v>HYPERLINK is not implemented. linkLocation=https://cdn.shopify.com/s/files/1/0918/6066/4603/files/O1CN01XqINs12NGHmrAH9zj__4234819935-0-cib.jpg?v=1753431321, friendlyName=Open</x:v>
      </x:c>
      <x:c r="C531" s="24" t="e">
        <x:f>HYPERLINK("https://365nails.com/products/cross-border-hot-nail-art-wearing-french-european-and-american-fake-nail-ballet-nail-art-film-press-on-nail-365nails","hot nail art wearing French  fake nail ballet nail art film press on nail｜365nails")</x:f>
        <x:v>HYPERLINK is not implemented. linkLocation=https://365nails.com/products/cross-border-hot-nail-art-wearing-french-european-and-american-fake-nail-ballet-nail-art-film-press-on-nail-365nails, friendlyName=hot nail art wearing French  fake nail ballet nail art film press on nail｜365nails</x:v>
      </x:c>
      <x:c r="D531" s="18" t="str">
        <x:v>color: JP2726</x:v>
      </x:c>
      <x:c r="E531" s="25" t="str">
        <x:v>$0.94</x:v>
      </x:c>
      <x:c r="F531" s="19" t="str">
        <x:v>1</x:v>
      </x:c>
    </x:row>
    <x:row r="532" ht="93" customHeight="1">
      <x:c r="A532" s="19" t="n">
        <x:v>529</x:v>
      </x:c>
      <x:c r="B532" s="22" t="e">
        <x:f>HYPERLINK("https://cdn.shopify.com/s/files/1/0918/6066/4603/files/O1CN01XYcE6Q2NGHoeXQ5Mu__4234819935-0-cib.jpg?v=1753429053","Open")</x:f>
        <x:v>HYPERLINK is not implemented. linkLocation=https://cdn.shopify.com/s/files/1/0918/6066/4603/files/O1CN01XYcE6Q2NGHoeXQ5Mu__4234819935-0-cib.jpg?v=1753429053, friendlyName=Open</x:v>
      </x:c>
      <x:c r="C532" s="24" t="e">
        <x:f>HYPERLINK("https://365nails.com/products/factory-wholesale-french-glitter-wearing-nail-solid-color-simple-long-ladder-manicure-nail-piece-european-and-american-style-fake-nail-nail-piece-365nails","Factory wholesale French glitter press-on nails solid color simple long ladder manicure nail piece  style fake nail nail piece｜365nails")</x:f>
        <x:v>HYPERLINK is not implemented. linkLocation=https://365nails.com/products/factory-wholesale-french-glitter-wearing-nail-solid-color-simple-long-ladder-manicure-nail-piece-european-and-american-style-fake-nail-nail-piece-365nails, friendlyName=Factory wholesale French glitter press-on nails solid color simple long ladder manicure nail piece  style fake nail nail piece｜365nails</x:v>
      </x:c>
      <x:c r="D532" s="18" t="str">
        <x:v>Color: JP3040</x:v>
      </x:c>
      <x:c r="E532" s="25" t="str">
        <x:v>$1.42</x:v>
      </x:c>
      <x:c r="F532" s="19" t="str">
        <x:v>1</x:v>
      </x:c>
    </x:row>
    <x:row r="533" ht="93" customHeight="1">
      <x:c r="A533" s="19" t="n">
        <x:v>530</x:v>
      </x:c>
      <x:c r="B533" s="22" t="e">
        <x:f>HYPERLINK("https://cdn.shopify.com/s/files/1/0918/6066/4603/files/O1CN01PhCYtJ2NGHpJ2lSAn__4234819935-0-cib.jpg?v=1753429040","Open")</x:f>
        <x:v>HYPERLINK is not implemented. linkLocation=https://cdn.shopify.com/s/files/1/0918/6066/4603/files/O1CN01PhCYtJ2NGHpJ2lSAn__4234819935-0-cib.jpg?v=1753429040, friendlyName=Open</x:v>
      </x:c>
      <x:c r="C533" s="24" t="e">
        <x:f>HYPERLINK("https://365nails.com/products/sweet-pink-manicure-film-short-love-star-star-five-pointed-star-ins-wind-wearing-nail-film-wearing-nail-film-365nails","Sweet pink manicure film short love star star five pointed star ins wind press-on nails film press-on nails film｜365nails")</x:f>
        <x:v>HYPERLINK is not implemented. linkLocation=https://365nails.com/products/sweet-pink-manicure-film-short-love-star-star-five-pointed-star-ins-wind-wearing-nail-film-wearing-nail-film-365nails, friendlyName=Sweet pink manicure film short love star star five pointed star ins wind press-on nails film press-on nails film｜365nails</x:v>
      </x:c>
      <x:c r="D533" s="18" t="str">
        <x:v>Color: JP3098</x:v>
      </x:c>
      <x:c r="E533" s="25" t="str">
        <x:v>$1.54</x:v>
      </x:c>
      <x:c r="F533" s="19" t="str">
        <x:v>1</x:v>
      </x:c>
    </x:row>
    <x:row r="534" ht="93" customHeight="1">
      <x:c r="A534" s="19" t="n">
        <x:v>531</x:v>
      </x:c>
      <x:c r="B534" s="22" t="e">
        <x:f>HYPERLINK("https://cdn.shopify.com/s/files/1/0918/6066/4603/files/O1CN017hBNGO2NGHlAPDHFY__4234819935-0-cib.jpg?v=1753429018","Open")</x:f>
        <x:v>HYPERLINK is not implemented. linkLocation=https://cdn.shopify.com/s/files/1/0918/6066/4603/files/O1CN017hBNGO2NGHlAPDHFY__4234819935-0-cib.jpg?v=1753429018, friendlyName=Open</x:v>
      </x:c>
      <x:c r="C534" s="24" t="e">
        <x:f>HYPERLINK("https://365nails.com/products/nail-patch-wear-nail-halloween-nail-art-white-french-black-edge-ghost-love-cobweb-wear-nail-art-365nails","Nail Patch Wear Nail Halloween Nail Art White French Black Edge Ghost Love Cobweb Wear Nail Art｜365nails")</x:f>
        <x:v>HYPERLINK is not implemented. linkLocation=https://365nails.com/products/nail-patch-wear-nail-halloween-nail-art-white-french-black-edge-ghost-love-cobweb-wear-nail-art-365nails, friendlyName=Nail Patch Wear Nail Halloween Nail Art White French Black Edge Ghost Love Cobweb Wear Nail Art｜365nails</x:v>
      </x:c>
      <x:c r="D534" s="18" t="str">
        <x:v>color: JP2514</x:v>
      </x:c>
      <x:c r="E534" s="25" t="str">
        <x:v>$0.70</x:v>
      </x:c>
      <x:c r="F534" s="19" t="str">
        <x:v>1</x:v>
      </x:c>
    </x:row>
    <x:row r="535" ht="93" customHeight="1">
      <x:c r="A535" s="19" t="n">
        <x:v>532</x:v>
      </x:c>
      <x:c r="B535" s="22" t="e">
        <x:f>HYPERLINK("https://cdn.shopify.com/s/files/1/0918/6066/4603/files/O1CN012uaQ7u1qQvfNugbtq__3917635491-0-cib.jpg?v=1753523193","Open")</x:f>
        <x:v>HYPERLINK is not implemented. linkLocation=https://cdn.shopify.com/s/files/1/0918/6066/4603/files/O1CN012uaQ7u1qQvfNugbtq__3917635491-0-cib.jpg?v=1753523193, friendlyName=Open</x:v>
      </x:c>
      <x:c r="C535" s="24" t="e">
        <x:f>HYPERLINK("https://365nails.com/products/summer-cool-powder-through-feet-fake-nails-aurora-bright-eye-wearable-manicure-tablets-removable-press-on-toenails-nail-wholesale-365nails","Summer cool powder through feet fake nails aurora bright eye wearable manicure tablets removable Press-on toenails nail wholesale｜365nails")</x:f>
        <x:v>HYPERLINK is not implemented. linkLocation=https://365nails.com/products/summer-cool-powder-through-feet-fake-nails-aurora-bright-eye-wearable-manicure-tablets-removable-press-on-toenails-nail-wholesale-365nails, friendlyName=Summer cool powder through feet fake nails aurora bright eye wearable manicure tablets removable Press-on toenails nail wholesale｜365nails</x:v>
      </x:c>
      <x:c r="D535" s="18" t="str">
        <x:v>color: F129 Aurora Powder Transparent [Glue]</x:v>
      </x:c>
      <x:c r="E535" s="25" t="str">
        <x:v>$1.03</x:v>
      </x:c>
      <x:c r="F535" s="19" t="str">
        <x:v>1</x:v>
      </x:c>
    </x:row>
    <x:row r="536" ht="93" customHeight="1">
      <x:c r="A536" s="19" t="n">
        <x:v>533</x:v>
      </x:c>
      <x:c r="B536" s="22" t="e">
        <x:f>HYPERLINK("https://cdn.shopify.com/s/files/1/0918/6066/4603/files/O1CN01nZmLoN1qQvd5I31Ew__3917635491-0-cib.jpg?v=1753523132","Open")</x:f>
        <x:v>HYPERLINK is not implemented. linkLocation=https://cdn.shopify.com/s/files/1/0918/6066/4603/files/O1CN01nZmLoN1qQvd5I31Ew__3917635491-0-cib.jpg?v=1753523132, friendlyName=Open</x:v>
      </x:c>
      <x:c r="C536" s="24" t="e">
        <x:f>HYPERLINK("https://365nails.com/products/pure-white-simple-gold-powder-french-wearing-nail-press-on-toenails-summer-nail-art-tablets-white-french-24-tablets-boxed-365nails","Pure White Simple Gold Powder French press-on nails Press-on toenails Summer Nail Art Tablets White French 24 Tablets Boxed｜365nails")</x:f>
        <x:v>HYPERLINK is not implemented. linkLocation=https://365nails.com/products/pure-white-simple-gold-powder-french-wearing-nail-press-on-toenails-summer-nail-art-tablets-white-french-24-tablets-boxed-365nails, friendlyName=Pure White Simple Gold Powder French press-on nails Press-on toenails Summer Nail Art Tablets White French 24 Tablets Boxed｜365nails</x:v>
      </x:c>
      <x:c r="D536" s="18" t="str">
        <x:v>color: F073 Geometric French [Glue]</x:v>
      </x:c>
      <x:c r="E536" s="25" t="str">
        <x:v>$0.82</x:v>
      </x:c>
      <x:c r="F536" s="19" t="str">
        <x:v>1</x:v>
      </x:c>
    </x:row>
    <x:row r="537" ht="93" customHeight="1">
      <x:c r="A537" s="19" t="n">
        <x:v>534</x:v>
      </x:c>
      <x:c r="B537" s="22" t="e">
        <x:f>HYPERLINK("https://cdn.shopify.com/s/files/1/0918/6066/4603/files/O1CN01lYtxXe2NGHpEJ9EMI__4234819935-0-cib.jpg?v=1753431472","Open")</x:f>
        <x:v>HYPERLINK is not implemented. linkLocation=https://cdn.shopify.com/s/files/1/0918/6066/4603/files/O1CN01lYtxXe2NGHpEJ9EMI__4234819935-0-cib.jpg?v=1753431472, friendlyName=Open</x:v>
      </x:c>
      <x:c r="C537" s="24" t="e">
        <x:f>HYPERLINK("https://365nails.com/products/french-maillard-white-wearing-nail-long-square-manicure-european-and-american-foreign-trade-wearing-nail-piece-finished-product-wholesale-365nails","French Maillard white  long square manicure    finished product wholesale｜365nails")</x:f>
        <x:v>HYPERLINK is not implemented. linkLocation=https://365nails.com/products/french-maillard-white-wearing-nail-long-square-manicure-european-and-american-foreign-trade-wearing-nail-piece-finished-product-wholesale-365nails, friendlyName=French Maillard white  long square manicure    finished product wholesale｜365nails</x:v>
      </x:c>
      <x:c r="D537" s="18" t="str">
        <x:v>Color: JP3090</x:v>
      </x:c>
      <x:c r="E537" s="25" t="str">
        <x:v>$1.47</x:v>
      </x:c>
      <x:c r="F537" s="19" t="str">
        <x:v>1</x:v>
      </x:c>
    </x:row>
    <x:row r="538" ht="93" customHeight="1">
      <x:c r="A538" s="19" t="n">
        <x:v>535</x:v>
      </x:c>
      <x:c r="B538" s="22" t="e">
        <x:f>HYPERLINK("https://cdn.shopify.com/s/files/1/0918/6066/4603/files/O1CN01fweaxn2NGHoNjyVFF__4234819935-0-cib.jpg?v=1753431460","Open")</x:f>
        <x:v>HYPERLINK is not implemented. linkLocation=https://cdn.shopify.com/s/files/1/0918/6066/4603/files/O1CN01fweaxn2NGHoNjyVFF__4234819935-0-cib.jpg?v=1753431460, friendlyName=Open</x:v>
      </x:c>
      <x:c r="C538" s="24" t="e">
        <x:f>HYPERLINK("https://365nails.com/products/simple-french-white-edge-splicing-wearable-nail-almond-nude-nail-piece-wearable-nail-piece-pressed-on-nail-365nails","Simple French white edge splicing wearable nail almond nude nail piece wearable nail piece pressed on nail｜365nails")</x:f>
        <x:v>HYPERLINK is not implemented. linkLocation=https://365nails.com/products/simple-french-white-edge-splicing-wearable-nail-almond-nude-nail-piece-wearable-nail-piece-pressed-on-nail-365nails, friendlyName=Simple French white edge splicing wearable nail almond nude nail piece wearable nail piece pressed on nail｜365nails</x:v>
      </x:c>
      <x:c r="D538" s="18" t="str">
        <x:v>Color: JP3063</x:v>
      </x:c>
      <x:c r="E538" s="25" t="str">
        <x:v>$0.70</x:v>
      </x:c>
      <x:c r="F538" s="19" t="str">
        <x:v>1</x:v>
      </x:c>
    </x:row>
    <x:row r="539" ht="93" customHeight="1">
      <x:c r="A539" s="19" t="n">
        <x:v>536</x:v>
      </x:c>
      <x:c r="B539" s="22" t="e">
        <x:f>HYPERLINK("https://cdn.shopify.com/s/files/1/0918/6066/4603/files/O1CN01Fg7Ij22NGHn2BkB83__4234819935-0-cib.jpg?v=1753431447","Open")</x:f>
        <x:v>HYPERLINK is not implemented. linkLocation=https://cdn.shopify.com/s/files/1/0918/6066/4603/files/O1CN01Fg7Ij22NGHn2BkB83__4234819935-0-cib.jpg?v=1753431447, friendlyName=Open</x:v>
      </x:c>
      <x:c r="C539" s="24" t="e">
        <x:f>HYPERLINK("https://365nails.com/products/snake-pattern-manicure-nail-piece-long-tip-wearing-nail-piece-cross-border-nail-sticker-nail-piece-false-nail-wearing-nail-piece-365nails","Snake pattern manicure nail piece Long tip   nail sticker nail piece False nail ｜365nails")</x:f>
        <x:v>HYPERLINK is not implemented. linkLocation=https://365nails.com/products/snake-pattern-manicure-nail-piece-long-tip-wearing-nail-piece-cross-border-nail-sticker-nail-piece-false-nail-wearing-nail-piece-365nails, friendlyName=Snake pattern manicure nail piece Long tip   nail sticker nail piece False nail ｜365nails</x:v>
      </x:c>
      <x:c r="D539" s="18" t="str">
        <x:v>color: JP2855</x:v>
      </x:c>
      <x:c r="E539" s="25" t="str">
        <x:v>$0.86</x:v>
      </x:c>
      <x:c r="F539" s="19" t="str">
        <x:v>1</x:v>
      </x:c>
    </x:row>
    <x:row r="540" ht="93" customHeight="1">
      <x:c r="A540" s="19" t="n">
        <x:v>537</x:v>
      </x:c>
      <x:c r="B540" s="22" t="e">
        <x:f>HYPERLINK("https://cdn.shopify.com/s/files/1/0918/6066/4603/files/O1CN01gHBdHV2NGHsB4FDo4__4234819935-0-cib.jpg?v=1753431309","Open")</x:f>
        <x:v>HYPERLINK is not implemented. linkLocation=https://cdn.shopify.com/s/files/1/0918/6066/4603/files/O1CN01gHBdHV2NGHsB4FDo4__4234819935-0-cib.jpg?v=1753431309, friendlyName=Open</x:v>
      </x:c>
      <x:c r="C540" s="24" t="e">
        <x:f>HYPERLINK("https://365nails.com/products/three-dimensional-bow-handmade-magic-mirror-pink-silver-wearing-nail-art-wholesale-french-pink-3d-sweet-fake-nails-365nails","Three-dimensional bow  magic mirror pink silver press-on nails art wholesale French pink 3D sweet fake nails｜365nails")</x:f>
        <x:v>HYPERLINK is not implemented. linkLocation=https://365nails.com/products/three-dimensional-bow-handmade-magic-mirror-pink-silver-wearing-nail-art-wholesale-french-pink-3d-sweet-fake-nails-365nails, friendlyName=Three-dimensional bow  magic mirror pink silver press-on nails art wholesale French pink 3D sweet fake nails｜365nails</x:v>
      </x:c>
      <x:c r="D540" s="18" t="str">
        <x:v>Color: JP3283</x:v>
      </x:c>
      <x:c r="E540" s="25" t="str">
        <x:v>$2.47</x:v>
      </x:c>
      <x:c r="F540" s="19" t="str">
        <x:v>1</x:v>
      </x:c>
    </x:row>
    <x:row r="541" ht="93" customHeight="1">
      <x:c r="A541" s="19" t="n">
        <x:v>538</x:v>
      </x:c>
      <x:c r="B541" s="22" t="e">
        <x:f>HYPERLINK("https://cdn.shopify.com/s/files/1/0918/6066/4603/files/O1CN01pwcHvE1qQvcqNCVpp__3917635491-0-cib.jpg?v=1753523163","Open")</x:f>
        <x:v>HYPERLINK is not implemented. linkLocation=https://cdn.shopify.com/s/files/1/0918/6066/4603/files/O1CN01pwcHvE1qQvcqNCVpp__3917635491-0-cib.jpg?v=1753523163, friendlyName=Open</x:v>
      </x:c>
      <x:c r="C541" s="24" t="e">
        <x:f>HYPERLINK("https://365nails.com/products/light-pink-simple-white-french-wearing-nail-press-on-toenails-model-fake-nail-gentle-girl-nail-piece-cute-press-on-toenails-nail-365nails","Light pink simple white French press-on nails Press-on toenails model fake nail gentle girl nail piece cute Press-on toenails nail｜365nails")</x:f>
        <x:v>HYPERLINK is not implemented. linkLocation=https://365nails.com/products/light-pink-simple-white-french-wearing-nail-press-on-toenails-model-fake-nail-gentle-girl-nail-piece-cute-press-on-toenails-nail-365nails, friendlyName=Light pink simple white French press-on nails Press-on toenails model fake nail gentle girl nail piece cute Press-on toenails nail｜365nails</x:v>
      </x:c>
      <x:c r="D541" s="18" t="str">
        <x:v>color: F062 Pure French Style [Glue]</x:v>
      </x:c>
      <x:c r="E541" s="25" t="str">
        <x:v>$0.70</x:v>
      </x:c>
      <x:c r="F541" s="19" t="str">
        <x:v>1</x:v>
      </x:c>
    </x:row>
    <x:row r="542" ht="93" customHeight="1">
      <x:c r="A542" s="19" t="n">
        <x:v>539</x:v>
      </x:c>
      <x:c r="B542" s="22" t="e">
        <x:f>HYPERLINK("https://cdn.shopify.com/s/files/1/0918/6066/4603/files/O1CN01gBqVQT1qQvctocU9u__3917635491-0-cib.jpg?v=1753523065","Open")</x:f>
        <x:v>HYPERLINK is not implemented. linkLocation=https://cdn.shopify.com/s/files/1/0918/6066/4603/files/O1CN01gBqVQT1qQvctocU9u__3917635491-0-cib.jpg?v=1753523065, friendlyName=Open</x:v>
      </x:c>
      <x:c r="C542" s="24" t="e">
        <x:f>HYPERLINK("https://365nails.com/products/girl-powder-fresh-and-tender-powder-press-on-toenails-fake-nails-summer-new-products-removable-press-on-toenails-armor-wholesale-finished-products-365nails","Girl powder, fresh and tender powder, Press-on toenails fake nails, summer new products, removable Press-on toenails armor, wholesale finished products｜365nails")</x:f>
        <x:v>HYPERLINK is not implemented. linkLocation=https://365nails.com/products/girl-powder-fresh-and-tender-powder-press-on-toenails-fake-nails-summer-new-products-removable-press-on-toenails-armor-wholesale-finished-products-365nails, friendlyName=Girl powder, fresh and tender powder, Press-on toenails fake nails, summer new products, removable Press-on toenails armor, wholesale finished products｜365nails</x:v>
      </x:c>
      <x:c r="D542" s="18" t="str">
        <x:v>color: F071 Solid color lotus root powder [glue model]</x:v>
      </x:c>
      <x:c r="E542" s="25" t="str">
        <x:v>$0.30</x:v>
      </x:c>
      <x:c r="F542" s="19" t="str">
        <x:v>1</x:v>
      </x:c>
    </x:row>
    <x:row r="543" ht="93" customHeight="1">
      <x:c r="A543" s="19" t="n">
        <x:v>540</x:v>
      </x:c>
      <x:c r="B543" s="22" t="e">
        <x:f>HYPERLINK("https://cdn.shopify.com/s/files/1/0918/6066/4603/files/O1CN019iVSkk2NGHnGDHwHw__4234819935-0-cib.jpg?v=1753431411","Open")</x:f>
        <x:v>HYPERLINK is not implemented. linkLocation=https://cdn.shopify.com/s/files/1/0918/6066/4603/files/O1CN019iVSkk2NGHnGDHwHw__4234819935-0-cib.jpg?v=1753431411, friendlyName=Open</x:v>
      </x:c>
      <x:c r="C543" s="24" t="e">
        <x:f>HYPERLINK("https://365nails.com/products/cross-border-wearable-nail-art-pieces-european-and-american-fake-nail-nail-pieces-french-wearable-nail-stickers-nail-art-pieces-wholesale-365nails","Nail art pieces  fake nail nail pieces French")</x:f>
        <x:v>HYPERLINK is not implemented. linkLocation=https://365nails.com/products/cross-border-wearable-nail-art-pieces-european-and-american-fake-nail-nail-pieces-french-wearable-nail-stickers-nail-art-pieces-wholesale-365nails, friendlyName=Nail art pieces  fake nail nail pieces French</x:v>
      </x:c>
      <x:c r="D543" s="18" t="str">
        <x:v>color: JP2809</x:v>
      </x:c>
      <x:c r="E543" s="25" t="str">
        <x:v>$0.94</x:v>
      </x:c>
      <x:c r="F543" s="19" t="str">
        <x:v>1</x:v>
      </x:c>
    </x:row>
    <x:row r="544" ht="93" customHeight="1">
      <x:c r="A544" s="19" t="n">
        <x:v>541</x:v>
      </x:c>
      <x:c r="B544" s="22" t="e">
        <x:f>HYPERLINK("https://cdn.shopify.com/s/files/1/0918/6066/4603/files/O1CN01hwF0TS2NGHn5uoem8__4234819935-0-cib.jpg?v=1753429028","Open")</x:f>
        <x:v>HYPERLINK is not implemented. linkLocation=https://cdn.shopify.com/s/files/1/0918/6066/4603/files/O1CN01hwF0TS2NGHn5uoem8__4234819935-0-cib.jpg?v=1753429028, friendlyName=Open</x:v>
      </x:c>
      <x:c r="C544" s="24" t="e">
        <x:f>HYPERLINK("https://365nails.com/products/cross-border-foreign-trade-nail-piece-nail-piece-cross-border-wear-nail-fake-nail-short-ladder-nail-piece-nail-piece-wholesale-365nails","wear nail  short ladder   wholesale｜365nails")</x:f>
        <x:v>HYPERLINK is not implemented. linkLocation=https://365nails.com/products/cross-border-foreign-trade-nail-piece-nail-piece-cross-border-wear-nail-fake-nail-short-ladder-nail-piece-nail-piece-wholesale-365nails, friendlyName=wear nail  short ladder   wholesale｜365nails</x:v>
      </x:c>
      <x:c r="D544" s="18" t="str">
        <x:v>color: JP2466</x:v>
      </x:c>
      <x:c r="E544" s="25" t="str">
        <x:v>$0.86</x:v>
      </x:c>
      <x:c r="F544" s="19" t="str">
        <x:v>1</x:v>
      </x:c>
    </x:row>
    <x:row r="545" ht="93" customHeight="1">
      <x:c r="A545" s="19" t="n">
        <x:v>542</x:v>
      </x:c>
      <x:c r="B545" s="22" t="e">
        <x:f>HYPERLINK("https://cdn.shopify.com/s/files/1/0918/6066/4603/files/O1CN014yKS0m2NGI3GfgNvS__4234819935-0-cib.jpg?v=1779454687","Open")</x:f>
        <x:v>HYPERLINK is not implemented. linkLocation=https://cdn.shopify.com/s/files/1/0918/6066/4603/files/O1CN014yKS0m2NGI3GfgNvS__4234819935-0-cib.jpg?v=1779454687, friendlyName=Open</x:v>
      </x:c>
      <x:c r="C545" s="24" t="e">
        <x:f>HYPERLINK("https://365nails.com/products/365nails-pink-3d-flower-with-gold-and-rhinestone-accents-square-luxury-press-on-nails","365nails: ""Pink 3D Flower with Gold and Rhinestone Accents Square"" – Luxury Press-on Nails")</x:f>
        <x:v>HYPERLINK is not implemented. linkLocation=https://365nails.com/products/365nails-pink-3d-flower-with-gold-and-rhinestone-accents-square-luxury-press-on-nails, friendlyName=365nails: "Pink 3D Flower with Gold and Rhinestone Accents Square" – Luxury Press-on Nails</x:v>
      </x:c>
      <x:c r="D545" s="18" t="str">
        <x:v>Color: Jp 4351</x:v>
      </x:c>
      <x:c r="E545" s="25" t="str">
        <x:v>$2.71</x:v>
      </x:c>
      <x:c r="F545" s="19" t="str">
        <x:v>1</x:v>
      </x:c>
    </x:row>
    <x:row r="546" ht="93" customHeight="1">
      <x:c r="A546" s="19" t="n">
        <x:v>543</x:v>
      </x:c>
      <x:c r="B546" s="22" t="e">
        <x:f>HYPERLINK("https://cdn.shopify.com/s/files/1/0918/6066/4603/files/O1CN01jScCBf2NGI3G6vFjc__4234819935-0-cib.jpg?v=1779435045","Open")</x:f>
        <x:v>HYPERLINK is not implemented. linkLocation=https://cdn.shopify.com/s/files/1/0918/6066/4603/files/O1CN01jScCBf2NGI3G6vFjc__4234819935-0-cib.jpg?v=1779435045, friendlyName=Open</x:v>
      </x:c>
      <x:c r="C546" s="24" t="e">
        <x:f>HYPERLINK("https://365nails.com/products/365nails-burgundy-french-floral-square-ombre-checker-press-on-nails","365nails: ""Burgundy French Floral Square"" – Ombre &amp; Checker Press-on Nails")</x:f>
        <x:v>HYPERLINK is not implemented. linkLocation=https://365nails.com/products/365nails-burgundy-french-floral-square-ombre-checker-press-on-nails, friendlyName=365nails: "Burgundy French Floral Square" – Ombre &amp; Checker Press-on Nails</x:v>
      </x:c>
      <x:c r="D546" s="18" t="str">
        <x:v>Color: Jp 4405</x:v>
      </x:c>
      <x:c r="E546" s="25" t="str">
        <x:v>$1.48</x:v>
      </x:c>
      <x:c r="F546" s="19" t="str">
        <x:v>1</x:v>
      </x:c>
    </x:row>
    <x:row r="547" ht="93" customHeight="1">
      <x:c r="A547" s="19" t="n">
        <x:v>544</x:v>
      </x:c>
      <x:c r="B547" s="22" t="e">
        <x:f>HYPERLINK("https://cdn.shopify.com/s/files/1/0918/6066/4603/files/O1CN01a9Qe8L1CPwG4LfAhP__2213196780074-0-cib.jpg?v=1777117821","Open")</x:f>
        <x:v>HYPERLINK is not implemented. linkLocation=https://cdn.shopify.com/s/files/1/0918/6066/4603/files/O1CN01a9Qe8L1CPwG4LfAhP__2213196780074-0-cib.jpg?v=1777117821, friendlyName=Open</x:v>
      </x:c>
      <x:c r="C547" s="24" t="e">
        <x:f>HYPERLINK("https://365nails.com/products/365nails-piggy-toast-3d-cartoon-handmade-short-square-nails","365nails: ""Piggy Toast"" – 3D Cartoon Handmade Short Square Nails")</x:f>
        <x:v>HYPERLINK is not implemented. linkLocation=https://365nails.com/products/365nails-piggy-toast-3d-cartoon-handmade-short-square-nails, friendlyName=365nails: "Piggy Toast" – 3D Cartoon Handmade Short Square Nails</x:v>
      </x:c>
      <x:c r="D547" s="18" t="str">
        <x:v>Color: 1527 short square circle; Color classification: Extra small size xs / Small s / Medium m / Large l</x:v>
      </x:c>
      <x:c r="E547" s="25" t="str">
        <x:v>$2.99</x:v>
      </x:c>
      <x:c r="F547" s="19" t="str">
        <x:v>1</x:v>
      </x:c>
    </x:row>
    <x:row r="548" ht="93" customHeight="1">
      <x:c r="A548" s="19" t="n">
        <x:v>545</x:v>
      </x:c>
      <x:c r="B548" s="22" t="e">
        <x:f>HYPERLINK("https://cdn.shopify.com/s/files/1/0918/6066/4603/files/O1CN01hh0nm61qQvfSIfJRJ__3917635491-0-cib.jpg?v=1753523283","Open")</x:f>
        <x:v>HYPERLINK is not implemented. linkLocation=https://cdn.shopify.com/s/files/1/0918/6066/4603/files/O1CN01hh0nm61qQvfSIfJRJ__3917635491-0-cib.jpg?v=1753523283, friendlyName=Open</x:v>
      </x:c>
      <x:c r="C548" s="24" t="e">
        <x:f>HYPERLINK("https://365nails.com/products/girl-solid-color-pink-nail-art-rich-gold-foil-flower-butterfly-fake-nails-sweet-ins-wind-press-on-toenails-wear-nail-365nails","Girl solid color pink nail art rich gold foil flower butterfly fake nails sweet ins wind Press-on toenails wear nail｜365nails")</x:f>
        <x:v>HYPERLINK is not implemented. linkLocation=https://365nails.com/products/girl-solid-color-pink-nail-art-rich-gold-foil-flower-butterfly-fake-nails-sweet-ins-wind-press-on-toenails-wear-nail-365nails, friendlyName=Girl solid color pink nail art rich gold foil flower butterfly fake nails sweet ins wind Press-on toenails wear nail｜365nails</x:v>
      </x:c>
      <x:c r="D548" s="18" t="str">
        <x:v>color: F126 Rich Butterfly [Glue]</x:v>
      </x:c>
      <x:c r="E548" s="25" t="str">
        <x:v>$0.91</x:v>
      </x:c>
      <x:c r="F548" s="19" t="str">
        <x:v>1</x:v>
      </x:c>
    </x:row>
    <x:row r="549" ht="93" customHeight="1">
      <x:c r="A549" s="19" t="n">
        <x:v>546</x:v>
      </x:c>
      <x:c r="B549" s="22" t="e">
        <x:f>HYPERLINK("https://cdn.shopify.com/s/files/1/0918/6066/4603/files/O1CN01AAHTl21qQvqwTTJ26__3917635491-0-cib.jpg?v=1753523277","Open")</x:f>
        <x:v>HYPERLINK is not implemented. linkLocation=https://cdn.shopify.com/s/files/1/0918/6066/4603/files/O1CN01AAHTl21qQvqwTTJ26__3917635491-0-cib.jpg?v=1753523277, friendlyName=Open</x:v>
      </x:c>
      <x:c r="C549" s="24" t="e">
        <x:f>HYPERLINK("https://365nails.com/products/three-dimensional-stripes-gray-pearlescent-romantic-stars-white-ins-wind-toenails-removable-24-pieces-365nails","Three-dimensional stripes gray pearlescent romantic stars white  ins wind toenails removable 24 pieces｜365nails")</x:f>
        <x:v>HYPERLINK is not implemented. linkLocation=https://365nails.com/products/three-dimensional-stripes-gray-pearlescent-romantic-stars-white-ins-wind-toenails-removable-24-pieces-365nails, friendlyName=Three-dimensional stripes gray pearlescent romantic stars white  ins wind toenails removable 24 pieces｜365nails</x:v>
      </x:c>
      <x:c r="D549" s="18" t="str">
        <x:v>Color: F179 Stars Encounter [Glue]</x:v>
      </x:c>
      <x:c r="E549" s="25" t="str">
        <x:v>$0.90</x:v>
      </x:c>
      <x:c r="F549" s="19" t="str">
        <x:v>1</x:v>
      </x:c>
    </x:row>
    <x:row r="550" ht="93" customHeight="1">
      <x:c r="A550" s="19" t="n">
        <x:v>547</x:v>
      </x:c>
      <x:c r="B550" s="22" t="e">
        <x:f>HYPERLINK("https://cdn.shopify.com/s/files/1/0918/6066/4603/files/O1CN019bRCRI2NGI3IrKxqZ__4234819935-0-cib.jpg?v=1779454995","Open")</x:f>
        <x:v>HYPERLINK is not implemented. linkLocation=https://cdn.shopify.com/s/files/1/0918/6066/4603/files/O1CN019bRCRI2NGI3IrKxqZ__4234819935-0-cib.jpg?v=1779454995, friendlyName=Open</x:v>
      </x:c>
      <x:c r="C550" s="24" t="e">
        <x:f>HYPERLINK("https://365nails.com/products/365nails-pink-polka-dot-almond-natural-press-on-nails","365nails: ""Pink Polka Dot Almond"" – Natural Press-on Nails")</x:f>
        <x:v>HYPERLINK is not implemented. linkLocation=https://365nails.com/products/365nails-pink-polka-dot-almond-natural-press-on-nails, friendlyName=365nails: "Pink Polka Dot Almond" – Natural Press-on Nails</x:v>
      </x:c>
      <x:c r="D550" s="18" t="str">
        <x:v>Color: Jp 4373</x:v>
      </x:c>
      <x:c r="E550" s="25" t="str">
        <x:v>$1.18</x:v>
      </x:c>
      <x:c r="F550" s="19" t="str">
        <x:v>1</x:v>
      </x:c>
    </x:row>
    <x:row r="551" ht="93" customHeight="1">
      <x:c r="A551" s="19" t="n">
        <x:v>548</x:v>
      </x:c>
      <x:c r="B551" s="22" t="e">
        <x:f>HYPERLINK("https://cdn.shopify.com/s/files/1/0918/6066/4603/files/O1CN01L7f4CR2NGI3DQwDzA__4234819935-0-cib.jpg?v=1779454852","Open")</x:f>
        <x:v>HYPERLINK is not implemented. linkLocation=https://cdn.shopify.com/s/files/1/0918/6066/4603/files/O1CN01L7f4CR2NGI3DQwDzA__4234819935-0-cib.jpg?v=1779454852, friendlyName=Open</x:v>
      </x:c>
      <x:c r="C551" s="24" t="e">
        <x:f>HYPERLINK("https://365nails.com/products/365nails-red-floral-french-oval-romantic-press-on-nails","365nails: ""Red Floral French Oval"" – Romantic Press-on Nails")</x:f>
        <x:v>HYPERLINK is not implemented. linkLocation=https://365nails.com/products/365nails-red-floral-french-oval-romantic-press-on-nails, friendlyName=365nails: "Red Floral French Oval" – Romantic Press-on Nails</x:v>
      </x:c>
      <x:c r="D551" s="18" t="str">
        <x:v>Color: Jp 4423</x:v>
      </x:c>
      <x:c r="E551" s="25" t="str">
        <x:v>$1.54</x:v>
      </x:c>
      <x:c r="F551" s="19" t="str">
        <x:v>1</x:v>
      </x:c>
    </x:row>
    <x:row r="552" ht="93" customHeight="1">
      <x:c r="A552" s="19" t="n">
        <x:v>549</x:v>
      </x:c>
      <x:c r="B552" s="22" t="e">
        <x:f>HYPERLINK("https://cdn.shopify.com/s/files/1/0918/6066/4603/files/O1CN01afa6q72NGI3G1OWVh__4234819935-0-cib.jpg?v=1779454618","Open")</x:f>
        <x:v>HYPERLINK is not implemented. linkLocation=https://cdn.shopify.com/s/files/1/0918/6066/4603/files/O1CN01afa6q72NGI3G1OWVh__4234819935-0-cib.jpg?v=1779454618, friendlyName=Open</x:v>
      </x:c>
      <x:c r="C552" s="24" t="e">
        <x:f>HYPERLINK("https://365nails.com/products/365nails-ladybug-polka-dot-french-oval-cute-press-on-nails","365nails: ""Ladybug Polka Dot French Oval"" – Cute Press-on Nails")</x:f>
        <x:v>HYPERLINK is not implemented. linkLocation=https://365nails.com/products/365nails-ladybug-polka-dot-french-oval-cute-press-on-nails, friendlyName=365nails: "Ladybug Polka Dot French Oval" – Cute Press-on Nails</x:v>
      </x:c>
      <x:c r="D552" s="18" t="str">
        <x:v>Color: Jp 4418</x:v>
      </x:c>
      <x:c r="E552" s="25" t="str">
        <x:v>$1.54</x:v>
      </x:c>
      <x:c r="F552" s="19" t="str">
        <x:v>1</x:v>
      </x:c>
    </x:row>
    <x:row r="553" ht="93" customHeight="1">
      <x:c r="A553" s="19" t="n">
        <x:v>550</x:v>
      </x:c>
      <x:c r="B553" s="22" t="e">
        <x:f>HYPERLINK("https://cdn.shopify.com/s/files/1/0918/6066/4603/files/O1CN01rxEI222NGI3MpHY60__4234819935-0-cib.jpg?v=1779454248","Open")</x:f>
        <x:v>HYPERLINK is not implemented. linkLocation=https://cdn.shopify.com/s/files/1/0918/6066/4603/files/O1CN01rxEI222NGI3MpHY60__4234819935-0-cib.jpg?v=1779454248, friendlyName=Open</x:v>
      </x:c>
      <x:c r="C553" s="24" t="e">
        <x:f>HYPERLINK("https://365nails.com/products/365nails-blue-floral-polka-dot-french-almond-delicate-press-on-nails","365nails: ""Blue Floral Polka Dot French Almond"" – Delicate Press-on Nails")</x:f>
        <x:v>HYPERLINK is not implemented. linkLocation=https://365nails.com/products/365nails-blue-floral-polka-dot-french-almond-delicate-press-on-nails, friendlyName=365nails: "Blue Floral Polka Dot French Almond" – Delicate Press-on Nails</x:v>
      </x:c>
      <x:c r="D553" s="18" t="str">
        <x:v>Color: Jp 4406</x:v>
      </x:c>
      <x:c r="E553" s="25" t="str">
        <x:v>$0.82</x:v>
      </x:c>
      <x:c r="F553" s="19" t="str">
        <x:v>1</x:v>
      </x:c>
    </x:row>
    <x:row r="554" ht="93" customHeight="1">
      <x:c r="A554" s="19" t="n">
        <x:v>551</x:v>
      </x:c>
      <x:c r="B554" s="22" t="e">
        <x:f>HYPERLINK("https://cdn.shopify.com/s/files/1/0918/6066/4603/files/O1CN01RtEgDV2NGI3MeCgmk__4234819935-0-cib.jpg?v=1779435840","Open")</x:f>
        <x:v>HYPERLINK is not implemented. linkLocation=https://cdn.shopify.com/s/files/1/0918/6066/4603/files/O1CN01RtEgDV2NGI3MeCgmk__4234819935-0-cib.jpg?v=1779435840, friendlyName=Open</x:v>
      </x:c>
      <x:c r="C554" s="24" t="e">
        <x:f>HYPERLINK("https://365nails.com/products/365nails-glossy-nude-almond-natural-press-on-nails","365nails: ""Glossy Nude Almond"" – Natural Press-on Nails")</x:f>
        <x:v>HYPERLINK is not implemented. linkLocation=https://365nails.com/products/365nails-glossy-nude-almond-natural-press-on-nails, friendlyName=365nails: "Glossy Nude Almond" – Natural Press-on Nails</x:v>
      </x:c>
      <x:c r="D554" s="18" t="str">
        <x:v>Color: Jp 4425</x:v>
      </x:c>
      <x:c r="E554" s="25" t="str">
        <x:v>$0.73</x:v>
      </x:c>
      <x:c r="F554" s="19" t="str">
        <x:v>1</x:v>
      </x:c>
    </x:row>
    <x:row r="555" ht="93" customHeight="1">
      <x:c r="A555" s="19" t="n">
        <x:v>552</x:v>
      </x:c>
      <x:c r="B555" s="22" t="e">
        <x:f>HYPERLINK("https://cdn.shopify.com/s/files/1/0918/6066/4603/files/O1CN01OiSu0J1CPwLag4xFs__2213196780074-0-cib_42421a75-e24a-4be7-a659-9d195238d381.jpg?v=1777119584","Open")</x:f>
        <x:v>HYPERLINK is not implemented. linkLocation=https://cdn.shopify.com/s/files/1/0918/6066/4603/files/O1CN01OiSu0J1CPwLag4xFs__2213196780074-0-cib_42421a75-e24a-4be7-a659-9d195238d381.jpg?v=1777119584, friendlyName=Open</x:v>
      </x:c>
      <x:c r="C555" s="24" t="e">
        <x:f>HYPERLINK("https://365nails.com/products/365nails-blooming-garden-3d-floral-handmade-almond-nails","365nails: ""Blooming Garden"" – 3D Floral Handmade Almond Nails")</x:f>
        <x:v>HYPERLINK is not implemented. linkLocation=https://365nails.com/products/365nails-blooming-garden-3d-floral-handmade-almond-nails, friendlyName=365nails: "Blooming Garden" – 3D Floral Handmade Almond Nails</x:v>
      </x:c>
      <x:c r="D555" s="18" t="str">
        <x:v>Color: 677-almond a; Color classification: Extra small size xs / Small s / Medium m / Large l</x:v>
      </x:c>
      <x:c r="E555" s="25" t="str">
        <x:v>$4.99</x:v>
      </x:c>
      <x:c r="F555" s="19" t="str">
        <x:v>1</x:v>
      </x:c>
    </x:row>
    <x:row r="556" ht="93" customHeight="1">
      <x:c r="A556" s="19" t="n">
        <x:v>553</x:v>
      </x:c>
      <x:c r="B556" s="22" t="e">
        <x:f>HYPERLINK("https://cdn.shopify.com/s/files/1/0918/6066/4603/files/O1CN01Ls0RMY1CPwIHC8gsk__2213196780074-0-cib.jpg?v=1777117753","Open")</x:f>
        <x:v>HYPERLINK is not implemented. linkLocation=https://cdn.shopify.com/s/files/1/0918/6066/4603/files/O1CN01Ls0RMY1CPwIHC8gsk__2213196780074-0-cib.jpg?v=1777117753, friendlyName=Open</x:v>
      </x:c>
      <x:c r="C556" s="24" t="e">
        <x:f>HYPERLINK("https://365nails.com/products/365nails-rainbow-bubbles-7d-cat-eye-glass-bead-handmade-short-nails","365nails: ""Rainbow Bubbles"" – 7D Cat Eye &amp; Glass Bead Handmade Short Nails")</x:f>
        <x:v>HYPERLINK is not implemented. linkLocation=https://365nails.com/products/365nails-rainbow-bubbles-7d-cat-eye-glass-bead-handmade-short-nails, friendlyName=365nails: "Rainbow Bubbles" – 7D Cat Eye &amp; Glass Bead Handmade Short Nails</x:v>
      </x:c>
      <x:c r="D556" s="18" t="str">
        <x:v>Color: 2161-super short ladder; Color classification: Extra small size xs / Small s / Medium m / Large l</x:v>
      </x:c>
      <x:c r="E556" s="25" t="str">
        <x:v>$3.49</x:v>
      </x:c>
      <x:c r="F556" s="19" t="str">
        <x:v>1</x:v>
      </x:c>
    </x:row>
    <x:row r="557" ht="93" customHeight="1">
      <x:c r="A557" s="19" t="n">
        <x:v>554</x:v>
      </x:c>
      <x:c r="B557" s="22" t="e">
        <x:f>HYPERLINK("https://cdn.shopify.com/s/files/1/0918/6066/4603/files/O1CN01YRcb4W1CPwIXVtcMK__2213196780074-0-cib.jpg?v=1777016736","Open")</x:f>
        <x:v>HYPERLINK is not implemented. linkLocation=https://cdn.shopify.com/s/files/1/0918/6066/4603/files/O1CN01YRcb4W1CPwIXVtcMK__2213196780074-0-cib.jpg?v=1777016736, friendlyName=Open</x:v>
      </x:c>
      <x:c r="C557" s="24" t="e">
        <x:f>HYPERLINK("https://365nails.com/products/365nails-frosted-aurora-iridescent-glitter-crystal-starburst-handmade-almond-nails","365nails: ""Frosted Aurora"" – Iridescent Glitter &amp; Crystal Starburst Handmade Almond Nails")</x:f>
        <x:v>HYPERLINK is not implemented. linkLocation=https://365nails.com/products/365nails-frosted-aurora-iridescent-glitter-crystal-starburst-handmade-almond-nails, friendlyName=365nails: "Frosted Aurora" – Iridescent Glitter &amp; Crystal Starburst Handmade Almond Nails</x:v>
      </x:c>
      <x:c r="D557" s="18" t="str">
        <x:v>Color: 2232-long water drop; Color classification: Extra small size xs / Small s / Medium m / Large l</x:v>
      </x:c>
      <x:c r="E557" s="25" t="str">
        <x:v>$4.49</x:v>
      </x:c>
      <x:c r="F557" s="19" t="str">
        <x:v>1</x:v>
      </x:c>
    </x:row>
    <x:row r="558" ht="93" customHeight="1">
      <x:c r="A558" s="19" t="n">
        <x:v>555</x:v>
      </x:c>
      <x:c r="B558" s="22" t="e">
        <x:f>HYPERLINK("https://cdn.shopify.com/s/files/1/0918/6066/4603/files/O1CN01aldf211CPwOslcKTZ__2213196780074-0-cib.jpg?v=1777014686","Open")</x:f>
        <x:v>HYPERLINK is not implemented. linkLocation=https://cdn.shopify.com/s/files/1/0918/6066/4603/files/O1CN01aldf211CPwOslcKTZ__2213196780074-0-cib.jpg?v=1777014686, friendlyName=Open</x:v>
      </x:c>
      <x:c r="C558" s="24" t="e">
        <x:f>HYPERLINK("https://365nails.com/products/365nails-golden-hour-3d-heart-sequin-embellished-cat-eye-handmade-short-almond-nails","365nails: ""Golden Hour"" – 3D Heart &amp; Sequin Embellished Cat-Eye Handmade Short Almond Nails")</x:f>
        <x:v>HYPERLINK is not implemented. linkLocation=https://365nails.com/products/365nails-golden-hour-3d-heart-sequin-embellished-cat-eye-handmade-short-almond-nails, friendlyName=365nails: "Golden Hour" – 3D Heart &amp; Sequin Embellished Cat-Eye Handmade Short Almond Nails</x:v>
      </x:c>
      <x:c r="D558" s="18" t="str">
        <x:v>Color: 3151-new china / 3153-short oval; Color classification: Xs / S / M / L</x:v>
      </x:c>
      <x:c r="E558" s="25" t="str">
        <x:v>$3.49</x:v>
      </x:c>
      <x:c r="F558" s="19" t="str">
        <x:v>1</x:v>
      </x:c>
    </x:row>
    <x:row r="559" ht="93" customHeight="1">
      <x:c r="A559" s="19" t="n">
        <x:v>556</x:v>
      </x:c>
      <x:c r="B559" s="22" t="e">
        <x:f>HYPERLINK("https://cdn.shopify.com/s/files/1/0918/6066/4603/files/85de164a533c72aa7c4cd1baa603239f.jpg?v=1782358142","Open")</x:f>
        <x:v>HYPERLINK is not implemented. linkLocation=https://cdn.shopify.com/s/files/1/0918/6066/4603/files/85de164a533c72aa7c4cd1baa603239f.jpg?v=1782358142, friendlyName=Open</x:v>
      </x:c>
      <x:c r="C559" s="24" t="e">
        <x:f>HYPERLINK("https://365nails.com/products/jelly-pink-french-translucent-32pcs-press-on-nails-set","""Jelly Pink French"" - Translucent 32Pcs Press-On Nails Set")</x:f>
        <x:v>HYPERLINK is not implemented. linkLocation=https://365nails.com/products/jelly-pink-french-translucent-32pcs-press-on-nails-set, friendlyName="Jelly Pink French" - Translucent 32Pcs Press-On Nails Set</x:v>
      </x:c>
      <x:c r="D559" s="18" t="str">
        <x:v>Color: 515–61d–014 / 515–359 / 515–390–2 / 515–442 / 515–3391–1 / 515–c2</x:v>
      </x:c>
      <x:c r="E559" s="25" t="str">
        <x:v>$1.29</x:v>
      </x:c>
      <x:c r="F559" s="19" t="str">
        <x:v>1</x:v>
      </x:c>
    </x:row>
    <x:row r="560" ht="93" customHeight="1">
      <x:c r="A560" s="19" t="n">
        <x:v>557</x:v>
      </x:c>
      <x:c r="B560" s="22" t="e">
        <x:f>HYPERLINK("https://cdn.shopify.com/s/files/1/0918/6066/4603/files/O1CN0103xKKV2NGI2EHxIHb__4234819935-0-cib_36ae2523-98ac-43f4-b373-dc4733bd096e.jpg?v=1780901119","Open")</x:f>
        <x:v>HYPERLINK is not implemented. linkLocation=https://cdn.shopify.com/s/files/1/0918/6066/4603/files/O1CN0103xKKV2NGI2EHxIHb__4234819935-0-cib_36ae2523-98ac-43f4-b373-dc4733bd096e.jpg?v=1780901119, friendlyName=Open</x:v>
      </x:c>
      <x:c r="C560" s="24" t="e">
        <x:f>HYPERLINK("https://365nails.com/products/pink-ribbon-floral-lattice-precision-crafted-press-on-nails","""Pink Ribbon &amp; Floral Lattice"" - Precision Crafted Press-On Nails")</x:f>
        <x:v>HYPERLINK is not implemented. linkLocation=https://365nails.com/products/pink-ribbon-floral-lattice-precision-crafted-press-on-nails, friendlyName="Pink Ribbon &amp; Floral Lattice" - Precision Crafted Press-On Nails</x:v>
      </x:c>
      <x:c r="D560" s="18" t="str">
        <x:v>Color: Q4322</x:v>
      </x:c>
      <x:c r="E560" s="25" t="str">
        <x:v>$1.99</x:v>
      </x:c>
      <x:c r="F560" s="19" t="str">
        <x:v>1</x:v>
      </x:c>
    </x:row>
    <x:row r="561" ht="93" customHeight="1">
      <x:c r="A561" s="19" t="n">
        <x:v>558</x:v>
      </x:c>
      <x:c r="B561" s="22" t="e">
        <x:f>HYPERLINK("https://cdn.shopify.com/s/files/1/0918/6066/4603/files/O1CN01zkKWxH2NGI30FQX0i__4234819935-0-cib.jpg?v=1780900814","Open")</x:f>
        <x:v>HYPERLINK is not implemented. linkLocation=https://cdn.shopify.com/s/files/1/0918/6066/4603/files/O1CN01zkKWxH2NGI30FQX0i__4234819935-0-cib.jpg?v=1780900814, friendlyName=Open</x:v>
      </x:c>
      <x:c r="C561" s="24" t="e">
        <x:f>HYPERLINK("https://365nails.com/products/summer-lemon-daisy-precision-crafted-press-on-nails","""Summer Lemon &amp; Daisy"" - Precision Crafted Press-On Nails")</x:f>
        <x:v>HYPERLINK is not implemented. linkLocation=https://365nails.com/products/summer-lemon-daisy-precision-crafted-press-on-nails, friendlyName="Summer Lemon &amp; Daisy" - Precision Crafted Press-On Nails</x:v>
      </x:c>
      <x:c r="D561" s="18" t="str">
        <x:v>Color: Jp 4356</x:v>
      </x:c>
      <x:c r="E561" s="25" t="str">
        <x:v>$1.29</x:v>
      </x:c>
      <x:c r="F561" s="19" t="str">
        <x:v>1</x:v>
      </x:c>
    </x:row>
    <x:row r="562" ht="93" customHeight="1">
      <x:c r="A562" s="19" t="n">
        <x:v>559</x:v>
      </x:c>
      <x:c r="B562" s="22" t="e">
        <x:f>HYPERLINK("https://cdn.shopify.com/s/files/1/0918/6066/4603/files/b8b6d1fd29cc311ee878cbf0566a55b5_f842c417-36c8-4f55-853f-b0928cecbf4c.jpg?v=1779863683","Open")</x:f>
        <x:v>HYPERLINK is not implemented. linkLocation=https://cdn.shopify.com/s/files/1/0918/6066/4603/files/b8b6d1fd29cc311ee878cbf0566a55b5_f842c417-36c8-4f55-853f-b0928cecbf4c.jpg?v=1779863683, friendlyName=Open</x:v>
      </x:c>
      <x:c r="C562" s="24" t="e">
        <x:f>HYPERLINK("https://365nails.com/products/mosbon-pros-choice-no-light-quick-dry-nail-glue-for-press-ons-3-sec-strong-nail-friendly","MOSBON PRO'S CHOICE No-Light Quick-Dry Nail Glue for Press-Ons 3-Sec Strong &amp; Nail-Friendly")</x:f>
        <x:v>HYPERLINK is not implemented. linkLocation=https://365nails.com/products/mosbon-pros-choice-no-light-quick-dry-nail-glue-for-press-ons-3-sec-strong-nail-friendly, friendlyName=MOSBON PRO'S CHOICE No-Light Quick-Dry Nail Glue for Press-Ons 3-Sec Strong &amp; Nail-Friendly</x:v>
      </x:c>
      <x:c r="D562" s="18" t="str">
        <x:v>Color: 7g powder glue-mqs english label / 20g powder glue-mqs english label</x:v>
      </x:c>
      <x:c r="E562" s="25" t="str">
        <x:v>$0.69–$0.80</x:v>
      </x:c>
      <x:c r="F562" s="19" t="str">
        <x:v>30</x:v>
      </x:c>
    </x:row>
    <x:row r="563" ht="93" customHeight="1">
      <x:c r="A563" s="19" t="n">
        <x:v>560</x:v>
      </x:c>
      <x:c r="B563" s="22" t="e">
        <x:f>HYPERLINK("https://cdn.shopify.com/s/files/1/0918/6066/4603/files/O1CN01gk3mU82NGI3J8gqs8__4234819935-0-cib.jpg?v=1779455152","Open")</x:f>
        <x:v>HYPERLINK is not implemented. linkLocation=https://cdn.shopify.com/s/files/1/0918/6066/4603/files/O1CN01gk3mU82NGI3J8gqs8__4234819935-0-cib.jpg?v=1779455152, friendlyName=Open</x:v>
      </x:c>
      <x:c r="C563" s="24" t="e">
        <x:f>HYPERLINK("https://365nails.com/products/365nails-pastel-floral-french-stiletto-delicate-press-on-nails","365nails: ""Pastel Floral French Stiletto"" – Delicate Press-on Nails")</x:f>
        <x:v>HYPERLINK is not implemented. linkLocation=https://365nails.com/products/365nails-pastel-floral-french-stiletto-delicate-press-on-nails, friendlyName=365nails: "Pastel Floral French Stiletto" – Delicate Press-on Nails</x:v>
      </x:c>
      <x:c r="D563" s="18" t="str">
        <x:v>Color: Japan 4409</x:v>
      </x:c>
      <x:c r="E563" s="25" t="str">
        <x:v>$1.32</x:v>
      </x:c>
      <x:c r="F563" s="19" t="str">
        <x:v>1</x:v>
      </x:c>
    </x:row>
    <x:row r="564" ht="93" customHeight="1">
      <x:c r="A564" s="19" t="n">
        <x:v>561</x:v>
      </x:c>
      <x:c r="B564" s="22" t="e">
        <x:f>HYPERLINK("https://cdn.shopify.com/s/files/1/0918/6066/4603/files/O1CN01Q5btoi2NGI3GWo35L__4234819935-0-cib.jpg?v=1779455078","Open")</x:f>
        <x:v>HYPERLINK is not implemented. linkLocation=https://cdn.shopify.com/s/files/1/0918/6066/4603/files/O1CN01Q5btoi2NGI3GWo35L__4234819935-0-cib.jpg?v=1779455078, friendlyName=Open</x:v>
      </x:c>
      <x:c r="C564" s="24" t="e">
        <x:f>HYPERLINK("https://365nails.com/products/365nails-blue-nude-starfish-french-oval-summer-press-on-nails","365nails: ""Blue &amp; Nude Starfish French Oval"" – Summer Press-on Nails")</x:f>
        <x:v>HYPERLINK is not implemented. linkLocation=https://365nails.com/products/365nails-blue-nude-starfish-french-oval-summer-press-on-nails, friendlyName=365nails: "Blue &amp; Nude Starfish French Oval" – Summer Press-on Nails</x:v>
      </x:c>
      <x:c r="D564" s="18" t="str">
        <x:v>Color: Jp 4410</x:v>
      </x:c>
      <x:c r="E564" s="25" t="str">
        <x:v>$0.82</x:v>
      </x:c>
      <x:c r="F564" s="19" t="str">
        <x:v>1</x:v>
      </x:c>
    </x:row>
    <x:row r="565" ht="93" customHeight="1">
      <x:c r="A565" s="19" t="n">
        <x:v>562</x:v>
      </x:c>
      <x:c r="B565" s="22" t="e">
        <x:f>HYPERLINK("https://cdn.shopify.com/s/files/1/0918/6066/4603/files/O1CN01ejbYSb2NGI3QQ7hHT__4234819935-0-cib.jpg?v=1779453732","Open")</x:f>
        <x:v>HYPERLINK is not implemented. linkLocation=https://cdn.shopify.com/s/files/1/0918/6066/4603/files/O1CN01ejbYSb2NGI3QQ7hHT__4234819935-0-cib.jpg?v=1779453732, friendlyName=Open</x:v>
      </x:c>
      <x:c r="C565" s="24" t="e">
        <x:f>HYPERLINK("https://365nails.com/products/365nails-pink-swirl-french-with-3d-flower-almond-elegant-press-on-nails","365nails: ""Pink Swirl French with 3D Flower Almond"" – Elegant Press-on Nails")</x:f>
        <x:v>HYPERLINK is not implemented. linkLocation=https://365nails.com/products/365nails-pink-swirl-french-with-3d-flower-almond-elegant-press-on-nails, friendlyName=365nails: "Pink Swirl French with 3D Flower Almond" – Elegant Press-on Nails</x:v>
      </x:c>
      <x:c r="D565" s="18" t="str">
        <x:v>Color: Jp 4367</x:v>
      </x:c>
      <x:c r="E565" s="25" t="str">
        <x:v>$1.54</x:v>
      </x:c>
      <x:c r="F565" s="19" t="str">
        <x:v>1</x:v>
      </x:c>
    </x:row>
    <x:row r="566" ht="93" customHeight="1">
      <x:c r="A566" s="19" t="n">
        <x:v>563</x:v>
      </x:c>
      <x:c r="B566" s="22" t="e">
        <x:f>HYPERLINK("https://cdn.shopify.com/s/files/1/0918/6066/4603/files/O1CN01nCbPtu2NGI3GSI7hB__4234819935-0-cib.jpg?v=1779453369","Open")</x:f>
        <x:v>HYPERLINK is not implemented. linkLocation=https://cdn.shopify.com/s/files/1/0918/6066/4603/files/O1CN01nCbPtu2NGI3GSI7hB__4234819935-0-cib.jpg?v=1779453369, friendlyName=Open</x:v>
      </x:c>
      <x:c r="C566" s="24" t="e">
        <x:f>HYPERLINK("https://365nails.com/products/365nails-pink-beach-starfish-square-french-tip-press-on-nails","365nails: ""Pink Beach Starfish Square"" – French Tip Press-on Nails")</x:f>
        <x:v>HYPERLINK is not implemented. linkLocation=https://365nails.com/products/365nails-pink-beach-starfish-square-french-tip-press-on-nails, friendlyName=365nails: "Pink Beach Starfish Square" – French Tip Press-on Nails</x:v>
      </x:c>
      <x:c r="D566" s="18" t="str">
        <x:v>Color: Jp 4398</x:v>
      </x:c>
      <x:c r="E566" s="25" t="str">
        <x:v>$0.93</x:v>
      </x:c>
      <x:c r="F566" s="19" t="str">
        <x:v>1</x:v>
      </x:c>
    </x:row>
    <x:row r="567" ht="93" customHeight="1">
      <x:c r="A567" s="19" t="n">
        <x:v>564</x:v>
      </x:c>
      <x:c r="B567" s="22" t="e">
        <x:f>HYPERLINK("https://cdn.shopify.com/s/files/1/0918/6066/4603/files/O1CN01ujEzOj2NGI3IWtqyt__4234819935-0-cib.jpg?v=1779436667","Open")</x:f>
        <x:v>HYPERLINK is not implemented. linkLocation=https://cdn.shopify.com/s/files/1/0918/6066/4603/files/O1CN01ujEzOj2NGI3IWtqyt__4234819935-0-cib.jpg?v=1779436667, friendlyName=Open</x:v>
      </x:c>
      <x:c r="C567" s="24" t="e">
        <x:f>HYPERLINK("https://365nails.com/products/365nails-rose-gold-floral-almond-nude-press-on-nails-with-gold-accents","365nails: ""Rose Gold Floral Almond"" – Nude Press-on Nails with Gold Accents")</x:f>
        <x:v>HYPERLINK is not implemented. linkLocation=https://365nails.com/products/365nails-rose-gold-floral-almond-nude-press-on-nails-with-gold-accents, friendlyName=365nails: "Rose Gold Floral Almond" – Nude Press-on Nails with Gold Accents</x:v>
      </x:c>
      <x:c r="D567" s="18" t="str">
        <x:v>Color: Jp 4348</x:v>
      </x:c>
      <x:c r="E567" s="25" t="str">
        <x:v>$0.82</x:v>
      </x:c>
      <x:c r="F567" s="19" t="str">
        <x:v>1</x:v>
      </x:c>
    </x:row>
    <x:row r="568" ht="93" customHeight="1">
      <x:c r="A568" s="19" t="n">
        <x:v>565</x:v>
      </x:c>
      <x:c r="B568" s="22" t="e">
        <x:f>HYPERLINK("https://cdn.shopify.com/s/files/1/0918/6066/4603/files/O1CN018TEAko2NGI3NBNutT__4234819935-0-cib.jpg?v=1779436389","Open")</x:f>
        <x:v>HYPERLINK is not implemented. linkLocation=https://cdn.shopify.com/s/files/1/0918/6066/4603/files/O1CN018TEAko2NGI3NBNutT__4234819935-0-cib.jpg?v=1779436389, friendlyName=Open</x:v>
      </x:c>
      <x:c r="C568" s="24" t="e">
        <x:f>HYPERLINK("https://365nails.com/products/365nails-blueberry-floral-stripe-oval-french-tip-press-on-nails","365nails: ""Blueberry Floral Stripe Oval"" – French Tip Press-on Nails")</x:f>
        <x:v>HYPERLINK is not implemented. linkLocation=https://365nails.com/products/365nails-blueberry-floral-stripe-oval-french-tip-press-on-nails, friendlyName=365nails: "Blueberry Floral Stripe Oval" – French Tip Press-on Nails</x:v>
      </x:c>
      <x:c r="D568" s="18" t="str">
        <x:v>Color: Jp 4401</x:v>
      </x:c>
      <x:c r="E568" s="25" t="str">
        <x:v>$0.72</x:v>
      </x:c>
      <x:c r="F568" s="19" t="str">
        <x:v>1</x:v>
      </x:c>
    </x:row>
    <x:row r="569" ht="93" customHeight="1">
      <x:c r="A569" s="19" t="n">
        <x:v>566</x:v>
      </x:c>
      <x:c r="B569" s="22" t="e">
        <x:f>HYPERLINK("https://cdn.shopify.com/s/files/1/0918/6066/4603/files/O1CN0150PQKy2NGI3GSkBkN__4234819935-0-cib.jpg?v=1779435647","Open")</x:f>
        <x:v>HYPERLINK is not implemented. linkLocation=https://cdn.shopify.com/s/files/1/0918/6066/4603/files/O1CN0150PQKy2NGI3GSkBkN__4234819935-0-cib.jpg?v=1779435647, friendlyName=Open</x:v>
      </x:c>
      <x:c r="C569" s="24" t="e">
        <x:f>HYPERLINK("https://365nails.com/products/365nails-light-blue-french-floral-oval-hand-painted-press-on-nails","365nails: ""Light Blue French Floral Oval"" – Hand-painted Press-on Nails")</x:f>
        <x:v>HYPERLINK is not implemented. linkLocation=https://365nails.com/products/365nails-light-blue-french-floral-oval-hand-painted-press-on-nails, friendlyName=365nails: "Light Blue French Floral Oval" – Hand-painted Press-on Nails</x:v>
      </x:c>
      <x:c r="D569" s="18" t="str">
        <x:v>Color: Jp 4415</x:v>
      </x:c>
      <x:c r="E569" s="25" t="str">
        <x:v>$0.82</x:v>
      </x:c>
      <x:c r="F569" s="19" t="str">
        <x:v>1</x:v>
      </x:c>
    </x:row>
    <x:row r="570" ht="93" customHeight="1">
      <x:c r="A570" s="19" t="n">
        <x:v>567</x:v>
      </x:c>
      <x:c r="B570" s="22" t="e">
        <x:f>HYPERLINK("https://cdn.shopify.com/s/files/1/0918/6066/4603/files/O1CN01I0qUDH2NGI3G7uY0N__4234819935-0-cib.jpg?v=1779435440","Open")</x:f>
        <x:v>HYPERLINK is not implemented. linkLocation=https://cdn.shopify.com/s/files/1/0918/6066/4603/files/O1CN01I0qUDH2NGI3G7uY0N__4234819935-0-cib.jpg?v=1779435440, friendlyName=Open</x:v>
      </x:c>
      <x:c r="C570" s="24" t="e">
        <x:f>HYPERLINK("https://365nails.com/products/365nails-classic-french-nude-square-minimalist-press-on-nails","365nails: ""Classic French Nude Square"" – Minimalist Press-on Nails")</x:f>
        <x:v>HYPERLINK is not implemented. linkLocation=https://365nails.com/products/365nails-classic-french-nude-square-minimalist-press-on-nails, friendlyName=365nails: "Classic French Nude Square" – Minimalist Press-on Nails</x:v>
      </x:c>
      <x:c r="D570" s="18" t="str">
        <x:v>Color: Jp 4429</x:v>
      </x:c>
      <x:c r="E570" s="25" t="str">
        <x:v>$0.75</x:v>
      </x:c>
      <x:c r="F570" s="19" t="str">
        <x:v>1</x:v>
      </x:c>
    </x:row>
    <x:row r="571" ht="93" customHeight="1">
      <x:c r="A571" s="19" t="n">
        <x:v>568</x:v>
      </x:c>
      <x:c r="B571" s="22" t="e">
        <x:f>HYPERLINK("https://cdn.shopify.com/s/files/1/0918/6066/4603/files/O1CN01t3ZBVf1CPwKDfvMiN__2213196780074-0-cib_1e40dedb-4cd7-45d6-9867-b2d404a8ade2.jpg?v=1777119322","Open")</x:f>
        <x:v>HYPERLINK is not implemented. linkLocation=https://cdn.shopify.com/s/files/1/0918/6066/4603/files/O1CN01t3ZBVf1CPwKDfvMiN__2213196780074-0-cib_1e40dedb-4cd7-45d6-9867-b2d404a8ade2.jpg?v=1777119322, friendlyName=Open</x:v>
      </x:c>
      <x:c r="C571" s="24" t="e">
        <x:f>HYPERLINK("https://365nails.com/products/365nails-vipers-kiss-3d-snake-skin-cat-eye-handmade-almond-nails","365nails: ""Viper's Kiss"" – 3D Snake Skin Cat Eye Handmade Almond Nails")</x:f>
        <x:v>HYPERLINK is not implemented. linkLocation=https://365nails.com/products/365nails-vipers-kiss-3d-snake-skin-cat-eye-handmade-almond-nails, friendlyName=365nails: "Viper's Kiss" – 3D Snake Skin Cat Eye Handmade Almond Nails</x:v>
      </x:c>
      <x:c r="D571" s="18" t="str">
        <x:v>Color: Extra small size xs / Small s / Medium m / Large l; Specification type: 2412 - almond a</x:v>
      </x:c>
      <x:c r="E571" s="25" t="str">
        <x:v>$3.49</x:v>
      </x:c>
      <x:c r="F571" s="19" t="str">
        <x:v>1</x:v>
      </x:c>
    </x:row>
    <x:row r="572" ht="93" customHeight="1">
      <x:c r="A572" s="19" t="n">
        <x:v>569</x:v>
      </x:c>
      <x:c r="B572" s="22" t="e">
        <x:f>HYPERLINK("https://cdn.shopify.com/s/files/1/0918/6066/4603/files/O1CN016bnVwS1CPwPnMYhUr__2213196780074-0-cib.jpg?v=1777117891","Open")</x:f>
        <x:v>HYPERLINK is not implemented. linkLocation=https://cdn.shopify.com/s/files/1/0918/6066/4603/files/O1CN016bnVwS1CPwPnMYhUr__2213196780074-0-cib.jpg?v=1777117891, friendlyName=Open</x:v>
      </x:c>
      <x:c r="C572" s="24" t="e">
        <x:f>HYPERLINK("https://365nails.com/products/365nails-retro-cherry-blossom-3d-floral-polka-dot-handmade-almond-nails","365nails: ""Retro Cherry Blossom"" – 3D Floral Polka Dot Handmade Almond Nails")</x:f>
        <x:v>HYPERLINK is not implemented. linkLocation=https://365nails.com/products/365nails-retro-cherry-blossom-3d-floral-polka-dot-handmade-almond-nails, friendlyName=365nails: "Retro Cherry Blossom" – 3D Floral Polka Dot Handmade Almond Nails</x:v>
      </x:c>
      <x:c r="D572" s="18" t="str">
        <x:v>Color: 951 - medium almonds; Color classification: Extra small size xs / Small s / Medium m / Large l</x:v>
      </x:c>
      <x:c r="E572" s="25" t="str">
        <x:v>$3.49</x:v>
      </x:c>
      <x:c r="F572" s="19" t="str">
        <x:v>1</x:v>
      </x:c>
    </x:row>
    <x:row r="573" ht="93" customHeight="1">
      <x:c r="A573" s="19" t="n">
        <x:v>570</x:v>
      </x:c>
      <x:c r="B573" s="22" t="e">
        <x:f>HYPERLINK("https://cdn.shopify.com/s/files/1/0918/6066/4603/files/O1CN01DPbDgk2NGI3J3U5kq__4234819935-0-cib.jpg?v=1779454544","Open")</x:f>
        <x:v>HYPERLINK is not implemented. linkLocation=https://cdn.shopify.com/s/files/1/0918/6066/4603/files/O1CN01DPbDgk2NGI3J3U5kq__4234819935-0-cib.jpg?v=1779454544, friendlyName=Open</x:v>
      </x:c>
      <x:c r="C573" s="24" t="e">
        <x:f>HYPERLINK("https://365nails.com/products/365nails-rose-gold-cat-eye-oval-natural-press-on-nails","365nails: ""Rose Gold Cat Eye Oval"" – Natural Press-on Nails")</x:f>
        <x:v>HYPERLINK is not implemented. linkLocation=https://365nails.com/products/365nails-rose-gold-cat-eye-oval-natural-press-on-nails, friendlyName=365nails: "Rose Gold Cat Eye Oval" – Natural Press-on Nails</x:v>
      </x:c>
      <x:c r="D573" s="18" t="str">
        <x:v>Color: Jp 4375</x:v>
      </x:c>
      <x:c r="E573" s="25" t="str">
        <x:v>$1.78</x:v>
      </x:c>
      <x:c r="F573" s="19" t="str">
        <x:v>1</x:v>
      </x:c>
    </x:row>
    <x:row r="574" ht="93" customHeight="1">
      <x:c r="A574" s="19" t="n">
        <x:v>571</x:v>
      </x:c>
      <x:c r="B574" s="22" t="e">
        <x:f>HYPERLINK("https://cdn.shopify.com/s/files/1/0918/6066/4603/files/O1CN013GZiia2NGI3N64SCZ__4234819935-0-cib.jpg?v=1779436776","Open")</x:f>
        <x:v>HYPERLINK is not implemented. linkLocation=https://cdn.shopify.com/s/files/1/0918/6066/4603/files/O1CN013GZiia2NGI3N64SCZ__4234819935-0-cib.jpg?v=1779436776, friendlyName=Open</x:v>
      </x:c>
      <x:c r="C574" s="24" t="e">
        <x:f>HYPERLINK("https://365nails.com/products/365nails-3d-pink-floral-mermaid-almond-pearl-rhinestone-press-on-nails","365nails: ""3D Pink Floral Mermaid Almond"" – Pearl &amp; Rhinestone Press-on Nails")</x:f>
        <x:v>HYPERLINK is not implemented. linkLocation=https://365nails.com/products/365nails-3d-pink-floral-mermaid-almond-pearl-rhinestone-press-on-nails, friendlyName=365nails: "3D Pink Floral Mermaid Almond" – Pearl &amp; Rhinestone Press-on Nails</x:v>
      </x:c>
      <x:c r="D574" s="18" t="str">
        <x:v>Color: Jp 4365</x:v>
      </x:c>
      <x:c r="E574" s="25" t="str">
        <x:v>$1.70</x:v>
      </x:c>
      <x:c r="F574" s="19" t="str">
        <x:v>1</x:v>
      </x:c>
    </x:row>
    <x:row r="575" ht="93" customHeight="1">
      <x:c r="A575" s="19" t="n">
        <x:v>572</x:v>
      </x:c>
      <x:c r="B575" s="22" t="e">
        <x:f>HYPERLINK("https://cdn.shopify.com/s/files/1/0918/6066/4603/files/O1CN01Ls0Ys01CPwFisWRu8__2213196780074-0-cib.jpg?v=1776937718","Open")</x:f>
        <x:v>HYPERLINK is not implemented. linkLocation=https://cdn.shopify.com/s/files/1/0918/6066/4603/files/O1CN01Ls0Ys01CPwFisWRu8__2213196780074-0-cib.jpg?v=1776937718, friendlyName=Open</x:v>
      </x:c>
      <x:c r="C575" s="24" t="e">
        <x:f>HYPERLINK("https://365nails.com/products/365nails-sunset-whispers-handpainted-cat-eye-gradient-gem-handmade-medium-almond-nails","365nails: ""Sunset Whispers"" – Handpainted Cat Eye Gradient &amp; Gem Handmade Medium Almond Nails")</x:f>
        <x:v>HYPERLINK is not implemented. linkLocation=https://365nails.com/products/365nails-sunset-whispers-handpainted-cat-eye-gradient-gem-handmade-medium-almond-nails, friendlyName=365nails: "Sunset Whispers" – Handpainted Cat Eye Gradient &amp; Gem Handmade Medium Almond Nails</x:v>
      </x:c>
      <x:c r="D575" s="18" t="str">
        <x:v>Color: 1536 short ladder; Color classification: Extra small size xs / Small s / Medium m / Large l</x:v>
      </x:c>
      <x:c r="E575" s="25" t="str">
        <x:v>$3.49</x:v>
      </x:c>
      <x:c r="F575" s="19" t="str">
        <x:v>1</x:v>
      </x:c>
    </x:row>
    <x:row r="576" ht="93" customHeight="1">
      <x:c r="A576" s="19" t="n">
        <x:v>573</x:v>
      </x:c>
      <x:c r="B576" s="22" t="e">
        <x:f>HYPERLINK("https://cdn.shopify.com/s/files/1/0918/6066/4603/files/O1CN010ReMcl1CPwOUCAd8M__2213196780074-0-cib.jpg?v=1776850584","Open")</x:f>
        <x:v>HYPERLINK is not implemented. linkLocation=https://cdn.shopify.com/s/files/1/0918/6066/4603/files/O1CN010ReMcl1CPwOUCAd8M__2213196780074-0-cib.jpg?v=1776850584, friendlyName=Open</x:v>
      </x:c>
      <x:c r="C576" s="24" t="e">
        <x:f>HYPERLINK("https://365nails.com/products/365nails-sapphire-galaxy-cat-eye-glitter-silver-french-tip-handmade-short-square-nails","365nails: ""Sapphire Galaxy"" – Cat-Eye Glitter &amp; Silver French Tip Handmade Short Square Nails")</x:f>
        <x:v>HYPERLINK is not implemented. linkLocation=https://365nails.com/products/365nails-sapphire-galaxy-cat-eye-glitter-silver-french-tip-handmade-short-square-nails, friendlyName=365nails: "Sapphire Galaxy" – Cat-Eye Glitter &amp; Silver French Tip Handmade Short Square Nails</x:v>
      </x:c>
      <x:c r="D576" s="18" t="str">
        <x:v>Color: 3025-new sino-sino; Color classification: Xs / S / M / L</x:v>
      </x:c>
      <x:c r="E576" s="25" t="str">
        <x:v>$2.99</x:v>
      </x:c>
      <x:c r="F576" s="19" t="str">
        <x:v>1</x:v>
      </x:c>
    </x:row>
    <x:row r="577" ht="93" customHeight="1">
      <x:c r="A577" s="19" t="n">
        <x:v>574</x:v>
      </x:c>
      <x:c r="B577" s="22" t="e">
        <x:f>HYPERLINK("https://cdn.shopify.com/s/files/1/0918/6066/4603/files/O1CN01RGM4Mo1CPwKWBi92z__2213196780074-0-cib.jpg?v=1777119381","Open")</x:f>
        <x:v>HYPERLINK is not implemented. linkLocation=https://cdn.shopify.com/s/files/1/0918/6066/4603/files/O1CN01RGM4Mo1CPwKWBi92z__2213196780074-0-cib.jpg?v=1777119381, friendlyName=Open</x:v>
      </x:c>
      <x:c r="C577" s="24" t="e">
        <x:f>HYPERLINK("https://365nails.com/products/365nails-crimson-royalty-3d-diamond-french-handmade-stiletto-nails","365nails: ""Crimson Royalty"" – 3D Diamond French Handmade Stiletto Nails")</x:f>
        <x:v>HYPERLINK is not implemented. linkLocation=https://365nails.com/products/365nails-crimson-royalty-3d-diamond-french-handmade-stiletto-nails, friendlyName=365nails: "Crimson Royalty" – 3D Diamond French Handmade Stiletto Nails</x:v>
      </x:c>
      <x:c r="D577" s="18" t="str">
        <x:v>Color: Extra small size xs / Small s / Medium m / Large l; Specification type: 2749-thin dog with long tip</x:v>
      </x:c>
      <x:c r="E577" s="25" t="str">
        <x:v>$3.99</x:v>
      </x:c>
      <x:c r="F577" s="19" t="str">
        <x:v>1</x:v>
      </x:c>
    </x:row>
    <x:row r="578" ht="93" customHeight="1">
      <x:c r="A578" s="19" t="n">
        <x:v>575</x:v>
      </x:c>
      <x:c r="B578" s="22" t="e">
        <x:f>HYPERLINK("https://cdn.shopify.com/s/files/1/0918/6066/4603/files/O1CN01rHhQhl1CPwNmCKukD__2213196780074-0-cib.jpg?v=1776818811","Open")</x:f>
        <x:v>HYPERLINK is not implemented. linkLocation=https://cdn.shopify.com/s/files/1/0918/6066/4603/files/O1CN01rHhQhl1CPwNmCKukD__2213196780074-0-cib.jpg?v=1776818811, friendlyName=Open</x:v>
      </x:c>
      <x:c r="C578" s="24" t="e">
        <x:f>HYPERLINK("https://365nails.com/products/365nails-gilded-blossom-3d-pearl-floral-handmade-short-square-nails","365nails: ""Gilded Blossom"" – 3D Pearl &amp; Floral Handmade Short Square Nails")</x:f>
        <x:v>HYPERLINK is not implemented. linkLocation=https://365nails.com/products/365nails-gilded-blossom-3d-pearl-floral-handmade-short-square-nails, friendlyName=365nails: "Gilded Blossom" – 3D Pearl &amp; Floral Handmade Short Square Nails</x:v>
      </x:c>
      <x:c r="D578" s="18" t="str">
        <x:v>Color: 2859-super short ladder; Color classification: Xs / S / M / L</x:v>
      </x:c>
      <x:c r="E578" s="25" t="str">
        <x:v>$3.49</x:v>
      </x:c>
      <x:c r="F578" s="19" t="str">
        <x:v>1</x:v>
      </x:c>
    </x:row>
    <x:row r="579" ht="93" customHeight="1">
      <x:c r="A579" s="19" t="n">
        <x:v>576</x:v>
      </x:c>
      <x:c r="B579" s="22" t="e">
        <x:f>HYPERLINK("https://cdn.shopify.com/s/files/1/0918/6066/4603/files/O1CN01gsOvlV1CPwK9xtWFp__2213196780074-0-cib_c7b83e27-8710-4cec-92fc-5a5db2bceb4e.jpg?v=1777118315","Open")</x:f>
        <x:v>HYPERLINK is not implemented. linkLocation=https://cdn.shopify.com/s/files/1/0918/6066/4603/files/O1CN01gsOvlV1CPwK9xtWFp__2213196780074-0-cib_c7b83e27-8710-4cec-92fc-5a5db2bceb4e.jpg?v=1777118315, friendlyName=Open</x:v>
      </x:c>
      <x:c r="C579" s="24" t="e">
        <x:f>HYPERLINK("https://365nails.com/products/365nails-gilded-heritage-3d-luxury-charm-handmade-coffin-nails","365nails: ""Gilded Heritage"" – 3D Luxury Charm Handmade Coffin Nails")</x:f>
        <x:v>HYPERLINK is not implemented. linkLocation=https://365nails.com/products/365nails-gilded-heritage-3d-luxury-charm-handmade-coffin-nails, friendlyName=365nails: "Gilded Heritage" – 3D Luxury Charm Handmade Coffin Nails</x:v>
      </x:c>
      <x:c r="D579" s="18" t="str">
        <x:v>Color: Extra small size xs / Small s / Medium m / Large l; Specification type: 2564 long tube ladder</x:v>
      </x:c>
      <x:c r="E579" s="25" t="str">
        <x:v>$5.99</x:v>
      </x:c>
      <x:c r="F579" s="19" t="str">
        <x:v>1</x:v>
      </x:c>
    </x:row>
    <x:row r="580" ht="93" customHeight="1">
      <x:c r="A580" s="19" t="n">
        <x:v>577</x:v>
      </x:c>
      <x:c r="B580" s="22" t="e">
        <x:f>HYPERLINK("https://cdn.shopify.com/s/files/1/0918/6066/4603/files/O1CN01QOLnBV1CPwFw71OKd__2213196780074-0-cib.jpg?v=1776772078","Open")</x:f>
        <x:v>HYPERLINK is not implemented. linkLocation=https://cdn.shopify.com/s/files/1/0918/6066/4603/files/O1CN01QOLnBV1CPwFw71OKd__2213196780074-0-cib.jpg?v=1776772078, friendlyName=Open</x:v>
      </x:c>
      <x:c r="C580" s="24" t="e">
        <x:f>HYPERLINK("https://365nails.com/products/365nails-velvet-bloom-iridescent-rose-handmade-coffin-nails","365nails: ""Velvet Bloom"" – Iridescent Rose Handmade Coffin Nails")</x:f>
        <x:v>HYPERLINK is not implemented. linkLocation=https://365nails.com/products/365nails-velvet-bloom-iridescent-rose-handmade-coffin-nails, friendlyName=365nails: "Velvet Bloom" – Iridescent Rose Handmade Coffin Nails</x:v>
      </x:c>
      <x:c r="D580" s="18" t="str">
        <x:v>Color: 206 middle ladder; Color classification: Extra small size xs / Small s / Medium m / Large l</x:v>
      </x:c>
      <x:c r="E580" s="25" t="str">
        <x:v>$2.99</x:v>
      </x:c>
      <x:c r="F580" s="19" t="str">
        <x:v>1</x:v>
      </x:c>
    </x:row>
    <x:row r="581" ht="93" customHeight="1">
      <x:c r="A581" s="19" t="n">
        <x:v>578</x:v>
      </x:c>
      <x:c r="B581" s="22" t="e">
        <x:f>HYPERLINK("https://cdn.shopify.com/s/files/1/0918/6066/4603/files/O1CN01OH6s2w1CPwNl459Y7__2213196780074-0-cib.jpg?v=1777017580","Open")</x:f>
        <x:v>HYPERLINK is not implemented. linkLocation=https://cdn.shopify.com/s/files/1/0918/6066/4603/files/O1CN01OH6s2w1CPwNl459Y7__2213196780074-0-cib.jpg?v=1777017580, friendlyName=Open</x:v>
      </x:c>
      <x:c r="C581" s="24" t="e">
        <x:f>HYPERLINK("https://365nails.com/products/365nails-dreamy-opal-hand-painted-floral-bow-cat-eye-handmade-square-nails","365nails: ""Dreamy Opal"" – Hand-Painted Floral &amp; Bow Cat Eye Handmade Square Nails")</x:f>
        <x:v>HYPERLINK is not implemented. linkLocation=https://365nails.com/products/365nails-dreamy-opal-hand-painted-floral-bow-cat-eye-handmade-square-nails, friendlyName=365nails: "Dreamy Opal" – Hand-Painted Floral &amp; Bow Cat Eye Handmade Square Nails</x:v>
      </x:c>
      <x:c r="D581" s="18" t="str">
        <x:v>Color: 2879-short round; Color classification: Xs / S / M / L</x:v>
      </x:c>
      <x:c r="E581" s="25" t="str">
        <x:v>$3.49</x:v>
      </x:c>
      <x:c r="F581" s="19" t="str">
        <x:v>1</x:v>
      </x:c>
    </x:row>
    <x:row r="582" ht="93" customHeight="1">
      <x:c r="A582" s="19" t="n">
        <x:v>579</x:v>
      </x:c>
      <x:c r="B582" s="22" t="e">
        <x:f>HYPERLINK("https://cdn.shopify.com/s/files/1/0918/6066/4603/files/O1CN01yjiUhC1CPwIHFU4E3__2213196780074-0-cib.jpg?v=1776741592","Open")</x:f>
        <x:v>HYPERLINK is not implemented. linkLocation=https://cdn.shopify.com/s/files/1/0918/6066/4603/files/O1CN01yjiUhC1CPwIHFU4E3__2213196780074-0-cib.jpg?v=1776741592, friendlyName=Open</x:v>
      </x:c>
      <x:c r="C582" s="24" t="e">
        <x:f>HYPERLINK("https://365nails.com/products/365nails-moonlight-script-3d-gem-polka-dot-cat-eye-handmade-coffin-nails","365nails: ""Moonlight Script"" – 3D Gem &amp; Polka Dot Cat Eye Handmade Coffin Nails")</x:f>
        <x:v>HYPERLINK is not implemented. linkLocation=https://365nails.com/products/365nails-moonlight-script-3d-gem-polka-dot-cat-eye-handmade-coffin-nails, friendlyName=365nails: "Moonlight Script" – 3D Gem &amp; Polka Dot Cat Eye Handmade Coffin Nails</x:v>
      </x:c>
      <x:c r="D582" s="18" t="str">
        <x:v>Color: 2237-middle ladder / 2235 - medium oval; Color classification: Extra small size xs / Small s / Medium m / Large l</x:v>
      </x:c>
      <x:c r="E582" s="25" t="str">
        <x:v>$3.49</x:v>
      </x:c>
      <x:c r="F582" s="19" t="str">
        <x:v>1</x:v>
      </x:c>
    </x:row>
    <x:row r="583" ht="93" customHeight="1">
      <x:c r="A583" s="19" t="n">
        <x:v>580</x:v>
      </x:c>
      <x:c r="B583" s="22" t="e">
        <x:f>HYPERLINK("https://cdn.shopify.com/s/files/1/0918/6066/4603/files/O1CN014PIf3D1CPwM17bBOk__2213196780074-0-cib.jpg?v=1777017302","Open")</x:f>
        <x:v>HYPERLINK is not implemented. linkLocation=https://cdn.shopify.com/s/files/1/0918/6066/4603/files/O1CN014PIf3D1CPwM17bBOk__2213196780074-0-cib.jpg?v=1777017302, friendlyName=Open</x:v>
      </x:c>
      <x:c r="C583" s="24" t="e">
        <x:f>HYPERLINK("https://365nails.com/products/365nails-ballet-ribbon-3d-bow-french-tip-silver-glitter-handmade-coffin-nails","365nails: ""Ballet Ribbon"" – 3D Bow French Tip &amp; Silver Glitter Handmade Coffin Nails")</x:f>
        <x:v>HYPERLINK is not implemented. linkLocation=https://365nails.com/products/365nails-ballet-ribbon-3d-bow-french-tip-silver-glitter-handmade-coffin-nails, friendlyName=365nails: "Ballet Ribbon" – 3D Bow French Tip &amp; Silver Glitter Handmade Coffin Nails</x:v>
      </x:c>
      <x:c r="D583" s="18" t="str">
        <x:v>Color: 388-short oval / 400-short ladder; Color classification: Xs / S / M / L</x:v>
      </x:c>
      <x:c r="E583" s="25" t="str">
        <x:v>$2.99</x:v>
      </x:c>
      <x:c r="F583" s="19" t="str">
        <x:v>1</x:v>
      </x:c>
    </x:row>
    <x:row r="584" ht="93" customHeight="1">
      <x:c r="A584" s="19" t="n">
        <x:v>581</x:v>
      </x:c>
      <x:c r="B584" s="22" t="e">
        <x:f>HYPERLINK("https://cdn.shopify.com/s/files/1/0918/6066/4603/files/O1CN01LCN2Hm1CPwIt2zMMZ__2213196780074-0-cib.jpg?v=1777016912","Open")</x:f>
        <x:v>HYPERLINK is not implemented. linkLocation=https://cdn.shopify.com/s/files/1/0918/6066/4603/files/O1CN01LCN2Hm1CPwIt2zMMZ__2213196780074-0-cib.jpg?v=1777016912, friendlyName=Open</x:v>
      </x:c>
      <x:c r="C584" s="24" t="e">
        <x:f>HYPERLINK("https://365nails.com/products/365nails-comic-heart-3d-hand-painted-cartoon-glitter-cat-eye-handmade-almond-nails","365nails: ""Comic Heart"" – 3D Hand-Painted Cartoon &amp; Glitter Cat Eye Handmade Almond Nails")</x:f>
        <x:v>HYPERLINK is not implemented. linkLocation=https://365nails.com/products/365nails-comic-heart-3d-hand-painted-cartoon-glitter-cat-eye-handmade-almond-nails, friendlyName=365nails: "Comic Heart" – 3D Hand-Painted Cartoon &amp; Glitter Cat Eye Handmade Almond Nails</x:v>
      </x:c>
      <x:c r="D584" s="18" t="str">
        <x:v>Color: 2472-short oval / 2474-short ladder; Color classification: Extra small size xs / Small s / Medium m / Large l</x:v>
      </x:c>
      <x:c r="E584" s="25" t="str">
        <x:v>$3.49</x:v>
      </x:c>
      <x:c r="F584" s="19" t="str">
        <x:v>1</x:v>
      </x:c>
    </x:row>
    <x:row r="585" ht="93" customHeight="1">
      <x:c r="A585" s="19" t="n">
        <x:v>582</x:v>
      </x:c>
      <x:c r="B585" s="22" t="e">
        <x:f>HYPERLINK("https://cdn.shopify.com/s/files/1/0918/6066/4603/files/O1CN01GCFTbp1CPwIJHq8AL__2213196780074-0-cib.jpg?v=1777118379","Open")</x:f>
        <x:v>HYPERLINK is not implemented. linkLocation=https://cdn.shopify.com/s/files/1/0918/6066/4603/files/O1CN01GCFTbp1CPwIJHq8AL__2213196780074-0-cib.jpg?v=1777118379, friendlyName=Open</x:v>
      </x:c>
      <x:c r="C585" s="24" t="e">
        <x:f>HYPERLINK("https://365nails.com/products/365nails-golden-cascade-3d-rhinestone-chrome-handmade-stiletto-nails","365nails: ""Golden Cascade"" – 3D Rhinestone &amp; Chrome Handmade Stiletto Nails")</x:f>
        <x:v>HYPERLINK is not implemented. linkLocation=https://365nails.com/products/365nails-golden-cascade-3d-rhinestone-chrome-handmade-stiletto-nails, friendlyName=365nails: "Golden Cascade" – 3D Rhinestone &amp; Chrome Handmade Stiletto Nails</x:v>
      </x:c>
      <x:c r="D585" s="18" t="str">
        <x:v>Color: 2146-long water drop; Color classification: Extra small size xs / Small s / Medium m / Large l</x:v>
      </x:c>
      <x:c r="E585" s="25" t="str">
        <x:v>$3.99</x:v>
      </x:c>
      <x:c r="F585" s="19" t="str">
        <x:v>1</x:v>
      </x:c>
    </x:row>
    <x:row r="586" ht="93" customHeight="1">
      <x:c r="A586" s="19" t="n">
        <x:v>583</x:v>
      </x:c>
      <x:c r="B586" s="22" t="e">
        <x:f>HYPERLINK("https://cdn.shopify.com/s/files/1/0918/6066/4603/files/O1CN01onbTD31CPwLLiwCAS__2213196780074-0-cib.jpg?v=1777118115","Open")</x:f>
        <x:v>HYPERLINK is not implemented. linkLocation=https://cdn.shopify.com/s/files/1/0918/6066/4603/files/O1CN01onbTD31CPwLLiwCAS__2213196780074-0-cib.jpg?v=1777118115, friendlyName=Open</x:v>
      </x:c>
      <x:c r="C586" s="24" t="e">
        <x:f>HYPERLINK("https://365nails.com/products/365nails-golden-butterfly-3d-pearl-foil-handmade-short-square-nails","365nails: ""Golden Butterfly"" – 3D Pearl &amp; Foil Handmade Short Square Nails")</x:f>
        <x:v>HYPERLINK is not implemented. linkLocation=https://365nails.com/products/365nails-golden-butterfly-3d-pearl-foil-handmade-short-square-nails, friendlyName=365nails: "Golden Butterfly" – 3D Pearl &amp; Foil Handmade Short Square Nails</x:v>
      </x:c>
      <x:c r="D586" s="18" t="str">
        <x:v>Color: Extra small size xs / Small s / Medium m / Large l; Specification type: 1134-short round</x:v>
      </x:c>
      <x:c r="E586" s="25" t="str">
        <x:v>$2.99</x:v>
      </x:c>
      <x:c r="F586" s="19" t="str">
        <x:v>1</x:v>
      </x:c>
    </x:row>
    <x:row r="587" ht="93" customHeight="1">
      <x:c r="A587" s="19" t="n">
        <x:v>584</x:v>
      </x:c>
      <x:c r="B587" s="22" t="e">
        <x:f>HYPERLINK("https://cdn.shopify.com/s/files/1/0918/6066/4603/files/O1CN014Octxr1CPwM2nNsPj__2213196780074-0-cib_3d564c02-19f8-407e-b2cf-fd539d71ef22.jpg?v=1777116393","Open")</x:f>
        <x:v>HYPERLINK is not implemented. linkLocation=https://cdn.shopify.com/s/files/1/0918/6066/4603/files/O1CN014Octxr1CPwM2nNsPj__2213196780074-0-cib_3d564c02-19f8-407e-b2cf-fd539d71ef22.jpg?v=1777116393, friendlyName=Open</x:v>
      </x:c>
      <x:c r="C587" s="24" t="e">
        <x:f>HYPERLINK("https://365nails.com/products/365nails-aqua-bloom-3d-water-ripple-handmade-long-coffin-nails","365nails: ""Aqua Bloom"" – 3D Water Ripple Handmade Long Coffin Nails")</x:f>
        <x:v>HYPERLINK is not implemented. linkLocation=https://365nails.com/products/365nails-aqua-bloom-3d-water-ripple-handmade-long-coffin-nails, friendlyName=365nails: "Aqua Bloom" – 3D Water Ripple Handmade Long Coffin Nails</x:v>
      </x:c>
      <x:c r="D587" s="18" t="str">
        <x:v>Color: 387-fine dog ladder; Color classification: Xs / S / M / L</x:v>
      </x:c>
      <x:c r="E587" s="25" t="str">
        <x:v>$3.99</x:v>
      </x:c>
      <x:c r="F587" s="19" t="str">
        <x:v>1</x:v>
      </x:c>
    </x:row>
    <x:row r="588" ht="93" customHeight="1">
      <x:c r="A588" s="19" t="n">
        <x:v>585</x:v>
      </x:c>
      <x:c r="B588" s="22" t="e">
        <x:f>HYPERLINK("https://cdn.shopify.com/s/files/1/0918/6066/4603/files/O1CN01gecHYe1CPwJqVeGvU__2213196780074-0-cib_66e70722-4269-4e3f-b75d-92e32797619d.jpg?v=1777017062","Open")</x:f>
        <x:v>HYPERLINK is not implemented. linkLocation=https://cdn.shopify.com/s/files/1/0918/6066/4603/files/O1CN01gecHYe1CPwJqVeGvU__2213196780074-0-cib_66e70722-4269-4e3f-b75d-92e32797619d.jpg?v=1777017062, friendlyName=Open</x:v>
      </x:c>
      <x:c r="C588" s="24" t="e">
        <x:f>HYPERLINK("https://365nails.com/products/365nails-chrome-serpent-3d-snake-sculpture-silver-glitter-handmade-stiletto-nails","365nails: ""Chrome Serpent"" – 3D Snake Sculpture &amp; Silver Glitter Handmade Stiletto Nails")</x:f>
        <x:v>HYPERLINK is not implemented. linkLocation=https://365nails.com/products/365nails-chrome-serpent-3d-snake-sculpture-silver-glitter-handmade-stiletto-nails, friendlyName=365nails: "Chrome Serpent" – 3D Snake Sculpture &amp; Silver Glitter Handmade Stiletto Nails</x:v>
      </x:c>
      <x:c r="D588" s="18" t="str">
        <x:v>Color: Extra small size xs / Small s / Medium m / Large l; Specification type: 2525 extra long water drop</x:v>
      </x:c>
      <x:c r="E588" s="25" t="str">
        <x:v>$4.49</x:v>
      </x:c>
      <x:c r="F588" s="19" t="str">
        <x:v>1</x:v>
      </x:c>
    </x:row>
    <x:row r="589" ht="93" customHeight="1">
      <x:c r="A589" s="19" t="n">
        <x:v>586</x:v>
      </x:c>
      <x:c r="B589" s="22" t="e">
        <x:f>HYPERLINK("https://cdn.shopify.com/s/files/1/0918/6066/4603/files/O1CN01rKGcpt1CPwIh8sUgF__2213196780074-0-cib.jpg?v=1777016820","Open")</x:f>
        <x:v>HYPERLINK is not implemented. linkLocation=https://cdn.shopify.com/s/files/1/0918/6066/4603/files/O1CN01rKGcpt1CPwIh8sUgF__2213196780074-0-cib.jpg?v=1777016820, friendlyName=Open</x:v>
      </x:c>
      <x:c r="C589" s="24" t="e">
        <x:f>HYPERLINK("https://365nails.com/products/365nails-celestial-dream-iridescent-cat-eye-oversized-crystal-handmade-stiletto-nails","365nails: ""Celestial Dream"" – Iridescent Cat Eye &amp; Oversized Crystal Handmade Stiletto Nails")</x:f>
        <x:v>HYPERLINK is not implemented. linkLocation=https://365nails.com/products/365nails-celestial-dream-iridescent-cat-eye-oversized-crystal-handmade-stiletto-nails, friendlyName=365nails: "Celestial Dream" – Iridescent Cat Eye &amp; Oversized Crystal Handmade Stiletto Nails</x:v>
      </x:c>
      <x:c r="D589" s="18" t="str">
        <x:v>Color: 2405-long water drop; Color classification: Extra small size xs / Small s / Medium m / Large l</x:v>
      </x:c>
      <x:c r="E589" s="25" t="str">
        <x:v>$4.99</x:v>
      </x:c>
      <x:c r="F589" s="19" t="str">
        <x:v>1</x:v>
      </x:c>
    </x:row>
    <x:row r="590" ht="93" customHeight="1">
      <x:c r="A590" s="19" t="n">
        <x:v>587</x:v>
      </x:c>
      <x:c r="B590" s="22" t="e">
        <x:f>HYPERLINK("https://cdn.shopify.com/s/files/1/0918/6066/4603/files/O1CN01VIcW7k1CPwMHY6n9X__2213196780074-0-cib.jpg?v=1777014529","Open")</x:f>
        <x:v>HYPERLINK is not implemented. linkLocation=https://cdn.shopify.com/s/files/1/0918/6066/4603/files/O1CN01VIcW7k1CPwMHY6n9X__2213196780074-0-cib.jpg?v=1777014529, friendlyName=Open</x:v>
      </x:c>
      <x:c r="C590" s="24" t="e">
        <x:f>HYPERLINK("https://365nails.com/products/365nails-verdant-whisper-cat-eye-french-tip-handmade-square-nails","365nails: ""Verdant Whisper"" – Cat-Eye French Tip Handmade Square Nails")</x:f>
        <x:v>HYPERLINK is not implemented. linkLocation=https://365nails.com/products/365nails-verdant-whisper-cat-eye-french-tip-handmade-square-nails, friendlyName=365nails: "Verdant Whisper" – Cat-Eye French Tip Handmade Square Nails</x:v>
      </x:c>
      <x:c r="D590" s="18" t="str">
        <x:v>Color: 1083-super short ladder / 1079-short oval / 1687-almond a; Color classification: Xs / S / M / L</x:v>
      </x:c>
      <x:c r="E590" s="25" t="str">
        <x:v>$2.99</x:v>
      </x:c>
      <x:c r="F590" s="19" t="str">
        <x:v>1</x:v>
      </x:c>
    </x:row>
    <x:row r="591" ht="93" customHeight="1">
      <x:c r="A591" s="19" t="n">
        <x:v>588</x:v>
      </x:c>
      <x:c r="B591" s="22" t="e">
        <x:f>HYPERLINK("https://cdn.shopify.com/s/files/1/0918/6066/4603/files/O1CN01aG8osD1CPwPcfr7Vz__2213196780074-0-cib.jpg?v=1777014747","Open")</x:f>
        <x:v>HYPERLINK is not implemented. linkLocation=https://cdn.shopify.com/s/files/1/0918/6066/4603/files/O1CN01aG8osD1CPwPcfr7Vz__2213196780074-0-cib.jpg?v=1777014747, friendlyName=Open</x:v>
      </x:c>
      <x:c r="C591" s="24" t="e">
        <x:f>HYPERLINK("https://365nails.com/products/365nails-safari-chic-leopard-print-crystal-embellished-cat-eye-handmade-almond-nails","365nails: ""Safari Chic"" – Leopard Print &amp; Crystal Embellished Cat-Eye Handmade Almond Nails")</x:f>
        <x:v>HYPERLINK is not implemented. linkLocation=https://365nails.com/products/365nails-safari-chic-leopard-print-crystal-embellished-cat-eye-handmade-almond-nails, friendlyName=365nails: "Safari Chic" – Leopard Print &amp; Crystal Embellished Cat-Eye Handmade Almond Nails</x:v>
      </x:c>
      <x:c r="D591" s="18" t="str">
        <x:v>Color: W411-long oval; Color classification: Extra small size xs / Small s / Medium m / Large l</x:v>
      </x:c>
      <x:c r="E591" s="25" t="str">
        <x:v>$2.99</x:v>
      </x:c>
      <x:c r="F591" s="19" t="str">
        <x:v>1</x:v>
      </x:c>
    </x:row>
    <x:row r="592" ht="93" customHeight="1">
      <x:c r="A592" s="19" t="n">
        <x:v>589</x:v>
      </x:c>
      <x:c r="B592" s="22" t="e">
        <x:f>HYPERLINK("https://cdn.shopify.com/s/files/1/0918/6066/4603/files/O1CN014PcGUT1CPwKEfk0aD__2213196780074-0-cib_dc2a0af0-4d05-4111-9da6-eaa73e23b1d2.jpg?v=1777014239","Open")</x:f>
        <x:v>HYPERLINK is not implemented. linkLocation=https://cdn.shopify.com/s/files/1/0918/6066/4603/files/O1CN014PcGUT1CPwKEfk0aD__2213196780074-0-cib_dc2a0af0-4d05-4111-9da6-eaa73e23b1d2.jpg?v=1777014239, friendlyName=Open</x:v>
      </x:c>
      <x:c r="C592" s="24" t="e">
        <x:f>HYPERLINK("https://365nails.com/products/365nails-gothic-starlight-hand-painted-3d-embellished-coffin-nails","365nails: ""Gothic Starlight"" – Hand-Painted &amp; 3D Embellished Coffin Nails")</x:f>
        <x:v>HYPERLINK is not implemented. linkLocation=https://365nails.com/products/365nails-gothic-starlight-hand-painted-3d-embellished-coffin-nails, friendlyName=365nails: "Gothic Starlight" – Hand-Painted &amp; 3D Embellished Coffin Nails</x:v>
      </x:c>
      <x:c r="D592" s="18" t="str">
        <x:v>Color: Extra small size xs / Small s / Medium m / Large l; Specification type: 2466 long ladder</x:v>
      </x:c>
      <x:c r="E592" s="25" t="str">
        <x:v>$3.49</x:v>
      </x:c>
      <x:c r="F592" s="19" t="str">
        <x:v>1</x:v>
      </x:c>
    </x:row>
    <x:row r="593" ht="93" customHeight="1">
      <x:c r="A593" s="19" t="n">
        <x:v>590</x:v>
      </x:c>
      <x:c r="B593" s="22" t="e">
        <x:f>HYPERLINK("https://cdn.shopify.com/s/files/1/0918/6066/4603/files/O1CN01sEz7oj1CPwMcCkKK9__2213196780074-0-cib.jpg?v=1777116482","Open")</x:f>
        <x:v>HYPERLINK is not implemented. linkLocation=https://cdn.shopify.com/s/files/1/0918/6066/4603/files/O1CN01sEz7oj1CPwMcCkKK9__2213196780074-0-cib.jpg?v=1777116482, friendlyName=Open</x:v>
      </x:c>
      <x:c r="C593" s="24" t="e">
        <x:f>HYPERLINK("https://365nails.com/products/365nails-blushing-ballerina-3d-bow-pearl-handmade-medium-almond-nails","365nails: ""Blushing Ballerina"" – 3D Bow &amp; Pearl Handmade Medium Almond Nails")</x:f>
        <x:v>HYPERLINK is not implemented. linkLocation=https://365nails.com/products/365nails-blushing-ballerina-3d-bow-pearl-handmade-medium-almond-nails, friendlyName=365nails: "Blushing Ballerina" – 3D Bow &amp; Pearl Handmade Medium Almond Nails</x:v>
      </x:c>
      <x:c r="D593" s="18" t="str">
        <x:v>Color: 2733 - medium oval / 2742-middle ladder; Color classification: Xs / S / M / L</x:v>
      </x:c>
      <x:c r="E593" s="25" t="str">
        <x:v>$3.99</x:v>
      </x:c>
      <x:c r="F593" s="19" t="str">
        <x:v>1</x:v>
      </x:c>
    </x:row>
    <x:row r="594" ht="93" customHeight="1">
      <x:c r="A594" s="19" t="n">
        <x:v>591</x:v>
      </x:c>
      <x:c r="B594" s="22" t="e">
        <x:f>HYPERLINK("https://cdn.shopify.com/s/files/1/0918/6066/4603/files/O1CN01BXGNYh1CPwMM9jF42__2213196780074-0-cib.jpg?v=1777017364","Open")</x:f>
        <x:v>HYPERLINK is not implemented. linkLocation=https://cdn.shopify.com/s/files/1/0918/6066/4603/files/O1CN01BXGNYh1CPwMM9jF42__2213196780074-0-cib.jpg?v=1777017364, friendlyName=Open</x:v>
      </x:c>
      <x:c r="C594" s="24" t="e">
        <x:f>HYPERLINK("https://365nails.com/products/365nails-celestial-aura-3d-crystal-cluster-iridescent-french-tip-handmade-coffin-nails","365nails: ""Celestial Aura"" – 3D Crystal Cluster &amp; Iridescent French Tip Handmade Coffin Nails")</x:f>
        <x:v>HYPERLINK is not implemented. linkLocation=https://365nails.com/products/365nails-celestial-aura-3d-crystal-cluster-iridescent-french-tip-handmade-coffin-nails, friendlyName=365nails: "Celestial Aura" – 3D Crystal Cluster &amp; Iridescent French Tip Handmade Coffin Nails</x:v>
      </x:c>
      <x:c r="D594" s="18" t="str">
        <x:v>Color: 49-medium oval; Color classification: Xs / S / M / L</x:v>
      </x:c>
      <x:c r="E594" s="25" t="str">
        <x:v>$3.49</x:v>
      </x:c>
      <x:c r="F594" s="19" t="str">
        <x:v>1</x:v>
      </x:c>
    </x:row>
    <x:row r="595" ht="93" customHeight="1">
      <x:c r="A595" s="19" t="n">
        <x:v>592</x:v>
      </x:c>
      <x:c r="B595" s="22" t="e">
        <x:f>HYPERLINK("https://cdn.shopify.com/s/files/1/0918/6066/4603/files/O1CN01myWM1a1CPwM4WIHaa__2213196780074-0-cib.jpg?v=1777014466","Open")</x:f>
        <x:v>HYPERLINK is not implemented. linkLocation=https://cdn.shopify.com/s/files/1/0918/6066/4603/files/O1CN01myWM1a1CPwM4WIHaa__2213196780074-0-cib.jpg?v=1777014466, friendlyName=Open</x:v>
      </x:c>
      <x:c r="C595" s="24" t="e">
        <x:f>HYPERLINK("https://365nails.com/products/365nails-velvet-bloom-cat-eye-gradient-with-gem-accents-handmade-stiletto-nails","365nails: ""Velvet Bloom"" – Cat-Eye Gradient with Gem Accents Handmade Stiletto Nails")</x:f>
        <x:v>HYPERLINK is not implemented. linkLocation=https://365nails.com/products/365nails-velvet-bloom-cat-eye-gradient-with-gem-accents-handmade-stiletto-nails, friendlyName=365nails: "Velvet Bloom" – Cat-Eye Gradient with Gem Accents Handmade Stiletto Nails</x:v>
      </x:c>
      <x:c r="D595" s="18" t="str">
        <x:v>Color: 525-long water drop; Color classification: Xs / S / M / L</x:v>
      </x:c>
      <x:c r="E595" s="25" t="str">
        <x:v>$3.49</x:v>
      </x:c>
      <x:c r="F595" s="19" t="str">
        <x:v>1</x:v>
      </x:c>
    </x:row>
    <x:row r="596" ht="93" customHeight="1">
      <x:c r="A596" s="19" t="n">
        <x:v>593</x:v>
      </x:c>
      <x:c r="B596" s="22" t="e">
        <x:f>HYPERLINK("https://cdn.shopify.com/s/files/1/0918/6066/4603/files/O1CN01xrpTV71CPwJCpG2Jp__2213196780074-0-cib.jpg?v=1777118638","Open")</x:f>
        <x:v>HYPERLINK is not implemented. linkLocation=https://cdn.shopify.com/s/files/1/0918/6066/4603/files/O1CN01xrpTV71CPwJCpG2Jp__2213196780074-0-cib.jpg?v=1777118638, friendlyName=Open</x:v>
      </x:c>
      <x:c r="C596" s="24" t="e">
        <x:f>HYPERLINK("https://365nails.com/products/365nails-white-blossom-whisper-3d-floral-glitter-handmade-coffin-nails","365nails: ""White Blossom Whisper"" – 3D Floral Glitter Handmade Coffin Nails")</x:f>
        <x:v>HYPERLINK is not implemented. linkLocation=https://365nails.com/products/365nails-white-blossom-whisper-3d-floral-glitter-handmade-coffin-nails, friendlyName=365nails: "White Blossom Whisper" – 3D Floral Glitter Handmade Coffin Nails</x:v>
      </x:c>
      <x:c r="D596" s="18" t="str">
        <x:v>Color: Extra small size xs / Small s / Medium m / Large l; Specification type: 2088-short ladder</x:v>
      </x:c>
      <x:c r="E596" s="25" t="str">
        <x:v>$3.49</x:v>
      </x:c>
      <x:c r="F596" s="19" t="str">
        <x:v>1</x:v>
      </x:c>
    </x:row>
    <x:row r="597" ht="93" customHeight="1">
      <x:c r="A597" s="19" t="n">
        <x:v>594</x:v>
      </x:c>
      <x:c r="B597" s="22" t="e">
        <x:f>HYPERLINK("https://cdn.shopify.com/s/files/1/0918/6066/4603/files/O1CN01sHkFLO1CPwRBPYpcF__2213196780074-0-cib.jpg?v=1777116621","Open")</x:f>
        <x:v>HYPERLINK is not implemented. linkLocation=https://cdn.shopify.com/s/files/1/0918/6066/4603/files/O1CN01sHkFLO1CPwRBPYpcF__2213196780074-0-cib.jpg?v=1777116621, friendlyName=Open</x:v>
      </x:c>
      <x:c r="C597" s="24" t="e">
        <x:f>HYPERLINK("https://365nails.com/products/365nails-retro-pop-3d-y2k-collage-handmade-short-square-nails","365nails: ""Retro Pop"" – 3D Y2K Collage Handmade Short Square Nails")</x:f>
        <x:v>HYPERLINK is not implemented. linkLocation=https://365nails.com/products/365nails-retro-pop-3d-y2k-collage-handmade-short-square-nails, friendlyName=365nails: "Retro Pop" – 3D Y2K Collage Handmade Short Square Nails</x:v>
      </x:c>
      <x:c r="D597" s="18" t="str">
        <x:v>Color: 115-short duckbill; Color classification: Extra small size xs / Small s / Medium m / Large l</x:v>
      </x:c>
      <x:c r="E597" s="25" t="str">
        <x:v>$4.99</x:v>
      </x:c>
      <x:c r="F597" s="19" t="str">
        <x:v>1</x:v>
      </x:c>
    </x:row>
    <x:row r="598" ht="93" customHeight="1">
      <x:c r="A598" s="19" t="n">
        <x:v>595</x:v>
      </x:c>
      <x:c r="B598" s="22" t="e">
        <x:f>HYPERLINK("https://cdn.shopify.com/s/files/1/0918/6066/4603/files/O1CN014aaabY1CPwRBSADMb__2213196780074-0-cib.jpg?v=1777014887","Open")</x:f>
        <x:v>HYPERLINK is not implemented. linkLocation=https://cdn.shopify.com/s/files/1/0918/6066/4603/files/O1CN014aaabY1CPwRBSADMb__2213196780074-0-cib.jpg?v=1777014887, friendlyName=Open</x:v>
      </x:c>
      <x:c r="C598" s="24" t="e">
        <x:f>HYPERLINK("https://365nails.com/products/365nails-busy-bee-3d-bee-floral-embellished-striped-handmade-short-square-nails","365nails: ""Busy Bee"" – 3D Bee &amp; Floral Embellished Striped Handmade Short Square Nails")</x:f>
        <x:v>HYPERLINK is not implemented. linkLocation=https://365nails.com/products/365nails-busy-bee-3d-bee-floral-embellished-striped-handmade-short-square-nails, friendlyName=365nails: "Busy Bee" – 3D Bee &amp; Floral Embellished Striped Handmade Short Square Nails</x:v>
      </x:c>
      <x:c r="D598" s="18" t="str">
        <x:v>Color: 280-short duckbill; Color classification: Extra small size xs / Small s / Medium m / Large l</x:v>
      </x:c>
      <x:c r="E598" s="25" t="str">
        <x:v>$4.49</x:v>
      </x:c>
      <x:c r="F598" s="19" t="str">
        <x:v>1</x:v>
      </x:c>
    </x:row>
    <x:row r="599" ht="93" customHeight="1">
      <x:c r="A599" s="19" t="n">
        <x:v>596</x:v>
      </x:c>
      <x:c r="B599" s="22" t="e">
        <x:f>HYPERLINK("https://cdn.shopify.com/s/files/1/0918/6066/4603/files/O1CN01tcXgiP1CPwRK1iiDE__2213196780074-0-cib.jpg?v=1776937581","Open")</x:f>
        <x:v>HYPERLINK is not implemented. linkLocation=https://cdn.shopify.com/s/files/1/0918/6066/4603/files/O1CN01tcXgiP1CPwRK1iiDE__2213196780074-0-cib.jpg?v=1776937581, friendlyName=Open</x:v>
      </x:c>
      <x:c r="C599" s="24" t="e">
        <x:f>HYPERLINK("https://365nails.com/products/365nails-crystal-bloom-3d-floral-rhinestone-handmade-medium-almond-nails","365nails: ""Crystal Bloom"" – 3D Floral &amp; Rhinestone Handmade Medium Almond Nails")</x:f>
        <x:v>HYPERLINK is not implemented. linkLocation=https://365nails.com/products/365nails-crystal-bloom-3d-floral-rhinestone-handmade-medium-almond-nails, friendlyName=365nails: "Crystal Bloom" – 3D Floral &amp; Rhinestone Handmade Medium Almond Nails</x:v>
      </x:c>
      <x:c r="D599" s="18" t="str">
        <x:v>Color: K14-rectangular; Color classification: Extra small size xs / Small s / Medium m / Large l</x:v>
      </x:c>
      <x:c r="E599" s="25" t="str">
        <x:v>$4.99</x:v>
      </x:c>
      <x:c r="F599" s="19" t="str">
        <x:v>1</x:v>
      </x:c>
    </x:row>
    <x:row r="600" ht="93" customHeight="1">
      <x:c r="A600" s="19" t="n">
        <x:v>597</x:v>
      </x:c>
      <x:c r="B600" s="22" t="e">
        <x:f>HYPERLINK("https://cdn.shopify.com/s/files/1/0918/6066/4603/files/O1CN01aN30oX1CPwOTkvhbZ__2213196780074-0-cib.jpg?v=1776935709","Open")</x:f>
        <x:v>HYPERLINK is not implemented. linkLocation=https://cdn.shopify.com/s/files/1/0918/6066/4603/files/O1CN01aN30oX1CPwOTkvhbZ__2213196780074-0-cib.jpg?v=1776935709, friendlyName=Open</x:v>
      </x:c>
      <x:c r="C600" s="24" t="e">
        <x:f>HYPERLINK("https://365nails.com/products/365nails-heart-of-the-ocean-3d-gemstone-encrusted-handmade-stiletto-nails","365nails: ""Heart of the Ocean"" – 3D Gemstone Encrusted Handmade Stiletto Nails")</x:f>
        <x:v>HYPERLINK is not implemented. linkLocation=https://365nails.com/products/365nails-heart-of-the-ocean-3d-gemstone-encrusted-handmade-stiletto-nails, friendlyName=365nails: "Heart of the Ocean" – 3D Gemstone Encrusted Handmade Stiletto Nails</x:v>
      </x:c>
      <x:c r="D600" s="18" t="str">
        <x:v>Color: 2992-long water drop; Color classification: Xs / S / M / L</x:v>
      </x:c>
      <x:c r="E600" s="25" t="str">
        <x:v>$3.99</x:v>
      </x:c>
      <x:c r="F600" s="19" t="str">
        <x:v>1</x:v>
      </x:c>
    </x:row>
    <x:row r="601" ht="93" customHeight="1">
      <x:c r="A601" s="19" t="n">
        <x:v>598</x:v>
      </x:c>
      <x:c r="B601" s="22" t="e">
        <x:f>HYPERLINK("https://cdn.shopify.com/s/files/1/0918/6066/4603/files/O1CN01v6FhMf1CPwRBUvA9D__2213196780074-0-cib.jpg?v=1776937450","Open")</x:f>
        <x:v>HYPERLINK is not implemented. linkLocation=https://cdn.shopify.com/s/files/1/0918/6066/4603/files/O1CN01v6FhMf1CPwRBUvA9D__2213196780074-0-cib.jpg?v=1776937450, friendlyName=Open</x:v>
      </x:c>
      <x:c r="C601" s="24" t="e">
        <x:f>HYPERLINK("https://365nails.com/products/365nails-cherry-noir-3d-fruit-bow-handmade-medium-square-nails","365nails: ""Cherry Noir"" – 3D Fruit &amp; Bow Handmade Medium Square Nails")</x:f>
        <x:v>HYPERLINK is not implemented. linkLocation=https://365nails.com/products/365nails-cherry-noir-3d-fruit-bow-handmade-medium-square-nails, friendlyName=365nails: "Cherry Noir" – 3D Fruit &amp; Bow Handmade Medium Square Nails</x:v>
      </x:c>
      <x:c r="D601" s="18" t="str">
        <x:v>Color: 309-short duckbill; Color classification: Extra small size xs / Small s / Medium m / Large l</x:v>
      </x:c>
      <x:c r="E601" s="25" t="str">
        <x:v>$3.99</x:v>
      </x:c>
      <x:c r="F601" s="19" t="str">
        <x:v>1</x:v>
      </x:c>
    </x:row>
    <x:row r="602" ht="93" customHeight="1">
      <x:c r="A602" s="19" t="n">
        <x:v>599</x:v>
      </x:c>
      <x:c r="B602" s="22" t="e">
        <x:f>HYPERLINK("https://cdn.shopify.com/s/files/1/0918/6066/4603/files/O1CN0125CwYI1CPwQIdhic1__2213196780074-0-cib.jpg?v=1776936582","Open")</x:f>
        <x:v>HYPERLINK is not implemented. linkLocation=https://cdn.shopify.com/s/files/1/0918/6066/4603/files/O1CN0125CwYI1CPwQIdhic1__2213196780074-0-cib.jpg?v=1776936582, friendlyName=Open</x:v>
      </x:c>
      <x:c r="C602" s="24" t="e">
        <x:f>HYPERLINK("https://365nails.com/products/365nails-golden-fortune-chinese-new-year-handmade-short-square-nails","365nails: ""Golden Fortune"" – Chinese New Year Handmade Short Square Nails")</x:f>
        <x:v>HYPERLINK is not implemented. linkLocation=https://365nails.com/products/365nails-golden-fortune-chinese-new-year-handmade-short-square-nails, friendlyName=365nails: "Golden Fortune" – Chinese New Year Handmade Short Square Nails</x:v>
      </x:c>
      <x:c r="D602" s="18" t="str">
        <x:v>Color: 3422-super short ladder; Color classification: Extra small size xs / Small s / Medium m / Large l</x:v>
      </x:c>
      <x:c r="E602" s="25" t="str">
        <x:v>$3.49</x:v>
      </x:c>
      <x:c r="F602" s="19" t="str">
        <x:v>1</x:v>
      </x:c>
    </x:row>
    <x:row r="603" ht="93" customHeight="1">
      <x:c r="A603" s="19" t="n">
        <x:v>600</x:v>
      </x:c>
      <x:c r="B603" s="22" t="e">
        <x:f>HYPERLINK("https://cdn.shopify.com/s/files/1/0918/6066/4603/files/O1CN01AfBJwI1CPwPijZOeA__2213196780074-0-cib.jpg?v=1776936227","Open")</x:f>
        <x:v>HYPERLINK is not implemented. linkLocation=https://cdn.shopify.com/s/files/1/0918/6066/4603/files/O1CN01AfBJwI1CPwPijZOeA__2213196780074-0-cib.jpg?v=1776936227, friendlyName=Open</x:v>
      </x:c>
      <x:c r="C603" s="24" t="e">
        <x:f>HYPERLINK("https://365nails.com/products/365nails-crimson-blush-ombre-french-tip-handmade-short-almond-nails","365nails: ""Crimson Blush"" – Ombre French Tip Handmade Short Almond Nails")</x:f>
        <x:v>HYPERLINK is not implemented. linkLocation=https://365nails.com/products/365nails-crimson-blush-ombre-french-tip-handmade-short-almond-nails, friendlyName=365nails: "Crimson Blush" – Ombre French Tip Handmade Short Almond Nails</x:v>
      </x:c>
      <x:c r="D603" s="18" t="str">
        <x:v>Color: W376-short oval; Color classification: Extra small size xs / Small s / Medium m / Large l</x:v>
      </x:c>
      <x:c r="E603" s="25" t="str">
        <x:v>$2.49</x:v>
      </x:c>
      <x:c r="F603" s="19" t="str">
        <x:v>1</x:v>
      </x:c>
    </x:row>
    <x:row r="604" ht="93" customHeight="1">
      <x:c r="A604" s="19" t="n">
        <x:v>601</x:v>
      </x:c>
      <x:c r="B604" s="22" t="e">
        <x:f>HYPERLINK("https://cdn.shopify.com/s/files/1/0918/6066/4603/files/O1CN01t4YbTR1CPwPi6YvLh__2213196780074-0-cib.jpg?v=1776936102","Open")</x:f>
        <x:v>HYPERLINK is not implemented. linkLocation=https://cdn.shopify.com/s/files/1/0918/6066/4603/files/O1CN01t4YbTR1CPwPi6YvLh__2213196780074-0-cib.jpg?v=1776936102, friendlyName=Open</x:v>
      </x:c>
      <x:c r="C604" s="24" t="e">
        <x:f>HYPERLINK("https://365nails.com/products/365nails-frozen-elegance-3d-gemstone-silver-handmade-almond-nails","365nails: ""Frozen Elegance"" – 3D Gemstone &amp; Silver Handmade Almond Nails")</x:f>
        <x:v>HYPERLINK is not implemented. linkLocation=https://365nails.com/products/365nails-frozen-elegance-3d-gemstone-silver-handmade-almond-nails, friendlyName=365nails: "Frozen Elegance" – 3D Gemstone &amp; Silver Handmade Almond Nails</x:v>
      </x:c>
      <x:c r="D604" s="18" t="str">
        <x:v>Color: W434-long oval; Color classification: Extra small size xs / Small s / Medium m / Large l</x:v>
      </x:c>
      <x:c r="E604" s="25" t="str">
        <x:v>$2.99</x:v>
      </x:c>
      <x:c r="F604" s="19" t="str">
        <x:v>1</x:v>
      </x:c>
    </x:row>
    <x:row r="605" ht="93" customHeight="1">
      <x:c r="A605" s="19" t="n">
        <x:v>602</x:v>
      </x:c>
      <x:c r="B605" s="22" t="e">
        <x:f>HYPERLINK("https://cdn.shopify.com/s/files/1/0918/6066/4603/files/O1CN016eVZX21CPwMfJn6VB__2213196780074-0-cib.jpg?v=1776854064","Open")</x:f>
        <x:v>HYPERLINK is not implemented. linkLocation=https://cdn.shopify.com/s/files/1/0918/6066/4603/files/O1CN016eVZX21CPwMfJn6VB__2213196780074-0-cib.jpg?v=1776854064, friendlyName=Open</x:v>
      </x:c>
      <x:c r="C605" s="24" t="e">
        <x:f>HYPERLINK("https://365nails.com/products/365nails-champagne-cat-eye-3d-diamond-gold-chain-handmade-stiletto-nails","365nails: ""Champagne Cat-Eye"" – 3D Diamond &amp; Gold Chain Handmade Stiletto Nails")</x:f>
        <x:v>HYPERLINK is not implemented. linkLocation=https://365nails.com/products/365nails-champagne-cat-eye-3d-diamond-gold-chain-handmade-stiletto-nails, friendlyName=365nails: "Champagne Cat-Eye" – 3D Diamond &amp; Gold Chain Handmade Stiletto Nails</x:v>
      </x:c>
      <x:c r="D605" s="18" t="str">
        <x:v>Color: 1937-long water drop; Color classification: Xs / S / M / L</x:v>
      </x:c>
      <x:c r="E605" s="25" t="str">
        <x:v>$3.49</x:v>
      </x:c>
      <x:c r="F605" s="19" t="str">
        <x:v>1</x:v>
      </x:c>
    </x:row>
    <x:row r="606" ht="93" customHeight="1">
      <x:c r="A606" s="19" t="n">
        <x:v>603</x:v>
      </x:c>
      <x:c r="B606" s="22" t="e">
        <x:f>HYPERLINK("https://cdn.shopify.com/s/files/1/0918/6066/4603/files/O1CN01dmhPG31CPwMEUbgvj__2213196780074-0-cib.jpg?v=1776853985","Open")</x:f>
        <x:v>HYPERLINK is not implemented. linkLocation=https://cdn.shopify.com/s/files/1/0918/6066/4603/files/O1CN01dmhPG31CPwMEUbgvj__2213196780074-0-cib.jpg?v=1776853985, friendlyName=Open</x:v>
      </x:c>
      <x:c r="C606" s="24" t="e">
        <x:f>HYPERLINK("https://365nails.com/products/365nails-golden-bowknot-3d-ribbon-glitter-handmade-almond-nails","365nails: ""Golden Bowknot"" – 3D Ribbon &amp; Glitter Handmade Almond Nails")</x:f>
        <x:v>HYPERLINK is not implemented. linkLocation=https://365nails.com/products/365nails-golden-bowknot-3d-ribbon-glitter-handmade-almond-nails, friendlyName=365nails: "Golden Bowknot" – 3D Ribbon &amp; Glitter Handmade Almond Nails</x:v>
      </x:c>
      <x:c r="D606" s="18" t="str">
        <x:v>Color: 1117 - medium oval / 1244-long oval; Color classification: Xs / S / M / L</x:v>
      </x:c>
      <x:c r="E606" s="25" t="str">
        <x:v>$2.99</x:v>
      </x:c>
      <x:c r="F606" s="19" t="str">
        <x:v>1</x:v>
      </x:c>
    </x:row>
    <x:row r="607" ht="93" customHeight="1">
      <x:c r="A607" s="19" t="n">
        <x:v>604</x:v>
      </x:c>
      <x:c r="B607" s="22" t="e">
        <x:f>HYPERLINK("https://cdn.shopify.com/s/files/1/0918/6066/4603/files/O1CN01bhLgSY1CPwLYjjLPG__2213196780074-0-cib.jpg?v=1776853827","Open")</x:f>
        <x:v>HYPERLINK is not implemented. linkLocation=https://cdn.shopify.com/s/files/1/0918/6066/4603/files/O1CN01bhLgSY1CPwLYjjLPG__2213196780074-0-cib.jpg?v=1776853827, friendlyName=Open</x:v>
      </x:c>
      <x:c r="C607" s="24" t="e">
        <x:f>HYPERLINK("https://365nails.com/products/365nails-candy-gem-multi-color-diamond-glitter-handmade-short-square-nails","365nails: ""Candy Gem"" – Multi-Color Diamond &amp; Glitter Handmade Short Square Nails")</x:f>
        <x:v>HYPERLINK is not implemented. linkLocation=https://365nails.com/products/365nails-candy-gem-multi-color-diamond-glitter-handmade-short-square-nails, friendlyName=365nails: "Candy Gem" – Multi-Color Diamond &amp; Glitter Handmade Short Square Nails</x:v>
      </x:c>
      <x:c r="D607" s="18" t="str">
        <x:v>Color: 479-short ladder; Color classification: Extra small size xs / Small s / Medium m / Large l</x:v>
      </x:c>
      <x:c r="E607" s="25" t="str">
        <x:v>$3.49</x:v>
      </x:c>
      <x:c r="F607" s="19" t="str">
        <x:v>1</x:v>
      </x:c>
    </x:row>
    <x:row r="608" ht="93" customHeight="1">
      <x:c r="A608" s="19" t="n">
        <x:v>605</x:v>
      </x:c>
      <x:c r="B608" s="22" t="e">
        <x:f>HYPERLINK("https://cdn.shopify.com/s/files/1/0918/6066/4603/files/O1CN01JmO2MY1CPwJsKKq0N__2213196780074-0-cib.jpg?v=1776851087","Open")</x:f>
        <x:v>HYPERLINK is not implemented. linkLocation=https://cdn.shopify.com/s/files/1/0918/6066/4603/files/O1CN01JmO2MY1CPwJsKKq0N__2213196780074-0-cib.jpg?v=1776851087, friendlyName=Open</x:v>
      </x:c>
      <x:c r="C608" s="24" t="e">
        <x:f>HYPERLINK("https://365nails.com/products/365nails-copper-chic-metallic-cat-eye-argyle-print-handmade-short-square-nails","365nails: ""Copper Chic"" – Metallic Cat-Eye &amp; Argyle Print Handmade Short Square Nails")</x:f>
        <x:v>HYPERLINK is not implemented. linkLocation=https://365nails.com/products/365nails-copper-chic-metallic-cat-eye-argyle-print-handmade-short-square-nails, friendlyName=365nails: "Copper Chic" – Metallic Cat-Eye &amp; Argyle Print Handmade Short Square Nails</x:v>
      </x:c>
      <x:c r="D608" s="18" t="str">
        <x:v>Color: Extra small size xs / Small s / Medium m / Large l; Specification type: 2516 short square</x:v>
      </x:c>
      <x:c r="E608" s="25" t="str">
        <x:v>$3.49</x:v>
      </x:c>
      <x:c r="F608" s="19" t="str">
        <x:v>1</x:v>
      </x:c>
    </x:row>
    <x:row r="609" ht="93" customHeight="1">
      <x:c r="A609" s="19" t="n">
        <x:v>606</x:v>
      </x:c>
      <x:c r="B609" s="22" t="e">
        <x:f>HYPERLINK("https://cdn.shopify.com/s/files/1/0918/6066/4603/files/O1CN01Jq26661CPwJ46AhED__2213196780074-0-cib.jpg?v=1776938026","Open")</x:f>
        <x:v>HYPERLINK is not implemented. linkLocation=https://cdn.shopify.com/s/files/1/0918/6066/4603/files/O1CN01Jq26661CPwJ46AhED__2213196780074-0-cib.jpg?v=1776938026, friendlyName=Open</x:v>
      </x:c>
      <x:c r="C609" s="24" t="e">
        <x:f>HYPERLINK("https://365nails.com/products/365nails-gothic-opulence-3d-cross-chain-handmade-medium-coffin-nails","365nails: ""Gothic Opulence"" – 3D Cross &amp; Chain Handmade Medium Coffin Nails")</x:f>
        <x:v>HYPERLINK is not implemented. linkLocation=https://365nails.com/products/365nails-gothic-opulence-3d-cross-chain-handmade-medium-coffin-nails, friendlyName=365nails: "Gothic Opulence" – 3D Cross &amp; Chain Handmade Medium Coffin Nails</x:v>
      </x:c>
      <x:c r="D609" s="18" t="str">
        <x:v>Color: Extra small size xs / Small s / Medium m / Large l; Specification type: 2451-short ladder</x:v>
      </x:c>
      <x:c r="E609" s="25" t="str">
        <x:v>$3.49</x:v>
      </x:c>
      <x:c r="F609" s="19" t="str">
        <x:v>1</x:v>
      </x:c>
    </x:row>
    <x:row r="610" ht="93" customHeight="1">
      <x:c r="A610" s="19" t="n">
        <x:v>607</x:v>
      </x:c>
      <x:c r="B610" s="22" t="e">
        <x:f>HYPERLINK("https://cdn.shopify.com/s/files/1/0918/6066/4603/files/O1CN01zkvbAn1CPw6oiYdV1__2213196780074-0-cib.jpg?v=1776937652","Open")</x:f>
        <x:v>HYPERLINK is not implemented. linkLocation=https://cdn.shopify.com/s/files/1/0918/6066/4603/files/O1CN01zkvbAn1CPw6oiYdV1__2213196780074-0-cib.jpg?v=1776937652, friendlyName=Open</x:v>
      </x:c>
      <x:c r="C610" s="24" t="e">
        <x:f>HYPERLINK("https://365nails.com/products/365nails-ruby-kiss-3d-heart-rhinestone-handmade-medium-almond-nails","365nails: ""Ruby Kiss"" – 3D Heart &amp; Rhinestone Handmade Medium Almond Nails")</x:f>
        <x:v>HYPERLINK is not implemented. linkLocation=https://365nails.com/products/365nails-ruby-kiss-3d-heart-rhinestone-handmade-medium-almond-nails, friendlyName=365nails: "Ruby Kiss" – 3D Heart &amp; Rhinestone Handmade Medium Almond Nails</x:v>
      </x:c>
      <x:c r="D610" s="18" t="str">
        <x:v>Specification type: Extra small size xs [free tool bag] / Small size s [free tool kit] / Medium m [free tool kit] / Large l [free tool kit]</x:v>
      </x:c>
      <x:c r="E610" s="25" t="str">
        <x:v>$3.49</x:v>
      </x:c>
      <x:c r="F610" s="19" t="str">
        <x:v>1</x:v>
      </x:c>
    </x:row>
    <x:row r="611" ht="93" customHeight="1">
      <x:c r="A611" s="19" t="n">
        <x:v>608</x:v>
      </x:c>
      <x:c r="B611" s="22" t="e">
        <x:f>HYPERLINK("https://cdn.shopify.com/s/files/1/0918/6066/4603/files/O1CN01OXBCPx2Hxu3onYE7D__2214169509218-0-cib.jpg?v=1776936730","Open")</x:f>
        <x:v>HYPERLINK is not implemented. linkLocation=https://cdn.shopify.com/s/files/1/0918/6066/4603/files/O1CN01OXBCPx2Hxu3onYE7D__2214169509218-0-cib.jpg?v=1776936730, friendlyName=Open</x:v>
      </x:c>
      <x:c r="C611" s="24" t="e">
        <x:f>HYPERLINK("https://365nails.com/products/365nails-crimson-blossom-3d-floral-gold-leaf-handmade-medium-almond-nails","365nails: ""Crimson Blossom"" – 3D Floral &amp; Gold Leaf Handmade Medium Almond Nails")</x:f>
        <x:v>HYPERLINK is not implemented. linkLocation=https://365nails.com/products/365nails-crimson-blossom-3d-floral-gold-leaf-handmade-medium-almond-nails, friendlyName=365nails: "Crimson Blossom" – 3D Floral &amp; Gold Leaf Handmade Medium Almond Nails</x:v>
      </x:c>
      <x:c r="D611" s="18" t="str">
        <x:v>Color: 2923 - medium apricot kernels; Color classification: Extra small size xs / Small s / Medium m / Large l</x:v>
      </x:c>
      <x:c r="E611" s="25" t="str">
        <x:v>$3.99</x:v>
      </x:c>
      <x:c r="F611" s="19" t="str">
        <x:v>1</x:v>
      </x:c>
    </x:row>
    <x:row r="612" ht="93" customHeight="1">
      <x:c r="A612" s="19" t="n">
        <x:v>609</x:v>
      </x:c>
      <x:c r="B612" s="22" t="e">
        <x:f>HYPERLINK("https://cdn.shopify.com/s/files/1/0918/6066/4603/files/O1CN01izn4sh1CPwPkhtaGj__2213196780074-0-cib.jpg?v=1776936458","Open")</x:f>
        <x:v>HYPERLINK is not implemented. linkLocation=https://cdn.shopify.com/s/files/1/0918/6066/4603/files/O1CN01izn4sh1CPwPkhtaGj__2213196780074-0-cib.jpg?v=1776936458, friendlyName=Open</x:v>
      </x:c>
      <x:c r="C612" s="24" t="e">
        <x:f>HYPERLINK("https://365nails.com/products/365nails-amber-sunset-agate-marble-handmade-short-square-nails","365nails: ""Amber Sunset"" – Agate Marble Handmade Short Square Nails")</x:f>
        <x:v>HYPERLINK is not implemented. linkLocation=https://365nails.com/products/365nails-amber-sunset-agate-marble-handmade-short-square-nails, friendlyName=365nails: "Amber Sunset" – Agate Marble Handmade Short Square Nails</x:v>
      </x:c>
      <x:c r="D612" s="18" t="str">
        <x:v>Color: 1868-short oval; Color classification: Extra small size xs / Small s / Medium m / Large l</x:v>
      </x:c>
      <x:c r="E612" s="25" t="str">
        <x:v>$3.49</x:v>
      </x:c>
      <x:c r="F612" s="19" t="str">
        <x:v>1</x:v>
      </x:c>
    </x:row>
    <x:row r="613" ht="93" customHeight="1">
      <x:c r="A613" s="19" t="n">
        <x:v>610</x:v>
      </x:c>
      <x:c r="B613" s="22" t="e">
        <x:f>HYPERLINK("https://cdn.shopify.com/s/files/1/0918/6066/4603/files/O1CN01uUXncj1CPwOw5WWcf__2213196780074-0-cib.jpg?v=1776935975","Open")</x:f>
        <x:v>HYPERLINK is not implemented. linkLocation=https://cdn.shopify.com/s/files/1/0918/6066/4603/files/O1CN01uUXncj1CPwOw5WWcf__2213196780074-0-cib.jpg?v=1776935975, friendlyName=Open</x:v>
      </x:c>
      <x:c r="C613" s="24" t="e">
        <x:f>HYPERLINK("https://365nails.com/products/365nails-midnight-mocha-gold-leaf-gemstone-handmade-coffin-nails","365nails: ""Midnight Mocha"" – Gold Leaf &amp; Gemstone Handmade Coffin Nails")</x:f>
        <x:v>HYPERLINK is not implemented. linkLocation=https://365nails.com/products/365nails-midnight-mocha-gold-leaf-gemstone-handmade-coffin-nails, friendlyName=365nails: "Midnight Mocha" – Gold Leaf &amp; Gemstone Handmade Coffin Nails</x:v>
      </x:c>
      <x:c r="D613" s="18" t="str">
        <x:v>Color: 3198-long oval / 3200-extra long ladder / 3202 - (3.5 fine dog oval) / 3204 - fine point tip; Color classification: Xs / S / M / L</x:v>
      </x:c>
      <x:c r="E613" s="25" t="str">
        <x:v>$3.49</x:v>
      </x:c>
      <x:c r="F613" s="19" t="str">
        <x:v>1</x:v>
      </x:c>
    </x:row>
    <x:row r="614" ht="93" customHeight="1">
      <x:c r="A614" s="19" t="n">
        <x:v>611</x:v>
      </x:c>
      <x:c r="B614" s="22" t="e">
        <x:f>HYPERLINK("https://cdn.shopify.com/s/files/1/0918/6066/4603/files/O1CN01UHWezX1CPwOHd8OWt__2213196780074-0-cib.jpg?v=1776935573","Open")</x:f>
        <x:v>HYPERLINK is not implemented. linkLocation=https://cdn.shopify.com/s/files/1/0918/6066/4603/files/O1CN01UHWezX1CPwOHd8OWt__2213196780074-0-cib.jpg?v=1776935573, friendlyName=Open</x:v>
      </x:c>
      <x:c r="C614" s="24" t="e">
        <x:f>HYPERLINK("https://365nails.com/products/365nails-iridescent-aurora-hand-painted-ombre-cat-eye-handmade-press-on-nails-short-almond-nails","365nails: ""Iridescent Aurora"" – Hand-Painted Ombré Cat Eye Handmade Press on Nails Short Almond Nails")</x:f>
        <x:v>HYPERLINK is not implemented. linkLocation=https://365nails.com/products/365nails-iridescent-aurora-hand-painted-ombre-cat-eye-handmade-press-on-nails-short-almond-nails, friendlyName=365nails: "Iridescent Aurora" – Hand-Painted Ombré Cat Eye Handmade Press on Nails Short Almond Nails</x:v>
      </x:c>
      <x:c r="D614" s="18" t="str">
        <x:v>Color: 2996 - medium oval; Color classification: Xs / S / M / L</x:v>
      </x:c>
      <x:c r="E614" s="25" t="str">
        <x:v>$2.99</x:v>
      </x:c>
      <x:c r="F614" s="19" t="str">
        <x:v>1</x:v>
      </x:c>
    </x:row>
    <x:row r="615" ht="93" customHeight="1">
      <x:c r="A615" s="19" t="n">
        <x:v>612</x:v>
      </x:c>
      <x:c r="B615" s="22" t="e">
        <x:f>HYPERLINK("https://cdn.shopify.com/s/files/1/0918/6066/4603/files/O1CN01i9GuKR1CPwMxPE4Ho__2213196780074-0-cib.jpg?v=1776854157","Open")</x:f>
        <x:v>HYPERLINK is not implemented. linkLocation=https://cdn.shopify.com/s/files/1/0918/6066/4603/files/O1CN01i9GuKR1CPwMxPE4Ho__2213196780074-0-cib.jpg?v=1776854157, friendlyName=Open</x:v>
      </x:c>
      <x:c r="C615" s="24" t="e">
        <x:f>HYPERLINK("https://365nails.com/products/365nails-moonlight-sonata-silver-cat-eye-diamond-handmade-stiletto-nails","365nails: ""Moonlight Sonata"" – Silver Cat-Eye &amp; Diamond Handmade Stiletto Nails")</x:f>
        <x:v>HYPERLINK is not implemented. linkLocation=https://365nails.com/products/365nails-moonlight-sonata-silver-cat-eye-diamond-handmade-stiletto-nails, friendlyName=365nails: "Moonlight Sonata" – Silver Cat-Eye &amp; Diamond Handmade Stiletto Nails</x:v>
      </x:c>
      <x:c r="D615" s="18" t="str">
        <x:v>Color: 668-long oval; Color classification: Xs / S / M / L</x:v>
      </x:c>
      <x:c r="E615" s="25" t="str">
        <x:v>$3.99</x:v>
      </x:c>
      <x:c r="F615" s="19" t="str">
        <x:v>1</x:v>
      </x:c>
    </x:row>
    <x:row r="616" ht="93" customHeight="1">
      <x:c r="A616" s="19" t="n">
        <x:v>613</x:v>
      </x:c>
      <x:c r="B616" s="22" t="e">
        <x:f>HYPERLINK("https://cdn.shopify.com/s/files/1/0918/6066/4603/files/O1CN01yNAdeS1CPwJbGuqf0__2213196780074-0-cib.jpg?v=1776847428","Open")</x:f>
        <x:v>HYPERLINK is not implemented. linkLocation=https://cdn.shopify.com/s/files/1/0918/6066/4603/files/O1CN01yNAdeS1CPwJbGuqf0__2213196780074-0-cib.jpg?v=1776847428, friendlyName=Open</x:v>
      </x:c>
      <x:c r="C616" s="24" t="e">
        <x:f>HYPERLINK("https://365nails.com/products/365nails-electric-safari-multi-color-metallic-tiger-stripe-handmade-medium-square-nails","365nails: ""Electric Safari"" – Multi-Color Metallic Tiger Stripe Handmade Medium Square Nails")</x:f>
        <x:v>HYPERLINK is not implemented. linkLocation=https://365nails.com/products/365nails-electric-safari-multi-color-metallic-tiger-stripe-handmade-medium-square-nails, friendlyName=365nails: "Electric Safari" – Multi-Color Metallic Tiger Stripe Handmade Medium Square Nails</x:v>
      </x:c>
      <x:c r="D616" s="18" t="str">
        <x:v>Color: Extra small size xs / Small s / Medium m / Large l; Specification type: 173 short ladder</x:v>
      </x:c>
      <x:c r="E616" s="25" t="str">
        <x:v>$3.49</x:v>
      </x:c>
      <x:c r="F616" s="19" t="str">
        <x:v>1</x:v>
      </x:c>
    </x:row>
    <x:row r="617" ht="93" customHeight="1">
      <x:c r="A617" s="19" t="n">
        <x:v>614</x:v>
      </x:c>
      <x:c r="B617" s="22" t="e">
        <x:f>HYPERLINK("https://cdn.shopify.com/s/files/1/0918/6066/4603/files/O1CN01X6r28I1CPwLrJOMiC__2213196780074-0-cib_a1e7fdc3-fb58-41d4-a9aa-ce331b742baf.jpg?v=1776770904","Open")</x:f>
        <x:v>HYPERLINK is not implemented. linkLocation=https://cdn.shopify.com/s/files/1/0918/6066/4603/files/O1CN01X6r28I1CPwLrJOMiC__2213196780074-0-cib_a1e7fdc3-fb58-41d4-a9aa-ce331b742baf.jpg?v=1776770904, friendlyName=Open</x:v>
      </x:c>
      <x:c r="C617" s="24" t="e">
        <x:f>HYPERLINK("https://365nails.com/products/365nails-crimson-queen-3d-carved-full-cover-handmade-stiletto-nails","365nails: ""Crimson Queen"" – 3D Carved Full-Cover Handmade Stiletto Nails")</x:f>
        <x:v>HYPERLINK is not implemented. linkLocation=https://365nails.com/products/365nails-crimson-queen-3d-carved-full-cover-handmade-stiletto-nails, friendlyName=365nails: "Crimson Queen" – 3D Carved Full-Cover Handmade Stiletto Nails</x:v>
      </x:c>
      <x:c r="D617" s="18" t="str">
        <x:v>Color: 279-long water drop; Color classification: Xs / S / M / L</x:v>
      </x:c>
      <x:c r="E617" s="25" t="str">
        <x:v>$3.99</x:v>
      </x:c>
      <x:c r="F617" s="19" t="str">
        <x:v>1</x:v>
      </x:c>
    </x:row>
    <x:row r="618" ht="93" customHeight="1">
      <x:c r="A618" s="19" t="n">
        <x:v>615</x:v>
      </x:c>
      <x:c r="B618" s="22" t="e">
        <x:f>HYPERLINK("https://cdn.shopify.com/s/files/1/0918/6066/4603/files/O1CN01zKHrNz1CPwMxLfVC9__2213196780074-0-cib_29592698-483c-4b08-b4a1-b02859b3432b.jpg?v=1776849971","Open")</x:f>
        <x:v>HYPERLINK is not implemented. linkLocation=https://cdn.shopify.com/s/files/1/0918/6066/4603/files/O1CN01zKHrNz1CPwMxLfVC9__2213196780074-0-cib_29592698-483c-4b08-b4a1-b02859b3432b.jpg?v=1776849971, friendlyName=Open</x:v>
      </x:c>
      <x:c r="C618" s="24" t="e">
        <x:f>HYPERLINK("https://365nails.com/products/365nails-dreamy-starlight-3d-character-charm-handmade-medium-almond-nails","365nails: ""Dreamy Starlight"" – 3D Character &amp; Charm Handmade Medium Almond Nails")</x:f>
        <x:v>HYPERLINK is not implemented. linkLocation=https://365nails.com/products/365nails-dreamy-starlight-3d-character-charm-handmade-medium-almond-nails, friendlyName=365nails: "Dreamy Starlight" – 3D Character &amp; Charm Handmade Medium Almond Nails</x:v>
      </x:c>
      <x:c r="D618" s="18" t="str">
        <x:v>Color: 639 - medium almonds; Color classification: Xs / S / M / L</x:v>
      </x:c>
      <x:c r="E618" s="25" t="str">
        <x:v>$3.49</x:v>
      </x:c>
      <x:c r="F618" s="19" t="str">
        <x:v>1</x:v>
      </x:c>
    </x:row>
    <x:row r="619" ht="93" customHeight="1">
      <x:c r="A619" s="19" t="n">
        <x:v>616</x:v>
      </x:c>
      <x:c r="B619" s="22" t="e">
        <x:f>HYPERLINK("https://cdn.shopify.com/s/files/1/0918/6066/4603/files/O1CN011VFvto1CPwMACpI6v__2213196780074-0-cib_ac5ae446-3939-4c79-8e69-40b64ae17486.jpg?v=1776849730","Open")</x:f>
        <x:v>HYPERLINK is not implemented. linkLocation=https://cdn.shopify.com/s/files/1/0918/6066/4603/files/O1CN011VFvto1CPwMACpI6v__2213196780074-0-cib_ac5ae446-3939-4c79-8e69-40b64ae17486.jpg?v=1776849730, friendlyName=Open</x:v>
      </x:c>
      <x:c r="C619" s="24" t="e">
        <x:f>HYPERLINK("https://365nails.com/products/365nails-citrus-garden-3d-floral-butterfly-handmade-long-almond-nails","365nails: ""Citrus Garden"" – 3D Floral &amp; Butterfly Handmade Long Almond Nails")</x:f>
        <x:v>HYPERLINK is not implemented. linkLocation=https://365nails.com/products/365nails-citrus-garden-3d-floral-butterfly-handmade-long-almond-nails, friendlyName=365nails: "Citrus Garden" – 3D Floral &amp; Butterfly Handmade Long Almond Nails</x:v>
      </x:c>
      <x:c r="D619" s="18" t="str">
        <x:v>Color: 1582-long water drop; Color classification: Xs / S / M / L</x:v>
      </x:c>
      <x:c r="E619" s="25" t="str">
        <x:v>$4.49</x:v>
      </x:c>
      <x:c r="F619" s="19" t="str">
        <x:v>1</x:v>
      </x:c>
    </x:row>
    <x:row r="620" ht="93" customHeight="1">
      <x:c r="A620" s="19" t="n">
        <x:v>617</x:v>
      </x:c>
      <x:c r="B620" s="22" t="e">
        <x:f>HYPERLINK("https://cdn.shopify.com/s/files/1/0918/6066/4603/files/O1CN01yA9h7V1CPwFlPx3ix__2213196780074-0-cib.jpg?v=1776846447","Open")</x:f>
        <x:v>HYPERLINK is not implemented. linkLocation=https://cdn.shopify.com/s/files/1/0918/6066/4603/files/O1CN01yA9h7V1CPwFlPx3ix__2213196780074-0-cib.jpg?v=1776846447, friendlyName=Open</x:v>
      </x:c>
      <x:c r="C620" s="24" t="e">
        <x:f>HYPERLINK("https://365nails.com/products/365nails-peach-blossom-reverie-3d-floral-handmade-short-almond-nails","365nails: ""Peach Blossom Reverie"" – 3D Floral Handmade Short Almond Nails")</x:f>
        <x:v>HYPERLINK is not implemented. linkLocation=https://365nails.com/products/365nails-peach-blossom-reverie-3d-floral-handmade-short-almond-nails, friendlyName=365nails: "Peach Blossom Reverie" – 3D Floral Handmade Short Almond Nails</x:v>
      </x:c>
      <x:c r="D620" s="18" t="str">
        <x:v>Color: 1518 super short ladder / 1525 short ladder / 1531 middle ladder; Color classification: Extra small size xs / Small s / Medium m / Large l</x:v>
      </x:c>
      <x:c r="E620" s="25" t="str">
        <x:v>$3.49</x:v>
      </x:c>
      <x:c r="F620" s="19" t="str">
        <x:v>1</x:v>
      </x:c>
    </x:row>
    <x:row r="621" ht="93" customHeight="1">
      <x:c r="A621" s="19" t="n">
        <x:v>618</x:v>
      </x:c>
      <x:c r="B621" s="22" t="e">
        <x:f>HYPERLINK("https://cdn.shopify.com/s/files/1/0918/6066/4603/files/O1CN01nXDNWk1CPwG1Pp7mz__2213196780074-0-cib.jpg?v=1776740845","Open")</x:f>
        <x:v>HYPERLINK is not implemented. linkLocation=https://cdn.shopify.com/s/files/1/0918/6066/4603/files/O1CN01nXDNWk1CPwG1Pp7mz__2213196780074-0-cib.jpg?v=1776740845, friendlyName=Open</x:v>
      </x:c>
      <x:c r="C621" s="24" t="e">
        <x:f>HYPERLINK("https://365nails.com/products/365nails-cherry-cream-hand-painted-fruit-bow-french-tip-nails","365nails: ""Cherry Cream"" – Hand-Painted Fruit &amp; Bow French Tip Nails")</x:f>
        <x:v>HYPERLINK is not implemented. linkLocation=https://365nails.com/products/365nails-cherry-cream-hand-painted-fruit-bow-french-tip-nails, friendlyName=365nails: "Cherry Cream" – Hand-Painted Fruit &amp; Bow French Tip Nails</x:v>
      </x:c>
      <x:c r="D621" s="18" t="str">
        <x:v>Color: 1564 short square; Color classification: Extra small size xs / Small s / Medium m / Large l</x:v>
      </x:c>
      <x:c r="E621" s="25" t="str">
        <x:v>$3.49</x:v>
      </x:c>
      <x:c r="F621" s="19" t="str">
        <x:v>1</x:v>
      </x:c>
    </x:row>
    <x:row r="622" ht="93" customHeight="1">
      <x:c r="A622" s="19" t="n">
        <x:v>619</x:v>
      </x:c>
      <x:c r="B622" s="22" t="e">
        <x:f>HYPERLINK("https://cdn.shopify.com/s/files/1/0918/6066/4603/files/O1CN013j0BUK1CPwQJOnlu5__2213196780074-0-cib.jpg?v=1776852777","Open")</x:f>
        <x:v>HYPERLINK is not implemented. linkLocation=https://cdn.shopify.com/s/files/1/0918/6066/4603/files/O1CN013j0BUK1CPwQJOnlu5__2213196780074-0-cib.jpg?v=1776852777, friendlyName=Open</x:v>
      </x:c>
      <x:c r="C622" s="24" t="e">
        <x:f>HYPERLINK("https://365nails.com/products/365nails-amber-noir-3d-gem-french-tip-handmade-stiletto-nails","365nails: ""Amber Noir"" – 3D Gem &amp; French Tip Handmade Stiletto Nails")</x:f>
        <x:v>HYPERLINK is not implemented. linkLocation=https://365nails.com/products/365nails-amber-noir-3d-gem-french-tip-handmade-stiletto-nails, friendlyName=365nails: "Amber Noir" – 3D Gem &amp; French Tip Handmade Stiletto Nails</x:v>
      </x:c>
      <x:c r="D622" s="18" t="str">
        <x:v>Color: 3444-long oval / 3446-fine dog tip; Color classification: Extra small size xs / Small s / Medium m / Large l</x:v>
      </x:c>
      <x:c r="E622" s="25" t="str">
        <x:v>$3.49</x:v>
      </x:c>
      <x:c r="F622" s="19" t="str">
        <x:v>1</x:v>
      </x:c>
    </x:row>
    <x:row r="623" ht="93" customHeight="1">
      <x:c r="A623" s="19" t="n">
        <x:v>620</x:v>
      </x:c>
      <x:c r="B623" s="22" t="e">
        <x:f>HYPERLINK("https://cdn.shopify.com/s/files/1/0918/6066/4603/files/O1CN011pFJYH1CPwNldMGHG__2213196780074-0-cib.jpg?v=1776850143","Open")</x:f>
        <x:v>HYPERLINK is not implemented. linkLocation=https://cdn.shopify.com/s/files/1/0918/6066/4603/files/O1CN011pFJYH1CPwNldMGHG__2213196780074-0-cib.jpg?v=1776850143, friendlyName=Open</x:v>
      </x:c>
      <x:c r="C623" s="24" t="e">
        <x:f>HYPERLINK("https://365nails.com/products/365nails-blushing-diamond-iridescent-heart-rhinestone-handmade-medium-coffin-nails","365nails: ""Blushing Diamond"" – Iridescent Heart &amp; Rhinestone Handmade Medium Coffin Nails")</x:f>
        <x:v>HYPERLINK is not implemented. linkLocation=https://365nails.com/products/365nails-blushing-diamond-iridescent-heart-rhinestone-handmade-medium-coffin-nails, friendlyName=365nails: "Blushing Diamond" – Iridescent Heart &amp; Rhinestone Handmade Medium Coffin Nails</x:v>
      </x:c>
      <x:c r="D623" s="18" t="str">
        <x:v>Color: 2876-short ladder / 2857-middle ladder / 2855 - medium oval; Color classification: Xs / S / M / L</x:v>
      </x:c>
      <x:c r="E623" s="25" t="str">
        <x:v>$3.49</x:v>
      </x:c>
      <x:c r="F623" s="19" t="str">
        <x:v>1</x:v>
      </x:c>
    </x:row>
    <x:row r="624" ht="93" customHeight="1">
      <x:c r="A624" s="19" t="n">
        <x:v>621</x:v>
      </x:c>
      <x:c r="B624" s="22" t="e">
        <x:f>HYPERLINK("https://cdn.shopify.com/s/files/1/0918/6066/4603/files/O1CN01fU2Biv1CPwMy47F9i__2213196780074-0-cib_3d7c0814-8992-45ab-a3b0-2e10d4c17fb6.jpg?v=1776849899","Open")</x:f>
        <x:v>HYPERLINK is not implemented. linkLocation=https://cdn.shopify.com/s/files/1/0918/6066/4603/files/O1CN01fU2Biv1CPwMy47F9i__2213196780074-0-cib_3d7c0814-8992-45ab-a3b0-2e10d4c17fb6.jpg?v=1776849899, friendlyName=Open</x:v>
      </x:c>
      <x:c r="C624" s="24" t="e">
        <x:f>HYPERLINK("https://365nails.com/products/365nails-mystic-garden-3d-floral-abstract-art-handmade-long-stiletto-nails","365nails: ""Mystic Garden"" – 3D Floral &amp; Abstract Art Handmade Long Stiletto Nails")</x:f>
        <x:v>HYPERLINK is not implemented. linkLocation=https://365nails.com/products/365nails-mystic-garden-3d-floral-abstract-art-handmade-long-stiletto-nails, friendlyName=365nails: "Mystic Garden" – 3D Floral &amp; Abstract Art Handmade Long Stiletto Nails</x:v>
      </x:c>
      <x:c r="D624" s="18" t="str">
        <x:v>Color: 88-long water drop; Color classification: Xs / S / M / L</x:v>
      </x:c>
      <x:c r="E624" s="25" t="str">
        <x:v>$5.49</x:v>
      </x:c>
      <x:c r="F624" s="19" t="str">
        <x:v>1</x:v>
      </x:c>
    </x:row>
    <x:row r="625" ht="93" customHeight="1">
      <x:c r="A625" s="19" t="n">
        <x:v>622</x:v>
      </x:c>
      <x:c r="B625" s="22" t="e">
        <x:f>HYPERLINK("https://cdn.shopify.com/s/files/1/0918/6066/4603/files/O1CN01vLw0jz1CPwLcFAS2a__2213196780074-0-cib.jpg?v=1776818963","Open")</x:f>
        <x:v>HYPERLINK is not implemented. linkLocation=https://cdn.shopify.com/s/files/1/0918/6066/4603/files/O1CN01vLw0jz1CPwLcFAS2a__2213196780074-0-cib.jpg?v=1776818963, friendlyName=Open</x:v>
      </x:c>
      <x:c r="C625" s="24" t="e">
        <x:f>HYPERLINK("https://365nails.com/products/365nails-emerald-majesty-3d-gemstone-filigree-handmade-long-almond-nails","365nails: ""Emerald Majesty"" – 3D Gemstone &amp; Filigree Handmade Long Almond Nails")</x:f>
        <x:v>HYPERLINK is not implemented. linkLocation=https://365nails.com/products/365nails-emerald-majesty-3d-gemstone-filigree-handmade-long-almond-nails, friendlyName=365nails: "Emerald Majesty" – 3D Gemstone &amp; Filigree Handmade Long Almond Nails</x:v>
      </x:c>
      <x:c r="D625" s="18" t="str">
        <x:v>Color: A4-thin dog tip; Color classification: Xs / S / M / L</x:v>
      </x:c>
      <x:c r="E625" s="25" t="str">
        <x:v>$13.49</x:v>
      </x:c>
      <x:c r="F625" s="19" t="str">
        <x:v>1</x:v>
      </x:c>
    </x:row>
    <x:row r="626" ht="93" customHeight="1">
      <x:c r="A626" s="19" t="n">
        <x:v>623</x:v>
      </x:c>
      <x:c r="B626" s="22" t="e">
        <x:f>HYPERLINK("https://cdn.shopify.com/s/files/1/0918/6066/4603/files/O1CN01USQTzF1CPw8YjgKPy__2213196780074-0-cib_892a4cb6-5e10-449f-9f5e-ca9ce2494171.jpg?v=1776771977","Open")</x:f>
        <x:v>HYPERLINK is not implemented. linkLocation=https://cdn.shopify.com/s/files/1/0918/6066/4603/files/O1CN01USQTzF1CPw8YjgKPy__2213196780074-0-cib_892a4cb6-5e10-449f-9f5e-ca9ce2494171.jpg?v=1776771977, friendlyName=Open</x:v>
      </x:c>
      <x:c r="C626" s="24" t="e">
        <x:f>HYPERLINK("https://365nails.com/products/365nails-serpents-kiss-3d-snake-cracked-earth-handmade-coffin-nails","365nails: ""Serpent's Kiss"" – 3D Snake &amp; Cracked Earth Handmade Coffin Nails")</x:f>
        <x:v>HYPERLINK is not implemented. linkLocation=https://365nails.com/products/365nails-serpents-kiss-3d-snake-cracked-earth-handmade-coffin-nails, friendlyName=365nails: "Serpent's Kiss" – 3D Snake &amp; Cracked Earth Handmade Coffin Nails</x:v>
      </x:c>
      <x:c r="D626" s="18" t="str">
        <x:v>Color: Handmade; Color classification: Extra small size xs / Small size / Medium m / Large l</x:v>
      </x:c>
      <x:c r="E626" s="25" t="str">
        <x:v>$2.99</x:v>
      </x:c>
      <x:c r="F626" s="19" t="str">
        <x:v>1</x:v>
      </x:c>
    </x:row>
    <x:row r="627" ht="93" customHeight="1">
      <x:c r="A627" s="19" t="n">
        <x:v>624</x:v>
      </x:c>
      <x:c r="B627" s="22" t="e">
        <x:f>HYPERLINK("https://cdn.shopify.com/s/files/1/0918/6066/4603/files/O1CN01FpwveI1CPwREfXuAH__2213196780074-0-cib.jpg?v=1776852894","Open")</x:f>
        <x:v>HYPERLINK is not implemented. linkLocation=https://cdn.shopify.com/s/files/1/0918/6066/4603/files/O1CN01FpwveI1CPwREfXuAH__2213196780074-0-cib.jpg?v=1776852894, friendlyName=Open</x:v>
      </x:c>
      <x:c r="C627" s="24" t="e">
        <x:f>HYPERLINK("https://365nails.com/products/365nails-sweet-symphony-3d-bow-music-note-handmade-short-square-nails","365nails: ""Sweet Symphony"" – 3D Bow &amp; Music Note Handmade Short Square Nails")</x:f>
        <x:v>HYPERLINK is not implemented. linkLocation=https://365nails.com/products/365nails-sweet-symphony-3d-bow-music-note-handmade-short-square-nails, friendlyName=365nails: "Sweet Symphony" – 3D Bow &amp; Music Note Handmade Short Square Nails</x:v>
      </x:c>
      <x:c r="D627" s="18" t="str">
        <x:v>Color: K5-short duckbill; Color classification: Extra small size xs / Small s / Medium m / Large l</x:v>
      </x:c>
      <x:c r="E627" s="25" t="str">
        <x:v>$3.99</x:v>
      </x:c>
      <x:c r="F627" s="19" t="str">
        <x:v>1</x:v>
      </x:c>
    </x:row>
    <x:row r="628" ht="93" customHeight="1">
      <x:c r="A628" s="19" t="n">
        <x:v>625</x:v>
      </x:c>
      <x:c r="B628" s="22" t="e">
        <x:f>HYPERLINK("https://cdn.shopify.com/s/files/1/0918/6066/4603/files/O1CN01xOtWfk1CPwPch9PZc__2213196780074-0-cib.jpg?v=1776851299","Open")</x:f>
        <x:v>HYPERLINK is not implemented. linkLocation=https://cdn.shopify.com/s/files/1/0918/6066/4603/files/O1CN01xOtWfk1CPwPch9PZc__2213196780074-0-cib.jpg?v=1776851299, friendlyName=Open</x:v>
      </x:c>
      <x:c r="C628" s="24" t="e">
        <x:f>HYPERLINK("https://365nails.com/products/365nails-luxe-drop-crystal-rhinestone-chain-handmade-long-almond-nails","365nails: ""Luxe Drop"" – Crystal &amp; Rhinestone Chain Handmade Long Almond Nails")</x:f>
        <x:v>HYPERLINK is not implemented. linkLocation=https://365nails.com/products/365nails-luxe-drop-crystal-rhinestone-chain-handmade-long-almond-nails, friendlyName=365nails: "Luxe Drop" – Crystal &amp; Rhinestone Chain Handmade Long Almond Nails</x:v>
      </x:c>
      <x:c r="D628" s="18" t="str">
        <x:v>Color: W438 - fine point tip; Color classification: Extra small size xs / Small s / Medium m / Large l</x:v>
      </x:c>
      <x:c r="E628" s="25" t="str">
        <x:v>$2.99</x:v>
      </x:c>
      <x:c r="F628" s="19" t="str">
        <x:v>1</x:v>
      </x:c>
    </x:row>
    <x:row r="629" ht="93" customHeight="1">
      <x:c r="A629" s="19" t="n">
        <x:v>626</x:v>
      </x:c>
      <x:c r="B629" s="22" t="e">
        <x:f>HYPERLINK("https://cdn.shopify.com/s/files/1/0918/6066/4603/files/O1CN01vjM2AA1CPwKUIFbSD__2213196780074-0-cib.jpg?v=1776851153","Open")</x:f>
        <x:v>HYPERLINK is not implemented. linkLocation=https://cdn.shopify.com/s/files/1/0918/6066/4603/files/O1CN01vjM2AA1CPwKUIFbSD__2213196780074-0-cib.jpg?v=1776851153, friendlyName=Open</x:v>
      </x:c>
      <x:c r="C629" s="24" t="e">
        <x:f>HYPERLINK("https://365nails.com/products/365nails-crimson-pearl-3d-flower-french-tip-handmade-medium-almond-nails","365nails: ""Crimson Pearl"" – 3D Flower &amp; French Tip Handmade Medium Almond Nails")</x:f>
        <x:v>HYPERLINK is not implemented. linkLocation=https://365nails.com/products/365nails-crimson-pearl-3d-flower-french-tip-handmade-medium-almond-nails, friendlyName=365nails: "Crimson Pearl" – 3D Flower &amp; French Tip Handmade Medium Almond Nails</x:v>
      </x:c>
      <x:c r="D629" s="18" t="str">
        <x:v>Color: 2704 short ladder; Color classification: Extra small size xs / Small s / Medium m / Large l</x:v>
      </x:c>
      <x:c r="E629" s="25" t="str">
        <x:v>$2.99</x:v>
      </x:c>
      <x:c r="F629" s="19" t="str">
        <x:v>1</x:v>
      </x:c>
    </x:row>
    <x:row r="630" ht="93" customHeight="1">
      <x:c r="A630" s="19" t="n">
        <x:v>627</x:v>
      </x:c>
      <x:c r="B630" s="22" t="e">
        <x:f>HYPERLINK("https://cdn.shopify.com/s/files/1/0918/6066/4603/files/O1CN01GB7bgM1CPwM1yyYiL__2213196780074-0-cib_e4505f24-ab51-41ae-a090-752615757b97.jpg?v=1776849650","Open")</x:f>
        <x:v>HYPERLINK is not implemented. linkLocation=https://cdn.shopify.com/s/files/1/0918/6066/4603/files/O1CN01GB7bgM1CPwM1yyYiL__2213196780074-0-cib_e4505f24-ab51-41ae-a090-752615757b97.jpg?v=1776849650, friendlyName=Open</x:v>
      </x:c>
      <x:c r="C630" s="24" t="e">
        <x:f>HYPERLINK("https://365nails.com/products/365nails-gilded-bloom-3d-floral-glitter-ombre-handmade-medium-almond-nails","365nails: ""Gilded Bloom"" – 3D Floral &amp; Glitter Ombré Handmade Medium Almond Nails")</x:f>
        <x:v>HYPERLINK is not implemented. linkLocation=https://365nails.com/products/365nails-gilded-bloom-3d-floral-glitter-ombre-handmade-medium-almond-nails, friendlyName=365nails: "Gilded Bloom" – 3D Floral &amp; Glitter Ombré Handmade Medium Almond Nails</x:v>
      </x:c>
      <x:c r="D630" s="18" t="str">
        <x:v>Color: 373-short oval / 381 - medium oval; Color classification: Xs / S / M / L</x:v>
      </x:c>
      <x:c r="E630" s="25" t="str">
        <x:v>$3.49</x:v>
      </x:c>
      <x:c r="F630" s="19" t="str">
        <x:v>1</x:v>
      </x:c>
    </x:row>
    <x:row r="631" ht="93" customHeight="1">
      <x:c r="A631" s="19" t="n">
        <x:v>628</x:v>
      </x:c>
      <x:c r="B631" s="22" t="e">
        <x:f>HYPERLINK("https://cdn.shopify.com/s/files/1/0918/6066/4603/files/O1CN01VZnkT21CPwJsLbWD9__2213196780074-0-cib.jpg?v=1776847719","Open")</x:f>
        <x:v>HYPERLINK is not implemented. linkLocation=https://cdn.shopify.com/s/files/1/0918/6066/4603/files/O1CN01VZnkT21CPwJsLbWD9__2213196780074-0-cib.jpg?v=1776847719, friendlyName=Open</x:v>
      </x:c>
      <x:c r="C631" s="24" t="e">
        <x:f>HYPERLINK("https://365nails.com/products/365nails-chocolate-starlight-hand-painted-plaid-starburst-handmade-short-square-nails","365nails: ""Chocolate Starlight"" – Hand-Painted Plaid &amp; Starburst Handmade Short Square Nails")</x:f>
        <x:v>HYPERLINK is not implemented. linkLocation=https://365nails.com/products/365nails-chocolate-starlight-hand-painted-plaid-starburst-handmade-short-square-nails, friendlyName=365nails: "Chocolate Starlight" – Hand-Painted Plaid &amp; Starburst Handmade Short Square Nails</x:v>
      </x:c>
      <x:c r="D631" s="18" t="str">
        <x:v>Color: Extra small size xs / Small s / Medium m / Large l; Specification type: 2517 short square</x:v>
      </x:c>
      <x:c r="E631" s="25" t="str">
        <x:v>$3.49</x:v>
      </x:c>
      <x:c r="F631" s="19" t="str">
        <x:v>1</x:v>
      </x:c>
    </x:row>
    <x:row r="632" ht="93" customHeight="1">
      <x:c r="A632" s="19" t="n">
        <x:v>629</x:v>
      </x:c>
      <x:c r="B632" s="22" t="e">
        <x:f>HYPERLINK("https://cdn.shopify.com/s/files/1/0918/6066/4603/files/O1CN01HPTTsT1CPwPsN0jEv__2213196780074-0-cib.jpg?v=1776846358","Open")</x:f>
        <x:v>HYPERLINK is not implemented. linkLocation=https://cdn.shopify.com/s/files/1/0918/6066/4603/files/O1CN01HPTTsT1CPwPsN0jEv__2213196780074-0-cib.jpg?v=1776846358, friendlyName=Open</x:v>
      </x:c>
      <x:c r="C632" s="24" t="e">
        <x:f>HYPERLINK("https://365nails.com/products/365nails-starry-night-blue-gradient-glitter-glass-bead-cat-eye-handmade-short-square-nails","365nails: ""Starry Night Blue"" – Gradient Glitter Glass Bead Cat Eye Handmade Short Square Nails")</x:f>
        <x:v>HYPERLINK is not implemented. linkLocation=https://365nails.com/products/365nails-starry-night-blue-gradient-glitter-glass-bead-cat-eye-handmade-short-square-nails, friendlyName=365nails: "Starry Night Blue" – Gradient Glitter Glass Bead Cat Eye Handmade Short Square Nails</x:v>
      </x:c>
      <x:c r="D632" s="18" t="str">
        <x:v>Color: 1046 - medium oval; Color classification: Extra small size xs / Small s / Medium m / Large l</x:v>
      </x:c>
      <x:c r="E632" s="25" t="str">
        <x:v>$2.99</x:v>
      </x:c>
      <x:c r="F632" s="19" t="str">
        <x:v>1</x:v>
      </x:c>
    </x:row>
    <x:row r="633" ht="93" customHeight="1">
      <x:c r="A633" s="19" t="n">
        <x:v>630</x:v>
      </x:c>
      <x:c r="B633" s="22" t="e">
        <x:f>HYPERLINK("https://cdn.shopify.com/s/files/1/0918/6066/4603/files/O1CN01Cl6ZCa1CPwPpwua9e__2213196780074-0-cib.jpg?v=1776819132","Open")</x:f>
        <x:v>HYPERLINK is not implemented. linkLocation=https://cdn.shopify.com/s/files/1/0918/6066/4603/files/O1CN01Cl6ZCa1CPwPpwua9e__2213196780074-0-cib.jpg?v=1776819132, friendlyName=Open</x:v>
      </x:c>
      <x:c r="C633" s="24" t="e">
        <x:f>HYPERLINK("https://365nails.com/products/365nails-crimson-thorn-3d-rose-spiderweb-handmade-long-stiletto-nails","365nails: ""Crimson Thorn"" – 3D Rose &amp; Spiderweb Handmade Long Stiletto Nails")</x:f>
        <x:v>HYPERLINK is not implemented. linkLocation=https://365nails.com/products/365nails-crimson-thorn-3d-rose-spiderweb-handmade-long-stiletto-nails, friendlyName=365nails: "Crimson Thorn" – 3D Rose &amp; Spiderweb Handmade Long Stiletto Nails</x:v>
      </x:c>
      <x:c r="D633" s="18" t="str">
        <x:v>Color: Extra small size xs / Small s / Medium m / Large l; Specification type: 251-fine dog tip</x:v>
      </x:c>
      <x:c r="E633" s="25" t="str">
        <x:v>$4.49</x:v>
      </x:c>
      <x:c r="F633" s="19" t="str">
        <x:v>1</x:v>
      </x:c>
    </x:row>
    <x:row r="634" ht="93" customHeight="1">
      <x:c r="A634" s="19" t="n">
        <x:v>631</x:v>
      </x:c>
      <x:c r="B634" s="22" t="e">
        <x:f>HYPERLINK("https://cdn.shopify.com/s/files/1/0918/6066/4603/files/O1CN01Y95ZtR1CPwNjqoLKh__2213196780074-0-cib.jpg?v=1776764621","Open")</x:f>
        <x:v>HYPERLINK is not implemented. linkLocation=https://cdn.shopify.com/s/files/1/0918/6066/4603/files/O1CN01Y95ZtR1CPwNjqoLKh__2213196780074-0-cib.jpg?v=1776764621, friendlyName=Open</x:v>
      </x:c>
      <x:c r="C634" s="24" t="e">
        <x:f>HYPERLINK("https://365nails.com/products/365nails-champagne-luxe-k9-crystal-cat-eye-handmade-almond-nails","365nails: ""Champagne Luxe"" – K9 Crystal &amp; Cat Eye Handmade Almond Nails")</x:f>
        <x:v>HYPERLINK is not implemented. linkLocation=https://365nails.com/products/365nails-champagne-luxe-k9-crystal-cat-eye-handmade-almond-nails, friendlyName=365nails: "Champagne Luxe" – K9 Crystal &amp; Cat Eye Handmade Almond Nails</x:v>
      </x:c>
      <x:c r="D634" s="18" t="str">
        <x:v>Color: 363 - medium oval; Color classification: Xs / S / M / L</x:v>
      </x:c>
      <x:c r="E634" s="25" t="str">
        <x:v>$3.49</x:v>
      </x:c>
      <x:c r="F634" s="19" t="str">
        <x:v>1</x:v>
      </x:c>
    </x:row>
    <x:row r="635" ht="93" customHeight="1">
      <x:c r="A635" s="19" t="n">
        <x:v>632</x:v>
      </x:c>
      <x:c r="B635" s="22" t="e">
        <x:f>HYPERLINK("https://cdn.shopify.com/s/files/1/0918/6066/4603/files/O1CN01Fdqhfr1CPwPhdILPV__2213196780074-0-cib.jpg?v=1776646481","Open")</x:f>
        <x:v>HYPERLINK is not implemented. linkLocation=https://cdn.shopify.com/s/files/1/0918/6066/4603/files/O1CN01Fdqhfr1CPwPhdILPV__2213196780074-0-cib.jpg?v=1776646481, friendlyName=Open</x:v>
      </x:c>
      <x:c r="C635" s="24" t="e">
        <x:f>HYPERLINK("https://365nails.com/products/365nails-safari-chic-3d-floral-animal-print-handmade-stiletto-nails","365nails: ""Safari Chic"" – 3D Floral &amp; Animal Print Handmade Stiletto Nails")</x:f>
        <x:v>HYPERLINK is not implemented. linkLocation=https://365nails.com/products/365nails-safari-chic-3d-floral-animal-print-handmade-stiletto-nails, friendlyName=365nails: "Safari Chic" – 3D Floral &amp; Animal Print Handmade Stiletto Nails</x:v>
      </x:c>
      <x:c r="D635" s="18" t="str">
        <x:v>Color: W231-medium almond; Color classification: Extra small size xs / Small s / Medium m / Large l</x:v>
      </x:c>
      <x:c r="E635" s="25" t="str">
        <x:v>$2.49</x:v>
      </x:c>
      <x:c r="F635" s="19" t="str">
        <x:v>1</x:v>
      </x:c>
    </x:row>
    <x:row r="636" ht="93" customHeight="1">
      <x:c r="A636" s="19" t="n">
        <x:v>633</x:v>
      </x:c>
      <x:c r="B636" s="22" t="e">
        <x:f>HYPERLINK("https://cdn.shopify.com/s/files/1/0918/6066/4603/files/O1CN01IiE8HP2NGHu6OOiJj__4234819935-0-cib_93ad01ad-f12d-45a6-9975-1a0332f1b41c.jpg?v=1753431622","Open")</x:f>
        <x:v>HYPERLINK is not implemented. linkLocation=https://cdn.shopify.com/s/files/1/0918/6066/4603/files/O1CN01IiE8HP2NGHu6OOiJj__4234819935-0-cib_93ad01ad-f12d-45a6-9975-1a0332f1b41c.jpg?v=1753431622, friendlyName=Open</x:v>
      </x:c>
      <x:c r="C636" s="24" t="e">
        <x:f>HYPERLINK("https://365nails.com/products/factory-direct-sales-wearing-nail-aurora-solid-color-fake-nail-simple-nail-piece-cross-border-hot-selling-long-pointed-nail-piece-365nails","Factory direct sales press-on nails aurora solid color fake nail simple nail piece  hot-selling long-pointed nail piece｜365nails")</x:f>
        <x:v>HYPERLINK is not implemented. linkLocation=https://365nails.com/products/factory-direct-sales-wearing-nail-aurora-solid-color-fake-nail-simple-nail-piece-cross-border-hot-selling-long-pointed-nail-piece-365nails, friendlyName=Factory direct sales press-on nails aurora solid color fake nail simple nail piece  hot-selling long-pointed nail piece｜365nails</x:v>
      </x:c>
      <x:c r="D636" s="18" t="str">
        <x:v>color: DIY33</x:v>
      </x:c>
      <x:c r="E636" s="25" t="str">
        <x:v>$1.11</x:v>
      </x:c>
      <x:c r="F636" s="19" t="str">
        <x:v>1</x:v>
      </x:c>
    </x:row>
    <x:row r="637" ht="93" customHeight="1">
      <x:c r="A637" s="19" t="n">
        <x:v>634</x:v>
      </x:c>
      <x:c r="B637" s="22" t="e">
        <x:f>HYPERLINK("https://cdn.shopify.com/s/files/1/0918/6066/4603/files/O1CN01qcfqx52NGHpgOuTuj__4234819935-0-cib_d58a7049-e4c8-4318-9741-75ccf20440ee.jpg?v=1776676788","Open")</x:f>
        <x:v>HYPERLINK is not implemented. linkLocation=https://cdn.shopify.com/s/files/1/0918/6066/4603/files/O1CN01qcfqx52NGHpgOuTuj__4234819935-0-cib_d58a7049-e4c8-4318-9741-75ccf20440ee.jpg?v=1776676788, friendlyName=Open</x:v>
      </x:c>
      <x:c r="C637" s="24" t="e">
        <x:f>HYPERLINK("https://365nails.com/products/365nails-french-glitter-stripe-square-toenails-classic-press-on-toenails","365nails: ""French Glitter Stripe Square Toenails"" – Classic Press-on Toenails")</x:f>
        <x:v>HYPERLINK is not implemented. linkLocation=https://365nails.com/products/365nails-french-glitter-stripe-square-toenails-classic-press-on-toenails, friendlyName=365nails: "French Glitter Stripe Square Toenails" – Classic Press-on Toenails</x:v>
      </x:c>
      <x:c r="D637" s="18" t="str">
        <x:v>Color: Jp3212 [glue type] / Jp3212 [including wearing tool kit]</x:v>
      </x:c>
      <x:c r="E637" s="25" t="str">
        <x:v>$0.99</x:v>
      </x:c>
      <x:c r="F637" s="19" t="str">
        <x:v>1</x:v>
      </x:c>
    </x:row>
    <x:row r="638" ht="93" customHeight="1">
      <x:c r="A638" s="19" t="n">
        <x:v>635</x:v>
      </x:c>
      <x:c r="B638" s="22" t="e">
        <x:f>HYPERLINK("https://cdn.shopify.com/s/files/1/0918/6066/4603/files/O1CN01pspAKh1CPwNn4YLMG__2213196780074-0-cib.jpg?v=1776768820","Open")</x:f>
        <x:v>HYPERLINK is not implemented. linkLocation=https://cdn.shopify.com/s/files/1/0918/6066/4603/files/O1CN01pspAKh1CPwNn4YLMG__2213196780074-0-cib.jpg?v=1776768820, friendlyName=Open</x:v>
      </x:c>
      <x:c r="C638" s="24" t="e">
        <x:f>HYPERLINK("https://365nails.com/products/365nails-enchanted-bloom-hand-painted-floral-handmade-almond-nails","365nails: ""Enchanted Bloom"" – Hand-Painted Floral Handmade Almond Nails")</x:f>
        <x:v>HYPERLINK is not implemented. linkLocation=https://365nails.com/products/365nails-enchanted-bloom-hand-painted-floral-handmade-almond-nails, friendlyName=365nails: "Enchanted Bloom" – Hand-Painted Floral Handmade Almond Nails</x:v>
      </x:c>
      <x:c r="D638" s="18" t="str">
        <x:v>Color: 2905 - medium oval; Color classification: Xs / S / M / L</x:v>
      </x:c>
      <x:c r="E638" s="25" t="str">
        <x:v>$2.99</x:v>
      </x:c>
      <x:c r="F638" s="19" t="str">
        <x:v>1</x:v>
      </x:c>
    </x:row>
    <x:row r="639" ht="93" customHeight="1">
      <x:c r="A639" s="19" t="n">
        <x:v>636</x:v>
      </x:c>
      <x:c r="B639" s="22" t="e">
        <x:f>HYPERLINK("https://cdn.shopify.com/s/files/1/0918/6066/4603/files/O1CN01BgzfIW1qQvf3G1FbF__3917635491-0-cib.jpg?v=1753523315","Open")</x:f>
        <x:v>HYPERLINK is not implemented. linkLocation=https://cdn.shopify.com/s/files/1/0918/6066/4603/files/O1CN01BgzfIW1qQvf3G1FbF__3917635491-0-cib.jpg?v=1753523315, friendlyName=Open</x:v>
      </x:c>
      <x:c r="C639" s="24" t="e">
        <x:f>HYPERLINK("https://365nails.com/products/sweet-sister-french-pink-purple-glitter-press-on-toenails-model-wearing-nail-simple-corrugated-press-on-toenails-art-nail-piece-nails-365nails","Sweet sister French pink purple glitter Press-on toenails model press-on nails simple corrugated  Press-on toenails art nail piece nails｜365nails")</x:f>
        <x:v>HYPERLINK is not implemented. linkLocation=https://365nails.com/products/sweet-sister-french-pink-purple-glitter-press-on-toenails-model-wearing-nail-simple-corrugated-press-on-toenails-art-nail-piece-nails-365nails, friendlyName=Sweet sister French pink purple glitter Press-on toenails model press-on nails simple corrugated  Press-on toenails art nail piece nails｜365nails</x:v>
      </x:c>
      <x:c r="D639" s="18" t="str">
        <x:v>color: F112 glitter corrugated [glue model]</x:v>
      </x:c>
      <x:c r="E639" s="25" t="str">
        <x:v>$0.82</x:v>
      </x:c>
      <x:c r="F639" s="19" t="str">
        <x:v>1</x:v>
      </x:c>
    </x:row>
    <x:row r="640" ht="93" customHeight="1">
      <x:c r="A640" s="19" t="n">
        <x:v>637</x:v>
      </x:c>
      <x:c r="B640" s="22" t="e">
        <x:f>HYPERLINK("https://cdn.shopify.com/s/files/1/0918/6066/4603/files/O1CN01n8Bzzu1CPwNMLbRPd__2213196780074-0-cib.jpg?v=1776768739","Open")</x:f>
        <x:v>HYPERLINK is not implemented. linkLocation=https://cdn.shopify.com/s/files/1/0918/6066/4603/files/O1CN01n8Bzzu1CPwNMLbRPd__2213196780074-0-cib.jpg?v=1776768739, friendlyName=Open</x:v>
      </x:c>
      <x:c r="C640" s="24" t="e">
        <x:f>HYPERLINK("https://365nails.com/products/365nails-garden-party-3d-floral-bow-french-tip-handmade-almond-nails","365nails: ""Garden Party"" – 3D Floral Bow French Tip Handmade Almond Nails")</x:f>
        <x:v>HYPERLINK is not implemented. linkLocation=https://365nails.com/products/365nails-garden-party-3d-floral-bow-french-tip-handmade-almond-nails, friendlyName=365nails: "Garden Party" – 3D Floral Bow French Tip Handmade Almond Nails</x:v>
      </x:c>
      <x:c r="D640" s="18" t="str">
        <x:v>Color: 1555 - medium oval; Color classification: Xs / S / M / L</x:v>
      </x:c>
      <x:c r="E640" s="25" t="str">
        <x:v>$3.49</x:v>
      </x:c>
      <x:c r="F640" s="19" t="str">
        <x:v>1</x:v>
      </x:c>
    </x:row>
    <x:row r="641" ht="93" customHeight="1">
      <x:c r="A641" s="19" t="n">
        <x:v>638</x:v>
      </x:c>
      <x:c r="B641" s="22" t="e">
        <x:f>HYPERLINK("https://cdn.shopify.com/s/files/1/0918/6066/4603/files/O1CN01JgMld51CPwMF234kw__2213196780074-0-cib.jpg?v=1776602859","Open")</x:f>
        <x:v>HYPERLINK is not implemented. linkLocation=https://cdn.shopify.com/s/files/1/0918/6066/4603/files/O1CN01JgMld51CPwMF234kw__2213196780074-0-cib.jpg?v=1776602859, friendlyName=Open</x:v>
      </x:c>
      <x:c r="C641" s="24" t="e">
        <x:f>HYPERLINK("https://365nails.com/products/365nails-whispering-meadow-3d-floral-cat-eye-handmade-short-square-nails","365nails: ""Whispering Meadow"" – 3D Floral &amp; Cat Eye Handmade Short Square Nails")</x:f>
        <x:v>HYPERLINK is not implemented. linkLocation=https://365nails.com/products/365nails-whispering-meadow-3d-floral-cat-eye-handmade-short-square-nails, friendlyName=365nails: "Whispering Meadow" – 3D Floral &amp; Cat Eye Handmade Short Square Nails</x:v>
      </x:c>
      <x:c r="D641" s="18" t="str">
        <x:v>Color: 176-super short ladder; Color classification: Xs / S / M / L</x:v>
      </x:c>
      <x:c r="E641" s="25" t="str">
        <x:v>$3.49</x:v>
      </x:c>
      <x:c r="F641" s="19" t="str">
        <x:v>1</x:v>
      </x:c>
    </x:row>
    <x:row r="642" ht="93" customHeight="1">
      <x:c r="A642" s="19" t="n">
        <x:v>639</x:v>
      </x:c>
      <x:c r="B642" s="22" t="e">
        <x:f>HYPERLINK("https://cdn.shopify.com/s/files/1/0918/6066/4603/files/O1CN01jt91Mj1CPwLa0wyzs__2213196780074-0-cib_08510fca-4a34-40e7-b15c-0dd70f9a685a.jpg?v=1776601390","Open")</x:f>
        <x:v>HYPERLINK is not implemented. linkLocation=https://cdn.shopify.com/s/files/1/0918/6066/4603/files/O1CN01jt91Mj1CPwLa0wyzs__2213196780074-0-cib_08510fca-4a34-40e7-b15c-0dd70f9a685a.jpg?v=1776601390, friendlyName=Open</x:v>
      </x:c>
      <x:c r="C642" s="24" t="e">
        <x:f>HYPERLINK("https://365nails.com/products/365nails-midnight-obsidian-3d-crystal-silver-chain-handmade-stiletto-nails","365nails: ""Midnight Obsidian"" – 3D Crystal &amp; Silver Chain Handmade Stiletto Nails")</x:f>
        <x:v>HYPERLINK is not implemented. linkLocation=https://365nails.com/products/365nails-midnight-obsidian-3d-crystal-silver-chain-handmade-stiletto-nails, friendlyName=365nails: "Midnight Obsidian" – 3D Crystal &amp; Silver Chain Handmade Stiletto Nails</x:v>
      </x:c>
      <x:c r="D642" s="18" t="str">
        <x:v>Color: 676-long water drop; Color classification: Extra small size xs / Small s / Medium m / Large l</x:v>
      </x:c>
      <x:c r="E642" s="25" t="str">
        <x:v>$3.99</x:v>
      </x:c>
      <x:c r="F642" s="19" t="str">
        <x:v>1</x:v>
      </x:c>
    </x:row>
    <x:row r="643" ht="93" customHeight="1">
      <x:c r="A643" s="19" t="n">
        <x:v>640</x:v>
      </x:c>
      <x:c r="B643" s="22" t="e">
        <x:f>HYPERLINK("https://cdn.shopify.com/s/files/1/0918/6066/4603/files/O1CN01vCrXop1CPwPkMgcKm__2213196780074-0-cib.jpg?v=1776769760","Open")</x:f>
        <x:v>HYPERLINK is not implemented. linkLocation=https://cdn.shopify.com/s/files/1/0918/6066/4603/files/O1CN01vCrXop1CPwPkMgcKm__2213196780074-0-cib.jpg?v=1776769760, friendlyName=Open</x:v>
      </x:c>
      <x:c r="C643" s="24" t="e">
        <x:f>HYPERLINK("https://365nails.com/products/365nails-starlight-dots-retro-hand-painted-short-square-nails","365nails: ""Starlight Dots"" – Retro Hand-Painted Short Square Nails")</x:f>
        <x:v>HYPERLINK is not implemented. linkLocation=https://365nails.com/products/365nails-starlight-dots-retro-hand-painted-short-square-nails, friendlyName=365nails: "Starlight Dots" – Retro Hand-Painted Short Square Nails</x:v>
      </x:c>
      <x:c r="D643" s="18" t="str">
        <x:v>Color: 1583-short almond; Color classification: Extra small size xs / Small s / Medium m / Large l</x:v>
      </x:c>
      <x:c r="E643" s="25" t="str">
        <x:v>$3.49</x:v>
      </x:c>
      <x:c r="F643" s="19" t="str">
        <x:v>1</x:v>
      </x:c>
    </x:row>
    <x:row r="644" ht="93" customHeight="1">
      <x:c r="A644" s="19" t="n">
        <x:v>641</x:v>
      </x:c>
      <x:c r="B644" s="22" t="e">
        <x:f>HYPERLINK("https://cdn.shopify.com/s/files/1/0918/6066/4603/files/O1CN01zh5jeW1CPw4MZ4q4A__2213196780074-0-cib.jpg?v=1776740222","Open")</x:f>
        <x:v>HYPERLINK is not implemented. linkLocation=https://cdn.shopify.com/s/files/1/0918/6066/4603/files/O1CN01zh5jeW1CPw4MZ4q4A__2213196780074-0-cib.jpg?v=1776740222, friendlyName=Open</x:v>
      </x:c>
      <x:c r="C644" s="24" t="e">
        <x:f>HYPERLINK("https://365nails.com/products/365nails-sage-garden-3d-bow-floral-handmade-square-nails","365nails: ""Sage Garden"" – 3D Bow &amp; Floral Handmade Square Nails")</x:f>
        <x:v>HYPERLINK is not implemented. linkLocation=https://365nails.com/products/365nails-sage-garden-3d-bow-floral-handmade-square-nails, friendlyName=365nails: "Sage Garden" – 3D Bow &amp; Floral Handmade Square Nails</x:v>
      </x:c>
      <x:c r="D644" s="18" t="str">
        <x:v>Color: Extra small size xs [free tool kit] / Small size s [free tool kit] / Medium m [free tool kit] / Large l [free tool kit]; Specification type: Deer style</x:v>
      </x:c>
      <x:c r="E644" s="25" t="str">
        <x:v>$2.49</x:v>
      </x:c>
      <x:c r="F644" s="19" t="str">
        <x:v>1</x:v>
      </x:c>
    </x:row>
    <x:row r="645" ht="93" customHeight="1">
      <x:c r="A645" s="19" t="n">
        <x:v>642</x:v>
      </x:c>
      <x:c r="B645" s="22" t="e">
        <x:f>HYPERLINK("https://cdn.shopify.com/s/files/1/0918/6066/4603/files/O1CN017NZzyb1CPwOWnCutt__2213196780074-0-cib.jpg?v=1776646345","Open")</x:f>
        <x:v>HYPERLINK is not implemented. linkLocation=https://cdn.shopify.com/s/files/1/0918/6066/4603/files/O1CN017NZzyb1CPwOWnCutt__2213196780074-0-cib.jpg?v=1776646345, friendlyName=Open</x:v>
      </x:c>
      <x:c r="C645" s="24" t="e">
        <x:f>HYPERLINK("https://365nails.com/products/365nails-lilac-mist-3d-pearl-vine-handmade-short-coffin-nails","365nails: ""Lilac Mist"" – 3D Pearl Vine Handmade Short Coffin Nails")</x:f>
        <x:v>HYPERLINK is not implemented. linkLocation=https://365nails.com/products/365nails-lilac-mist-3d-pearl-vine-handmade-short-coffin-nails, friendlyName=365nails: "Lilac Mist" – 3D Pearl Vine Handmade Short Coffin Nails</x:v>
      </x:c>
      <x:c r="D645" s="18" t="str">
        <x:v>Color: 3049-super short ladder; Color classification: Xs / S / M / L</x:v>
      </x:c>
      <x:c r="E645" s="25" t="str">
        <x:v>$2.99</x:v>
      </x:c>
      <x:c r="F645" s="19" t="str">
        <x:v>1</x:v>
      </x:c>
    </x:row>
    <x:row r="646" ht="93" customHeight="1">
      <x:c r="A646" s="19" t="n">
        <x:v>643</x:v>
      </x:c>
      <x:c r="B646" s="22" t="e">
        <x:f>HYPERLINK("https://cdn.shopify.com/s/files/1/0918/6066/4603/files/O1CN01ytjQk21CPwKTMlZI6__2213196780074-0-cib.jpg?v=1776599138","Open")</x:f>
        <x:v>HYPERLINK is not implemented. linkLocation=https://cdn.shopify.com/s/files/1/0918/6066/4603/files/O1CN01ytjQk21CPwKTMlZI6__2213196780074-0-cib.jpg?v=1776599138, friendlyName=Open</x:v>
      </x:c>
      <x:c r="C646" s="24" t="e">
        <x:f>HYPERLINK("https://365nails.com/products/365nails-amethyst-dreams-magnetic-cat-eye-chunky-glitter-handmade-short-almond-nails","365nails: ""Amethyst Dreams"" – Magnetic Cat-Eye &amp; Chunky Glitter Handmade Short Almond Nails")</x:f>
        <x:v>HYPERLINK is not implemented. linkLocation=https://365nails.com/products/365nails-amethyst-dreams-magnetic-cat-eye-chunky-glitter-handmade-short-almond-nails, friendlyName=365nails: "Amethyst Dreams" – Magnetic Cat-Eye &amp; Chunky Glitter Handmade Short Almond Nails</x:v>
      </x:c>
      <x:c r="D646" s="18" t="str">
        <x:v>Color: Extra small size xs / Small s / Medium m / Large l; Specification type: 2726-super short ladder</x:v>
      </x:c>
      <x:c r="E646" s="25" t="str">
        <x:v>$3.49</x:v>
      </x:c>
      <x:c r="F646" s="19" t="str">
        <x:v>1</x:v>
      </x:c>
    </x:row>
    <x:row r="647" ht="93" customHeight="1">
      <x:c r="A647" s="19" t="n">
        <x:v>644</x:v>
      </x:c>
      <x:c r="B647" s="22" t="e">
        <x:f>HYPERLINK("https://cdn.shopify.com/s/files/1/0918/6066/4603/files/O1CN01HLFHM21CPwP7s7FN3__2213196780074-0-cib.jpg?v=1776765342","Open")</x:f>
        <x:v>HYPERLINK is not implemented. linkLocation=https://cdn.shopify.com/s/files/1/0918/6066/4603/files/O1CN01HLFHM21CPwP7s7FN3__2213196780074-0-cib.jpg?v=1776765342, friendlyName=Open</x:v>
      </x:c>
      <x:c r="C647" s="24" t="e">
        <x:f>HYPERLINK("https://365nails.com/products/365nails-gilded-noir-3d-gold-leaf-french-handmade-almond-nails","365nails: ""Gilded Noir"" – 3D Gold Leaf French Handmade Almond Nails")</x:f>
        <x:v>HYPERLINK is not implemented. linkLocation=https://365nails.com/products/365nails-gilded-noir-3d-gold-leaf-french-handmade-almond-nails, friendlyName=365nails: "Gilded Noir" – 3D Gold Leaf French Handmade Almond Nails</x:v>
      </x:c>
      <x:c r="D647" s="18" t="str">
        <x:v>Color: 2757-long oval; Color classification: Xs / S / M / L</x:v>
      </x:c>
      <x:c r="E647" s="25" t="str">
        <x:v>$3.99</x:v>
      </x:c>
      <x:c r="F647" s="19" t="str">
        <x:v>1</x:v>
      </x:c>
    </x:row>
    <x:row r="648" ht="93" customHeight="1">
      <x:c r="A648" s="19" t="n">
        <x:v>645</x:v>
      </x:c>
      <x:c r="B648" s="22" t="e">
        <x:f>HYPERLINK("https://cdn.shopify.com/s/files/1/0918/6066/4603/files/O1CN014sfwya1CPwMGzcQLp__2213196780074-0-cib.jpg?v=1776764218","Open")</x:f>
        <x:v>HYPERLINK is not implemented. linkLocation=https://cdn.shopify.com/s/files/1/0918/6066/4603/files/O1CN014sfwya1CPwMGzcQLp__2213196780074-0-cib.jpg?v=1776764218, friendlyName=Open</x:v>
      </x:c>
      <x:c r="C648" s="24" t="e">
        <x:f>HYPERLINK("https://365nails.com/products/365nails-amber-twilight-iridescent-cat-eye-shell-art-handmade-square-nails","365nails: ""Amber Twilight"" – Iridescent Cat Eye &amp; Shell Art Handmade Square Nails")</x:f>
        <x:v>HYPERLINK is not implemented. linkLocation=https://365nails.com/products/365nails-amber-twilight-iridescent-cat-eye-shell-art-handmade-square-nails, friendlyName=365nails: "Amber Twilight" – Iridescent Cat Eye &amp; Shell Art Handmade Square Nails</x:v>
      </x:c>
      <x:c r="D648" s="18" t="str">
        <x:v>Color: 290-super short ladder / 301-new china; Color classification: Xs / S / M / L</x:v>
      </x:c>
      <x:c r="E648" s="25" t="str">
        <x:v>$3.49</x:v>
      </x:c>
      <x:c r="F648" s="19" t="str">
        <x:v>1</x:v>
      </x:c>
    </x:row>
    <x:row r="649" ht="93" customHeight="1">
      <x:c r="A649" s="19" t="n">
        <x:v>646</x:v>
      </x:c>
      <x:c r="B649" s="22" t="e">
        <x:f>HYPERLINK("https://cdn.shopify.com/s/files/1/0918/6066/4603/files/O1CN01dRS24G1CPwPlnRZax__2213196780074-0-cib.jpg?v=1776515435","Open")</x:f>
        <x:v>HYPERLINK is not implemented. linkLocation=https://cdn.shopify.com/s/files/1/0918/6066/4603/files/O1CN01dRS24G1CPwPlnRZax__2213196780074-0-cib.jpg?v=1776515435, friendlyName=Open</x:v>
      </x:c>
      <x:c r="C649" s="24" t="e">
        <x:f>HYPERLINK("https://365nails.com/products/365nails-sakura-blush-3d-floral-french-tip-handmade-almond-nails","365nails: ""Sakura Blush"" – 3D Floral French Tip Handmade Almond Nails")</x:f>
        <x:v>HYPERLINK is not implemented. linkLocation=https://365nails.com/products/365nails-sakura-blush-3d-floral-french-tip-handmade-almond-nails, friendlyName=365nails: "Sakura Blush" – 3D Floral French Tip Handmade Almond Nails</x:v>
      </x:c>
      <x:c r="D649" s="18" t="str">
        <x:v>Color: Extra small size xs / Small s / Medium m / Large l; Specification type: 790-medium almond</x:v>
      </x:c>
      <x:c r="E649" s="25" t="str">
        <x:v>$2.99</x:v>
      </x:c>
      <x:c r="F649" s="19" t="str">
        <x:v>1</x:v>
      </x:c>
    </x:row>
    <x:row r="650" ht="93" customHeight="1">
      <x:c r="A650" s="19" t="n">
        <x:v>647</x:v>
      </x:c>
      <x:c r="B650" s="22" t="e">
        <x:f>HYPERLINK("https://cdn.shopify.com/s/files/1/0918/6066/4603/files/O1CN01fjlljg1CPwNyKuJJI__2213196780074-0-cib.jpg?v=1776330118","Open")</x:f>
        <x:v>HYPERLINK is not implemented. linkLocation=https://cdn.shopify.com/s/files/1/0918/6066/4603/files/O1CN01fjlljg1CPwNyKuJJI__2213196780074-0-cib.jpg?v=1776330118, friendlyName=Open</x:v>
      </x:c>
      <x:c r="C650" s="24" t="e">
        <x:f>HYPERLINK("https://365nails.com/products/365nails-gentle-breeze-3d-floral-abstract-handmade-medium-almond-nails","365nails: ""Gentle Breeze"" – 3D Floral &amp; Abstract Handmade Medium Almond Nails")</x:f>
        <x:v>HYPERLINK is not implemented. linkLocation=https://365nails.com/products/365nails-gentle-breeze-3d-floral-abstract-handmade-medium-almond-nails, friendlyName=365nails: "Gentle Breeze" – 3D Floral &amp; Abstract Handmade Medium Almond Nails</x:v>
      </x:c>
      <x:c r="D650" s="18" t="str">
        <x:v>Color: 2940-short oval; Color classification: Xs / S / M / L</x:v>
      </x:c>
      <x:c r="E650" s="25" t="str">
        <x:v>$3.49</x:v>
      </x:c>
      <x:c r="F650" s="19" t="str">
        <x:v>1</x:v>
      </x:c>
    </x:row>
    <x:row r="651" ht="93" customHeight="1">
      <x:c r="A651" s="19" t="n">
        <x:v>648</x:v>
      </x:c>
      <x:c r="B651" s="22" t="e">
        <x:f>HYPERLINK("https://cdn.shopify.com/s/files/1/0918/6066/4603/files/O1CN01fjzeB42ABd0Taz0M4__2218458308165-0-cib.jpg?v=1776154206","Open")</x:f>
        <x:v>HYPERLINK is not implemented. linkLocation=https://cdn.shopify.com/s/files/1/0918/6066/4603/files/O1CN01fjzeB42ABd0Taz0M4__2218458308165-0-cib.jpg?v=1776154206, friendlyName=Open</x:v>
      </x:c>
      <x:c r="C651" s="24" t="e">
        <x:f>HYPERLINK("https://365nails.com/products/%E6%AC%A7%E7%BE%8E%E7%A9%BF%E6%88%B4%E7%94%B2%E7%BE%8E%E5%9B%BD%E7%8B%AC%E7%AB%8B%E6%97%A5%E6%B0%B4%E6%BB%B4%E6%9D%8F%E4%BB%81%E7%94%B2%E8%93%9D%E7%BA%A2%E7%99%BD%E5%AD%97%E6%AF%8D%E7%88%B1%E5%BF%83%E6%B3%A2%E7%82%B9%E8%B7%A8%E5%A2%83%E5%81%87%E6%8C%87%E7%94%B2%E7%89%87","365nails: ""I Love USA""")</x:f>
        <x:v>HYPERLINK is not implemented. linkLocation=https://365nails.com/products/%E6%AC%A7%E7%BE%8E%E7%A9%BF%E6%88%B4%E7%94%B2%E7%BE%8E%E5%9B%BD%E7%8B%AC%E7%AB%8B%E6%97%A5%E6%B0%B4%E6%BB%B4%E6%9D%8F%E4%BB%81%E7%94%B2%E8%93%9D%E7%BA%A2%E7%99%BD%E5%AD%97%E6%AF%8D%E7%88%B1%E5%BF%83%E6%B3%A2%E7%82%B9%E8%B7%A8%E5%A2%83%E5%81%87%E6%8C%87%E7%94%B2%E7%89%87, friendlyName=365nails: "I Love USA"</x:v>
      </x:c>
      <x:c r="D651" s="18" t="str">
        <x:v>Color: Jml521 (without tools) / Jml521 (glue type) / Jml521 (jelly glue rubbing strip)</x:v>
      </x:c>
      <x:c r="E651" s="25" t="str">
        <x:v>$0.99</x:v>
      </x:c>
      <x:c r="F651" s="19" t="str">
        <x:v>3</x:v>
      </x:c>
    </x:row>
    <x:row r="652" ht="93" customHeight="1">
      <x:c r="A652" s="19" t="n">
        <x:v>649</x:v>
      </x:c>
      <x:c r="B652" s="22" t="e">
        <x:f>HYPERLINK("https://cdn.shopify.com/s/files/1/0918/6066/4603/files/O1CN01Q5GLay1CPwMTT0gdT__2213196780074-0-cib.jpg?v=1776764292","Open")</x:f>
        <x:v>HYPERLINK is not implemented. linkLocation=https://cdn.shopify.com/s/files/1/0918/6066/4603/files/O1CN01Q5GLay1CPwMTT0gdT__2213196780074-0-cib.jpg?v=1776764292, friendlyName=Open</x:v>
      </x:c>
      <x:c r="C652" s="24" t="e">
        <x:f>HYPERLINK("https://365nails.com/products/365nails-vintage-rose-hand-painted-floral-french-tip-handmade-almond-nails","365nails: ""Vintage Rose"" – Hand-Painted Floral French Tip Handmade Almond Nails")</x:f>
        <x:v>HYPERLINK is not implemented. linkLocation=https://365nails.com/products/365nails-vintage-rose-hand-painted-floral-french-tip-handmade-almond-nails, friendlyName=365nails: "Vintage Rose" – Hand-Painted Floral French Tip Handmade Almond Nails</x:v>
      </x:c>
      <x:c r="D652" s="18" t="str">
        <x:v>Color: 270-short oval; Color classification: Xs / S / M / L</x:v>
      </x:c>
      <x:c r="E652" s="25" t="str">
        <x:v>$3.49</x:v>
      </x:c>
      <x:c r="F652" s="19" t="str">
        <x:v>1</x:v>
      </x:c>
    </x:row>
    <x:row r="653" ht="93" customHeight="1">
      <x:c r="A653" s="19" t="n">
        <x:v>650</x:v>
      </x:c>
      <x:c r="B653" s="22" t="e">
        <x:f>HYPERLINK("https://cdn.shopify.com/s/files/1/0918/6066/4603/files/O1CN01DQL1IJ1CPwPrgpMUc__2213196780074-0-cib.jpg?v=1776514080","Open")</x:f>
        <x:v>HYPERLINK is not implemented. linkLocation=https://cdn.shopify.com/s/files/1/0918/6066/4603/files/O1CN01DQL1IJ1CPwPrgpMUc__2213196780074-0-cib.jpg?v=1776514080, friendlyName=Open</x:v>
      </x:c>
      <x:c r="C653" s="24" t="e">
        <x:f>HYPERLINK("https://365nails.com/products/365nails-cherry-bow-3d-leopard-print-fruit-handmade-almond-nails","365nails: ""Cherry Bow"" – 3D Leopard Print &amp; Fruit Handmade Almond Nails")</x:f>
        <x:v>HYPERLINK is not implemented. linkLocation=https://365nails.com/products/365nails-cherry-bow-3d-leopard-print-fruit-handmade-almond-nails, friendlyName=365nails: "Cherry Bow" – 3D Leopard Print &amp; Fruit Handmade Almond Nails</x:v>
      </x:c>
      <x:c r="D653" s="18" t="str">
        <x:v>Color: Xs / S / M / L; Specification type: 288-medium almond</x:v>
      </x:c>
      <x:c r="E653" s="25" t="str">
        <x:v>$3.49</x:v>
      </x:c>
      <x:c r="F653" s="19" t="str">
        <x:v>1</x:v>
      </x:c>
    </x:row>
    <x:row r="654" ht="93" customHeight="1">
      <x:c r="A654" s="19" t="n">
        <x:v>651</x:v>
      </x:c>
      <x:c r="B654" s="22" t="e">
        <x:f>HYPERLINK("https://cdn.shopify.com/s/files/1/0918/6066/4603/files/O1CN013Aj8Vd2NGHurkaeMJ__4234819935-0-cib.jpg?v=1753431887","Open")</x:f>
        <x:v>HYPERLINK is not implemented. linkLocation=https://cdn.shopify.com/s/files/1/0918/6066/4603/files/O1CN013Aj8Vd2NGHurkaeMJ__4234819935-0-cib.jpg?v=1753431887, friendlyName=Open</x:v>
      </x:c>
      <x:c r="C654" s="24" t="e">
        <x:f>HYPERLINK("https://365nails.com/products/elegant-and-gentle-wearing-nail-three-dimensional-pearl-diamond-nail-patch-removable-nail-3d-flower-fake-nail-wholesale-365nails","Elegant and gentle press-on nails three-dimensional pearl diamond nail patch removable nail 3D flower fake nail wholesale｜365nails")</x:f>
        <x:v>HYPERLINK is not implemented. linkLocation=https://365nails.com/products/elegant-and-gentle-wearing-nail-three-dimensional-pearl-diamond-nail-patch-removable-nail-3d-flower-fake-nail-wholesale-365nails, friendlyName=Elegant and gentle press-on nails three-dimensional pearl diamond nail patch removable nail 3D flower fake nail wholesale｜365nails</x:v>
      </x:c>
      <x:c r="D654" s="18" t="str">
        <x:v>color: JP3520</x:v>
      </x:c>
      <x:c r="E654" s="25" t="str">
        <x:v>$1.90</x:v>
      </x:c>
      <x:c r="F654" s="19" t="str">
        <x:v>1</x:v>
      </x:c>
    </x:row>
    <x:row r="655" ht="93" customHeight="1">
      <x:c r="A655" s="19" t="n">
        <x:v>652</x:v>
      </x:c>
      <x:c r="B655" s="22" t="e">
        <x:f>HYPERLINK("https://cdn.shopify.com/s/files/1/0918/6066/4603/files/O1CN01NQO0qV1CPwMQQ93XM__2213196780074-0-cib.jpg?v=1776772514","Open")</x:f>
        <x:v>HYPERLINK is not implemented. linkLocation=https://cdn.shopify.com/s/files/1/0918/6066/4603/files/O1CN01NQO0qV1CPwMQQ93XM__2213196780074-0-cib.jpg?v=1776772514, friendlyName=Open</x:v>
      </x:c>
      <x:c r="C655" s="24" t="e">
        <x:f>HYPERLINK("https://365nails.com/products/365nails-amber-sunset-hand-painted-marble-gold-foil-short-square-nails","365nails: ""Amber Sunset"" – Hand-Painted Marble &amp; Gold Foil Short Square Nails")</x:f>
        <x:v>HYPERLINK is not implemented. linkLocation=https://365nails.com/products/365nails-amber-sunset-hand-painted-marble-gold-foil-short-square-nails, friendlyName=365nails: "Amber Sunset" – Hand-Painted Marble &amp; Gold Foil Short Square Nails</x:v>
      </x:c>
      <x:c r="D655" s="18" t="str">
        <x:v>Color: 1946-super short ladder; Color classification: Xs / S / M / L</x:v>
      </x:c>
      <x:c r="E655" s="25" t="str">
        <x:v>$3.49</x:v>
      </x:c>
      <x:c r="F655" s="19" t="str">
        <x:v>1</x:v>
      </x:c>
    </x:row>
    <x:row r="656" ht="93" customHeight="1">
      <x:c r="A656" s="19" t="n">
        <x:v>653</x:v>
      </x:c>
      <x:c r="B656" s="22" t="e">
        <x:f>HYPERLINK("https://cdn.shopify.com/s/files/1/0918/6066/4603/files/O1CN01LgKN3p1CPwM4OWLwy__2213196780074-0-cib.jpg?v=1776770582","Open")</x:f>
        <x:v>HYPERLINK is not implemented. linkLocation=https://cdn.shopify.com/s/files/1/0918/6066/4603/files/O1CN01LgKN3p1CPwM4OWLwy__2213196780074-0-cib.jpg?v=1776770582, friendlyName=Open</x:v>
      </x:c>
      <x:c r="C656" s="24" t="e">
        <x:f>HYPERLINK("https://365nails.com/products/365nails-champagne-pearl-handmade-cat-eye-french-almond-nails","365nails: ""Champagne Pearl"" – Handmade Cat-Eye French Almond Nails")</x:f>
        <x:v>HYPERLINK is not implemented. linkLocation=https://365nails.com/products/365nails-champagne-pearl-handmade-cat-eye-french-almond-nails, friendlyName=365nails: "Champagne Pearl" – Handmade Cat-Eye French Almond Nails</x:v>
      </x:c>
      <x:c r="D656" s="18" t="str">
        <x:v>Color: 870 - medium oval; Color classification: Xs / S / M / L</x:v>
      </x:c>
      <x:c r="E656" s="25" t="str">
        <x:v>$2.99</x:v>
      </x:c>
      <x:c r="F656" s="19" t="str">
        <x:v>1</x:v>
      </x:c>
    </x:row>
    <x:row r="657" ht="93" customHeight="1">
      <x:c r="A657" s="19" t="n">
        <x:v>654</x:v>
      </x:c>
      <x:c r="B657" s="22" t="e">
        <x:f>HYPERLINK("https://cdn.shopify.com/s/files/1/0918/6066/4603/files/O1CN015O4BJi1CPwMSh0jaB__2213196780074-0-cib.jpg?v=1776764365","Open")</x:f>
        <x:v>HYPERLINK is not implemented. linkLocation=https://cdn.shopify.com/s/files/1/0918/6066/4603/files/O1CN015O4BJi1CPwMSh0jaB__2213196780074-0-cib.jpg?v=1776764365, friendlyName=Open</x:v>
      </x:c>
      <x:c r="C657" s="24" t="e">
        <x:f>HYPERLINK("https://365nails.com/products/365nails-gilded-amber-gold-foil-marble-handmade-short-square-nails","365nails: ""Gilded Amber"" – Gold Foil Marble Handmade Short Square Nails")</x:f>
        <x:v>HYPERLINK is not implemented. linkLocation=https://365nails.com/products/365nails-gilded-amber-gold-foil-marble-handmade-short-square-nails, friendlyName=365nails: "Gilded Amber" – Gold Foil Marble Handmade Short Square Nails</x:v>
      </x:c>
      <x:c r="D657" s="18" t="str">
        <x:v>Color: 1949-short oval; Color classification: Xs / S / M / L</x:v>
      </x:c>
      <x:c r="E657" s="25" t="str">
        <x:v>$3.49</x:v>
      </x:c>
      <x:c r="F657" s="19" t="str">
        <x:v>1</x:v>
      </x:c>
    </x:row>
    <x:row r="658" ht="93" customHeight="1">
      <x:c r="A658" s="19" t="n">
        <x:v>655</x:v>
      </x:c>
      <x:c r="B658" s="22" t="e">
        <x:f>HYPERLINK("https://cdn.shopify.com/s/files/1/0918/6066/4603/files/O1CN0193p4Ng1CPwNxYmMJy__2213196780074-0-cib.jpg?v=1776764690","Open")</x:f>
        <x:v>HYPERLINK is not implemented. linkLocation=https://cdn.shopify.com/s/files/1/0918/6066/4603/files/O1CN0193p4Ng1CPwNxYmMJy__2213196780074-0-cib.jpg?v=1776764690, friendlyName=Open</x:v>
      </x:c>
      <x:c r="C658" s="24" t="e">
        <x:f>HYPERLINK("https://365nails.com/products/365nails-misty-marble-matte-blue-french-tip-handmade-short-square-nails","365nails: ""Misty Marble"" – Matte Blue French Tip Handmade Short Square Nails")</x:f>
        <x:v>HYPERLINK is not implemented. linkLocation=https://365nails.com/products/365nails-misty-marble-matte-blue-french-tip-handmade-short-square-nails, friendlyName=365nails: "Misty Marble" – Matte Blue French Tip Handmade Short Square Nails</x:v>
      </x:c>
      <x:c r="D658" s="18" t="str">
        <x:v>Color: 2938-short oval; Color classification: Xs / S / M / L</x:v>
      </x:c>
      <x:c r="E658" s="25" t="str">
        <x:v>$2.99</x:v>
      </x:c>
      <x:c r="F658" s="19" t="str">
        <x:v>1</x:v>
      </x:c>
    </x:row>
    <x:row r="659" ht="93" customHeight="1">
      <x:c r="A659" s="19" t="n">
        <x:v>656</x:v>
      </x:c>
      <x:c r="B659" s="22" t="e">
        <x:f>HYPERLINK("https://cdn.shopify.com/s/files/1/0918/6066/4603/files/O1CN01eg3ogo1qQvfACcTKA__3917635491-0-cib.jpg?v=1753523312","Open")</x:f>
        <x:v>HYPERLINK is not implemented. linkLocation=https://cdn.shopify.com/s/files/1/0918/6066/4603/files/O1CN01eg3ogo1qQvfACcTKA__3917635491-0-cib.jpg?v=1753523312, friendlyName=Open</x:v>
      </x:c>
      <x:c r="C659" s="24" t="e">
        <x:f>HYPERLINK("https://365nails.com/products/summer-sweet-and-cool-flower-manicure-press-on-toenails-glitter-wear-nail-piece-national-style-peony-flower-fake-nail-nails-365nails","Summer sweet and cool flower manicure Press-on toenails glitter wear nail piece national style peony flower fake nail nails｜365nails")</x:f>
        <x:v>HYPERLINK is not implemented. linkLocation=https://365nails.com/products/summer-sweet-and-cool-flower-manicure-press-on-toenails-glitter-wear-nail-piece-national-style-peony-flower-fake-nail-nails-365nails, friendlyName=Summer sweet and cool flower manicure Press-on toenails glitter wear nail piece national style peony flower fake nail nails｜365nails</x:v>
      </x:c>
      <x:c r="D659" s="18" t="str">
        <x:v>color: F110 National Style Color Flower [Glue]</x:v>
      </x:c>
      <x:c r="E659" s="25" t="str">
        <x:v>$0.91</x:v>
      </x:c>
      <x:c r="F659" s="19" t="str">
        <x:v>1</x:v>
      </x:c>
    </x:row>
    <x:row r="660" ht="93" customHeight="1">
      <x:c r="A660" s="19" t="n">
        <x:v>657</x:v>
      </x:c>
      <x:c r="B660" s="22" t="e">
        <x:f>HYPERLINK("https://cdn.shopify.com/s/files/1/0918/6066/4603/files/O1CN01EX5HSI1qQvfDXxiMm__3917635491-0-cib.jpg?v=1753523308","Open")</x:f>
        <x:v>HYPERLINK is not implemented. linkLocation=https://cdn.shopify.com/s/files/1/0918/6066/4603/files/O1CN01EX5HSI1qQvfDXxiMm__3917635491-0-cib.jpg?v=1753523308, friendlyName=Open</x:v>
      </x:c>
      <x:c r="C660" s="24" t="e">
        <x:f>HYPERLINK("https://365nails.com/products/crisp-dark-green-cool-press-on-toenails-style-solid-color-manicure-bamboo-leaf-green-fashion-spice-girl-fake-nail-wearable-manicure-365nails","Crisp dark green cool Press-on toenails style solid color manicure bamboo leaf green fashion spice girl fake nail wearable manicure｜365nails")</x:f>
        <x:v>HYPERLINK is not implemented. linkLocation=https://365nails.com/products/crisp-dark-green-cool-press-on-toenails-style-solid-color-manicure-bamboo-leaf-green-fashion-spice-girl-fake-nail-wearable-manicure-365nails, friendlyName=Crisp dark green cool Press-on toenails style solid color manicure bamboo leaf green fashion spice girl fake nail wearable manicure｜365nails</x:v>
      </x:c>
      <x:c r="D660" s="18" t="str">
        <x:v>color: F120 retro dark green [glue model]</x:v>
      </x:c>
      <x:c r="E660" s="25" t="str">
        <x:v>$0.82</x:v>
      </x:c>
      <x:c r="F660" s="19" t="str">
        <x:v>1</x:v>
      </x:c>
    </x:row>
    <x:row r="661" ht="93" customHeight="1">
      <x:c r="A661" s="19" t="n">
        <x:v>658</x:v>
      </x:c>
      <x:c r="B661" s="22" t="e">
        <x:f>HYPERLINK("https://cdn.shopify.com/s/files/1/0918/6066/4603/files/O1CN01dWm5782NGHxt0EdAZ__4234819935-0-cib.jpg?v=1753431690","Open")</x:f>
        <x:v>HYPERLINK is not implemented. linkLocation=https://cdn.shopify.com/s/files/1/0918/6066/4603/files/O1CN01dWm5782NGHxt0EdAZ__4234819935-0-cib.jpg?v=1753431690, friendlyName=Open</x:v>
      </x:c>
      <x:c r="C661" s="24" t="e">
        <x:f>HYPERLINK("https://365nails.com/products/french-white-matte-wearing-nail-short-almond-nail-art-piece-foreign-trade-hot-selling-simple-fake-nails-fake-nails-365nails","French white matte press-on nails short almond nail art piece  hot-selling simple s s｜365nails")</x:f>
        <x:v>HYPERLINK is not implemented. linkLocation=https://365nails.com/products/french-white-matte-wearing-nail-short-almond-nail-art-piece-foreign-trade-hot-selling-simple-fake-nails-fake-nails-365nails, friendlyName=French white matte press-on nails short almond nail art piece  hot-selling simple s s｜365nails</x:v>
      </x:c>
      <x:c r="D661" s="18" t="str">
        <x:v>Color: JP3984</x:v>
      </x:c>
      <x:c r="E661" s="25" t="str">
        <x:v>$1.29</x:v>
      </x:c>
      <x:c r="F661" s="19" t="str">
        <x:v>1</x:v>
      </x:c>
    </x:row>
    <x:row r="662" ht="93" customHeight="1">
      <x:c r="A662" s="19" t="n">
        <x:v>659</x:v>
      </x:c>
      <x:c r="B662" s="22" t="e">
        <x:f>HYPERLINK("https://cdn.shopify.com/s/files/1/0918/6066/4603/files/O1CN01o5YIFW2NGHvfmcBuZ__4234819935-0-cib.jpg?v=1753429102","Open")</x:f>
        <x:v>HYPERLINK is not implemented. linkLocation=https://cdn.shopify.com/s/files/1/0918/6066/4603/files/O1CN01o5YIFW2NGHvfmcBuZ__4234819935-0-cib.jpg?v=1753429102, friendlyName=Open</x:v>
      </x:c>
      <x:c r="C662" s="24" t="e">
        <x:f>HYPERLINK("https://365nails.com/products/black-and-white-striped-short-wear-nail-simple-love-valentines-day-nail-art-fake-nails-almond-fake-nails-nail-piece-365nails","Black and white striped short wear nail simple love Valentine's Day nail art fake nails almond fake nails nail piece｜365nails")</x:f>
        <x:v>HYPERLINK is not implemented. linkLocation=https://365nails.com/products/black-and-white-striped-short-wear-nail-simple-love-valentines-day-nail-art-fake-nails-almond-fake-nails-nail-piece-365nails, friendlyName=Black and white striped short wear nail simple love Valentine's Day nail art fake nails almond fake nails nail piece｜365nails</x:v>
      </x:c>
      <x:c r="D662" s="18" t="str">
        <x:v>color: JP3631</x:v>
      </x:c>
      <x:c r="E662" s="25" t="str">
        <x:v>$0.77</x:v>
      </x:c>
      <x:c r="F662" s="19" t="str">
        <x:v>1</x:v>
      </x:c>
    </x:row>
    <x:row r="663" ht="93" customHeight="1">
      <x:c r="A663" s="19" t="n">
        <x:v>660</x:v>
      </x:c>
      <x:c r="B663" s="22" t="e">
        <x:f>HYPERLINK("https://cdn.shopify.com/s/files/1/0918/6066/4603/files/O1CN01x4X34V1CPwOONdQAy__2213196780074-0-cib.jpg?v=1776764761","Open")</x:f>
        <x:v>HYPERLINK is not implemented. linkLocation=https://cdn.shopify.com/s/files/1/0918/6066/4603/files/O1CN01x4X34V1CPwOONdQAy__2213196780074-0-cib.jpg?v=1776764761, friendlyName=Open</x:v>
      </x:c>
      <x:c r="C663" s="24" t="e">
        <x:f>HYPERLINK("https://365nails.com/products/365nails-seafoam-opulence-silver-mirror-french-tip-handmade-square-nails","365nails: ""Seafoam Opulence"" – Silver Mirror French Tip Handmade Square Nails")</x:f>
        <x:v>HYPERLINK is not implemented. linkLocation=https://365nails.com/products/365nails-seafoam-opulence-silver-mirror-french-tip-handmade-square-nails, friendlyName=365nails: "Seafoam Opulence" – Silver Mirror French Tip Handmade Square Nails</x:v>
      </x:c>
      <x:c r="D663" s="18" t="str">
        <x:v>Color: W150-new sino-sino; Color classification: Xs / S / M / L</x:v>
      </x:c>
      <x:c r="E663" s="25" t="str">
        <x:v>$2.49</x:v>
      </x:c>
      <x:c r="F663" s="19" t="str">
        <x:v>1</x:v>
      </x:c>
    </x:row>
    <x:row r="664" ht="93" customHeight="1">
      <x:c r="A664" s="19" t="n">
        <x:v>661</x:v>
      </x:c>
      <x:c r="B664" s="22" t="e">
        <x:f>HYPERLINK("https://cdn.shopify.com/s/files/1/0918/6066/4603/files/O1CN01CGh1YZ27ZUlDVLfDi__2220024697811-0-cib.jpg?v=1774946712","Open")</x:f>
        <x:v>HYPERLINK is not implemented. linkLocation=https://cdn.shopify.com/s/files/1/0918/6066/4603/files/O1CN01CGh1YZ27ZUlDVLfDi__2220024697811-0-cib.jpg?v=1774946712, friendlyName=Open</x:v>
      </x:c>
      <x:c r="C664" s="24" t="e">
        <x:f>HYPERLINK("https://365nails.com/products/365nails-fruit-fantasy-3d-fruit-handmade-almond-nails","365nails: ""Fruit Fantasy"" – 3D Fruit Handmade Almond Nails")</x:f>
        <x:v>HYPERLINK is not implemented. linkLocation=https://365nails.com/products/365nails-fruit-fantasy-3d-fruit-handmade-almond-nails, friendlyName=365nails: "Fruit Fantasy" – 3D Fruit Handmade Almond Nails</x:v>
      </x:c>
      <x:c r="D664" s="18" t="str">
        <x:v>Color: Almond; Color classification: Xs / S / M / L</x:v>
      </x:c>
      <x:c r="E664" s="25" t="str">
        <x:v>$3.99</x:v>
      </x:c>
      <x:c r="F664" s="19" t="str">
        <x:v>3</x:v>
      </x:c>
    </x:row>
    <x:row r="665" ht="93" customHeight="1">
      <x:c r="A665" s="19" t="n">
        <x:v>662</x:v>
      </x:c>
      <x:c r="B665" s="22" t="e">
        <x:f>HYPERLINK("https://cdn.shopify.com/s/files/1/0918/6066/4603/files/O1CN01ZAezwn1CPwPqCY1BY__2213196780074-0-cib_ffd27a21-2941-4d50-8bf5-000894f9797b.jpg?v=1776740311","Open")</x:f>
        <x:v>HYPERLINK is not implemented. linkLocation=https://cdn.shopify.com/s/files/1/0918/6066/4603/files/O1CN01ZAezwn1CPwPqCY1BY__2213196780074-0-cib_ffd27a21-2941-4d50-8bf5-000894f9797b.jpg?v=1776740311, friendlyName=Open</x:v>
      </x:c>
      <x:c r="C665" s="24" t="e">
        <x:f>HYPERLINK("https://365nails.com/products/365nails-nocturnal-bloom-3d-floral-butterfly-handmade-stiletto-nails","365nails: ""Nocturnal Bloom"" – 3D Floral &amp; Butterfly Handmade Stiletto Nails")</x:f>
        <x:v>HYPERLINK is not implemented. linkLocation=https://365nails.com/products/365nails-nocturnal-bloom-3d-floral-butterfly-handmade-stiletto-nails, friendlyName=365nails: "Nocturnal Bloom" – 3D Floral &amp; Butterfly Handmade Stiletto Nails</x:v>
      </x:c>
      <x:c r="D665" s="18" t="str">
        <x:v>Color: Extra small size xs / Small s / Medium m / Large l; Specification type: 253-fine dog tip</x:v>
      </x:c>
      <x:c r="E665" s="25" t="str">
        <x:v>$3.99</x:v>
      </x:c>
      <x:c r="F665" s="19" t="str">
        <x:v>1</x:v>
      </x:c>
    </x:row>
    <x:row r="666" ht="93" customHeight="1">
      <x:c r="A666" s="19" t="n">
        <x:v>663</x:v>
      </x:c>
      <x:c r="B666" s="22" t="e">
        <x:f>HYPERLINK("https://cdn.shopify.com/s/files/1/0918/6066/4603/files/O1CN010IQCyW1CPwLwyGN06__2213196780074-0-cib.jpg?v=1776763729","Open")</x:f>
        <x:v>HYPERLINK is not implemented. linkLocation=https://cdn.shopify.com/s/files/1/0918/6066/4603/files/O1CN010IQCyW1CPwLwyGN06__2213196780074-0-cib.jpg?v=1776763729, friendlyName=Open</x:v>
      </x:c>
      <x:c r="C666" s="24" t="e">
        <x:f>HYPERLINK("https://365nails.com/products/365nails-violet-bloom-hand-painted-floral-cat-eye-gradient-square-nails","365nails: ""Violet Bloom"" – Hand-Painted Floral Cat Eye Gradient Square Nails")</x:f>
        <x:v>HYPERLINK is not implemented. linkLocation=https://365nails.com/products/365nails-violet-bloom-hand-painted-floral-cat-eye-gradient-square-nails, friendlyName=365nails: "Violet Bloom" – Hand-Painted Floral Cat Eye Gradient Square Nails</x:v>
      </x:c>
      <x:c r="D666" s="18" t="str">
        <x:v>Color: 114-short ladder / 126-middle ladder / 58-medium oval; Color classification: Xs / S / M / L</x:v>
      </x:c>
      <x:c r="E666" s="25" t="str">
        <x:v>$3.49</x:v>
      </x:c>
      <x:c r="F666" s="19" t="str">
        <x:v>1</x:v>
      </x:c>
    </x:row>
    <x:row r="667" ht="93" customHeight="1">
      <x:c r="A667" s="19" t="n">
        <x:v>664</x:v>
      </x:c>
      <x:c r="B667" s="22" t="e">
        <x:f>HYPERLINK("https://cdn.shopify.com/s/files/1/0918/6066/4603/files/O1CN01U4sKin1CPwIxweIGz__2213196780074-0-cib.jpg?v=1776742835","Open")</x:f>
        <x:v>HYPERLINK is not implemented. linkLocation=https://cdn.shopify.com/s/files/1/0918/6066/4603/files/O1CN01U4sKin1CPwIxweIGz__2213196780074-0-cib.jpg?v=1776742835, friendlyName=Open</x:v>
      </x:c>
      <x:c r="C667" s="24" t="e">
        <x:f>HYPERLINK("https://365nails.com/products/365nails-pharaohs-curse-3d-egyptian-art-handmade-stiletto-nails","365nails: ""Pharaoh's Curse"" – 3D Egyptian Art Handmade Stiletto Nails")</x:f>
        <x:v>HYPERLINK is not implemented. linkLocation=https://365nails.com/products/365nails-pharaohs-curse-3d-egyptian-art-handmade-stiletto-nails, friendlyName=365nails: "Pharaoh's Curse" – 3D Egyptian Art Handmade Stiletto Nails</x:v>
      </x:c>
      <x:c r="D667" s="18" t="str">
        <x:v>Color: 2312-long water drop; Color classification: Extra small size xs / Small s / Medium m / Large l</x:v>
      </x:c>
      <x:c r="E667" s="25" t="str">
        <x:v>$3.99</x:v>
      </x:c>
      <x:c r="F667" s="19" t="str">
        <x:v>1</x:v>
      </x:c>
    </x:row>
    <x:row r="668" ht="93" customHeight="1">
      <x:c r="A668" s="19" t="n">
        <x:v>665</x:v>
      </x:c>
      <x:c r="B668" s="22" t="e">
        <x:f>HYPERLINK("https://cdn.shopify.com/s/files/1/0918/6066/4603/files/O1CN01FFMx2b1CPwJfPqTO8__2213196780074-0-cib.jpg?v=1776743214","Open")</x:f>
        <x:v>HYPERLINK is not implemented. linkLocation=https://cdn.shopify.com/s/files/1/0918/6066/4603/files/O1CN01FFMx2b1CPwJfPqTO8__2213196780074-0-cib.jpg?v=1776743214, friendlyName=Open</x:v>
      </x:c>
      <x:c r="C668" s="24" t="e">
        <x:f>HYPERLINK("https://365nails.com/products/365nails-pink-blossom-3d-floral-butterfly-handmade-stiletto-nails","365nails: ""Pink Blossom"" – 3D Floral &amp; Butterfly Handmade Stiletto Nails")</x:f>
        <x:v>HYPERLINK is not implemented. linkLocation=https://365nails.com/products/365nails-pink-blossom-3d-floral-butterfly-handmade-stiletto-nails, friendlyName=365nails: "Pink Blossom" – 3D Floral &amp; Butterfly Handmade Stiletto Nails</x:v>
      </x:c>
      <x:c r="D668" s="18" t="str">
        <x:v>Color: Extra small size xs / Small s / Medium m / Large l; Specification type: 2448 long water drop</x:v>
      </x:c>
      <x:c r="E668" s="25" t="str">
        <x:v>$3.49</x:v>
      </x:c>
      <x:c r="F668" s="19" t="str">
        <x:v>1</x:v>
      </x:c>
    </x:row>
    <x:row r="669" ht="93" customHeight="1">
      <x:c r="A669" s="19" t="n">
        <x:v>666</x:v>
      </x:c>
      <x:c r="B669" s="22" t="e">
        <x:f>HYPERLINK("https://cdn.shopify.com/s/files/1/0918/6066/4603/files/O1CN01b3cwPo1CPwLaIugpg__2213196780074-0-cib.jpg?v=1776762863","Open")</x:f>
        <x:v>HYPERLINK is not implemented. linkLocation=https://cdn.shopify.com/s/files/1/0918/6066/4603/files/O1CN01b3cwPo1CPwLaIugpg__2213196780074-0-cib.jpg?v=1776762863, friendlyName=Open</x:v>
      </x:c>
      <x:c r="C669" s="24" t="e">
        <x:f>HYPERLINK("https://365nails.com/products/365nails-autumn-blush-handcrafted-cat-eye-gradient-crystal-accents-coffin-nails","365nails: ""Autumn Blush"" – Handcrafted Cat Eye Gradient &amp; Crystal Accents Coffin Nails")</x:f>
        <x:v>HYPERLINK is not implemented. linkLocation=https://365nails.com/products/365nails-autumn-blush-handcrafted-cat-eye-gradient-crystal-accents-coffin-nails, friendlyName=365nails: "Autumn Blush" – Handcrafted Cat Eye Gradient &amp; Crystal Accents Coffin Nails</x:v>
      </x:c>
      <x:c r="D669" s="18" t="str">
        <x:v>Color: Extra small size xs / Small s / Medium m / Large l; Specification type: 723 - fine pointed tip</x:v>
      </x:c>
      <x:c r="E669" s="25" t="str">
        <x:v>$3.99</x:v>
      </x:c>
      <x:c r="F669" s="19" t="str">
        <x:v>1</x:v>
      </x:c>
    </x:row>
    <x:row r="670" ht="93" customHeight="1">
      <x:c r="A670" s="19" t="n">
        <x:v>667</x:v>
      </x:c>
      <x:c r="B670" s="22" t="e">
        <x:f>HYPERLINK("https://cdn.shopify.com/s/files/1/0918/6066/4603/files/O1CN010ib4Oy1CPwJuf3HMF__2213196780074-0-cib.jpg?v=1776743426","Open")</x:f>
        <x:v>HYPERLINK is not implemented. linkLocation=https://cdn.shopify.com/s/files/1/0918/6066/4603/files/O1CN010ib4Oy1CPwJuf3HMF__2213196780074-0-cib.jpg?v=1776743426, friendlyName=Open</x:v>
      </x:c>
      <x:c r="C670" s="24" t="e">
        <x:f>HYPERLINK("https://365nails.com/products/365nails-tweed-rouge-3d-tweed-texture-cat-eye-handmade-square-nails","365nails: ""Tweed Rouge"" – 3D Tweed Texture &amp; Cat Eye Handmade Square Nails")</x:f>
        <x:v>HYPERLINK is not implemented. linkLocation=https://365nails.com/products/365nails-tweed-rouge-3d-tweed-texture-cat-eye-handmade-square-nails, friendlyName=365nails: "Tweed Rouge" – 3D Tweed Texture &amp; Cat Eye Handmade Square Nails</x:v>
      </x:c>
      <x:c r="D670" s="18" t="str">
        <x:v>Color: Extra small size xs / Small s / Medium m / Large l; Specification type: 2482 short ladder</x:v>
      </x:c>
      <x:c r="E670" s="25" t="str">
        <x:v>$2.99</x:v>
      </x:c>
      <x:c r="F670" s="19" t="str">
        <x:v>1</x:v>
      </x:c>
    </x:row>
    <x:row r="671" ht="93" customHeight="1">
      <x:c r="A671" s="19" t="n">
        <x:v>668</x:v>
      </x:c>
      <x:c r="B671" s="22" t="e">
        <x:f>HYPERLINK("https://cdn.shopify.com/s/files/1/0918/6066/4603/files/O1CN01NrMIPv1CPwKNbToFO__2213196780074-0-cib.jpg?v=1776743759","Open")</x:f>
        <x:v>HYPERLINK is not implemented. linkLocation=https://cdn.shopify.com/s/files/1/0918/6066/4603/files/O1CN01NrMIPv1CPwKNbToFO__2213196780074-0-cib.jpg?v=1776743759, friendlyName=Open</x:v>
      </x:c>
      <x:c r="C671" s="24" t="e">
        <x:f>HYPERLINK("https://365nails.com/products/365nails-crimson-velvet-3d-pearl-rhinestone-handmade-stiletto-nails","365nails: ""Crimson Velvet"" – 3D Pearl &amp; Rhinestone Handmade Stiletto Nails")</x:f>
        <x:v>HYPERLINK is not implemented. linkLocation=https://365nails.com/products/365nails-crimson-velvet-3d-pearl-rhinestone-handmade-stiletto-nails, friendlyName=365nails: "Crimson Velvet" – 3D Pearl &amp; Rhinestone Handmade Stiletto Nails</x:v>
      </x:c>
      <x:c r="D671" s="18" t="str">
        <x:v>Color: 2706 long water drop; Color classification: Extra small size xs / Small s / Medium m / Large l</x:v>
      </x:c>
      <x:c r="E671" s="25" t="str">
        <x:v>$3.99</x:v>
      </x:c>
      <x:c r="F671" s="19" t="str">
        <x:v>1</x:v>
      </x:c>
    </x:row>
    <x:row r="672" ht="93" customHeight="1">
      <x:c r="A672" s="19" t="n">
        <x:v>669</x:v>
      </x:c>
      <x:c r="B672" s="22" t="e">
        <x:f>HYPERLINK("https://cdn.shopify.com/s/files/1/0918/6066/4603/files/O1CN01UtBfRN1CPwJr447YW__2213196780074-0-cib.jpg?v=1776743523","Open")</x:f>
        <x:v>HYPERLINK is not implemented. linkLocation=https://cdn.shopify.com/s/files/1/0918/6066/4603/files/O1CN01UtBfRN1CPwJr447YW__2213196780074-0-cib.jpg?v=1776743523, friendlyName=Open</x:v>
      </x:c>
      <x:c r="C672" s="24" t="e">
        <x:f>HYPERLINK("https://365nails.com/products/365nails-wild-sparkle-zebra-print-glitter-handmade-coffin-nails","365nails: ""Wild Sparkle"" – Zebra Print &amp; Glitter Handmade Coffin Nails")</x:f>
        <x:v>HYPERLINK is not implemented. linkLocation=https://365nails.com/products/365nails-wild-sparkle-zebra-print-glitter-handmade-coffin-nails, friendlyName=365nails: "Wild Sparkle" – Zebra Print &amp; Glitter Handmade Coffin Nails</x:v>
      </x:c>
      <x:c r="D672" s="18" t="str">
        <x:v>Color: Extra small size xs / Small s / Medium m / Large l; Specification type: 2534 short ladder</x:v>
      </x:c>
      <x:c r="E672" s="25" t="str">
        <x:v>$2.99</x:v>
      </x:c>
      <x:c r="F672" s="19" t="str">
        <x:v>1</x:v>
      </x:c>
    </x:row>
    <x:row r="673" ht="93" customHeight="1">
      <x:c r="A673" s="19" t="n">
        <x:v>670</x:v>
      </x:c>
      <x:c r="B673" s="22" t="e">
        <x:f>HYPERLINK("https://cdn.shopify.com/s/files/1/0918/6066/4603/files/O1CN01MmHEQ81CPwJed1Vlj__2213196780074-0-cib.jpg?v=1776743149","Open")</x:f>
        <x:v>HYPERLINK is not implemented. linkLocation=https://cdn.shopify.com/s/files/1/0918/6066/4603/files/O1CN01MmHEQ81CPwJed1Vlj__2213196780074-0-cib.jpg?v=1776743149, friendlyName=Open</x:v>
      </x:c>
      <x:c r="C673" s="24" t="e">
        <x:f>HYPERLINK("https://365nails.com/products/365nails-golden-dew-minimalist-gold-foil-chrome-handmade-coffin-nails","365nails: ""Golden Dew"" – Minimalist Gold Foil &amp; Chrome Handmade Coffin Nails")</x:f>
        <x:v>HYPERLINK is not implemented. linkLocation=https://365nails.com/products/365nails-golden-dew-minimalist-gold-foil-chrome-handmade-coffin-nails, friendlyName=365nails: "Golden Dew" – Minimalist Gold Foil &amp; Chrome Handmade Coffin Nails</x:v>
      </x:c>
      <x:c r="D673" s="18" t="str">
        <x:v>Color: Extra small size xs / Small s / Medium m / Large l; Specification type: 2415 short ladder</x:v>
      </x:c>
      <x:c r="E673" s="25" t="str">
        <x:v>$3.49</x:v>
      </x:c>
      <x:c r="F673" s="19" t="str">
        <x:v>1</x:v>
      </x:c>
    </x:row>
    <x:row r="674" ht="93" customHeight="1">
      <x:c r="A674" s="19" t="n">
        <x:v>671</x:v>
      </x:c>
      <x:c r="B674" s="22" t="e">
        <x:f>HYPERLINK("https://cdn.shopify.com/s/files/1/0918/6066/4603/files/O1CN01CsW0j91CPwJZuWqVx__2213196780074-0-cib_2591f3d9-a016-415e-9dca-473d4b99f0d0.jpg?v=1776742983","Open")</x:f>
        <x:v>HYPERLINK is not implemented. linkLocation=https://cdn.shopify.com/s/files/1/0918/6066/4603/files/O1CN01CsW0j91CPwJZuWqVx__2213196780074-0-cib_2591f3d9-a016-415e-9dca-473d4b99f0d0.jpg?v=1776742983, friendlyName=Open</x:v>
      </x:c>
      <x:c r="C674" s="24" t="e">
        <x:f>HYPERLINK("https://365nails.com/products/365nails-gothic-relic-3d-skull-cross-handmade-stiletto-nails","365nails: ""Gothic Relic"" – 3D Skull &amp; Cross Handmade Stiletto Nails")</x:f>
        <x:v>HYPERLINK is not implemented. linkLocation=https://365nails.com/products/365nails-gothic-relic-3d-skull-cross-handmade-stiletto-nails, friendlyName=365nails: "Gothic Relic" – 3D Skull &amp; Cross Handmade Stiletto Nails</x:v>
      </x:c>
      <x:c r="D674" s="18" t="str">
        <x:v>Color: Extra small size xs / Small s / Medium m / Large l; Specification type: 202 long water drop</x:v>
      </x:c>
      <x:c r="E674" s="25" t="str">
        <x:v>$3.99</x:v>
      </x:c>
      <x:c r="F674" s="19" t="str">
        <x:v>1</x:v>
      </x:c>
    </x:row>
    <x:row r="675" ht="93" customHeight="1">
      <x:c r="A675" s="19" t="n">
        <x:v>672</x:v>
      </x:c>
      <x:c r="B675" s="22" t="e">
        <x:f>HYPERLINK("https://cdn.shopify.com/s/files/1/0918/6066/4603/files/O1CN01dRhSCC1CPwJRHm0xq__2213196780074-0-cib.jpg?v=1776742918","Open")</x:f>
        <x:v>HYPERLINK is not implemented. linkLocation=https://cdn.shopify.com/s/files/1/0918/6066/4603/files/O1CN01dRhSCC1CPwJRHm0xq__2213196780074-0-cib.jpg?v=1776742918, friendlyName=Open</x:v>
      </x:c>
      <x:c r="C675" s="24" t="e">
        <x:f>HYPERLINK("https://365nails.com/products/365nails-celestial-ice-3d-crystal-silver-glitter-handmade-stiletto-nails","365nails: ""Celestial Ice"" – 3D Crystal &amp; Silver Glitter Handmade Stiletto Nails")</x:f>
        <x:v>HYPERLINK is not implemented. linkLocation=https://365nails.com/products/365nails-celestial-ice-3d-crystal-silver-glitter-handmade-stiletto-nails, friendlyName=365nails: "Celestial Ice" – 3D Crystal &amp; Silver Glitter Handmade Stiletto Nails</x:v>
      </x:c>
      <x:c r="D675" s="18" t="str">
        <x:v>Color: Extra small size xs / Small s / Medium m / Large l; Specification type: 123-long water drop</x:v>
      </x:c>
      <x:c r="E675" s="25" t="str">
        <x:v>$3.99</x:v>
      </x:c>
      <x:c r="F675" s="19" t="str">
        <x:v>1</x:v>
      </x:c>
    </x:row>
    <x:row r="676" ht="93" customHeight="1">
      <x:c r="A676" s="19" t="n">
        <x:v>673</x:v>
      </x:c>
      <x:c r="B676" s="22" t="e">
        <x:f>HYPERLINK("https://cdn.shopify.com/s/files/1/0918/6066/4603/files/O1CN016jDYba1CPwIrMRUA9__2213196780074-0-cib.jpg?v=1776742695","Open")</x:f>
        <x:v>HYPERLINK is not implemented. linkLocation=https://cdn.shopify.com/s/files/1/0918/6066/4603/files/O1CN016jDYba1CPwIrMRUA9__2213196780074-0-cib.jpg?v=1776742695, friendlyName=Open</x:v>
      </x:c>
      <x:c r="C676" s="24" t="e">
        <x:f>HYPERLINK("https://365nails.com/products/365nails-dreamy-bear-3d-character-leopard-print-handmade-coffin-nails","365nails: ""Dreamy Bear"" – 3D Character &amp; Leopard Print Handmade Coffin Nails")</x:f>
        <x:v>HYPERLINK is not implemented. linkLocation=https://365nails.com/products/365nails-dreamy-bear-3d-character-leopard-print-handmade-coffin-nails, friendlyName=365nails: "Dreamy Bear" – 3D Character &amp; Leopard Print Handmade Coffin Nails</x:v>
      </x:c>
      <x:c r="D676" s="18" t="str">
        <x:v>Color: 2345-short ladder; Color classification: Extra small size xs / Small s / Medium m / Large l</x:v>
      </x:c>
      <x:c r="E676" s="25" t="str">
        <x:v>$3.49</x:v>
      </x:c>
      <x:c r="F676" s="19" t="str">
        <x:v>1</x:v>
      </x:c>
    </x:row>
    <x:row r="677" ht="93" customHeight="1">
      <x:c r="A677" s="19" t="n">
        <x:v>674</x:v>
      </x:c>
      <x:c r="B677" s="22" t="e">
        <x:f>HYPERLINK("https://cdn.shopify.com/s/files/1/0918/6066/4603/files/O1CN01zj5tzq1CPwG2mWKU0__2213196780074-0-cib.jpg?v=1776740709","Open")</x:f>
        <x:v>HYPERLINK is not implemented. linkLocation=https://cdn.shopify.com/s/files/1/0918/6066/4603/files/O1CN01zj5tzq1CPwG2mWKU0__2213196780074-0-cib.jpg?v=1776740709, friendlyName=Open</x:v>
      </x:c>
      <x:c r="C677" s="24" t="e">
        <x:f>HYPERLINK("https://365nails.com/products/365nails-starlight-whisper-3d-gem-cat-eye-handmade-coffin-nails","365nails: ""Starlight Whisper"" – 3D Gem &amp; Cat Eye Handmade Coffin Nails")</x:f>
        <x:v>HYPERLINK is not implemented. linkLocation=https://365nails.com/products/365nails-starlight-whisper-3d-gem-cat-eye-handmade-coffin-nails, friendlyName=365nails: "Starlight Whisper" – 3D Gem &amp; Cat Eye Handmade Coffin Nails</x:v>
      </x:c>
      <x:c r="D677" s="18" t="str">
        <x:v>Color: 1581 middle ladder; Color classification: Extra small size xs / Small s / Medium m / Large l</x:v>
      </x:c>
      <x:c r="E677" s="25" t="str">
        <x:v>$3.49</x:v>
      </x:c>
      <x:c r="F677" s="19" t="str">
        <x:v>1</x:v>
      </x:c>
    </x:row>
    <x:row r="678" ht="93" customHeight="1">
      <x:c r="A678" s="19" t="n">
        <x:v>675</x:v>
      </x:c>
      <x:c r="B678" s="22" t="e">
        <x:f>HYPERLINK("https://cdn.shopify.com/s/files/1/0918/6066/4603/files/O1CN016lGXhO1CPwFmpodIp__2213196780074-0-cib.jpg?v=1776740631","Open")</x:f>
        <x:v>HYPERLINK is not implemented. linkLocation=https://cdn.shopify.com/s/files/1/0918/6066/4603/files/O1CN016lGXhO1CPwFmpodIp__2213196780074-0-cib.jpg?v=1776740631, friendlyName=Open</x:v>
      </x:c>
      <x:c r="C678" s="24" t="e">
        <x:f>HYPERLINK("https://365nails.com/products/365nails-silver-lining-3d-gem-glitter-handmade-almond-nails","365nails: ""Silver Lining"" – 3D Gem &amp; Glitter Handmade Almond Nails")</x:f>
        <x:v>HYPERLINK is not implemented. linkLocation=https://365nails.com/products/365nails-silver-lining-3d-gem-glitter-handmade-almond-nails, friendlyName=365nails: "Silver Lining" – 3D Gem &amp; Glitter Handmade Almond Nails</x:v>
      </x:c>
      <x:c r="D678" s="18" t="str">
        <x:v>Color: 1505 medium circle; Color classification: Extra small size xs / Small s / Medium m / Large l</x:v>
      </x:c>
      <x:c r="E678" s="25" t="str">
        <x:v>$3.49</x:v>
      </x:c>
      <x:c r="F678" s="19" t="str">
        <x:v>1</x:v>
      </x:c>
    </x:row>
    <x:row r="679" ht="93" customHeight="1">
      <x:c r="A679" s="19" t="n">
        <x:v>676</x:v>
      </x:c>
      <x:c r="B679" s="22" t="e">
        <x:f>HYPERLINK("https://cdn.shopify.com/s/files/1/0918/6066/4603/files/O1CN01jgZadL27ZUlWOIvej__2220024697811-0-cib.jpg?v=1775050814","Open")</x:f>
        <x:v>HYPERLINK is not implemented. linkLocation=https://cdn.shopify.com/s/files/1/0918/6066/4603/files/O1CN01jgZadL27ZUlWOIvej__2220024697811-0-cib.jpg?v=1775050814, friendlyName=Open</x:v>
      </x:c>
      <x:c r="C679" s="24" t="e">
        <x:f>HYPERLINK("https://365nails.com/products/365nails-tigers-eye-3d-skull-marble-handmade-stiletto-nails","365nails: ""Tiger's Eye"" – 3D Skull &amp; Marble Handmade Stiletto Nails")</x:f>
        <x:v>HYPERLINK is not implemented. linkLocation=https://365nails.com/products/365nails-tigers-eye-3d-skull-marble-handmade-stiletto-nails, friendlyName=365nails: "Tiger's Eye" – 3D Skull &amp; Marble Handmade Stiletto Nails</x:v>
      </x:c>
      <x:c r="D679" s="18" t="str">
        <x:v>Color: Long tip; Color classification: Xs / S / M / L</x:v>
      </x:c>
      <x:c r="E679" s="25" t="str">
        <x:v>$4.49</x:v>
      </x:c>
      <x:c r="F679" s="19" t="str">
        <x:v>3</x:v>
      </x:c>
    </x:row>
    <x:row r="680" ht="93" customHeight="1">
      <x:c r="A680" s="19" t="n">
        <x:v>677</x:v>
      </x:c>
      <x:c r="B680" s="22" t="e">
        <x:f>HYPERLINK("https://cdn.shopify.com/s/files/1/0918/6066/4603/files/O1CN013z2WnL2NGHvgbarPH__4234819935-0-cib.jpg?v=1753432912","Open")</x:f>
        <x:v>HYPERLINK is not implemented. linkLocation=https://cdn.shopify.com/s/files/1/0918/6066/4603/files/O1CN013z2WnL2NGHvgbarPH__4234819935-0-cib.jpg?v=1753432912, friendlyName=Open</x:v>
      </x:c>
      <x:c r="C680" s="24" t="e">
        <x:f>HYPERLINK("https://365nails.com/products/sweet-french-pink-almond-wearing-nail-pads-pure-ice-through-three-dimensional-bow-nail-art-fake-nail-wholesale-365nails","Sweet French pink almond press-on nails pads pure ice through three-dimensional bow nail art fake nail wholesale｜365nails")</x:f>
        <x:v>HYPERLINK is not implemented. linkLocation=https://365nails.com/products/sweet-french-pink-almond-wearing-nail-pads-pure-ice-through-three-dimensional-bow-nail-art-fake-nail-wholesale-365nails, friendlyName=Sweet French pink almond press-on nails pads pure ice through three-dimensional bow nail art fake nail wholesale｜365nails</x:v>
      </x:c>
      <x:c r="D680" s="18" t="str">
        <x:v>color: JP3602</x:v>
      </x:c>
      <x:c r="E680" s="25" t="str">
        <x:v>$1.20</x:v>
      </x:c>
      <x:c r="F680" s="19" t="str">
        <x:v>1</x:v>
      </x:c>
    </x:row>
    <x:row r="681" ht="93" customHeight="1">
      <x:c r="A681" s="19" t="n">
        <x:v>678</x:v>
      </x:c>
      <x:c r="B681" s="22" t="e">
        <x:f>HYPERLINK("https://cdn.shopify.com/s/files/1/0918/6066/4603/files/O1CN01WoAspE1CPwK2w0pQg__2213196780074-0-cib.jpg?v=1776743583","Open")</x:f>
        <x:v>HYPERLINK is not implemented. linkLocation=https://cdn.shopify.com/s/files/1/0918/6066/4603/files/O1CN01WoAspE1CPwK2w0pQg__2213196780074-0-cib.jpg?v=1776743583, friendlyName=Open</x:v>
      </x:c>
      <x:c r="C681" s="24" t="e">
        <x:f>HYPERLINK("https://365nails.com/products/365nails-opal-bloom-3d-crystal-iridescent-french-tip-handmade-almond-nails","365nails: ""Opal Bloom"" – 3D Crystal &amp; Iridescent French Tip Handmade Almond Nails")</x:f>
        <x:v>HYPERLINK is not implemented. linkLocation=https://365nails.com/products/365nails-opal-bloom-3d-crystal-iridescent-french-tip-handmade-almond-nails, friendlyName=365nails: "Opal Bloom" – 3D Crystal &amp; Iridescent French Tip Handmade Almond Nails</x:v>
      </x:c>
      <x:c r="D681" s="18" t="str">
        <x:v>Color: Extra small size xs / Small s / Medium m / Large l; Specification type: 2595 long ladder / 2593 medium ellipse / 2585 long oval</x:v>
      </x:c>
      <x:c r="E681" s="25" t="str">
        <x:v>$3.49</x:v>
      </x:c>
      <x:c r="F681" s="19" t="str">
        <x:v>1</x:v>
      </x:c>
    </x:row>
    <x:row r="682" ht="93" customHeight="1">
      <x:c r="A682" s="19" t="n">
        <x:v>679</x:v>
      </x:c>
      <x:c r="B682" s="22" t="e">
        <x:f>HYPERLINK("https://cdn.shopify.com/s/files/1/0918/6066/4603/files/O1CN01B1QTnU1CPwRRmRIpb__2213196780074-0-cib.jpg?v=1776740118","Open")</x:f>
        <x:v>HYPERLINK is not implemented. linkLocation=https://cdn.shopify.com/s/files/1/0918/6066/4603/files/O1CN01B1QTnU1CPwRRmRIpb__2213196780074-0-cib.jpg?v=1776740118, friendlyName=Open</x:v>
      </x:c>
      <x:c r="C682" s="24" t="e">
        <x:f>HYPERLINK("https://365nails.com/products/365nails-crystal-velvet-5d-textured-cat-eye-handmade-almond-nails","365nails: ""Crystal Velvet"" – 5D Textured Cat Eye Handmade Almond Nails")</x:f>
        <x:v>HYPERLINK is not implemented. linkLocation=https://365nails.com/products/365nails-crystal-velvet-5d-textured-cat-eye-handmade-almond-nails, friendlyName=365nails: "Crystal Velvet" – 5D Textured Cat Eye Handmade Almond Nails</x:v>
      </x:c>
      <x:c r="D682" s="18" t="str">
        <x:v>Color: 1565 - new short square; Color classification: Extra small size xs / Small s / Medium m / Large l</x:v>
      </x:c>
      <x:c r="E682" s="25" t="str">
        <x:v>$2.99</x:v>
      </x:c>
      <x:c r="F682" s="19" t="str">
        <x:v>1</x:v>
      </x:c>
    </x:row>
    <x:row r="683" ht="93" customHeight="1">
      <x:c r="A683" s="19" t="n">
        <x:v>680</x:v>
      </x:c>
      <x:c r="B683" s="22" t="e">
        <x:f>HYPERLINK("https://cdn.shopify.com/s/files/1/0918/6066/4603/files/O1CN017IFH681CPwPl7FxW7__2213196780074-0-cib.jpg?v=1776739797","Open")</x:f>
        <x:v>HYPERLINK is not implemented. linkLocation=https://cdn.shopify.com/s/files/1/0918/6066/4603/files/O1CN017IFH681CPwPl7FxW7__2213196780074-0-cib.jpg?v=1776739797, friendlyName=Open</x:v>
      </x:c>
      <x:c r="C683" s="24" t="e">
        <x:f>HYPERLINK("https://365nails.com/products/365nails-crimson-spell-3d-abstract-swirl-handmade-stiletto-nails","365nails: ""Crimson Spell"" – 3D Abstract Swirl Handmade Stiletto Nails")</x:f>
        <x:v>HYPERLINK is not implemented. linkLocation=https://365nails.com/products/365nails-crimson-spell-3d-abstract-swirl-handmade-stiletto-nails, friendlyName=365nails: "Crimson Spell" – 3D Abstract Swirl Handmade Stiletto Nails</x:v>
      </x:c>
      <x:c r="D683" s="18" t="str">
        <x:v>Color: 2454 - medium apricot kernels; Color classification: Extra small size xs / Small s / Medium m / Large l</x:v>
      </x:c>
      <x:c r="E683" s="25" t="str">
        <x:v>$3.99</x:v>
      </x:c>
      <x:c r="F683" s="19" t="str">
        <x:v>1</x:v>
      </x:c>
    </x:row>
    <x:row r="684" ht="93" customHeight="1">
      <x:c r="A684" s="19" t="n">
        <x:v>681</x:v>
      </x:c>
      <x:c r="B684" s="22" t="e">
        <x:f>HYPERLINK("https://cdn.shopify.com/s/files/1/0918/6066/4603/files/O1CN01pERHCc2NGHpajfgGs__4234819935-0-cib_d5728a74-e078-4b00-9182-901af63f9a1e.jpg?v=1776676661","Open")</x:f>
        <x:v>HYPERLINK is not implemented. linkLocation=https://cdn.shopify.com/s/files/1/0918/6066/4603/files/O1CN01pERHCc2NGHpajfgGs__4234819935-0-cib_d5728a74-e078-4b00-9182-901af63f9a1e.jpg?v=1776676661, friendlyName=Open</x:v>
      </x:c>
      <x:c r="C684" s="24" t="e">
        <x:f>HYPERLINK("https://365nails.com/products/365nails-black-silver-glitter-square-toenails-split-design-press-on-toenails","365nails: ""Black Silver Glitter Square Toenails"" – Split Design Press-on Toenails")</x:f>
        <x:v>HYPERLINK is not implemented. linkLocation=https://365nails.com/products/365nails-black-silver-glitter-square-toenails-split-design-press-on-toenails, friendlyName=365nails: "Black Silver Glitter Square Toenails" – Split Design Press-on Toenails</x:v>
      </x:c>
      <x:c r="D684" s="18" t="str">
        <x:v>Color: Jp3214 [glue type] / Jp3214 [including wearing tool kit]</x:v>
      </x:c>
      <x:c r="E684" s="25" t="str">
        <x:v>$0.99</x:v>
      </x:c>
      <x:c r="F684" s="19" t="str">
        <x:v>1</x:v>
      </x:c>
    </x:row>
    <x:row r="685" ht="93" customHeight="1">
      <x:c r="A685" s="19" t="n">
        <x:v>682</x:v>
      </x:c>
      <x:c r="B685" s="22" t="e">
        <x:f>HYPERLINK("https://cdn.shopify.com/s/files/1/0918/6066/4603/files/O1CN01SPMziN2NGHoUwRHpG__4234819935-0-cib_780d87dc-ad1f-4cf3-b047-979ddd5e3827.jpg?v=1776676194","Open")</x:f>
        <x:v>HYPERLINK is not implemented. linkLocation=https://cdn.shopify.com/s/files/1/0918/6066/4603/files/O1CN01SPMziN2NGHoUwRHpG__4234819935-0-cib_780d87dc-ad1f-4cf3-b047-979ddd5e3827.jpg?v=1776676194, friendlyName=Open</x:v>
      </x:c>
      <x:c r="C685" s="24" t="e">
        <x:f>HYPERLINK("https://365nails.com/products/365nails-pink-butterfly-french-coffin-3d-butterfly-pearl-accent-press-on-nails","365nails: ""Pink Butterfly French Coffin"" – 3D Butterfly &amp; Pearl Accent Press-on Nails")</x:f>
        <x:v>HYPERLINK is not implemented. linkLocation=https://365nails.com/products/365nails-pink-butterfly-french-coffin-3d-butterfly-pearl-accent-press-on-nails, friendlyName=365nails: "Pink Butterfly French Coffin" – 3D Butterfly &amp; Pearl Accent Press-on Nails</x:v>
      </x:c>
      <x:c r="D685" s="18" t="str">
        <x:v>Color: Jp2759 [glue type] / Jp2759 [including wearing tool kit]</x:v>
      </x:c>
      <x:c r="E685" s="25" t="str">
        <x:v>$1.99</x:v>
      </x:c>
      <x:c r="F685" s="19" t="str">
        <x:v>1</x:v>
      </x:c>
    </x:row>
    <x:row r="686" ht="93" customHeight="1">
      <x:c r="A686" s="19" t="n">
        <x:v>683</x:v>
      </x:c>
      <x:c r="B686" s="22" t="e">
        <x:f>HYPERLINK("https://cdn.shopify.com/s/files/1/0918/6066/4603/files/O1CN01gcn39127ZUks30iRP__2220024697811-0-cib.jpg?v=1775040781","Open")</x:f>
        <x:v>HYPERLINK is not implemented. linkLocation=https://cdn.shopify.com/s/files/1/0918/6066/4603/files/O1CN01gcn39127ZUks30iRP__2220024697811-0-cib.jpg?v=1775040781, friendlyName=Open</x:v>
      </x:c>
      <x:c r="C686" s="24" t="e">
        <x:f>HYPERLINK("https://365nails.com/products/365nails-dark-magic-3d-evil-eye-gothic-handmade-stiletto-nails","365nails: ""Dark Magic"" – 3D Evil Eye &amp; Gothic Handmade Stiletto Nails")</x:f>
        <x:v>HYPERLINK is not implemented. linkLocation=https://365nails.com/products/365nails-dark-magic-3d-evil-eye-gothic-handmade-stiletto-nails, friendlyName=365nails: "Dark Magic" – 3D Evil Eye &amp; Gothic Handmade Stiletto Nails</x:v>
      </x:c>
      <x:c r="D686" s="18" t="str">
        <x:v>Color: Almond; Color classification: Xs / S / M / L</x:v>
      </x:c>
      <x:c r="E686" s="25" t="str">
        <x:v>$4.49</x:v>
      </x:c>
      <x:c r="F686" s="19" t="str">
        <x:v>3</x:v>
      </x:c>
    </x:row>
    <x:row r="687" ht="93" customHeight="1">
      <x:c r="A687" s="19" t="n">
        <x:v>684</x:v>
      </x:c>
      <x:c r="B687" s="22" t="e">
        <x:f>HYPERLINK("https://cdn.shopify.com/s/files/1/0918/6066/4603/files/O1CN016zEo6B1CPwLK10KZY__2213196780074-0-cib.jpg?v=1776762714","Open")</x:f>
        <x:v>HYPERLINK is not implemented. linkLocation=https://cdn.shopify.com/s/files/1/0918/6066/4603/files/O1CN016zEo6B1CPwLK10KZY__2213196780074-0-cib.jpg?v=1776762714, friendlyName=Open</x:v>
      </x:c>
      <x:c r="C687" s="24" t="e">
        <x:f>HYPERLINK("https://365nails.com/products/365nails-aurora-whisper-handcrafted-mint-ombre-crystal-accents-almond-nails","365nails: ""Aurora Whisper"" – Handcrafted Mint Ombre &amp; Crystal Accents Almond Nails")</x:f>
        <x:v>HYPERLINK is not implemented. linkLocation=https://365nails.com/products/365nails-aurora-whisper-handcrafted-mint-ombre-crystal-accents-almond-nails, friendlyName=365nails: "Aurora Whisper" – Handcrafted Mint Ombre &amp; Crystal Accents Almond Nails</x:v>
      </x:c>
      <x:c r="D687" s="18" t="str">
        <x:v>Color: Extra small size xs / Small s / Medium m / Large l; Specification type: 2755-long oval</x:v>
      </x:c>
      <x:c r="E687" s="25" t="str">
        <x:v>$3.49</x:v>
      </x:c>
      <x:c r="F687" s="19" t="str">
        <x:v>1</x:v>
      </x:c>
    </x:row>
    <x:row r="688" ht="93" customHeight="1">
      <x:c r="A688" s="19" t="n">
        <x:v>685</x:v>
      </x:c>
      <x:c r="B688" s="22" t="e">
        <x:f>HYPERLINK("https://cdn.shopify.com/s/files/1/0918/6066/4603/files/O1CN01GJSpve2NGHpfsevZ1__4234819935-0-cib_f45d794f-58ab-408b-b649-08d4d5744354.jpg?v=1776677124","Open")</x:f>
        <x:v>HYPERLINK is not implemented. linkLocation=https://cdn.shopify.com/s/files/1/0918/6066/4603/files/O1CN01GJSpve2NGHpfsevZ1__4234819935-0-cib_f45d794f-58ab-408b-b649-08d4d5744354.jpg?v=1776677124, friendlyName=Open</x:v>
      </x:c>
      <x:c r="C688" s="24" t="e">
        <x:f>HYPERLINK("https://365nails.com/products/365nails-blush-marble-almond-glitter-swirl-marble-press-on-nails","365nails: ""Blush Marble Almond"" – Glitter Swirl &amp; Marble Press-on Nails")</x:f>
        <x:v>HYPERLINK is not implemented. linkLocation=https://365nails.com/products/365nails-blush-marble-almond-glitter-swirl-marble-press-on-nails, friendlyName=365nails: "Blush Marble Almond" – Glitter Swirl &amp; Marble Press-on Nails</x:v>
      </x:c>
      <x:c r="D688" s="18" t="str">
        <x:v>Color: Jp3229 [glue type] / Jp3229 [including wearing tool kit]</x:v>
      </x:c>
      <x:c r="E688" s="25" t="str">
        <x:v>$0.99</x:v>
      </x:c>
      <x:c r="F688" s="19" t="str">
        <x:v>1</x:v>
      </x:c>
    </x:row>
    <x:row r="689" ht="93" customHeight="1">
      <x:c r="A689" s="19" t="n">
        <x:v>686</x:v>
      </x:c>
      <x:c r="B689" s="22" t="e">
        <x:f>HYPERLINK("https://cdn.shopify.com/s/files/1/0918/6066/4603/files/O1CN01iacCWc2NGHoXS2xdP__4234819935-0-cib.jpg?v=1753431565","Open")</x:f>
        <x:v>HYPERLINK is not implemented. linkLocation=https://cdn.shopify.com/s/files/1/0918/6066/4603/files/O1CN01iacCWc2NGHoXS2xdP__4234819935-0-cib.jpg?v=1753431565, friendlyName=Open</x:v>
      </x:c>
      <x:c r="C689" s="24" t="e">
        <x:f>HYPERLINK("https://365nails.com/products/classic-solid-color-glossy-wearable-nail-art-wholesale-nail-art-piece-finished-product-detachable-nail-piece-wearable-nail-piece-365nails","Classic solid color glossy wearable nail art wholesale nail art piece finished product detachable nail piece wearable nail piece｜365nails")</x:f>
        <x:v>HYPERLINK is not implemented. linkLocation=https://365nails.com/products/classic-solid-color-glossy-wearable-nail-art-wholesale-nail-art-piece-finished-product-detachable-nail-piece-wearable-nail-piece-365nails, friendlyName=Classic solid color glossy wearable nail art wholesale nail art piece finished product detachable nail piece wearable nail piece｜365nails</x:v>
      </x:c>
      <x:c r="D689" s="18" t="str">
        <x:v>color: JP2997 / JP3001 / JP3003 / JP3005 / JP3007 / JP3009 / JP3011; Color classification: [Glue model] / [Including wearing kit]</x:v>
      </x:c>
      <x:c r="E689" s="25" t="str">
        <x:v>$0.60–$0.77</x:v>
      </x:c>
      <x:c r="F689" s="19" t="str">
        <x:v>1</x:v>
      </x:c>
    </x:row>
    <x:row r="690" ht="93" customHeight="1">
      <x:c r="A690" s="19" t="n">
        <x:v>687</x:v>
      </x:c>
      <x:c r="B690" s="22" t="e">
        <x:f>HYPERLINK("https://cdn.shopify.com/s/files/1/0918/6066/4603/files/O1CN01VpjsgT27ZUlPEYAm2__2220024697811-0-cib.jpg?v=1775113193","Open")</x:f>
        <x:v>HYPERLINK is not implemented. linkLocation=https://cdn.shopify.com/s/files/1/0918/6066/4603/files/O1CN01VpjsgT27ZUlPEYAm2__2220024697811-0-cib.jpg?v=1775113193, friendlyName=Open</x:v>
      </x:c>
      <x:c r="C690" s="24" t="e">
        <x:f>HYPERLINK("https://365nails.com/products/365nails-candy-flutter-3d-pastel-butterfly-handmade-long-coffin-nails","365nails: ""Candy Flutter"" – 3D Pastel Butterfly Handmade Long Coffin Nails")</x:f>
        <x:v>HYPERLINK is not implemented. linkLocation=https://365nails.com/products/365nails-candy-flutter-3d-pastel-butterfly-handmade-long-coffin-nails, friendlyName=365nails: "Candy Flutter" – 3D Pastel Butterfly Handmade Long Coffin Nails</x:v>
      </x:c>
      <x:c r="D690" s="18" t="str">
        <x:v>Color: Almond; Color classification: Xs / S / M / L</x:v>
      </x:c>
      <x:c r="E690" s="25" t="str">
        <x:v>$4.99</x:v>
      </x:c>
      <x:c r="F690" s="19" t="str">
        <x:v>3</x:v>
      </x:c>
    </x:row>
    <x:row r="691" ht="93" customHeight="1">
      <x:c r="A691" s="19" t="n">
        <x:v>688</x:v>
      </x:c>
      <x:c r="B691" s="22" t="e">
        <x:f>HYPERLINK("https://cdn.shopify.com/s/files/1/0918/6066/4603/files/O1CN01JZuPJE1CPwNCWXWJ5__2213196780074-0-cib.jpg?v=1776645895","Open")</x:f>
        <x:v>HYPERLINK is not implemented. linkLocation=https://cdn.shopify.com/s/files/1/0918/6066/4603/files/O1CN01JZuPJE1CPwNCWXWJ5__2213196780074-0-cib.jpg?v=1776645895, friendlyName=Open</x:v>
      </x:c>
      <x:c r="C691" s="24" t="e">
        <x:f>HYPERLINK("https://365nails.com/products/365nails-icy-siren-3d-gem-cat-eye-handmade-long-almond-nails","365nails: ""Icy Siren"" – 3D Gem &amp; Cat Eye Handmade Long Almond Nails")</x:f>
        <x:v>HYPERLINK is not implemented. linkLocation=https://365nails.com/products/365nails-icy-siren-3d-gem-cat-eye-handmade-long-almond-nails, friendlyName=365nails: "Icy Siren" – 3D Gem &amp; Cat Eye Handmade Long Almond Nails</x:v>
      </x:c>
      <x:c r="D691" s="18" t="str">
        <x:v>Color: 2844-middle ladder / 2846-long oval; Color classification: Xs / S / M / L</x:v>
      </x:c>
      <x:c r="E691" s="25" t="str">
        <x:v>$3.49</x:v>
      </x:c>
      <x:c r="F691" s="19" t="str">
        <x:v>1</x:v>
      </x:c>
    </x:row>
    <x:row r="692" ht="93" customHeight="1">
      <x:c r="A692" s="19" t="n">
        <x:v>689</x:v>
      </x:c>
      <x:c r="B692" s="22" t="e">
        <x:f>HYPERLINK("https://cdn.shopify.com/s/files/1/0918/6066/4603/files/O1CN015BiFKJ1CPwLNfBoKW__2213196780074-0-cib.jpg?v=1776601305","Open")</x:f>
        <x:v>HYPERLINK is not implemented. linkLocation=https://cdn.shopify.com/s/files/1/0918/6066/4603/files/O1CN015BiFKJ1CPwLNfBoKW__2213196780074-0-cib.jpg?v=1776601305, friendlyName=Open</x:v>
      </x:c>
      <x:c r="C692" s="24" t="e">
        <x:f>HYPERLINK("https://365nails.com/products/365nails-whispering-silk-iridescent-cat-eye-silver-flake-handmade-short-square-nails","365nails: ""Whispering Silk"" – Iridescent Cat Eye &amp; Silver Flake Handmade Short Square Nails")</x:f>
        <x:v>HYPERLINK is not implemented. linkLocation=https://365nails.com/products/365nails-whispering-silk-iridescent-cat-eye-silver-flake-handmade-short-square-nails, friendlyName=365nails: "Whispering Silk" – Iridescent Cat Eye &amp; Silver Flake Handmade Short Square Nails</x:v>
      </x:c>
      <x:c r="D692" s="18" t="str">
        <x:v>Color: Extra small size xs / Small s / Medium m / Large l; Specification type: 1213-super short ladder / 1326-short ladder</x:v>
      </x:c>
      <x:c r="E692" s="25" t="str">
        <x:v>$3.49</x:v>
      </x:c>
      <x:c r="F692" s="19" t="str">
        <x:v>1</x:v>
      </x:c>
    </x:row>
    <x:row r="693" ht="93" customHeight="1">
      <x:c r="A693" s="19" t="n">
        <x:v>690</x:v>
      </x:c>
      <x:c r="B693" s="22" t="e">
        <x:f>HYPERLINK("https://cdn.shopify.com/s/files/1/0918/6066/4603/files/O1CN01nc91hP2NGHenrJ1PU__4234819935-0-cib.jpg?v=1753431771","Open")</x:f>
        <x:v>HYPERLINK is not implemented. linkLocation=https://cdn.shopify.com/s/files/1/0918/6066/4603/files/O1CN01nc91hP2NGHenrJ1PU__4234819935-0-cib.jpg?v=1753431771, friendlyName=Open</x:v>
      </x:c>
      <x:c r="C693" s="24" t="e">
        <x:f>HYPERLINK("https://365nails.com/products/wearing-armor-nude-white-edge-rhinestone-french-nail-piece-wholesale-wearing-armor-advanced-finished-nail-piece-wholesale-nail-piece-365nails","Wearing armor Nude white edge rhinestone French nail piece Wholesale Wearing armor Advanced finished nail piece Wholesale nail piece｜365nails")</x:f>
        <x:v>HYPERLINK is not implemented. linkLocation=https://365nails.com/products/wearing-armor-nude-white-edge-rhinestone-french-nail-piece-wholesale-wearing-armor-advanced-finished-nail-piece-wholesale-nail-piece-365nails, friendlyName=Wearing armor Nude white edge rhinestone French nail piece Wholesale Wearing armor Advanced finished nail piece Wholesale nail piece｜365nails</x:v>
      </x:c>
      <x:c r="D693" s="18" t="str">
        <x:v>color: JP1465</x:v>
      </x:c>
      <x:c r="E693" s="25" t="str">
        <x:v>$1.03</x:v>
      </x:c>
      <x:c r="F693" s="19" t="str">
        <x:v>1</x:v>
      </x:c>
    </x:row>
    <x:row r="694" ht="93" customHeight="1">
      <x:c r="A694" s="19" t="n">
        <x:v>691</x:v>
      </x:c>
      <x:c r="B694" s="22" t="e">
        <x:f>HYPERLINK("https://cdn.shopify.com/s/files/1/0918/6066/4603/files/O1CN01ep5NqN1CPwKosjg4I__2213196780074-0-cib.jpg?v=1776600906","Open")</x:f>
        <x:v>HYPERLINK is not implemented. linkLocation=https://cdn.shopify.com/s/files/1/0918/6066/4603/files/O1CN01ep5NqN1CPwKosjg4I__2213196780074-0-cib.jpg?v=1776600906, friendlyName=Open</x:v>
      </x:c>
      <x:c r="C694" s="24" t="e">
        <x:f>HYPERLINK("https://365nails.com/products/365nails-golden-serpent-3d-gold-snake-metallic-handmade-short-square-nails","365nails: ""Golden Serpent"" – 3D Gold Snake &amp; Metallic Handmade Short Square Nails")</x:f>
        <x:v>HYPERLINK is not implemented. linkLocation=https://365nails.com/products/365nails-golden-serpent-3d-gold-snake-metallic-handmade-short-square-nails, friendlyName=365nails: "Golden Serpent" – 3D Gold Snake &amp; Metallic Handmade Short Square Nails</x:v>
      </x:c>
      <x:c r="D694" s="18" t="str">
        <x:v>Color: Extra small size xs / Small s / Medium m / Large l; Specification type: 2650-super short ladder</x:v>
      </x:c>
      <x:c r="E694" s="25" t="str">
        <x:v>$3.99</x:v>
      </x:c>
      <x:c r="F694" s="19" t="str">
        <x:v>1</x:v>
      </x:c>
    </x:row>
    <x:row r="695" ht="93" customHeight="1">
      <x:c r="A695" s="19" t="n">
        <x:v>692</x:v>
      </x:c>
      <x:c r="B695" s="22" t="e">
        <x:f>HYPERLINK("https://cdn.shopify.com/s/files/1/0918/6066/4603/files/O1CN01vbnCy62MQzd9hFmL4__2219089449823-0-cib.jpg?v=1774521099","Open")</x:f>
        <x:v>HYPERLINK is not implemented. linkLocation=https://cdn.shopify.com/s/files/1/0918/6066/4603/files/O1CN01vbnCy62MQzd9hFmL4__2219089449823-0-cib.jpg?v=1774521099, friendlyName=Open</x:v>
      </x:c>
      <x:c r="C695" s="24" t="e">
        <x:f>HYPERLINK("https://365nails.com/products/azure-bloom-indigo-floral-almond-press-on-nails","Azure Bloom: ""Indigo Floral"" – Almond Press-On Nails")</x:f>
        <x:v>HYPERLINK is not implemented. linkLocation=https://365nails.com/products/azure-bloom-indigo-floral-almond-press-on-nails, friendlyName=Azure Bloom: "Indigo Floral" – Almond Press-On Nails</x:v>
      </x:c>
      <x:c r="D695" s="18" t="str">
        <x:v>Color: K034; Color classification: Xs / S / M / L</x:v>
      </x:c>
      <x:c r="E695" s="25" t="str">
        <x:v>$3.49</x:v>
      </x:c>
      <x:c r="F695" s="19" t="str">
        <x:v>1</x:v>
      </x:c>
    </x:row>
    <x:row r="696" ht="93" customHeight="1">
      <x:c r="A696" s="19" t="n">
        <x:v>693</x:v>
      </x:c>
      <x:c r="B696" s="22" t="e">
        <x:f>HYPERLINK("https://cdn.shopify.com/s/files/1/0918/6066/4603/files/O1CN01AZJ92L2NGHn9osIK2__4234819935-0-cib.jpg?v=1753431803","Open")</x:f>
        <x:v>HYPERLINK is not implemented. linkLocation=https://cdn.shopify.com/s/files/1/0918/6066/4603/files/O1CN01AZJ92L2NGHn9osIK2__4234819935-0-cib.jpg?v=1753431803, friendlyName=Open</x:v>
      </x:c>
      <x:c r="C696" s="24" t="e">
        <x:f>HYPERLINK("https://365nails.com/products/medium-and-long-square-manicure-piece-nail-piece-cross-border-wear-nail-piece-nail-art-butterfly-fake-nail-nail-sticker-nail-piece-wear-nail-365nails","Medium and long square manicure piece Nail piece  wear nail piece Nail art butterfly fake nail nail sticker Nail piece Wear nail｜365nails")</x:f>
        <x:v>HYPERLINK is not implemented. linkLocation=https://365nails.com/products/medium-and-long-square-manicure-piece-nail-piece-cross-border-wear-nail-piece-nail-art-butterfly-fake-nail-nail-sticker-nail-piece-wear-nail-365nails, friendlyName=Medium and long square manicure piece Nail piece  wear nail piece Nail art butterfly fake nail nail sticker Nail piece Wear nail｜365nails</x:v>
      </x:c>
      <x:c r="D696" s="18" t="str">
        <x:v>color: JP2788</x:v>
      </x:c>
      <x:c r="E696" s="25" t="str">
        <x:v>$1.33</x:v>
      </x:c>
      <x:c r="F696" s="19" t="str">
        <x:v>1</x:v>
      </x:c>
    </x:row>
    <x:row r="697" ht="93" customHeight="1">
      <x:c r="A697" s="19" t="n">
        <x:v>694</x:v>
      </x:c>
      <x:c r="B697" s="22" t="e">
        <x:f>HYPERLINK("https://cdn.shopify.com/s/files/1/0918/6066/4603/files/O1CN01lT6IKa2NGHxu8LGhE__4234819935-0-cib.jpg?v=1753431747","Open")</x:f>
        <x:v>HYPERLINK is not implemented. linkLocation=https://cdn.shopify.com/s/files/1/0918/6066/4603/files/O1CN01lT6IKa2NGHxu8LGhE__4234819935-0-cib.jpg?v=1753431747, friendlyName=Open</x:v>
      </x:c>
      <x:c r="C697" s="24" t="e">
        <x:f>HYPERLINK("https://365nails.com/products/cross-border-hot-selling-french-black-wearable-nail-glitter-line-wearable-nail-piece-repeatable-nail-piece-wholesale-365nails","hot-selling French black wearable nail glitter line wearable nail piece repeatable nail piece wholesale｜365nails")</x:f>
        <x:v>HYPERLINK is not implemented. linkLocation=https://365nails.com/products/cross-border-hot-selling-french-black-wearable-nail-glitter-line-wearable-nail-piece-repeatable-nail-piece-wholesale-365nails, friendlyName=hot-selling French black wearable nail glitter line wearable nail piece repeatable nail piece wholesale｜365nails</x:v>
      </x:c>
      <x:c r="D697" s="18" t="str">
        <x:v>color: JP3978</x:v>
      </x:c>
      <x:c r="E697" s="25" t="str">
        <x:v>$1.30</x:v>
      </x:c>
      <x:c r="F697" s="19" t="str">
        <x:v>1</x:v>
      </x:c>
    </x:row>
    <x:row r="698" ht="93" customHeight="1">
      <x:c r="A698" s="19" t="n">
        <x:v>695</x:v>
      </x:c>
      <x:c r="B698" s="22" t="e">
        <x:f>HYPERLINK("https://cdn.shopify.com/s/files/1/0918/6066/4603/files/O1CN01L4bvPo1CPwN8ExbMA__2213196780074-0-cib_5b395142-6844-480b-bd6d-717b9f4a2204.jpg?v=1776645712","Open")</x:f>
        <x:v>HYPERLINK is not implemented. linkLocation=https://cdn.shopify.com/s/files/1/0918/6066/4603/files/O1CN01L4bvPo1CPwN8ExbMA__2213196780074-0-cib_5b395142-6844-480b-bd6d-717b9f4a2204.jpg?v=1776645712, friendlyName=Open</x:v>
      </x:c>
      <x:c r="C698" s="24" t="e">
        <x:f>HYPERLINK("https://365nails.com/products/365nails-peach-blossom-hand-painted-floral-handmade-short-almond-nails","365nails: ""Peach Blossom"" – Hand-Painted Floral Handmade Short Almond Nails")</x:f>
        <x:v>HYPERLINK is not implemented. linkLocation=https://365nails.com/products/365nails-peach-blossom-hand-painted-floral-handmade-short-almond-nails, friendlyName=365nails: "Peach Blossom" – Hand-Painted Floral Handmade Short Almond Nails</x:v>
      </x:c>
      <x:c r="D698" s="18" t="str">
        <x:v>Color: 2841-short oval; Color classification: Xs / S / M / L</x:v>
      </x:c>
      <x:c r="E698" s="25" t="str">
        <x:v>$2.99</x:v>
      </x:c>
      <x:c r="F698" s="19" t="str">
        <x:v>1</x:v>
      </x:c>
    </x:row>
    <x:row r="699" ht="93" customHeight="1">
      <x:c r="A699" s="19" t="n">
        <x:v>696</x:v>
      </x:c>
      <x:c r="B699" s="22" t="e">
        <x:f>HYPERLINK("https://cdn.shopify.com/s/files/1/0918/6066/4603/files/O1CN01Xh7AZK1CPwLqCLjPk__2213196780074-0-cib.jpg?v=1776602485","Open")</x:f>
        <x:v>HYPERLINK is not implemented. linkLocation=https://cdn.shopify.com/s/files/1/0918/6066/4603/files/O1CN01Xh7AZK1CPwLqCLjPk__2213196780074-0-cib.jpg?v=1776602485, friendlyName=Open</x:v>
      </x:c>
      <x:c r="C699" s="24" t="e">
        <x:f>HYPERLINK("https://365nails.com/products/365nails-shadow-bloom-3d-floral-cat-eye-handmade-almond-nails","365nails: ""Shadow Bloom"" – 3D Floral &amp; Cat Eye Handmade Almond Nails")</x:f>
        <x:v>HYPERLINK is not implemented. linkLocation=https://365nails.com/products/365nails-shadow-bloom-3d-floral-cat-eye-handmade-almond-nails, friendlyName=365nails: "Shadow Bloom" – 3D Floral &amp; Cat Eye Handmade Almond Nails</x:v>
      </x:c>
      <x:c r="D699" s="18" t="str">
        <x:v>Color: 313-short ladder; Color classification: Xs / S / M / L</x:v>
      </x:c>
      <x:c r="E699" s="25" t="str">
        <x:v>$3.49</x:v>
      </x:c>
      <x:c r="F699" s="19" t="str">
        <x:v>1</x:v>
      </x:c>
    </x:row>
    <x:row r="700" ht="93" customHeight="1">
      <x:c r="A700" s="19" t="n">
        <x:v>697</x:v>
      </x:c>
      <x:c r="B700" s="22" t="e">
        <x:f>HYPERLINK("https://cdn.shopify.com/s/files/1/0918/6066/4603/files/O1CN01OCRdV61CPwLqmwwmZ__2213196780074-0-cib.jpg?v=1776602421","Open")</x:f>
        <x:v>HYPERLINK is not implemented. linkLocation=https://cdn.shopify.com/s/files/1/0918/6066/4603/files/O1CN01OCRdV61CPwLqmwwmZ__2213196780074-0-cib.jpg?v=1776602421, friendlyName=Open</x:v>
      </x:c>
      <x:c r="C700" s="24" t="e">
        <x:f>HYPERLINK("https://365nails.com/products/365nails-midnight-soiree-3d-bowknot-butterfly-handmade-coffin-nails","365nails: ""Midnight Soiree"" – 3D Bowknot &amp; Butterfly Handmade Coffin Nails")</x:f>
        <x:v>HYPERLINK is not implemented. linkLocation=https://365nails.com/products/365nails-midnight-soiree-3d-bowknot-butterfly-handmade-coffin-nails, friendlyName=365nails: "Midnight Soiree" – 3D Bowknot &amp; Butterfly Handmade Coffin Nails</x:v>
      </x:c>
      <x:c r="D700" s="18" t="str">
        <x:v>Color: 323-rectangular; Color classification: Xs / S / M / L</x:v>
      </x:c>
      <x:c r="E700" s="25" t="str">
        <x:v>$3.49</x:v>
      </x:c>
      <x:c r="F700" s="19" t="str">
        <x:v>1</x:v>
      </x:c>
    </x:row>
    <x:row r="701" ht="93" customHeight="1">
      <x:c r="A701" s="19" t="n">
        <x:v>698</x:v>
      </x:c>
      <x:c r="B701" s="22" t="e">
        <x:f>HYPERLINK("https://cdn.shopify.com/s/files/1/0918/6066/4603/files/O1CN01mYmssC1CPwKU5bP6b__2213196780074-0-cib.jpg?v=1776598987","Open")</x:f>
        <x:v>HYPERLINK is not implemented. linkLocation=https://cdn.shopify.com/s/files/1/0918/6066/4603/files/O1CN01mYmssC1CPwKU5bP6b__2213196780074-0-cib.jpg?v=1776598987, friendlyName=Open</x:v>
      </x:c>
      <x:c r="C701" s="24" t="e">
        <x:f>HYPERLINK("https://365nails.com/products/365nails-lucky-lion-3d-lion-dance-cat-eye-handmade-short-square-nails","365nails: ""Lucky Lion"" – 3D Lion Dance &amp; Cat-Eye Handmade Short Square Nails")</x:f>
        <x:v>HYPERLINK is not implemented. linkLocation=https://365nails.com/products/365nails-lucky-lion-3d-lion-dance-cat-eye-handmade-short-square-nails, friendlyName=365nails: "Lucky Lion" – 3D Lion Dance &amp; Cat-Eye Handmade Short Square Nails</x:v>
      </x:c>
      <x:c r="D701" s="18" t="str">
        <x:v>Color: Extra small size xs / Small s / Medium m / Large l; Specification type: 2723-super short ladder</x:v>
      </x:c>
      <x:c r="E701" s="25" t="str">
        <x:v>$3.99</x:v>
      </x:c>
      <x:c r="F701" s="19" t="str">
        <x:v>1</x:v>
      </x:c>
    </x:row>
    <x:row r="702" ht="93" customHeight="1">
      <x:c r="A702" s="19" t="n">
        <x:v>699</x:v>
      </x:c>
      <x:c r="B702" s="22" t="e">
        <x:f>HYPERLINK("https://cdn.shopify.com/s/files/1/0918/6066/4603/files/O1CN01cFI7ce2MQzfqZdW13__2219089449823-0-cib.jpg?v=1774521024","Open")</x:f>
        <x:v>HYPERLINK is not implemented. linkLocation=https://cdn.shopify.com/s/files/1/0918/6066/4603/files/O1CN01cFI7ce2MQzfqZdW13__2219089449823-0-cib.jpg?v=1774521024, friendlyName=Open</x:v>
      </x:c>
      <x:c r="C702" s="24" t="e">
        <x:f>HYPERLINK("https://365nails.com/products/cherry-crush-red-cherry-long-square-press-on-nails","Cherry Crush: ""Red Cherry"" – Long Square Press-On Nails")</x:f>
        <x:v>HYPERLINK is not implemented. linkLocation=https://365nails.com/products/cherry-crush-red-cherry-long-square-press-on-nails, friendlyName=Cherry Crush: "Red Cherry" – Long Square Press-On Nails</x:v>
      </x:c>
      <x:c r="D702" s="18" t="str">
        <x:v>Color: L–299; Color classification: Xs / S / M / L</x:v>
      </x:c>
      <x:c r="E702" s="25" t="str">
        <x:v>$3.49</x:v>
      </x:c>
      <x:c r="F702" s="19" t="str">
        <x:v>1</x:v>
      </x:c>
    </x:row>
    <x:row r="703" ht="93" customHeight="1">
      <x:c r="A703" s="19" t="n">
        <x:v>700</x:v>
      </x:c>
      <x:c r="B703" s="22" t="e">
        <x:f>HYPERLINK("https://cdn.shopify.com/s/files/1/0918/6066/4603/files/O1CN01wldAvX2NGHmLtEZ46__4234819935-0-cib.jpg?v=1753431763","Open")</x:f>
        <x:v>HYPERLINK is not implemented. linkLocation=https://cdn.shopify.com/s/files/1/0918/6066/4603/files/O1CN01wldAvX2NGHmLtEZ46__4234819935-0-cib.jpg?v=1753431763, friendlyName=Open</x:v>
      </x:c>
      <x:c r="C703" s="24" t="e">
        <x:f>HYPERLINK("https://365nails.com/products/nail-piece-wear-nail-matte-black-smudge-nail-patch-fake-nail-patch-wear-nail-medium-and-long-nail-patch-365nails","Nail piece Wear nail matte black smudge nail patch Fake nail patch Wear nail medium and long nail patch｜365nails")</x:f>
        <x:v>HYPERLINK is not implemented. linkLocation=https://365nails.com/products/nail-piece-wear-nail-matte-black-smudge-nail-patch-fake-nail-patch-wear-nail-medium-and-long-nail-patch-365nails, friendlyName=Nail piece Wear nail matte black smudge nail patch Fake nail patch Wear nail medium and long nail patch｜365nails</x:v>
      </x:c>
      <x:c r="D703" s="18" t="str">
        <x:v>color: JP2613</x:v>
      </x:c>
      <x:c r="E703" s="25" t="str">
        <x:v>$1.11</x:v>
      </x:c>
      <x:c r="F703" s="19" t="str">
        <x:v>1</x:v>
      </x:c>
    </x:row>
    <x:row r="704" ht="93" customHeight="1">
      <x:c r="A704" s="19" t="n">
        <x:v>701</x:v>
      </x:c>
      <x:c r="B704" s="22" t="e">
        <x:f>HYPERLINK("https://cdn.shopify.com/s/files/1/0918/6066/4603/files/O1CN01Kk6pWL2NGHfx6boHG__4234819935-0-cib.jpg?v=1753429129","Open")</x:f>
        <x:v>HYPERLINK is not implemented. linkLocation=https://cdn.shopify.com/s/files/1/0918/6066/4603/files/O1CN01Kk6pWL2NGHfx6boHG__4234819935-0-cib.jpg?v=1753429129, friendlyName=Open</x:v>
      </x:c>
      <x:c r="C704" s="24" t="e">
        <x:f>HYPERLINK("https://365nails.com/products/wearable-manicure-wearable-manicure-wholesale-french-pink-love-nail-sticker-removable-nail-piece-nail-piece-365nails","Wearable manicure Wearable manicure Wholesale, French pink love nail sticker Removable nail piece nail piece｜365nails")</x:f>
        <x:v>HYPERLINK is not implemented. linkLocation=https://365nails.com/products/wearable-manicure-wearable-manicure-wholesale-french-pink-love-nail-sticker-removable-nail-piece-nail-piece-365nails, friendlyName=Wearable manicure Wearable manicure Wholesale, French pink love nail sticker Removable nail piece nail piece｜365nails</x:v>
      </x:c>
      <x:c r="D704" s="18" t="str">
        <x:v>color: JP1773</x:v>
      </x:c>
      <x:c r="E704" s="25" t="str">
        <x:v>$0.70</x:v>
      </x:c>
      <x:c r="F704" s="19" t="str">
        <x:v>1</x:v>
      </x:c>
    </x:row>
    <x:row r="705" ht="93" customHeight="1">
      <x:c r="A705" s="19" t="n">
        <x:v>702</x:v>
      </x:c>
      <x:c r="B705" s="22" t="e">
        <x:f>HYPERLINK("https://cdn.shopify.com/s/files/1/0918/6066/4603/files/O1CN015aYnwK1CPwNsXIGab__2213196780074-0-cib.jpg?v=1776645962","Open")</x:f>
        <x:v>HYPERLINK is not implemented. linkLocation=https://cdn.shopify.com/s/files/1/0918/6066/4603/files/O1CN015aYnwK1CPwNsXIGab__2213196780074-0-cib.jpg?v=1776645962, friendlyName=Open</x:v>
      </x:c>
      <x:c r="C705" s="24" t="e">
        <x:f>HYPERLINK("https://365nails.com/products/365nails-autumn-gold-mirror-chrome-french-tip-handmade-short-square-nails","365nails: ""Autumn Gold"" – Mirror Chrome French Tip Handmade Short Square Nails")</x:f>
        <x:v>HYPERLINK is not implemented. linkLocation=https://365nails.com/products/365nails-autumn-gold-mirror-chrome-french-tip-handmade-short-square-nails, friendlyName=365nails: "Autumn Gold" – Mirror Chrome French Tip Handmade Short Square Nails</x:v>
      </x:c>
      <x:c r="D705" s="18" t="str">
        <x:v>Color: 361-new china; Color classification: Xs / S / M / L</x:v>
      </x:c>
      <x:c r="E705" s="25" t="str">
        <x:v>$3.49</x:v>
      </x:c>
      <x:c r="F705" s="19" t="str">
        <x:v>1</x:v>
      </x:c>
    </x:row>
    <x:row r="706" ht="93" customHeight="1">
      <x:c r="A706" s="19" t="n">
        <x:v>703</x:v>
      </x:c>
      <x:c r="B706" s="22" t="e">
        <x:f>HYPERLINK("https://cdn.shopify.com/s/files/1/0918/6066/4603/files/O1CN010izEVw1CPwMlTmjNd__2213196780074-0-cib.jpg?v=1776645634","Open")</x:f>
        <x:v>HYPERLINK is not implemented. linkLocation=https://cdn.shopify.com/s/files/1/0918/6066/4603/files/O1CN010izEVw1CPwMlTmjNd__2213196780074-0-cib.jpg?v=1776645634, friendlyName=Open</x:v>
      </x:c>
      <x:c r="C706" s="24" t="e">
        <x:f>HYPERLINK("https://365nails.com/products/365nails-golden-hour-romance-3d-bow-pearl-handmade-long-coffin-nails","365nails: ""Golden Hour Romance"" – 3D Bow &amp; Pearl Handmade Long Coffin Nails")</x:f>
        <x:v>HYPERLINK is not implemented. linkLocation=https://365nails.com/products/365nails-golden-hour-romance-3d-bow-pearl-handmade-long-coffin-nails, friendlyName=365nails: "Golden Hour Romance" – 3D Bow &amp; Pearl Handmade Long Coffin Nails</x:v>
      </x:c>
      <x:c r="D706" s="18" t="str">
        <x:v>Color: 859 - fine point tip; Color classification: Xs / S / M / L</x:v>
      </x:c>
      <x:c r="E706" s="25" t="str">
        <x:v>$3.99</x:v>
      </x:c>
      <x:c r="F706" s="19" t="str">
        <x:v>1</x:v>
      </x:c>
    </x:row>
    <x:row r="707" ht="93" customHeight="1">
      <x:c r="A707" s="19" t="n">
        <x:v>704</x:v>
      </x:c>
      <x:c r="B707" s="22" t="e">
        <x:f>HYPERLINK("https://cdn.shopify.com/s/files/1/0918/6066/4603/files/O1CN01q937Cb1CPwPrTUWIk__2213196780074-0-cib.jpg?v=1776514774","Open")</x:f>
        <x:v>HYPERLINK is not implemented. linkLocation=https://cdn.shopify.com/s/files/1/0918/6066/4603/files/O1CN01q937Cb1CPwPrTUWIk__2213196780074-0-cib.jpg?v=1776514774, friendlyName=Open</x:v>
      </x:c>
      <x:c r="C707" s="24" t="e">
        <x:f>HYPERLINK("https://365nails.com/products/365nails-nude-polka-dream-translucent-pearl-dot-handmade-almond-nails","365nails: ""Nude Polka Dream"" – Translucent Pearl Dot Handmade Almond Nails")</x:f>
        <x:v>HYPERLINK is not implemented. linkLocation=https://365nails.com/products/365nails-nude-polka-dream-translucent-pearl-dot-handmade-almond-nails, friendlyName=365nails: "Nude Polka Dream" – Translucent Pearl Dot Handmade Almond Nails</x:v>
      </x:c>
      <x:c r="D707" s="18" t="str">
        <x:v>Color: Extra small size xs / Small s / Medium m / Large l; Specification type: 335-medium almond</x:v>
      </x:c>
      <x:c r="E707" s="25" t="str">
        <x:v>$2.49</x:v>
      </x:c>
      <x:c r="F707" s="19" t="str">
        <x:v>1</x:v>
      </x:c>
    </x:row>
    <x:row r="708" ht="93" customHeight="1">
      <x:c r="A708" s="19" t="n">
        <x:v>705</x:v>
      </x:c>
      <x:c r="B708" s="22" t="e">
        <x:f>HYPERLINK("https://cdn.shopify.com/s/files/1/0918/6066/4603/files/O1CN01v4faAa2MQzeZXo34B__2219089449823-0-cib.jpg?v=1774453091","Open")</x:f>
        <x:v>HYPERLINK is not implemented. linkLocation=https://cdn.shopify.com/s/files/1/0918/6066/4603/files/O1CN01v4faAa2MQzeZXo34B__2219089449823-0-cib.jpg?v=1774453091, friendlyName=Open</x:v>
      </x:c>
      <x:c r="C708" s="24" t="e">
        <x:f>HYPERLINK("https://365nails.com/products/sakura-bloom-cherry-petal-long-almond-handmade-press-on-nails","Sakura Bloom: ""Cherry Petal"" – Long Almond Handmade Press On Nails")</x:f>
        <x:v>HYPERLINK is not implemented. linkLocation=https://365nails.com/products/sakura-bloom-cherry-petal-long-almond-handmade-press-on-nails, friendlyName=Sakura Bloom: "Cherry Petal" – Long Almond Handmade Press On Nails</x:v>
      </x:c>
      <x:c r="D708" s="18" t="str">
        <x:v>Color: D561; Color classification: X s / S / M / L</x:v>
      </x:c>
      <x:c r="E708" s="25" t="str">
        <x:v>$3.49</x:v>
      </x:c>
      <x:c r="F708" s="19" t="str">
        <x:v>1</x:v>
      </x:c>
    </x:row>
    <x:row r="709" ht="93" customHeight="1">
      <x:c r="A709" s="19" t="n">
        <x:v>706</x:v>
      </x:c>
      <x:c r="B709" s="22" t="e">
        <x:f>HYPERLINK("https://cdn.shopify.com/s/files/1/0918/6066/4603/files/O1CN01bENhTP2NGHvWvcGRq__4234819935-0-cib.jpg?v=1753429155","Open")</x:f>
        <x:v>HYPERLINK is not implemented. linkLocation=https://cdn.shopify.com/s/files/1/0918/6066/4603/files/O1CN01bENhTP2NGHvWvcGRq__4234819935-0-cib.jpg?v=1753429155, friendlyName=Open</x:v>
      </x:c>
      <x:c r="C709" s="24" t="e">
        <x:f>HYPERLINK("https://365nails.com/products/simple-short-short-short-round-naked-powder-nail-art-french-gold-wearable-fake-nail-gold-pulp-3d-wearable-nail-piece-wholesale-365nails","Simple short short short round naked powder nail art French gold wearable fake nail gold pulp 3D wearable nail piece wholesale｜365nails")</x:f>
        <x:v>HYPERLINK is not implemented. linkLocation=https://365nails.com/products/simple-short-short-short-round-naked-powder-nail-art-french-gold-wearable-fake-nail-gold-pulp-3d-wearable-nail-piece-wholesale-365nails, friendlyName=Simple short short short round naked powder nail art French gold wearable fake nail gold pulp 3D wearable nail piece wholesale｜365nails</x:v>
      </x:c>
      <x:c r="D709" s="18" t="str">
        <x:v>color: JP3550</x:v>
      </x:c>
      <x:c r="E709" s="25" t="str">
        <x:v>$1.11</x:v>
      </x:c>
      <x:c r="F709" s="19" t="str">
        <x:v>1</x:v>
      </x:c>
    </x:row>
    <x:row r="710" ht="93" customHeight="1">
      <x:c r="A710" s="19" t="n">
        <x:v>707</x:v>
      </x:c>
      <x:c r="B710" s="22" t="e">
        <x:f>HYPERLINK("https://cdn.shopify.com/s/files/1/0918/6066/4603/files/O1CN01BiDIRH1CPwM9RGq4h__2213196780074-0-cib.jpg?v=1776602798","Open")</x:f>
        <x:v>HYPERLINK is not implemented. linkLocation=https://cdn.shopify.com/s/files/1/0918/6066/4603/files/O1CN01BiDIRH1CPwM9RGq4h__2213196780074-0-cib.jpg?v=1776602798, friendlyName=Open</x:v>
      </x:c>
      <x:c r="C710" s="24" t="e">
        <x:f>HYPERLINK("https://365nails.com/products/365nails-starlight-reverie-3d-gem-glitter-handmade-stiletto-nails","365nails: ""Starlight Reverie"" – 3D Gem &amp; Glitter Handmade Stiletto Nails")</x:f>
        <x:v>HYPERLINK is not implemented. linkLocation=https://365nails.com/products/365nails-starlight-reverie-3d-gem-glitter-handmade-stiletto-nails, friendlyName=365nails: "Starlight Reverie" – 3D Gem &amp; Glitter Handmade Stiletto Nails</x:v>
      </x:c>
      <x:c r="D710" s="18" t="str">
        <x:v>Color: 1197-fine dog tip; Color classification: Xs / S / M / L</x:v>
      </x:c>
      <x:c r="E710" s="25" t="str">
        <x:v>$3.99</x:v>
      </x:c>
      <x:c r="F710" s="19" t="str">
        <x:v>1</x:v>
      </x:c>
    </x:row>
    <x:row r="711" ht="93" customHeight="1">
      <x:c r="A711" s="19" t="n">
        <x:v>708</x:v>
      </x:c>
      <x:c r="B711" s="22" t="e">
        <x:f>HYPERLINK("https://cdn.shopify.com/s/files/1/0918/6066/4603/files/O1CN01gPwLe91CPwKZoEely__2213196780074-0-cib.jpg?v=1776600239","Open")</x:f>
        <x:v>HYPERLINK is not implemented. linkLocation=https://cdn.shopify.com/s/files/1/0918/6066/4603/files/O1CN01gPwLe91CPwKZoEely__2213196780074-0-cib.jpg?v=1776600239, friendlyName=Open</x:v>
      </x:c>
      <x:c r="C711" s="24" t="e">
        <x:f>HYPERLINK("https://365nails.com/products/365nails-parisian-noel-red-french-tip-plaid-handmade-short-square-nails","365nails: ""Parisian Noel"" – Red French Tip &amp; Plaid Handmade Short Square Nails")</x:f>
        <x:v>HYPERLINK is not implemented. linkLocation=https://365nails.com/products/365nails-parisian-noel-red-french-tip-plaid-handmade-short-square-nails, friendlyName=365nails: "Parisian Noel" – Red French Tip &amp; Plaid Handmade Short Square Nails</x:v>
      </x:c>
      <x:c r="D711" s="18" t="str">
        <x:v>Color: Extra small size xs / Small s / Medium m / Large l; Specification type: 2734-super short ladder / 2736-short ladder / 2705-long oval</x:v>
      </x:c>
      <x:c r="E711" s="25" t="str">
        <x:v>$3.49</x:v>
      </x:c>
      <x:c r="F711" s="19" t="str">
        <x:v>1</x:v>
      </x:c>
    </x:row>
    <x:row r="712" ht="93" customHeight="1">
      <x:c r="A712" s="19" t="n">
        <x:v>709</x:v>
      </x:c>
      <x:c r="B712" s="22" t="e">
        <x:f>HYPERLINK("https://cdn.shopify.com/s/files/1/0918/6066/4603/files/O1CN01JITy721CPwKYs3oWe__2213196780074-0-cib.jpg?v=1776600046","Open")</x:f>
        <x:v>HYPERLINK is not implemented. linkLocation=https://cdn.shopify.com/s/files/1/0918/6066/4603/files/O1CN01JITy721CPwKYs3oWe__2213196780074-0-cib.jpg?v=1776600046, friendlyName=Open</x:v>
      </x:c>
      <x:c r="C712" s="24" t="e">
        <x:f>HYPERLINK("https://365nails.com/products/365nails-midnight-bloom-3d-floral-leopard-print-handmade-short-square-nails","365nails: ""Midnight Bloom"" – 3D Floral &amp; Leopard Print Handmade Short Square Nails")</x:f>
        <x:v>HYPERLINK is not implemented. linkLocation=https://365nails.com/products/365nails-midnight-bloom-3d-floral-leopard-print-handmade-short-square-nails, friendlyName=365nails: "Midnight Bloom" – 3D Floral &amp; Leopard Print Handmade Short Square Nails</x:v>
      </x:c>
      <x:c r="D712" s="18" t="str">
        <x:v>Color: Extra small size xs / Small s / Medium m / Large l; Specification type: 2265-super short ladder</x:v>
      </x:c>
      <x:c r="E712" s="25" t="str">
        <x:v>$3.49</x:v>
      </x:c>
      <x:c r="F712" s="19" t="str">
        <x:v>1</x:v>
      </x:c>
    </x:row>
    <x:row r="713" ht="93" customHeight="1">
      <x:c r="A713" s="19" t="n">
        <x:v>710</x:v>
      </x:c>
      <x:c r="B713" s="22" t="e">
        <x:f>HYPERLINK("https://cdn.shopify.com/s/files/1/0918/6066/4603/files/O1CN01PjROkX2NGHguTwmRO__4234819935-0-cib.jpg?v=1753431789","Open")</x:f>
        <x:v>HYPERLINK is not implemented. linkLocation=https://cdn.shopify.com/s/files/1/0918/6066/4603/files/O1CN01PjROkX2NGHguTwmRO__4234819935-0-cib.jpg?v=1753431789, friendlyName=Open</x:v>
      </x:c>
      <x:c r="C713" s="24" t="e">
        <x:f>HYPERLINK("https://365nails.com/products/nail-art-wholesale-cute-pink-red-contrasting-stripes-wavy-short-wear-nail-wear-nail-art-finished-product-wholesale-365nails","Nail art wholesale cute pink red contrasting stripes wavy short wear nail wear nail art finished product wholesale｜365nails")</x:f>
        <x:v>HYPERLINK is not implemented. linkLocation=https://365nails.com/products/nail-art-wholesale-cute-pink-red-contrasting-stripes-wavy-short-wear-nail-wear-nail-art-finished-product-wholesale-365nails, friendlyName=Nail art wholesale cute pink red contrasting stripes wavy short wear nail wear nail art finished product wholesale｜365nails</x:v>
      </x:c>
      <x:c r="D713" s="18" t="str">
        <x:v>color: JP1954</x:v>
      </x:c>
      <x:c r="E713" s="25" t="str">
        <x:v>$0.76</x:v>
      </x:c>
      <x:c r="F713" s="19" t="str">
        <x:v>1</x:v>
      </x:c>
    </x:row>
    <x:row r="714" ht="93" customHeight="1">
      <x:c r="A714" s="19" t="n">
        <x:v>711</x:v>
      </x:c>
      <x:c r="B714" s="22" t="e">
        <x:f>HYPERLINK("https://cdn.shopify.com/s/files/1/0918/6066/4603/files/O1CN01XbB1Pg1CPwPcANy5o__2213196780074-0-cib_927679f9-013a-47a1-bd4f-8e2d4ff57521.jpg?v=1776515217","Open")</x:f>
        <x:v>HYPERLINK is not implemented. linkLocation=https://cdn.shopify.com/s/files/1/0918/6066/4603/files/O1CN01XbB1Pg1CPwPcANy5o__2213196780074-0-cib_927679f9-013a-47a1-bd4f-8e2d4ff57521.jpg?v=1776515217, friendlyName=Open</x:v>
      </x:c>
      <x:c r="C714" s="24" t="e">
        <x:f>HYPERLINK("https://365nails.com/products/365nails-starry-night-glow-hand-painted-stars-glitter-handmade-almond-nails","365nails: ""Starry Night Glow"" – Hand-Painted Stars &amp; Glitter Handmade Almond Nails")</x:f>
        <x:v>HYPERLINK is not implemented. linkLocation=https://365nails.com/products/365nails-starry-night-glow-hand-painted-stars-glitter-handmade-almond-nails, friendlyName=365nails: "Starry Night Glow" – Hand-Painted Stars &amp; Glitter Handmade Almond Nails</x:v>
      </x:c>
      <x:c r="D714" s="18" t="str">
        <x:v>Color: Extra small size xs / Small s / Medium m / Large l; Specification type: 634-short oval</x:v>
      </x:c>
      <x:c r="E714" s="25" t="str">
        <x:v>$2.99</x:v>
      </x:c>
      <x:c r="F714" s="19" t="str">
        <x:v>1</x:v>
      </x:c>
    </x:row>
    <x:row r="715" ht="93" customHeight="1">
      <x:c r="A715" s="19" t="n">
        <x:v>712</x:v>
      </x:c>
      <x:c r="B715" s="22" t="e">
        <x:f>HYPERLINK("https://cdn.shopify.com/s/files/1/0918/6066/4603/files/O1CN01gQOgxm1CPwIE5tUH9__2213196780074-0-cib.jpg?v=1776593291","Open")</x:f>
        <x:v>HYPERLINK is not implemented. linkLocation=https://cdn.shopify.com/s/files/1/0918/6066/4603/files/O1CN01gQOgxm1CPwIE5tUH9__2213196780074-0-cib.jpg?v=1776593291, friendlyName=Open</x:v>
      </x:c>
      <x:c r="C715" s="24" t="e">
        <x:f>HYPERLINK("https://365nails.com/products/365nails-azure-exotic-crocodile-texture-french-tip-handmade-almond-nails","365nails: ""Azure Exotic"" – Crocodile Texture French Tip Handmade Almond Nails")</x:f>
        <x:v>HYPERLINK is not implemented. linkLocation=https://365nails.com/products/365nails-azure-exotic-crocodile-texture-french-tip-handmade-almond-nails, friendlyName=365nails: "Azure Exotic" – Crocodile Texture French Tip Handmade Almond Nails</x:v>
      </x:c>
      <x:c r="D715" s="18" t="str">
        <x:v>Color: 2167 - medium oval; Color classification: Extra small size xs / Small s / Medium m / Large l</x:v>
      </x:c>
      <x:c r="E715" s="25" t="str">
        <x:v>$3.49</x:v>
      </x:c>
      <x:c r="F715" s="19" t="str">
        <x:v>1</x:v>
      </x:c>
    </x:row>
    <x:row r="716" ht="93" customHeight="1">
      <x:c r="A716" s="19" t="n">
        <x:v>713</x:v>
      </x:c>
      <x:c r="B716" s="22" t="e">
        <x:f>HYPERLINK("https://cdn.shopify.com/s/files/1/0918/6066/4603/files/O1CN01myb0F01CPwPu78HiE__2213196780074-0-cib.jpg?v=1776516563","Open")</x:f>
        <x:v>HYPERLINK is not implemented. linkLocation=https://cdn.shopify.com/s/files/1/0918/6066/4603/files/O1CN01myb0F01CPwPu78HiE__2213196780074-0-cib.jpg?v=1776516563, friendlyName=Open</x:v>
      </x:c>
      <x:c r="C716" s="24" t="e">
        <x:f>HYPERLINK("https://365nails.com/products/365nails-nebula-cross-3d-gold-foil-cross-handmade-short-square-nails","365nails: ""Nebula Cross"" – 3D Gold Foil Cross Handmade Short Square Nails")</x:f>
        <x:v>HYPERLINK is not implemented. linkLocation=https://365nails.com/products/365nails-nebula-cross-3d-gold-foil-cross-handmade-short-square-nails, friendlyName=365nails: "Nebula Cross" – 3D Gold Foil Cross Handmade Short Square Nails</x:v>
      </x:c>
      <x:c r="D716" s="18" t="str">
        <x:v>Color: 1846-super short ladder; Color classification: Extra small size xs / Small s / Medium m / Large l</x:v>
      </x:c>
      <x:c r="E716" s="25" t="str">
        <x:v>$3.49</x:v>
      </x:c>
      <x:c r="F716" s="19" t="str">
        <x:v>1</x:v>
      </x:c>
    </x:row>
    <x:row r="717" ht="93" customHeight="1">
      <x:c r="A717" s="19" t="n">
        <x:v>714</x:v>
      </x:c>
      <x:c r="B717" s="22" t="e">
        <x:f>HYPERLINK("https://cdn.shopify.com/s/files/1/0918/6066/4603/files/O1CN01q6uzoz1CPwFXtjuZZ__2213196780074-0-cib.jpg?v=1776515813","Open")</x:f>
        <x:v>HYPERLINK is not implemented. linkLocation=https://cdn.shopify.com/s/files/1/0918/6066/4603/files/O1CN01q6uzoz1CPwFXtjuZZ__2213196780074-0-cib.jpg?v=1776515813, friendlyName=Open</x:v>
      </x:c>
      <x:c r="C717" s="24" t="e">
        <x:f>HYPERLINK("https://365nails.com/products/365nails-rosy-dots-hand-painted-polka-dot-handmade-coffin-nails","365nails: ""Rosy Dots"" – Hand-Painted Polka Dot Handmade Coffin Nails")</x:f>
        <x:v>HYPERLINK is not implemented. linkLocation=https://365nails.com/products/365nails-rosy-dots-hand-painted-polka-dot-handmade-coffin-nails, friendlyName=365nails: "Rosy Dots" – Hand-Painted Polka Dot Handmade Coffin Nails</x:v>
      </x:c>
      <x:c r="D717" s="18" t="str">
        <x:v>Color: 1486 short ladder / 1479 short ladder; Color classification: Extra small size xs / Small s / Medium m / Large l</x:v>
      </x:c>
      <x:c r="E717" s="25" t="str">
        <x:v>$2.99</x:v>
      </x:c>
      <x:c r="F717" s="19" t="str">
        <x:v>1</x:v>
      </x:c>
    </x:row>
    <x:row r="718" ht="93" customHeight="1">
      <x:c r="A718" s="19" t="n">
        <x:v>715</x:v>
      </x:c>
      <x:c r="B718" s="22" t="e">
        <x:f>HYPERLINK("https://cdn.shopify.com/s/files/1/0918/6066/4603/files/O1CN01E6osqf1CPwPm5wjbU__2213196780074-0-cib.jpg?v=1776331028","Open")</x:f>
        <x:v>HYPERLINK is not implemented. linkLocation=https://cdn.shopify.com/s/files/1/0918/6066/4603/files/O1CN01E6osqf1CPwPm5wjbU__2213196780074-0-cib.jpg?v=1776331028, friendlyName=Open</x:v>
      </x:c>
      <x:c r="C718" s="24" t="e">
        <x:f>HYPERLINK("https://365nails.com/products/365nails-celestial-bloom-hand-painted-floral-metallic-handmade-short-square-nails","365nails: ""Celestial Bloom"" – Hand-Painted Floral &amp; Metallic Handmade Short Square Nails")</x:f>
        <x:v>HYPERLINK is not implemented. linkLocation=https://365nails.com/products/365nails-celestial-bloom-hand-painted-floral-metallic-handmade-short-square-nails, friendlyName=365nails: "Celestial Bloom" – Hand-Painted Floral &amp; Metallic Handmade Short Square Nails</x:v>
      </x:c>
      <x:c r="D718" s="18" t="str">
        <x:v>Color: 1303-short ladder; Color classification: Extra small size xs / Small s / Medium m / Large l</x:v>
      </x:c>
      <x:c r="E718" s="25" t="str">
        <x:v>$2.99</x:v>
      </x:c>
      <x:c r="F718" s="19" t="str">
        <x:v>1</x:v>
      </x:c>
    </x:row>
    <x:row r="719" ht="93" customHeight="1">
      <x:c r="A719" s="19" t="n">
        <x:v>716</x:v>
      </x:c>
      <x:c r="B719" s="22" t="e">
        <x:f>HYPERLINK("https://cdn.shopify.com/s/files/1/0918/6066/4603/files/O1CN016W61Pb2Hxu2U64HAQ__2214169509218-0-cib.jpg?v=1776330897","Open")</x:f>
        <x:v>HYPERLINK is not implemented. linkLocation=https://cdn.shopify.com/s/files/1/0918/6066/4603/files/O1CN016W61Pb2Hxu2U64HAQ__2214169509218-0-cib.jpg?v=1776330897, friendlyName=Open</x:v>
      </x:c>
      <x:c r="C719" s="24" t="e">
        <x:f>HYPERLINK("https://365nails.com/products/365nails-wild-orchid-3d-floral-tiger-stripe-handmade-short-square-nails","365nails: ""Wild Orchid"" – 3D Floral &amp; Tiger Stripe Handmade Short Square Nails")</x:f>
        <x:v>HYPERLINK is not implemented. linkLocation=https://365nails.com/products/365nails-wild-orchid-3d-floral-tiger-stripe-handmade-short-square-nails, friendlyName=365nails: "Wild Orchid" – 3D Floral &amp; Tiger Stripe Handmade Short Square Nails</x:v>
      </x:c>
      <x:c r="D719" s="18" t="str">
        <x:v>Color: 963-short duckbill; Color classification: Xs / S / M / L</x:v>
      </x:c>
      <x:c r="E719" s="25" t="str">
        <x:v>$3.99</x:v>
      </x:c>
      <x:c r="F719" s="19" t="str">
        <x:v>1</x:v>
      </x:c>
    </x:row>
    <x:row r="720" ht="93" customHeight="1">
      <x:c r="A720" s="19" t="n">
        <x:v>717</x:v>
      </x:c>
      <x:c r="B720" s="22" t="e">
        <x:f>HYPERLINK("https://cdn.shopify.com/s/files/1/0918/6066/4603/files/O1CN01cmsFzE2NGHtuiRLXH__4234819935-0-cib.jpg?v=1754048955","Open")</x:f>
        <x:v>HYPERLINK is not implemented. linkLocation=https://cdn.shopify.com/s/files/1/0918/6066/4603/files/O1CN01cmsFzE2NGHtuiRLXH__4234819935-0-cib.jpg?v=1754048955, friendlyName=Open</x:v>
      </x:c>
      <x:c r="C720" s="24" t="e">
        <x:f>HYPERLINK("https://365nails.com/products/2024-christmas-wear-armor-snowflake-love-snowman-manicure-short-almond-bow-european-and-american-long-nail-wholesale-365nails-1","Christmas snowflake love snowman manicure short almond")</x:f>
        <x:v>HYPERLINK is not implemented. linkLocation=https://365nails.com/products/2024-christmas-wear-armor-snowflake-love-snowman-manicure-short-almond-bow-european-and-american-long-nail-wholesale-365nails-1, friendlyName=Christmas snowflake love snowman manicure short almond</x:v>
      </x:c>
      <x:c r="D720" s="18" t="str">
        <x:v>Color: JP1299 / JP1298 / JP1297 / JP1295 / JP1294 / JP1293 / JP1292 / JP1291 / JP1290 / JP1289 / JP1288 / JP1287 / JP1286 / JP1285 / JP1284 / JP1283 / JP1282 / JP1281 / JP1280 / JP1279 / JP1278 / JP1277 / JP1273 / JP1272 / JP1271 / JP1270 / JP1269 / JP919</x:v>
      </x:c>
      <x:c r="E720" s="25" t="str">
        <x:v>$0.70–$1.40</x:v>
      </x:c>
      <x:c r="F720" s="19" t="str">
        <x:v>1</x:v>
      </x:c>
    </x:row>
    <x:row r="721" ht="93" customHeight="1">
      <x:c r="A721" s="19" t="n">
        <x:v>718</x:v>
      </x:c>
      <x:c r="B721" s="22" t="e">
        <x:f>HYPERLINK("https://cdn.shopify.com/s/files/1/0918/6066/4603/files/O1CN013axwYj2NGHvTdgPF4__4234819935-0-cib.jpg?v=1753429148","Open")</x:f>
        <x:v>HYPERLINK is not implemented. linkLocation=https://cdn.shopify.com/s/files/1/0918/6066/4603/files/O1CN013axwYj2NGHvTdgPF4__4234819935-0-cib.jpg?v=1753429148, friendlyName=Open</x:v>
      </x:c>
      <x:c r="C721" s="24" t="e">
        <x:f>HYPERLINK("https://365nails.com/products/autumn-and-winter-europe-and-the-united-states-wear-nail-croxin-cross-manicure-fake-nails-french-red-gradual-change-flash-nail-wholesale-365nails","Autumn and winter Europe and the United States wear nail Croxin cross manicure fake nails French red gradual change flash nail wholesale｜365nails")</x:f>
        <x:v>HYPERLINK is not implemented. linkLocation=https://365nails.com/products/autumn-and-winter-europe-and-the-united-states-wear-nail-croxin-cross-manicure-fake-nails-french-red-gradual-change-flash-nail-wholesale-365nails, friendlyName=Autumn and winter Europe and the United States wear nail Croxin cross manicure fake nails French red gradual change flash nail wholesale｜365nails</x:v>
      </x:c>
      <x:c r="D721" s="18" t="str">
        <x:v>color: JP3504</x:v>
      </x:c>
      <x:c r="E721" s="25" t="str">
        <x:v>$1.73</x:v>
      </x:c>
      <x:c r="F721" s="19" t="str">
        <x:v>1</x:v>
      </x:c>
    </x:row>
    <x:row r="722" ht="93" customHeight="1">
      <x:c r="A722" s="19" t="n">
        <x:v>719</x:v>
      </x:c>
      <x:c r="B722" s="22" t="e">
        <x:f>HYPERLINK("https://cdn.shopify.com/s/files/1/0918/6066/4603/files/O1CN010uz7ug1CPwJq6Jbxj__2213196780074-0-cib.jpg?v=1776596109","Open")</x:f>
        <x:v>HYPERLINK is not implemented. linkLocation=https://cdn.shopify.com/s/files/1/0918/6066/4603/files/O1CN010uz7ug1CPwJq6Jbxj__2213196780074-0-cib.jpg?v=1776596109, friendlyName=Open</x:v>
      </x:c>
      <x:c r="C722" s="24" t="e">
        <x:f>HYPERLINK("https://365nails.com/products/365nails-violet-stardust-magnetic-cat-eye-glitter-handmade-short-almond-nails","365nails: ""Violet Stardust"" – Magnetic Cat-Eye Glitter Handmade Short Almond Nails")</x:f>
        <x:v>HYPERLINK is not implemented. linkLocation=https://365nails.com/products/365nails-violet-stardust-magnetic-cat-eye-glitter-handmade-short-almond-nails, friendlyName=365nails: "Violet Stardust" – Magnetic Cat-Eye Glitter Handmade Short Almond Nails</x:v>
      </x:c>
      <x:c r="D722" s="18" t="str">
        <x:v>Color: Extra small size xs / Small s / Medium m / Large l; Specification type: 2440 medium almonds</x:v>
      </x:c>
      <x:c r="E722" s="25" t="str">
        <x:v>$2.99</x:v>
      </x:c>
      <x:c r="F722" s="19" t="str">
        <x:v>1</x:v>
      </x:c>
    </x:row>
    <x:row r="723" ht="93" customHeight="1">
      <x:c r="A723" s="19" t="n">
        <x:v>720</x:v>
      </x:c>
      <x:c r="B723" s="22" t="e">
        <x:f>HYPERLINK("https://cdn.shopify.com/s/files/1/0918/6066/4603/files/O1CN01snXB7l1CPwPtRsiLZ__2213196780074-0-cib.jpg?v=1776511714","Open")</x:f>
        <x:v>HYPERLINK is not implemented. linkLocation=https://cdn.shopify.com/s/files/1/0918/6066/4603/files/O1CN01snXB7l1CPwPtRsiLZ__2213196780074-0-cib.jpg?v=1776511714, friendlyName=Open</x:v>
      </x:c>
      <x:c r="C723" s="24" t="e">
        <x:f>HYPERLINK("https://365nails.com/products/365nails-star-spangled-red-white-blue-polka-dot-star-handmade-almond-nails","365nails: ""Star Spangled"" – Red White Blue Polka Dot &amp; Star Handmade Almond Nails")</x:f>
        <x:v>HYPERLINK is not implemented. linkLocation=https://365nails.com/products/365nails-star-spangled-red-white-blue-polka-dot-star-handmade-almond-nails, friendlyName=365nails: "Star Spangled" – Red White Blue Polka Dot &amp; Star Handmade Almond Nails</x:v>
      </x:c>
      <x:c r="D723" s="18" t="str">
        <x:v>Color: 1583-short almond; Color classification: Extra small size xs / Small s / Medium m / Large l</x:v>
      </x:c>
      <x:c r="E723" s="25" t="str">
        <x:v>$3.49</x:v>
      </x:c>
      <x:c r="F723" s="19" t="str">
        <x:v>1</x:v>
      </x:c>
    </x:row>
    <x:row r="724" ht="93" customHeight="1">
      <x:c r="A724" s="19" t="n">
        <x:v>721</x:v>
      </x:c>
      <x:c r="B724" s="22" t="e">
        <x:f>HYPERLINK("https://cdn.shopify.com/s/files/1/0918/6066/4603/files/O1CN01F1UgXw2NGHoiVVIuQ__4234819935-0-cib.jpg?v=1753431840","Open")</x:f>
        <x:v>HYPERLINK is not implemented. linkLocation=https://cdn.shopify.com/s/files/1/0918/6066/4603/files/O1CN01F1UgXw2NGHoiVVIuQ__4234819935-0-cib.jpg?v=1753431840, friendlyName=Open</x:v>
      </x:c>
      <x:c r="C724" s="24" t="e">
        <x:f>HYPERLINK("https://365nails.com/products/simple-love-valentines-day-wear-nail-pink-white-medium-and-long-square-nail-art-wear-nail-patch-nail-patch-wholesale-365nails","Simple Love Valentine's Day Wear Nail Pink White Medium and Long Square Nail Art Wear Nail Patch Nail Patch Wholesale｜365nails")</x:f>
        <x:v>HYPERLINK is not implemented. linkLocation=https://365nails.com/products/simple-love-valentines-day-wear-nail-pink-white-medium-and-long-square-nail-art-wear-nail-patch-nail-patch-wholesale-365nails, friendlyName=Simple Love Valentine's Day Wear Nail Pink White Medium and Long Square Nail Art Wear Nail Patch Nail Patch Wholesale｜365nails</x:v>
      </x:c>
      <x:c r="D724" s="18" t="str">
        <x:v>Color: JP3057</x:v>
      </x:c>
      <x:c r="E724" s="25" t="str">
        <x:v>$0.77</x:v>
      </x:c>
      <x:c r="F724" s="19" t="str">
        <x:v>1</x:v>
      </x:c>
    </x:row>
    <x:row r="725" ht="93" customHeight="1">
      <x:c r="A725" s="19" t="n">
        <x:v>722</x:v>
      </x:c>
      <x:c r="B725" s="22" t="e">
        <x:f>HYPERLINK("https://cdn.shopify.com/s/files/1/0918/6066/4603/files/O1CN01iVCEdo2NGHus2T6Bp__4234819935-0-cib.jpg?v=1753429146","Open")</x:f>
        <x:v>HYPERLINK is not implemented. linkLocation=https://cdn.shopify.com/s/files/1/0918/6066/4603/files/O1CN01iVCEdo2NGHus2T6Bp__4234819935-0-cib.jpg?v=1753429146, friendlyName=Open</x:v>
      </x:c>
      <x:c r="C725" s="24" t="e">
        <x:f>HYPERLINK("https://365nails.com/products/classic-french-white-nail-art-nail-patch-short-almond-false-nail-romantic-red-lip-print-solid-color-nail-patch-365nails","Classic French White Nail Art Nail Patch Short Almond False Nail Romantic Red Lip Print Solid Color Nail Patch｜365nails")</x:f>
        <x:v>HYPERLINK is not implemented. linkLocation=https://365nails.com/products/classic-french-white-nail-art-nail-patch-short-almond-false-nail-romantic-red-lip-print-solid-color-nail-patch-365nails, friendlyName=Classic French White Nail Art Nail Patch Short Almond False Nail Romantic Red Lip Print Solid Color Nail Patch｜365nails</x:v>
      </x:c>
      <x:c r="D725" s="18" t="str">
        <x:v>color: JP3569</x:v>
      </x:c>
      <x:c r="E725" s="25" t="str">
        <x:v>$0.70</x:v>
      </x:c>
      <x:c r="F725" s="19" t="str">
        <x:v>1</x:v>
      </x:c>
    </x:row>
    <x:row r="726" ht="93" customHeight="1">
      <x:c r="A726" s="19" t="n">
        <x:v>723</x:v>
      </x:c>
      <x:c r="B726" s="22" t="e">
        <x:f>HYPERLINK("https://cdn.shopify.com/s/files/1/0918/6066/4603/files/O1CN01KUHmZJ2NGI0DdDRqu__4234819935-0-cib_fe22ab32-c636-4ede-be2a-bc2f9db5505b.jpg?v=1776674662","Open")</x:f>
        <x:v>HYPERLINK is not implemented. linkLocation=https://cdn.shopify.com/s/files/1/0918/6066/4603/files/O1CN01KUHmZJ2NGI0DdDRqu__4234819935-0-cib_fe22ab32-c636-4ede-be2a-bc2f9db5505b.jpg?v=1776674662, friendlyName=Open</x:v>
      </x:c>
      <x:c r="C726" s="24" t="e">
        <x:f>HYPERLINK("https://365nails.com/products/peach-ombre-oval-gradient-nude-press-on-nails","""Peach Ombre Oval"" – Gradient Nude Press-on Nails")</x:f>
        <x:v>HYPERLINK is not implemented. linkLocation=https://365nails.com/products/peach-ombre-oval-gradient-nude-press-on-nails, friendlyName="Peach Ombre Oval" – Gradient Nude Press-on Nails</x:v>
      </x:c>
      <x:c r="D726" s="18" t="str">
        <x:v>Color: Jp 4135</x:v>
      </x:c>
      <x:c r="E726" s="25" t="str">
        <x:v>$0.99</x:v>
      </x:c>
      <x:c r="F726" s="19" t="str">
        <x:v>1</x:v>
      </x:c>
    </x:row>
    <x:row r="727" ht="93" customHeight="1">
      <x:c r="A727" s="19" t="n">
        <x:v>724</x:v>
      </x:c>
      <x:c r="B727" s="22" t="e">
        <x:f>HYPERLINK("https://cdn.shopify.com/s/files/1/0918/6066/4603/files/O1CN01hTRsdh1CPwNF2YKT9__2213196780074-0-cib.jpg?v=1776329686","Open")</x:f>
        <x:v>HYPERLINK is not implemented. linkLocation=https://cdn.shopify.com/s/files/1/0918/6066/4603/files/O1CN01hTRsdh1CPwNF2YKT9__2213196780074-0-cib.jpg?v=1776329686, friendlyName=Open</x:v>
      </x:c>
      <x:c r="C727" s="24" t="e">
        <x:f>HYPERLINK("https://365nails.com/products/365nails-midnight-bloom-hand-painted-floral-gradient-handmade-medium-square-nails","365nails: ""Midnight Bloom"" – Hand-Painted Floral Gradient Handmade Medium Square Nails")</x:f>
        <x:v>HYPERLINK is not implemented. linkLocation=https://365nails.com/products/365nails-midnight-bloom-hand-painted-floral-gradient-handmade-medium-square-nails, friendlyName=365nails: "Midnight Bloom" – Hand-Painted Floral Gradient Handmade Medium Square Nails</x:v>
      </x:c>
      <x:c r="D727" s="18" t="str">
        <x:v>Color: 385-super short ladder / 316-new sino-sino; Color classification: Xs / S / M / L</x:v>
      </x:c>
      <x:c r="E727" s="25" t="str">
        <x:v>$3.49</x:v>
      </x:c>
      <x:c r="F727" s="19" t="str">
        <x:v>1</x:v>
      </x:c>
    </x:row>
    <x:row r="728" ht="93" customHeight="1">
      <x:c r="A728" s="19" t="n">
        <x:v>725</x:v>
      </x:c>
      <x:c r="B728" s="22" t="e">
        <x:f>HYPERLINK("https://cdn.shopify.com/s/files/1/0918/6066/4603/files/O1CN01mn8v622ABd0Tmn7Bf__2218458308165-0-cib.jpg?v=1776156600","Open")</x:f>
        <x:v>HYPERLINK is not implemented. linkLocation=https://cdn.shopify.com/s/files/1/0918/6066/4603/files/O1CN01mn8v622ABd0Tmn7Bf__2218458308165-0-cib.jpg?v=1776156600, friendlyName=Open</x:v>
      </x:c>
      <x:c r="C728" s="24" t="e">
        <x:f>HYPERLINK("https://365nails.com/products/%E8%B7%A8%E5%A2%83%E7%83%AD%E9%94%80%E5%81%87%E6%8C%87%E7%94%B2%E7%BA%A2%E8%93%9D%E6%B3%95%E5%BC%8F%E6%9D%A1%E7%BA%B9%E7%83%9F%E8%8A%B1%E4%BA%94%E8%A7%92%E6%98%9F%E7%BE%8E%E5%9B%BD%E7%8B%AC%E7%AB%8B%E6%97%A5%E7%A9%BF%E6%88%B4%E7%94%B2%E8%B7%A8%E5%A2%83%E7%BE%8E%E7%94%B2","365nails: ""Patriotic Chevron"" – Geometric Chevron &amp; Star Printed Squoval Nails")</x:f>
        <x:v>HYPERLINK is not implemented. linkLocation=https://365nails.com/products/%E8%B7%A8%E5%A2%83%E7%83%AD%E9%94%80%E5%81%87%E6%8C%87%E7%94%B2%E7%BA%A2%E8%93%9D%E6%B3%95%E5%BC%8F%E6%9D%A1%E7%BA%B9%E7%83%9F%E8%8A%B1%E4%BA%94%E8%A7%92%E6%98%9F%E7%BE%8E%E5%9B%BD%E7%8B%AC%E7%AB%8B%E6%97%A5%E7%A9%BF%E6%88%B4%E7%94%B2%E8%B7%A8%E5%A2%83%E7%BE%8E%E7%94%B2, friendlyName=365nails: "Patriotic Chevron" – Geometric Chevron &amp; Star Printed Squoval Nails</x:v>
      </x:c>
      <x:c r="D728" s="18" t="str">
        <x:v>Color: Jml539 (without tools) / Jml539(glue type) / Jml539 (jelly glue rubbing strip)</x:v>
      </x:c>
      <x:c r="E728" s="25" t="str">
        <x:v>$0.99</x:v>
      </x:c>
      <x:c r="F728" s="19" t="str">
        <x:v>3</x:v>
      </x:c>
    </x:row>
    <x:row r="729" ht="93" customHeight="1">
      <x:c r="A729" s="19" t="n">
        <x:v>726</x:v>
      </x:c>
      <x:c r="B729" s="22" t="e">
        <x:f>HYPERLINK("https://cdn.shopify.com/s/files/1/0918/6066/4603/files/O1CN01qn5jlA2ABd0OdW9aP__2218458308165-0-cib.jpg?v=1776156051","Open")</x:f>
        <x:v>HYPERLINK is not implemented. linkLocation=https://cdn.shopify.com/s/files/1/0918/6066/4603/files/O1CN01qn5jlA2ABd0OdW9aP__2218458308165-0-cib.jpg?v=1776156051, friendlyName=Open</x:v>
      </x:c>
      <x:c r="C729" s="24" t="e">
        <x:f>HYPERLINK("https://365nails.com/products/%E6%AC%A7%E7%BE%8E%E7%A9%BF%E6%88%B4%E7%94%B2%E7%BA%A2%E8%93%9D%E4%BA%94%E8%A7%92%E6%98%9F%E7%BE%8E%E5%9B%BD%E7%8B%AC%E7%AB%8B%E6%97%A5%E5%9B%BD%E6%97%97%E7%9F%AD%E6%96%B9%E5%BD%A2%E7%94%B2%E8%B7%A8%E5%A2%83%E5%8F%AF%E6%8B%86%E5%8D%B8%E5%81%87%E6%8C%87%E7%94%B2%E7%89%87","365nails: ""American Spirit""")</x:f>
        <x:v>HYPERLINK is not implemented. linkLocation=https://365nails.com/products/%E6%AC%A7%E7%BE%8E%E7%A9%BF%E6%88%B4%E7%94%B2%E7%BA%A2%E8%93%9D%E4%BA%94%E8%A7%92%E6%98%9F%E7%BE%8E%E5%9B%BD%E7%8B%AC%E7%AB%8B%E6%97%A5%E5%9B%BD%E6%97%97%E7%9F%AD%E6%96%B9%E5%BD%A2%E7%94%B2%E8%B7%A8%E5%A2%83%E5%8F%AF%E6%8B%86%E5%8D%B8%E5%81%87%E6%8C%87%E7%94%B2%E7%89%87, friendlyName=365nails: "American Spirit"</x:v>
      </x:c>
      <x:c r="D729" s="18" t="str">
        <x:v>Color: Jml520 (without tools) / Jml520 (glue type) / Jml520 (jelly glue rubbing strip)</x:v>
      </x:c>
      <x:c r="E729" s="25" t="str">
        <x:v>$0.99</x:v>
      </x:c>
      <x:c r="F729" s="19" t="str">
        <x:v>3</x:v>
      </x:c>
    </x:row>
    <x:row r="730" ht="93" customHeight="1">
      <x:c r="A730" s="19" t="n">
        <x:v>727</x:v>
      </x:c>
      <x:c r="B730" s="22" t="e">
        <x:f>HYPERLINK("https://cdn.shopify.com/s/files/1/0918/6066/4603/files/O1CN01pMswem1CPwPm6QOMb__2213196780074-0-cib.jpg?v=1776066894","Open")</x:f>
        <x:v>HYPERLINK is not implemented. linkLocation=https://cdn.shopify.com/s/files/1/0918/6066/4603/files/O1CN01pMswem1CPwPm6QOMb__2213196780074-0-cib.jpg?v=1776066894, friendlyName=Open</x:v>
      </x:c>
      <x:c r="C730" s="24" t="e">
        <x:f>HYPERLINK("https://365nails.com/products/365nails-sakura-blush-3d-floral-hand-painted-press-on-nails-long-almond-nails","365nails: ""Sakura Blush"" – 3D Floral Hand Painted Press on Nails Long Almond Nails")</x:f>
        <x:v>HYPERLINK is not implemented. linkLocation=https://365nails.com/products/365nails-sakura-blush-3d-floral-hand-painted-press-on-nails-long-almond-nails, friendlyName=365nails: "Sakura Blush" – 3D Floral Hand Painted Press on Nails Long Almond Nails</x:v>
      </x:c>
      <x:c r="D730" s="18" t="str">
        <x:v>Color: 922 - medium almonds; Color classification: Extra small size xs / Small s / Medium m / Large l</x:v>
      </x:c>
      <x:c r="E730" s="25" t="str">
        <x:v>$3.99</x:v>
      </x:c>
      <x:c r="F730" s="19" t="str">
        <x:v>1</x:v>
      </x:c>
    </x:row>
    <x:row r="731" ht="93" customHeight="1">
      <x:c r="A731" s="19" t="n">
        <x:v>728</x:v>
      </x:c>
      <x:c r="B731" s="22" t="e">
        <x:f>HYPERLINK("https://cdn.shopify.com/s/files/1/0918/6066/4603/files/O1CN01mZLowt2NGHyXJKdsO__4234819935-0-cib.jpg?v=1753431845","Open")</x:f>
        <x:v>HYPERLINK is not implemented. linkLocation=https://cdn.shopify.com/s/files/1/0918/6066/4603/files/O1CN01mZLowt2NGHyXJKdsO__4234819935-0-cib.jpg?v=1753431845, friendlyName=Open</x:v>
      </x:c>
      <x:c r="C731" s="24" t="e">
        <x:f>HYPERLINK("https://365nails.com/products/french-pink-zebra-pattern-wearing-nail-medium-and-long-square-nail-manicure-3d-flower-wearing-fake-nail-365nails","French pink zebra pattern press-on nails medium and long square nail manicure 3D flower wearing fake nail｜365nails")</x:f>
        <x:v>HYPERLINK is not implemented. linkLocation=https://365nails.com/products/french-pink-zebra-pattern-wearing-nail-medium-and-long-square-nail-manicure-3d-flower-wearing-fake-nail-365nails, friendlyName=French pink zebra pattern press-on nails medium and long square nail manicure 3D flower wearing fake nail｜365nails</x:v>
      </x:c>
      <x:c r="D731" s="18" t="str">
        <x:v>color: JP3894</x:v>
      </x:c>
      <x:c r="E731" s="25" t="str">
        <x:v>$0.70</x:v>
      </x:c>
      <x:c r="F731" s="19" t="str">
        <x:v>1</x:v>
      </x:c>
    </x:row>
    <x:row r="732" ht="93" customHeight="1">
      <x:c r="A732" s="19" t="n">
        <x:v>729</x:v>
      </x:c>
      <x:c r="B732" s="22" t="e">
        <x:f>HYPERLINK("https://cdn.shopify.com/s/files/1/0918/6066/4603/files/O1CN01pIkGA82NGHxg27BoM__4234819935-0-cib.jpg?v=1753429174","Open")</x:f>
        <x:v>HYPERLINK is not implemented. linkLocation=https://cdn.shopify.com/s/files/1/0918/6066/4603/files/O1CN01pIkGA82NGHxg27BoM__4234819935-0-cib.jpg?v=1753429174, friendlyName=Open</x:v>
      </x:c>
      <x:c r="C732" s="24" t="e">
        <x:f>HYPERLINK("https://365nails.com/products/foreign-trade-for-wearable-foot-nail-pieces-european-american-and-french-leopard-print-toenails-toenails-wholesale-365nails","for wearable foot s,  and French leopard print toenails toenails wholesale｜365nails")</x:f>
        <x:v>HYPERLINK is not implemented. linkLocation=https://365nails.com/products/foreign-trade-for-wearable-foot-nail-pieces-european-american-and-french-leopard-print-toenails-toenails-wholesale-365nails, friendlyName=for wearable foot s,  and French leopard print toenails toenails wholesale｜365nails</x:v>
      </x:c>
      <x:c r="D732" s="18" t="str">
        <x:v>color: JP3808</x:v>
      </x:c>
      <x:c r="E732" s="25" t="str">
        <x:v>$1.30</x:v>
      </x:c>
      <x:c r="F732" s="19" t="str">
        <x:v>1</x:v>
      </x:c>
    </x:row>
    <x:row r="733" ht="93" customHeight="1">
      <x:c r="A733" s="19" t="n">
        <x:v>730</x:v>
      </x:c>
      <x:c r="B733" s="22" t="e">
        <x:f>HYPERLINK("https://cdn.shopify.com/s/files/1/0918/6066/4603/files/O1CN01OHUL1g2NGHxv11U3u__4234819935-0-cib.jpg?v=1753429171","Open")</x:f>
        <x:v>HYPERLINK is not implemented. linkLocation=https://cdn.shopify.com/s/files/1/0918/6066/4603/files/O1CN01OHUL1g2NGHxv11U3u__4234819935-0-cib.jpg?v=1753429171, friendlyName=Open</x:v>
      </x:c>
      <x:c r="C733" s="24" t="e">
        <x:f>HYPERLINK("https://365nails.com/products/classic-french-toenail-piece-3d-flower-manicure-toenail-summer-summer-removable-wear-toenail-piece-wholesale-365nails","Classic French toenail piece 3D flower manicure toenail summer summer removable wear toenail piece wholesale｜365nails")</x:f>
        <x:v>HYPERLINK is not implemented. linkLocation=https://365nails.com/products/classic-french-toenail-piece-3d-flower-manicure-toenail-summer-summer-removable-wear-toenail-piece-wholesale-365nails, friendlyName=Classic French toenail piece 3D flower manicure toenail summer summer removable wear toenail piece wholesale｜365nails</x:v>
      </x:c>
      <x:c r="D733" s="18" t="str">
        <x:v>color: JP3810</x:v>
      </x:c>
      <x:c r="E733" s="25" t="str">
        <x:v>$1.33</x:v>
      </x:c>
      <x:c r="F733" s="19" t="str">
        <x:v>1</x:v>
      </x:c>
    </x:row>
    <x:row r="734" ht="93" customHeight="1">
      <x:c r="A734" s="19" t="n">
        <x:v>731</x:v>
      </x:c>
      <x:c r="B734" s="22" t="e">
        <x:f>HYPERLINK("https://cdn.shopify.com/s/files/1/0918/6066/4603/files/O1CN01fFw4eY2ABcvSGbs0R__2218458308165-0-cib.jpg?v=1776157614","Open")</x:f>
        <x:v>HYPERLINK is not implemented. linkLocation=https://cdn.shopify.com/s/files/1/0918/6066/4603/files/O1CN01fFw4eY2ABcvSGbs0R__2218458308165-0-cib.jpg?v=1776157614, friendlyName=Open</x:v>
      </x:c>
      <x:c r="C734" s="24" t="e">
        <x:f>HYPERLINK("https://365nails.com/products/%E7%9F%AD%E6%AC%BE%E6%96%B9%E5%BD%A2%E5%81%87%E6%8C%87%E7%94%B2%E7%8B%AC%E7%AB%8B%E6%97%A5%E7%BA%A2%E8%93%9D%E8%89%B2%E4%BA%94%E8%A7%92%E6%98%9F%E7%BE%8E%E7%94%B2%E8%B4%B4%E7%89%87%E6%9D%A1%E7%BA%B9%E7%A9%BF%E6%88%B4%E7%94%B224%E7%89%87%E5%8F%AF%E6%8B%86%E5%8D%B8","365nails: ""American Spirit"" – Solid Color Block &amp; Flag Heart Printed Square Nails")</x:f>
        <x:v>HYPERLINK is not implemented. linkLocation=https://365nails.com/products/%E7%9F%AD%E6%AC%BE%E6%96%B9%E5%BD%A2%E5%81%87%E6%8C%87%E7%94%B2%E7%8B%AC%E7%AB%8B%E6%97%A5%E7%BA%A2%E8%93%9D%E8%89%B2%E4%BA%94%E8%A7%92%E6%98%9F%E7%BE%8E%E7%94%B2%E8%B4%B4%E7%89%87%E6%9D%A1%E7%BA%B9%E7%A9%BF%E6%88%B4%E7%94%B224%E7%89%87%E5%8F%AF%E6%8B%86%E5%8D%B8, friendlyName=365nails: "American Spirit" – Solid Color Block &amp; Flag Heart Printed Square Nails</x:v>
      </x:c>
      <x:c r="D734" s="18" t="str">
        <x:v>Color: Jml215 (without tools)</x:v>
      </x:c>
      <x:c r="E734" s="25" t="str">
        <x:v>$0.99</x:v>
      </x:c>
      <x:c r="F734" s="19" t="str">
        <x:v>3</x:v>
      </x:c>
    </x:row>
    <x:row r="735" ht="93" customHeight="1">
      <x:c r="A735" s="19" t="n">
        <x:v>732</x:v>
      </x:c>
      <x:c r="B735" s="22" t="e">
        <x:f>HYPERLINK("https://cdn.shopify.com/s/files/1/0918/6066/4603/files/O1CN01eOfTvL2ABd0IYLAYE__2218458308165-0-cib.jpg?v=1776155031","Open")</x:f>
        <x:v>HYPERLINK is not implemented. linkLocation=https://cdn.shopify.com/s/files/1/0918/6066/4603/files/O1CN01eOfTvL2ABd0IYLAYE__2218458308165-0-cib.jpg?v=1776155031, friendlyName=Open</x:v>
      </x:c>
      <x:c r="C735" s="24" t="e">
        <x:f>HYPERLINK("https://365nails.com/products/%E6%AC%A7%E7%BE%8E%E7%A9%BF%E6%88%B4%E7%94%B2%E7%BA%A2%E8%93%9D%E6%98%9F%E6%98%9F%E6%97%97%E5%AD%90%E8%8A%B1%E6%9C%B5%E7%BE%8E%E7%94%B2%E8%B4%B4%E7%89%87%E7%BE%8E%E5%9B%BD%E7%8B%AC%E7%AB%8B%E6%97%A5%E5%81%87%E7%94%B2%E7%89%87%E6%A0%BC%E7%BA%B9%E6%9D%8F%E4%BB%81%E7%94%B2","365nails: ""Independence Firework""")</x:f>
        <x:v>HYPERLINK is not implemented. linkLocation=https://365nails.com/products/%E6%AC%A7%E7%BE%8E%E7%A9%BF%E6%88%B4%E7%94%B2%E7%BA%A2%E8%93%9D%E6%98%9F%E6%98%9F%E6%97%97%E5%AD%90%E8%8A%B1%E6%9C%B5%E7%BE%8E%E7%94%B2%E8%B4%B4%E7%89%87%E7%BE%8E%E5%9B%BD%E7%8B%AC%E7%AB%8B%E6%97%A5%E5%81%87%E7%94%B2%E7%89%87%E6%A0%BC%E7%BA%B9%E6%9D%8F%E4%BB%81%E7%94%B2, friendlyName=365nails: "Independence Firework"</x:v>
      </x:c>
      <x:c r="D735" s="18" t="str">
        <x:v>Color: Jml492 (without tools) / Jml492(glue type) / Jml492 (jelly glue rubbing strip)</x:v>
      </x:c>
      <x:c r="E735" s="25" t="str">
        <x:v>$0.99</x:v>
      </x:c>
      <x:c r="F735" s="19" t="str">
        <x:v>3</x:v>
      </x:c>
    </x:row>
    <x:row r="736" ht="93" customHeight="1">
      <x:c r="A736" s="19" t="n">
        <x:v>733</x:v>
      </x:c>
      <x:c r="B736" s="22" t="e">
        <x:f>HYPERLINK("https://cdn.shopify.com/s/files/1/0918/6066/4603/files/O1CN01ouC23S2NGHyaHhGMR__4234819935-0-cib.jpg?v=1753429162","Open")</x:f>
        <x:v>HYPERLINK is not implemented. linkLocation=https://cdn.shopify.com/s/files/1/0918/6066/4603/files/O1CN01ouC23S2NGHyaHhGMR__4234819935-0-cib.jpg?v=1753429162, friendlyName=Open</x:v>
      </x:c>
      <x:c r="C736" s="24" t="e">
        <x:f>HYPERLINK("https://365nails.com/products/simple-french-red-wearing-nail-short-square-manicure-nail-piece-fresh-flower-wearing-fake-nail-wholesale-365nails","Simple French red press-on nails short square manicure nail piece fresh flower wearing fake nail wholesale｜365nails")</x:f>
        <x:v>HYPERLINK is not implemented. linkLocation=https://365nails.com/products/simple-french-red-wearing-nail-short-square-manicure-nail-piece-fresh-flower-wearing-fake-nail-wholesale-365nails, friendlyName=Simple French red press-on nails short square manicure nail piece fresh flower wearing fake nail wholesale｜365nails</x:v>
      </x:c>
      <x:c r="D736" s="18" t="str">
        <x:v>color: JP3931</x:v>
      </x:c>
      <x:c r="E736" s="25" t="str">
        <x:v>$0.68</x:v>
      </x:c>
      <x:c r="F736" s="19" t="str">
        <x:v>1</x:v>
      </x:c>
    </x:row>
    <x:row r="737" ht="93" customHeight="1">
      <x:c r="A737" s="19" t="n">
        <x:v>734</x:v>
      </x:c>
      <x:c r="B737" s="22" t="e">
        <x:f>HYPERLINK("https://cdn.shopify.com/s/files/1/0918/6066/4603/files/O1CN019SRSJ91CPwJtjGTBu__2213196780074-0-cib.jpg?v=1775979012","Open")</x:f>
        <x:v>HYPERLINK is not implemented. linkLocation=https://cdn.shopify.com/s/files/1/0918/6066/4603/files/O1CN019SRSJ91CPwJtjGTBu__2213196780074-0-cib.jpg?v=1775979012, friendlyName=Open</x:v>
      </x:c>
      <x:c r="C737" s="24" t="e">
        <x:f>HYPERLINK("https://365nails.com/products/365nails-midnight-siren-cat-eye-marble-handmade-coffin-nails","365nails: ""Midnight Siren"" – Cat Eye Marble Handmade Coffin Nails")</x:f>
        <x:v>HYPERLINK is not implemented. linkLocation=https://365nails.com/products/365nails-midnight-siren-cat-eye-marble-handmade-coffin-nails, friendlyName=365nails: "Midnight Siren" – Cat Eye Marble Handmade Coffin Nails</x:v>
      </x:c>
      <x:c r="D737" s="18" t="str">
        <x:v>Color: Extra small size xs / Small s / Medium m / Large l; Specification type: 2494 short ladder</x:v>
      </x:c>
      <x:c r="E737" s="25" t="str">
        <x:v>$3.99</x:v>
      </x:c>
      <x:c r="F737" s="19" t="str">
        <x:v>3</x:v>
      </x:c>
    </x:row>
    <x:row r="738" ht="93" customHeight="1">
      <x:c r="A738" s="19" t="n">
        <x:v>735</x:v>
      </x:c>
      <x:c r="B738" s="22" t="e">
        <x:f>HYPERLINK("https://cdn.shopify.com/s/files/1/0918/6066/4603/files/O1CN01gwxYhX27ZUlzPYgvY__2220024697811-0-cib_ea9dd320-0fd5-4d70-9bb7-ed73fc307937.jpg?v=1774863565","Open")</x:f>
        <x:v>HYPERLINK is not implemented. linkLocation=https://cdn.shopify.com/s/files/1/0918/6066/4603/files/O1CN01gwxYhX27ZUlzPYgvY__2220024697811-0-cib_ea9dd320-0fd5-4d70-9bb7-ed73fc307937.jpg?v=1774863565, friendlyName=Open</x:v>
      </x:c>
      <x:c r="C738" s="24" t="e">
        <x:f>HYPERLINK("https://365nails.com/products/365nails-imperial-bloom-3d-golden-floral-leaf-handmade-square-nails","365nails: ""Imperial Bloom"" – 3D Golden Floral &amp; Leaf Handmade Square Nails")</x:f>
        <x:v>HYPERLINK is not implemented. linkLocation=https://365nails.com/products/365nails-imperial-bloom-3d-golden-floral-leaf-handmade-square-nails, friendlyName=365nails: "Imperial Bloom" – 3D Golden Floral &amp; Leaf Handmade Square Nails</x:v>
      </x:c>
      <x:c r="D738" s="18" t="str">
        <x:v>Color: Duckbill; Color classification: Xs / S / M / L</x:v>
      </x:c>
      <x:c r="E738" s="25" t="str">
        <x:v>$4.99</x:v>
      </x:c>
      <x:c r="F738" s="19" t="str">
        <x:v>3</x:v>
      </x:c>
    </x:row>
    <x:row r="739" ht="93" customHeight="1">
      <x:c r="A739" s="19" t="n">
        <x:v>736</x:v>
      </x:c>
      <x:c r="B739" s="22" t="e">
        <x:f>HYPERLINK("https://cdn.shopify.com/s/files/1/0918/6066/4603/files/O1CN01DMhvAK29QSAa4ndlZ__6000000008062-0-cib.jpg?v=1774947197","Open")</x:f>
        <x:v>HYPERLINK is not implemented. linkLocation=https://cdn.shopify.com/s/files/1/0918/6066/4603/files/O1CN01DMhvAK29QSAa4ndlZ__6000000008062-0-cib.jpg?v=1774947197, friendlyName=Open</x:v>
      </x:c>
      <x:c r="C739" s="24" t="e">
        <x:f>HYPERLINK("https://365nails.com/products/365nails-blue-porcelain-3d-floral-handmade-almond-nails","365nails: ""Blue Porcelain"" – 3D Floral Handmade Almond Nails")</x:f>
        <x:v>HYPERLINK is not implemented. linkLocation=https://365nails.com/products/365nails-blue-porcelain-3d-floral-handmade-almond-nails, friendlyName=365nails: "Blue Porcelain" – 3D Floral Handmade Almond Nails</x:v>
      </x:c>
      <x:c r="D739" s="18" t="str">
        <x:v>Color: Almond; Color classification: Xs / S / M / L</x:v>
      </x:c>
      <x:c r="E739" s="25" t="str">
        <x:v>$4.99</x:v>
      </x:c>
      <x:c r="F739" s="19" t="str">
        <x:v>3</x:v>
      </x:c>
    </x:row>
    <x:row r="740" ht="93" customHeight="1">
      <x:c r="A740" s="19" t="n">
        <x:v>737</x:v>
      </x:c>
      <x:c r="B740" s="22" t="e">
        <x:f>HYPERLINK("https://cdn.shopify.com/s/files/1/0918/6066/4603/files/O1CN01DQZbbH27ZUlmSU5fU__2220024697811-0-cib.jpg?v=1774864609","Open")</x:f>
        <x:v>HYPERLINK is not implemented. linkLocation=https://cdn.shopify.com/s/files/1/0918/6066/4603/files/O1CN01DQZbbH27ZUlmSU5fU__2220024697811-0-cib.jpg?v=1774864609, friendlyName=Open</x:v>
      </x:c>
      <x:c r="C740" s="24" t="e">
        <x:f>HYPERLINK("https://365nails.com/products/365nails-tropical-bloom-3d-floral-crystal-handmade-square-nails","365nails: ""Tropical Bloom"" – 3D Floral &amp; Crystal Handmade Square Nails")</x:f>
        <x:v>HYPERLINK is not implemented. linkLocation=https://365nails.com/products/365nails-tropical-bloom-3d-floral-crystal-handmade-square-nails, friendlyName=365nails: "Tropical Bloom" – 3D Floral &amp; Crystal Handmade Square Nails</x:v>
      </x:c>
      <x:c r="D740" s="18" t="str">
        <x:v>Color: Duckbill; Color classification: Xs / S / M / L</x:v>
      </x:c>
      <x:c r="E740" s="25" t="str">
        <x:v>$4.49</x:v>
      </x:c>
      <x:c r="F740" s="19" t="str">
        <x:v>3</x:v>
      </x:c>
    </x:row>
    <x:row r="741" ht="93" customHeight="1">
      <x:c r="A741" s="19" t="n">
        <x:v>738</x:v>
      </x:c>
      <x:c r="B741" s="22" t="e">
        <x:f>HYPERLINK("https://cdn.shopify.com/s/files/1/0918/6066/4603/files/O1CN01NwUf0v27ZUmHMT8JK__2220024697811-0-cib.jpg?v=1774863634","Open")</x:f>
        <x:v>HYPERLINK is not implemented. linkLocation=https://cdn.shopify.com/s/files/1/0918/6066/4603/files/O1CN01NwUf0v27ZUmHMT8JK__2220024697811-0-cib.jpg?v=1774863634, friendlyName=Open</x:v>
      </x:c>
      <x:c r="C741" s="24" t="e">
        <x:f>HYPERLINK("https://365nails.com/products/365nails-golden-nectar-3d-honeycomb-crystal-handmade-stiletto-nails","365nails: ""Golden Nectar"" – 3D Honeycomb &amp; Crystal Handmade Stiletto Nails")</x:f>
        <x:v>HYPERLINK is not implemented. linkLocation=https://365nails.com/products/365nails-golden-nectar-3d-honeycomb-crystal-handmade-stiletto-nails, friendlyName=365nails: "Golden Nectar" – 3D Honeycomb &amp; Crystal Handmade Stiletto Nails</x:v>
      </x:c>
      <x:c r="D741" s="18" t="str">
        <x:v>Color: Long tip; Color classification: Xs / S / M / L</x:v>
      </x:c>
      <x:c r="E741" s="25" t="str">
        <x:v>$4.49</x:v>
      </x:c>
      <x:c r="F741" s="19" t="str">
        <x:v>3</x:v>
      </x:c>
    </x:row>
    <x:row r="742" ht="93" customHeight="1">
      <x:c r="A742" s="19" t="n">
        <x:v>739</x:v>
      </x:c>
      <x:c r="B742" s="22" t="e">
        <x:f>HYPERLINK("https://cdn.shopify.com/s/files/1/0918/6066/4603/files/O1CN01G4BLa22NGHsq1FjBd__4234819935-0-cib.jpg?v=1753431874","Open")</x:f>
        <x:v>HYPERLINK is not implemented. linkLocation=https://cdn.shopify.com/s/files/1/0918/6066/4603/files/O1CN01G4BLa22NGHsq1FjBd__4234819935-0-cib.jpg?v=1753431874, friendlyName=Open</x:v>
      </x:c>
      <x:c r="C742" s="24" t="e">
        <x:f>HYPERLINK("https://365nails.com/products/european-and-american-hot-selling-square-wearing-nail-french-black-smudge-nail-cross-nail-piece-star-bow-fake-nail-365nails","hot-selling square press-on nails French black smudge nail cross nail piece star bow fake nail｜365nails")</x:f>
        <x:v>HYPERLINK is not implemented. linkLocation=https://365nails.com/products/european-and-american-hot-selling-square-wearing-nail-french-black-smudge-nail-cross-nail-piece-star-bow-fake-nail-365nails, friendlyName=hot-selling square press-on nails French black smudge nail cross nail piece star bow fake nail｜365nails</x:v>
      </x:c>
      <x:c r="D742" s="18" t="str">
        <x:v>Color: JP3385</x:v>
      </x:c>
      <x:c r="E742" s="25" t="str">
        <x:v>$1.68</x:v>
      </x:c>
      <x:c r="F742" s="19" t="str">
        <x:v>1</x:v>
      </x:c>
    </x:row>
    <x:row r="743" ht="93" customHeight="1">
      <x:c r="A743" s="19" t="n">
        <x:v>740</x:v>
      </x:c>
      <x:c r="B743" s="22" t="e">
        <x:f>HYPERLINK("https://cdn.shopify.com/s/files/1/0918/6066/4603/files/O1CN0136kt4i1CPwK0YvW6F__2213196780074-0-cib.jpg?v=1775985938","Open")</x:f>
        <x:v>HYPERLINK is not implemented. linkLocation=https://cdn.shopify.com/s/files/1/0918/6066/4603/files/O1CN0136kt4i1CPwK0YvW6F__2213196780074-0-cib.jpg?v=1775985938, friendlyName=Open</x:v>
      </x:c>
      <x:c r="C743" s="24" t="e">
        <x:f>HYPERLINK("https://365nails.com/products/365nails-golden-hour-3d-gem-hand-painted-floral-handmade-short-square-nails","365nails: ""Golden Hour"" – 3D Gem &amp; Hand-Painted Floral Handmade Short Square Nails")</x:f>
        <x:v>HYPERLINK is not implemented. linkLocation=https://365nails.com/products/365nails-golden-hour-3d-gem-hand-painted-floral-handmade-short-square-nails, friendlyName=365nails: "Golden Hour" – 3D Gem &amp; Hand-Painted Floral Handmade Short Square Nails</x:v>
      </x:c>
      <x:c r="D743" s="18" t="str">
        <x:v>Color: Extra small size xs / Small s / Medium m / Large l; Specification type: 2541 super short ladder</x:v>
      </x:c>
      <x:c r="E743" s="25" t="str">
        <x:v>$3.49</x:v>
      </x:c>
      <x:c r="F743" s="19" t="str">
        <x:v>3</x:v>
      </x:c>
    </x:row>
    <x:row r="744" ht="93" customHeight="1">
      <x:c r="A744" s="19" t="n">
        <x:v>741</x:v>
      </x:c>
      <x:c r="B744" s="22" t="e">
        <x:f>HYPERLINK("https://cdn.shopify.com/s/files/1/0918/6066/4603/files/O1CN0139Xoyg1CPwJrwSlkf__2213196780074-0-cib.jpg?v=1775980002","Open")</x:f>
        <x:v>HYPERLINK is not implemented. linkLocation=https://cdn.shopify.com/s/files/1/0918/6066/4603/files/O1CN0139Xoyg1CPwJrwSlkf__2213196780074-0-cib.jpg?v=1775980002, friendlyName=Open</x:v>
      </x:c>
      <x:c r="C744" s="24" t="e">
        <x:f>HYPERLINK("https://365nails.com/products/365nails-gothic-graffiti-hand-painted-splatter-short-coffin-nails","365nails: ""Gothic Graffiti"" – Hand-Painted Splatter Short Coffin Nails")</x:f>
        <x:v>HYPERLINK is not implemented. linkLocation=https://365nails.com/products/365nails-gothic-graffiti-hand-painted-splatter-short-coffin-nails, friendlyName=365nails: "Gothic Graffiti" – Hand-Painted Splatter Short Coffin Nails</x:v>
      </x:c>
      <x:c r="D744" s="18" t="str">
        <x:v>Color: Extra small size xs / Small s / Medium m / Large l; Specification type: 2536 short square</x:v>
      </x:c>
      <x:c r="E744" s="25" t="str">
        <x:v>$3.99</x:v>
      </x:c>
      <x:c r="F744" s="19" t="str">
        <x:v>3</x:v>
      </x:c>
    </x:row>
    <x:row r="745" ht="93" customHeight="1">
      <x:c r="A745" s="19" t="n">
        <x:v>742</x:v>
      </x:c>
      <x:c r="B745" s="22" t="e">
        <x:f>HYPERLINK("https://cdn.shopify.com/s/files/1/0918/6066/4603/files/1ccb9c5e714eba13a6ea5bfe6175a0bb.jpg?v=1775894707","Open")</x:f>
        <x:v>HYPERLINK is not implemented. linkLocation=https://cdn.shopify.com/s/files/1/0918/6066/4603/files/1ccb9c5e714eba13a6ea5bfe6175a0bb.jpg?v=1775894707, friendlyName=Open</x:v>
      </x:c>
      <x:c r="C745" s="24" t="e">
        <x:f>HYPERLINK("https://365nails.com/products/365nails-6th-gen-strong-adhesion-crystal-cat-kids-jelly-glue-pink-safe","365nails: 6th Gen Strong Adhesion Crystal Cat Kids Jelly Glue 50pcs")</x:f>
        <x:v>HYPERLINK is not implemented. linkLocation=https://365nails.com/products/365nails-6th-gen-strong-adhesion-crystal-cat-kids-jelly-glue-pink-safe, friendlyName=365nails: 6th Gen Strong Adhesion Crystal Cat Kids Jelly Glue 50pcs</x:v>
      </x:c>
      <x:c r="D745" s="18" t="str">
        <x:v>Color: 0361 small-middle child-xs / 5370b short nails cute girl style-s / H5370 pink rose-s / 7080s girly regular style-s / H0361t space powder / 0361b blue - kids' waterproof (small/medium) / 5370 - kids &amp; teens-m</x:v>
      </x:c>
      <x:c r="E745" s="25" t="str">
        <x:v>$3.50</x:v>
      </x:c>
      <x:c r="F745" s="19" t="str">
        <x:v>1</x:v>
      </x:c>
    </x:row>
    <x:row r="746" ht="93" customHeight="1">
      <x:c r="A746" s="19" t="n">
        <x:v>743</x:v>
      </x:c>
      <x:c r="B746" s="22" t="e">
        <x:f>HYPERLINK("https://cdn.shopify.com/s/files/1/0918/6066/4603/files/O1CN01WkuSYP23g7zfCvQPb__2215671307284-0-cib.jpg?v=1775633304","Open")</x:f>
        <x:v>HYPERLINK is not implemented. linkLocation=https://cdn.shopify.com/s/files/1/0918/6066/4603/files/O1CN01WkuSYP23g7zfCvQPb__2215671307284-0-cib.jpg?v=1775633304, friendlyName=Open</x:v>
      </x:c>
      <x:c r="C746" s="24" t="e">
        <x:f>HYPERLINK("https://365nails.com/products/365nails-independence-day-glitter-flag-press-on-toenails","365nails: Independence Day Glitter Flag Press-On Toenails")</x:f>
        <x:v>HYPERLINK is not implemented. linkLocation=https://365nails.com/products/365nails-independence-day-glitter-flag-press-on-toenails, friendlyName=365nails: Independence Day Glitter Flag Press-On Toenails</x:v>
      </x:c>
      <x:c r="D746" s="18" t="str">
        <x:v>Color: F352[jelly glue + rubbing strips]</x:v>
      </x:c>
      <x:c r="E746" s="25" t="str">
        <x:v>$0.99</x:v>
      </x:c>
      <x:c r="F746" s="19" t="str">
        <x:v>3</x:v>
      </x:c>
    </x:row>
    <x:row r="747" ht="93" customHeight="1">
      <x:c r="A747" s="19" t="n">
        <x:v>744</x:v>
      </x:c>
      <x:c r="B747" s="22" t="e">
        <x:f>HYPERLINK("https://cdn.shopify.com/s/files/1/0918/6066/4603/files/O1CN01AaR4hU23g7zaOyrDn__2215671307284-0-cib.jpg?v=1775631985","Open")</x:f>
        <x:v>HYPERLINK is not implemented. linkLocation=https://cdn.shopify.com/s/files/1/0918/6066/4603/files/O1CN01AaR4hU23g7zaOyrDn__2215671307284-0-cib.jpg?v=1775631985, friendlyName=Open</x:v>
      </x:c>
      <x:c r="C747" s="24" t="e">
        <x:f>HYPERLINK("https://365nails.com/products/365nails-independence-day-fireworks-star-stripes-french-short-press-on-nails","365nails: Independence Day Fireworks Star-Stripes French Short Press-On Nails")</x:f>
        <x:v>HYPERLINK is not implemented. linkLocation=https://365nails.com/products/365nails-independence-day-fireworks-star-stripes-french-short-press-on-nails, friendlyName=365nails: Independence Day Fireworks Star-Stripes French Short Press-On Nails</x:v>
      </x:c>
      <x:c r="D747" s="18" t="str">
        <x:v>Color classification: W734[jelly glue + strips]</x:v>
      </x:c>
      <x:c r="E747" s="25" t="str">
        <x:v>$0.99</x:v>
      </x:c>
      <x:c r="F747" s="19" t="str">
        <x:v>3</x:v>
      </x:c>
    </x:row>
    <x:row r="748" ht="93" customHeight="1">
      <x:c r="A748" s="19" t="n">
        <x:v>745</x:v>
      </x:c>
      <x:c r="B748" s="22" t="e">
        <x:f>HYPERLINK("https://cdn.shopify.com/s/files/1/0918/6066/4603/files/O1CN01lrVZqH27ZUllwrPZD__2220024697811-0-cib.jpg?v=1774864420","Open")</x:f>
        <x:v>HYPERLINK is not implemented. linkLocation=https://cdn.shopify.com/s/files/1/0918/6066/4603/files/O1CN01lrVZqH27ZUllwrPZD__2220024697811-0-cib.jpg?v=1774864420, friendlyName=Open</x:v>
      </x:c>
      <x:c r="C748" s="24" t="e">
        <x:f>HYPERLINK("https://365nails.com/products/365nails-starlight-odyssey-3d-crystal-aurora-handmade-stiletto-nails","365nails: ""Starlight Odyssey"" – 3D Crystal &amp; Aurora Handmade Stiletto Nails")</x:f>
        <x:v>HYPERLINK is not implemented. linkLocation=https://365nails.com/products/365nails-starlight-odyssey-3d-crystal-aurora-handmade-stiletto-nails, friendlyName=365nails: "Starlight Odyssey" – 3D Crystal &amp; Aurora Handmade Stiletto Nails</x:v>
      </x:c>
      <x:c r="D748" s="18" t="str">
        <x:v>Color: Long tip; Color classification: Xs / S / M / L</x:v>
      </x:c>
      <x:c r="E748" s="25" t="str">
        <x:v>$4.99</x:v>
      </x:c>
      <x:c r="F748" s="19" t="str">
        <x:v>3</x:v>
      </x:c>
    </x:row>
    <x:row r="749" ht="93" customHeight="1">
      <x:c r="A749" s="19" t="n">
        <x:v>746</x:v>
      </x:c>
      <x:c r="B749" s="22" t="e">
        <x:f>HYPERLINK("https://cdn.shopify.com/s/files/1/0918/6066/4603/files/O1CN01zy7hvS27ZUlifIKa3__2220024697811-0-cib.jpg?v=1774864193","Open")</x:f>
        <x:v>HYPERLINK is not implemented. linkLocation=https://cdn.shopify.com/s/files/1/0918/6066/4603/files/O1CN01zy7hvS27ZUlifIKa3__2220024697811-0-cib.jpg?v=1774864193, friendlyName=Open</x:v>
      </x:c>
      <x:c r="C749" s="24" t="e">
        <x:f>HYPERLINK("https://365nails.com/products/365nails-seashell-serenade-3d-shell-floral-handmade-coffin-nails","365nails: ""Seashell Serenade"" – 3D Shell &amp; Floral Handmade Coffin Nails")</x:f>
        <x:v>HYPERLINK is not implemented. linkLocation=https://365nails.com/products/365nails-seashell-serenade-3d-shell-floral-handmade-coffin-nails, friendlyName=365nails: "Seashell Serenade" – 3D Shell &amp; Floral Handmade Coffin Nails</x:v>
      </x:c>
      <x:c r="D749" s="18" t="str">
        <x:v>Color: Almond; Color classification: Xs / S / M / L</x:v>
      </x:c>
      <x:c r="E749" s="25" t="str">
        <x:v>$4.49</x:v>
      </x:c>
      <x:c r="F749" s="19" t="str">
        <x:v>3</x:v>
      </x:c>
    </x:row>
    <x:row r="750" ht="93" customHeight="1">
      <x:c r="A750" s="19" t="n">
        <x:v>747</x:v>
      </x:c>
      <x:c r="B750" s="22" t="e">
        <x:f>HYPERLINK("https://cdn.shopify.com/s/files/1/0918/6066/4603/files/O1CN01juWASg2NGHoIyThKX__4234819935-0-cib.jpg?v=1753431885","Open")</x:f>
        <x:v>HYPERLINK is not implemented. linkLocation=https://cdn.shopify.com/s/files/1/0918/6066/4603/files/O1CN01juWASg2NGHoIyThKX__4234819935-0-cib.jpg?v=1753431885, friendlyName=Open</x:v>
      </x:c>
      <x:c r="C750" s="24" t="e">
        <x:f>HYPERLINK("https://365nails.com/products/xiaohongshu-maillard-wind-wearing-nail-caramel-color-autumn-manicure-short-mini-nail-piece-false-nail-wholesale-365nails","Maillard wind press-on nails caramel color autumn manicure short mini nail piece false nail wholesale｜365nails")</x:f>
        <x:v>HYPERLINK is not implemented. linkLocation=https://365nails.com/products/xiaohongshu-maillard-wind-wearing-nail-caramel-color-autumn-manicure-short-mini-nail-piece-false-nail-wholesale-365nails, friendlyName=Maillard wind press-on nails caramel color autumn manicure short mini nail piece false nail wholesale｜365nails</x:v>
      </x:c>
      <x:c r="D750" s="18" t="str">
        <x:v>Color: JP2985</x:v>
      </x:c>
      <x:c r="E750" s="25" t="str">
        <x:v>$1.73</x:v>
      </x:c>
      <x:c r="F750" s="19" t="str">
        <x:v>1</x:v>
      </x:c>
    </x:row>
    <x:row r="751" ht="93" customHeight="1">
      <x:c r="A751" s="19" t="n">
        <x:v>748</x:v>
      </x:c>
      <x:c r="B751" s="22" t="e">
        <x:f>HYPERLINK("https://cdn.shopify.com/s/files/1/0918/6066/4603/files/O1CN01fO7wbh2NGHr8PU8dr__4234819935-0-cib.jpg?v=1753428944","Open")</x:f>
        <x:v>HYPERLINK is not implemented. linkLocation=https://cdn.shopify.com/s/files/1/0918/6066/4603/files/O1CN01fO7wbh2NGHr8PU8dr__4234819935-0-cib.jpg?v=1753428944, friendlyName=Open</x:v>
      </x:c>
      <x:c r="C751" s="24" t="e">
        <x:f>HYPERLINK("https://365nails.com/products/cross-border-hot-selling-wearing-nail-art-tablets-red-love-xingmanicure-tablets-wholesale-press-on-nails-365nails","hot-selling press-on nails art tablets, red love Xingmanicure tablets, wholesale press on nails｜365nails")</x:f>
        <x:v>HYPERLINK is not implemented. linkLocation=https://365nails.com/products/cross-border-hot-selling-wearing-nail-art-tablets-red-love-xingmanicure-tablets-wholesale-press-on-nails-365nails, friendlyName=hot-selling press-on nails art tablets, red love Xingmanicure tablets, wholesale press on nails｜365nails</x:v>
      </x:c>
      <x:c r="D751" s="18" t="str">
        <x:v>Color: JP3281</x:v>
      </x:c>
      <x:c r="E751" s="25" t="str">
        <x:v>$0.70</x:v>
      </x:c>
      <x:c r="F751" s="19" t="str">
        <x:v>1</x:v>
      </x:c>
    </x:row>
    <x:row r="752" ht="93" customHeight="1">
      <x:c r="A752" s="19" t="n">
        <x:v>749</x:v>
      </x:c>
      <x:c r="B752" s="22" t="e">
        <x:f>HYPERLINK("https://cdn.shopify.com/s/files/1/0918/6066/4603/files/O1CN0179UWq723g7zbCRNYR__2215671307284-0-cib.jpg?v=1775632101","Open")</x:f>
        <x:v>HYPERLINK is not implemented. linkLocation=https://cdn.shopify.com/s/files/1/0918/6066/4603/files/O1CN0179UWq723g7zbCRNYR__2215671307284-0-cib.jpg?v=1775632101, friendlyName=Open</x:v>
      </x:c>
      <x:c r="C752" s="24" t="e">
        <x:f>HYPERLINK("https://365nails.com/products/365nails-independence-day-flag-fireworks-theme-press-on-nails","365nails: Independence Day Flag Fireworks Theme Press-On Nails")</x:f>
        <x:v>HYPERLINK is not implemented. linkLocation=https://365nails.com/products/365nails-independence-day-flag-fireworks-theme-press-on-nails, friendlyName=365nails: Independence Day Flag Fireworks Theme Press-On Nails</x:v>
      </x:c>
      <x:c r="D752" s="18" t="str">
        <x:v>Color classification: W1330[jelly glue + strip]</x:v>
      </x:c>
      <x:c r="E752" s="25" t="str">
        <x:v>$0.99</x:v>
      </x:c>
      <x:c r="F752" s="19" t="str">
        <x:v>3</x:v>
      </x:c>
    </x:row>
    <x:row r="753" ht="93" customHeight="1">
      <x:c r="A753" s="19" t="n">
        <x:v>750</x:v>
      </x:c>
      <x:c r="B753" s="22" t="e">
        <x:f>HYPERLINK("https://cdn.shopify.com/s/files/1/0918/6066/4603/files/O1CN01OoxET42NGHbE0oDoA__4234819935-0-cib.jpg?v=1753429189","Open")</x:f>
        <x:v>HYPERLINK is not implemented. linkLocation=https://cdn.shopify.com/s/files/1/0918/6066/4603/files/O1CN01OoxET42NGHbE0oDoA__4234819935-0-cib.jpg?v=1753429189, friendlyName=Open</x:v>
      </x:c>
      <x:c r="C753" s="24" t="e">
        <x:f>HYPERLINK("https://365nails.com/products/wearable-toenail-sticker-nail-patch-foot-nail-patch-removable-whitening-fake-nail-toenail-finished-product-wholesale-365nails","Wearable toenail sticker Nail patch Foot nail patch Removable whitening fake nail Toenail finished product wholesale｜365nails")</x:f>
        <x:v>HYPERLINK is not implemented. linkLocation=https://365nails.com/products/wearable-toenail-sticker-nail-patch-foot-nail-patch-removable-whitening-fake-nail-toenail-finished-product-wholesale-365nails, friendlyName=Wearable toenail sticker Nail patch Foot nail patch Removable whitening fake nail Toenail finished product wholesale｜365nails</x:v>
      </x:c>
      <x:c r="D753" s="18" t="str">
        <x:v>color: JP1179 [Glue model] / JP1066 [Glue model] / JP1185 [Glue model] / JP1662 [Glue model] / JP1644 [Glue model] / JP1672 [Glue model] / JP1645 [Glue model] / JP1668 [Glue model] / JP1661 [Glue model] / JP1065 [Glue model] / JP1664 [Glue model]</x:v>
      </x:c>
      <x:c r="E753" s="25" t="str">
        <x:v>$0.48–$0.82</x:v>
      </x:c>
      <x:c r="F753" s="19" t="str">
        <x:v>1</x:v>
      </x:c>
    </x:row>
    <x:row r="754" ht="93" customHeight="1">
      <x:c r="A754" s="19" t="n">
        <x:v>751</x:v>
      </x:c>
      <x:c r="B754" s="22" t="e">
        <x:f>HYPERLINK("https://cdn.shopify.com/s/files/1/0918/6066/4603/files/O1CN01V1q01K2NGHvn1jCY6__4234819935-0-cib.jpg?v=1753428932","Open")</x:f>
        <x:v>HYPERLINK is not implemented. linkLocation=https://cdn.shopify.com/s/files/1/0918/6066/4603/files/O1CN01V1q01K2NGHvn1jCY6__4234819935-0-cib.jpg?v=1753428932, friendlyName=Open</x:v>
      </x:c>
      <x:c r="C754" s="24" t="e">
        <x:f>HYPERLINK("https://365nails.com/products/simple-french-leopard-print-nail-art-false-nails-cherry-wear-nail-repeatable-nail-sheet-press-on-nails-365nails","Simple French Leopard Print Nail Art False Nails Cherry Wear Nail Repeatable Nail Sheet Press on nails｜365nails")</x:f>
        <x:v>HYPERLINK is not implemented. linkLocation=https://365nails.com/products/simple-french-leopard-print-nail-art-false-nails-cherry-wear-nail-repeatable-nail-sheet-press-on-nails-365nails, friendlyName=Simple French Leopard Print Nail Art False Nails Cherry Wear Nail Repeatable Nail Sheet Press on nails｜365nails</x:v>
      </x:c>
      <x:c r="D754" s="18" t="str">
        <x:v>color: JP3642</x:v>
      </x:c>
      <x:c r="E754" s="25" t="str">
        <x:v>$0.94</x:v>
      </x:c>
      <x:c r="F754" s="19" t="str">
        <x:v>1</x:v>
      </x:c>
    </x:row>
    <x:row r="755" ht="93" customHeight="1">
      <x:c r="A755" s="19" t="n">
        <x:v>752</x:v>
      </x:c>
      <x:c r="B755" s="22" t="e">
        <x:f>HYPERLINK("https://cdn.shopify.com/s/files/1/0918/6066/4603/files/O1CN01wMnwpW2NGHoCaE3nF__4234819935-0-cib.jpg?v=1753431890","Open")</x:f>
        <x:v>HYPERLINK is not implemented. linkLocation=https://cdn.shopify.com/s/files/1/0918/6066/4603/files/O1CN01wMnwpW2NGHoCaE3nF__4234819935-0-cib.jpg?v=1753431890, friendlyName=Open</x:v>
      </x:c>
      <x:c r="C755" s="24" t="e">
        <x:f>HYPERLINK("https://365nails.com/products/simple-and-sweet-pink-wearing-nail-nail-piece-long-bronzing-pink-white-nail-art-fake-nail-finger-smudging-nail-piece-wholesale-365nails","Simple and sweet pink press-on nails nail piece long bronzing pink white nail art fake nail finger smudging nail piece wholesale｜365nails")</x:f>
        <x:v>HYPERLINK is not implemented. linkLocation=https://365nails.com/products/simple-and-sweet-pink-wearing-nail-nail-piece-long-bronzing-pink-white-nail-art-fake-nail-finger-smudging-nail-piece-wholesale-365nails, friendlyName=Simple and sweet pink press-on nails nail piece long bronzing pink white nail art fake nail finger smudging nail piece wholesale｜365nails</x:v>
      </x:c>
      <x:c r="D755" s="18" t="str">
        <x:v>color: JP3048</x:v>
      </x:c>
      <x:c r="E755" s="25" t="str">
        <x:v>$0.86</x:v>
      </x:c>
      <x:c r="F755" s="19" t="str">
        <x:v>1</x:v>
      </x:c>
    </x:row>
    <x:row r="756" ht="93" customHeight="1">
      <x:c r="A756" s="19" t="n">
        <x:v>753</x:v>
      </x:c>
      <x:c r="B756" s="22" t="e">
        <x:f>HYPERLINK("https://cdn.shopify.com/s/files/1/0918/6066/4603/files/O1CN01hNnOAa27ZUlgXBOP1__2220024697811-0-cib.jpg?v=1774864669","Open")</x:f>
        <x:v>HYPERLINK is not implemented. linkLocation=https://cdn.shopify.com/s/files/1/0918/6066/4603/files/O1CN01hNnOAa27ZUlgXBOP1__2220024697811-0-cib.jpg?v=1774864669, friendlyName=Open</x:v>
      </x:c>
      <x:c r="C756" s="24" t="e">
        <x:f>HYPERLINK("https://365nails.com/products/365nails-amethyst-glow-cat-eye-crystal-handmade-square-nails","365nails: ""Amethyst Glow"" – Cat Eye &amp; Crystal Handmade Square Nails")</x:f>
        <x:v>HYPERLINK is not implemented. linkLocation=https://365nails.com/products/365nails-amethyst-glow-cat-eye-crystal-handmade-square-nails, friendlyName=365nails: "Amethyst Glow" – Cat Eye &amp; Crystal Handmade Square Nails</x:v>
      </x:c>
      <x:c r="D756" s="18" t="str">
        <x:v>Color: Short round bean nails; Color classification: Xs / S / M / L</x:v>
      </x:c>
      <x:c r="E756" s="25" t="str">
        <x:v>$2.49</x:v>
      </x:c>
      <x:c r="F756" s="19" t="str">
        <x:v>3</x:v>
      </x:c>
    </x:row>
    <x:row r="757" ht="93" customHeight="1">
      <x:c r="A757" s="19" t="n">
        <x:v>754</x:v>
      </x:c>
      <x:c r="B757" s="22" t="e">
        <x:f>HYPERLINK("https://cdn.shopify.com/s/files/1/0918/6066/4603/files/O1CN01FfacRs1R0x1QxVQ9i__6000000002050-0-cib.jpg?v=1774960790","Open")</x:f>
        <x:v>HYPERLINK is not implemented. linkLocation=https://cdn.shopify.com/s/files/1/0918/6066/4603/files/O1CN01FfacRs1R0x1QxVQ9i__6000000002050-0-cib.jpg?v=1774960790, friendlyName=Open</x:v>
      </x:c>
      <x:c r="C757" s="24" t="e">
        <x:f>HYPERLINK("https://365nails.com/products/365nails-blue-lagoon-3d-shell-handmade-stiletto-nails","365nails: ""Blue Lagoon"" – 3D Shell Handmade Stiletto Nails")</x:f>
        <x:v>HYPERLINK is not implemented. linkLocation=https://365nails.com/products/365nails-blue-lagoon-3d-shell-handmade-stiletto-nails, friendlyName=365nails: "Blue Lagoon" – 3D Shell Handmade Stiletto Nails</x:v>
      </x:c>
      <x:c r="D757" s="18" t="str">
        <x:v>Color: Thin dog with long tip; Color classification: Xs / S / M / L</x:v>
      </x:c>
      <x:c r="E757" s="25" t="str">
        <x:v>$4.49</x:v>
      </x:c>
      <x:c r="F757" s="19" t="str">
        <x:v>3</x:v>
      </x:c>
    </x:row>
    <x:row r="758" ht="93" customHeight="1">
      <x:c r="A758" s="19" t="n">
        <x:v>755</x:v>
      </x:c>
      <x:c r="B758" s="22" t="e">
        <x:f>HYPERLINK("https://cdn.shopify.com/s/files/1/0918/6066/4603/files/O1CN01YHtyLO27ZUldRqnmI__2220024697811-0-cib.jpg?v=1775051209","Open")</x:f>
        <x:v>HYPERLINK is not implemented. linkLocation=https://cdn.shopify.com/s/files/1/0918/6066/4603/files/O1CN01YHtyLO27ZUldRqnmI__2220024697811-0-cib.jpg?v=1775051209, friendlyName=Open</x:v>
      </x:c>
      <x:c r="C758" s="24" t="e">
        <x:f>HYPERLINK("https://365nails.com/products/365nails-botanical-garden-3d-floral-glitter-handmade-stiletto-nails","365nails: ""Botanical Garden"" – 3D Floral &amp; Glitter Handmade Stiletto Nails")</x:f>
        <x:v>HYPERLINK is not implemented. linkLocation=https://365nails.com/products/365nails-botanical-garden-3d-floral-glitter-handmade-stiletto-nails, friendlyName=365nails: "Botanical Garden" – 3D Floral &amp; Glitter Handmade Stiletto Nails</x:v>
      </x:c>
      <x:c r="D758" s="18" t="str">
        <x:v>Color: Long tip; Color classification: Xs / S / M / L</x:v>
      </x:c>
      <x:c r="E758" s="25" t="str">
        <x:v>$4.99</x:v>
      </x:c>
      <x:c r="F758" s="19" t="str">
        <x:v>3</x:v>
      </x:c>
    </x:row>
    <x:row r="759" ht="93" customHeight="1">
      <x:c r="A759" s="19" t="n">
        <x:v>756</x:v>
      </x:c>
      <x:c r="B759" s="22" t="e">
        <x:f>HYPERLINK("https://cdn.shopify.com/s/files/1/0918/6066/4603/files/O1CN01c4HAta27ZUl20JSoK__2220024697811-0-cib.jpg?v=1774927951","Open")</x:f>
        <x:v>HYPERLINK is not implemented. linkLocation=https://cdn.shopify.com/s/files/1/0918/6066/4603/files/O1CN01c4HAta27ZUl20JSoK__2220024697811-0-cib.jpg?v=1774927951, friendlyName=Open</x:v>
      </x:c>
      <x:c r="C759" s="24" t="e">
        <x:f>HYPERLINK("https://365nails.com/products/365nails-ocean-citrus-3d-slice-handmade-almond-nails","365nails: ""Ocean Citrus"" – 3D Slice Handmade Almond Nails")</x:f>
        <x:v>HYPERLINK is not implemented. linkLocation=https://365nails.com/products/365nails-ocean-citrus-3d-slice-handmade-almond-nails, friendlyName=365nails: "Ocean Citrus" – 3D Slice Handmade Almond Nails</x:v>
      </x:c>
      <x:c r="D759" s="18" t="str">
        <x:v>Color: Almond; Color classification: Xs / S / M / L</x:v>
      </x:c>
      <x:c r="E759" s="25" t="str">
        <x:v>$3.99</x:v>
      </x:c>
      <x:c r="F759" s="19" t="str">
        <x:v>3</x:v>
      </x:c>
    </x:row>
    <x:row r="760" ht="93" customHeight="1">
      <x:c r="A760" s="19" t="n">
        <x:v>757</x:v>
      </x:c>
      <x:c r="B760" s="22" t="e">
        <x:f>HYPERLINK("https://cdn.shopify.com/s/files/1/0918/6066/4603/files/O1CN01zrXL9N2NGHkgezJjG__4234819935-0-cib.jpg?v=1753432921","Open")</x:f>
        <x:v>HYPERLINK is not implemented. linkLocation=https://cdn.shopify.com/s/files/1/0918/6066/4603/files/O1CN01zrXL9N2NGHkgezJjG__4234819935-0-cib.jpg?v=1753432921, friendlyName=Open</x:v>
      </x:c>
      <x:c r="C760" s="24" t="e">
        <x:f>HYPERLINK("https://365nails.com/products/nail-piece-finished-short-white-foot-nail-piece-wearable-manicure-patch-glitter-rhinestone-wearable-nail-piece-summer-365nails","Nail piece Finished short white foot nail piece Wearable manicure patch Glitter rhinestone wearable nail piece Summer｜365nails")</x:f>
        <x:v>HYPERLINK is not implemented. linkLocation=https://365nails.com/products/nail-piece-finished-short-white-foot-nail-piece-wearable-manicure-patch-glitter-rhinestone-wearable-nail-piece-summer-365nails, friendlyName=Nail piece Finished short white foot nail piece Wearable manicure patch Glitter rhinestone wearable nail piece Summer｜365nails</x:v>
      </x:c>
      <x:c r="D760" s="18" t="str">
        <x:v>color: JP2432</x:v>
      </x:c>
      <x:c r="E760" s="25" t="str">
        <x:v>$1.08</x:v>
      </x:c>
      <x:c r="F760" s="19" t="str">
        <x:v>1</x:v>
      </x:c>
    </x:row>
    <x:row r="761" ht="93" customHeight="1">
      <x:c r="A761" s="19" t="n">
        <x:v>758</x:v>
      </x:c>
      <x:c r="B761" s="22" t="e">
        <x:f>HYPERLINK("https://cdn.shopify.com/s/files/1/0918/6066/4603/files/O1CN01us0akV2NGHyJcvnhZ__4234819935-0-cib.jpg?v=1753431968","Open")</x:f>
        <x:v>HYPERLINK is not implemented. linkLocation=https://cdn.shopify.com/s/files/1/0918/6066/4603/files/O1CN01us0akV2NGHyJcvnhZ__4234819935-0-cib.jpg?v=1753431968, friendlyName=Open</x:v>
      </x:c>
      <x:c r="C761" s="24" t="e">
        <x:f>HYPERLINK("https://365nails.com/products/french-zebra-pattern-wearing-nail-medium-and-short-square-nail-nail-nail-piece-cross-border-hot-selling-wearing-fake-nail-wholesale-365nails","French zebra pattern  medium and short square nail ｜365nails")</x:f>
        <x:v>HYPERLINK is not implemented. linkLocation=https://365nails.com/products/french-zebra-pattern-wearing-nail-medium-and-short-square-nail-nail-nail-piece-cross-border-hot-selling-wearing-fake-nail-wholesale-365nails, friendlyName=French zebra pattern  medium and short square nail ｜365nails</x:v>
      </x:c>
      <x:c r="D761" s="18" t="str">
        <x:v>color: JP3656</x:v>
      </x:c>
      <x:c r="E761" s="25" t="str">
        <x:v>$1.34</x:v>
      </x:c>
      <x:c r="F761" s="19" t="str">
        <x:v>1</x:v>
      </x:c>
    </x:row>
    <x:row r="762" ht="93" customHeight="1">
      <x:c r="A762" s="19" t="n">
        <x:v>759</x:v>
      </x:c>
      <x:c r="B762" s="22" t="e">
        <x:f>HYPERLINK("https://cdn.shopify.com/s/files/1/0918/6066/4603/files/O1CN01dthtZl2NGHntsBEfy__4234819935-0-cib.jpg?v=1753431935","Open")</x:f>
        <x:v>HYPERLINK is not implemented. linkLocation=https://cdn.shopify.com/s/files/1/0918/6066/4603/files/O1CN01dthtZl2NGHntsBEfy__4234819935-0-cib.jpg?v=1753431935, friendlyName=Open</x:v>
      </x:c>
      <x:c r="C762" s="24" t="e">
        <x:f>HYPERLINK("https://365nails.com/products/european-and-american-spice-girls-wear-nail-pieces-medium-and-long-flower-white-edge-nail-pieces-cross-border-nail-stickers-nail-pieces-365nails","Spice girls wear nail pieces medium and long flower white edge nail pieces")</x:f>
        <x:v>HYPERLINK is not implemented. linkLocation=https://365nails.com/products/european-and-american-spice-girls-wear-nail-pieces-medium-and-long-flower-white-edge-nail-pieces-cross-border-nail-stickers-nail-pieces-365nails, friendlyName=Spice girls wear nail pieces medium and long flower white edge nail pieces</x:v>
      </x:c>
      <x:c r="D762" s="18" t="str">
        <x:v>Color: JP2876</x:v>
      </x:c>
      <x:c r="E762" s="25" t="str">
        <x:v>$1.47</x:v>
      </x:c>
      <x:c r="F762" s="19" t="str">
        <x:v>1</x:v>
      </x:c>
    </x:row>
    <x:row r="763" ht="93" customHeight="1">
      <x:c r="A763" s="19" t="n">
        <x:v>760</x:v>
      </x:c>
      <x:c r="B763" s="22" t="e">
        <x:f>HYPERLINK("https://cdn.shopify.com/s/files/1/0918/6066/4603/files/O1CN01rog7D427ZUlFS9h5v__2220024697811-0-cib.jpg?v=1775052829","Open")</x:f>
        <x:v>HYPERLINK is not implemented. linkLocation=https://cdn.shopify.com/s/files/1/0918/6066/4603/files/O1CN01rog7D427ZUlFS9h5v__2220024697811-0-cib.jpg?v=1775052829, friendlyName=Open</x:v>
      </x:c>
      <x:c r="C763" s="24" t="e">
        <x:f>HYPERLINK("https://365nails.com/products/365nails-gilded-bloom-3d-floral-gold-leaf-handmade-almond-nails","365nails: ""Gilded Bloom"" – 3D Floral &amp; Gold Leaf Handmade Almond Nails")</x:f>
        <x:v>HYPERLINK is not implemented. linkLocation=https://365nails.com/products/365nails-gilded-bloom-3d-floral-gold-leaf-handmade-almond-nails, friendlyName=365nails: "Gilded Bloom" – 3D Floral &amp; Gold Leaf Handmade Almond Nails</x:v>
      </x:c>
      <x:c r="D763" s="18" t="str">
        <x:v>Color: Almond; Color classification: Xs / S / M / L</x:v>
      </x:c>
      <x:c r="E763" s="25" t="str">
        <x:v>$4.99</x:v>
      </x:c>
      <x:c r="F763" s="19" t="str">
        <x:v>3</x:v>
      </x:c>
    </x:row>
    <x:row r="764" ht="93" customHeight="1">
      <x:c r="A764" s="19" t="n">
        <x:v>761</x:v>
      </x:c>
      <x:c r="B764" s="22" t="e">
        <x:f>HYPERLINK("https://cdn.shopify.com/s/files/1/0918/6066/4603/files/O1CN01WFLkLr27ZUlFOOqYh__2220024697811-0-cib.jpg?v=1775037122","Open")</x:f>
        <x:v>HYPERLINK is not implemented. linkLocation=https://cdn.shopify.com/s/files/1/0918/6066/4603/files/O1CN01WFLkLr27ZUlFOOqYh__2220024697811-0-cib.jpg?v=1775037122, friendlyName=Open</x:v>
      </x:c>
      <x:c r="C764" s="24" t="e">
        <x:f>HYPERLINK("https://365nails.com/products/365nails-christmas-joy-3d-reindeer-bow-handmade-almond-nails","365nails: ""Christmas Joy"" – 3D Reindeer &amp; Bow Handmade Almond Nails")</x:f>
        <x:v>HYPERLINK is not implemented. linkLocation=https://365nails.com/products/365nails-christmas-joy-3d-reindeer-bow-handmade-almond-nails, friendlyName=365nails: "Christmas Joy" – 3D Reindeer &amp; Bow Handmade Almond Nails</x:v>
      </x:c>
      <x:c r="D764" s="18" t="str">
        <x:v>Color: Right angle t; Color classification: Xs / S / M / L</x:v>
      </x:c>
      <x:c r="E764" s="25" t="str">
        <x:v>$4.99</x:v>
      </x:c>
      <x:c r="F764" s="19" t="str">
        <x:v>3</x:v>
      </x:c>
    </x:row>
    <x:row r="765" ht="93" customHeight="1">
      <x:c r="A765" s="19" t="n">
        <x:v>762</x:v>
      </x:c>
      <x:c r="B765" s="22" t="e">
        <x:f>HYPERLINK("https://cdn.shopify.com/s/files/1/0918/6066/4603/files/O1CN01MhcY8A27ZUmkqeB3A__2220024697811-0-cib_acca0f0f-c505-4f91-8821-67fff9e649ba.jpg?v=1774960035","Open")</x:f>
        <x:v>HYPERLINK is not implemented. linkLocation=https://cdn.shopify.com/s/files/1/0918/6066/4603/files/O1CN01MhcY8A27ZUmkqeB3A__2220024697811-0-cib_acca0f0f-c505-4f91-8821-67fff9e649ba.jpg?v=1774960035, friendlyName=Open</x:v>
      </x:c>
      <x:c r="C765" s="24" t="e">
        <x:f>HYPERLINK("https://365nails.com/products/365nails-caramel-dream-3d-bear-handmade-almond-nails","365nails: ""Caramel Dream"" – 3D Bear Handmade Almond Nails")</x:f>
        <x:v>HYPERLINK is not implemented. linkLocation=https://365nails.com/products/365nails-caramel-dream-3d-bear-handmade-almond-nails, friendlyName=365nails: "Caramel Dream" – 3D Bear Handmade Almond Nails</x:v>
      </x:c>
      <x:c r="D765" s="18" t="str">
        <x:v>Color: Long tip; Color classification: Xs / S / M / L</x:v>
      </x:c>
      <x:c r="E765" s="25" t="str">
        <x:v>$4.99</x:v>
      </x:c>
      <x:c r="F765" s="19" t="str">
        <x:v>3</x:v>
      </x:c>
    </x:row>
    <x:row r="766" ht="93" customHeight="1">
      <x:c r="A766" s="19" t="n">
        <x:v>763</x:v>
      </x:c>
      <x:c r="B766" s="22" t="e">
        <x:f>HYPERLINK("https://cdn.shopify.com/s/files/1/0918/6066/4603/files/O1CN01AdkNsx1ixtSoWz7Oj__6000000004480-0-cib.jpg?v=1774956469","Open")</x:f>
        <x:v>HYPERLINK is not implemented. linkLocation=https://cdn.shopify.com/s/files/1/0918/6066/4603/files/O1CN01AdkNsx1ixtSoWz7Oj__6000000004480-0-cib.jpg?v=1774956469, friendlyName=Open</x:v>
      </x:c>
      <x:c r="C766" s="24" t="e">
        <x:f>HYPERLINK("https://365nails.com/products/365nails-skull-rose-3d-gothic-skull-handmade-stiletto-nails","365nails: ""Skull &amp; Rose"" – 3D Gothic Skull Handmade Stiletto Nails")</x:f>
        <x:v>HYPERLINK is not implemented. linkLocation=https://365nails.com/products/365nails-skull-rose-3d-gothic-skull-handmade-stiletto-nails, friendlyName=365nails: "Skull &amp; Rose" – 3D Gothic Skull Handmade Stiletto Nails</x:v>
      </x:c>
      <x:c r="D766" s="18" t="str">
        <x:v>Color: Almond; Color classification: Xs / S / M / L</x:v>
      </x:c>
      <x:c r="E766" s="25" t="str">
        <x:v>$5.49</x:v>
      </x:c>
      <x:c r="F766" s="19" t="str">
        <x:v>3</x:v>
      </x:c>
    </x:row>
    <x:row r="767" ht="93" customHeight="1">
      <x:c r="A767" s="19" t="n">
        <x:v>764</x:v>
      </x:c>
      <x:c r="B767" s="22" t="e">
        <x:f>HYPERLINK("https://cdn.shopify.com/s/files/1/0918/6066/4603/files/O1CN01OBbXQl27ZUkv8hGuN__2220024697811-0-cib.jpg?v=1774946058","Open")</x:f>
        <x:v>HYPERLINK is not implemented. linkLocation=https://cdn.shopify.com/s/files/1/0918/6066/4603/files/O1CN01OBbXQl27ZUkv8hGuN__2220024697811-0-cib.jpg?v=1774946058, friendlyName=Open</x:v>
      </x:c>
      <x:c r="C767" s="24" t="e">
        <x:f>HYPERLINK("https://365nails.com/products/365nails-midnight-gala-3d-skull-star-handmade-stiletto-nails","365nails: ""Midnight Gala"" – 3D Skull &amp; Star Handmade Stiletto Nails")</x:f>
        <x:v>HYPERLINK is not implemented. linkLocation=https://365nails.com/products/365nails-midnight-gala-3d-skull-star-handmade-stiletto-nails, friendlyName=365nails: "Midnight Gala" – 3D Skull &amp; Star Handmade Stiletto Nails</x:v>
      </x:c>
      <x:c r="D767" s="18" t="str">
        <x:v>Color: Almond; Color classification: Xs / S / M / L</x:v>
      </x:c>
      <x:c r="E767" s="25" t="str">
        <x:v>$4.49</x:v>
      </x:c>
      <x:c r="F767" s="19" t="str">
        <x:v>3</x:v>
      </x:c>
    </x:row>
    <x:row r="768" ht="93" customHeight="1">
      <x:c r="A768" s="19" t="n">
        <x:v>765</x:v>
      </x:c>
      <x:c r="B768" s="22" t="e">
        <x:f>HYPERLINK("https://cdn.shopify.com/s/files/1/0918/6066/4603/files/O1CN01U7ax5427ZUlTcFbbC__2220024697811-0-cib.jpg?v=1774927540","Open")</x:f>
        <x:v>HYPERLINK is not implemented. linkLocation=https://cdn.shopify.com/s/files/1/0918/6066/4603/files/O1CN01U7ax5427ZUlTcFbbC__2220024697811-0-cib.jpg?v=1774927540, friendlyName=Open</x:v>
      </x:c>
      <x:c r="C768" s="24" t="e">
        <x:f>HYPERLINK("https://365nails.com/products/365nails-botanical-reverie-3d-floral-handmade-coffin-nails","365nails: ""Botanical Reverie"" – 3D Floral Handmade Coffin Nails")</x:f>
        <x:v>HYPERLINK is not implemented. linkLocation=https://365nails.com/products/365nails-botanical-reverie-3d-floral-handmade-coffin-nails, friendlyName=365nails: "Botanical Reverie" – 3D Floral Handmade Coffin Nails</x:v>
      </x:c>
      <x:c r="D768" s="18" t="str">
        <x:v>Color: Right angle t; Color classification: Xs / S / M / L</x:v>
      </x:c>
      <x:c r="E768" s="25" t="str">
        <x:v>$5.49</x:v>
      </x:c>
      <x:c r="F768" s="19" t="str">
        <x:v>3</x:v>
      </x:c>
    </x:row>
    <x:row r="769" ht="93" customHeight="1">
      <x:c r="A769" s="19" t="n">
        <x:v>766</x:v>
      </x:c>
      <x:c r="B769" s="22" t="e">
        <x:f>HYPERLINK("https://cdn.shopify.com/s/files/1/0918/6066/4603/files/O1CN015xfuia27ZUmKbkfCr__2220024697811-0-cib.jpg?v=1774926460","Open")</x:f>
        <x:v>HYPERLINK is not implemented. linkLocation=https://cdn.shopify.com/s/files/1/0918/6066/4603/files/O1CN015xfuia27ZUmKbkfCr__2220024697811-0-cib.jpg?v=1774926460, friendlyName=Open</x:v>
      </x:c>
      <x:c r="C769" s="24" t="e">
        <x:f>HYPERLINK("https://365nails.com/products/365nails-cherry-blossom-whisper-3d-floral-handmade-coffin-nails","365nails: ""Cherry Blossom Whisper"" – 3D Floral Handmade Coffin Nails")</x:f>
        <x:v>HYPERLINK is not implemented. linkLocation=https://365nails.com/products/365nails-cherry-blossom-whisper-3d-floral-handmade-coffin-nails, friendlyName=365nails: "Cherry Blossom Whisper" – 3D Floral Handmade Coffin Nails</x:v>
      </x:c>
      <x:c r="D769" s="18" t="str">
        <x:v>Color: European; Color classification: S / M / L</x:v>
      </x:c>
      <x:c r="E769" s="25" t="str">
        <x:v>$4.49</x:v>
      </x:c>
      <x:c r="F769" s="19" t="str">
        <x:v>3</x:v>
      </x:c>
    </x:row>
    <x:row r="770" ht="93" customHeight="1">
      <x:c r="A770" s="19" t="n">
        <x:v>767</x:v>
      </x:c>
      <x:c r="B770" s="22" t="e">
        <x:f>HYPERLINK("https://cdn.shopify.com/s/files/1/0918/6066/4603/files/O1CN018MMTgE2NGHvWt3Mcu__4234819935-0-cib.jpg?v=1753428967","Open")</x:f>
        <x:v>HYPERLINK is not implemented. linkLocation=https://cdn.shopify.com/s/files/1/0918/6066/4603/files/O1CN018MMTgE2NGHvWt3Mcu__4234819935-0-cib.jpg?v=1753428967, friendlyName=Open</x:v>
      </x:c>
      <x:c r="C770" s="24" t="e">
        <x:f>HYPERLINK("https://365nails.com/products/autumn-and-winter-leopard-print-splicing-wearing-armor-simple-black-solid-color-autumn-manicure-fake-nails-fake-nails-365nails","Autumn and winter leopard print splicing wearing armor simple black solid color autumn manicure fake nails fake nails｜365nails")</x:f>
        <x:v>HYPERLINK is not implemented. linkLocation=https://365nails.com/products/autumn-and-winter-leopard-print-splicing-wearing-armor-simple-black-solid-color-autumn-manicure-fake-nails-fake-nails-365nails, friendlyName=Autumn and winter leopard print splicing wearing armor simple black solid color autumn manicure fake nails fake nails｜365nails</x:v>
      </x:c>
      <x:c r="D770" s="18" t="str">
        <x:v>color: JP3604</x:v>
      </x:c>
      <x:c r="E770" s="25" t="str">
        <x:v>$0.77</x:v>
      </x:c>
      <x:c r="F770" s="19" t="str">
        <x:v>1</x:v>
      </x:c>
    </x:row>
    <x:row r="771" ht="93" customHeight="1">
      <x:c r="A771" s="19" t="n">
        <x:v>768</x:v>
      </x:c>
      <x:c r="B771" s="22" t="e">
        <x:f>HYPERLINK("https://cdn.shopify.com/s/files/1/0918/6066/4603/files/O1CN01CZHfSP27ZUlsMefqk__2220024697811-0-cib.jpg?v=1774959211","Open")</x:f>
        <x:v>HYPERLINK is not implemented. linkLocation=https://cdn.shopify.com/s/files/1/0918/6066/4603/files/O1CN01CZHfSP27ZUlsMefqk__2220024697811-0-cib.jpg?v=1774959211, friendlyName=Open</x:v>
      </x:c>
      <x:c r="C771" s="24" t="e">
        <x:f>HYPERLINK("https://365nails.com/products/365nails-carnival-night-3d-cartoon-handmade-stiletto-nails","365nails: ""Carnival Night"" – 3D Cartoon Handmade Stiletto Nails")</x:f>
        <x:v>HYPERLINK is not implemented. linkLocation=https://365nails.com/products/365nails-carnival-night-3d-cartoon-handmade-stiletto-nails, friendlyName=365nails: "Carnival Night" – 3D Cartoon Handmade Stiletto Nails</x:v>
      </x:c>
      <x:c r="D771" s="18" t="str">
        <x:v>Color: Long tip; Color classification: Xs / S / M / L</x:v>
      </x:c>
      <x:c r="E771" s="25" t="str">
        <x:v>$4.49</x:v>
      </x:c>
      <x:c r="F771" s="19" t="str">
        <x:v>3</x:v>
      </x:c>
    </x:row>
    <x:row r="772" ht="93" customHeight="1">
      <x:c r="A772" s="19" t="n">
        <x:v>769</x:v>
      </x:c>
      <x:c r="B772" s="22" t="e">
        <x:f>HYPERLINK("https://cdn.shopify.com/s/files/1/0918/6066/4603/files/O1CN01fZ5gYz27ZUkgKoebD__2220024697811-0-cib.jpg?v=1774944583","Open")</x:f>
        <x:v>HYPERLINK is not implemented. linkLocation=https://cdn.shopify.com/s/files/1/0918/6066/4603/files/O1CN01fZ5gYz27ZUkgKoebD__2220024697811-0-cib.jpg?v=1774944583, friendlyName=Open</x:v>
      </x:c>
      <x:c r="C772" s="24" t="e">
        <x:f>HYPERLINK("https://365nails.com/products/365nails-spooky-couture-3d-skull-handmade-coffin-nails","365nails: ""Spooky Couture"" – 3D Skull Handmade Coffin Nails")</x:f>
        <x:v>HYPERLINK is not implemented. linkLocation=https://365nails.com/products/365nails-spooky-couture-3d-skull-handmade-coffin-nails, friendlyName=365nails: "Spooky Couture" – 3D Skull Handmade Coffin Nails</x:v>
      </x:c>
      <x:c r="D772" s="18" t="str">
        <x:v>Color: Long t; Color classification: Xs / S / M / L</x:v>
      </x:c>
      <x:c r="E772" s="25" t="str">
        <x:v>$4.99</x:v>
      </x:c>
      <x:c r="F772" s="19" t="str">
        <x:v>3</x:v>
      </x:c>
    </x:row>
    <x:row r="773" ht="93" customHeight="1">
      <x:c r="A773" s="19" t="n">
        <x:v>770</x:v>
      </x:c>
      <x:c r="B773" s="22" t="e">
        <x:f>HYPERLINK("https://cdn.shopify.com/s/files/1/0918/6066/4603/files/O1CN018F3fNH2NGHfJcW1R0__4234819935-0-cib.jpg?v=1753432932","Open")</x:f>
        <x:v>HYPERLINK is not implemented. linkLocation=https://cdn.shopify.com/s/files/1/0918/6066/4603/files/O1CN018F3fNH2NGHfJcW1R0__4234819935-0-cib.jpg?v=1753432932, friendlyName=Open</x:v>
      </x:c>
      <x:c r="C773" s="24" t="e">
        <x:f>HYPERLINK("https://365nails.com/products/wear-nail-piece-simple-french-nude-love-nail-sticker-removable-nail-piece-nail-art-nail-piece-nail-patch-365nails","Wear nail piece Simple French nude love nail sticker Removable nail piece Nail art nail piece Nail patch｜365nails")</x:f>
        <x:v>HYPERLINK is not implemented. linkLocation=https://365nails.com/products/wear-nail-piece-simple-french-nude-love-nail-sticker-removable-nail-piece-nail-art-nail-piece-nail-patch-365nails, friendlyName=Wear nail piece Simple French nude love nail sticker Removable nail piece Nail art nail piece Nail patch｜365nails</x:v>
      </x:c>
      <x:c r="D773" s="18" t="str">
        <x:v>color: JP1563</x:v>
      </x:c>
      <x:c r="E773" s="25" t="str">
        <x:v>$0.70</x:v>
      </x:c>
      <x:c r="F773" s="19" t="str">
        <x:v>1</x:v>
      </x:c>
    </x:row>
    <x:row r="774" ht="93" customHeight="1">
      <x:c r="A774" s="19" t="n">
        <x:v>771</x:v>
      </x:c>
      <x:c r="B774" s="22" t="e">
        <x:f>HYPERLINK("https://cdn.shopify.com/s/files/1/0918/6066/4603/files/O1CN01KENP622NGHbltSCP9__4234819935-0-cib.jpg?v=1753432917","Open")</x:f>
        <x:v>HYPERLINK is not implemented. linkLocation=https://cdn.shopify.com/s/files/1/0918/6066/4603/files/O1CN01KENP622NGHbltSCP9__4234819935-0-cib.jpg?v=1753432917, friendlyName=Open</x:v>
      </x:c>
      <x:c r="C774" s="24" t="e">
        <x:f>HYPERLINK("https://365nails.com/products/wearing-nail-art-finished-christmas-series-flat-nail-false-nail-nail-patch-nail-patch-removable-nail-patch-365nails","Art Finished Christmas Series Flat Nail False Nail   ｜365nails")</x:f>
        <x:v>HYPERLINK is not implemented. linkLocation=https://365nails.com/products/wearing-nail-art-finished-christmas-series-flat-nail-false-nail-nail-patch-nail-patch-removable-nail-patch-365nails, friendlyName=Art Finished Christmas Series Flat Nail False Nail   ｜365nails</x:v>
      </x:c>
      <x:c r="D774" s="18" t="str">
        <x:v>color: JP1277 / JP1278 / JP1279 / JP1280 / JP1281 / JP1282 / JP1283 / JP1891 / JP1895</x:v>
      </x:c>
      <x:c r="E774" s="25" t="str">
        <x:v>$0.70–$1.03</x:v>
      </x:c>
      <x:c r="F774" s="19" t="str">
        <x:v>1</x:v>
      </x:c>
    </x:row>
    <x:row r="775" ht="93" customHeight="1">
      <x:c r="A775" s="19" t="n">
        <x:v>772</x:v>
      </x:c>
      <x:c r="B775" s="22" t="e">
        <x:f>HYPERLINK("https://cdn.shopify.com/s/files/1/0918/6066/4603/files/O1CN01dzmbjv2NGHsCZXu32__4234819935-0-cib.jpg?v=1753431964","Open")</x:f>
        <x:v>HYPERLINK is not implemented. linkLocation=https://cdn.shopify.com/s/files/1/0918/6066/4603/files/O1CN01dzmbjv2NGHsCZXu32__4234819935-0-cib.jpg?v=1753431964, friendlyName=Open</x:v>
      </x:c>
      <x:c r="C775" s="24" t="e">
        <x:f>HYPERLINK("https://365nails.com/products/blue-smudge-detachable-wearable-fake-nail-wholesale-new-3d-manicure-nail-piece-love-star-wearing-nail-365nails","Blue smudge detachable wearable fake nail wholesale new 3D manicure nail piece love star press-on nails｜365nails")</x:f>
        <x:v>HYPERLINK is not implemented. linkLocation=https://365nails.com/products/blue-smudge-detachable-wearable-fake-nail-wholesale-new-3d-manicure-nail-piece-love-star-wearing-nail-365nails, friendlyName=Blue smudge detachable wearable fake nail wholesale new 3D manicure nail piece love star press-on nails｜365nails</x:v>
      </x:c>
      <x:c r="D775" s="18" t="str">
        <x:v>Color: JP3335</x:v>
      </x:c>
      <x:c r="E775" s="25" t="str">
        <x:v>$1.91</x:v>
      </x:c>
      <x:c r="F775" s="19" t="str">
        <x:v>1</x:v>
      </x:c>
    </x:row>
    <x:row r="776" ht="93" customHeight="1">
      <x:c r="A776" s="19" t="n">
        <x:v>773</x:v>
      </x:c>
      <x:c r="B776" s="22" t="e">
        <x:f>HYPERLINK("https://cdn.shopify.com/s/files/1/0918/6066/4603/files/O1CN01YzWnLB27ZUlohetIT__2220024697811-0-cib.jpg?v=1774926590","Open")</x:f>
        <x:v>HYPERLINK is not implemented. linkLocation=https://cdn.shopify.com/s/files/1/0918/6066/4603/files/O1CN01YzWnLB27ZUlohetIT__2220024697811-0-cib.jpg?v=1774926590, friendlyName=Open</x:v>
      </x:c>
      <x:c r="C776" s="24" t="e">
        <x:f>HYPERLINK("https://365nails.com/products/365nails-midnight-splendor-3d-crystal-floral-handmade-stiletto-nails","365nails: ""Midnight Splendor"" – 3D Crystal &amp; Floral Handmade Stiletto Nails")</x:f>
        <x:v>HYPERLINK is not implemented. linkLocation=https://365nails.com/products/365nails-midnight-splendor-3d-crystal-floral-handmade-stiletto-nails, friendlyName=365nails: "Midnight Splendor" – 3D Crystal &amp; Floral Handmade Stiletto Nails</x:v>
      </x:c>
      <x:c r="D776" s="18" t="str">
        <x:v>Color: Almond; Color classification: Xs / S / M / L</x:v>
      </x:c>
      <x:c r="E776" s="25" t="str">
        <x:v>$5.49</x:v>
      </x:c>
      <x:c r="F776" s="19" t="str">
        <x:v>3</x:v>
      </x:c>
    </x:row>
    <x:row r="777" ht="93" customHeight="1">
      <x:c r="A777" s="19" t="n">
        <x:v>774</x:v>
      </x:c>
      <x:c r="B777" s="22" t="e">
        <x:f>HYPERLINK("https://cdn.shopify.com/s/files/1/0918/6066/4603/files/O1CN01A9TPR91CPwNFHmMnQ__2213196780074-0-cib_2a243e27-a4b1-4dc8-aa64-468a3cd287f9.jpg?v=1774692798","Open")</x:f>
        <x:v>HYPERLINK is not implemented. linkLocation=https://cdn.shopify.com/s/files/1/0918/6066/4603/files/O1CN01A9TPR91CPwNFHmMnQ__2213196780074-0-cib_2a243e27-a4b1-4dc8-aa64-468a3cd287f9.jpg?v=1774692798, friendlyName=Open</x:v>
      </x:c>
      <x:c r="C777" s="24" t="e">
        <x:f>HYPERLINK("https://365nails.com/products/365nails-cherry-blossom-fantasy-3d-floral-rhinestone-handmade-almond-nails","365nails: ""Cherry Blossom Fantasy"" – 3D Floral &amp; Rhinestone Handmade Almond Nails")</x:f>
        <x:v>HYPERLINK is not implemented. linkLocation=https://365nails.com/products/365nails-cherry-blossom-fantasy-3d-floral-rhinestone-handmade-almond-nails, friendlyName=365nails: "Cherry Blossom Fantasy" – 3D Floral &amp; Rhinestone Handmade Almond Nails</x:v>
      </x:c>
      <x:c r="D777" s="18" t="str">
        <x:v>Color: 2832-almond a; Color classification: Xs / S / M / L</x:v>
      </x:c>
      <x:c r="E777" s="25" t="str">
        <x:v>$3.49</x:v>
      </x:c>
      <x:c r="F777" s="19" t="str">
        <x:v>1</x:v>
      </x:c>
    </x:row>
    <x:row r="778" ht="93" customHeight="1">
      <x:c r="A778" s="19" t="n">
        <x:v>775</x:v>
      </x:c>
      <x:c r="B778" s="22" t="e">
        <x:f>HYPERLINK("https://cdn.shopify.com/s/files/1/0918/6066/4603/files/O1CN01cz9RHk27ZUkUSxeiZ__2220024697811-0-cib.jpg?v=1775005188","Open")</x:f>
        <x:v>HYPERLINK is not implemented. linkLocation=https://cdn.shopify.com/s/files/1/0918/6066/4603/files/O1CN01cz9RHk27ZUkUSxeiZ__2220024697811-0-cib.jpg?v=1775005188, friendlyName=Open</x:v>
      </x:c>
      <x:c r="C778" s="24" t="e">
        <x:f>HYPERLINK("https://365nails.com/products/365nails-scarlet-blossom-3d-floral-handmade-almond-nails","365nails: ""Scarlet Blossom"" – 3D Floral Handmade Almond Nails")</x:f>
        <x:v>HYPERLINK is not implemented. linkLocation=https://365nails.com/products/365nails-scarlet-blossom-3d-floral-handmade-almond-nails, friendlyName=365nails: "Scarlet Blossom" – 3D Floral Handmade Almond Nails</x:v>
      </x:c>
      <x:c r="D778" s="18" t="str">
        <x:v>Color: Almond; Color classification: Xs / S / M / L</x:v>
      </x:c>
      <x:c r="E778" s="25" t="str">
        <x:v>$4.49</x:v>
      </x:c>
      <x:c r="F778" s="19" t="str">
        <x:v>3</x:v>
      </x:c>
    </x:row>
    <x:row r="779" ht="93" customHeight="1">
      <x:c r="A779" s="19" t="n">
        <x:v>776</x:v>
      </x:c>
      <x:c r="B779" s="22" t="e">
        <x:f>HYPERLINK("https://cdn.shopify.com/s/files/1/0918/6066/4603/files/O1CN01dGY1pJ1CPwLxHHWq8__2213196780074-0-cib_0c10e304-09b3-4821-a6d7-2dd62e072469.jpg?v=1774696397","Open")</x:f>
        <x:v>HYPERLINK is not implemented. linkLocation=https://cdn.shopify.com/s/files/1/0918/6066/4603/files/O1CN01dGY1pJ1CPwLxHHWq8__2213196780074-0-cib_0c10e304-09b3-4821-a6d7-2dd62e072469.jpg?v=1774696397, friendlyName=Open</x:v>
      </x:c>
      <x:c r="C779" s="24" t="e">
        <x:f>HYPERLINK("https://365nails.com/products/365nails-kittys-garden-3d-bow-cat-handmade-oval-nails","365nails: ""Kitty's Garden"" – 3D Bow &amp; Cat Handmade Oval Nails")</x:f>
        <x:v>HYPERLINK is not implemented. linkLocation=https://365nails.com/products/365nails-kittys-garden-3d-bow-cat-handmade-oval-nails, friendlyName=365nails: "Kitty's Garden" – 3D Bow &amp; Cat Handmade Oval Nails</x:v>
      </x:c>
      <x:c r="D779" s="18" t="str">
        <x:v>Color: 2544-short oval; Color classification: Xs / S / M / L</x:v>
      </x:c>
      <x:c r="E779" s="25" t="str">
        <x:v>$3.49</x:v>
      </x:c>
      <x:c r="F779" s="19" t="str">
        <x:v>1</x:v>
      </x:c>
    </x:row>
    <x:row r="780" ht="93" customHeight="1">
      <x:c r="A780" s="19" t="n">
        <x:v>777</x:v>
      </x:c>
      <x:c r="B780" s="22" t="e">
        <x:f>HYPERLINK("https://cdn.shopify.com/s/files/1/0918/6066/4603/files/O1CN01mjaRjS1O6xN1y6DaF__6000000001657-0-cib.jpg?v=1775113085","Open")</x:f>
        <x:v>HYPERLINK is not implemented. linkLocation=https://cdn.shopify.com/s/files/1/0918/6066/4603/files/O1CN01mjaRjS1O6xN1y6DaF__6000000001657-0-cib.jpg?v=1775113085, friendlyName=Open</x:v>
      </x:c>
      <x:c r="C780" s="24" t="e">
        <x:f>HYPERLINK("https://365nails.com/products/365nails-punk-princess-3d-bowknot-graffiti-art-handmade-short-square-nails","365nails: ""Punk Princess"" – 3D Bowknot &amp; Graffiti Art Handmade Short Square Nails")</x:f>
        <x:v>HYPERLINK is not implemented. linkLocation=https://365nails.com/products/365nails-punk-princess-3d-bowknot-graffiti-art-handmade-short-square-nails, friendlyName=365nails: "Punk Princess" – 3D Bowknot &amp; Graffiti Art Handmade Short Square Nails</x:v>
      </x:c>
      <x:c r="D780" s="18" t="str">
        <x:v>Color: Middle right angle; Color classification: Xs / S / M / L</x:v>
      </x:c>
      <x:c r="E780" s="25" t="str">
        <x:v>$4.99</x:v>
      </x:c>
      <x:c r="F780" s="19" t="str">
        <x:v>3</x:v>
      </x:c>
    </x:row>
    <x:row r="781" ht="93" customHeight="1">
      <x:c r="A781" s="19" t="n">
        <x:v>778</x:v>
      </x:c>
      <x:c r="B781" s="22" t="e">
        <x:f>HYPERLINK("https://cdn.shopify.com/s/files/1/0918/6066/4603/files/O1CN016CpfCn27ZUlRhSYgJ__2220024697811-0-cib.jpg?v=1775109630","Open")</x:f>
        <x:v>HYPERLINK is not implemented. linkLocation=https://cdn.shopify.com/s/files/1/0918/6066/4603/files/O1CN016CpfCn27ZUlRhSYgJ__2220024697811-0-cib.jpg?v=1775109630, friendlyName=Open</x:v>
      </x:c>
      <x:c r="C781" s="24" t="e">
        <x:f>HYPERLINK("https://365nails.com/products/365nails-oceanic-dream-3d-floral-handmade-long-stiletto-nails","365nails: ""Oceanic Dream"" – 3D Floral Handmade Long Stiletto Nails")</x:f>
        <x:v>HYPERLINK is not implemented. linkLocation=https://365nails.com/products/365nails-oceanic-dream-3d-floral-handmade-long-stiletto-nails, friendlyName=365nails: "Oceanic Dream" – 3D Floral Handmade Long Stiletto Nails</x:v>
      </x:c>
      <x:c r="D781" s="18" t="str">
        <x:v>Color: Almond; Color classification: Xs / S / M / L</x:v>
      </x:c>
      <x:c r="E781" s="25" t="str">
        <x:v>$4.99</x:v>
      </x:c>
      <x:c r="F781" s="19" t="str">
        <x:v>3</x:v>
      </x:c>
    </x:row>
    <x:row r="782" ht="93" customHeight="1">
      <x:c r="A782" s="19" t="n">
        <x:v>779</x:v>
      </x:c>
      <x:c r="B782" s="22" t="e">
        <x:f>HYPERLINK("https://cdn.shopify.com/s/files/1/0918/6066/4603/files/O1CN01ODnH1927ZUlOL6cIW__2220024697811-0-cib.jpg?v=1775053228","Open")</x:f>
        <x:v>HYPERLINK is not implemented. linkLocation=https://cdn.shopify.com/s/files/1/0918/6066/4603/files/O1CN01ODnH1927ZUlOL6cIW__2220024697811-0-cib.jpg?v=1775053228, friendlyName=Open</x:v>
      </x:c>
      <x:c r="C782" s="24" t="e">
        <x:f>HYPERLINK("https://365nails.com/products/365nails-psychedelic-dream-abstract-geometric-swirl-handmade-square-nails","365nails: ""Psychedelic Dream"" – Abstract Geometric &amp; Swirl Handmade Square Nails")</x:f>
        <x:v>HYPERLINK is not implemented. linkLocation=https://365nails.com/products/365nails-psychedelic-dream-abstract-geometric-swirl-handmade-square-nails, friendlyName=365nails: "Psychedelic Dream" – Abstract Geometric &amp; Swirl Handmade Square Nails</x:v>
      </x:c>
      <x:c r="D782" s="18" t="str">
        <x:v>Color: Almond; Color classification: Xs / S / M / L</x:v>
      </x:c>
      <x:c r="E782" s="25" t="str">
        <x:v>$3.99</x:v>
      </x:c>
      <x:c r="F782" s="19" t="str">
        <x:v>3</x:v>
      </x:c>
    </x:row>
    <x:row r="783" ht="93" customHeight="1">
      <x:c r="A783" s="19" t="n">
        <x:v>780</x:v>
      </x:c>
      <x:c r="B783" s="22" t="e">
        <x:f>HYPERLINK("https://cdn.shopify.com/s/files/1/0918/6066/4603/files/O1CN01jmT5BU27ZUmiJOF4d__2220024697811-0-cib_8767bf81-b2e2-44ec-a2ef-d9b3d840e756.jpg?v=1775106437","Open")</x:f>
        <x:v>HYPERLINK is not implemented. linkLocation=https://cdn.shopify.com/s/files/1/0918/6066/4603/files/O1CN01jmT5BU27ZUmiJOF4d__2220024697811-0-cib_8767bf81-b2e2-44ec-a2ef-d9b3d840e756.jpg?v=1775106437, friendlyName=Open</x:v>
      </x:c>
      <x:c r="C783" s="24" t="e">
        <x:f>HYPERLINK("https://365nails.com/products/365nails-dreamy-garden-3d-floral-star-handmade-square-nails","365nails: ""Dreamy Garden"" – 3D Floral &amp; Star Handmade Square Nails")</x:f>
        <x:v>HYPERLINK is not implemented. linkLocation=https://365nails.com/products/365nails-dreamy-garden-3d-floral-star-handmade-square-nails, friendlyName=365nails: "Dreamy Garden" – 3D Floral &amp; Star Handmade Square Nails</x:v>
      </x:c>
      <x:c r="D783" s="18" t="str">
        <x:v>Color: Duckbill; Color classification: Xs / S / M / L</x:v>
      </x:c>
      <x:c r="E783" s="25" t="str">
        <x:v>$4.99</x:v>
      </x:c>
      <x:c r="F783" s="19" t="str">
        <x:v>3</x:v>
      </x:c>
    </x:row>
    <x:row r="784" ht="93" customHeight="1">
      <x:c r="A784" s="19" t="n">
        <x:v>781</x:v>
      </x:c>
      <x:c r="B784" s="22" t="e">
        <x:f>HYPERLINK("https://cdn.shopify.com/s/files/1/0918/6066/4603/files/O1CN01HHY7TS27ZUkkycY2z__2220024697811-0-cib.jpg?v=1775036220","Open")</x:f>
        <x:v>HYPERLINK is not implemented. linkLocation=https://cdn.shopify.com/s/files/1/0918/6066/4603/files/O1CN01HHY7TS27ZUkkycY2z__2220024697811-0-cib.jpg?v=1775036220, friendlyName=Open</x:v>
      </x:c>
      <x:c r="C784" s="24" t="e">
        <x:f>HYPERLINK("https://365nails.com/products/365nails-midnight-minions-3d-googly-eyes-handmade-stiletto-nails","365nails: ""Midnight Minions"" – 3D Googly Eyes Handmade Stiletto Nails")</x:f>
        <x:v>HYPERLINK is not implemented. linkLocation=https://365nails.com/products/365nails-midnight-minions-3d-googly-eyes-handmade-stiletto-nails, friendlyName=365nails: "Midnight Minions" – 3D Googly Eyes Handmade Stiletto Nails</x:v>
      </x:c>
      <x:c r="D784" s="18" t="str">
        <x:v>Color: Almond; Color classification: Xs / S / M / L</x:v>
      </x:c>
      <x:c r="E784" s="25" t="str">
        <x:v>$3.49</x:v>
      </x:c>
      <x:c r="F784" s="19" t="str">
        <x:v>3</x:v>
      </x:c>
    </x:row>
    <x:row r="785" ht="93" customHeight="1">
      <x:c r="A785" s="19" t="n">
        <x:v>782</x:v>
      </x:c>
      <x:c r="B785" s="22" t="e">
        <x:f>HYPERLINK("https://cdn.shopify.com/s/files/1/0918/6066/4603/files/O1CN01ajAJuB1PK4K2trH0h__6000000001821-0-cib.jpg?v=1775107422","Open")</x:f>
        <x:v>HYPERLINK is not implemented. linkLocation=https://cdn.shopify.com/s/files/1/0918/6066/4603/files/O1CN01ajAJuB1PK4K2trH0h__6000000001821-0-cib.jpg?v=1775107422, friendlyName=Open</x:v>
      </x:c>
      <x:c r="C785" s="24" t="e">
        <x:f>HYPERLINK("https://365nails.com/products/365nails-nebula-dream-magnetic-cat-eye-glitter-handmade-short-square-nails","365nails: ""Nebula Dream"" – Magnetic Cat Eye &amp; Glitter Handmade Short Square Nails")</x:f>
        <x:v>HYPERLINK is not implemented. linkLocation=https://365nails.com/products/365nails-nebula-dream-magnetic-cat-eye-glitter-handmade-short-square-nails, friendlyName=365nails: "Nebula Dream" – Magnetic Cat Eye &amp; Glitter Handmade Short Square Nails</x:v>
      </x:c>
      <x:c r="D785" s="18" t="str">
        <x:v>Color: China; Color classification: Xs / S / M / L</x:v>
      </x:c>
      <x:c r="E785" s="25" t="str">
        <x:v>$4.49</x:v>
      </x:c>
      <x:c r="F785" s="19" t="str">
        <x:v>3</x:v>
      </x:c>
    </x:row>
    <x:row r="786" ht="93" customHeight="1">
      <x:c r="A786" s="19" t="n">
        <x:v>783</x:v>
      </x:c>
      <x:c r="B786" s="22" t="e">
        <x:f>HYPERLINK("https://cdn.shopify.com/s/files/1/0918/6066/4603/files/O1CN01zMz6hC27ZUlInz8dc__2220024697811-0-cib.jpg?v=1775053303","Open")</x:f>
        <x:v>HYPERLINK is not implemented. linkLocation=https://cdn.shopify.com/s/files/1/0918/6066/4603/files/O1CN01zMz6hC27ZUlInz8dc__2220024697811-0-cib.jpg?v=1775053303, friendlyName=Open</x:v>
      </x:c>
      <x:c r="C786" s="24" t="e">
        <x:f>HYPERLINK("https://365nails.com/products/365nails-monochrome-garden-3d-floral-polka-dot-handmade-almond-nails","365nails: ""Monochrome Garden"" – 3D Floral &amp; Polka Dot Handmade Almond Nails")</x:f>
        <x:v>HYPERLINK is not implemented. linkLocation=https://365nails.com/products/365nails-monochrome-garden-3d-floral-polka-dot-handmade-almond-nails, friendlyName=365nails: "Monochrome Garden" – 3D Floral &amp; Polka Dot Handmade Almond Nails</x:v>
      </x:c>
      <x:c r="D786" s="18" t="str">
        <x:v>Color: Almond; Color classification: Xs / S / M / L</x:v>
      </x:c>
      <x:c r="E786" s="25" t="str">
        <x:v>$4.49</x:v>
      </x:c>
      <x:c r="F786" s="19" t="str">
        <x:v>3</x:v>
      </x:c>
    </x:row>
    <x:row r="787" ht="93" customHeight="1">
      <x:c r="A787" s="19" t="n">
        <x:v>784</x:v>
      </x:c>
      <x:c r="B787" s="22" t="e">
        <x:f>HYPERLINK("https://cdn.shopify.com/s/files/1/0918/6066/4603/files/O1CN01yUrhsL27ZUm5h3Onc__2220024697811-0-cib.jpg?v=1775039309","Open")</x:f>
        <x:v>HYPERLINK is not implemented. linkLocation=https://cdn.shopify.com/s/files/1/0918/6066/4603/files/O1CN01yUrhsL27ZUm5h3Onc__2220024697811-0-cib.jpg?v=1775039309, friendlyName=Open</x:v>
      </x:c>
      <x:c r="C787" s="24" t="e">
        <x:f>HYPERLINK("https://365nails.com/products/365nails-midnight-sparkle-rhinestone-cat-eye-handmade-stiletto-nails","365nails: ""Midnight Sparkle"" – Rhinestone &amp; Cat Eye Handmade Stiletto Nails")</x:f>
        <x:v>HYPERLINK is not implemented. linkLocation=https://365nails.com/products/365nails-midnight-sparkle-rhinestone-cat-eye-handmade-stiletto-nails, friendlyName=365nails: "Midnight Sparkle" – Rhinestone &amp; Cat Eye Handmade Stiletto Nails</x:v>
      </x:c>
      <x:c r="D787" s="18" t="str">
        <x:v>Color: Almond; Color classification: Xs / S / M / L</x:v>
      </x:c>
      <x:c r="E787" s="25" t="str">
        <x:v>$4.99</x:v>
      </x:c>
      <x:c r="F787" s="19" t="str">
        <x:v>3</x:v>
      </x:c>
    </x:row>
    <x:row r="788" ht="93" customHeight="1">
      <x:c r="A788" s="19" t="n">
        <x:v>785</x:v>
      </x:c>
      <x:c r="B788" s="22" t="e">
        <x:f>HYPERLINK("https://cdn.shopify.com/s/files/1/0918/6066/4603/files/O1CN01ofZZJY2NGHyBLrh0r__4234819935-0-cib.jpg?v=1753431546","Open")</x:f>
        <x:v>HYPERLINK is not implemented. linkLocation=https://cdn.shopify.com/s/files/1/0918/6066/4603/files/O1CN01ofZZJY2NGHyBLrh0r__4234819935-0-cib.jpg?v=1753431546, friendlyName=Open</x:v>
      </x:c>
      <x:c r="C788" s="24" t="e">
        <x:f>HYPERLINK("https://365nails.com/products/frosted-french-white-3d-flower-wear-nail-medium-and-long-square-nail-art-three-dimensional-bow-removable-fake-nails-365nails","Frosted French White 3D Flower Wear Nail Medium and Long Square Nail Art Three-dimensional Bow Removable Fake Nails｜365nails")</x:f>
        <x:v>HYPERLINK is not implemented. linkLocation=https://365nails.com/products/frosted-french-white-3d-flower-wear-nail-medium-and-long-square-nail-art-three-dimensional-bow-removable-fake-nails-365nails, friendlyName=Frosted French White 3D Flower Wear Nail Medium and Long Square Nail Art Three-dimensional Bow Removable Fake Nails｜365nails</x:v>
      </x:c>
      <x:c r="D788" s="18" t="str">
        <x:v>color: JP3890</x:v>
      </x:c>
      <x:c r="E788" s="25" t="str">
        <x:v>$1.33</x:v>
      </x:c>
      <x:c r="F788" s="19" t="str">
        <x:v>1</x:v>
      </x:c>
    </x:row>
    <x:row r="789" ht="93" customHeight="1">
      <x:c r="A789" s="19" t="n">
        <x:v>786</x:v>
      </x:c>
      <x:c r="B789" s="22" t="e">
        <x:f>HYPERLINK("https://cdn.shopify.com/s/files/1/0918/6066/4603/files/O1CN01QsUiyF27ZUlS4d7Qh__2220024697811-0-cib.jpg?v=1775109392","Open")</x:f>
        <x:v>HYPERLINK is not implemented. linkLocation=https://cdn.shopify.com/s/files/1/0918/6066/4603/files/O1CN01QsUiyF27ZUlS4d7Qh__2220024697811-0-cib.jpg?v=1775109392, friendlyName=Open</x:v>
      </x:c>
      <x:c r="C789" s="24" t="e">
        <x:f>HYPERLINK("https://365nails.com/products/365nails-dark-romance-3d-butterfly-handmade-short-square-nails","365nails: ""Dark Romance"" – 3D Butterfly Handmade Short Square Nails")</x:f>
        <x:v>HYPERLINK is not implemented. linkLocation=https://365nails.com/products/365nails-dark-romance-3d-butterfly-handmade-short-square-nails, friendlyName=365nails: "Dark Romance" – 3D Butterfly Handmade Short Square Nails</x:v>
      </x:c>
      <x:c r="D789" s="18" t="str">
        <x:v>Color: Right angle t; Color classification: Xs / S / M / L</x:v>
      </x:c>
      <x:c r="E789" s="25" t="str">
        <x:v>$4.49</x:v>
      </x:c>
      <x:c r="F789" s="19" t="str">
        <x:v>3</x:v>
      </x:c>
    </x:row>
    <x:row r="790" ht="93" customHeight="1">
      <x:c r="A790" s="19" t="n">
        <x:v>787</x:v>
      </x:c>
      <x:c r="B790" s="22" t="e">
        <x:f>HYPERLINK("https://cdn.shopify.com/s/files/1/0918/6066/4603/files/O1CN01ptq6Mt1JHsjkb5K09__6000000001004-0-cib.jpg?v=1775036527","Open")</x:f>
        <x:v>HYPERLINK is not implemented. linkLocation=https://cdn.shopify.com/s/files/1/0918/6066/4603/files/O1CN01ptq6Mt1JHsjkb5K09__6000000001004-0-cib.jpg?v=1775036527, friendlyName=Open</x:v>
      </x:c>
      <x:c r="C790" s="24" t="e">
        <x:f>HYPERLINK("https://365nails.com/products/365nails-galactic-mauve-3d-cat-eye-handmade-almond-nails","365nails: ""Galactic Mauve"" – 3D Cat Eye Handmade Almond Nails")</x:f>
        <x:v>HYPERLINK is not implemented. linkLocation=https://365nails.com/products/365nails-galactic-mauve-3d-cat-eye-handmade-almond-nails, friendlyName=365nails: "Galactic Mauve" – 3D Cat Eye Handmade Almond Nails</x:v>
      </x:c>
      <x:c r="D790" s="18" t="str">
        <x:v>Color: Long oval; Color classification: Xs / S / M / L</x:v>
      </x:c>
      <x:c r="E790" s="25" t="str">
        <x:v>$4.49</x:v>
      </x:c>
      <x:c r="F790" s="19" t="str">
        <x:v>3</x:v>
      </x:c>
    </x:row>
    <x:row r="791" ht="93" customHeight="1">
      <x:c r="A791" s="19" t="n">
        <x:v>788</x:v>
      </x:c>
      <x:c r="B791" s="22" t="e">
        <x:f>HYPERLINK("https://cdn.shopify.com/s/files/1/0918/6066/4603/files/O1CN01SGzjgR2NGHxHiTTuu__4234819935-0-cib.jpg?v=1753431984","Open")</x:f>
        <x:v>HYPERLINK is not implemented. linkLocation=https://cdn.shopify.com/s/files/1/0918/6066/4603/files/O1CN01SGzjgR2NGHxHiTTuu__4234819935-0-cib.jpg?v=1753431984, friendlyName=Open</x:v>
      </x:c>
      <x:c r="C791" s="24" t="e">
        <x:f>HYPERLINK("https://365nails.com/products/short-round-nail-manicure-piece-simple-french-white-edge-wearing-nail-black-butterfly-ins-false-nail-wearing-nail-piece-365nails","Short round nail manicure piece Simple French white edge  Black butterfly ins false nail ｜365nails")</x:f>
        <x:v>HYPERLINK is not implemented. linkLocation=https://365nails.com/products/short-round-nail-manicure-piece-simple-french-white-edge-wearing-nail-black-butterfly-ins-false-nail-wearing-nail-piece-365nails, friendlyName=Short round nail manicure piece Simple French white edge  Black butterfly ins false nail ｜365nails</x:v>
      </x:c>
      <x:c r="D791" s="18" t="str">
        <x:v>color: JP3759</x:v>
      </x:c>
      <x:c r="E791" s="25" t="str">
        <x:v>$0.77</x:v>
      </x:c>
      <x:c r="F791" s="19" t="str">
        <x:v>1</x:v>
      </x:c>
    </x:row>
    <x:row r="792" ht="93" customHeight="1">
      <x:c r="A792" s="19" t="n">
        <x:v>789</x:v>
      </x:c>
      <x:c r="B792" s="22" t="e">
        <x:f>HYPERLINK("https://cdn.shopify.com/s/files/1/0918/6066/4603/files/O1CN018T7ngl1CPwQ5lHwXj__2213196780074-0-cib_abd99bbb-b539-4009-a9c8-96aec26834b3.jpg?v=1774693849","Open")</x:f>
        <x:v>HYPERLINK is not implemented. linkLocation=https://cdn.shopify.com/s/files/1/0918/6066/4603/files/O1CN018T7ngl1CPwQ5lHwXj__2213196780074-0-cib_abd99bbb-b539-4009-a9c8-96aec26834b3.jpg?v=1774693849, friendlyName=Open</x:v>
      </x:c>
      <x:c r="C792" s="24" t="e">
        <x:f>HYPERLINK("https://365nails.com/products/365nails-cherry-leopard-3d-floral-crystal-handmade-stiletto-nails","365nails: ""Cherry Leopard"" – 3D Floral &amp; Crystal Handmade Stiletto Nails")</x:f>
        <x:v>HYPERLINK is not implemented. linkLocation=https://365nails.com/products/365nails-cherry-leopard-3d-floral-crystal-handmade-stiletto-nails, friendlyName=365nails: "Cherry Leopard" – 3D Floral &amp; Crystal Handmade Stiletto Nails</x:v>
      </x:c>
      <x:c r="D792" s="18" t="str">
        <x:v>Color: 3380-long tip; Color classification: Extra small size xs / Small s / Medium m / Large l</x:v>
      </x:c>
      <x:c r="E792" s="25" t="str">
        <x:v>$3.49</x:v>
      </x:c>
      <x:c r="F792" s="19" t="str">
        <x:v>1</x:v>
      </x:c>
    </x:row>
    <x:row r="793" ht="93" customHeight="1">
      <x:c r="A793" s="19" t="n">
        <x:v>790</x:v>
      </x:c>
      <x:c r="B793" s="22" t="e">
        <x:f>HYPERLINK("https://cdn.shopify.com/s/files/1/0918/6066/4603/files/O1CN01yyBNvl27ZUlgW7Op5__2220024697811-0-cib.jpg?v=1775105541","Open")</x:f>
        <x:v>HYPERLINK is not implemented. linkLocation=https://cdn.shopify.com/s/files/1/0918/6066/4603/files/O1CN01yyBNvl27ZUlgW7Op5__2220024697811-0-cib.jpg?v=1775105541, friendlyName=Open</x:v>
      </x:c>
      <x:c r="C793" s="24" t="e">
        <x:f>HYPERLINK("https://365nails.com/products/365nails-summer-pop-art-3d-fruit-character-handmade-press-on-nails-almond-nails","365nails: ""Summer Pop Art"" – 3D Fruit &amp; Character Handmade Press on Nails Almond Nails")</x:f>
        <x:v>HYPERLINK is not implemented. linkLocation=https://365nails.com/products/365nails-summer-pop-art-3d-fruit-character-handmade-press-on-nails-almond-nails, friendlyName=365nails: "Summer Pop Art" – 3D Fruit &amp; Character Handmade Press on Nails Almond Nails</x:v>
      </x:c>
      <x:c r="D793" s="18" t="str">
        <x:v>Color: Almond; Color classification: Xs / S / M / L</x:v>
      </x:c>
      <x:c r="E793" s="25" t="str">
        <x:v>$5.49</x:v>
      </x:c>
      <x:c r="F793" s="19" t="str">
        <x:v>3</x:v>
      </x:c>
    </x:row>
    <x:row r="794" ht="93" customHeight="1">
      <x:c r="A794" s="19" t="n">
        <x:v>791</x:v>
      </x:c>
      <x:c r="B794" s="22" t="e">
        <x:f>HYPERLINK("https://cdn.shopify.com/s/files/1/0918/6066/4603/files/O1CN01BAH5fI2NGHpSe7cMS__4234819935-0-cib.jpg?v=1753431555","Open")</x:f>
        <x:v>HYPERLINK is not implemented. linkLocation=https://cdn.shopify.com/s/files/1/0918/6066/4603/files/O1CN01BAH5fI2NGHpSe7cMS__4234819935-0-cib.jpg?v=1753431555, friendlyName=Open</x:v>
      </x:c>
      <x:c r="C794" s="24" t="e">
        <x:f>HYPERLINK("https://365nails.com/products/frosted-detachable-wearable-nail-solid-color-style-nail-patch-square-factory-straight-hair-wearable-nail-patch-365nails","Frosted Detachable Wearable Nail Solid Color Style Nail Patch Square Factory Straight Hair Wearable Nail Patch｜365nails")</x:f>
        <x:v>HYPERLINK is not implemented. linkLocation=https://365nails.com/products/frosted-detachable-wearable-nail-solid-color-style-nail-patch-square-factory-straight-hair-wearable-nail-patch-365nails, friendlyName=Frosted Detachable Wearable Nail Solid Color Style Nail Patch Square Factory Straight Hair Wearable Nail Patch｜365nails</x:v>
      </x:c>
      <x:c r="D794" s="18" t="str">
        <x:v>color: JP3167 / JP3168 / JP3169 / JP3170 / JP3171 / JP3172 / JP3173 / JP3174 / JP3175 / JP3176 / JP3177 / JP3199 / JP3200 / JP3201 / JP3202 / JP3203 / JP3204 / JP3205 / JP3206 / JP3207 / JP3208; Color classification: Glue model / Wearing kit</x:v>
      </x:c>
      <x:c r="E794" s="25" t="str">
        <x:v>$0.70–$0.86</x:v>
      </x:c>
      <x:c r="F794" s="19" t="str">
        <x:v>1</x:v>
      </x:c>
    </x:row>
    <x:row r="795" ht="93" customHeight="1">
      <x:c r="A795" s="19" t="n">
        <x:v>792</x:v>
      </x:c>
      <x:c r="B795" s="22" t="e">
        <x:f>HYPERLINK("https://cdn.shopify.com/s/files/1/0918/6066/4603/files/O1CN01sd08Jl27ZUmJqRbcG__2220024697811-0-cib.jpg?v=1775112587","Open")</x:f>
        <x:v>HYPERLINK is not implemented. linkLocation=https://cdn.shopify.com/s/files/1/0918/6066/4603/files/O1CN01sd08Jl27ZUmJqRbcG__2220024697811-0-cib.jpg?v=1775112587, friendlyName=Open</x:v>
      </x:c>
      <x:c r="C795" s="24" t="e">
        <x:f>HYPERLINK("https://365nails.com/products/365nails-midnight-bow-3d-bowknot-gold-foil-handmade-short-square-nails","365nails: ""Midnight Bow"" – 3D Bowknot &amp; Gold Foil Handmade Short Square Nails")</x:f>
        <x:v>HYPERLINK is not implemented. linkLocation=https://365nails.com/products/365nails-midnight-bow-3d-bowknot-gold-foil-handmade-short-square-nails, friendlyName=365nails: "Midnight Bow" – 3D Bowknot &amp; Gold Foil Handmade Short Square Nails</x:v>
      </x:c>
      <x:c r="D795" s="18" t="str">
        <x:v>Color: Right angle t; Color classification: Xs / S / M / L</x:v>
      </x:c>
      <x:c r="E795" s="25" t="str">
        <x:v>$4.49</x:v>
      </x:c>
      <x:c r="F795" s="19" t="str">
        <x:v>3</x:v>
      </x:c>
    </x:row>
    <x:row r="796" ht="93" customHeight="1">
      <x:c r="A796" s="19" t="n">
        <x:v>793</x:v>
      </x:c>
      <x:c r="B796" s="22" t="e">
        <x:f>HYPERLINK("https://cdn.shopify.com/s/files/1/0918/6066/4603/files/O1CN01VHmxm627ZUmCK1Sye__2220024697811-0-cib_b7bc3ce3-b648-4d51-b5f5-25302e5c026e.jpg?v=1775112612","Open")</x:f>
        <x:v>HYPERLINK is not implemented. linkLocation=https://cdn.shopify.com/s/files/1/0918/6066/4603/files/O1CN01VHmxm627ZUmCK1Sye__2220024697811-0-cib_b7bc3ce3-b648-4d51-b5f5-25302e5c026e.jpg?v=1775112612, friendlyName=Open</x:v>
      </x:c>
      <x:c r="C796" s="24" t="e">
        <x:f>HYPERLINK("https://365nails.com/products/365nails-gilded-heart-3d-luxury-cross-jewel-handmade-long-stiletto-nails","365nails: ""Gilded Heart"" – 3D Luxury Cross &amp; Jewel Handmade Long Stiletto Nails")</x:f>
        <x:v>HYPERLINK is not implemented. linkLocation=https://365nails.com/products/365nails-gilded-heart-3d-luxury-cross-jewel-handmade-long-stiletto-nails, friendlyName=365nails: "Gilded Heart" – 3D Luxury Cross &amp; Jewel Handmade Long Stiletto Nails</x:v>
      </x:c>
      <x:c r="D796" s="18" t="str">
        <x:v>Color: Long tip; Color classification: Xs / S / M / L</x:v>
      </x:c>
      <x:c r="E796" s="25" t="str">
        <x:v>$5.49</x:v>
      </x:c>
      <x:c r="F796" s="19" t="str">
        <x:v>3</x:v>
      </x:c>
    </x:row>
    <x:row r="797" ht="93" customHeight="1">
      <x:c r="A797" s="19" t="n">
        <x:v>794</x:v>
      </x:c>
      <x:c r="B797" s="22" t="e">
        <x:f>HYPERLINK("https://cdn.shopify.com/s/files/1/0918/6066/4603/files/O1CN01YkkBnT1l4sjrO14sl__6000000004766-0-cib.jpg?v=1775112025","Open")</x:f>
        <x:v>HYPERLINK is not implemented. linkLocation=https://cdn.shopify.com/s/files/1/0918/6066/4603/files/O1CN01YkkBnT1l4sjrO14sl__6000000004766-0-cib.jpg?v=1775112025, friendlyName=Open</x:v>
      </x:c>
      <x:c r="C797" s="24" t="e">
        <x:f>HYPERLINK("https://365nails.com/products/365nails-midnight-carnival-3d-halloween-handmade-long-almond-nails","365nails: ""Midnight Carnival"" – 3D Halloween Handmade Long Almond Nails")</x:f>
        <x:v>HYPERLINK is not implemented. linkLocation=https://365nails.com/products/365nails-midnight-carnival-3d-halloween-handmade-long-almond-nails, friendlyName=365nails: "Midnight Carnival" – 3D Halloween Handmade Long Almond Nails</x:v>
      </x:c>
      <x:c r="D797" s="18" t="str">
        <x:v>Color: Almond; Color classification: Xs / S / M / L</x:v>
      </x:c>
      <x:c r="E797" s="25" t="str">
        <x:v>$4.49</x:v>
      </x:c>
      <x:c r="F797" s="19" t="str">
        <x:v>3</x:v>
      </x:c>
    </x:row>
    <x:row r="798" ht="93" customHeight="1">
      <x:c r="A798" s="19" t="n">
        <x:v>795</x:v>
      </x:c>
      <x:c r="B798" s="22" t="e">
        <x:f>HYPERLINK("https://cdn.shopify.com/s/files/1/0918/6066/4603/files/O1CN01HBnpuJ27ZUmW2gaHk__2220024697811-0-cib.jpg?v=1775111188","Open")</x:f>
        <x:v>HYPERLINK is not implemented. linkLocation=https://cdn.shopify.com/s/files/1/0918/6066/4603/files/O1CN01HBnpuJ27ZUmW2gaHk__2220024697811-0-cib.jpg?v=1775111188, friendlyName=Open</x:v>
      </x:c>
      <x:c r="C798" s="24" t="e">
        <x:f>HYPERLINK("https://365nails.com/products/365nails-midnight-baroque-3d-lace-cat-eye-handmade-short-almond-nails","365nails: ""Midnight Baroque"" – 3D Lace &amp; Cat Eye Handmade Short Almond Nails")</x:f>
        <x:v>HYPERLINK is not implemented. linkLocation=https://365nails.com/products/365nails-midnight-baroque-3d-lace-cat-eye-handmade-short-almond-nails, friendlyName=365nails: "Midnight Baroque" – 3D Lace &amp; Cat Eye Handmade Short Almond Nails</x:v>
      </x:c>
      <x:c r="D798" s="18" t="str">
        <x:v>Color: Short almond; Color classification: Xs / S / M / L</x:v>
      </x:c>
      <x:c r="E798" s="25" t="str">
        <x:v>$4.99</x:v>
      </x:c>
      <x:c r="F798" s="19" t="str">
        <x:v>3</x:v>
      </x:c>
    </x:row>
    <x:row r="799" ht="93" customHeight="1">
      <x:c r="A799" s="19" t="n">
        <x:v>796</x:v>
      </x:c>
      <x:c r="B799" s="22" t="e">
        <x:f>HYPERLINK("https://cdn.shopify.com/s/files/1/0918/6066/4603/files/O1CN01YP8VQ62MQzegCCcHl__2219089449823-0-cib.jpg?v=1774579141","Open")</x:f>
        <x:v>HYPERLINK is not implemented. linkLocation=https://cdn.shopify.com/s/files/1/0918/6066/4603/files/O1CN01YP8VQ62MQzegCCcHl__2219089449823-0-cib.jpg?v=1774579141, friendlyName=Open</x:v>
      </x:c>
      <x:c r="C799" s="24" t="e">
        <x:f>HYPERLINK("https://365nails.com/products/sakura-blush-pink-petal-dream-almond-press-on-nails","Sakura Blush: ""Pink Petal Dream"" – Almond Press-On Nails")</x:f>
        <x:v>HYPERLINK is not implemented. linkLocation=https://365nails.com/products/sakura-blush-pink-petal-dream-almond-press-on-nails, friendlyName=Sakura Blush: "Pink Petal Dream" – Almond Press-On Nails</x:v>
      </x:c>
      <x:c r="D799" s="18" t="str">
        <x:v>Color: D572; Color classification: Xs / S / M / L</x:v>
      </x:c>
      <x:c r="E799" s="25" t="str">
        <x:v>$3.49</x:v>
      </x:c>
      <x:c r="F799" s="19" t="str">
        <x:v>1</x:v>
      </x:c>
    </x:row>
    <x:row r="800" ht="93" customHeight="1">
      <x:c r="A800" s="19" t="n">
        <x:v>797</x:v>
      </x:c>
      <x:c r="B800" s="22" t="e">
        <x:f>HYPERLINK("https://cdn.shopify.com/s/files/1/0918/6066/4603/files/O1CN01Q1ABfQ27ZUlYwLxlp__2220024697811-0-cib.jpg?v=1775113651","Open")</x:f>
        <x:v>HYPERLINK is not implemented. linkLocation=https://cdn.shopify.com/s/files/1/0918/6066/4603/files/O1CN01Q1ABfQ27ZUlYwLxlp__2220024697811-0-cib.jpg?v=1775113651, friendlyName=Open</x:v>
      </x:c>
      <x:c r="C800" s="24" t="e">
        <x:f>HYPERLINK("https://365nails.com/products/365nails-lipstick-kiss-3d-lip-ribbon-handmade-medium-almond-nails","365nails: ""Lipstick Kiss"" – 3D Lip &amp; Ribbon Handmade Medium Almond Nails")</x:f>
        <x:v>HYPERLINK is not implemented. linkLocation=https://365nails.com/products/365nails-lipstick-kiss-3d-lip-ribbon-handmade-medium-almond-nails, friendlyName=365nails: "Lipstick Kiss" – 3D Lip &amp; Ribbon Handmade Medium Almond Nails</x:v>
      </x:c>
      <x:c r="D800" s="18" t="str">
        <x:v>Color: Almond; Color classification: Xs / S / M / L</x:v>
      </x:c>
      <x:c r="E800" s="25" t="str">
        <x:v>$5.49</x:v>
      </x:c>
      <x:c r="F800" s="19" t="str">
        <x:v>3</x:v>
      </x:c>
    </x:row>
    <x:row r="801" ht="93" customHeight="1">
      <x:c r="A801" s="19" t="n">
        <x:v>798</x:v>
      </x:c>
      <x:c r="B801" s="22" t="e">
        <x:f>HYPERLINK("https://cdn.shopify.com/s/files/1/0918/6066/4603/files/O1CN01PNnK4T27ZUlIoCqGk__2220024697811-0-cib.jpg?v=1775112308","Open")</x:f>
        <x:v>HYPERLINK is not implemented. linkLocation=https://cdn.shopify.com/s/files/1/0918/6066/4603/files/O1CN01PNnK4T27ZUlIoCqGk__2220024697811-0-cib.jpg?v=1775112308, friendlyName=Open</x:v>
      </x:c>
      <x:c r="C801" s="24" t="e">
        <x:f>HYPERLINK("https://365nails.com/products/365nails-obsidian-bones-3d-skeleton-web-handmade-long-coffin-nails","365nails: ""Obsidian Bones"" – 3D Skeleton &amp; Web Handmade Long Coffin Nails")</x:f>
        <x:v>HYPERLINK is not implemented. linkLocation=https://365nails.com/products/365nails-obsidian-bones-3d-skeleton-web-handmade-long-coffin-nails, friendlyName=365nails: "Obsidian Bones" – 3D Skeleton &amp; Web Handmade Long Coffin Nails</x:v>
      </x:c>
      <x:c r="D801" s="18" t="str">
        <x:v>Color: Almond; Color classification: Xs / S / M / L</x:v>
      </x:c>
      <x:c r="E801" s="25" t="str">
        <x:v>$3.49</x:v>
      </x:c>
      <x:c r="F801" s="19" t="str">
        <x:v>3</x:v>
      </x:c>
    </x:row>
    <x:row r="802" ht="93" customHeight="1">
      <x:c r="A802" s="19" t="n">
        <x:v>799</x:v>
      </x:c>
      <x:c r="B802" s="22" t="e">
        <x:f>HYPERLINK("https://cdn.shopify.com/s/files/1/0918/6066/4603/files/O1CN01Pj4zhI1CPwHHQ1PXU__2213196780074-0-cib_89650cfa-c75a-4042-bec5-2c9dd241b88f.jpg?v=1774679664","Open")</x:f>
        <x:v>HYPERLINK is not implemented. linkLocation=https://cdn.shopify.com/s/files/1/0918/6066/4603/files/O1CN01Pj4zhI1CPwHHQ1PXU__2213196780074-0-cib_89650cfa-c75a-4042-bec5-2c9dd241b88f.jpg?v=1774679664, friendlyName=Open</x:v>
      </x:c>
      <x:c r="C802" s="24" t="e">
        <x:f>HYPERLINK("https://365nails.com/products/365nails-enchanted-butterfly-hand-painted-3d-cat-eye-handmade-almond-nails","365nails: ""Enchanted Butterfly"" – Hand-painted 3D Cat Eye Handmade Almond Nails")</x:f>
        <x:v>HYPERLINK is not implemented. linkLocation=https://365nails.com/products/365nails-enchanted-butterfly-hand-painted-3d-cat-eye-handmade-almond-nails, friendlyName=365nails: "Enchanted Butterfly" – Hand-painted 3D Cat Eye Handmade Almond Nails</x:v>
      </x:c>
      <x:c r="D802" s="18" t="str">
        <x:v>Color: 2044 - medium oval / 2045-middle ladder / 2043-short ladder; Color classification: Extra small size xs / Small s / Medium m / Large l</x:v>
      </x:c>
      <x:c r="E802" s="25" t="str">
        <x:v>$2.99</x:v>
      </x:c>
      <x:c r="F802" s="19" t="str">
        <x:v>1</x:v>
      </x:c>
    </x:row>
    <x:row r="803" ht="93" customHeight="1">
      <x:c r="A803" s="19" t="n">
        <x:v>800</x:v>
      </x:c>
      <x:c r="B803" s="22" t="e">
        <x:f>HYPERLINK("https://cdn.shopify.com/s/files/1/0918/6066/4603/files/O1CN01LOVkOA2MQzdCbGzRO__2219089449823-0-cib.jpg?v=1774521104","Open")</x:f>
        <x:v>HYPERLINK is not implemented. linkLocation=https://cdn.shopify.com/s/files/1/0918/6066/4603/files/O1CN01LOVkOA2MQzdCbGzRO__2219089449823-0-cib.jpg?v=1774521104, friendlyName=Open</x:v>
      </x:c>
      <x:c r="C803" s="24" t="e">
        <x:f>HYPERLINK("https://365nails.com/products/blush-petal-pink-sakura-glow-square-press-on-nails","Blush Petal: ""Pink Sakura Glow"" – Square Press-On Nails")</x:f>
        <x:v>HYPERLINK is not implemented. linkLocation=https://365nails.com/products/blush-petal-pink-sakura-glow-square-press-on-nails, friendlyName=Blush Petal: "Pink Sakura Glow" – Square Press-On Nails</x:v>
      </x:c>
      <x:c r="D803" s="18" t="str">
        <x:v>Color: L273; Color classification: Xs / S / M / L</x:v>
      </x:c>
      <x:c r="E803" s="25" t="str">
        <x:v>$3.49</x:v>
      </x:c>
      <x:c r="F803" s="19" t="str">
        <x:v>1</x:v>
      </x:c>
    </x:row>
    <x:row r="804" ht="93" customHeight="1">
      <x:c r="A804" s="19" t="n">
        <x:v>801</x:v>
      </x:c>
      <x:c r="B804" s="22" t="e">
        <x:f>HYPERLINK("https://cdn.shopify.com/s/files/1/0918/6066/4603/files/O1CN018PpedZ2MQzdsRHm1T__2219089449823-0-cib.jpg?v=1774521063","Open")</x:f>
        <x:v>HYPERLINK is not implemented. linkLocation=https://cdn.shopify.com/s/files/1/0918/6066/4603/files/O1CN018PpedZ2MQzdsRHm1T__2219089449823-0-cib.jpg?v=1774521063, friendlyName=Open</x:v>
      </x:c>
      <x:c r="C804" s="24" t="e">
        <x:f>HYPERLINK("https://365nails.com/products/fruit-fiesta-tropical-mix-almond-shape-press-on-nails","Fruit Fiesta: ""Tropical Mix"" – Almond Shape Press-On Nails")</x:f>
        <x:v>HYPERLINK is not implemented. linkLocation=https://365nails.com/products/fruit-fiesta-tropical-mix-almond-shape-press-on-nails, friendlyName=Fruit Fiesta: "Tropical Mix" – Almond Shape Press-On Nails</x:v>
      </x:c>
      <x:c r="D804" s="18" t="str">
        <x:v>Color: D273; Color classification: Xs / S / M / L</x:v>
      </x:c>
      <x:c r="E804" s="25" t="str">
        <x:v>$3.49</x:v>
      </x:c>
      <x:c r="F804" s="19" t="str">
        <x:v>1</x:v>
      </x:c>
    </x:row>
    <x:row r="805" ht="93" customHeight="1">
      <x:c r="A805" s="19" t="n">
        <x:v>802</x:v>
      </x:c>
      <x:c r="B805" s="22" t="e">
        <x:f>HYPERLINK("https://cdn.shopify.com/s/files/1/0918/6066/4603/files/O1CN01AP8c3k1qQvg2I656U__3917635491-0-cib.jpg?v=1753522999","Open")</x:f>
        <x:v>HYPERLINK is not implemented. linkLocation=https://cdn.shopify.com/s/files/1/0918/6066/4603/files/O1CN01AP8c3k1qQvg2I656U__3917635491-0-cib.jpg?v=1753522999, friendlyName=Open</x:v>
      </x:c>
      <x:c r="C805" s="24" t="e">
        <x:f>HYPERLINK("https://365nails.com/products/temperament-gentle-klein-blue-jumping-color-atmosphere-ina-wind-press-on-toenails-fake-nail-manicure-white-press-on-toenails-nail-piece-365nails","Temperament gentle Klein blue jumping color atmosphere ina wind Press-on toenails fake nail manicure white Press-on toenails nail piece｜365nails")</x:f>
        <x:v>HYPERLINK is not implemented. linkLocation=https://365nails.com/products/temperament-gentle-klein-blue-jumping-color-atmosphere-ina-wind-press-on-toenails-fake-nail-manicure-white-press-on-toenails-nail-piece-365nails, friendlyName=Temperament gentle Klein blue jumping color atmosphere ina wind Press-on toenails fake nail manicure white Press-on toenails nail piece｜365nails</x:v>
      </x:c>
      <x:c r="D805" s="18" t="str">
        <x:v>Color: F134 Klein Blue [Jelly Glue]</x:v>
      </x:c>
      <x:c r="E805" s="25" t="str">
        <x:v>$0.82</x:v>
      </x:c>
      <x:c r="F805" s="19" t="str">
        <x:v>1</x:v>
      </x:c>
    </x:row>
    <x:row r="806" ht="93" customHeight="1">
      <x:c r="A806" s="19" t="n">
        <x:v>803</x:v>
      </x:c>
      <x:c r="B806" s="22" t="e">
        <x:f>HYPERLINK("https://cdn.shopify.com/s/files/1/0918/6066/4603/files/O1CN01U9k7ZQ27ZUmSLr9QI__2220024697811-0-cib.jpg?v=1775112669","Open")</x:f>
        <x:v>HYPERLINK is not implemented. linkLocation=https://cdn.shopify.com/s/files/1/0918/6066/4603/files/O1CN01U9k7ZQ27ZUmSLr9QI__2220024697811-0-cib.jpg?v=1775112669, friendlyName=Open</x:v>
      </x:c>
      <x:c r="C806" s="24" t="e">
        <x:f>HYPERLINK("https://365nails.com/products/365nails-desert-mirage-3d-camel-sand-dune-handmade-short-square-nails","365nails: ""Desert Mirage"" – 3D Camel &amp; Sand Dune Handmade Short Square Nails")</x:f>
        <x:v>HYPERLINK is not implemented. linkLocation=https://365nails.com/products/365nails-desert-mirage-3d-camel-sand-dune-handmade-short-square-nails, friendlyName=365nails: "Desert Mirage" – 3D Camel &amp; Sand Dune Handmade Short Square Nails</x:v>
      </x:c>
      <x:c r="D806" s="18" t="str">
        <x:v>Color: European; Color classification: S / M / L</x:v>
      </x:c>
      <x:c r="E806" s="25" t="str">
        <x:v>$4.49</x:v>
      </x:c>
      <x:c r="F806" s="19" t="str">
        <x:v>3</x:v>
      </x:c>
    </x:row>
    <x:row r="807" ht="93" customHeight="1">
      <x:c r="A807" s="19" t="n">
        <x:v>804</x:v>
      </x:c>
      <x:c r="B807" s="22" t="e">
        <x:f>HYPERLINK("https://cdn.shopify.com/s/files/1/0918/6066/4603/files/O1CN01hUY1vc2NGHugyUJg6__4234819935-0-cib.jpg?v=1753431788","Open")</x:f>
        <x:v>HYPERLINK is not implemented. linkLocation=https://cdn.shopify.com/s/files/1/0918/6066/4603/files/O1CN01hUY1vc2NGHugyUJg6__4234819935-0-cib.jpg?v=1753431788, friendlyName=Open</x:v>
      </x:c>
      <x:c r="C807" s="24" t="e">
        <x:f>HYPERLINK("https://365nails.com/products/colorful-gradual-change-wearing-nail-sequins-fake-nails-pearlescent-cat-eye-nail-art-cross-border-european-and-american-nail-patch-wholesale-365nails","Colorful gradual change wearing nail sequins fake nails pearlescent cat eye nail art   nail patch wholesale｜365nails")</x:f>
        <x:v>HYPERLINK is not implemented. linkLocation=https://365nails.com/products/colorful-gradual-change-wearing-nail-sequins-fake-nails-pearlescent-cat-eye-nail-art-cross-border-european-and-american-nail-patch-wholesale-365nails, friendlyName=Colorful gradual change wearing nail sequins fake nails pearlescent cat eye nail art   nail patch wholesale｜365nails</x:v>
      </x:c>
      <x:c r="D807" s="18" t="str">
        <x:v>color: JP3472</x:v>
      </x:c>
      <x:c r="E807" s="25" t="str">
        <x:v>$0.86</x:v>
      </x:c>
      <x:c r="F807" s="19" t="str">
        <x:v>1</x:v>
      </x:c>
    </x:row>
    <x:row r="808" ht="93" customHeight="1">
      <x:c r="A808" s="19" t="n">
        <x:v>805</x:v>
      </x:c>
      <x:c r="B808" s="22" t="e">
        <x:f>HYPERLINK("https://cdn.shopify.com/s/files/1/0918/6066/4603/files/O1CN01RQnq0e1CPwKZys55w__2213196780074-0-cib_e9ed5ea2-46d3-4d0e-aec6-56cb1acc8423.jpg?v=1774680726","Open")</x:f>
        <x:v>HYPERLINK is not implemented. linkLocation=https://cdn.shopify.com/s/files/1/0918/6066/4603/files/O1CN01RQnq0e1CPwKZys55w__2213196780074-0-cib_e9ed5ea2-46d3-4d0e-aec6-56cb1acc8423.jpg?v=1774680726, friendlyName=Open</x:v>
      </x:c>
      <x:c r="C808" s="24" t="e">
        <x:f>HYPERLINK("https://365nails.com/products/365nails-candy-plaid-3d-bow-rhinestone-handmade-square-nails","365nails: ""Candy Plaid"" – 3D Bow &amp; Rhinestone Handmade Square Nails")</x:f>
        <x:v>HYPERLINK is not implemented. linkLocation=https://365nails.com/products/365nails-candy-plaid-3d-bow-rhinestone-handmade-square-nails, friendlyName=365nails: "Candy Plaid" – 3D Bow &amp; Rhinestone Handmade Square Nails</x:v>
      </x:c>
      <x:c r="D808" s="18" t="str">
        <x:v>Color: Extra small size xs / Small s / Medium m / Large l; Specification type: 2710-super short ladder</x:v>
      </x:c>
      <x:c r="E808" s="25" t="str">
        <x:v>$3.49</x:v>
      </x:c>
      <x:c r="F808" s="19" t="str">
        <x:v>1</x:v>
      </x:c>
    </x:row>
    <x:row r="809" ht="93" customHeight="1">
      <x:c r="A809" s="19" t="n">
        <x:v>806</x:v>
      </x:c>
      <x:c r="B809" s="22" t="e">
        <x:f>HYPERLINK("https://cdn.shopify.com/s/files/1/0918/6066/4603/files/O1CN01rpa3F91CPwIodkW7u__2213196780074-0-cib_417016c1-f8fb-4eb8-8068-9abdda14d652.jpg?v=1774680014","Open")</x:f>
        <x:v>HYPERLINK is not implemented. linkLocation=https://cdn.shopify.com/s/files/1/0918/6066/4603/files/O1CN01rpa3F91CPwIodkW7u__2213196780074-0-cib_417016c1-f8fb-4eb8-8068-9abdda14d652.jpg?v=1774680014, friendlyName=Open</x:v>
      </x:c>
      <x:c r="C809" s="24" t="e">
        <x:f>HYPERLINK("https://365nails.com/products/365nails-golden-elegance-3d-floral-cat-eye-handmade-almond-nails","365nails: ""Golden Elegance"" – 3D Floral Cat Eye Handmade Almond Nails")</x:f>
        <x:v>HYPERLINK is not implemented. linkLocation=https://365nails.com/products/365nails-golden-elegance-3d-floral-cat-eye-handmade-almond-nails, friendlyName=365nails: "Golden Elegance" – 3D Floral Cat Eye Handmade Almond Nails</x:v>
      </x:c>
      <x:c r="D809" s="18" t="str">
        <x:v>Color: 2390-ultra short ladder / 2392 - medium oval; Color classification: Extra small size xs / Small s / Medium m / Large l</x:v>
      </x:c>
      <x:c r="E809" s="25" t="str">
        <x:v>$3.49</x:v>
      </x:c>
      <x:c r="F809" s="19" t="str">
        <x:v>1</x:v>
      </x:c>
    </x:row>
    <x:row r="810" ht="93" customHeight="1">
      <x:c r="A810" s="19" t="n">
        <x:v>807</x:v>
      </x:c>
      <x:c r="B810" s="22" t="e">
        <x:f>HYPERLINK("https://cdn.shopify.com/s/files/1/0918/6066/4603/files/O1CN01jgiWA027ZUmBz8VfN__2220024697811-0-cib.jpg?v=1775112741","Open")</x:f>
        <x:v>HYPERLINK is not implemented. linkLocation=https://cdn.shopify.com/s/files/1/0918/6066/4603/files/O1CN01jgiWA027ZUmBz8VfN__2220024697811-0-cib.jpg?v=1775112741, friendlyName=Open</x:v>
      </x:c>
      <x:c r="C810" s="24" t="e">
        <x:f>HYPERLINK("https://365nails.com/products/365nails-imperial-crest-3d-gold-lion-baroque-jewel-handmade-long-stiletto-nails","365nails: ""Imperial Crest"" – 3D Gold Lion &amp; Baroque Jewel Handmade Long Stiletto Nails")</x:f>
        <x:v>HYPERLINK is not implemented. linkLocation=https://365nails.com/products/365nails-imperial-crest-3d-gold-lion-baroque-jewel-handmade-long-stiletto-nails, friendlyName=365nails: "Imperial Crest" – 3D Gold Lion &amp; Baroque Jewel Handmade Long Stiletto Nails</x:v>
      </x:c>
      <x:c r="D810" s="18" t="str">
        <x:v>Color: Long tip; Color classification: Xs / S / M / L</x:v>
      </x:c>
      <x:c r="E810" s="25" t="str">
        <x:v>$4.49</x:v>
      </x:c>
      <x:c r="F810" s="19" t="str">
        <x:v>3</x:v>
      </x:c>
    </x:row>
    <x:row r="811" ht="93" customHeight="1">
      <x:c r="A811" s="19" t="n">
        <x:v>808</x:v>
      </x:c>
      <x:c r="B811" s="22" t="e">
        <x:f>HYPERLINK("https://cdn.shopify.com/s/files/1/0918/6066/4603/files/O1CN016BgSak27ZUlX8S9zq__2220024697811-0-cib.jpg?v=1775110148","Open")</x:f>
        <x:v>HYPERLINK is not implemented. linkLocation=https://cdn.shopify.com/s/files/1/0918/6066/4603/files/O1CN016BgSak27ZUlX8S9zq__2220024697811-0-cib.jpg?v=1775110148, friendlyName=Open</x:v>
      </x:c>
      <x:c r="C811" s="24" t="e">
        <x:f>HYPERLINK("https://365nails.com/products/365nails-velvet-noir-3d-bow-crystal-handmade-medium-almond-nails","365nails: ""Velvet Noir"" – 3D Bow &amp; Crystal Handmade Medium Almond Nails")</x:f>
        <x:v>HYPERLINK is not implemented. linkLocation=https://365nails.com/products/365nails-velvet-noir-3d-bow-crystal-handmade-medium-almond-nails, friendlyName=365nails: "Velvet Noir" – 3D Bow &amp; Crystal Handmade Medium Almond Nails</x:v>
      </x:c>
      <x:c r="D811" s="18" t="str">
        <x:v>Color: Almond; Color classification: Xs / S / M / L</x:v>
      </x:c>
      <x:c r="E811" s="25" t="str">
        <x:v>$4.99</x:v>
      </x:c>
      <x:c r="F811" s="19" t="str">
        <x:v>3</x:v>
      </x:c>
    </x:row>
    <x:row r="812" ht="93" customHeight="1">
      <x:c r="A812" s="19" t="n">
        <x:v>809</x:v>
      </x:c>
      <x:c r="B812" s="22" t="e">
        <x:f>HYPERLINK("https://cdn.shopify.com/s/files/1/0918/6066/4603/files/O1CN01f1tGRn1CPwPlSVp52__2213196780074-0-cib_04a1cbdb-f0f9-4901-8a1c-399a385ff12b.jpg?v=1774861014","Open")</x:f>
        <x:v>HYPERLINK is not implemented. linkLocation=https://cdn.shopify.com/s/files/1/0918/6066/4603/files/O1CN01f1tGRn1CPwPlSVp52__2213196780074-0-cib_04a1cbdb-f0f9-4901-8a1c-399a385ff12b.jpg?v=1774861014, friendlyName=Open</x:v>
      </x:c>
      <x:c r="C812" s="24" t="e">
        <x:f>HYPERLINK("https://365nails.com/products/365nails-crimson-cross-3d-glitter-geometric-handmade-square-nails","365nails: ""Crimson Cross"" – 3D Glitter &amp; Geometric Handmade Square Nails")</x:f>
        <x:v>HYPERLINK is not implemented. linkLocation=https://365nails.com/products/365nails-crimson-cross-3d-glitter-geometric-handmade-square-nails, friendlyName=365nails: "Crimson Cross" – 3D Glitter &amp; Geometric Handmade Square Nails</x:v>
      </x:c>
      <x:c r="D812" s="18" t="str">
        <x:v>Color: 1846-super short ladder; Color classification: Extra small size xs / Small s / Medium m / Large l</x:v>
      </x:c>
      <x:c r="E812" s="25" t="str">
        <x:v>$3.49</x:v>
      </x:c>
      <x:c r="F812" s="19" t="str">
        <x:v>1</x:v>
      </x:c>
    </x:row>
    <x:row r="813" ht="93" customHeight="1">
      <x:c r="A813" s="19" t="n">
        <x:v>810</x:v>
      </x:c>
      <x:c r="B813" s="22" t="e">
        <x:f>HYPERLINK("https://cdn.shopify.com/s/files/1/0918/6066/4603/files/O1CN01J7n4ej2NGHpkGVNgB__4234819935-0-cib.jpg?v=1753431756","Open")</x:f>
        <x:v>HYPERLINK is not implemented. linkLocation=https://cdn.shopify.com/s/files/1/0918/6066/4603/files/O1CN01J7n4ej2NGHpkGVNgB__4234819935-0-cib.jpg?v=1753431756, friendlyName=Open</x:v>
      </x:c>
      <x:c r="C813" s="24" t="e">
        <x:f>HYPERLINK("https://365nails.com/products/short-wear-foot-nail-removable-french-toenail-patch-nail-patch-new-white-striped-foot-nail-art-wholesale-365nails","Short Wear Foot Nail Removable French Toenail Patch Nail Patch New White Striped Foot Nail Art Wholesale｜365nails")</x:f>
        <x:v>HYPERLINK is not implemented. linkLocation=https://365nails.com/products/short-wear-foot-nail-removable-french-toenail-patch-nail-patch-new-white-striped-foot-nail-art-wholesale-365nails, friendlyName=Short Wear Foot Nail Removable French Toenail Patch Nail Patch New White Striped Foot Nail Art Wholesale｜365nails</x:v>
      </x:c>
      <x:c r="D813" s="18" t="str">
        <x:v>Color: JP3211</x:v>
      </x:c>
      <x:c r="E813" s="25" t="str">
        <x:v>$0.77</x:v>
      </x:c>
      <x:c r="F813" s="19" t="str">
        <x:v>1</x:v>
      </x:c>
    </x:row>
    <x:row r="814" ht="93" customHeight="1">
      <x:c r="A814" s="19" t="n">
        <x:v>811</x:v>
      </x:c>
      <x:c r="B814" s="22" t="e">
        <x:f>HYPERLINK("https://cdn.shopify.com/s/files/1/0918/6066/4603/files/O1CN01eYk3We1CPwLwYXeae__2213196780074-0-cib_63faae8c-658c-45ae-a310-9444cd8926d9.jpg?v=1774696329","Open")</x:f>
        <x:v>HYPERLINK is not implemented. linkLocation=https://cdn.shopify.com/s/files/1/0918/6066/4603/files/O1CN01eYk3We1CPwLwYXeae__2213196780074-0-cib_63faae8c-658c-45ae-a310-9444cd8926d9.jpg?v=1774696329, friendlyName=Open</x:v>
      </x:c>
      <x:c r="C814" s="24" t="e">
        <x:f>HYPERLINK("https://365nails.com/products/365nails-candy-confetti-multi-color-glitter-pastel-handmade-oval-nails","365nails: ""Candy Confetti"" – Multi-Color Glitter &amp; Pastel Handmade Oval Nails")</x:f>
        <x:v>HYPERLINK is not implemented. linkLocation=https://365nails.com/products/365nails-candy-confetti-multi-color-glitter-pastel-handmade-oval-nails, friendlyName=365nails: "Candy Confetti" – Multi-Color Glitter &amp; Pastel Handmade Oval Nails</x:v>
      </x:c>
      <x:c r="D814" s="18" t="str">
        <x:v>Color: 191-short round; Color classification: Xs / S / M / L</x:v>
      </x:c>
      <x:c r="E814" s="25" t="str">
        <x:v>$2.99</x:v>
      </x:c>
      <x:c r="F814" s="19" t="str">
        <x:v>1</x:v>
      </x:c>
    </x:row>
    <x:row r="815" ht="93" customHeight="1">
      <x:c r="A815" s="19" t="n">
        <x:v>812</x:v>
      </x:c>
      <x:c r="B815" s="22" t="e">
        <x:f>HYPERLINK("https://cdn.shopify.com/s/files/1/0918/6066/4603/files/O1CN01aSHWg12MQzfR5wMAW__2219089449823-0-cib.jpg?v=1774520899","Open")</x:f>
        <x:v>HYPERLINK is not implemented. linkLocation=https://cdn.shopify.com/s/files/1/0918/6066/4603/files/O1CN01aSHWg12MQzfR5wMAW__2219089449823-0-cib.jpg?v=1774520899, friendlyName=Open</x:v>
      </x:c>
      <x:c r="C815" s="24" t="e">
        <x:f>HYPERLINK("https://365nails.com/products/starry-french-silver-star-almond-press-on-nails","Starry French: ""Silver Star"" – Almond Press-On Nails")</x:f>
        <x:v>HYPERLINK is not implemented. linkLocation=https://365nails.com/products/starry-french-silver-star-almond-press-on-nails, friendlyName=Starry French: "Silver Star" – Almond Press-On Nails</x:v>
      </x:c>
      <x:c r="D815" s="18" t="str">
        <x:v>Color: C439; Color classification: Xs / S / M / L</x:v>
      </x:c>
      <x:c r="E815" s="25" t="str">
        <x:v>$3.99</x:v>
      </x:c>
      <x:c r="F815" s="19" t="str">
        <x:v>1</x:v>
      </x:c>
    </x:row>
    <x:row r="816" ht="93" customHeight="1">
      <x:c r="A816" s="19" t="n">
        <x:v>813</x:v>
      </x:c>
      <x:c r="B816" s="22" t="e">
        <x:f>HYPERLINK("https://cdn.shopify.com/s/files/1/0918/6066/4603/files/O1CN01IJTpqp2MQzdwxnL3a__2219089449823-0-cib.jpg?v=1774452990","Open")</x:f>
        <x:v>HYPERLINK is not implemented. linkLocation=https://cdn.shopify.com/s/files/1/0918/6066/4603/files/O1CN01IJTpqp2MQzdwxnL3a__2219089449823-0-cib.jpg?v=1774452990, friendlyName=Open</x:v>
      </x:c>
      <x:c r="C816" s="24" t="e">
        <x:f>HYPERLINK("https://365nails.com/products/lavender-dream-lilac-petal-medium-almond-handmade-press-on-nails","Lavender Dream: ""Lilac Petal"" – Medium Almond Handmade Press On Nails")</x:f>
        <x:v>HYPERLINK is not implemented. linkLocation=https://365nails.com/products/lavender-dream-lilac-petal-medium-almond-handmade-press-on-nails, friendlyName=Lavender Dream: "Lilac Petal" – Medium Almond Handmade Press On Nails</x:v>
      </x:c>
      <x:c r="D816" s="18" t="str">
        <x:v>Color: D517; Color classification: X s / S / M / L</x:v>
      </x:c>
      <x:c r="E816" s="25" t="str">
        <x:v>$3.49</x:v>
      </x:c>
      <x:c r="F816" s="19" t="str">
        <x:v>1</x:v>
      </x:c>
    </x:row>
    <x:row r="817" ht="93" customHeight="1">
      <x:c r="A817" s="19" t="n">
        <x:v>814</x:v>
      </x:c>
      <x:c r="B817" s="22" t="e">
        <x:f>HYPERLINK("https://cdn.shopify.com/s/files/1/0918/6066/4603/files/O1CN01wH8HdS2MQzdIwGTnJ__2219089449823-0-cib.jpg?v=1774348859","Open")</x:f>
        <x:v>HYPERLINK is not implemented. linkLocation=https://cdn.shopify.com/s/files/1/0918/6066/4603/files/O1CN01wH8HdS2MQzdIwGTnJ__2219089449823-0-cib.jpg?v=1774348859, friendlyName=Open</x:v>
      </x:c>
      <x:c r="C817" s="24" t="e">
        <x:f>HYPERLINK("https://365nails.com/products/oceanic-mermaid-deep-sea-starry-mermaid-medium-almond-blue-white-shell-handmade-press-on","Oceanic Mermaid: ""Deep Sea Starry Mermaid"" – Medium Almond Blue &amp; White Shell Handmade Press-On")</x:f>
        <x:v>HYPERLINK is not implemented. linkLocation=https://365nails.com/products/oceanic-mermaid-deep-sea-starry-mermaid-medium-almond-blue-white-shell-handmade-press-on, friendlyName=Oceanic Mermaid: "Deep Sea Starry Mermaid" – Medium Almond Blue &amp; White Shell Handmade Press-On</x:v>
      </x:c>
      <x:c r="D817" s="18" t="str">
        <x:v>Color: D458; Color classification: X s / S / M / L</x:v>
      </x:c>
      <x:c r="E817" s="25" t="str">
        <x:v>$3.49</x:v>
      </x:c>
      <x:c r="F817" s="19" t="str">
        <x:v>1</x:v>
      </x:c>
    </x:row>
    <x:row r="818" ht="93" customHeight="1">
      <x:c r="A818" s="19" t="n">
        <x:v>815</x:v>
      </x:c>
      <x:c r="B818" s="22" t="e">
        <x:f>HYPERLINK("https://cdn.shopify.com/s/files/1/0918/6066/4603/files/O1CN017mPZWL2NGHmkcBvOP__4234819935-0-cib.jpg?v=1753429019","Open")</x:f>
        <x:v>HYPERLINK is not implemented. linkLocation=https://cdn.shopify.com/s/files/1/0918/6066/4603/files/O1CN017mPZWL2NGHmkcBvOP__4234819935-0-cib.jpg?v=1753429019, friendlyName=Open</x:v>
      </x:c>
      <x:c r="C818" s="24" t="e">
        <x:f>HYPERLINK("https://365nails.com/products/european-and-american-french-manicure-removable-wearable-nail-wholesale-fake-nail-nail-piece-cross-border-foreign-trade-press-on-nails-365nails","French manicure removable wearable nail wholesale fake nail nail piece  foreign trade press on nails｜365nails")</x:f>
        <x:v>HYPERLINK is not implemented. linkLocation=https://365nails.com/products/european-and-american-french-manicure-removable-wearable-nail-wholesale-fake-nail-nail-piece-cross-border-foreign-trade-press-on-nails-365nails, friendlyName=French manicure removable wearable nail wholesale fake nail nail piece  foreign trade press on nails｜365nails</x:v>
      </x:c>
      <x:c r="D818" s="18" t="str">
        <x:v>color: JP2753</x:v>
      </x:c>
      <x:c r="E818" s="25" t="str">
        <x:v>$0.77</x:v>
      </x:c>
      <x:c r="F818" s="19" t="str">
        <x:v>1</x:v>
      </x:c>
    </x:row>
    <x:row r="819" ht="93" customHeight="1">
      <x:c r="A819" s="19" t="n">
        <x:v>816</x:v>
      </x:c>
      <x:c r="B819" s="22" t="e">
        <x:f>HYPERLINK("https://cdn.shopify.com/s/files/1/0918/6066/4603/files/O1CN01U7xT1Z1CPw5miH8BI__2213196780074-0-cib_6482201e-1ff7-437f-bb98-044b75a99427.jpg?v=1774861286","Open")</x:f>
        <x:v>HYPERLINK is not implemented. linkLocation=https://cdn.shopify.com/s/files/1/0918/6066/4603/files/O1CN01U7xT1Z1CPw5miH8BI__2213196780074-0-cib_6482201e-1ff7-437f-bb98-044b75a99427.jpg?v=1774861286, friendlyName=Open</x:v>
      </x:c>
      <x:c r="C819" s="24" t="e">
        <x:f>HYPERLINK("https://365nails.com/products/365nails-desert-rose-3d-floral-leaf-handmade-square-nails","365nails: ""Desert Rose"" – 3D Floral &amp; Leaf Handmade Square Nails")</x:f>
        <x:v>HYPERLINK is not implemented. linkLocation=https://365nails.com/products/365nails-desert-rose-3d-floral-leaf-handmade-square-nails, friendlyName=365nails: "Desert Rose" – 3D Floral &amp; Leaf Handmade Square Nails</x:v>
      </x:c>
      <x:c r="D819" s="18" t="str">
        <x:v>Color: Extra small size xs / Small s / Medium m / Large l; Specification type: Handmade roses</x:v>
      </x:c>
      <x:c r="E819" s="25" t="str">
        <x:v>$3.49</x:v>
      </x:c>
      <x:c r="F819" s="19" t="str">
        <x:v>1</x:v>
      </x:c>
    </x:row>
    <x:row r="820" ht="93" customHeight="1">
      <x:c r="A820" s="19" t="n">
        <x:v>817</x:v>
      </x:c>
      <x:c r="B820" s="22" t="e">
        <x:f>HYPERLINK("https://cdn.shopify.com/s/files/1/0918/6066/4603/files/O1CN018T7ngl1CPwQ5lHwXj__2213196780074-0-cib_575e4cba-b5de-4ba0-9c42-f00a6f2de66c.jpg?v=1774861155","Open")</x:f>
        <x:v>HYPERLINK is not implemented. linkLocation=https://cdn.shopify.com/s/files/1/0918/6066/4603/files/O1CN018T7ngl1CPwQ5lHwXj__2213196780074-0-cib_575e4cba-b5de-4ba0-9c42-f00a6f2de66c.jpg?v=1774861155, friendlyName=Open</x:v>
      </x:c>
      <x:c r="C820" s="24" t="e">
        <x:f>HYPERLINK("https://365nails.com/products/365nails-cherry-leopard-3d-floral-animal-print-handmade-stiletto-nails","365nails: ""Cherry Leopard"" – 3D Floral &amp; Animal Print Handmade Stiletto Nails")</x:f>
        <x:v>HYPERLINK is not implemented. linkLocation=https://365nails.com/products/365nails-cherry-leopard-3d-floral-animal-print-handmade-stiletto-nails, friendlyName=365nails: "Cherry Leopard" – 3D Floral &amp; Animal Print Handmade Stiletto Nails</x:v>
      </x:c>
      <x:c r="D820" s="18" t="str">
        <x:v>Color: 3380-long tip; Color classification: Extra small size xs / Small s / Medium m / Large l</x:v>
      </x:c>
      <x:c r="E820" s="25" t="str">
        <x:v>$3.49</x:v>
      </x:c>
      <x:c r="F820" s="19" t="str">
        <x:v>1</x:v>
      </x:c>
    </x:row>
    <x:row r="821" ht="93" customHeight="1">
      <x:c r="A821" s="19" t="n">
        <x:v>818</x:v>
      </x:c>
      <x:c r="B821" s="22" t="e">
        <x:f>HYPERLINK("https://cdn.shopify.com/s/files/1/0918/6066/4603/files/O1CN01xpMiUL1CPwHSyAGXk__2213196780074-0-cib_d74039da-8258-4622-84f7-89b1fc00b850.jpg?v=1774694147","Open")</x:f>
        <x:v>HYPERLINK is not implemented. linkLocation=https://cdn.shopify.com/s/files/1/0918/6066/4603/files/O1CN01xpMiUL1CPwHSyAGXk__2213196780074-0-cib_d74039da-8258-4622-84f7-89b1fc00b850.jpg?v=1774694147, friendlyName=Open</x:v>
      </x:c>
      <x:c r="C821" s="24" t="e">
        <x:f>HYPERLINK("https://365nails.com/products/365nails-champagne-whispers-3d-crystal-cat-eye-handmade-coffin-nails","365nails: ""Champagne Whispers"" – 3D Crystal &amp; Cat Eye Handmade Coffin Nails")</x:f>
        <x:v>HYPERLINK is not implemented. linkLocation=https://365nails.com/products/365nails-champagne-whispers-3d-crystal-cat-eye-handmade-coffin-nails, friendlyName=365nails: "Champagne Whispers" – 3D Crystal &amp; Cat Eye Handmade Coffin Nails</x:v>
      </x:c>
      <x:c r="D821" s="18" t="str">
        <x:v>Color: 2033 middle ladder; Color classification: Extra small size xs / Small s / Medium m / Large l</x:v>
      </x:c>
      <x:c r="E821" s="25" t="str">
        <x:v>$3.49</x:v>
      </x:c>
      <x:c r="F821" s="19" t="str">
        <x:v>1</x:v>
      </x:c>
    </x:row>
    <x:row r="822" ht="93" customHeight="1">
      <x:c r="A822" s="19" t="n">
        <x:v>819</x:v>
      </x:c>
      <x:c r="B822" s="22" t="e">
        <x:f>HYPERLINK("https://cdn.shopify.com/s/files/1/0918/6066/4603/files/O1CN012M2ZXX1CPwPXIVnjH__2213196780074-0-cib_43489594-87c4-449b-b654-93a6ee954ff0.jpg?v=1774679236","Open")</x:f>
        <x:v>HYPERLINK is not implemented. linkLocation=https://cdn.shopify.com/s/files/1/0918/6066/4603/files/O1CN012M2ZXX1CPwPXIVnjH__2213196780074-0-cib_43489594-87c4-449b-b654-93a6ee954ff0.jpg?v=1774679236, friendlyName=Open</x:v>
      </x:c>
      <x:c r="C822" s="24" t="e">
        <x:f>HYPERLINK("https://365nails.com/products/365nails-ruby-palace-handmade-luxury-stiletto-nails","365nails ""Ruby Palace"" – [Handmade Luxury] Stiletto Nails")</x:f>
        <x:v>HYPERLINK is not implemented. linkLocation=https://365nails.com/products/365nails-ruby-palace-handmade-luxury-stiletto-nails, friendlyName=365nails "Ruby Palace" – [Handmade Luxury] Stiletto Nails</x:v>
      </x:c>
      <x:c r="D822" s="18" t="str">
        <x:v>Color: 580-medium oval; Color classification: Xs extra small / S small size / M medium / L large</x:v>
      </x:c>
      <x:c r="E822" s="25" t="str">
        <x:v>$3.49</x:v>
      </x:c>
      <x:c r="F822" s="19" t="str">
        <x:v>1</x:v>
      </x:c>
    </x:row>
    <x:row r="823" ht="93" customHeight="1">
      <x:c r="A823" s="19" t="n">
        <x:v>820</x:v>
      </x:c>
      <x:c r="B823" s="22" t="e">
        <x:f>HYPERLINK("https://cdn.shopify.com/s/files/1/0918/6066/4603/files/O1CN01ULwSRQ2MQzdzK6Dry__2219089449823-0-cib.jpg?v=1774579120","Open")</x:f>
        <x:v>HYPERLINK is not implemented. linkLocation=https://cdn.shopify.com/s/files/1/0918/6066/4603/files/O1CN01ULwSRQ2MQzdzK6Dry__2219089449823-0-cib.jpg?v=1774579120, friendlyName=Open</x:v>
      </x:c>
      <x:c r="C823" s="24" t="e">
        <x:f>HYPERLINK("https://365nails.com/products/sunny-shore-seashell-starfish-glow-almond-press-on-nails","Sunny Shore: ""Seashell Starfish Glow"" – Almond Press-On Nails")</x:f>
        <x:v>HYPERLINK is not implemented. linkLocation=https://365nails.com/products/sunny-shore-seashell-starfish-glow-almond-press-on-nails, friendlyName=Sunny Shore: "Seashell Starfish Glow" – Almond Press-On Nails</x:v>
      </x:c>
      <x:c r="D823" s="18" t="str">
        <x:v>Color: D350; Color classification: Xs / S / M / L</x:v>
      </x:c>
      <x:c r="E823" s="25" t="str">
        <x:v>$3.49</x:v>
      </x:c>
      <x:c r="F823" s="19" t="str">
        <x:v>1</x:v>
      </x:c>
    </x:row>
    <x:row r="824" ht="93" customHeight="1">
      <x:c r="A824" s="19" t="n">
        <x:v>821</x:v>
      </x:c>
      <x:c r="B824" s="22" t="e">
        <x:f>HYPERLINK("https://cdn.shopify.com/s/files/1/0918/6066/4603/files/O1CN01G10tuK1CPwMg2M054__2213196780074-0-cib_73c909b8-4fdc-42c9-a1bc-8ba05ec213fa.jpg?v=1774697020","Open")</x:f>
        <x:v>HYPERLINK is not implemented. linkLocation=https://cdn.shopify.com/s/files/1/0918/6066/4603/files/O1CN01G10tuK1CPwMg2M054__2213196780074-0-cib_73c909b8-4fdc-42c9-a1bc-8ba05ec213fa.jpg?v=1774697020, friendlyName=Open</x:v>
      </x:c>
      <x:c r="C824" s="24" t="e">
        <x:f>HYPERLINK("https://365nails.com/products/365nails-tropical-bliss-3d-hand-painted-floral-gradient-handmade-stiletto-nails","365nails: ""Tropical Bliss"" – 3D Hand-Painted Floral &amp; Gradient Handmade Stiletto Nails")</x:f>
        <x:v>HYPERLINK is not implemented. linkLocation=https://365nails.com/products/365nails-tropical-bliss-3d-hand-painted-floral-gradient-handmade-stiletto-nails, friendlyName=365nails: "Tropical Bliss" – 3D Hand-Painted Floral &amp; Gradient Handmade Stiletto Nails</x:v>
      </x:c>
      <x:c r="D824" s="18" t="str">
        <x:v>Color: 340-long water drop; Color classification: Xs / S / M / L</x:v>
      </x:c>
      <x:c r="E824" s="25" t="str">
        <x:v>$7.49</x:v>
      </x:c>
      <x:c r="F824" s="19" t="str">
        <x:v>1</x:v>
      </x:c>
    </x:row>
    <x:row r="825" ht="93" customHeight="1">
      <x:c r="A825" s="19" t="n">
        <x:v>822</x:v>
      </x:c>
      <x:c r="B825" s="22" t="e">
        <x:f>HYPERLINK("https://cdn.shopify.com/s/files/1/0918/6066/4603/files/O1CN016y8fqn1CPwLY6dJjW__2213196780074-0-cib_0acb9e60-57c2-4e6c-bf5a-57d46e06d8e0.jpg?v=1774685812","Open")</x:f>
        <x:v>HYPERLINK is not implemented. linkLocation=https://cdn.shopify.com/s/files/1/0918/6066/4603/files/O1CN016y8fqn1CPwLY6dJjW__2213196780074-0-cib_0acb9e60-57c2-4e6c-bf5a-57d46e06d8e0.jpg?v=1774685812, friendlyName=Open</x:v>
      </x:c>
      <x:c r="C825" s="24" t="e">
        <x:f>HYPERLINK("https://365nails.com/products/365nails-aqua-bloom-3d-floral-water-jelly-handmade-almond-nails","365nails: ""Aqua Bloom"" – 3D Floral &amp; Water Jelly Handmade Almond Nails")</x:f>
        <x:v>HYPERLINK is not implemented. linkLocation=https://365nails.com/products/365nails-aqua-bloom-3d-floral-water-jelly-handmade-almond-nails, friendlyName=365nails: "Aqua Bloom" – 3D Floral &amp; Water Jelly Handmade Almond Nails</x:v>
      </x:c>
      <x:c r="D825" s="18" t="str">
        <x:v>Color: 672-almond a; Color classification: Extra small size xs / Small s / Medium m / Large l</x:v>
      </x:c>
      <x:c r="E825" s="25" t="str">
        <x:v>$5.49</x:v>
      </x:c>
      <x:c r="F825" s="19" t="str">
        <x:v>1</x:v>
      </x:c>
    </x:row>
    <x:row r="826" ht="93" customHeight="1">
      <x:c r="A826" s="19" t="n">
        <x:v>823</x:v>
      </x:c>
      <x:c r="B826" s="22" t="e">
        <x:f>HYPERLINK("https://cdn.shopify.com/s/files/1/0918/6066/4603/files/O1CN01A9TPR91CPwNFHmMnQ__2213196780074-0-cib_372693de-75da-440c-adae-e0b4e874deb4.jpg?v=1774679169","Open")</x:f>
        <x:v>HYPERLINK is not implemented. linkLocation=https://cdn.shopify.com/s/files/1/0918/6066/4603/files/O1CN01A9TPR91CPwNFHmMnQ__2213196780074-0-cib_372693de-75da-440c-adae-e0b4e874deb4.jpg?v=1774679169, friendlyName=Open</x:v>
      </x:c>
      <x:c r="C826" s="24" t="e">
        <x:f>HYPERLINK("https://365nails.com/products/365nails-plum-blossom-hand-sculpted-3d-flower-crystal-studded-almond-nails","365nails: ""Plum Blossom"" – Hand-sculpted 3D Flower &amp; Crystal Studded Almond Nails")</x:f>
        <x:v>HYPERLINK is not implemented. linkLocation=https://365nails.com/products/365nails-plum-blossom-hand-sculpted-3d-flower-crystal-studded-almond-nails, friendlyName=365nails: "Plum Blossom" – Hand-sculpted 3D Flower &amp; Crystal Studded Almond Nails</x:v>
      </x:c>
      <x:c r="D826" s="18" t="str">
        <x:v>Color: 2832-almond a; Color classification: Xs / S / M / L</x:v>
      </x:c>
      <x:c r="E826" s="25" t="str">
        <x:v>$3.99</x:v>
      </x:c>
      <x:c r="F826" s="19" t="str">
        <x:v>1</x:v>
      </x:c>
    </x:row>
    <x:row r="827" ht="93" customHeight="1">
      <x:c r="A827" s="19" t="n">
        <x:v>824</x:v>
      </x:c>
      <x:c r="B827" s="22" t="e">
        <x:f>HYPERLINK("https://cdn.shopify.com/s/files/1/0918/6066/4603/files/O1CN01vyYSSP1CPwMxx16q2__2213196780074-0-cib.jpg?v=1774679156","Open")</x:f>
        <x:v>HYPERLINK is not implemented. linkLocation=https://cdn.shopify.com/s/files/1/0918/6066/4603/files/O1CN01vyYSSP1CPwMxx16q2__2213196780074-0-cib.jpg?v=1774679156, friendlyName=Open</x:v>
      </x:c>
      <x:c r="C827" s="24" t="e">
        <x:f>HYPERLINK("https://365nails.com/products/365nails-crystal-blossom-3d-flower-glass-bead-cat-eye-handmade-square-nails","365nails: ""Crystal Blossom"" – 3D Flower &amp; Glass Bead Cat-eye Handmade Square Nails")</x:f>
        <x:v>HYPERLINK is not implemented. linkLocation=https://365nails.com/products/365nails-crystal-blossom-3d-flower-glass-bead-cat-eye-handmade-square-nails, friendlyName=365nails: "Crystal Blossom" – 3D Flower &amp; Glass Bead Cat-eye Handmade Square Nails</x:v>
      </x:c>
      <x:c r="D827" s="18" t="str">
        <x:v>Color: 316-new sino-sino; Color classification: Xs / S / M / L</x:v>
      </x:c>
      <x:c r="E827" s="25" t="str">
        <x:v>$3.49</x:v>
      </x:c>
      <x:c r="F827" s="19" t="str">
        <x:v>1</x:v>
      </x:c>
    </x:row>
    <x:row r="828" ht="93" customHeight="1">
      <x:c r="A828" s="19" t="n">
        <x:v>825</x:v>
      </x:c>
      <x:c r="B828" s="22" t="e">
        <x:f>HYPERLINK("https://cdn.shopify.com/s/files/1/0918/6066/4603/files/O1CN01G10tuK1CPwMg2M054__2213196780074-0-cib_53cada19-40bb-4775-adcc-037e61874050.jpg?v=1774679131","Open")</x:f>
        <x:v>HYPERLINK is not implemented. linkLocation=https://cdn.shopify.com/s/files/1/0918/6066/4603/files/O1CN01G10tuK1CPwMg2M054__2213196780074-0-cib_53cada19-40bb-4775-adcc-037e61874050.jpg?v=1774679131, friendlyName=Open</x:v>
      </x:c>
      <x:c r="C828" s="24" t="e">
        <x:f>HYPERLINK("https://365nails.com/products/365nails-tropical-fantasy-3d-water-drop-hand-painted-flower-handmade-stiletto-nails","365nails: ""Tropical Fantasy"" – 3D Water Drop &amp; Hand-painted Flower Handmade Stiletto Nails")</x:f>
        <x:v>HYPERLINK is not implemented. linkLocation=https://365nails.com/products/365nails-tropical-fantasy-3d-water-drop-hand-painted-flower-handmade-stiletto-nails, friendlyName=365nails: "Tropical Fantasy" – 3D Water Drop &amp; Hand-painted Flower Handmade Stiletto Nails</x:v>
      </x:c>
      <x:c r="D828" s="18" t="str">
        <x:v>Color: 340-long water drop; Color classification: Xs / S / M / L</x:v>
      </x:c>
      <x:c r="E828" s="25" t="str">
        <x:v>$7.49</x:v>
      </x:c>
      <x:c r="F828" s="19" t="str">
        <x:v>1</x:v>
      </x:c>
    </x:row>
    <x:row r="829" ht="93" customHeight="1">
      <x:c r="A829" s="19" t="n">
        <x:v>826</x:v>
      </x:c>
      <x:c r="B829" s="22" t="e">
        <x:f>HYPERLINK("https://cdn.shopify.com/s/files/1/0918/6066/4603/files/O1CN01qLVA7o1oyFS98lo2z__2217080665293-0-cib_28b941d5-3cb1-4086-b66a-d6b502caa426.jpg?v=1766809838","Open")</x:f>
        <x:v>HYPERLINK is not implemented. linkLocation=https://cdn.shopify.com/s/files/1/0918/6066/4603/files/O1CN01qLVA7o1oyFS98lo2z__2217080665293-0-cib_28b941d5-3cb1-4086-b66a-d6b502caa426.jpg?v=1766809838, friendlyName=Open</x:v>
      </x:c>
      <x:c r="C829" s="24" t="e">
        <x:f>HYPERLINK("https://365nails.com/products/embossed-cotton-paper-display-cards-for-press-on-nails","Embossed Cotton Paper Display Cards for Press On Nails (MOQ=50)")</x:f>
        <x:v>HYPERLINK is not implemented. linkLocation=https://365nails.com/products/embossed-cotton-paper-display-cards-for-press-on-nails, friendlyName=Embossed Cotton Paper Display Cards for Press On Nails (MOQ=50)</x:v>
      </x:c>
      <x:c r="D829" s="18" t="str">
        <x:v>Color: 50 sheets/pack; Specifications and models: [400G cotton paper] 65 pink smudge - Chinese version; 50 sheets/pack / [400G cotton paper] 65 pink smudge - English version; 50 sheets/pack / [400G cotton paper] 65 blush gradual change - Chinese version; 50 sheets/pack / [400G cotton paper] 65 blush gradual change - English version; 50 sheets/pack / [400G cotton paper] 65 leaves - Chinese version; 50 sheets/pack / [400G cotton paper] 65 leaves - English version; 50 sheets/pack / [400G cotton paper] 65 color smudges - English version; 50 sheets/pack / [400G cotton paper] 75 pink smudge - Chinese version; 50 sheets/pack / [400G cotton paper] 75 pink smudge - English version; 50 sheets/pack / [400G cotton paper] 75 blush gradual change - Chinese version; 50 sheets/pack / [400G cotton paper] 75 blush gradual change - English version; 50 sheets/pack / [400G cotton paper] 75 leaves - Chinese version; 50 sheets/pack / [400G cotton paper] 75 leaves - English version; 50 sheets/pack / [400g cotton grain paper] 75 flower A Chinese version; 50 sheets/bag / [400g cotton grain paper] 75 flower B Chinese version; 50 sheets/bag / [400g cotton grain paper] 75 flower C Chinese version; 50 sheets/bag / [400g cotton paper] 75 flower D Chinese version; 50 sheets/bag / [400G cotton paper] 75 brown simple English version; 50 sheets/pack / [400G cotton paper] 75 brown love English version; 50 sheets/pack / [400G cotton grain paper] 75 simple English version; 50 sheets/pack / [400G cotton paper] 65 camellias; 50 sheets/bag / [400g cotton paper] 65 full screen lily of the valley; 50 sheets/bag / [400G cotton grain paper] 65 simple leaves; 50 sheets/pack / [400G cotton paper] 65 small butterflies; 50 sheets/pack / [400G cotton paper] 65 small daisies; 50 sheets/pack / [400g cotton paper] 65 lilies of the valley (blank on the reverse side); 50 sheets/bag / [400g cotton pattern paper] 65 flower thread draft (blank on the reverse side); 50 sheets/pack / [400G cotton paper] 65 small daisies (blank on the reverse side); 50 sheets/pack / [400G cotton paper] 65 camellias (blank on the reverse side); 50 sheets/bag / [400g cotton grain paper] 65 simple leaves (blank on the reverse side); 50 sheets/pack / [400g cotton paper] 65 full screen lily of the valley (blank on the reverse side); 50 sheets/bag / [400G cotton paper] 65 rose frame (blank on the reverse side); 50 sheets/pack / [400g cotton paper] 75ins butterfly embossing Chinese and English version; 50 sheets/pack / [400G cotton paper] 75nail laser gold model; 50 sheets/bag / [400G cotton paper] 75 lily embossing; 50 sheets/pack / [400G cotton paper] 75 butterfly embossing; 50 sheets/pack / [400G cotton paper] 75 flower embossing; 50 sheets/pack / [400G cotton paper] 75 lily of the valley embossing; 50 sheets/pack / [400g cotton paper] 75 rose borders in Chinese and English; 50 sheets/pack / [400G cotton paper] 75 branch embossing; 50 sheets/pack / [400G cotton paper] 75 four-leaf clover embossing; 50 sheets/pack / [400G cotton paper] 75 small daisy embossing; 50 sheets/pack / [400G cotton paper] 75 leaf embossing; 50 sheets/pack / [400G cotton paper] 75 tulip embossing; 50 sheets/pack / [400G cotton paper] 75 English - rose frame; 50 sheets/pack / [400G cotton paper] 75 English - butterfly; 50 sheets/pack / [400G cotton paper] 75 English - flowers; 50 sheets/pack / [400G cotton paper] 75 English * roses; 50 sheets/pack / [400G cotton paper] 80 rose borders; 50 sheets/pack / [400G cotton paper] 80 lilies of the valley (right); 50 sheets/pack / [400G cotton paper] 80 lilies of the valley (left); 50 sheets/pack / [400G cotton paper] 80 lilies of the valley; 50 sheets/bag / [400G cotton paper] 80 full version of lily of the valley; 50 sheets/pack / [400G cotton paper] 80 full roses; 50 sheets/pack / [400G cotton grain paper] 85 * 115 arch light green; 50 sheets/pack / [400G cotton grain paper] 85 * 115 arch pink; 50 sheets/pack / [400g cotton grain paper] 85 * 115 arch powder color matching; 50 sheets/pack / [400g cotton pattern paper] 85 * 115 arch coffee color matching; 50 sheets/bag / [400g cotton grain paper] 85 * 115 arch blue color matching; 50 sheets/bag / [400G cotton paper] 85 * 115 blush - roses; 50 sheets/pack / [400g cotton paper] 85 * 115 smudge-carnation; 50 sheets/pack / [400G cotton paper] 85 * 115 blue butterfly; 50 sheets/pack / [400G cotton paper] 85 * 115 Eros Cupid - English version; 50 sheets/pack / [400G cotton paper] 85 * 115 Sun Muse - English version; 50 sheets/pack / [400G cotton paper] 85 * 115 Flower Angel - English version; 50 sheets/bag / [400G cotton paper] 100 * 80 Japanese embossing; 50 sheets/pack / [400G cotton paper] 100 * 80 English embossing; 50 sheets/pack / [400g cotton grain paper] 100 * 80 English concave bronzing; 50 sheets/pack / [400g cotton grain paper] 115 * 88 Xiaoxiangfeng; 50 sheets/bag / [700G cotton paper] 115 * 88 thickened pink smile; 50 sheets/bag</x:v>
      </x:c>
      <x:c r="E829" s="25" t="str">
        <x:v>$2.31–$6.93</x:v>
      </x:c>
      <x:c r="F829" s="19" t="str">
        <x:v>1</x:v>
      </x:c>
    </x:row>
    <x:row r="830" ht="93" customHeight="1">
      <x:c r="A830" s="19" t="n">
        <x:v>827</x:v>
      </x:c>
      <x:c r="B830" s="22" t="e">
        <x:f>HYPERLINK("https://cdn.shopify.com/s/files/1/0918/6066/4603/files/O1CN01C2L2Ln2NGHvX04aT3__4234819935-0-cib.jpg?v=1753431627","Open")</x:f>
        <x:v>HYPERLINK is not implemented. linkLocation=https://cdn.shopify.com/s/files/1/0918/6066/4603/files/O1CN01C2L2Ln2NGHvX04aT3__4234819935-0-cib.jpg?v=1753431627, friendlyName=Open</x:v>
      </x:c>
      <x:c r="C830" s="24" t="e">
        <x:f>HYPERLINK("https://365nails.com/products/minimalist-temperament-short-manicure-simple-gradual-change-naked-pink-white-wearing-nail-short-european-square-wearable-repeatable-nail-piece-365nails","Minimalist temperament short manicure simple gradual change naked pink white  short European square ｜365nails")</x:f>
        <x:v>HYPERLINK is not implemented. linkLocation=https://365nails.com/products/minimalist-temperament-short-manicure-simple-gradual-change-naked-pink-white-wearing-nail-short-european-square-wearable-repeatable-nail-piece-365nails, friendlyName=Minimalist temperament short manicure simple gradual change naked pink white  short European square ｜365nails</x:v>
      </x:c>
      <x:c r="D830" s="18" t="str">
        <x:v>color: JP3578</x:v>
      </x:c>
      <x:c r="E830" s="25" t="str">
        <x:v>$0.70</x:v>
      </x:c>
      <x:c r="F830" s="19" t="str">
        <x:v>1</x:v>
      </x:c>
    </x:row>
    <x:row r="831" ht="93" customHeight="1">
      <x:c r="A831" s="19" t="n">
        <x:v>828</x:v>
      </x:c>
      <x:c r="B831" s="22" t="e">
        <x:f>HYPERLINK("https://cdn.shopify.com/s/files/1/0918/6066/4603/files/O1CN012M2ZXX1CPwPXIVnjH__2213196780074-0-cib_63d9c40e-7290-45b1-8203-c368357b2fb9.jpg?v=1774860730","Open")</x:f>
        <x:v>HYPERLINK is not implemented. linkLocation=https://cdn.shopify.com/s/files/1/0918/6066/4603/files/O1CN012M2ZXX1CPwPXIVnjH__2213196780074-0-cib_63d9c40e-7290-45b1-8203-c368357b2fb9.jpg?v=1774860730, friendlyName=Open</x:v>
      </x:c>
      <x:c r="C831" s="24" t="e">
        <x:f>HYPERLINK("https://365nails.com/products/365nails-ruby-crown-3d-crystal-red-french-handmade-almond-nails","365nails: ""Ruby Crown"" – 3D Crystal &amp; Red French Handmade Almond Nails")</x:f>
        <x:v>HYPERLINK is not implemented. linkLocation=https://365nails.com/products/365nails-ruby-crown-3d-crystal-red-french-handmade-almond-nails, friendlyName=365nails: "Ruby Crown" – 3D Crystal &amp; Red French Handmade Almond Nails</x:v>
      </x:c>
      <x:c r="D831" s="18" t="str">
        <x:v>Color: 580-medium oval; Color classification: Xs extra small / S small size / M medium / L large</x:v>
      </x:c>
      <x:c r="E831" s="25" t="str">
        <x:v>$3.49</x:v>
      </x:c>
      <x:c r="F831" s="19" t="str">
        <x:v>1</x:v>
      </x:c>
    </x:row>
    <x:row r="832" ht="93" customHeight="1">
      <x:c r="A832" s="19" t="n">
        <x:v>829</x:v>
      </x:c>
      <x:c r="B832" s="22" t="e">
        <x:f>HYPERLINK("https://cdn.shopify.com/s/files/1/0918/6066/4603/files/O1CN01exmknJ1CPwOcdYYNt__2213196780074-0-cib_4a66cc57-4488-4689-ae19-8695004aee5b.jpg?v=1774693168","Open")</x:f>
        <x:v>HYPERLINK is not implemented. linkLocation=https://cdn.shopify.com/s/files/1/0918/6066/4603/files/O1CN01exmknJ1CPwOcdYYNt__2213196780074-0-cib_4a66cc57-4488-4689-ae19-8695004aee5b.jpg?v=1774693168, friendlyName=Open</x:v>
      </x:c>
      <x:c r="C832" s="24" t="e">
        <x:f>HYPERLINK("https://365nails.com/products/365nails-amber-leopard-3d-floral-cat-eye-handmade-coffin-nails","365nails: ""Amber Leopard"" – 3D Floral &amp; Cat Eye Handmade Coffin Nails")</x:f>
        <x:v>HYPERLINK is not implemented. linkLocation=https://365nails.com/products/365nails-amber-leopard-3d-floral-cat-eye-handmade-coffin-nails, friendlyName=365nails: "Amber Leopard" – 3D Floral &amp; Cat Eye Handmade Coffin Nails</x:v>
      </x:c>
      <x:c r="D832" s="18" t="str">
        <x:v>Color: 3100-medium oval / 3102-long oval / 3104-extra long ladder; Color classification: Xs / S / M / L</x:v>
      </x:c>
      <x:c r="E832" s="25" t="str">
        <x:v>$3.49</x:v>
      </x:c>
      <x:c r="F832" s="19" t="str">
        <x:v>1</x:v>
      </x:c>
    </x:row>
    <x:row r="833" ht="93" customHeight="1">
      <x:c r="A833" s="19" t="n">
        <x:v>830</x:v>
      </x:c>
      <x:c r="B833" s="22" t="e">
        <x:f>HYPERLINK("https://cdn.shopify.com/s/files/1/0918/6066/4603/files/O1CN01UIimbp2NGHffs8AB8__4234819935-0-cib.jpg?v=1753431628","Open")</x:f>
        <x:v>HYPERLINK is not implemented. linkLocation=https://cdn.shopify.com/s/files/1/0918/6066/4603/files/O1CN01UIimbp2NGHffs8AB8__4234819935-0-cib.jpg?v=1753431628, friendlyName=Open</x:v>
      </x:c>
      <x:c r="C833" s="24" t="e">
        <x:f>HYPERLINK("https://365nails.com/products/wearing-nail-wholesale-black-french-toenails-white-flower-pile-diamond-nail-piece-finished-fake-nail-manicure-patch-wearing-nail-piece-365nails","wholesale black French toenails white flower pile diamond nail piece finished fake nail manicure patch ｜365nails")</x:f>
        <x:v>HYPERLINK is not implemented. linkLocation=https://365nails.com/products/wearing-nail-wholesale-black-french-toenails-white-flower-pile-diamond-nail-piece-finished-fake-nail-manicure-patch-wearing-nail-piece-365nails, friendlyName=wholesale black French toenails white flower pile diamond nail piece finished fake nail manicure patch ｜365nails</x:v>
      </x:c>
      <x:c r="D833" s="18" t="str">
        <x:v>color: JP1628</x:v>
      </x:c>
      <x:c r="E833" s="25" t="str">
        <x:v>$1.40</x:v>
      </x:c>
      <x:c r="F833" s="19" t="str">
        <x:v>1</x:v>
      </x:c>
    </x:row>
    <x:row r="834" ht="93" customHeight="1">
      <x:c r="A834" s="19" t="n">
        <x:v>831</x:v>
      </x:c>
      <x:c r="B834" s="22" t="e">
        <x:f>HYPERLINK("https://cdn.shopify.com/s/files/1/0918/6066/4603/files/O1CN01jDwpjf2MQzfd5cyoQ__2219089449823-0-cib.jpg?v=1774520867","Open")</x:f>
        <x:v>HYPERLINK is not implemented. linkLocation=https://cdn.shopify.com/s/files/1/0918/6066/4603/files/O1CN01jDwpjf2MQzfd5cyoQ__2219089449823-0-cib.jpg?v=1774520867, friendlyName=Open</x:v>
      </x:c>
      <x:c r="C834" s="24" t="e">
        <x:f>HYPERLINK("https://365nails.com/products/classic-bow-black-white-french-almond-press-on-nails","Classic Bow: ""Black &amp; White French"" – Almond Press-On Nails")</x:f>
        <x:v>HYPERLINK is not implemented. linkLocation=https://365nails.com/products/classic-bow-black-white-french-almond-press-on-nails, friendlyName=Classic Bow: "Black &amp; White French" – Almond Press-On Nails</x:v>
      </x:c>
      <x:c r="D834" s="18" t="str">
        <x:v>Color: C451; 颜色分类: Xs / S / M / L</x:v>
      </x:c>
      <x:c r="E834" s="25" t="str">
        <x:v>$3.99</x:v>
      </x:c>
      <x:c r="F834" s="19" t="str">
        <x:v>1</x:v>
      </x:c>
    </x:row>
    <x:row r="835" ht="93" customHeight="1">
      <x:c r="A835" s="19" t="n">
        <x:v>832</x:v>
      </x:c>
      <x:c r="B835" s="22" t="e">
        <x:f>HYPERLINK("https://cdn.shopify.com/s/files/1/0918/6066/4603/files/O1CN01fDjehg2MQze4kbxA8__2219089449823-0-cib.jpg?v=1774097092","Open")</x:f>
        <x:v>HYPERLINK is not implemented. linkLocation=https://cdn.shopify.com/s/files/1/0918/6066/4603/files/O1CN01fDjehg2MQze4kbxA8__2219089449823-0-cib.jpg?v=1774097092, friendlyName=Open</x:v>
      </x:c>
      <x:c r="C835" s="24" t="e">
        <x:f>HYPERLINK("https://365nails.com/products/heartbeat-blush-pink-frost-almond-press-ons","Heartbeat Blush: ""Pink Frost"" – Almond Press-Ons")</x:f>
        <x:v>HYPERLINK is not implemented. linkLocation=https://365nails.com/products/heartbeat-blush-pink-frost-almond-press-ons, friendlyName=Heartbeat Blush: "Pink Frost" – Almond Press-Ons</x:v>
      </x:c>
      <x:c r="D835" s="18" t="str">
        <x:v>Color: C104; Color classification: X s / S / M / L</x:v>
      </x:c>
      <x:c r="E835" s="25" t="str">
        <x:v>$2.99</x:v>
      </x:c>
      <x:c r="F835" s="19" t="str">
        <x:v>1</x:v>
      </x:c>
    </x:row>
    <x:row r="836" ht="93" customHeight="1">
      <x:c r="A836" s="19" t="n">
        <x:v>833</x:v>
      </x:c>
      <x:c r="B836" s="22" t="e">
        <x:f>HYPERLINK("https://cdn.shopify.com/s/files/1/0918/6066/4603/files/O1CN01msz5EZ2MQzeqEk1yn__2219089449823-0-cib.jpg?v=1774520937","Open")</x:f>
        <x:v>HYPERLINK is not implemented. linkLocation=https://cdn.shopify.com/s/files/1/0918/6066/4603/files/O1CN01msz5EZ2MQzeqEk1yn__2219089449823-0-cib.jpg?v=1774520937, friendlyName=Open</x:v>
      </x:c>
      <x:c r="C836" s="24" t="e">
        <x:f>HYPERLINK("https://365nails.com/products/beach-breeze-seashell-floral-almond-press-on-nails","Beach Breeze: ""Seashell &amp; Floral"" – Almond Press-On Nails")</x:f>
        <x:v>HYPERLINK is not implemented. linkLocation=https://365nails.com/products/beach-breeze-seashell-floral-almond-press-on-nails, friendlyName=Beach Breeze: "Seashell &amp; Floral" – Almond Press-On Nails</x:v>
      </x:c>
      <x:c r="D836" s="18" t="str">
        <x:v>Color: D581; Color classification: Xs / S / M / L</x:v>
      </x:c>
      <x:c r="E836" s="25" t="str">
        <x:v>$3.49</x:v>
      </x:c>
      <x:c r="F836" s="19" t="str">
        <x:v>1</x:v>
      </x:c>
    </x:row>
    <x:row r="837" ht="93" customHeight="1">
      <x:c r="A837" s="19" t="n">
        <x:v>834</x:v>
      </x:c>
      <x:c r="B837" s="22" t="e">
        <x:f>HYPERLINK("https://cdn.shopify.com/s/files/1/0918/6066/4603/files/O1CN01J600XB2MQzfLpM2R6__2219089449823-0-cib.jpg?v=1774520963","Open")</x:f>
        <x:v>HYPERLINK is not implemented. linkLocation=https://cdn.shopify.com/s/files/1/0918/6066/4603/files/O1CN01J600XB2MQzfLpM2R6__2219089449823-0-cib.jpg?v=1774520963, friendlyName=Open</x:v>
      </x:c>
      <x:c r="C837" s="24" t="e">
        <x:f>HYPERLINK("https://365nails.com/products/plum-blossom-gradient-purple-floral-almond-press-on-nails","Plum Blossom Gradient: ""Purple Floral"" – Almond Press-On Nails")</x:f>
        <x:v>HYPERLINK is not implemented. linkLocation=https://365nails.com/products/plum-blossom-gradient-purple-floral-almond-press-on-nails, friendlyName=Plum Blossom Gradient: "Purple Floral" – Almond Press-On Nails</x:v>
      </x:c>
      <x:c r="D837" s="18" t="str">
        <x:v>Color: D602; Color classification: Xs / S / M / L</x:v>
      </x:c>
      <x:c r="E837" s="25" t="str">
        <x:v>$3.49</x:v>
      </x:c>
      <x:c r="F837" s="19" t="str">
        <x:v>1</x:v>
      </x:c>
    </x:row>
    <x:row r="838" ht="93" customHeight="1">
      <x:c r="A838" s="19" t="n">
        <x:v>835</x:v>
      </x:c>
      <x:c r="B838" s="22" t="e">
        <x:f>HYPERLINK("https://cdn.shopify.com/s/files/1/0918/6066/4603/files/O1CN01gS0DVC2MQzeD3kKs2__2219089449823-0-cib.jpg?v=1774520885","Open")</x:f>
        <x:v>HYPERLINK is not implemented. linkLocation=https://cdn.shopify.com/s/files/1/0918/6066/4603/files/O1CN01gS0DVC2MQzeD3kKs2__2219089449823-0-cib.jpg?v=1774520885, friendlyName=Open</x:v>
      </x:c>
      <x:c r="C838" s="24" t="e">
        <x:f>HYPERLINK("https://365nails.com/products/sakura-petal-pink-floral-almond-press-on-nails","Sakura Petal: ""Pink Floral"" – Almond Press-On Nails")</x:f>
        <x:v>HYPERLINK is not implemented. linkLocation=https://365nails.com/products/sakura-petal-pink-floral-almond-press-on-nails, friendlyName=Sakura Petal: "Pink Floral" – Almond Press-On Nails</x:v>
      </x:c>
      <x:c r="D838" s="18" t="str">
        <x:v>Color: D542; Color classification: Xs / S / M / L</x:v>
      </x:c>
      <x:c r="E838" s="25" t="str">
        <x:v>$3.99</x:v>
      </x:c>
      <x:c r="F838" s="19" t="str">
        <x:v>1</x:v>
      </x:c>
    </x:row>
    <x:row r="839" ht="93" customHeight="1">
      <x:c r="A839" s="19" t="n">
        <x:v>836</x:v>
      </x:c>
      <x:c r="B839" s="22" t="e">
        <x:f>HYPERLINK("https://cdn.shopify.com/s/files/1/0918/6066/4603/files/O1CN01FJ5BhK2MQzeCbzsHg__2219089449823-0-cib.jpg?v=1774520959","Open")</x:f>
        <x:v>HYPERLINK is not implemented. linkLocation=https://cdn.shopify.com/s/files/1/0918/6066/4603/files/O1CN01FJ5BhK2MQzeCbzsHg__2219089449823-0-cib.jpg?v=1774520959, friendlyName=Open</x:v>
      </x:c>
      <x:c r="C839" s="24" t="e">
        <x:f>HYPERLINK("https://365nails.com/products/elegant-rhinestone-floral-white-flower-almond-press-on-nails","Elegant Rhinestone Floral: ""White Flower"" – Almond Press-On Nails")</x:f>
        <x:v>HYPERLINK is not implemented. linkLocation=https://365nails.com/products/elegant-rhinestone-floral-white-flower-almond-press-on-nails, friendlyName=Elegant Rhinestone Floral: "White Flower" – Almond Press-On Nails</x:v>
      </x:c>
      <x:c r="D839" s="18" t="str">
        <x:v>Color: D543; Color classification: Xs / S / M / L</x:v>
      </x:c>
      <x:c r="E839" s="25" t="str">
        <x:v>$3.49</x:v>
      </x:c>
      <x:c r="F839" s="19" t="str">
        <x:v>1</x:v>
      </x:c>
    </x:row>
    <x:row r="840" ht="93" customHeight="1">
      <x:c r="A840" s="19" t="n">
        <x:v>837</x:v>
      </x:c>
      <x:c r="B840" s="22" t="e">
        <x:f>HYPERLINK("https://cdn.shopify.com/s/files/1/0918/6066/4603/files/O1CN01sIZLRL2MQzevEoorY__2219089449823-0-cib.jpg?v=1774520933","Open")</x:f>
        <x:v>HYPERLINK is not implemented. linkLocation=https://cdn.shopify.com/s/files/1/0918/6066/4603/files/O1CN01sIZLRL2MQzevEoorY__2219089449823-0-cib.jpg?v=1774520933, friendlyName=Open</x:v>
      </x:c>
      <x:c r="C840" s="24" t="e">
        <x:f>HYPERLINK("https://365nails.com/products/mermaid-pink-seashell-floral-almond-press-on-nails","Mermaid Pink: ""Seashell &amp; Floral"" – Almond Press-On Nails")</x:f>
        <x:v>HYPERLINK is not implemented. linkLocation=https://365nails.com/products/mermaid-pink-seashell-floral-almond-press-on-nails, friendlyName=Mermaid Pink: "Seashell &amp; Floral" – Almond Press-On Nails</x:v>
      </x:c>
      <x:c r="D840" s="18" t="str">
        <x:v>Color: D589; Color classification: Xs / S / M / L</x:v>
      </x:c>
      <x:c r="E840" s="25" t="str">
        <x:v>$3.49</x:v>
      </x:c>
      <x:c r="F840" s="19" t="str">
        <x:v>1</x:v>
      </x:c>
    </x:row>
    <x:row r="841" ht="93" customHeight="1">
      <x:c r="A841" s="19" t="n">
        <x:v>838</x:v>
      </x:c>
      <x:c r="B841" s="22" t="e">
        <x:f>HYPERLINK("https://cdn.shopify.com/s/files/1/0918/6066/4603/files/O1CN01DIWTOR2MQzfgppZ7j__2219089449823-0-cib.jpg?v=1774520835","Open")</x:f>
        <x:v>HYPERLINK is not implemented. linkLocation=https://cdn.shopify.com/s/files/1/0918/6066/4603/files/O1CN01DIWTOR2MQzfgppZ7j__2219089449823-0-cib.jpg?v=1774520835, friendlyName=Open</x:v>
      </x:c>
      <x:c r="C841" s="24" t="e">
        <x:f>HYPERLINK("https://365nails.com/products/ladybug-garden-polka-dot-floral-almond-press-on-nails","Ladybug Garden: ""Polka Dot &amp; Floral"" – Almond Press-On Nails")</x:f>
        <x:v>HYPERLINK is not implemented. linkLocation=https://365nails.com/products/ladybug-garden-polka-dot-floral-almond-press-on-nails, friendlyName=Ladybug Garden: "Polka Dot &amp; Floral" – Almond Press-On Nails</x:v>
      </x:c>
      <x:c r="D841" s="18" t="str">
        <x:v>Color: D617; Color classification: Xs / S / M / L</x:v>
      </x:c>
      <x:c r="E841" s="25" t="str">
        <x:v>$3.99</x:v>
      </x:c>
      <x:c r="F841" s="19" t="str">
        <x:v>1</x:v>
      </x:c>
    </x:row>
    <x:row r="842" ht="93" customHeight="1">
      <x:c r="A842" s="19" t="n">
        <x:v>839</x:v>
      </x:c>
      <x:c r="B842" s="22" t="e">
        <x:f>HYPERLINK("https://cdn.shopify.com/s/files/1/0918/6066/4603/files/O1CN01RdZc7o1qQvfNkJvHw__3917635491-0-cib.jpg?v=1753523002","Open")</x:f>
        <x:v>HYPERLINK is not implemented. linkLocation=https://cdn.shopify.com/s/files/1/0918/6066/4603/files/O1CN01RdZc7o1qQvfNkJvHw__3917635491-0-cib.jpg?v=1753523002, friendlyName=Open</x:v>
      </x:c>
      <x:c r="C842" s="24" t="e">
        <x:f>HYPERLINK("https://365nails.com/products/fresh-morandi-cool-fake-nails-flash-manicure-tablets-press-on-toenails-wear-nail-nail-wholesale-nails-365nails","Fresh Morandi cool fake nails flash manicure tablets Press-on toenails wear nail nail wholesale nails｜365nails")</x:f>
        <x:v>HYPERLINK is not implemented. linkLocation=https://365nails.com/products/fresh-morandi-cool-fake-nails-flash-manicure-tablets-press-on-toenails-wear-nail-nail-wholesale-nails-365nails, friendlyName=Fresh Morandi cool fake nails flash manicure tablets Press-on toenails wear nail nail wholesale nails｜365nails</x:v>
      </x:c>
      <x:c r="D842" s="18" t="str">
        <x:v>color: F125 Blue Galaxy [Glue]</x:v>
      </x:c>
      <x:c r="E842" s="25" t="str">
        <x:v>$0.82</x:v>
      </x:c>
      <x:c r="F842" s="19" t="str">
        <x:v>1</x:v>
      </x:c>
    </x:row>
    <x:row r="843" ht="93" customHeight="1">
      <x:c r="A843" s="19" t="n">
        <x:v>840</x:v>
      </x:c>
      <x:c r="B843" s="22" t="e">
        <x:f>HYPERLINK("https://cdn.shopify.com/s/files/1/0918/6066/4603/files/O1CN01rGnorm2MQzfGIXUd6__2219089449823-0-cib.jpg?v=1774520950","Open")</x:f>
        <x:v>HYPERLINK is not implemented. linkLocation=https://cdn.shopify.com/s/files/1/0918/6066/4603/files/O1CN01rGnorm2MQzfGIXUd6__2219089449823-0-cib.jpg?v=1774520950, friendlyName=Open</x:v>
      </x:c>
      <x:c r="C843" s="24" t="e">
        <x:f>HYPERLINK("https://365nails.com/products/rainbow-floral-french-colorful-flower-square-press-on-nails","Rainbow Floral French: ""Colorful Flower"" – Square Press-On Nails")</x:f>
        <x:v>HYPERLINK is not implemented. linkLocation=https://365nails.com/products/rainbow-floral-french-colorful-flower-square-press-on-nails, friendlyName=Rainbow Floral French: "Colorful Flower" – Square Press-On Nails</x:v>
      </x:c>
      <x:c r="D843" s="18" t="str">
        <x:v>Color: L291; Color classification: Xs / S / M / L</x:v>
      </x:c>
      <x:c r="E843" s="25" t="str">
        <x:v>$3.49</x:v>
      </x:c>
      <x:c r="F843" s="19" t="str">
        <x:v>1</x:v>
      </x:c>
    </x:row>
    <x:row r="844" ht="93" customHeight="1">
      <x:c r="A844" s="19" t="n">
        <x:v>841</x:v>
      </x:c>
      <x:c r="B844" s="22" t="e">
        <x:f>HYPERLINK("https://cdn.shopify.com/s/files/1/0918/6066/4603/files/O1CN01IUbjan2MQzfAfW8dA__2219089449823-0-cib.jpg?v=1774520946","Open")</x:f>
        <x:v>HYPERLINK is not implemented. linkLocation=https://cdn.shopify.com/s/files/1/0918/6066/4603/files/O1CN01IUbjan2MQzfAfW8dA__2219089449823-0-cib.jpg?v=1774520946, friendlyName=Open</x:v>
      </x:c>
      <x:c r="C844" s="24" t="e">
        <x:f>HYPERLINK("https://365nails.com/products/coquette-bow-dream-pink-white-square-press-on-nails","Coquette Bow Dream: ""Pink &amp; White"" – Square Press-On Nails")</x:f>
        <x:v>HYPERLINK is not implemented. linkLocation=https://365nails.com/products/coquette-bow-dream-pink-white-square-press-on-nails, friendlyName=Coquette Bow Dream: "Pink &amp; White" – Square Press-On Nails</x:v>
      </x:c>
      <x:c r="D844" s="18" t="str">
        <x:v>Color: D601; Color classification: Xs / S / M / L</x:v>
      </x:c>
      <x:c r="E844" s="25" t="str">
        <x:v>$3.49</x:v>
      </x:c>
      <x:c r="F844" s="19" t="str">
        <x:v>1</x:v>
      </x:c>
    </x:row>
    <x:row r="845" ht="93" customHeight="1">
      <x:c r="A845" s="19" t="n">
        <x:v>842</x:v>
      </x:c>
      <x:c r="B845" s="22" t="e">
        <x:f>HYPERLINK("https://cdn.shopify.com/s/files/1/0918/6066/4603/files/O1CN01xmV0Tf2MQzfWexGp3__2219089449823-0-cib.jpg?v=1774520817","Open")</x:f>
        <x:v>HYPERLINK is not implemented. linkLocation=https://cdn.shopify.com/s/files/1/0918/6066/4603/files/O1CN01xmV0Tf2MQzfWexGp3__2219089449823-0-cib.jpg?v=1774520817, friendlyName=Open</x:v>
      </x:c>
      <x:c r="C845" s="24" t="e">
        <x:f>HYPERLINK("https://365nails.com/products/sakura-bloom-3d-floral-grace-almond-press-on-nails","Sakura Bloom: ""3D Floral Grace"" – Almond Press-On Nails")</x:f>
        <x:v>HYPERLINK is not implemented. linkLocation=https://365nails.com/products/sakura-bloom-3d-floral-grace-almond-press-on-nails, friendlyName=Sakura Bloom: "3D Floral Grace" – Almond Press-On Nails</x:v>
      </x:c>
      <x:c r="D845" s="18" t="str">
        <x:v>Color: D626; Color classification: Xs / S / M / L</x:v>
      </x:c>
      <x:c r="E845" s="25" t="str">
        <x:v>$3.99</x:v>
      </x:c>
      <x:c r="F845" s="19" t="str">
        <x:v>1</x:v>
      </x:c>
    </x:row>
    <x:row r="846" ht="93" customHeight="1">
      <x:c r="A846" s="19" t="n">
        <x:v>843</x:v>
      </x:c>
      <x:c r="B846" s="22" t="e">
        <x:f>HYPERLINK("https://cdn.shopify.com/s/files/1/0918/6066/4603/files/O1CN01KAAxW62MQzfbeAs3I__2219089449823-0-cib.jpg?v=1774520967","Open")</x:f>
        <x:v>HYPERLINK is not implemented. linkLocation=https://cdn.shopify.com/s/files/1/0918/6066/4603/files/O1CN01KAAxW62MQzfbeAs3I__2219089449823-0-cib.jpg?v=1774520967, friendlyName=Open</x:v>
      </x:c>
      <x:c r="C846" s="24" t="e">
        <x:f>HYPERLINK("https://365nails.com/products/wild-floral-leopard-pink-animal-print-square-press-on-nails","Wild Floral Leopard: ""Pink &amp; Animal Print"" – Square Press-On Nails")</x:f>
        <x:v>HYPERLINK is not implemented. linkLocation=https://365nails.com/products/wild-floral-leopard-pink-animal-print-square-press-on-nails, friendlyName=Wild Floral Leopard: "Pink &amp; Animal Print" – Square Press-On Nails</x:v>
      </x:c>
      <x:c r="D846" s="18" t="str">
        <x:v>Color: D630–d631; Color classification: Xs / S / M / L</x:v>
      </x:c>
      <x:c r="E846" s="25" t="str">
        <x:v>$3.49</x:v>
      </x:c>
      <x:c r="F846" s="19" t="str">
        <x:v>1</x:v>
      </x:c>
    </x:row>
    <x:row r="847" ht="93" customHeight="1">
      <x:c r="A847" s="19" t="n">
        <x:v>844</x:v>
      </x:c>
      <x:c r="B847" s="22" t="e">
        <x:f>HYPERLINK("https://cdn.shopify.com/s/files/1/0918/6066/4603/files/O1CN01DVHL2A2MQzeWRTEMO__2219089449823-0-cib.jpg?v=1774520920","Open")</x:f>
        <x:v>HYPERLINK is not implemented. linkLocation=https://cdn.shopify.com/s/files/1/0918/6066/4603/files/O1CN01DVHL2A2MQzeWRTEMO__2219089449823-0-cib.jpg?v=1774520920, friendlyName=Open</x:v>
      </x:c>
      <x:c r="C847" s="24" t="e">
        <x:f>HYPERLINK("https://365nails.com/products/y2k-sweet-treat-ice-cream-flame-square-press-on-nails","Y2K Sweet Treat: ""Ice Cream &amp; Flame"" – Square Press-On Nails")</x:f>
        <x:v>HYPERLINK is not implemented. linkLocation=https://365nails.com/products/y2k-sweet-treat-ice-cream-flame-square-press-on-nails, friendlyName=Y2K Sweet Treat: "Ice Cream &amp; Flame" – Square Press-On Nails</x:v>
      </x:c>
      <x:c r="D847" s="18" t="str">
        <x:v>Color: 195; Color classification: Xs / S / M / L</x:v>
      </x:c>
      <x:c r="E847" s="25" t="str">
        <x:v>$4.99</x:v>
      </x:c>
      <x:c r="F847" s="19" t="str">
        <x:v>1</x:v>
      </x:c>
    </x:row>
    <x:row r="848" ht="93" customHeight="1">
      <x:c r="A848" s="19" t="n">
        <x:v>845</x:v>
      </x:c>
      <x:c r="B848" s="22" t="e">
        <x:f>HYPERLINK("https://cdn.shopify.com/s/files/1/0918/6066/4603/files/O1CN01z4Piea2MQzfjvRzAb__2219089449823-0-cib.jpg?v=1774520915","Open")</x:f>
        <x:v>HYPERLINK is not implemented. linkLocation=https://cdn.shopify.com/s/files/1/0918/6066/4603/files/O1CN01z4Piea2MQzfjvRzAb__2219089449823-0-cib.jpg?v=1774520915, friendlyName=Open</x:v>
      </x:c>
      <x:c r="C848" s="24" t="e">
        <x:f>HYPERLINK("https://365nails.com/products/petite-floral-french-mini-flower-almond-press-on-nails","Petite Floral French: ""Mini Flower"" – Almond Press-On Nails")</x:f>
        <x:v>HYPERLINK is not implemented. linkLocation=https://365nails.com/products/petite-floral-french-mini-flower-almond-press-on-nails, friendlyName=Petite Floral French: "Mini Flower" – Almond Press-On Nails</x:v>
      </x:c>
      <x:c r="D848" s="18" t="str">
        <x:v>Color: C382; Color classification: Xs / S / M / L</x:v>
      </x:c>
      <x:c r="E848" s="25" t="str">
        <x:v>$3.99</x:v>
      </x:c>
      <x:c r="F848" s="19" t="str">
        <x:v>1</x:v>
      </x:c>
    </x:row>
    <x:row r="849" ht="93" customHeight="1">
      <x:c r="A849" s="19" t="n">
        <x:v>846</x:v>
      </x:c>
      <x:c r="B849" s="22" t="e">
        <x:f>HYPERLINK("https://cdn.shopify.com/s/files/1/0918/6066/4603/files/O1CN01onygkL2MQzd0Fkazp__2219089449823-0-cib.jpg?v=1774520872","Open")</x:f>
        <x:v>HYPERLINK is not implemented. linkLocation=https://cdn.shopify.com/s/files/1/0918/6066/4603/files/O1CN01onygkL2MQzd0Fkazp__2219089449823-0-cib.jpg?v=1774520872, friendlyName=Open</x:v>
      </x:c>
      <x:c r="C849" s="24" t="e">
        <x:f>HYPERLINK("https://365nails.com/products/wildflower-safari-zebra-floral-almond-press-on-nails","Wildflower Safari: ""Zebra &amp; Floral"" – Almond Press-On Nails")</x:f>
        <x:v>HYPERLINK is not implemented. linkLocation=https://365nails.com/products/wildflower-safari-zebra-floral-almond-press-on-nails, friendlyName=Wildflower Safari: "Zebra &amp; Floral" – Almond Press-On Nails</x:v>
      </x:c>
      <x:c r="D849" s="18" t="str">
        <x:v>Color: D443; Color classification: Xs / S / M / L</x:v>
      </x:c>
      <x:c r="E849" s="25" t="str">
        <x:v>$3.99</x:v>
      </x:c>
      <x:c r="F849" s="19" t="str">
        <x:v>1</x:v>
      </x:c>
    </x:row>
    <x:row r="850" ht="93" customHeight="1">
      <x:c r="A850" s="19" t="n">
        <x:v>847</x:v>
      </x:c>
      <x:c r="B850" s="22" t="e">
        <x:f>HYPERLINK("https://cdn.shopify.com/s/files/1/0918/6066/4603/files/O1CN01b30zN82MQzdX3LYey__2219089449823-0-cib.jpg?v=1774520855","Open")</x:f>
        <x:v>HYPERLINK is not implemented. linkLocation=https://cdn.shopify.com/s/files/1/0918/6066/4603/files/O1CN01b30zN82MQzdX3LYey__2219089449823-0-cib.jpg?v=1774520855, friendlyName=Open</x:v>
      </x:c>
      <x:c r="C850" s="24" t="e">
        <x:f>HYPERLINK("https://365nails.com/products/pink-bow-luxury-floral-rhinestone-square-press-on-nails","Pink Bow Luxury: ""Floral &amp; Rhinestone"" – Square Press-On Nails")</x:f>
        <x:v>HYPERLINK is not implemented. linkLocation=https://365nails.com/products/pink-bow-luxury-floral-rhinestone-square-press-on-nails, friendlyName=Pink Bow Luxury: "Floral &amp; Rhinestone" – Square Press-On Nails</x:v>
      </x:c>
      <x:c r="D850" s="18" t="str">
        <x:v>Color: D316; Color classification: S / M / L</x:v>
      </x:c>
      <x:c r="E850" s="25" t="str">
        <x:v>$3.99</x:v>
      </x:c>
      <x:c r="F850" s="19" t="str">
        <x:v>1</x:v>
      </x:c>
    </x:row>
    <x:row r="851" ht="93" customHeight="1">
      <x:c r="A851" s="19" t="n">
        <x:v>848</x:v>
      </x:c>
      <x:c r="B851" s="22" t="e">
        <x:f>HYPERLINK("https://cdn.shopify.com/s/files/1/0918/6066/4603/files/O1CN01BmtrnW2MQzfj2oh8g__2219089449823-0-cib.jpg?v=1774520840","Open")</x:f>
        <x:v>HYPERLINK is not implemented. linkLocation=https://cdn.shopify.com/s/files/1/0918/6066/4603/files/O1CN01BmtrnW2MQzfj2oh8g__2219089449823-0-cib.jpg?v=1774520840, friendlyName=Open</x:v>
      </x:c>
      <x:c r="C851" s="24" t="e">
        <x:f>HYPERLINK("https://365nails.com/products/ladybug-elegance-monochrome-floral-almond-press-on-nails","Ladybug Elegance: ""Monochrome Floral"" – Almond Press-On Nails")</x:f>
        <x:v>HYPERLINK is not implemented. linkLocation=https://365nails.com/products/ladybug-elegance-monochrome-floral-almond-press-on-nails, friendlyName=Ladybug Elegance: "Monochrome Floral" – Almond Press-On Nails</x:v>
      </x:c>
      <x:c r="D851" s="18" t="str">
        <x:v>Color: D611; Color classification: Xs / S / M / L</x:v>
      </x:c>
      <x:c r="E851" s="25" t="str">
        <x:v>$3.99</x:v>
      </x:c>
      <x:c r="F851" s="19" t="str">
        <x:v>1</x:v>
      </x:c>
    </x:row>
    <x:row r="852" ht="93" customHeight="1">
      <x:c r="A852" s="19" t="n">
        <x:v>849</x:v>
      </x:c>
      <x:c r="B852" s="22" t="e">
        <x:f>HYPERLINK("https://cdn.shopify.com/s/files/1/0918/6066/4603/files/O1CN01cDFP8q2MQzff9Fgbm__2219089449823-0-cib.jpg?v=1774520821","Open")</x:f>
        <x:v>HYPERLINK is not implemented. linkLocation=https://cdn.shopify.com/s/files/1/0918/6066/4603/files/O1CN01cDFP8q2MQzff9Fgbm__2219089449823-0-cib.jpg?v=1774520821, friendlyName=Open</x:v>
      </x:c>
      <x:c r="C852" s="24" t="e">
        <x:f>HYPERLINK("https://365nails.com/products/ocean-breeze-blue-floral-french-almond-press-on-nail","Ocean Breeze: ""Blue Floral French"" – Almond Press-On Nail")</x:f>
        <x:v>HYPERLINK is not implemented. linkLocation=https://365nails.com/products/ocean-breeze-blue-floral-french-almond-press-on-nail, friendlyName=Ocean Breeze: "Blue Floral French" – Almond Press-On Nail</x:v>
      </x:c>
      <x:c r="D852" s="18" t="str">
        <x:v>Color: D629; Color classification: Xs / S / M / L</x:v>
      </x:c>
      <x:c r="E852" s="25" t="str">
        <x:v>$3.99</x:v>
      </x:c>
      <x:c r="F852" s="19" t="str">
        <x:v>1</x:v>
      </x:c>
    </x:row>
    <x:row r="853" ht="93" customHeight="1">
      <x:c r="A853" s="19" t="n">
        <x:v>850</x:v>
      </x:c>
      <x:c r="B853" s="22" t="e">
        <x:f>HYPERLINK("https://cdn.shopify.com/s/files/1/0918/6066/4603/files/O1CN017fVb6N2MQzg9bmtMR__2219089449823-0-cib.jpg?v=1774520847","Open")</x:f>
        <x:v>HYPERLINK is not implemented. linkLocation=https://cdn.shopify.com/s/files/1/0918/6066/4603/files/O1CN017fVb6N2MQzg9bmtMR__2219089449823-0-cib.jpg?v=1774520847, friendlyName=Open</x:v>
      </x:c>
      <x:c r="C853" s="24" t="e">
        <x:f>HYPERLINK("https://365nails.com/products/cherry-berry-strawberry-floral-square-press-on-nails","Cherry Berry: ""Strawberry &amp; Floral"" – Square Press-On Nails")</x:f>
        <x:v>HYPERLINK is not implemented. linkLocation=https://365nails.com/products/cherry-berry-strawberry-floral-square-press-on-nails, friendlyName=Cherry Berry: "Strawberry &amp; Floral" – Square Press-On Nails</x:v>
      </x:c>
      <x:c r="D853" s="18" t="str">
        <x:v>Color: D639; Color classification: Xs / S / M / L</x:v>
      </x:c>
      <x:c r="E853" s="25" t="str">
        <x:v>$3.99</x:v>
      </x:c>
      <x:c r="F853" s="19" t="str">
        <x:v>1</x:v>
      </x:c>
    </x:row>
    <x:row r="854" ht="93" customHeight="1">
      <x:c r="A854" s="19" t="n">
        <x:v>851</x:v>
      </x:c>
      <x:c r="B854" s="22" t="e">
        <x:f>HYPERLINK("https://cdn.shopify.com/s/files/1/0918/6066/4603/files/O1CN01JgD3vz2MQze4W1JVJ__2219089449823-0-cib.jpg?v=1774520986","Open")</x:f>
        <x:v>HYPERLINK is not implemented. linkLocation=https://cdn.shopify.com/s/files/1/0918/6066/4603/files/O1CN01JgD3vz2MQze4W1JVJ__2219089449823-0-cib.jpg?v=1774520986, friendlyName=Open</x:v>
      </x:c>
      <x:c r="C854" s="24" t="e">
        <x:f>HYPERLINK("https://365nails.com/products/mermaid-shell-floral-pink-pearl-almond-press-on-nails","Mermaid Shell Floral: ""Pink &amp; Pearl"" – Almond Press-On Nails")</x:f>
        <x:v>HYPERLINK is not implemented. linkLocation=https://365nails.com/products/mermaid-shell-floral-pink-pearl-almond-press-on-nails, friendlyName=Mermaid Shell Floral: "Pink &amp; Pearl" – Almond Press-On Nails</x:v>
      </x:c>
      <x:c r="D854" s="18" t="str">
        <x:v>Color: D527; Color classification: Xs / S / M / L</x:v>
      </x:c>
      <x:c r="E854" s="25" t="str">
        <x:v>$4.99</x:v>
      </x:c>
      <x:c r="F854" s="19" t="str">
        <x:v>1</x:v>
      </x:c>
    </x:row>
    <x:row r="855" ht="93" customHeight="1">
      <x:c r="A855" s="19" t="n">
        <x:v>852</x:v>
      </x:c>
      <x:c r="B855" s="22" t="e">
        <x:f>HYPERLINK("https://cdn.shopify.com/s/files/1/0918/6066/4603/files/O1CN01E9P39Y2MQzeuhhX9R__2219089449823-0-cib.jpg?v=1774452846","Open")</x:f>
        <x:v>HYPERLINK is not implemented. linkLocation=https://cdn.shopify.com/s/files/1/0918/6066/4603/files/O1CN01E9P39Y2MQzeuhhX9R__2219089449823-0-cib.jpg?v=1774452846, friendlyName=Open</x:v>
      </x:c>
      <x:c r="C855" s="24" t="e">
        <x:f>HYPERLINK("https://365nails.com/products/noir-pink-midnight-cherry-long-almond-handmade-press-on-nails","Noir Pink: ""Midnight Cherry"" – Long Almond Handmade Press-On Nails")</x:f>
        <x:v>HYPERLINK is not implemented. linkLocation=https://365nails.com/products/noir-pink-midnight-cherry-long-almond-handmade-press-on-nails, friendlyName=Noir Pink: "Midnight Cherry" – Long Almond Handmade Press-On Nails</x:v>
      </x:c>
      <x:c r="D855" s="18" t="str">
        <x:v>Color: D587; Color classification: X s / S / M / L</x:v>
      </x:c>
      <x:c r="E855" s="25" t="str">
        <x:v>$3.49</x:v>
      </x:c>
      <x:c r="F855" s="19" t="str">
        <x:v>1</x:v>
      </x:c>
    </x:row>
    <x:row r="856" ht="93" customHeight="1">
      <x:c r="A856" s="19" t="n">
        <x:v>853</x:v>
      </x:c>
      <x:c r="B856" s="22" t="e">
        <x:f>HYPERLINK("https://cdn.shopify.com/s/files/1/0918/6066/4603/files/O1CN01i3lCS12MQzdvpW87Z__2219089449823-0-cib.jpg?v=1774579103","Open")</x:f>
        <x:v>HYPERLINK is not implemented. linkLocation=https://cdn.shopify.com/s/files/1/0918/6066/4603/files/O1CN01i3lCS12MQzdvpW87Z__2219089449823-0-cib.jpg?v=1774579103, friendlyName=Open</x:v>
      </x:c>
      <x:c r="C856" s="24" t="e">
        <x:f>HYPERLINK("https://365nails.com/products/glitz-rebel-cowgirl-bling-square-press-on-nails","Glitz Rebel: ""Cowgirl Bling"" – Square Press-On Nails")</x:f>
        <x:v>HYPERLINK is not implemented. linkLocation=https://365nails.com/products/glitz-rebel-cowgirl-bling-square-press-on-nails, friendlyName=Glitz Rebel: "Cowgirl Bling" – Square Press-On Nails</x:v>
      </x:c>
      <x:c r="D856" s="18" t="str">
        <x:v>Color: L 260; Color classification: Xs / S / M / L</x:v>
      </x:c>
      <x:c r="E856" s="25" t="str">
        <x:v>$3.49</x:v>
      </x:c>
      <x:c r="F856" s="19" t="str">
        <x:v>1</x:v>
      </x:c>
    </x:row>
    <x:row r="857" ht="93" customHeight="1">
      <x:c r="A857" s="19" t="n">
        <x:v>854</x:v>
      </x:c>
      <x:c r="B857" s="22" t="e">
        <x:f>HYPERLINK("https://cdn.shopify.com/s/files/1/0918/6066/4603/files/O1CN01OqACrn1oiDauWfADM__6000000005258-0-cib_7bb1a0d8-987e-4f2f-8335-cc50b4bd5c5c.jpg?v=1774579079","Open")</x:f>
        <x:v>HYPERLINK is not implemented. linkLocation=https://cdn.shopify.com/s/files/1/0918/6066/4603/files/O1CN01OqACrn1oiDauWfADM__6000000005258-0-cib_7bb1a0d8-987e-4f2f-8335-cc50b4bd5c5c.jpg?v=1774579079, friendlyName=Open</x:v>
      </x:c>
      <x:c r="C857" s="24" t="e">
        <x:f>HYPERLINK("https://365nails.com/products/blueberry-breeze-azure-berry-bloom-almond-press-on-nails-1","Blueberry Breeze: ""Azure Berry Bloom"" – Almond Press-On Nails")</x:f>
        <x:v>HYPERLINK is not implemented. linkLocation=https://365nails.com/products/blueberry-breeze-azure-berry-bloom-almond-press-on-nails-1, friendlyName=Blueberry Breeze: "Azure Berry Bloom" – Almond Press-On Nails</x:v>
      </x:c>
      <x:c r="D857" s="18" t="str">
        <x:v>Color: D478; Color classification: Xs / S / M / L</x:v>
      </x:c>
      <x:c r="E857" s="25" t="str">
        <x:v>$3.49</x:v>
      </x:c>
      <x:c r="F857" s="19" t="str">
        <x:v>1</x:v>
      </x:c>
    </x:row>
    <x:row r="858" ht="93" customHeight="1">
      <x:c r="A858" s="19" t="n">
        <x:v>855</x:v>
      </x:c>
      <x:c r="B858" s="22" t="e">
        <x:f>HYPERLINK("https://cdn.shopify.com/s/files/1/0918/6066/4603/files/O1CN0133I4Pa2MQzdAOFj4c__2219089449823-0-cib.jpg?v=1774521108","Open")</x:f>
        <x:v>HYPERLINK is not implemented. linkLocation=https://cdn.shopify.com/s/files/1/0918/6066/4603/files/O1CN0133I4Pa2MQzdAOFj4c__2219089449823-0-cib.jpg?v=1774521108, friendlyName=Open</x:v>
      </x:c>
      <x:c r="C858" s="24" t="e">
        <x:f>HYPERLINK("https://365nails.com/products/tropical-bloom-stargazer-lily-splash-long-almond-press-on-nails","Tropical Bloom: ""Stargazer Lily Splash"" – Long Almond Press-On Nails")</x:f>
        <x:v>HYPERLINK is not implemented. linkLocation=https://365nails.com/products/tropical-bloom-stargazer-lily-splash-long-almond-press-on-nails, friendlyName=Tropical Bloom: "Stargazer Lily Splash" – Long Almond Press-On Nails</x:v>
      </x:c>
      <x:c r="D858" s="18" t="str">
        <x:v>Color: M115; Color classification: Xs / S / M / L</x:v>
      </x:c>
      <x:c r="E858" s="25" t="str">
        <x:v>$3.49</x:v>
      </x:c>
      <x:c r="F858" s="19" t="str">
        <x:v>1</x:v>
      </x:c>
    </x:row>
    <x:row r="859" ht="93" customHeight="1">
      <x:c r="A859" s="19" t="n">
        <x:v>856</x:v>
      </x:c>
      <x:c r="B859" s="22" t="e">
        <x:f>HYPERLINK("https://cdn.shopify.com/s/files/1/0918/6066/4603/files/O1CN01c3hVoC2MQzfnRRq7E__2219089449823-0-cib.jpg?v=1774521028","Open")</x:f>
        <x:v>HYPERLINK is not implemented. linkLocation=https://cdn.shopify.com/s/files/1/0918/6066/4603/files/O1CN01c3hVoC2MQzfnRRq7E__2219089449823-0-cib.jpg?v=1774521028, friendlyName=Open</x:v>
      </x:c>
      <x:c r="C859" s="24" t="e">
        <x:f>HYPERLINK("https://365nails.com/products/ballet-dream-ballet-slipper-almond-shape-press-on-nails","Ballet Dream: ""Ballet Slipper"" – Almond Shape Press-On Nails")</x:f>
        <x:v>HYPERLINK is not implemented. linkLocation=https://365nails.com/products/ballet-dream-ballet-slipper-almond-shape-press-on-nails, friendlyName=Ballet Dream: "Ballet Slipper" – Almond Shape Press-On Nails</x:v>
      </x:c>
      <x:c r="D859" s="18" t="str">
        <x:v>Color: C389; Color classification: Xs / S / M / L</x:v>
      </x:c>
      <x:c r="E859" s="25" t="str">
        <x:v>$3.49</x:v>
      </x:c>
      <x:c r="F859" s="19" t="str">
        <x:v>1</x:v>
      </x:c>
    </x:row>
    <x:row r="860" ht="93" customHeight="1">
      <x:c r="A860" s="19" t="n">
        <x:v>857</x:v>
      </x:c>
      <x:c r="B860" s="22" t="e">
        <x:f>HYPERLINK("https://cdn.shopify.com/s/files/1/0918/6066/4603/files/O1CN014KeuIt2MQzeh3lxbr__2219089449823-0-cib.jpg?v=1774520972","Open")</x:f>
        <x:v>HYPERLINK is not implemented. linkLocation=https://cdn.shopify.com/s/files/1/0918/6066/4603/files/O1CN014KeuIt2MQzeh3lxbr__2219089449823-0-cib.jpg?v=1774520972, friendlyName=Open</x:v>
      </x:c>
      <x:c r="C860" s="24" t="e">
        <x:f>HYPERLINK("https://365nails.com/products/tropical-starfish-pink-floral-almond-press-on-nails","Tropical Starfish: ""Pink Floral"" – Almond Press-On Nails")</x:f>
        <x:v>HYPERLINK is not implemented. linkLocation=https://365nails.com/products/tropical-starfish-pink-floral-almond-press-on-nails, friendlyName=Tropical Starfish: "Pink Floral" – Almond Press-On Nails</x:v>
      </x:c>
      <x:c r="D860" s="18" t="str">
        <x:v>Color: D574; Color classification: Xs / S / M / L</x:v>
      </x:c>
      <x:c r="E860" s="25" t="str">
        <x:v>$3.49</x:v>
      </x:c>
      <x:c r="F860" s="19" t="str">
        <x:v>1</x:v>
      </x:c>
    </x:row>
    <x:row r="861" ht="93" customHeight="1">
      <x:c r="A861" s="19" t="n">
        <x:v>858</x:v>
      </x:c>
      <x:c r="B861" s="22" t="e">
        <x:f>HYPERLINK("https://cdn.shopify.com/s/files/1/0918/6066/4603/files/O1CN01qM2ywU2MQzeWqdXo2__2219089449823-0-cib.jpg?v=1774579132","Open")</x:f>
        <x:v>HYPERLINK is not implemented. linkLocation=https://cdn.shopify.com/s/files/1/0918/6066/4603/files/O1CN01qM2ywU2MQzeWqdXo2__2219089449823-0-cib.jpg?v=1774579132, friendlyName=Open</x:v>
      </x:c>
      <x:c r="C861" s="24" t="e">
        <x:f>HYPERLINK("https://365nails.com/products/classic-charm-polka-dot-daisy-almond-press-on-nails","Classic Charm: ""Polka Dot Daisy"" – Almond Press-On Nails")</x:f>
        <x:v>HYPERLINK is not implemented. linkLocation=https://365nails.com/products/classic-charm-polka-dot-daisy-almond-press-on-nails, friendlyName=Classic Charm: "Polka Dot Daisy" – Almond Press-On Nails</x:v>
      </x:c>
      <x:c r="D861" s="18" t="str">
        <x:v>Color: D557; Color classification: Xs / S / M / L</x:v>
      </x:c>
      <x:c r="E861" s="25" t="str">
        <x:v>$3.49</x:v>
      </x:c>
      <x:c r="F861" s="19" t="str">
        <x:v>1</x:v>
      </x:c>
    </x:row>
    <x:row r="862" ht="93" customHeight="1">
      <x:c r="A862" s="19" t="n">
        <x:v>859</x:v>
      </x:c>
      <x:c r="B862" s="22" t="e">
        <x:f>HYPERLINK("https://cdn.shopify.com/s/files/1/0918/6066/4603/files/O1CN01tRXQn42MQzdQe5LCO__2219089449823-0-cib.jpg?v=1774579091","Open")</x:f>
        <x:v>HYPERLINK is not implemented. linkLocation=https://cdn.shopify.com/s/files/1/0918/6066/4603/files/O1CN01tRXQn42MQzdQe5LCO__2219089449823-0-cib.jpg?v=1774579091, friendlyName=Open</x:v>
      </x:c>
      <x:c r="C862" s="24" t="e">
        <x:f>HYPERLINK("https://365nails.com/products/coastal-tide-seashell-starfish-serenade-almond-press-on-nails","Coastal Tide: ""Seashell Starfish Serenade"" – Almond Press-On Nails")</x:f>
        <x:v>HYPERLINK is not implemented. linkLocation=https://365nails.com/products/coastal-tide-seashell-starfish-serenade-almond-press-on-nails, friendlyName=Coastal Tide: "Seashell Starfish Serenade" – Almond Press-On Nails</x:v>
      </x:c>
      <x:c r="D862" s="18" t="str">
        <x:v>Color: D488; Color classification: Xs / S / M / L</x:v>
      </x:c>
      <x:c r="E862" s="25" t="str">
        <x:v>$3.49</x:v>
      </x:c>
      <x:c r="F862" s="19" t="str">
        <x:v>1</x:v>
      </x:c>
    </x:row>
    <x:row r="863" ht="93" customHeight="1">
      <x:c r="A863" s="19" t="n">
        <x:v>860</x:v>
      </x:c>
      <x:c r="B863" s="22" t="e">
        <x:f>HYPERLINK("https://cdn.shopify.com/s/files/1/0918/6066/4603/files/O1CN01ScQ5ET2MQzczN5u8A__2219089449823-0-cib.jpg?v=1774521077","Open")</x:f>
        <x:v>HYPERLINK is not implemented. linkLocation=https://cdn.shopify.com/s/files/1/0918/6066/4603/files/O1CN01ScQ5ET2MQzczN5u8A__2219089449823-0-cib.jpg?v=1774521077, friendlyName=Open</x:v>
      </x:c>
      <x:c r="C863" s="24" t="e">
        <x:f>HYPERLINK("https://365nails.com/products/floral-whisper-blush-lily-dream-medium-square-cat-eye-press-on-nails","Floral Whisper: ""Blush Lily Dream"" – Medium Square Cat Eye Press-On Nails")</x:f>
        <x:v>HYPERLINK is not implemented. linkLocation=https://365nails.com/products/floral-whisper-blush-lily-dream-medium-square-cat-eye-press-on-nails, friendlyName=Floral Whisper: "Blush Lily Dream" – Medium Square Cat Eye Press-On Nails</x:v>
      </x:c>
      <x:c r="D863" s="18" t="str">
        <x:v>Color: C49 garden dream short ladder / C49 garden dream - short almond; Color classification: Xs / S / M / L</x:v>
      </x:c>
      <x:c r="E863" s="25" t="str">
        <x:v>$3.49</x:v>
      </x:c>
      <x:c r="F863" s="19" t="str">
        <x:v>1</x:v>
      </x:c>
    </x:row>
    <x:row r="864" ht="93" customHeight="1">
      <x:c r="A864" s="19" t="n">
        <x:v>861</x:v>
      </x:c>
      <x:c r="B864" s="22" t="e">
        <x:f>HYPERLINK("https://cdn.shopify.com/s/files/1/0918/6066/4603/files/O1CN01oqUZCx2MQzfbanU9J__2219089449823-0-cib.jpg?v=1774521067","Open")</x:f>
        <x:v>HYPERLINK is not implemented. linkLocation=https://cdn.shopify.com/s/files/1/0918/6066/4603/files/O1CN01oqUZCx2MQzfbanU9J__2219089449823-0-cib.jpg?v=1774521067, friendlyName=Open</x:v>
      </x:c>
      <x:c r="C864" s="24" t="e">
        <x:f>HYPERLINK("https://365nails.com/products/sakura-love-pink-blossom-heart-almond-shape-press-on-nails","Sakura Love: ""Pink Blossom Heart"" – Almond Shape Press-On Nails")</x:f>
        <x:v>HYPERLINK is not implemented. linkLocation=https://365nails.com/products/sakura-love-pink-blossom-heart-almond-shape-press-on-nails, friendlyName=Sakura Love: "Pink Blossom Heart" – Almond Shape Press-On Nails</x:v>
      </x:c>
      <x:c r="D864" s="18" t="str">
        <x:v>Color: D622; Color classification: Xs / S / M / L</x:v>
      </x:c>
      <x:c r="E864" s="25" t="str">
        <x:v>$3.49</x:v>
      </x:c>
      <x:c r="F864" s="19" t="str">
        <x:v>1</x:v>
      </x:c>
    </x:row>
    <x:row r="865" ht="93" customHeight="1">
      <x:c r="A865" s="19" t="n">
        <x:v>862</x:v>
      </x:c>
      <x:c r="B865" s="22" t="e">
        <x:f>HYPERLINK("https://cdn.shopify.com/s/files/1/0918/6066/4603/files/O1CN014G9bEA2MQzfpvWE2F__2219089449823-0-cib.jpg?v=1774521045","Open")</x:f>
        <x:v>HYPERLINK is not implemented. linkLocation=https://cdn.shopify.com/s/files/1/0918/6066/4603/files/O1CN014G9bEA2MQzfpvWE2F__2219089449823-0-cib.jpg?v=1774521045, friendlyName=Open</x:v>
      </x:c>
      <x:c r="C865" s="24" t="e">
        <x:f>HYPERLINK("https://365nails.com/products/barbie-glam-pink-heart-bling-long-stiletto-press-on-nails","Barbie Glam: ""Pink Heart Bling"" – Long Stiletto Press-On Nails")</x:f>
        <x:v>HYPERLINK is not implemented. linkLocation=https://365nails.com/products/barbie-glam-pink-heart-bling-long-stiletto-press-on-nails, friendlyName=Barbie Glam: "Pink Heart Bling" – Long Stiletto Press-On Nails</x:v>
      </x:c>
      <x:c r="D865" s="18" t="str">
        <x:v>Color: L002; Color classification: Xs / S / M / L</x:v>
      </x:c>
      <x:c r="E865" s="25" t="str">
        <x:v>$3.49</x:v>
      </x:c>
      <x:c r="F865" s="19" t="str">
        <x:v>1</x:v>
      </x:c>
    </x:row>
    <x:row r="866" ht="93" customHeight="1">
      <x:c r="A866" s="19" t="n">
        <x:v>863</x:v>
      </x:c>
      <x:c r="B866" s="22" t="e">
        <x:f>HYPERLINK("https://cdn.shopify.com/s/files/1/0918/6066/4603/files/O1CN01fKYHlz2MQzfkSIapo__2219089449823-0-cib.jpg?v=1774521012","Open")</x:f>
        <x:v>HYPERLINK is not implemented. linkLocation=https://cdn.shopify.com/s/files/1/0918/6066/4603/files/O1CN01fKYHlz2MQzfkSIapo__2219089449823-0-cib.jpg?v=1774521012, friendlyName=Open</x:v>
      </x:c>
      <x:c r="C866" s="24" t="e">
        <x:f>HYPERLINK("https://365nails.com/products/autumn-bloom-crimson-petal-square-press-on-nails","Autumn Bloom: ""Crimson Petal"" – Square Press-On Nails")</x:f>
        <x:v>HYPERLINK is not implemented. linkLocation=https://365nails.com/products/autumn-bloom-crimson-petal-square-press-on-nails, friendlyName=Autumn Bloom: "Crimson Petal" – Square Press-On Nails</x:v>
      </x:c>
      <x:c r="D866" s="18" t="str">
        <x:v>Color: D64; Color classification: Xs / S / M / L</x:v>
      </x:c>
      <x:c r="E866" s="25" t="str">
        <x:v>$3.49</x:v>
      </x:c>
      <x:c r="F866" s="19" t="str">
        <x:v>1</x:v>
      </x:c>
    </x:row>
    <x:row r="867" ht="93" customHeight="1">
      <x:c r="A867" s="19" t="n">
        <x:v>864</x:v>
      </x:c>
      <x:c r="B867" s="22" t="e">
        <x:f>HYPERLINK("https://cdn.shopify.com/s/files/1/0918/6066/4603/files/O1CN01o8SLpt2MQzf7JvOOl__2219089449823-0-cib.jpg?v=1774452891","Open")</x:f>
        <x:v>HYPERLINK is not implemented. linkLocation=https://cdn.shopify.com/s/files/1/0918/6066/4603/files/O1CN01o8SLpt2MQzf7JvOOl__2219089449823-0-cib.jpg?v=1774452891, friendlyName=Open</x:v>
      </x:c>
      <x:c r="C867" s="24" t="e">
        <x:f>HYPERLINK("https://365nails.com/products/elegant-bloom-blush-cherry-french-almond-shape-handmade-press-ons","Elegant Bloom: ""Blush Cherry French"" – Almond Shape Handmade Press-Ons")</x:f>
        <x:v>HYPERLINK is not implemented. linkLocation=https://365nails.com/products/elegant-bloom-blush-cherry-french-almond-shape-handmade-press-ons, friendlyName=Elegant Bloom: "Blush Cherry French" – Almond Shape Handmade Press-Ons</x:v>
      </x:c>
      <x:c r="D867" s="18" t="str">
        <x:v>Color: D591; Color classification: X s / S / M / L</x:v>
      </x:c>
      <x:c r="E867" s="25" t="str">
        <x:v>$3.49</x:v>
      </x:c>
      <x:c r="F867" s="19" t="str">
        <x:v>1</x:v>
      </x:c>
    </x:row>
    <x:row r="868" ht="93" customHeight="1">
      <x:c r="A868" s="19" t="n">
        <x:v>865</x:v>
      </x:c>
      <x:c r="B868" s="22" t="e">
        <x:f>HYPERLINK("https://cdn.shopify.com/s/files/1/0918/6066/4603/files/O1CN01BdCHdz2MQze3F33bX__2219089449823-0-cib.jpg?v=1774579116","Open")</x:f>
        <x:v>HYPERLINK is not implemented. linkLocation=https://cdn.shopify.com/s/files/1/0918/6066/4603/files/O1CN01BdCHdz2MQze3F33bX__2219089449823-0-cib.jpg?v=1774579116, friendlyName=Open</x:v>
      </x:c>
      <x:c r="C868" s="24" t="e">
        <x:f>HYPERLINK("https://365nails.com/products/tropical-bloom-beachside-floral-escape-almond-press-on-nails","Tropical Bloom: ""Beachside Floral Escape"" – Almond Press-On Nails")</x:f>
        <x:v>HYPERLINK is not implemented. linkLocation=https://365nails.com/products/tropical-bloom-beachside-floral-escape-almond-press-on-nails, friendlyName=Tropical Bloom: "Beachside Floral Escape" – Almond Press-On Nails</x:v>
      </x:c>
      <x:c r="D868" s="18" t="str">
        <x:v>Color: D534; Color classification: Xs / S / M / L</x:v>
      </x:c>
      <x:c r="E868" s="25" t="str">
        <x:v>$3.49</x:v>
      </x:c>
      <x:c r="F868" s="19" t="str">
        <x:v>1</x:v>
      </x:c>
    </x:row>
    <x:row r="869" ht="93" customHeight="1">
      <x:c r="A869" s="19" t="n">
        <x:v>866</x:v>
      </x:c>
      <x:c r="B869" s="22" t="e">
        <x:f>HYPERLINK("https://cdn.shopify.com/s/files/1/0918/6066/4603/files/O1CN019sjIM42MQzfpozN8r__2219089449823-0-cib.jpg?v=1774521033","Open")</x:f>
        <x:v>HYPERLINK is not implemented. linkLocation=https://cdn.shopify.com/s/files/1/0918/6066/4603/files/O1CN019sjIM42MQzfpozN8r__2219089449823-0-cib.jpg?v=1774521033, friendlyName=Open</x:v>
      </x:c>
      <x:c r="C869" s="24" t="e">
        <x:f>HYPERLINK("https://365nails.com/products/orange-blossom-peach-bloom-almond-shape-press-on-nails","Orange Blossom: ""Peach Bloom"" – Almond Shape Press-On Nails")</x:f>
        <x:v>HYPERLINK is not implemented. linkLocation=https://365nails.com/products/orange-blossom-peach-bloom-almond-shape-press-on-nails, friendlyName=Orange Blossom: "Peach Bloom" – Almond Shape Press-On Nails</x:v>
      </x:c>
      <x:c r="D869" s="18" t="str">
        <x:v>Color: D255; Color classification: Xs / S / M / L</x:v>
      </x:c>
      <x:c r="E869" s="25" t="str">
        <x:v>$3.49</x:v>
      </x:c>
      <x:c r="F869" s="19" t="str">
        <x:v>1</x:v>
      </x:c>
    </x:row>
    <x:row r="870" ht="93" customHeight="1">
      <x:c r="A870" s="19" t="n">
        <x:v>867</x:v>
      </x:c>
      <x:c r="B870" s="22" t="e">
        <x:f>HYPERLINK("https://cdn.shopify.com/s/files/1/0918/6066/4603/files/O1CN01uS1Vw12MQzfLo7LYX__2219089449823-0-cib.jpg?v=1774520990","Open")</x:f>
        <x:v>HYPERLINK is not implemented. linkLocation=https://cdn.shopify.com/s/files/1/0918/6066/4603/files/O1CN01uS1Vw12MQzfLo7LYX__2219089449823-0-cib.jpg?v=1774520990, friendlyName=Open</x:v>
      </x:c>
      <x:c r="C870" s="24" t="e">
        <x:f>HYPERLINK("https://365nails.com/products/dark-wild-purple-serpent-short-square-edgy-press-on-nails","Dark Wild: ""Purple Serpent"" – Short Square Edgy Press-On Nails")</x:f>
        <x:v>HYPERLINK is not implemented. linkLocation=https://365nails.com/products/dark-wild-purple-serpent-short-square-edgy-press-on-nails, friendlyName=Dark Wild: "Purple Serpent" – Short Square Edgy Press-On Nails</x:v>
      </x:c>
      <x:c r="D870" s="18" t="str">
        <x:v>Color: 192; Color classification: Xs / S / M / L</x:v>
      </x:c>
      <x:c r="E870" s="25" t="str">
        <x:v>$4.99</x:v>
      </x:c>
      <x:c r="F870" s="19" t="str">
        <x:v>1</x:v>
      </x:c>
    </x:row>
    <x:row r="871" ht="93" customHeight="1">
      <x:c r="A871" s="19" t="n">
        <x:v>868</x:v>
      </x:c>
      <x:c r="B871" s="22" t="e">
        <x:f>HYPERLINK("https://cdn.shopify.com/s/files/1/0918/6066/4603/files/O1CN01HEfvRB2MQzf4GzJMA__2219089449823-0-cib.jpg?v=1774452886","Open")</x:f>
        <x:v>HYPERLINK is not implemented. linkLocation=https://cdn.shopify.com/s/files/1/0918/6066/4603/files/O1CN01HEfvRB2MQzf4GzJMA__2219089449823-0-cib.jpg?v=1774452886, friendlyName=Open</x:v>
      </x:c>
      <x:c r="C871" s="24" t="e">
        <x:f>HYPERLINK("https://365nails.com/products/pop-art-bloom-polka-dot-floral-pop-almond-shape-handmade-press-ons","Pop Art Bloom: ""Polka Dot Floral Pop"" – Almond Shape Handmade Press-Ons")</x:f>
        <x:v>HYPERLINK is not implemented. linkLocation=https://365nails.com/products/pop-art-bloom-polka-dot-floral-pop-almond-shape-handmade-press-ons, friendlyName=Pop Art Bloom: "Polka Dot Floral Pop" – Almond Shape Handmade Press-Ons</x:v>
      </x:c>
      <x:c r="D871" s="18" t="str">
        <x:v>Color: D603; Color classification: X s / S / M / L</x:v>
      </x:c>
      <x:c r="E871" s="25" t="str">
        <x:v>$3.49</x:v>
      </x:c>
      <x:c r="F871" s="19" t="str">
        <x:v>1</x:v>
      </x:c>
    </x:row>
    <x:row r="872" ht="93" customHeight="1">
      <x:c r="A872" s="19" t="n">
        <x:v>869</x:v>
      </x:c>
      <x:c r="B872" s="22" t="e">
        <x:f>HYPERLINK("https://cdn.shopify.com/s/files/1/0918/6066/4603/files/O1CN01r0q1X32MQzf5r7724__2219089449823-0-cib.jpg?v=1774452872","Open")</x:f>
        <x:v>HYPERLINK is not implemented. linkLocation=https://cdn.shopify.com/s/files/1/0918/6066/4603/files/O1CN01r0q1X32MQzf5r7724__2219089449823-0-cib.jpg?v=1774452872, friendlyName=Open</x:v>
      </x:c>
      <x:c r="C872" s="24" t="e">
        <x:f>HYPERLINK("https://365nails.com/products/bridal-elegance-white-bow-crystal-short-square-handmade-press-ons","Bridal Elegance: ""White Bow Crystal"" – Short Square Handmade Press-Ons")</x:f>
        <x:v>HYPERLINK is not implemented. linkLocation=https://365nails.com/products/bridal-elegance-white-bow-crystal-short-square-handmade-press-ons, friendlyName=Bridal Elegance: "White Bow Crystal" – Short Square Handmade Press-Ons</x:v>
      </x:c>
      <x:c r="D872" s="18" t="str">
        <x:v>Color: L 226; Color classification: X s / S / M / L</x:v>
      </x:c>
      <x:c r="E872" s="25" t="str">
        <x:v>$3.49</x:v>
      </x:c>
      <x:c r="F872" s="19" t="str">
        <x:v>1</x:v>
      </x:c>
    </x:row>
    <x:row r="873" ht="93" customHeight="1">
      <x:c r="A873" s="19" t="n">
        <x:v>870</x:v>
      </x:c>
      <x:c r="B873" s="22" t="e">
        <x:f>HYPERLINK("https://cdn.shopify.com/s/files/1/0918/6066/4603/files/O1CN01sjrWiA2MQzeSroCF5__2219089449823-0-cib.jpg?v=1774453064","Open")</x:f>
        <x:v>HYPERLINK is not implemented. linkLocation=https://cdn.shopify.com/s/files/1/0918/6066/4603/files/O1CN01sjrWiA2MQzeSroCF5__2219089449823-0-cib.jpg?v=1774453064, friendlyName=Open</x:v>
      </x:c>
      <x:c r="C873" s="24" t="e">
        <x:f>HYPERLINK("https://365nails.com/products/bridal-grace-lace-bloom-medium-almond-handmade-press-on-nails","Bridal Grace: ""Lace Bloom"" – Medium Almond Handmade Press On Nails")</x:f>
        <x:v>HYPERLINK is not implemented. linkLocation=https://365nails.com/products/bridal-grace-lace-bloom-medium-almond-handmade-press-on-nails, friendlyName=Bridal Grace: "Lace Bloom" – Medium Almond Handmade Press On Nails</x:v>
      </x:c>
      <x:c r="D873" s="18" t="str">
        <x:v>Color: D540; Color classification: X s / S / M / L</x:v>
      </x:c>
      <x:c r="E873" s="25" t="str">
        <x:v>$3.49</x:v>
      </x:c>
      <x:c r="F873" s="19" t="str">
        <x:v>1</x:v>
      </x:c>
    </x:row>
    <x:row r="874" ht="93" customHeight="1">
      <x:c r="A874" s="19" t="n">
        <x:v>871</x:v>
      </x:c>
      <x:c r="B874" s="22" t="e">
        <x:f>HYPERLINK("https://cdn.shopify.com/s/files/1/0918/6066/4603/files/O1CN01aEb52u2MQzfiUMaTR__2219089449823-0-cib.jpg?v=1774452986","Open")</x:f>
        <x:v>HYPERLINK is not implemented. linkLocation=https://cdn.shopify.com/s/files/1/0918/6066/4603/files/O1CN01aEb52u2MQzfiUMaTR__2219089449823-0-cib.jpg?v=1774452986, friendlyName=Open</x:v>
      </x:c>
      <x:c r="C874" s="24" t="e">
        <x:f>HYPERLINK("https://365nails.com/products/minimalist-bloom-daisy-whisper-short-square-handmade-press-on-nails","Minimalist Bloom: ""Daisy Whisper"" – Short Square Handmade Press On Nails")</x:f>
        <x:v>HYPERLINK is not implemented. linkLocation=https://365nails.com/products/minimalist-bloom-daisy-whisper-short-square-handmade-press-on-nails, friendlyName=Minimalist Bloom: "Daisy Whisper" – Short Square Handmade Press On Nails</x:v>
      </x:c>
      <x:c r="D874" s="18" t="str">
        <x:v>Color: L247; Color classification: X s / S / M / L</x:v>
      </x:c>
      <x:c r="E874" s="25" t="str">
        <x:v>$4.99</x:v>
      </x:c>
      <x:c r="F874" s="19" t="str">
        <x:v>1</x:v>
      </x:c>
    </x:row>
    <x:row r="875" ht="93" customHeight="1">
      <x:c r="A875" s="19" t="n">
        <x:v>872</x:v>
      </x:c>
      <x:c r="B875" s="22" t="e">
        <x:f>HYPERLINK("https://cdn.shopify.com/s/files/1/0918/6066/4603/files/O1CN01evKYzE1CPwQIpqmck__2213196780074-0-cib_93809809-0654-4998-b467-29ed1628242b.jpg?v=1774601734","Open")</x:f>
        <x:v>HYPERLINK is not implemented. linkLocation=https://cdn.shopify.com/s/files/1/0918/6066/4603/files/O1CN01evKYzE1CPwQIpqmck__2213196780074-0-cib_93809809-0654-4998-b467-29ed1628242b.jpg?v=1774601734, friendlyName=Open</x:v>
      </x:c>
      <x:c r="C875" s="24" t="e">
        <x:f>HYPERLINK("https://365nails.com/products/365nails-lions-heart-golden-cat-eye-3d-lion-dance-square-nails","365nails: ""Lion's Heart"" – Golden Cat Eye &amp; 3D Lion Dance Square Nails")</x:f>
        <x:v>HYPERLINK is not implemented. linkLocation=https://365nails.com/products/365nails-lions-heart-golden-cat-eye-3d-lion-dance-square-nails, friendlyName=365nails: "Lion's Heart" – Golden Cat Eye &amp; 3D Lion Dance Square Nails</x:v>
      </x:c>
      <x:c r="D875" s="18" t="str">
        <x:v>Color: 3441-short ladder / 3443-middle ladder / 3445-short oval / 3447-long oval; Color classification: Extra small xs / Small s / Medium m / Large l</x:v>
      </x:c>
      <x:c r="E875" s="25" t="str">
        <x:v>$3.49</x:v>
      </x:c>
      <x:c r="F875" s="19" t="str">
        <x:v>1</x:v>
      </x:c>
    </x:row>
    <x:row r="876" ht="93" customHeight="1">
      <x:c r="A876" s="19" t="n">
        <x:v>873</x:v>
      </x:c>
      <x:c r="B876" s="22" t="e">
        <x:f>HYPERLINK("https://cdn.shopify.com/s/files/1/0918/6066/4603/files/O1CN01xzxPKE2MQzeZ8G0YN__2219089449823-0-cib.jpg?v=1774579411","Open")</x:f>
        <x:v>HYPERLINK is not implemented. linkLocation=https://cdn.shopify.com/s/files/1/0918/6066/4603/files/O1CN01xzxPKE2MQzeZ8G0YN__2219089449823-0-cib.jpg?v=1774579411, friendlyName=Open</x:v>
      </x:c>
      <x:c r="C876" s="24" t="e">
        <x:f>HYPERLINK("https://365nails.com/products/pink-leopard-floral-sweet-edgy-almond-press-on-nails","Blush Leopard: ""Pink Bloom"" – Medium Almond Handmade Press On Nails")</x:f>
        <x:v>HYPERLINK is not implemented. linkLocation=https://365nails.com/products/pink-leopard-floral-sweet-edgy-almond-press-on-nails, friendlyName=Blush Leopard: "Pink Bloom" – Medium Almond Handmade Press On Nails</x:v>
      </x:c>
      <x:c r="D876" s="18" t="str">
        <x:v>Color: D560; Color classification: X s / S / M / L</x:v>
      </x:c>
      <x:c r="E876" s="25" t="str">
        <x:v>$3.49</x:v>
      </x:c>
      <x:c r="F876" s="19" t="str">
        <x:v>1</x:v>
      </x:c>
    </x:row>
    <x:row r="877" ht="93" customHeight="1">
      <x:c r="A877" s="19" t="n">
        <x:v>874</x:v>
      </x:c>
      <x:c r="B877" s="22" t="e">
        <x:f>HYPERLINK("https://cdn.shopify.com/s/files/1/0918/6066/4603/files/O1CN01OS8Dgt2MQzeaOCHam__2219089449823-0-cib.jpg?v=1774453095","Open")</x:f>
        <x:v>HYPERLINK is not implemented. linkLocation=https://cdn.shopify.com/s/files/1/0918/6066/4603/files/O1CN01OS8Dgt2MQzeaOCHam__2219089449823-0-cib.jpg?v=1774453095, friendlyName=Open</x:v>
      </x:c>
      <x:c r="C877" s="24" t="e">
        <x:f>HYPERLINK("https://365nails.com/products/wild-leopard-spotted-bloom-medium-almond-handmade-press-on-nails","Wild Leopard: ""Spotted Bloom"" – Medium Almond Handmade Press On Nails")</x:f>
        <x:v>HYPERLINK is not implemented. linkLocation=https://365nails.com/products/wild-leopard-spotted-bloom-medium-almond-handmade-press-on-nails, friendlyName=Wild Leopard: "Spotted Bloom" – Medium Almond Handmade Press On Nails</x:v>
      </x:c>
      <x:c r="D877" s="18" t="str">
        <x:v>Color: D401; Color classification: X s / S / M / L</x:v>
      </x:c>
      <x:c r="E877" s="25" t="str">
        <x:v>$3.49</x:v>
      </x:c>
      <x:c r="F877" s="19" t="str">
        <x:v>1</x:v>
      </x:c>
    </x:row>
    <x:row r="878" ht="93" customHeight="1">
      <x:c r="A878" s="19" t="n">
        <x:v>875</x:v>
      </x:c>
      <x:c r="B878" s="22" t="e">
        <x:f>HYPERLINK("https://cdn.shopify.com/s/files/1/0918/6066/4603/files/O1CN01re9onC2MQzeTUqpPY__2219089449823-0-cib.jpg?v=1774453061","Open")</x:f>
        <x:v>HYPERLINK is not implemented. linkLocation=https://cdn.shopify.com/s/files/1/0918/6066/4603/files/O1CN01re9onC2MQzeTUqpPY__2219089449823-0-cib.jpg?v=1774453061, friendlyName=Open</x:v>
      </x:c>
      <x:c r="C878" s="24" t="e">
        <x:f>HYPERLINK("https://365nails.com/products/amber-bloom-golden-petal-medium-almond-handmade-press-on-nails","Amber Bloom: ""Golden Petal"" – Medium Almond Handmade Press On Nails")</x:f>
        <x:v>HYPERLINK is not implemented. linkLocation=https://365nails.com/products/amber-bloom-golden-petal-medium-almond-handmade-press-on-nails, friendlyName=Amber Bloom: "Golden Petal" – Medium Almond Handmade Press On Nails</x:v>
      </x:c>
      <x:c r="D878" s="18" t="str">
        <x:v>Color: D538; Color classification: X s / S / M / L</x:v>
      </x:c>
      <x:c r="E878" s="25" t="str">
        <x:v>$3.49</x:v>
      </x:c>
      <x:c r="F878" s="19" t="str">
        <x:v>1</x:v>
      </x:c>
    </x:row>
    <x:row r="879" ht="93" customHeight="1">
      <x:c r="A879" s="19" t="n">
        <x:v>876</x:v>
      </x:c>
      <x:c r="B879" s="22" t="e">
        <x:f>HYPERLINK("https://cdn.shopify.com/s/files/1/0918/6066/4603/files/O1CN01Xd6eh52MQzeMFRo4z__2219089449823-0-cib.jpg?v=1774453047","Open")</x:f>
        <x:v>HYPERLINK is not implemented. linkLocation=https://cdn.shopify.com/s/files/1/0918/6066/4603/files/O1CN01Xd6eh52MQzeMFRo4z__2219089449823-0-cib.jpg?v=1774453047, friendlyName=Open</x:v>
      </x:c>
      <x:c r="C879" s="24" t="e">
        <x:f>HYPERLINK("https://365nails.com/products/wild-bloom-leopard-flower-medium-almond-handmade-press-on-nails","Wild Bloom: ""Leopard &amp; Flower"" – Medium Almond Handmade Press On Nails")</x:f>
        <x:v>HYPERLINK is not implemented. linkLocation=https://365nails.com/products/wild-bloom-leopard-flower-medium-almond-handmade-press-on-nails, friendlyName=Wild Bloom: "Leopard &amp; Flower" – Medium Almond Handmade Press On Nails</x:v>
      </x:c>
      <x:c r="D879" s="18" t="str">
        <x:v>Color: D552; Color classification: X s / S / M / L</x:v>
      </x:c>
      <x:c r="E879" s="25" t="str">
        <x:v>$3.49</x:v>
      </x:c>
      <x:c r="F879" s="19" t="str">
        <x:v>1</x:v>
      </x:c>
    </x:row>
    <x:row r="880" ht="93" customHeight="1">
      <x:c r="A880" s="19" t="n">
        <x:v>877</x:v>
      </x:c>
      <x:c r="B880" s="22" t="e">
        <x:f>HYPERLINK("https://cdn.shopify.com/s/files/1/0918/6066/4603/files/O1CN01a7u4gt2MQzeBGwrIF__2219089449823-0-cib.jpg?v=1774453038","Open")</x:f>
        <x:v>HYPERLINK is not implemented. linkLocation=https://cdn.shopify.com/s/files/1/0918/6066/4603/files/O1CN01a7u4gt2MQzeBGwrIF__2219089449823-0-cib.jpg?v=1774453038, friendlyName=Open</x:v>
      </x:c>
      <x:c r="C880" s="24" t="e">
        <x:f>HYPERLINK("https://365nails.com/products/ocean-bloom-seashell-flower-short-square-handmade-press-on-nails","Ocean Bloom: ""Seashell Flower"" – Short Square Handmade Press On Nails")</x:f>
        <x:v>HYPERLINK is not implemented. linkLocation=https://365nails.com/products/ocean-bloom-seashell-flower-short-square-handmade-press-on-nails, friendlyName=Ocean Bloom: "Seashell Flower" – Short Square Handmade Press On Nails</x:v>
      </x:c>
      <x:c r="D880" s="18" t="str">
        <x:v>Color: L 250; Color classification: X s / S / M / L</x:v>
      </x:c>
      <x:c r="E880" s="25" t="str">
        <x:v>$4.99</x:v>
      </x:c>
      <x:c r="F880" s="19" t="str">
        <x:v>1</x:v>
      </x:c>
    </x:row>
    <x:row r="881" ht="93" customHeight="1">
      <x:c r="A881" s="19" t="n">
        <x:v>878</x:v>
      </x:c>
      <x:c r="B881" s="22" t="e">
        <x:f>HYPERLINK("https://cdn.shopify.com/s/files/1/0918/6066/4603/files/O1CN01kTHJ3w2MQze2Ceu8B__2219089449823-0-cib.jpg?v=1774453021","Open")</x:f>
        <x:v>HYPERLINK is not implemented. linkLocation=https://cdn.shopify.com/s/files/1/0918/6066/4603/files/O1CN01kTHJ3w2MQze2Ceu8B__2219089449823-0-cib.jpg?v=1774453021, friendlyName=Open</x:v>
      </x:c>
      <x:c r="C881" s="24" t="e">
        <x:f>HYPERLINK("https://365nails.com/products/bridal-bloom-petal-pearl-medium-almond-handmade-press-on-nails","Bridal Bloom: ""Petal Pearl"" – Medium Almond Handmade Press On Nails")</x:f>
        <x:v>HYPERLINK is not implemented. linkLocation=https://365nails.com/products/bridal-bloom-petal-pearl-medium-almond-handmade-press-on-nails, friendlyName=Bridal Bloom: "Petal Pearl" – Medium Almond Handmade Press On Nails</x:v>
      </x:c>
      <x:c r="D881" s="18" t="str">
        <x:v>Color: D523; Color classification: X s / S / M / L</x:v>
      </x:c>
      <x:c r="E881" s="25" t="str">
        <x:v>$3.49</x:v>
      </x:c>
      <x:c r="F881" s="19" t="str">
        <x:v>1</x:v>
      </x:c>
    </x:row>
    <x:row r="882" ht="93" customHeight="1">
      <x:c r="A882" s="19" t="n">
        <x:v>879</x:v>
      </x:c>
      <x:c r="B882" s="22" t="e">
        <x:f>HYPERLINK("https://cdn.shopify.com/s/files/1/0918/6066/4603/files/O1CN01tSblUX2MQzfFHYtAe__2219089449823-0-cib.jpg?v=1774452934","Open")</x:f>
        <x:v>HYPERLINK is not implemented. linkLocation=https://cdn.shopify.com/s/files/1/0918/6066/4603/files/O1CN01tSblUX2MQzfFHYtAe__2219089449823-0-cib.jpg?v=1774452934, friendlyName=Open</x:v>
      </x:c>
      <x:c r="C882" s="24" t="e">
        <x:f>HYPERLINK("https://365nails.com/products/summer-picnic-blueberry-daisy-glow-almond-shape-handmade-press-ons","Summer Picnic: ""Blueberry Daisy Glow"" – Almond Shape Handmade Press-Ons")</x:f>
        <x:v>HYPERLINK is not implemented. linkLocation=https://365nails.com/products/summer-picnic-blueberry-daisy-glow-almond-shape-handmade-press-ons, friendlyName=Summer Picnic: "Blueberry Daisy Glow" – Almond Shape Handmade Press-Ons</x:v>
      </x:c>
      <x:c r="D882" s="18" t="str">
        <x:v>Color: D607; Color classification: X s / S / M / L</x:v>
      </x:c>
      <x:c r="E882" s="25" t="str">
        <x:v>$3.49</x:v>
      </x:c>
      <x:c r="F882" s="19" t="str">
        <x:v>1</x:v>
      </x:c>
    </x:row>
    <x:row r="883" ht="93" customHeight="1">
      <x:c r="A883" s="19" t="n">
        <x:v>880</x:v>
      </x:c>
      <x:c r="B883" s="22" t="e">
        <x:f>HYPERLINK("https://cdn.shopify.com/s/files/1/0918/6066/4603/files/O1CN01jAoCtN2MQzfHDxDBR__2219089449823-0-cib.jpg?v=1774452926","Open")</x:f>
        <x:v>HYPERLINK is not implemented. linkLocation=https://cdn.shopify.com/s/files/1/0918/6066/4603/files/O1CN01jAoCtN2MQzfHDxDBR__2219089449823-0-cib.jpg?v=1774452926, friendlyName=Open</x:v>
      </x:c>
      <x:c r="C883" s="24" t="e">
        <x:f>HYPERLINK("https://365nails.com/products/coquette-romance-pink-bow-heart-almond-shape-handmade-press-ons","Coquette Romance: ""Pink Bow Heart"" – Almond Shape Handmade Press-Ons")</x:f>
        <x:v>HYPERLINK is not implemented. linkLocation=https://365nails.com/products/coquette-romance-pink-bow-heart-almond-shape-handmade-press-ons, friendlyName=Coquette Romance: "Pink Bow Heart" – Almond Shape Handmade Press-Ons</x:v>
      </x:c>
      <x:c r="D883" s="18" t="str">
        <x:v>Color: C 448; Color classification: X s / S / M / L</x:v>
      </x:c>
      <x:c r="E883" s="25" t="str">
        <x:v>$3.49</x:v>
      </x:c>
      <x:c r="F883" s="19" t="str">
        <x:v>1</x:v>
      </x:c>
    </x:row>
    <x:row r="884" ht="93" customHeight="1">
      <x:c r="A884" s="19" t="n">
        <x:v>881</x:v>
      </x:c>
      <x:c r="B884" s="22" t="e">
        <x:f>HYPERLINK("https://cdn.shopify.com/s/files/1/0918/6066/4603/files/O1CN014cYATS2MQzfAVucKU__2219089449823-0-cib.jpg?v=1774452912","Open")</x:f>
        <x:v>HYPERLINK is not implemented. linkLocation=https://cdn.shopify.com/s/files/1/0918/6066/4603/files/O1CN014cYATS2MQzfAVucKU__2219089449823-0-cib.jpg?v=1774452912, friendlyName=Open</x:v>
      </x:c>
      <x:c r="C884" s="24" t="e">
        <x:f>HYPERLINK("https://365nails.com/products/blush-floral-pink-cherry-french-short-square-handmade-press-ons","Blush Floral: ""Pink Cherry French"" – Short Square Handmade Press-Ons")</x:f>
        <x:v>HYPERLINK is not implemented. linkLocation=https://365nails.com/products/blush-floral-pink-cherry-french-short-square-handmade-press-ons, friendlyName=Blush Floral: "Pink Cherry French" – Short Square Handmade Press-Ons</x:v>
      </x:c>
      <x:c r="D884" s="18" t="str">
        <x:v>Color: Q288; Color classification: X s / S / M / L</x:v>
      </x:c>
      <x:c r="E884" s="25" t="str">
        <x:v>$4.99</x:v>
      </x:c>
      <x:c r="F884" s="19" t="str">
        <x:v>1</x:v>
      </x:c>
    </x:row>
    <x:row r="885" ht="93" customHeight="1">
      <x:c r="A885" s="19" t="n">
        <x:v>882</x:v>
      </x:c>
      <x:c r="B885" s="22" t="e">
        <x:f>HYPERLINK("https://cdn.shopify.com/s/files/1/0918/6066/4603/files/O1CN011Nd7sJ2MQzfGHnIqB__2219089449823-0-cib.jpg?v=1774452908","Open")</x:f>
        <x:v>HYPERLINK is not implemented. linkLocation=https://cdn.shopify.com/s/files/1/0918/6066/4603/files/O1CN011Nd7sJ2MQzfGHnIqB__2219089449823-0-cib.jpg?v=1774452908, friendlyName=Open</x:v>
      </x:c>
      <x:c r="C885" s="24" t="e">
        <x:f>HYPERLINK("https://365nails.com/products/tropical-bloom-pink-hibiscus-glow-almond-shape-handmade-press-ons","Tropical Bloom: ""Pink Hibiscus Glow"" – Almond Shape Handmade Press-Ons")</x:f>
        <x:v>HYPERLINK is not implemented. linkLocation=https://365nails.com/products/tropical-bloom-pink-hibiscus-glow-almond-shape-handmade-press-ons, friendlyName=Tropical Bloom: "Pink Hibiscus Glow" – Almond Shape Handmade Press-Ons</x:v>
      </x:c>
      <x:c r="D885" s="18" t="str">
        <x:v>Color: D412; Color classification: X s / S / M / L</x:v>
      </x:c>
      <x:c r="E885" s="25" t="str">
        <x:v>$3.49</x:v>
      </x:c>
      <x:c r="F885" s="19" t="str">
        <x:v>1</x:v>
      </x:c>
    </x:row>
    <x:row r="886" ht="93" customHeight="1">
      <x:c r="A886" s="19" t="n">
        <x:v>883</x:v>
      </x:c>
      <x:c r="B886" s="22" t="e">
        <x:f>HYPERLINK("https://cdn.shopify.com/s/files/1/0918/6066/4603/files/O1CN013OP3wI2MQzfFO8an4__2219089449823-0-cib.jpg?v=1774452903","Open")</x:f>
        <x:v>HYPERLINK is not implemented. linkLocation=https://cdn.shopify.com/s/files/1/0918/6066/4603/files/O1CN013OP3wI2MQzfFO8an4__2219089449823-0-cib.jpg?v=1774452903, friendlyName=Open</x:v>
      </x:c>
      <x:c r="C886" s="24" t="e">
        <x:f>HYPERLINK("https://365nails.com/products/celestial-gold-starry-french-glow-almond-shape-handmade-press-ons","Celestial Gold: ""Starry French Glow"" – Almond Shape Handmade Press-Ons")</x:f>
        <x:v>HYPERLINK is not implemented. linkLocation=https://365nails.com/products/celestial-gold-starry-french-glow-almond-shape-handmade-press-ons, friendlyName=Celestial Gold: "Starry French Glow" – Almond Shape Handmade Press-Ons</x:v>
      </x:c>
      <x:c r="D886" s="18" t="str">
        <x:v>Color: C378; Color classification: X s / S / M / L</x:v>
      </x:c>
      <x:c r="E886" s="25" t="str">
        <x:v>$3.49</x:v>
      </x:c>
      <x:c r="F886" s="19" t="str">
        <x:v>1</x:v>
      </x:c>
    </x:row>
    <x:row r="887" ht="93" customHeight="1">
      <x:c r="A887" s="19" t="n">
        <x:v>884</x:v>
      </x:c>
      <x:c r="B887" s="22" t="e">
        <x:f>HYPERLINK("https://cdn.shopify.com/s/files/1/0918/6066/4603/files/O1CN01I9KJrl2MQzeiph9CR__2219089449823-0-cib.jpg?v=1774453120","Open")</x:f>
        <x:v>HYPERLINK is not implemented. linkLocation=https://cdn.shopify.com/s/files/1/0918/6066/4603/files/O1CN01I9KJrl2MQzeiph9CR__2219089449823-0-cib.jpg?v=1774453120, friendlyName=Open</x:v>
      </x:c>
      <x:c r="C887" s="24" t="e">
        <x:f>HYPERLINK("https://365nails.com/products/candy-pop-playful-patchwork-short-square-handmade-press-on-nails","Candy Pop: ""Playful Patchwork"" – Short Square Handmade Press On Nails")</x:f>
        <x:v>HYPERLINK is not implemented. linkLocation=https://365nails.com/products/candy-pop-playful-patchwork-short-square-handmade-press-on-nails, friendlyName=Candy Pop: "Playful Patchwork" – Short Square Handmade Press On Nails</x:v>
      </x:c>
      <x:c r="D887" s="18" t="str">
        <x:v>Color: L220; Color classification: X s / S / M / L</x:v>
      </x:c>
      <x:c r="E887" s="25" t="str">
        <x:v>$4.99</x:v>
      </x:c>
      <x:c r="F887" s="19" t="str">
        <x:v>1</x:v>
      </x:c>
    </x:row>
    <x:row r="888" ht="93" customHeight="1">
      <x:c r="A888" s="19" t="n">
        <x:v>885</x:v>
      </x:c>
      <x:c r="B888" s="22" t="e">
        <x:f>HYPERLINK("https://cdn.shopify.com/s/files/1/0918/6066/4603/files/O1CN01l43VaI2MQzedS9I8U__2219089449823-0-cib.jpg?v=1774453112","Open")</x:f>
        <x:v>HYPERLINK is not implemented. linkLocation=https://cdn.shopify.com/s/files/1/0918/6066/4603/files/O1CN01l43VaI2MQzedS9I8U__2219089449823-0-cib.jpg?v=1774453112, friendlyName=Open</x:v>
      </x:c>
      <x:c r="C888" s="24" t="e">
        <x:f>HYPERLINK("https://365nails.com/products/sakura-sparkle-pink-blossom-medium-almond-handmade-press-on-nails","Sakura Sparkle: ""Pink Blossom"" – Medium Almond Handmade Press On Nails")</x:f>
        <x:v>HYPERLINK is not implemented. linkLocation=https://365nails.com/products/sakura-sparkle-pink-blossom-medium-almond-handmade-press-on-nails, friendlyName=Sakura Sparkle: "Pink Blossom" – Medium Almond Handmade Press On Nails</x:v>
      </x:c>
      <x:c r="D888" s="18" t="str">
        <x:v>Color: D564; Color classification: X s / S / M / L</x:v>
      </x:c>
      <x:c r="E888" s="25" t="str">
        <x:v>$3.49</x:v>
      </x:c>
      <x:c r="F888" s="19" t="str">
        <x:v>1</x:v>
      </x:c>
    </x:row>
    <x:row r="889" ht="93" customHeight="1">
      <x:c r="A889" s="19" t="n">
        <x:v>886</x:v>
      </x:c>
      <x:c r="B889" s="22" t="e">
        <x:f>HYPERLINK("https://cdn.shopify.com/s/files/1/0918/6066/4603/files/O1CN013x691B2MQzeetgrjs__2219089449823-0-cib.jpg?v=1774453108","Open")</x:f>
        <x:v>HYPERLINK is not implemented. linkLocation=https://cdn.shopify.com/s/files/1/0918/6066/4603/files/O1CN013x691B2MQzeetgrjs__2219089449823-0-cib.jpg?v=1774453108, friendlyName=Open</x:v>
      </x:c>
      <x:c r="C889" s="24" t="e">
        <x:f>HYPERLINK("https://365nails.com/products/lime-leopard-green-bloom-medium-almond-handmade-press-on-nails","Lime Leopard: ""Green Bloom"" – Medium Almond Handmade Press On Nails")</x:f>
        <x:v>HYPERLINK is not implemented. linkLocation=https://365nails.com/products/lime-leopard-green-bloom-medium-almond-handmade-press-on-nails, friendlyName=Lime Leopard: "Green Bloom" – Medium Almond Handmade Press On Nails</x:v>
      </x:c>
      <x:c r="D889" s="18" t="str">
        <x:v>Color: D569; Color classification: X s / S / M / L</x:v>
      </x:c>
      <x:c r="E889" s="25" t="str">
        <x:v>$3.49</x:v>
      </x:c>
      <x:c r="F889" s="19" t="str">
        <x:v>1</x:v>
      </x:c>
    </x:row>
    <x:row r="890" ht="93" customHeight="1">
      <x:c r="A890" s="19" t="n">
        <x:v>887</x:v>
      </x:c>
      <x:c r="B890" s="22" t="e">
        <x:f>HYPERLINK("https://cdn.shopify.com/s/files/1/0918/6066/4603/files/O1CN01frdNnA2MQzeglivHL__2219089449823-0-cib.jpg?v=1774453103","Open")</x:f>
        <x:v>HYPERLINK is not implemented. linkLocation=https://cdn.shopify.com/s/files/1/0918/6066/4603/files/O1CN01frdNnA2MQzeglivHL__2219089449823-0-cib.jpg?v=1774453103, friendlyName=Open</x:v>
      </x:c>
      <x:c r="C890" s="24" t="e">
        <x:f>HYPERLINK("https://365nails.com/products/strawberry-bloom-red-berry-long-almond-handmade-press-on-nails","Strawberry Bloom: ""Red Berry"" – Long Almond Handmade Press On Nails")</x:f>
        <x:v>HYPERLINK is not implemented. linkLocation=https://365nails.com/products/strawberry-bloom-red-berry-long-almond-handmade-press-on-nails, friendlyName=Strawberry Bloom: "Red Berry" – Long Almond Handmade Press On Nails</x:v>
      </x:c>
      <x:c r="D890" s="18" t="str">
        <x:v>Color: D573; Color classification: X s / S / M / L</x:v>
      </x:c>
      <x:c r="E890" s="25" t="str">
        <x:v>$3.49</x:v>
      </x:c>
      <x:c r="F890" s="19" t="str">
        <x:v>1</x:v>
      </x:c>
    </x:row>
    <x:row r="891" ht="93" customHeight="1">
      <x:c r="A891" s="19" t="n">
        <x:v>888</x:v>
      </x:c>
      <x:c r="B891" s="22" t="e">
        <x:f>HYPERLINK("https://cdn.shopify.com/s/files/1/0918/6066/4603/files/O1CN01HAovD82MQzdq6PcvC__2219089449823-0-cib.jpg?v=1774452977","Open")</x:f>
        <x:v>HYPERLINK is not implemented. linkLocation=https://cdn.shopify.com/s/files/1/0918/6066/4603/files/O1CN01HAovD82MQzdq6PcvC__2219089449823-0-cib.jpg?v=1774452977, friendlyName=Open</x:v>
      </x:c>
      <x:c r="C891" s="24" t="e">
        <x:f>HYPERLINK("https://365nails.com/products/spring-garden-blossom-jewel-short-square-handmade-press-on-nails","Spring Garden: ""Blossom Jewel"" – Short Square Handmade Press On Nails")</x:f>
        <x:v>HYPERLINK is not implemented. linkLocation=https://365nails.com/products/spring-garden-blossom-jewel-short-square-handmade-press-on-nails, friendlyName=Spring Garden: "Blossom Jewel" – Short Square Handmade Press On Nails</x:v>
      </x:c>
      <x:c r="D891" s="18" t="str">
        <x:v>Color: L282; Color classification: X s / S / M / L</x:v>
      </x:c>
      <x:c r="E891" s="25" t="str">
        <x:v>$4.99</x:v>
      </x:c>
      <x:c r="F891" s="19" t="str">
        <x:v>1</x:v>
      </x:c>
    </x:row>
    <x:row r="892" ht="93" customHeight="1">
      <x:c r="A892" s="19" t="n">
        <x:v>889</x:v>
      </x:c>
      <x:c r="B892" s="22" t="e">
        <x:f>HYPERLINK("https://cdn.shopify.com/s/files/1/0918/6066/4603/files/O1CN01HmYGAb2MQzf7n5wd8__2219089449823-0-cib.jpg?v=1774452895","Open")</x:f>
        <x:v>HYPERLINK is not implemented. linkLocation=https://cdn.shopify.com/s/files/1/0918/6066/4603/files/O1CN01HmYGAb2MQzf7n5wd8__2219089449823-0-cib.jpg?v=1774452895, friendlyName=Open</x:v>
      </x:c>
      <x:c r="C892" s="24" t="e">
        <x:f>HYPERLINK("https://365nails.com/products/whimsical-forest-mushroom-garden-glow-short-square-handmade-press-ons","Whimsical Forest: ""Mushroom Garden Glow"" – Short Square Handmade Press-Ons")</x:f>
        <x:v>HYPERLINK is not implemented. linkLocation=https://365nails.com/products/whimsical-forest-mushroom-garden-glow-short-square-handmade-press-ons, friendlyName=Whimsical Forest: "Mushroom Garden Glow" – Short Square Handmade Press-Ons</x:v>
      </x:c>
      <x:c r="D892" s="18" t="str">
        <x:v>Color: L285; Color classification: X s / S / M / L</x:v>
      </x:c>
      <x:c r="E892" s="25" t="str">
        <x:v>$3.99</x:v>
      </x:c>
      <x:c r="F892" s="19" t="str">
        <x:v>1</x:v>
      </x:c>
    </x:row>
    <x:row r="893" ht="93" customHeight="1">
      <x:c r="A893" s="19" t="n">
        <x:v>890</x:v>
      </x:c>
      <x:c r="B893" s="22" t="e">
        <x:f>HYPERLINK("https://cdn.shopify.com/s/files/1/0918/6066/4603/files/O1CN01It2r292MQzeZYNIMe__2219089449823-0-cib.jpg?v=1774453082","Open")</x:f>
        <x:v>HYPERLINK is not implemented. linkLocation=https://cdn.shopify.com/s/files/1/0918/6066/4603/files/O1CN01It2r292MQzeZYNIMe__2219089449823-0-cib.jpg?v=1774453082, friendlyName=Open</x:v>
      </x:c>
      <x:c r="C893" s="24" t="e">
        <x:f>HYPERLINK("https://365nails.com/products/blush-leopard-pink-bloom-medium-almond-handmade-press-on-nails","Blush Leopard: ""Pink Bloom"" – Medium Almond Handmade Press On Nails")</x:f>
        <x:v>HYPERLINK is not implemented. linkLocation=https://365nails.com/products/blush-leopard-pink-bloom-medium-almond-handmade-press-on-nails, friendlyName=Blush Leopard: "Pink Bloom" – Medium Almond Handmade Press On Nails</x:v>
      </x:c>
      <x:c r="D893" s="18" t="str">
        <x:v>Color: D562; Color classification: X s / S / M / L</x:v>
      </x:c>
      <x:c r="E893" s="25" t="str">
        <x:v>$3.49</x:v>
      </x:c>
      <x:c r="F893" s="19" t="str">
        <x:v>1</x:v>
      </x:c>
    </x:row>
    <x:row r="894" ht="93" customHeight="1">
      <x:c r="A894" s="19" t="n">
        <x:v>891</x:v>
      </x:c>
      <x:c r="B894" s="22" t="e">
        <x:f>HYPERLINK("https://cdn.shopify.com/s/files/1/0918/6066/4603/files/O1CN01yCEzuP1rlpXXYb4wk__2215158925672-0-cib.jpg?v=1754446703","Open")</x:f>
        <x:v>HYPERLINK is not implemented. linkLocation=https://cdn.shopify.com/s/files/1/0918/6066/4603/files/O1CN01yCEzuP1rlpXXYb4wk__2215158925672-0-cib.jpg?v=1754446703, friendlyName=Open</x:v>
      </x:c>
      <x:c r="C894" s="24" t="e">
        <x:f>HYPERLINK("https://365nails.com/products/almond-nail-patch-ice-through-cats-eye-metal-relief-wearing-nail-pure-handmade-wholesale-365nails","Arctic Siren Chrome Series Press-On Nails")</x:f>
        <x:v>HYPERLINK is not implemented. linkLocation=https://365nails.com/products/almond-nail-patch-ice-through-cats-eye-metal-relief-wearing-nail-pure-handmade-wholesale-365nails, friendlyName=Arctic Siren Chrome Series Press-On Nails</x:v>
      </x:c>
      <x:c r="D894" s="18" t="str">
        <x:v>Color: medium almond; Color classification: XS / S / M / L</x:v>
      </x:c>
      <x:c r="E894" s="25" t="str">
        <x:v>$2.99</x:v>
      </x:c>
      <x:c r="F894" s="19" t="str">
        <x:v>30</x:v>
      </x:c>
    </x:row>
    <x:row r="895" ht="93" customHeight="1">
      <x:c r="A895" s="19" t="n">
        <x:v>892</x:v>
      </x:c>
      <x:c r="B895" s="22" t="e">
        <x:f>HYPERLINK("https://cdn.shopify.com/s/files/1/0918/6066/4603/files/O1CN010YKQak2NGHugytMJX__4234819935-0-cib.jpg?v=1753433265","Open")</x:f>
        <x:v>HYPERLINK is not implemented. linkLocation=https://cdn.shopify.com/s/files/1/0918/6066/4603/files/O1CN010YKQak2NGHugytMJX__4234819935-0-cib.jpg?v=1753433265, friendlyName=Open</x:v>
      </x:c>
      <x:c r="C895" s="24" t="e">
        <x:f>HYPERLINK("https://365nails.com/products/simple-pink-white-gradual-change-manicure-fake-nail-white-curve-wearing-nail-short-almond-nail-patch-removable-nail-piece-365nails","Simple pink white gradual change manicure fake nail white curve press on nails short almond nail patch removable nail piece｜365nails")</x:f>
        <x:v>HYPERLINK is not implemented. linkLocation=https://365nails.com/products/simple-pink-white-gradual-change-manicure-fake-nail-white-curve-wearing-nail-short-almond-nail-patch-removable-nail-piece-365nails, friendlyName=Simple pink white gradual change manicure fake nail white curve press on nails short almond nail patch removable nail piece｜365nails</x:v>
      </x:c>
      <x:c r="D895" s="18" t="str">
        <x:v>color: JP3531</x:v>
      </x:c>
      <x:c r="E895" s="25" t="str">
        <x:v>$0.77</x:v>
      </x:c>
      <x:c r="F895" s="19" t="str">
        <x:v>1</x:v>
      </x:c>
    </x:row>
    <x:row r="896" ht="93" customHeight="1">
      <x:c r="A896" s="19" t="n">
        <x:v>893</x:v>
      </x:c>
      <x:c r="B896" s="22" t="e">
        <x:f>HYPERLINK("https://cdn.shopify.com/s/files/1/0918/6066/4603/files/O1CN01DEK31Y2NGHsL6mARj__4234819935-0-cib.jpg?v=1753431992","Open")</x:f>
        <x:v>HYPERLINK is not implemented. linkLocation=https://cdn.shopify.com/s/files/1/0918/6066/4603/files/O1CN01DEK31Y2NGHsL6mARj__4234819935-0-cib.jpg?v=1753431992, friendlyName=Open</x:v>
      </x:c>
      <x:c r="C896" s="24" t="e">
        <x:f>HYPERLINK("https://365nails.com/products/retro-light-luxury-gemstone-cat-eye-manicure-fake-nails-sub-size-red-wearing-nail-flash-diamond-flash-nail-piece-finished-product-wholesale-365nails","Retro light luxury gemstone cat eye manicure fake nails sub-size red press on nails flash diamond flash nail piece finished product wholesale｜365nails")</x:f>
        <x:v>HYPERLINK is not implemented. linkLocation=https://365nails.com/products/retro-light-luxury-gemstone-cat-eye-manicure-fake-nails-sub-size-red-wearing-nail-flash-diamond-flash-nail-piece-finished-product-wholesale-365nails, friendlyName=Retro light luxury gemstone cat eye manicure fake nails sub-size red press on nails flash diamond flash nail piece finished product wholesale｜365nails</x:v>
      </x:c>
      <x:c r="D896" s="18" t="str">
        <x:v>Color: SP128; Color classification: XS / S / M</x:v>
      </x:c>
      <x:c r="E896" s="25" t="str">
        <x:v>$2.14</x:v>
      </x:c>
      <x:c r="F896" s="19" t="str">
        <x:v>1</x:v>
      </x:c>
    </x:row>
    <x:row r="897" ht="93" customHeight="1">
      <x:c r="A897" s="19" t="n">
        <x:v>894</x:v>
      </x:c>
      <x:c r="B897" s="22" t="e">
        <x:f>HYPERLINK("https://cdn.shopify.com/s/files/1/0918/6066/4603/files/O1CN01kqTJz527ZUmqzAWXg__2220024697811-0-cib.jpg?v=1772373520","Open")</x:f>
        <x:v>HYPERLINK is not implemented. linkLocation=https://cdn.shopify.com/s/files/1/0918/6066/4603/files/O1CN01kqTJz527ZUmqzAWXg__2220024697811-0-cib.jpg?v=1772373520, friendlyName=Open</x:v>
      </x:c>
      <x:c r="C897" s="24" t="e">
        <x:f>HYPERLINK("https://365nails.com/products/noir-romance-collection-polka-dot-bow-short-square-press-on-nails","Noir Romance Collection: ""Polka Dot Bow"" – Short Square Press-On Nails")</x:f>
        <x:v>HYPERLINK is not implemented. linkLocation=https://365nails.com/products/noir-romance-collection-polka-dot-bow-short-square-press-on-nails, friendlyName=Noir Romance Collection: "Polka Dot Bow" – Short Square Press-On Nails</x:v>
      </x:c>
      <x:c r="D897" s="18" t="str">
        <x:v>Color: Right angle t; Color classification: S / M / L</x:v>
      </x:c>
      <x:c r="E897" s="25" t="str">
        <x:v>$4.01</x:v>
      </x:c>
      <x:c r="F897" s="19" t="str">
        <x:v>1</x:v>
      </x:c>
    </x:row>
    <x:row r="898" ht="93" customHeight="1">
      <x:c r="A898" s="19" t="n">
        <x:v>895</x:v>
      </x:c>
      <x:c r="B898" s="22" t="e">
        <x:f>HYPERLINK("https://cdn.shopify.com/s/files/1/0918/6066/4603/files/O1CN01ziNys62MQzeesz5tc__2219089449823-0-cib.jpg?v=1774453146","Open")</x:f>
        <x:v>HYPERLINK is not implemented. linkLocation=https://cdn.shopify.com/s/files/1/0918/6066/4603/files/O1CN01ziNys62MQzeesz5tc__2219089449823-0-cib.jpg?v=1774453146, friendlyName=Open</x:v>
      </x:c>
      <x:c r="C898" s="24" t="e">
        <x:f>HYPERLINK("https://365nails.com/products/coastal-bloom-seashell-flower-long-almond-handmade-press-on-nails","Coastal Bloom: ""Seashell &amp; Flower"" – Long Almond Handmade Press On Nails")</x:f>
        <x:v>HYPERLINK is not implemented. linkLocation=https://365nails.com/products/coastal-bloom-seashell-flower-long-almond-handmade-press-on-nails, friendlyName=Coastal Bloom: "Seashell &amp; Flower" – Long Almond Handmade Press On Nails</x:v>
      </x:c>
      <x:c r="D898" s="18" t="str">
        <x:v>Color: D568; Color classification: X s / S / M / L</x:v>
      </x:c>
      <x:c r="E898" s="25" t="str">
        <x:v>$3.49</x:v>
      </x:c>
      <x:c r="F898" s="19" t="str">
        <x:v>1</x:v>
      </x:c>
    </x:row>
    <x:row r="899" ht="93" customHeight="1">
      <x:c r="A899" s="19" t="n">
        <x:v>896</x:v>
      </x:c>
      <x:c r="B899" s="22" t="e">
        <x:f>HYPERLINK("https://cdn.shopify.com/s/files/1/0918/6066/4603/files/O1CN01K3WcZ92MQzcucwHCs__2219089449823-0-cib.jpg?v=1774349133","Open")</x:f>
        <x:v>HYPERLINK is not implemented. linkLocation=https://cdn.shopify.com/s/files/1/0918/6066/4603/files/O1CN01K3WcZ92MQzcucwHCs__2219089449823-0-cib.jpg?v=1774349133, friendlyName=Open</x:v>
      </x:c>
      <x:c r="C899" s="24" t="e">
        <x:f>HYPERLINK("https://365nails.com/products/365nails-ocean-star-floral-medium-almond-blue-marine-floral-handmade-press-on-nails","365nails: ""Ocean Star &amp; Floral"" – Medium Almond Blue Marine Floral Handmade Press-On Nails")</x:f>
        <x:v>HYPERLINK is not implemented. linkLocation=https://365nails.com/products/365nails-ocean-star-floral-medium-almond-blue-marine-floral-handmade-press-on-nails, friendlyName=365nails: "Ocean Star &amp; Floral" – Medium Almond Blue Marine Floral Handmade Press-On Nails</x:v>
      </x:c>
      <x:c r="D899" s="18" t="str">
        <x:v>Color: K15 senyu liuguangyi almond armor; Color classification: X s / S / M / L</x:v>
      </x:c>
      <x:c r="E899" s="25" t="str">
        <x:v>$3.99</x:v>
      </x:c>
      <x:c r="F899" s="19" t="str">
        <x:v>1</x:v>
      </x:c>
    </x:row>
    <x:row r="900" ht="93" customHeight="1">
      <x:c r="A900" s="19" t="n">
        <x:v>897</x:v>
      </x:c>
      <x:c r="B900" s="22" t="e">
        <x:f>HYPERLINK("https://cdn.shopify.com/s/files/1/0918/6066/4603/files/O1CN01NcCLJy2MQzfO8yfnY__2219089449823-0-cib.jpg?v=1774349064","Open")</x:f>
        <x:v>HYPERLINK is not implemented. linkLocation=https://cdn.shopify.com/s/files/1/0918/6066/4603/files/O1CN01NcCLJy2MQzfO8yfnY__2219089449823-0-cib.jpg?v=1774349064, friendlyName=Open</x:v>
      </x:c>
      <x:c r="C900" s="24" t="e">
        <x:f>HYPERLINK("https://365nails.com/products/365nails-blush-sakura-chain-medium-almond-nude-pink-floral-handmade-press-on-nails","365nails: ""Blush Sakura Chain"" – Medium Almond Nude-Pink Floral Handmade Press-On Nails")</x:f>
        <x:v>HYPERLINK is not implemented. linkLocation=https://365nails.com/products/365nails-blush-sakura-chain-medium-almond-nude-pink-floral-handmade-press-on-nails, friendlyName=365nails: "Blush Sakura Chain" – Medium Almond Nude-Pink Floral Handmade Press-On Nails</x:v>
      </x:c>
      <x:c r="D900" s="18" t="str">
        <x:v>Color: C 443; Color classification: X s / S / M / L</x:v>
      </x:c>
      <x:c r="E900" s="25" t="str">
        <x:v>$3.49</x:v>
      </x:c>
      <x:c r="F900" s="19" t="str">
        <x:v>1</x:v>
      </x:c>
    </x:row>
    <x:row r="901" ht="93" customHeight="1">
      <x:c r="A901" s="19" t="n">
        <x:v>898</x:v>
      </x:c>
      <x:c r="B901" s="22" t="e">
        <x:f>HYPERLINK("https://cdn.shopify.com/s/files/1/0918/6066/4603/files/O1CN015xzdeZ2MQzgHpc972__2219089449823-0-cib.jpg?v=1774349009","Open")</x:f>
        <x:v>HYPERLINK is not implemented. linkLocation=https://cdn.shopify.com/s/files/1/0918/6066/4603/files/O1CN015xzdeZ2MQzgHpc972__2219089449823-0-cib.jpg?v=1774349009, friendlyName=Open</x:v>
      </x:c>
      <x:c r="C901" s="24" t="e">
        <x:f>HYPERLINK("https://365nails.com/products/365nails-elegant-orchid-bloom-medium-almond-nude-french-rhinestone-handmade-press-on-nails","365nails: ""Elegant Orchid Bloom"" – Medium Almond Nude French Rhinestone Handmade Press-On Nails")</x:f>
        <x:v>HYPERLINK is not implemented. linkLocation=https://365nails.com/products/365nails-elegant-orchid-bloom-medium-almond-nude-french-rhinestone-handmade-press-on-nails, friendlyName=365nails: "Elegant Orchid Bloom" – Medium Almond Nude French Rhinestone Handmade Press-On Nails</x:v>
      </x:c>
      <x:c r="D901" s="18" t="str">
        <x:v>Color: K18 one short almond; Color classification: X s / S / M / L</x:v>
      </x:c>
      <x:c r="E901" s="25" t="str">
        <x:v>$3.49</x:v>
      </x:c>
      <x:c r="F901" s="19" t="str">
        <x:v>1</x:v>
      </x:c>
    </x:row>
    <x:row r="902" ht="93" customHeight="1">
      <x:c r="A902" s="19" t="n">
        <x:v>899</x:v>
      </x:c>
      <x:c r="B902" s="22" t="e">
        <x:f>HYPERLINK("https://cdn.shopify.com/s/files/1/0918/6066/4603/files/O1CN01UdCODE2MQzdfimZ9W__2219089449823-0-cib.jpg?v=1774348918","Open")</x:f>
        <x:v>HYPERLINK is not implemented. linkLocation=https://cdn.shopify.com/s/files/1/0918/6066/4603/files/O1CN01UdCODE2MQzdfimZ9W__2219089449823-0-cib.jpg?v=1774348918, friendlyName=Open</x:v>
      </x:c>
      <x:c r="C902" s="24" t="e">
        <x:f>HYPERLINK("https://365nails.com/products/tropical-citrus-sunset-citrus-bloom-medium-almond-nude-orange-gradient-handmade-press-on","Tropical Citrus: ""Sunset Citrus Bloom"" – Medium Almond Nude &amp; Orange Gradient Handmade Press-On")</x:f>
        <x:v>HYPERLINK is not implemented. linkLocation=https://365nails.com/products/tropical-citrus-sunset-citrus-bloom-medium-almond-nude-orange-gradient-handmade-press-on, friendlyName=Tropical Citrus: "Sunset Citrus Bloom" – Medium Almond Nude &amp; Orange Gradient Handmade Press-On</x:v>
      </x:c>
      <x:c r="D902" s="18" t="str">
        <x:v>Color: D470; Color classification: X s / S / M / L</x:v>
      </x:c>
      <x:c r="E902" s="25" t="str">
        <x:v>$3.49</x:v>
      </x:c>
      <x:c r="F902" s="19" t="str">
        <x:v>1</x:v>
      </x:c>
    </x:row>
    <x:row r="903" ht="93" customHeight="1">
      <x:c r="A903" s="19" t="n">
        <x:v>900</x:v>
      </x:c>
      <x:c r="B903" s="22" t="e">
        <x:f>HYPERLINK("https://cdn.shopify.com/s/files/1/0918/6066/4603/files/O1CN010buwoS2MQzdXjEUHQ__2219089449823-0-cib.jpg?v=1774348898","Open")</x:f>
        <x:v>HYPERLINK is not implemented. linkLocation=https://cdn.shopify.com/s/files/1/0918/6066/4603/files/O1CN010buwoS2MQzdXjEUHQ__2219089449823-0-cib.jpg?v=1774348898, friendlyName=Open</x:v>
      </x:c>
      <x:c r="C903" s="24" t="e">
        <x:f>HYPERLINK("https://365nails.com/products/elegant-pastel-lavender-bloom-french-medium-almond-nude-purple-gradient-handmade-press-on","Elegant Pastel: ""Lavender Bloom French"" – Medium Almond Nude &amp; Purple Gradient Handmade Press-On")</x:f>
        <x:v>HYPERLINK is not implemented. linkLocation=https://365nails.com/products/elegant-pastel-lavender-bloom-french-medium-almond-nude-purple-gradient-handmade-press-on, friendlyName=Elegant Pastel: "Lavender Bloom French" – Medium Almond Nude &amp; Purple Gradient Handmade Press-On</x:v>
      </x:c>
      <x:c r="D903" s="18" t="str">
        <x:v>Color: D487; Color classification: X s / S / M / L</x:v>
      </x:c>
      <x:c r="E903" s="25" t="str">
        <x:v>$3.49</x:v>
      </x:c>
      <x:c r="F903" s="19" t="str">
        <x:v>1</x:v>
      </x:c>
    </x:row>
    <x:row r="904" ht="93" customHeight="1">
      <x:c r="A904" s="19" t="n">
        <x:v>901</x:v>
      </x:c>
      <x:c r="B904" s="22" t="e">
        <x:f>HYPERLINK("https://cdn.shopify.com/s/files/1/0918/6066/4603/files/O1CN014c3PAh2NGHvvA5P74__4234819935-0-cib.jpg?v=1753432145","Open")</x:f>
        <x:v>HYPERLINK is not implemented. linkLocation=https://cdn.shopify.com/s/files/1/0918/6066/4603/files/O1CN014c3PAh2NGHvvA5P74__4234819935-0-cib.jpg?v=1753432145, friendlyName=Open</x:v>
      </x:c>
      <x:c r="C904" s="24" t="e">
        <x:f>HYPERLINK("https://365nails.com/products/xiaohongshu-pure-desire-wind-manicure-nail-piece-japanese-sweet-sparkling-diamond-gem-wearing-nail-piece-short-ballet-fake-nail-365nails","pure desire wind manicure nail piece Japanese sweet sparkling diamond gem  short ballet fake nail｜365nails")</x:f>
        <x:v>HYPERLINK is not implemented. linkLocation=https://365nails.com/products/xiaohongshu-pure-desire-wind-manicure-nail-piece-japanese-sweet-sparkling-diamond-gem-wearing-nail-piece-short-ballet-fake-nail-365nails, friendlyName=pure desire wind manicure nail piece Japanese sweet sparkling diamond gem  short ballet fake nail｜365nails</x:v>
      </x:c>
      <x:c r="D904" s="18" t="str">
        <x:v>color: JP3619</x:v>
      </x:c>
      <x:c r="E904" s="25" t="str">
        <x:v>$1.25</x:v>
      </x:c>
      <x:c r="F904" s="19" t="str">
        <x:v>1</x:v>
      </x:c>
    </x:row>
    <x:row r="905" ht="93" customHeight="1">
      <x:c r="A905" s="19" t="n">
        <x:v>902</x:v>
      </x:c>
      <x:c r="B905" s="22" t="e">
        <x:f>HYPERLINK("https://cdn.shopify.com/s/files/1/0918/6066/4603/files/O1CN01iCIfji2MQzesYCLUs__2219089449823-0-cib.jpg?v=1774453167","Open")</x:f>
        <x:v>HYPERLINK is not implemented. linkLocation=https://cdn.shopify.com/s/files/1/0918/6066/4603/files/O1CN01iCIfji2MQzesYCLUs__2219089449823-0-cib.jpg?v=1774453167, friendlyName=Open</x:v>
      </x:c>
      <x:c r="C905" s="24" t="e">
        <x:f>HYPERLINK("https://365nails.com/products/amber-bloom-leopard-flower-long-almond-handmade-press-on-nails","Amber Bloom: ""Leopard &amp; Flower"" – Long Almond Handmade Press On Nails")</x:f>
        <x:v>HYPERLINK is not implemented. linkLocation=https://365nails.com/products/amber-bloom-leopard-flower-long-almond-handmade-press-on-nails, friendlyName=Amber Bloom: "Leopard &amp; Flower" – Long Almond Handmade Press On Nails</x:v>
      </x:c>
      <x:c r="D905" s="18" t="str">
        <x:v>Color: D584; Color classification: X s / S / M / L</x:v>
      </x:c>
      <x:c r="E905" s="25" t="str">
        <x:v>$3.49</x:v>
      </x:c>
      <x:c r="F905" s="19" t="str">
        <x:v>1</x:v>
      </x:c>
    </x:row>
    <x:row r="906" ht="93" customHeight="1">
      <x:c r="A906" s="19" t="n">
        <x:v>903</x:v>
      </x:c>
      <x:c r="B906" s="22" t="e">
        <x:f>HYPERLINK("https://cdn.shopify.com/s/files/1/0918/6066/4603/files/O1CN01K7eicW2MQzepcejic__2219089449823-0-cib.jpg?v=1774453150","Open")</x:f>
        <x:v>HYPERLINK is not implemented. linkLocation=https://cdn.shopify.com/s/files/1/0918/6066/4603/files/O1CN01K7eicW2MQzepcejic__2219089449823-0-cib.jpg?v=1774453150, friendlyName=Open</x:v>
      </x:c>
      <x:c r="C906" s="24" t="e">
        <x:f>HYPERLINK("https://365nails.com/products/crimson-bloom-red-petal-long-almond-handmade-press-on-nails","Crimson Bloom: ""Red Petal"" – Long Almond Handmade Press On Nails")</x:f>
        <x:v>HYPERLINK is not implemented. linkLocation=https://365nails.com/products/crimson-bloom-red-petal-long-almond-handmade-press-on-nails, friendlyName=Crimson Bloom: "Red Petal" – Long Almond Handmade Press On Nails</x:v>
      </x:c>
      <x:c r="D906" s="18" t="str">
        <x:v>Color: D578; Color classification: X s / S / M / L</x:v>
      </x:c>
      <x:c r="E906" s="25" t="str">
        <x:v>$3.49</x:v>
      </x:c>
      <x:c r="F906" s="19" t="str">
        <x:v>1</x:v>
      </x:c>
    </x:row>
    <x:row r="907" ht="93" customHeight="1">
      <x:c r="A907" s="19" t="n">
        <x:v>904</x:v>
      </x:c>
      <x:c r="B907" s="22" t="e">
        <x:f>HYPERLINK("https://cdn.shopify.com/s/files/1/0918/6066/4603/files/O1CN01trHbxX2MQzdAgNRjg__2219089449823-0-cib.jpg?v=1774349144","Open")</x:f>
        <x:v>HYPERLINK is not implemented. linkLocation=https://cdn.shopify.com/s/files/1/0918/6066/4603/files/O1CN01trHbxX2MQzdAgNRjg__2219089449823-0-cib.jpg?v=1774349144, friendlyName=Open</x:v>
      </x:c>
      <x:c r="C907" s="24" t="e">
        <x:f>HYPERLINK("https://365nails.com/products/y2k-fantasy-neon-gem-candy-dream-square-press-ons","Y2K Fantasy: ""Neon Gem &amp; Candy Dream"" – Square Press Ons")</x:f>
        <x:v>HYPERLINK is not implemented. linkLocation=https://365nails.com/products/y2k-fantasy-neon-gem-candy-dream-square-press-ons, friendlyName=Y2K Fantasy: "Neon Gem &amp; Candy Dream" – Square Press Ons</x:v>
      </x:c>
      <x:c r="D907" s="18" t="str">
        <x:v>Color: L275; Color classification: X s / S / M / L</x:v>
      </x:c>
      <x:c r="E907" s="25" t="str">
        <x:v>$4.99</x:v>
      </x:c>
      <x:c r="F907" s="19" t="str">
        <x:v>1</x:v>
      </x:c>
    </x:row>
    <x:row r="908" ht="93" customHeight="1">
      <x:c r="A908" s="19" t="n">
        <x:v>905</x:v>
      </x:c>
      <x:c r="B908" s="22" t="e">
        <x:f>HYPERLINK("https://cdn.shopify.com/s/files/1/0918/6066/4603/files/O1CN01XbYdbD2MQzcsez693__2219089449823-0-cib.jpg?v=1774349123","Open")</x:f>
        <x:v>HYPERLINK is not implemented. linkLocation=https://cdn.shopify.com/s/files/1/0918/6066/4603/files/O1CN01XbYdbD2MQzcsez693__2219089449823-0-cib.jpg?v=1774349123, friendlyName=Open</x:v>
      </x:c>
      <x:c r="C908" s="24" t="e">
        <x:f>HYPERLINK("https://365nails.com/products/365nails-coral-sakura-gradient-medium-almond-pink-floral-handmade-press-on-nails","365nails: ""Coral Sakura Gradient"" – Medium Almond Pink Floral Handmade Press-On Nails")</x:f>
        <x:v>HYPERLINK is not implemented. linkLocation=https://365nails.com/products/365nails-coral-sakura-gradient-medium-almond-pink-floral-handmade-press-on-nails, friendlyName=365nails: "Coral Sakura Gradient" – Medium Almond Pink Floral Handmade Press-On Nails</x:v>
      </x:c>
      <x:c r="D908" s="18" t="str">
        <x:v>Color: D413; Color classification: X s / S / M / L</x:v>
      </x:c>
      <x:c r="E908" s="25" t="str">
        <x:v>$3.99</x:v>
      </x:c>
      <x:c r="F908" s="19" t="str">
        <x:v>1</x:v>
      </x:c>
    </x:row>
    <x:row r="909" ht="93" customHeight="1">
      <x:c r="A909" s="19" t="n">
        <x:v>906</x:v>
      </x:c>
      <x:c r="B909" s="22" t="e">
        <x:f>HYPERLINK("https://cdn.shopify.com/s/files/1/0918/6066/4603/files/O1CN01HlOL2p2MQzgHI2hbY__2219089449823-0-cib.jpg?v=1774349026","Open")</x:f>
        <x:v>HYPERLINK is not implemented. linkLocation=https://cdn.shopify.com/s/files/1/0918/6066/4603/files/O1CN01HlOL2p2MQzgHI2hbY__2219089449823-0-cib.jpg?v=1774349026, friendlyName=Open</x:v>
      </x:c>
      <x:c r="C909" s="24" t="e">
        <x:f>HYPERLINK("https://365nails.com/products/365nails-rainbow-starlet-short-square-nude-colorful-rhinestone-handmade-press-on-nails","365nails: ""Rainbow Starlet"" – Short Square Nude Colorful Rhinestone Handmade Press-On Nails")</x:f>
        <x:v>HYPERLINK is not implemented. linkLocation=https://365nails.com/products/365nails-rainbow-starlet-short-square-nude-colorful-rhinestone-handmade-press-on-nails, friendlyName=365nails: "Rainbow Starlet" – Short Square Nude Colorful Rhinestone Handmade Press-On Nails</x:v>
      </x:c>
      <x:c r="D909" s="18" t="str">
        <x:v>Color: C436; Color classification: X s / S / M / L</x:v>
      </x:c>
      <x:c r="E909" s="25" t="str">
        <x:v>$3.49</x:v>
      </x:c>
      <x:c r="F909" s="19" t="str">
        <x:v>1</x:v>
      </x:c>
    </x:row>
    <x:row r="910" ht="93" customHeight="1">
      <x:c r="A910" s="19" t="n">
        <x:v>907</x:v>
      </x:c>
      <x:c r="B910" s="22" t="e">
        <x:f>HYPERLINK("https://cdn.shopify.com/s/files/1/0918/6066/4603/files/O1CN01AyUbmy2MQzgEXseyF__2219089449823-0-cib.jpg?v=1774348986","Open")</x:f>
        <x:v>HYPERLINK is not implemented. linkLocation=https://cdn.shopify.com/s/files/1/0918/6066/4603/files/O1CN01AyUbmy2MQzgEXseyF__2219089449823-0-cib.jpg?v=1774348986, friendlyName=Open</x:v>
      </x:c>
      <x:c r="C910" s="24" t="e">
        <x:f>HYPERLINK("https://365nails.com/products/365nails-diamond-v-luxe-short-square-nude-v-french-rhinestone-handmade-press-on-nails","365nails: ""Diamond V-Luxe"" – Short Square Nude V-French Rhinestone Handmade Press-On Nails")</x:f>
        <x:v>HYPERLINK is not implemented. linkLocation=https://365nails.com/products/365nails-diamond-v-luxe-short-square-nude-v-french-rhinestone-handmade-press-on-nails, friendlyName=365nails: "Diamond V-Luxe" – Short Square Nude V-French Rhinestone Handmade Press-On Nails</x:v>
      </x:c>
      <x:c r="D910" s="18" t="str">
        <x:v>Color: L302; Color classification: X s / S / M / L</x:v>
      </x:c>
      <x:c r="E910" s="25" t="str">
        <x:v>$3.49</x:v>
      </x:c>
      <x:c r="F910" s="19" t="str">
        <x:v>1</x:v>
      </x:c>
    </x:row>
    <x:row r="911" ht="93" customHeight="1">
      <x:c r="A911" s="19" t="n">
        <x:v>908</x:v>
      </x:c>
      <x:c r="B911" s="22" t="e">
        <x:f>HYPERLINK("https://cdn.shopify.com/s/files/1/0918/6066/4603/files/O1CN01cf1X6V2MQzdp1azs8__2219089449823-0-cib.jpg?v=1774348952","Open")</x:f>
        <x:v>HYPERLINK is not implemented. linkLocation=https://cdn.shopify.com/s/files/1/0918/6066/4603/files/O1CN01cf1X6V2MQzdp1azs8__2219089449823-0-cib.jpg?v=1774348952, friendlyName=Open</x:v>
      </x:c>
      <x:c r="C911" s="24" t="e">
        <x:f>HYPERLINK("https://365nails.com/products/sweet-pastel-rainbow-floral-dots-medium-almond-multicolor-handmade-press-on","Sweet Pastel: ""Rainbow Floral Dots"" – Medium Almond Multicolor Handmade Press-On")</x:f>
        <x:v>HYPERLINK is not implemented. linkLocation=https://365nails.com/products/sweet-pastel-rainbow-floral-dots-medium-almond-multicolor-handmade-press-on, friendlyName=Sweet Pastel: "Rainbow Floral Dots" – Medium Almond Multicolor Handmade Press-On</x:v>
      </x:c>
      <x:c r="D911" s="18" t="str">
        <x:v>Color: D510; Color classification: X s / S / M / L</x:v>
      </x:c>
      <x:c r="E911" s="25" t="str">
        <x:v>$3.49</x:v>
      </x:c>
      <x:c r="F911" s="19" t="str">
        <x:v>1</x:v>
      </x:c>
    </x:row>
    <x:row r="912" ht="93" customHeight="1">
      <x:c r="A912" s="19" t="n">
        <x:v>909</x:v>
      </x:c>
      <x:c r="B912" s="22" t="e">
        <x:f>HYPERLINK("https://cdn.shopify.com/s/files/1/0918/6066/4603/files/O1CN01ebvdMI2MQzdi7oXaK__2219089449823-0-cib.jpg?v=1774348910","Open")</x:f>
        <x:v>HYPERLINK is not implemented. linkLocation=https://cdn.shopify.com/s/files/1/0918/6066/4603/files/O1CN01ebvdMI2MQzdi7oXaK__2219089449823-0-cib.jpg?v=1774348910, friendlyName=Open</x:v>
      </x:c>
      <x:c r="C912" s="24" t="e">
        <x:f>HYPERLINK("https://365nails.com/products/romantic-sakura-blush-sakura-french-medium-almond-nude-pink-gradient-handmade-press-on","Romantic Sakura: ""Blush Sakura French"" – Medium Almond Nude &amp; Pink Gradient Handmade Press-On")</x:f>
        <x:v>HYPERLINK is not implemented. linkLocation=https://365nails.com/products/romantic-sakura-blush-sakura-french-medium-almond-nude-pink-gradient-handmade-press-on, friendlyName=Romantic Sakura: "Blush Sakura French" – Medium Almond Nude &amp; Pink Gradient Handmade Press-On</x:v>
      </x:c>
      <x:c r="D912" s="18" t="str">
        <x:v>Color: (e23) sweet girl; Color classification: X s / S / M / L</x:v>
      </x:c>
      <x:c r="E912" s="25" t="str">
        <x:v>$3.49</x:v>
      </x:c>
      <x:c r="F912" s="19" t="str">
        <x:v>1</x:v>
      </x:c>
    </x:row>
    <x:row r="913" ht="93" customHeight="1">
      <x:c r="A913" s="19" t="n">
        <x:v>910</x:v>
      </x:c>
      <x:c r="B913" s="22" t="e">
        <x:f>HYPERLINK("https://cdn.shopify.com/s/files/1/0918/6066/4603/files/O1CN01eJVHBH2MQzcpKacjB__2219089449823-0-cib.jpg?v=1774349111","Open")</x:f>
        <x:v>HYPERLINK is not implemented. linkLocation=https://cdn.shopify.com/s/files/1/0918/6066/4603/files/O1CN01eJVHBH2MQzcpKacjB__2219089449823-0-cib.jpg?v=1774349111, friendlyName=Open</x:v>
      </x:c>
      <x:c r="C913" s="24" t="e">
        <x:f>HYPERLINK("https://365nails.com/products/365nails-rainbow-floral-mermaid-medium-almond-colorful-floral-handmade-press-on-nails","365nails: ""Rainbow Floral Mermaid"" – Medium Almond Colorful Floral Handmade Press-On Nails")</x:f>
        <x:v>HYPERLINK is not implemented. linkLocation=https://365nails.com/products/365nails-rainbow-floral-mermaid-medium-almond-colorful-floral-handmade-press-on-nails, friendlyName=365nails: "Rainbow Floral Mermaid" – Medium Almond Colorful Floral Handmade Press-On Nails</x:v>
      </x:c>
      <x:c r="D913" s="18" t="str">
        <x:v>Color: K033; Color classification: X s / S / M / L</x:v>
      </x:c>
      <x:c r="E913" s="25" t="str">
        <x:v>$3.99</x:v>
      </x:c>
      <x:c r="F913" s="19" t="str">
        <x:v>1</x:v>
      </x:c>
    </x:row>
    <x:row r="914" ht="93" customHeight="1">
      <x:c r="A914" s="19" t="n">
        <x:v>911</x:v>
      </x:c>
      <x:c r="B914" s="22" t="e">
        <x:f>HYPERLINK("https://cdn.shopify.com/s/files/1/0918/6066/4603/files/O1CN01LpA7Ry2MQzckXJFpo__2219089449823-0-cib.jpg?v=1774349102","Open")</x:f>
        <x:v>HYPERLINK is not implemented. linkLocation=https://cdn.shopify.com/s/files/1/0918/6066/4603/files/O1CN01LpA7Ry2MQzckXJFpo__2219089449823-0-cib.jpg?v=1774349102, friendlyName=Open</x:v>
      </x:c>
      <x:c r="C914" s="24" t="e">
        <x:f>HYPERLINK("https://365nails.com/products/365nails-tropical-orchid-gradient-medium-almond-floral-fruit-handmade-press-on-nails","365nails: ""Tropical Orchid Gradient"" – Medium Almond Floral Fruit Handmade Press-On Nails")</x:f>
        <x:v>HYPERLINK is not implemented. linkLocation=https://365nails.com/products/365nails-tropical-orchid-gradient-medium-almond-floral-fruit-handmade-press-on-nails, friendlyName=365nails: "Tropical Orchid Gradient" – Medium Almond Floral Fruit Handmade Press-On Nails</x:v>
      </x:c>
      <x:c r="D914" s="18" t="str">
        <x:v>Color: D361; Color classification: X s / S / M / L</x:v>
      </x:c>
      <x:c r="E914" s="25" t="str">
        <x:v>$3.99</x:v>
      </x:c>
      <x:c r="F914" s="19" t="str">
        <x:v>1</x:v>
      </x:c>
    </x:row>
    <x:row r="915" ht="93" customHeight="1">
      <x:c r="A915" s="19" t="n">
        <x:v>912</x:v>
      </x:c>
      <x:c r="B915" s="22" t="e">
        <x:f>HYPERLINK("https://cdn.shopify.com/s/files/1/0918/6066/4603/files/O1CN019RGv242MQzcWPstSm__2219089449823-0-cib.jpg?v=1774349094","Open")</x:f>
        <x:v>HYPERLINK is not implemented. linkLocation=https://cdn.shopify.com/s/files/1/0918/6066/4603/files/O1CN019RGv242MQzcWPstSm__2219089449823-0-cib.jpg?v=1774349094, friendlyName=Open</x:v>
      </x:c>
      <x:c r="C915" s="24" t="e">
        <x:f>HYPERLINK("https://365nails.com/products/365nails-ocean-seashell-mermaid-medium-almond-blue-marine-handmade-press-on-nails","365nails: ""Ocean Seashell Mermaid"" – Medium Almond Blue Marine Handmade Press-On Nails")</x:f>
        <x:v>HYPERLINK is not implemented. linkLocation=https://365nails.com/products/365nails-ocean-seashell-mermaid-medium-almond-blue-marine-handmade-press-on-nails, friendlyName=365nails: "Ocean Seashell Mermaid" – Medium Almond Blue Marine Handmade Press-On Nails</x:v>
      </x:c>
      <x:c r="D915" s="18" t="str">
        <x:v>Color: D317; Color classification: X s / S / M / L</x:v>
      </x:c>
      <x:c r="E915" s="25" t="str">
        <x:v>$3.99</x:v>
      </x:c>
      <x:c r="F915" s="19" t="str">
        <x:v>1</x:v>
      </x:c>
    </x:row>
    <x:row r="916" ht="93" customHeight="1">
      <x:c r="A916" s="19" t="n">
        <x:v>913</x:v>
      </x:c>
      <x:c r="B916" s="22" t="e">
        <x:f>HYPERLINK("https://cdn.shopify.com/s/files/1/0918/6066/4603/files/O1CN01FMcKFe2AHa6eKQqpB__6000000008178-0-cib.jpg?v=1774349034","Open")</x:f>
        <x:v>HYPERLINK is not implemented. linkLocation=https://cdn.shopify.com/s/files/1/0918/6066/4603/files/O1CN01FMcKFe2AHa6eKQqpB__6000000008178-0-cib.jpg?v=1774349034, friendlyName=Open</x:v>
      </x:c>
      <x:c r="C916" s="24" t="e">
        <x:f>HYPERLINK("https://365nails.com/products/365nails-azure-blossom-breeze-medium-almond-blue-pink-floral-handmade-press-on-nails","365nails: ""Azure Blossom Breeze"" – Medium Almond Blue-Pink Floral Handmade Press-On Nails")</x:f>
        <x:v>HYPERLINK is not implemented. linkLocation=https://365nails.com/products/365nails-azure-blossom-breeze-medium-almond-blue-pink-floral-handmade-press-on-nails, friendlyName=365nails: "Azure Blossom Breeze" – Medium Almond Blue-Pink Floral Handmade Press-On Nails</x:v>
      </x:c>
      <x:c r="D916" s="18" t="str">
        <x:v>Color: D430; Color classification: X s / S / M / L</x:v>
      </x:c>
      <x:c r="E916" s="25" t="str">
        <x:v>$3.49</x:v>
      </x:c>
      <x:c r="F916" s="19" t="str">
        <x:v>1</x:v>
      </x:c>
    </x:row>
    <x:row r="917" ht="93" customHeight="1">
      <x:c r="A917" s="19" t="n">
        <x:v>914</x:v>
      </x:c>
      <x:c r="B917" s="22" t="e">
        <x:f>HYPERLINK("https://cdn.shopify.com/s/files/1/0918/6066/4603/files/O1CN01WCFWin2MQzdkoLHI1__2219089449823-0-cib.jpg?v=1774348936","Open")</x:f>
        <x:v>HYPERLINK is not implemented. linkLocation=https://cdn.shopify.com/s/files/1/0918/6066/4603/files/O1CN01WCFWin2MQzdkoLHI1__2219089449823-0-cib.jpg?v=1774348936, friendlyName=Open</x:v>
      </x:c>
      <x:c r="C917" s="24" t="e">
        <x:f>HYPERLINK("https://365nails.com/products/y2k-punk-kawaii-pink-flame-bunny-short-square-black-pink-cartoon-handmade-press-on","Y2K Punk Kawaii: ""Pink Flame Bunny"" – Short Square Black &amp; Pink Cartoon Handmade Press-On")</x:f>
        <x:v>HYPERLINK is not implemented. linkLocation=https://365nails.com/products/y2k-punk-kawaii-pink-flame-bunny-short-square-black-pink-cartoon-handmade-press-on, friendlyName=Y2K Punk Kawaii: "Pink Flame Bunny" – Short Square Black &amp; Pink Cartoon Handmade Press-On</x:v>
      </x:c>
      <x:c r="D917" s="18" t="str">
        <x:v>Color: L281; Color classification: X s / S / M / L</x:v>
      </x:c>
      <x:c r="E917" s="25" t="str">
        <x:v>$4.99</x:v>
      </x:c>
      <x:c r="F917" s="19" t="str">
        <x:v>1</x:v>
      </x:c>
    </x:row>
    <x:row r="918" ht="93" customHeight="1">
      <x:c r="A918" s="19" t="n">
        <x:v>915</x:v>
      </x:c>
      <x:c r="B918" s="22" t="e">
        <x:f>HYPERLINK("https://cdn.shopify.com/s/files/1/0918/6066/4603/files/O1CN013r7Uje2MQzdlg93w9__2219089449823-0-cib.jpg?v=1774348927","Open")</x:f>
        <x:v>HYPERLINK is not implemented. linkLocation=https://cdn.shopify.com/s/files/1/0918/6066/4603/files/O1CN013r7Uje2MQzdlg93w9__2219089449823-0-cib.jpg?v=1774348927, friendlyName=Open</x:v>
      </x:c>
      <x:c r="C918" s="24" t="e">
        <x:f>HYPERLINK("https://365nails.com/products/whimsical-fantasy-rainbow-garden-bloom-long-almond-multicolor-floral-handmade-press-on","Whimsical Fantasy: ""Rainbow Garden Bloom"" – Long Almond Multicolor Floral Handmade Press-On")</x:f>
        <x:v>HYPERLINK is not implemented. linkLocation=https://365nails.com/products/whimsical-fantasy-rainbow-garden-bloom-long-almond-multicolor-floral-handmade-press-on, friendlyName=Whimsical Fantasy: "Rainbow Garden Bloom" – Long Almond Multicolor Floral Handmade Press-On</x:v>
      </x:c>
      <x:c r="D918" s="18" t="str">
        <x:v>Color: M118; Color classification: X s / S / M / L</x:v>
      </x:c>
      <x:c r="E918" s="25" t="str">
        <x:v>$4.99</x:v>
      </x:c>
      <x:c r="F918" s="19" t="str">
        <x:v>1</x:v>
      </x:c>
    </x:row>
    <x:row r="919" ht="93" customHeight="1">
      <x:c r="A919" s="19" t="n">
        <x:v>916</x:v>
      </x:c>
      <x:c r="B919" s="22" t="e">
        <x:f>HYPERLINK("https://cdn.shopify.com/s/files/1/0918/6066/4603/files/O1CN01pAnwi12MQzdhTnPOm__2219089449823-0-cib.jpg?v=1774348906","Open")</x:f>
        <x:v>HYPERLINK is not implemented. linkLocation=https://cdn.shopify.com/s/files/1/0918/6066/4603/files/O1CN01pAnwi12MQzdhTnPOm__2219089449823-0-cib.jpg?v=1774348906, friendlyName=Open</x:v>
      </x:c>
      <x:c r="C919" s="24" t="e">
        <x:f>HYPERLINK("https://365nails.com/products/elegant-coastal-azure-bloom-french-medium-almond-nude-blue-gradient-handmade-press-on","Elegant Coastal: ""Azure Bloom French"" – Medium Almond Nude &amp; Blue Gradient Handmade Press-On")</x:f>
        <x:v>HYPERLINK is not implemented. linkLocation=https://365nails.com/products/elegant-coastal-azure-bloom-french-medium-almond-nude-blue-gradient-handmade-press-on, friendlyName=Elegant Coastal: "Azure Bloom French" – Medium Almond Nude &amp; Blue Gradient Handmade Press-On</x:v>
      </x:c>
      <x:c r="D919" s="18" t="str">
        <x:v>Color: (e24) ambrosial almond nail polish; Color classification: X s / S / M / L</x:v>
      </x:c>
      <x:c r="E919" s="25" t="str">
        <x:v>$3.49</x:v>
      </x:c>
      <x:c r="F919" s="19" t="str">
        <x:v>1</x:v>
      </x:c>
    </x:row>
    <x:row r="920" ht="93" customHeight="1">
      <x:c r="A920" s="19" t="n">
        <x:v>917</x:v>
      </x:c>
      <x:c r="B920" s="22" t="e">
        <x:f>HYPERLINK("https://cdn.shopify.com/s/files/1/0918/6066/4603/files/O1CN019pFF0N2214vfJNKcU__2219480337059-0-cib_21b59238-5e76-41d3-9a65-99d9357003c4.jpg?v=1774579463","Open")</x:f>
        <x:v>HYPERLINK is not implemented. linkLocation=https://cdn.shopify.com/s/files/1/0918/6066/4603/files/O1CN019pFF0N2214vfJNKcU__2219480337059-0-cib_21b59238-5e76-41d3-9a65-99d9357003c4.jpg?v=1774579463, friendlyName=Open</x:v>
      </x:c>
      <x:c r="C920" s="24" t="e">
        <x:f>HYPERLINK("https://365nails.com/products/sweet-heart-glitter-pink-red-short-square-press-on-nails","365nails: ""ruby heart sparkle"" – short wide handmade kids press-on nails")</x:f>
        <x:v>HYPERLINK is not implemented. linkLocation=https://365nails.com/products/sweet-heart-glitter-pink-red-short-square-press-on-nails, friendlyName=365nails: "ruby heart sparkle" – short wide handmade kids press-on nails</x:v>
      </x:c>
      <x:c r="D920" s="18" t="str">
        <x:v>Color: 10316 sequin cat eye; Color classification: Xs (about 2 years old) / S (3-4 years old) / M (5-7 years old) / L (8-11 years old)</x:v>
      </x:c>
      <x:c r="E920" s="25" t="str">
        <x:v>$2.99</x:v>
      </x:c>
      <x:c r="F920" s="19" t="str">
        <x:v>3</x:v>
      </x:c>
    </x:row>
    <x:row r="921" ht="93" customHeight="1">
      <x:c r="A921" s="19" t="n">
        <x:v>918</x:v>
      </x:c>
      <x:c r="B921" s="22" t="e">
        <x:f>HYPERLINK("https://cdn.shopify.com/s/files/1/0918/6066/4603/files/O1CN01eJH3L52214usyx1N5__2219480337059-0-cib.jpg?v=1773321070","Open")</x:f>
        <x:v>HYPERLINK is not implemented. linkLocation=https://cdn.shopify.com/s/files/1/0918/6066/4603/files/O1CN01eJH3L52214usyx1N5__2219480337059-0-cib.jpg?v=1773321070, friendlyName=Open</x:v>
      </x:c>
      <x:c r="C921" s="24" t="e">
        <x:f>HYPERLINK("https://365nails.com/products/365nails-crystal-red-strawberry-short-round-handmade-kids-press-on-nails","365nails: ""crystal red strawberry"" – short round handmade kids press-on nails")</x:f>
        <x:v>HYPERLINK is not implemented. linkLocation=https://365nails.com/products/365nails-crystal-red-strawberry-short-round-handmade-kids-press-on-nails, friendlyName=365nails: "crystal red strawberry" – short round handmade kids press-on nails</x:v>
      </x:c>
      <x:c r="D921" s="18" t="str">
        <x:v>Color: H cat eye strawberry; Color classification: Xs (about 2 years old) / S (3-4 years old) / M (5-7 years old) / L (8-11 years old)</x:v>
      </x:c>
      <x:c r="E921" s="25" t="str">
        <x:v>$2.99</x:v>
      </x:c>
      <x:c r="F921" s="19" t="str">
        <x:v>3</x:v>
      </x:c>
    </x:row>
    <x:row r="922" ht="93" customHeight="1">
      <x:c r="A922" s="19" t="n">
        <x:v>919</x:v>
      </x:c>
      <x:c r="B922" s="22" t="e">
        <x:f>HYPERLINK("https://cdn.shopify.com/s/files/1/0918/6066/4603/files/O1CN01t99cvK2MQzfgenitQ__2219089449823-0-cib.jpg?v=1774258083","Open")</x:f>
        <x:v>HYPERLINK is not implemented. linkLocation=https://cdn.shopify.com/s/files/1/0918/6066/4603/files/O1CN01t99cvK2MQzfgenitQ__2219089449823-0-cib.jpg?v=1774258083, friendlyName=Open</x:v>
      </x:c>
      <x:c r="C922" s="24" t="e">
        <x:f>HYPERLINK("https://365nails.com/products/ocean-star-silver-glitter-flower-almond-shape-handmade-press-on-nails","Ocean Star: ""Silver Glitter Flower"" – Almond Shape Handmade Press-On Nails")</x:f>
        <x:v>HYPERLINK is not implemented. linkLocation=https://365nails.com/products/ocean-star-silver-glitter-flower-almond-shape-handmade-press-on-nails, friendlyName=Ocean Star: "Silver Glitter Flower" – Almond Shape Handmade Press-On Nails</x:v>
      </x:c>
      <x:c r="D922" s="18" t="str">
        <x:v>Color: D615; Color classification: X s / S / M / L</x:v>
      </x:c>
      <x:c r="E922" s="25" t="str">
        <x:v>$3.49</x:v>
      </x:c>
      <x:c r="F922" s="19" t="str">
        <x:v>1</x:v>
      </x:c>
    </x:row>
    <x:row r="923" ht="93" customHeight="1">
      <x:c r="A923" s="19" t="n">
        <x:v>920</x:v>
      </x:c>
      <x:c r="B923" s="22" t="e">
        <x:f>HYPERLINK("https://cdn.shopify.com/s/files/1/0918/6066/4603/files/O1CN012v8uud2MQzfPoPQD0__2219089449823-0-cib.jpg?v=1774257992","Open")</x:f>
        <x:v>HYPERLINK is not implemented. linkLocation=https://cdn.shopify.com/s/files/1/0918/6066/4603/files/O1CN012v8uud2MQzfPoPQD0__2219089449823-0-cib.jpg?v=1774257992, friendlyName=Open</x:v>
      </x:c>
      <x:c r="C923" s="24" t="e">
        <x:f>HYPERLINK("https://365nails.com/products/ocean-deep-mystic-sea-shell-almond-shape-handmade-press-on-nails","Ocean Deep: ""Mystic Sea Shell"" – Almond Shape Handmade Press-On Nails")</x:f>
        <x:v>HYPERLINK is not implemented. linkLocation=https://365nails.com/products/ocean-deep-mystic-sea-shell-almond-shape-handmade-press-on-nails, friendlyName=Ocean Deep: "Mystic Sea Shell" – Almond Shape Handmade Press-On Nails</x:v>
      </x:c>
      <x:c r="D923" s="18" t="str">
        <x:v>Color: (e33) starburst symphony - short almond; Color classification: X s / S / M / L</x:v>
      </x:c>
      <x:c r="E923" s="25" t="str">
        <x:v>$3.49</x:v>
      </x:c>
      <x:c r="F923" s="19" t="str">
        <x:v>1</x:v>
      </x:c>
    </x:row>
    <x:row r="924" ht="93" customHeight="1">
      <x:c r="A924" s="19" t="n">
        <x:v>921</x:v>
      </x:c>
      <x:c r="B924" s="22" t="e">
        <x:f>HYPERLINK("https://cdn.shopify.com/s/files/1/0918/6066/4603/files/O1CN01jIAaYk2MQzfxQEHYG__2219089449823-0-cib.jpg?v=1774275877","Open")</x:f>
        <x:v>HYPERLINK is not implemented. linkLocation=https://cdn.shopify.com/s/files/1/0918/6066/4603/files/O1CN01jIAaYk2MQzfxQEHYG__2219089449823-0-cib.jpg?v=1774275877, friendlyName=Open</x:v>
      </x:c>
      <x:c r="C924" s="24" t="e">
        <x:f>HYPERLINK("https://365nails.com/products/dark-serpent-cobra-scale-extra-long-square-press-on-nails","Dark Serpent: ""Cobra Scale"" – Extra Long Square Press-On Nails")</x:f>
        <x:v>HYPERLINK is not implemented. linkLocation=https://365nails.com/products/dark-serpent-cobra-scale-extra-long-square-press-on-nails, friendlyName=Dark Serpent: "Cobra Scale" – Extra Long Square Press-On Nails</x:v>
      </x:c>
      <x:c r="D924" s="18" t="str">
        <x:v>Color: L009; Color classification: S / M / L</x:v>
      </x:c>
      <x:c r="E924" s="25" t="str">
        <x:v>$4.99</x:v>
      </x:c>
      <x:c r="F924" s="19" t="str">
        <x:v>1</x:v>
      </x:c>
    </x:row>
    <x:row r="925" ht="93" customHeight="1">
      <x:c r="A925" s="19" t="n">
        <x:v>922</x:v>
      </x:c>
      <x:c r="B925" s="22" t="e">
        <x:f>HYPERLINK("https://cdn.shopify.com/s/files/1/0918/6066/4603/files/O1CN01jl8EP72MQzfsCxkN4__2219089449823-0-cib.jpg?v=1774275829","Open")</x:f>
        <x:v>HYPERLINK is not implemented. linkLocation=https://cdn.shopify.com/s/files/1/0918/6066/4603/files/O1CN01jl8EP72MQzfsCxkN4__2219089449823-0-cib.jpg?v=1774275829, friendlyName=Open</x:v>
      </x:c>
      <x:c r="C925" s="24" t="e">
        <x:f>HYPERLINK("https://365nails.com/products/beach-wave-mint-tropic-long-almond-press-on-nails","Beach Wave: ""Mint Tropic"" – Long Almond Press-On Nails")</x:f>
        <x:v>HYPERLINK is not implemented. linkLocation=https://365nails.com/products/beach-wave-mint-tropic-long-almond-press-on-nails, friendlyName=Beach Wave: "Mint Tropic" – Long Almond Press-On Nails</x:v>
      </x:c>
      <x:c r="D925" s="18" t="str">
        <x:v>Color: 331/q31; Color classification: S / M / L</x:v>
      </x:c>
      <x:c r="E925" s="25" t="str">
        <x:v>$2.99</x:v>
      </x:c>
      <x:c r="F925" s="19" t="str">
        <x:v>1</x:v>
      </x:c>
    </x:row>
    <x:row r="926" ht="93" customHeight="1">
      <x:c r="A926" s="19" t="n">
        <x:v>923</x:v>
      </x:c>
      <x:c r="B926" s="22" t="e">
        <x:f>HYPERLINK("https://cdn.shopify.com/s/files/1/0918/6066/4603/files/O1CN011pAjZn2MQzfsCTwPH__2219089449823-0-cib.jpg?v=1774275811","Open")</x:f>
        <x:v>HYPERLINK is not implemented. linkLocation=https://cdn.shopify.com/s/files/1/0918/6066/4603/files/O1CN011pAjZn2MQzfsCTwPH__2219089449823-0-cib.jpg?v=1774275811, friendlyName=Open</x:v>
      </x:c>
      <x:c r="C926" s="24" t="e">
        <x:f>HYPERLINK("https://365nails.com/products/barbie-glow-butterfly-blush-extra-long-square-press-on-nails","Barbie Glow: ""Butterfly Blush"" – Extra Long Square Press-On Nails")</x:f>
        <x:v>HYPERLINK is not implemented. linkLocation=https://365nails.com/products/barbie-glow-butterfly-blush-extra-long-square-press-on-nails, friendlyName=Barbie Glow: "Butterfly Blush" – Extra Long Square Press-On Nails</x:v>
      </x:c>
      <x:c r="D926" s="18" t="str">
        <x:v>Color: L003; Color classification: S / M / L</x:v>
      </x:c>
      <x:c r="E926" s="25" t="str">
        <x:v>$4.99</x:v>
      </x:c>
      <x:c r="F926" s="19" t="str">
        <x:v>1</x:v>
      </x:c>
    </x:row>
    <x:row r="927" ht="93" customHeight="1">
      <x:c r="A927" s="19" t="n">
        <x:v>924</x:v>
      </x:c>
      <x:c r="B927" s="22" t="e">
        <x:f>HYPERLINK("https://cdn.shopify.com/s/files/1/0918/6066/4603/files/O1CN01wsR1Tw2MQzfkU5Bcs__2219089449823-0-cib.jpg?v=1774275797","Open")</x:f>
        <x:v>HYPERLINK is not implemented. linkLocation=https://cdn.shopify.com/s/files/1/0918/6066/4603/files/O1CN01wsR1Tw2MQzfkU5Bcs__2219089449823-0-cib.jpg?v=1774275797, friendlyName=Open</x:v>
      </x:c>
      <x:c r="C927" s="24" t="e">
        <x:f>HYPERLINK("https://365nails.com/products/ballet-dream-tutu-grace-short-almond-press-on-nails","Ballet Dream: ""Tutu Grace"" – Short Almond Press-On Nails")</x:f>
        <x:v>HYPERLINK is not implemented. linkLocation=https://365nails.com/products/ballet-dream-tutu-grace-short-almond-press-on-nails, friendlyName=Ballet Dream: "Tutu Grace" – Short Almond Press-On Nails</x:v>
      </x:c>
      <x:c r="D927" s="18" t="str">
        <x:v>Color: C 414; Color classification: X s / S / M / L</x:v>
      </x:c>
      <x:c r="E927" s="25" t="str">
        <x:v>$3.99</x:v>
      </x:c>
      <x:c r="F927" s="19" t="str">
        <x:v>1</x:v>
      </x:c>
    </x:row>
    <x:row r="928" ht="93" customHeight="1">
      <x:c r="A928" s="19" t="n">
        <x:v>925</x:v>
      </x:c>
      <x:c r="B928" s="22" t="e">
        <x:f>HYPERLINK("https://cdn.shopify.com/s/files/1/0918/6066/4603/files/O1CN0195xazB2MQzfgfJCug__2219089449823-0-cib.jpg?v=1774258087","Open")</x:f>
        <x:v>HYPERLINK is not implemented. linkLocation=https://cdn.shopify.com/s/files/1/0918/6066/4603/files/O1CN0195xazB2MQzfgfJCug__2219089449823-0-cib.jpg?v=1774258087, friendlyName=Open</x:v>
      </x:c>
      <x:c r="C928" s="24" t="e">
        <x:f>HYPERLINK("https://365nails.com/products/serpent-noir-black-french-snake-long-stiletto-shape-handmade-press-on-nails","Serpent Noir: ""Black French Snake"" – Long Stiletto Shape Handmade Press-On Nails")</x:f>
        <x:v>HYPERLINK is not implemented. linkLocation=https://365nails.com/products/serpent-noir-black-french-snake-long-stiletto-shape-handmade-press-on-nails, friendlyName=Serpent Noir: "Black French Snake" – Long Stiletto Shape Handmade Press-On Nails</x:v>
      </x:c>
      <x:c r="D928" s="18" t="str">
        <x:v>Color: L006; Color classification: S / M / L</x:v>
      </x:c>
      <x:c r="E928" s="25" t="str">
        <x:v>$4.99</x:v>
      </x:c>
      <x:c r="F928" s="19" t="str">
        <x:v>1</x:v>
      </x:c>
    </x:row>
    <x:row r="929" ht="93" customHeight="1">
      <x:c r="A929" s="19" t="n">
        <x:v>926</x:v>
      </x:c>
      <x:c r="B929" s="22" t="e">
        <x:f>HYPERLINK("https://cdn.shopify.com/s/files/1/0918/6066/4603/files/O1CN01MGNTsp2MQzfP0dUX0__2219089449823-0-cib.jpg?v=1774258007","Open")</x:f>
        <x:v>HYPERLINK is not implemented. linkLocation=https://cdn.shopify.com/s/files/1/0918/6066/4603/files/O1CN01MGNTsp2MQzfP0dUX0__2219089449823-0-cib.jpg?v=1774258007, friendlyName=Open</x:v>
      </x:c>
      <x:c r="C929" s="24" t="e">
        <x:f>HYPERLINK("https://365nails.com/products/dark-fantasy-gothic-floral-star-almond-shape-handmade-press-on-nails","Dark Fantasy: ""Gothic Floral Star"" – Almond Shape Handmade Press-On Nails")</x:f>
        <x:v>HYPERLINK is not implemented. linkLocation=https://365nails.com/products/dark-fantasy-gothic-floral-star-almond-shape-handmade-press-on-nails, friendlyName=Dark Fantasy: "Gothic Floral Star" – Almond Shape Handmade Press-On Nails</x:v>
      </x:c>
      <x:c r="D929" s="18" t="str">
        <x:v>Color: D623; Color classification: X s / S / M / L</x:v>
      </x:c>
      <x:c r="E929" s="25" t="str">
        <x:v>$3.49</x:v>
      </x:c>
      <x:c r="F929" s="19" t="str">
        <x:v>1</x:v>
      </x:c>
    </x:row>
    <x:row r="930" ht="93" customHeight="1">
      <x:c r="A930" s="19" t="n">
        <x:v>927</x:v>
      </x:c>
      <x:c r="B930" s="22" t="e">
        <x:f>HYPERLINK("https://cdn.shopify.com/s/files/1/0918/6066/4603/files/O1CN01ey1OLN2MQzeYMwiQ0__2219089449823-0-cib.jpg?v=1774178675","Open")</x:f>
        <x:v>HYPERLINK is not implemented. linkLocation=https://cdn.shopify.com/s/files/1/0918/6066/4603/files/O1CN01ey1OLN2MQzeYMwiQ0__2219089449823-0-cib.jpg?v=1774178675, friendlyName=Open</x:v>
      </x:c>
      <x:c r="C930" s="24" t="e">
        <x:f>HYPERLINK("https://365nails.com/products/ocean-whisper-series-seashell-starlight-almond-handmade-press-on-nails","Ocean Whisper Series: ""Seashell Starlight"" – Almond Handmade Press-on Nails")</x:f>
        <x:v>HYPERLINK is not implemented. linkLocation=https://365nails.com/products/ocean-whisper-series-seashell-starlight-almond-handmade-press-on-nails, friendlyName=Ocean Whisper Series: "Seashell Starlight" – Almond Handmade Press-on Nails</x:v>
      </x:c>
      <x:c r="D930" s="18" t="str">
        <x:v>Color: (d38x) xingyu beiyu--short almond; Color classification: X s / S / M / L</x:v>
      </x:c>
      <x:c r="E930" s="25" t="str">
        <x:v>$3.49</x:v>
      </x:c>
      <x:c r="F930" s="19" t="str">
        <x:v>1</x:v>
      </x:c>
    </x:row>
    <x:row r="931" ht="93" customHeight="1">
      <x:c r="A931" s="19" t="n">
        <x:v>928</x:v>
      </x:c>
      <x:c r="B931" s="22" t="e">
        <x:f>HYPERLINK("https://cdn.shopify.com/s/files/1/0918/6066/4603/files/O1CN012Kc3ow2MQzeOz59Cr__2219089449823-0-cib.jpg?v=1774178621","Open")</x:f>
        <x:v>HYPERLINK is not implemented. linkLocation=https://cdn.shopify.com/s/files/1/0918/6066/4603/files/O1CN012Kc3ow2MQzeOz59Cr__2219089449823-0-cib.jpg?v=1774178621, friendlyName=Open</x:v>
      </x:c>
      <x:c r="C931" s="24" t="e">
        <x:f>HYPERLINK("https://365nails.com/products/wild-leopard-series-daisy-leopard-almond-handmade-press-on-nails","Wild Leopard Series: ""Daisy Leopard"" – Almond Handmade Press-on Nails")</x:f>
        <x:v>HYPERLINK is not implemented. linkLocation=https://365nails.com/products/wild-leopard-series-daisy-leopard-almond-handmade-press-on-nails, friendlyName=Wild Leopard Series: "Daisy Leopard" – Almond Handmade Press-on Nails</x:v>
      </x:c>
      <x:c r="D931" s="18" t="str">
        <x:v>Color: D545; Color classification: X s / S / M / L</x:v>
      </x:c>
      <x:c r="E931" s="25" t="str">
        <x:v>$3.49</x:v>
      </x:c>
      <x:c r="F931" s="19" t="str">
        <x:v>1</x:v>
      </x:c>
    </x:row>
    <x:row r="932" ht="93" customHeight="1">
      <x:c r="A932" s="19" t="n">
        <x:v>929</x:v>
      </x:c>
      <x:c r="B932" s="22" t="e">
        <x:f>HYPERLINK("https://cdn.shopify.com/s/files/1/0918/6066/4603/files/O1CN01S6CSj02MQzdEJTLJZ__2219089449823-0-cib.jpg?v=1774349160","Open")</x:f>
        <x:v>HYPERLINK is not implemented. linkLocation=https://cdn.shopify.com/s/files/1/0918/6066/4603/files/O1CN01S6CSj02MQzdEJTLJZ__2219089449823-0-cib.jpg?v=1774349160, friendlyName=Open</x:v>
      </x:c>
      <x:c r="C932" s="24" t="e">
        <x:f>HYPERLINK("https://365nails.com/products/mint-breeze-daisy-polka-dot-almond-press-ons","Mint Breeze: ""Daisy &amp; Polka Dot"" – Almond Press Ons")</x:f>
        <x:v>HYPERLINK is not implemented. linkLocation=https://365nails.com/products/mint-breeze-daisy-polka-dot-almond-press-ons, friendlyName=Mint Breeze: "Daisy &amp; Polka Dot" – Almond Press Ons</x:v>
      </x:c>
      <x:c r="D932" s="18" t="str">
        <x:v>Color: D467; Color classification: X s / S / M / L</x:v>
      </x:c>
      <x:c r="E932" s="25" t="str">
        <x:v>$3.99</x:v>
      </x:c>
      <x:c r="F932" s="19" t="str">
        <x:v>1</x:v>
      </x:c>
    </x:row>
    <x:row r="933" ht="93" customHeight="1">
      <x:c r="A933" s="19" t="n">
        <x:v>930</x:v>
      </x:c>
      <x:c r="B933" s="22" t="e">
        <x:f>HYPERLINK("https://cdn.shopify.com/s/files/1/0918/6066/4603/files/O1CN012xl0RM2MQzfi0wkd6__2219089449823-0-cib.jpg?v=1774258100","Open")</x:f>
        <x:v>HYPERLINK is not implemented. linkLocation=https://cdn.shopify.com/s/files/1/0918/6066/4603/files/O1CN012xl0RM2MQzfi0wkd6__2219089449823-0-cib.jpg?v=1774258100, friendlyName=Open</x:v>
      </x:c>
      <x:c r="C933" s="24" t="e">
        <x:f>HYPERLINK("https://365nails.com/products/daisy-dot-polka-dot-french-flower-almond-shape-handmade-press-on-nails","Daisy Dot: ""Polka Dot French Flower"" – Almond Shape Handmade Press-On Nails")</x:f>
        <x:v>HYPERLINK is not implemented. linkLocation=https://365nails.com/products/daisy-dot-polka-dot-french-flower-almond-shape-handmade-press-on-nails, friendlyName=Daisy Dot: "Polka Dot French Flower" – Almond Shape Handmade Press-On Nails</x:v>
      </x:c>
      <x:c r="D933" s="18" t="str">
        <x:v>Color: D612; Color classification: X s / S / M / L</x:v>
      </x:c>
      <x:c r="E933" s="25" t="str">
        <x:v>$3.49</x:v>
      </x:c>
      <x:c r="F933" s="19" t="str">
        <x:v>1</x:v>
      </x:c>
    </x:row>
    <x:row r="934" ht="93" customHeight="1">
      <x:c r="A934" s="19" t="n">
        <x:v>931</x:v>
      </x:c>
      <x:c r="B934" s="22" t="e">
        <x:f>HYPERLINK("https://cdn.shopify.com/s/files/1/0918/6066/4603/files/O1CN010pqZiJ2MQzfkvpG0N__2219089449823-0-cib.jpg?v=1774258079","Open")</x:f>
        <x:v>HYPERLINK is not implemented. linkLocation=https://cdn.shopify.com/s/files/1/0918/6066/4603/files/O1CN010pqZiJ2MQzfkvpG0N__2219089449823-0-cib.jpg?v=1774258079, friendlyName=Open</x:v>
      </x:c>
      <x:c r="C934" s="24" t="e">
        <x:f>HYPERLINK("https://365nails.com/products/cherry-bow-nude-red-french-short-square-shape-handmade-press-on-nails","Cherry Bow: ""Nude Red French"" – Short Square Shape Handmade Press-On Nails")</x:f>
        <x:v>HYPERLINK is not implemented. linkLocation=https://365nails.com/products/cherry-bow-nude-red-french-short-square-shape-handmade-press-on-nails, friendlyName=Cherry Bow: "Nude Red French" – Short Square Shape Handmade Press-On Nails</x:v>
      </x:c>
      <x:c r="D934" s="18" t="str">
        <x:v>Color: C 390; Color classification: X s / S / M / L</x:v>
      </x:c>
      <x:c r="E934" s="25" t="str">
        <x:v>$3.49</x:v>
      </x:c>
      <x:c r="F934" s="19" t="str">
        <x:v>1</x:v>
      </x:c>
    </x:row>
    <x:row r="935" ht="93" customHeight="1">
      <x:c r="A935" s="19" t="n">
        <x:v>932</x:v>
      </x:c>
      <x:c r="B935" s="22" t="e">
        <x:f>HYPERLINK("https://cdn.shopify.com/s/files/1/0918/6066/4603/files/O1CN01O6vvNT2MQzfS4W7P1__2219089449823-0-cib.jpg?v=1774258028","Open")</x:f>
        <x:v>HYPERLINK is not implemented. linkLocation=https://cdn.shopify.com/s/files/1/0918/6066/4603/files/O1CN01O6vvNT2MQzfS4W7P1__2219089449823-0-cib.jpg?v=1774258028, friendlyName=Open</x:v>
      </x:c>
      <x:c r="C935" s="24" t="e">
        <x:f>HYPERLINK("https://365nails.com/products/y2k-pop-neon-tiger-star-square-shape-handmade-press","Y2K Pop: ""Neon Tiger Star"" – Square Shape Handmade Press")</x:f>
        <x:v>HYPERLINK is not implemented. linkLocation=https://365nails.com/products/y2k-pop-neon-tiger-star-square-shape-handmade-press, friendlyName=Y2K Pop: "Neon Tiger Star" – Square Shape Handmade Press</x:v>
      </x:c>
      <x:c r="D935" s="18" t="str">
        <x:v>Color: L191; Color classification: X s / S / M / L</x:v>
      </x:c>
      <x:c r="E935" s="25" t="str">
        <x:v>$4.99</x:v>
      </x:c>
      <x:c r="F935" s="19" t="str">
        <x:v>1</x:v>
      </x:c>
    </x:row>
    <x:row r="936" ht="93" customHeight="1">
      <x:c r="A936" s="19" t="n">
        <x:v>933</x:v>
      </x:c>
      <x:c r="B936" s="22" t="e">
        <x:f>HYPERLINK("https://cdn.shopify.com/s/files/1/0918/6066/4603/files/O1CN01Knu1PL2MQzfOsiUFL__2219089449823-0-cib.jpg?v=1774257986","Open")</x:f>
        <x:v>HYPERLINK is not implemented. linkLocation=https://cdn.shopify.com/s/files/1/0918/6066/4603/files/O1CN01Knu1PL2MQzfOsiUFL__2219089449823-0-cib.jpg?v=1774257986, friendlyName=Open</x:v>
      </x:c>
      <x:c r="C936" s="24" t="e">
        <x:f>HYPERLINK("https://365nails.com/products/lavender-dream-purple-gradient-flower-almond-shape-handmade-press-on-nails","Lavender Dream: ""Purple Gradient Flower"" – Almond Shape Handmade Press-On Nails")</x:f>
        <x:v>HYPERLINK is not implemented. linkLocation=https://365nails.com/products/lavender-dream-purple-gradient-flower-almond-shape-handmade-press-on-nails, friendlyName=Lavender Dream: "Purple Gradient Flower" – Almond Shape Handmade Press-On Nails</x:v>
      </x:c>
      <x:c r="D936" s="18" t="str">
        <x:v>Color: C 444; Color classification: X s / S / M / L</x:v>
      </x:c>
      <x:c r="E936" s="25" t="str">
        <x:v>$3.49</x:v>
      </x:c>
      <x:c r="F936" s="19" t="str">
        <x:v>1</x:v>
      </x:c>
    </x:row>
    <x:row r="937" ht="93" customHeight="1">
      <x:c r="A937" s="19" t="n">
        <x:v>934</x:v>
      </x:c>
      <x:c r="B937" s="22" t="e">
        <x:f>HYPERLINK("https://cdn.shopify.com/s/files/1/0918/6066/4603/files/O1CN01peyGIv2MQzfIkehOm__2219089449823-0-cib.jpg?v=1774257974","Open")</x:f>
        <x:v>HYPERLINK is not implemented. linkLocation=https://cdn.shopify.com/s/files/1/0918/6066/4603/files/O1CN01peyGIv2MQzfIkehOm__2219089449823-0-cib.jpg?v=1774257974, friendlyName=Open</x:v>
      </x:c>
      <x:c r="C937" s="24" t="e">
        <x:f>HYPERLINK("https://365nails.com/products/sweet-cherry-leopard-cherry-bow-almond-shape-handmade-press-on-nails","Sweet Cherry: ""Leopard Cherry Bow"" – Almond Shape Handmade Press-On Nails")</x:f>
        <x:v>HYPERLINK is not implemented. linkLocation=https://365nails.com/products/sweet-cherry-leopard-cherry-bow-almond-shape-handmade-press-on-nails, friendlyName=Sweet Cherry: "Leopard Cherry Bow" – Almond Shape Handmade Press-On Nails</x:v>
      </x:c>
      <x:c r="D937" s="18" t="str">
        <x:v>Color: D609; Color classification: X s / S / M / L</x:v>
      </x:c>
      <x:c r="E937" s="25" t="str">
        <x:v>$3.49</x:v>
      </x:c>
      <x:c r="F937" s="19" t="str">
        <x:v>1</x:v>
      </x:c>
    </x:row>
    <x:row r="938" ht="93" customHeight="1">
      <x:c r="A938" s="19" t="n">
        <x:v>935</x:v>
      </x:c>
      <x:c r="B938" s="22" t="e">
        <x:f>HYPERLINK("https://cdn.shopify.com/s/files/1/0918/6066/4603/files/O1CN01PQriYA2MQzfG5wSfG__2219089449823-0-cib.jpg?v=1774257948","Open")</x:f>
        <x:v>HYPERLINK is not implemented. linkLocation=https://cdn.shopify.com/s/files/1/0918/6066/4603/files/O1CN01PQriYA2MQzfG5wSfG__2219089449823-0-cib.jpg?v=1774257948, friendlyName=Open</x:v>
      </x:c>
      <x:c r="C938" s="24" t="e">
        <x:f>HYPERLINK("https://365nails.com/products/celestial-noir-stellar-black-french-almond-shape-handmade-press-on-nails","Celestial Noir: ""Stellar Black French"" – Almond Shape Handmade Press-On Nails")</x:f>
        <x:v>HYPERLINK is not implemented. linkLocation=https://365nails.com/products/celestial-noir-stellar-black-french-almond-shape-handmade-press-on-nails, friendlyName=Celestial Noir: "Stellar Black French" – Almond Shape Handmade Press-On Nails</x:v>
      </x:c>
      <x:c r="D938" s="18" t="str">
        <x:v>Color: C 450; Color classification: X s / S / M / L</x:v>
      </x:c>
      <x:c r="E938" s="25" t="str">
        <x:v>$3.49</x:v>
      </x:c>
      <x:c r="F938" s="19" t="str">
        <x:v>1</x:v>
      </x:c>
    </x:row>
    <x:row r="939" ht="93" customHeight="1">
      <x:c r="A939" s="19" t="n">
        <x:v>936</x:v>
      </x:c>
      <x:c r="B939" s="22" t="e">
        <x:f>HYPERLINK("https://cdn.shopify.com/s/files/1/0918/6066/4603/files/O1CN01tIzUha2MQzfEMR5mr__2219089449823-0-cib.jpg?v=1774257927","Open")</x:f>
        <x:v>HYPERLINK is not implemented. linkLocation=https://cdn.shopify.com/s/files/1/0918/6066/4603/files/O1CN01tIzUha2MQzfEMR5mr__2219089449823-0-cib.jpg?v=1774257927, friendlyName=Open</x:v>
      </x:c>
      <x:c r="C939" s="24" t="e">
        <x:f>HYPERLINK("https://365nails.com/products/liquid-gold-gilded-wave-almond-shape-handmade-press-on-nails","Liquid Gold: ""Gilded Wave"" – Almond Shape Handmade Press-On Nails")</x:f>
        <x:v>HYPERLINK is not implemented. linkLocation=https://365nails.com/products/liquid-gold-gilded-wave-almond-shape-handmade-press-on-nails, friendlyName=Liquid Gold: "Gilded Wave" – Almond Shape Handmade Press-On Nails</x:v>
      </x:c>
      <x:c r="D939" s="18" t="str">
        <x:v>Color: C 373; Color classification: X s / S / M / L</x:v>
      </x:c>
      <x:c r="E939" s="25" t="str">
        <x:v>$3.49</x:v>
      </x:c>
      <x:c r="F939" s="19" t="str">
        <x:v>1</x:v>
      </x:c>
    </x:row>
    <x:row r="940" ht="93" customHeight="1">
      <x:c r="A940" s="19" t="n">
        <x:v>937</x:v>
      </x:c>
      <x:c r="B940" s="22" t="e">
        <x:f>HYPERLINK("https://cdn.shopify.com/s/files/1/0918/6066/4603/files/O1CN012vuHOy2MQzeeCxRtm__2219089449823-0-cib.jpg?v=1774178691","Open")</x:f>
        <x:v>HYPERLINK is not implemented. linkLocation=https://cdn.shopify.com/s/files/1/0918/6066/4603/files/O1CN012vuHOy2MQzeeCxRtm__2219089449823-0-cib.jpg?v=1774178691, friendlyName=Open</x:v>
      </x:c>
      <x:c r="C940" s="24" t="e">
        <x:f>HYPERLINK("https://365nails.com/products/passionate-heart-series-scarlet-love-long-almond-handmade-press-on-nails","Passionate Heart Series: ""Scarlet Love"" – Long Almond Handmade Press-on Nails")</x:f>
        <x:v>HYPERLINK is not implemented. linkLocation=https://365nails.com/products/passionate-heart-series-scarlet-love-long-almond-handmade-press-on-nails, friendlyName=Passionate Heart Series: "Scarlet Love" – Long Almond Handmade Press-on Nails</x:v>
      </x:c>
      <x:c r="D940" s="18" t="str">
        <x:v>Color: L181; Color classification: S / M / L</x:v>
      </x:c>
      <x:c r="E940" s="25" t="str">
        <x:v>$4.99</x:v>
      </x:c>
      <x:c r="F940" s="19" t="str">
        <x:v>1</x:v>
      </x:c>
    </x:row>
    <x:row r="941" ht="93" customHeight="1">
      <x:c r="A941" s="19" t="n">
        <x:v>938</x:v>
      </x:c>
      <x:c r="B941" s="22" t="e">
        <x:f>HYPERLINK("https://cdn.shopify.com/s/files/1/0918/6066/4603/files/O1CN01SzzVBo2MQzfoI48ci__2219089449823-0-cib.jpg?v=1774275794","Open")</x:f>
        <x:v>HYPERLINK is not implemented. linkLocation=https://cdn.shopify.com/s/files/1/0918/6066/4603/files/O1CN01SzzVBo2MQzfoI48ci__2219089449823-0-cib.jpg?v=1774275794, friendlyName=Open</x:v>
      </x:c>
      <x:c r="C941" s="24" t="e">
        <x:f>HYPERLINK("https://365nails.com/products/azure-breeze-cyan-tide-long-stiletto-press-on-nails","Azure Breeze: ""Cyan Tide"" – Long Stiletto Press-On Nails")</x:f>
        <x:v>HYPERLINK is not implemented. linkLocation=https://365nails.com/products/azure-breeze-cyan-tide-long-stiletto-press-on-nails, friendlyName=Azure Breeze: "Cyan Tide" – Long Stiletto Press-On Nails</x:v>
      </x:c>
      <x:c r="D941" s="18" t="str">
        <x:v>Color: 332 / q32; Color classification: S / M / L</x:v>
      </x:c>
      <x:c r="E941" s="25" t="str">
        <x:v>$2.99</x:v>
      </x:c>
      <x:c r="F941" s="19" t="str">
        <x:v>1</x:v>
      </x:c>
    </x:row>
    <x:row r="942" ht="93" customHeight="1">
      <x:c r="A942" s="19" t="n">
        <x:v>939</x:v>
      </x:c>
      <x:c r="B942" s="22" t="e">
        <x:f>HYPERLINK("https://cdn.shopify.com/s/files/1/0918/6066/4603/files/O1CN01aCTRSS2MQzfgLADzC__2219089449823-0-cib.jpg?v=1774258063","Open")</x:f>
        <x:v>HYPERLINK is not implemented. linkLocation=https://cdn.shopify.com/s/files/1/0918/6066/4603/files/O1CN01aCTRSS2MQzfgLADzC__2219089449823-0-cib.jpg?v=1774258063, friendlyName=Open</x:v>
      </x:c>
      <x:c r="C942" s="24" t="e">
        <x:f>HYPERLINK("https://365nails.com/products/pink-wild-leopard-zebra-heart-long-almond-shape-handmade-press-on-nails","Pink Wild: ""Leopard Zebra Heart"" – Long Almond Shape Handmade Press-On Nails")</x:f>
        <x:v>HYPERLINK is not implemented. linkLocation=https://365nails.com/products/pink-wild-leopard-zebra-heart-long-almond-shape-handmade-press-on-nails, friendlyName=Pink Wild: "Leopard Zebra Heart" – Long Almond Shape Handmade Press-On Nails</x:v>
      </x:c>
      <x:c r="D942" s="18" t="str">
        <x:v>Color: L129; Color classification: S / M / L</x:v>
      </x:c>
      <x:c r="E942" s="25" t="str">
        <x:v>$4.99</x:v>
      </x:c>
      <x:c r="F942" s="19" t="str">
        <x:v>1</x:v>
      </x:c>
    </x:row>
    <x:row r="943" ht="93" customHeight="1">
      <x:c r="A943" s="19" t="n">
        <x:v>940</x:v>
      </x:c>
      <x:c r="B943" s="22" t="e">
        <x:f>HYPERLINK("https://cdn.shopify.com/s/files/1/0918/6066/4603/files/O1CN01dLHvLu2MQzfd1oDLF__2219089449823-0-cib.jpg?v=1774258059","Open")</x:f>
        <x:v>HYPERLINK is not implemented. linkLocation=https://cdn.shopify.com/s/files/1/0918/6066/4603/files/O1CN01dLHvLu2MQzfd1oDLF__2219089449823-0-cib.jpg?v=1774258059, friendlyName=Open</x:v>
      </x:c>
      <x:c r="C943" s="24" t="e">
        <x:f>HYPERLINK("https://365nails.com/products/love-rock-i-%E2%9D%A4%EF%B8%8F-me-lips-square-shape-handmade-press-on-nails","Love &amp; Rock: ""I ❤️ ME Lips"" – Square Shape Handmade Press-On Nails")</x:f>
        <x:v>HYPERLINK is not implemented. linkLocation=https://365nails.com/products/love-rock-i-%E2%9D%A4%EF%B8%8F-me-lips-square-shape-handmade-press-on-nails, friendlyName=Love &amp; Rock: "I ❤️ ME Lips" – Square Shape Handmade Press-On Nails</x:v>
      </x:c>
      <x:c r="D943" s="18" t="str">
        <x:v>Color: L295; Color classification: X s / S / M / L</x:v>
      </x:c>
      <x:c r="E943" s="25" t="str">
        <x:v>$4.99</x:v>
      </x:c>
      <x:c r="F943" s="19" t="str">
        <x:v>1</x:v>
      </x:c>
    </x:row>
    <x:row r="944" ht="93" customHeight="1">
      <x:c r="A944" s="19" t="n">
        <x:v>941</x:v>
      </x:c>
      <x:c r="B944" s="22" t="e">
        <x:f>HYPERLINK("https://cdn.shopify.com/s/files/1/0918/6066/4603/files/O1CN01EPqhHn2MQzfEwiMhv__2219089449823-0-cib.jpg?v=1774257961","Open")</x:f>
        <x:v>HYPERLINK is not implemented. linkLocation=https://cdn.shopify.com/s/files/1/0918/6066/4603/files/O1CN01EPqhHn2MQzfEwiMhv__2219089449823-0-cib.jpg?v=1774257961, friendlyName=Open</x:v>
      </x:c>
      <x:c r="C944" s="24" t="e">
        <x:f>HYPERLINK("https://365nails.com/products/stardust-glow-crystal-cascade-square-shape-handmade-press-on-nails","Stardust Glow: ""Crystal Cascade"" – Square Shape Handmade Press-On Nails")</x:f>
        <x:v>HYPERLINK is not implemented. linkLocation=https://365nails.com/products/stardust-glow-crystal-cascade-square-shape-handmade-press-on-nails, friendlyName=Stardust Glow: "Crystal Cascade" – Square Shape Handmade Press-On Nails</x:v>
      </x:c>
      <x:c r="D944" s="18" t="str">
        <x:v>Color: M045; Color classification: S / M / L</x:v>
      </x:c>
      <x:c r="E944" s="25" t="str">
        <x:v>$4.99</x:v>
      </x:c>
      <x:c r="F944" s="19" t="str">
        <x:v>1</x:v>
      </x:c>
    </x:row>
    <x:row r="945" ht="93" customHeight="1">
      <x:c r="A945" s="19" t="n">
        <x:v>942</x:v>
      </x:c>
      <x:c r="B945" s="22" t="e">
        <x:f>HYPERLINK("https://cdn.shopify.com/s/files/1/0918/6066/4603/files/O1CN01FXZKsl2MQzfBepT7X__2219089449823-0-cib.jpg?v=1774257944","Open")</x:f>
        <x:v>HYPERLINK is not implemented. linkLocation=https://cdn.shopify.com/s/files/1/0918/6066/4603/files/O1CN01FXZKsl2MQzfBepT7X__2219089449823-0-cib.jpg?v=1774257944, friendlyName=Open</x:v>
      </x:c>
      <x:c r="C945" s="24" t="e">
        <x:f>HYPERLINK("https://365nails.com/products/woodland-berry-blueberry-french-almond-shape-handmade-press-on-nails","Woodland Berry: ""Blueberry French"" – Almond Shape Handmade Press-On Nails")</x:f>
        <x:v>HYPERLINK is not implemented. linkLocation=https://365nails.com/products/woodland-berry-blueberry-french-almond-shape-handmade-press-on-nails, friendlyName=Woodland Berry: "Blueberry French" – Almond Shape Handmade Press-On Nails</x:v>
      </x:c>
      <x:c r="D945" s="18" t="str">
        <x:v>Color: C449; Color classification: X s / S / M / L</x:v>
      </x:c>
      <x:c r="E945" s="25" t="str">
        <x:v>$3.49</x:v>
      </x:c>
      <x:c r="F945" s="19" t="str">
        <x:v>1</x:v>
      </x:c>
    </x:row>
    <x:row r="946" ht="93" customHeight="1">
      <x:c r="A946" s="19" t="n">
        <x:v>943</x:v>
      </x:c>
      <x:c r="B946" s="22" t="e">
        <x:f>HYPERLINK("https://cdn.shopify.com/s/files/1/0918/6066/4603/files/O1CN01vH2E2p2MQzeOfIzsc__2219089449823-0-cib.jpg?v=1774178632","Open")</x:f>
        <x:v>HYPERLINK is not implemented. linkLocation=https://cdn.shopify.com/s/files/1/0918/6066/4603/files/O1CN01vH2E2p2MQzeOfIzsc__2219089449823-0-cib.jpg?v=1774178632, friendlyName=Open</x:v>
      </x:c>
      <x:c r="C946" s="24" t="e">
        <x:f>HYPERLINK("https://365nails.com/products/ice-bloom-series-blue-ice-sakura-short-square-handmade-press-on-nails","Ice Bloom Series: ""Blue Ice Sakura"" – Short Square Handmade Press-on Nails")</x:f>
        <x:v>HYPERLINK is not implemented. linkLocation=https://365nails.com/products/ice-bloom-series-blue-ice-sakura-short-square-handmade-press-on-nails, friendlyName=Ice Bloom Series: "Blue Ice Sakura" – Short Square Handmade Press-on Nails</x:v>
      </x:c>
      <x:c r="D946" s="18" t="str">
        <x:v>Color: L245; Color classification: X s / S / M / L</x:v>
      </x:c>
      <x:c r="E946" s="25" t="str">
        <x:v>$4.99</x:v>
      </x:c>
      <x:c r="F946" s="19" t="str">
        <x:v>1</x:v>
      </x:c>
    </x:row>
    <x:row r="947" ht="93" customHeight="1">
      <x:c r="A947" s="19" t="n">
        <x:v>944</x:v>
      </x:c>
      <x:c r="B947" s="22" t="e">
        <x:f>HYPERLINK("https://cdn.shopify.com/s/files/1/0918/6066/4603/files/O1CN01A8tk872NGHbVaS9z1__4234819935-0-cib.jpg?v=1753431877","Open")</x:f>
        <x:v>HYPERLINK is not implemented. linkLocation=https://cdn.shopify.com/s/files/1/0918/6066/4603/files/O1CN01A8tk872NGHbVaS9z1__4234819935-0-cib.jpg?v=1753431877, friendlyName=Open</x:v>
      </x:c>
      <x:c r="C947" s="24" t="e">
        <x:f>HYPERLINK("https://365nails.com/products/halloween-pointed-nail-collection-press-on-nail-nail-patch-nail-piece-fake-nail-wear-nail-art-finished-product-365nails","Halloween pointed nail collection press on nail nail patch nail piece fake nail wear nail art finished product｜365nails")</x:f>
        <x:v>HYPERLINK is not implemented. linkLocation=https://365nails.com/products/halloween-pointed-nail-collection-press-on-nail-nail-patch-nail-piece-fake-nail-wear-nail-art-finished-product-365nails, friendlyName=Halloween pointed nail collection press on nail nail patch nail piece fake nail wear nail art finished product｜365nails</x:v>
      </x:c>
      <x:c r="D947" s="18" t="str">
        <x:v>color: JP1249 / JP1250 / JP1251 / JP1252 / JP1254 / JP1263 / JP1265 / JP1266 / 1267 / 1268 / 1022 / 1253 / JP1239 / JP1527</x:v>
      </x:c>
      <x:c r="E947" s="25" t="str">
        <x:v>$0.70–$1.16</x:v>
      </x:c>
      <x:c r="F947" s="19" t="str">
        <x:v>1</x:v>
      </x:c>
    </x:row>
    <x:row r="948" ht="93" customHeight="1">
      <x:c r="A948" s="19" t="n">
        <x:v>945</x:v>
      </x:c>
      <x:c r="B948" s="22" t="e">
        <x:f>HYPERLINK("https://cdn.shopify.com/s/files/1/0918/6066/4603/files/O1CN01F25YEb2MQzfi91OFd__2219089449823-0-cib.jpg?v=1774258096","Open")</x:f>
        <x:v>HYPERLINK is not implemented. linkLocation=https://cdn.shopify.com/s/files/1/0918/6066/4603/files/O1CN01F25YEb2MQzfi91OFd__2219089449823-0-cib.jpg?v=1774258096, friendlyName=Open</x:v>
      </x:c>
      <x:c r="C948" s="24" t="e">
        <x:f>HYPERLINK("https://365nails.com/products/violet-galaxy-purple-floral-bling-long-stiletto-shape-handmade-press-on-nails","Violet Galaxy: ""Purple Floral Bling"" – Long Stiletto Shape Handmade Press-On Nails")</x:f>
        <x:v>HYPERLINK is not implemented. linkLocation=https://365nails.com/products/violet-galaxy-purple-floral-bling-long-stiletto-shape-handmade-press-on-nails, friendlyName=Violet Galaxy: "Purple Floral Bling" – Long Stiletto Shape Handmade Press-On Nails</x:v>
      </x:c>
      <x:c r="D948" s="18" t="str">
        <x:v>Color: O019; Color classification: S / M / L</x:v>
      </x:c>
      <x:c r="E948" s="25" t="str">
        <x:v>$12.99</x:v>
      </x:c>
      <x:c r="F948" s="19" t="str">
        <x:v>1</x:v>
      </x:c>
    </x:row>
    <x:row r="949" ht="93" customHeight="1">
      <x:c r="A949" s="19" t="n">
        <x:v>946</x:v>
      </x:c>
      <x:c r="B949" s="22" t="e">
        <x:f>HYPERLINK("https://cdn.shopify.com/s/files/1/0918/6066/4603/files/O1CN01WfEyXg2MQzdwzxsll__2219089449823-0-cib.jpg?v=1774097048","Open")</x:f>
        <x:v>HYPERLINK is not implemented. linkLocation=https://cdn.shopify.com/s/files/1/0918/6066/4603/files/O1CN01WfEyXg2MQzdwzxsll__2219089449823-0-cib.jpg?v=1774097048, friendlyName=Open</x:v>
      </x:c>
      <x:c r="C949" s="24" t="e">
        <x:f>HYPERLINK("https://365nails.com/products/summer-bloom-mango-lily-almond-press-ons","Summer Bloom: ""Mango Lily"" – Almond Press-Ons")</x:f>
        <x:v>HYPERLINK is not implemented. linkLocation=https://365nails.com/products/summer-bloom-mango-lily-almond-press-ons, friendlyName=Summer Bloom: "Mango Lily" – Almond Press-Ons</x:v>
      </x:c>
      <x:c r="D949" s="18" t="str">
        <x:v>Color: D536; Color classification: X s / S / M / L</x:v>
      </x:c>
      <x:c r="E949" s="25" t="str">
        <x:v>$3.99</x:v>
      </x:c>
      <x:c r="F949" s="19" t="str">
        <x:v>1</x:v>
      </x:c>
    </x:row>
    <x:row r="950" ht="93" customHeight="1">
      <x:c r="A950" s="19" t="n">
        <x:v>947</x:v>
      </x:c>
      <x:c r="B950" s="22" t="e">
        <x:f>HYPERLINK("https://cdn.shopify.com/s/files/1/0918/6066/4603/files/O1CN01fM53Oi2MQze3pXgw5__2219089449823-0-cib.jpg?v=1774097027","Open")</x:f>
        <x:v>HYPERLINK is not implemented. linkLocation=https://cdn.shopify.com/s/files/1/0918/6066/4603/files/O1CN01fM53Oi2MQze3pXgw5__2219089449823-0-cib.jpg?v=1774097027, friendlyName=Open</x:v>
      </x:c>
      <x:c r="C950" s="24" t="e">
        <x:f>HYPERLINK("https://365nails.com/products/blush-bloom-coral-flower-almond-press-ons","Blush Bloom: ""Coral Flower"" – Almond Press-Ons")</x:f>
        <x:v>HYPERLINK is not implemented. linkLocation=https://365nails.com/products/blush-bloom-coral-flower-almond-press-ons, friendlyName=Blush Bloom: "Coral Flower" – Almond Press-Ons</x:v>
      </x:c>
      <x:c r="D950" s="18" t="str">
        <x:v>Color: D528; Color classification: X s / S / M / L</x:v>
      </x:c>
      <x:c r="E950" s="25" t="str">
        <x:v>$3.99</x:v>
      </x:c>
      <x:c r="F950" s="19" t="str">
        <x:v>1</x:v>
      </x:c>
    </x:row>
    <x:row r="951" ht="93" customHeight="1">
      <x:c r="A951" s="19" t="n">
        <x:v>948</x:v>
      </x:c>
      <x:c r="B951" s="22" t="e">
        <x:f>HYPERLINK("https://cdn.shopify.com/s/files/1/0918/6066/4603/files/O1CN01IOmZoc2MQzbXemPaC__2219089449823-0-cib.jpg?v=1774065386","Open")</x:f>
        <x:v>HYPERLINK is not implemented. linkLocation=https://cdn.shopify.com/s/files/1/0918/6066/4603/files/O1CN01IOmZoc2MQzbXemPaC__2219089449823-0-cib.jpg?v=1774065386, friendlyName=Open</x:v>
      </x:c>
      <x:c r="C951" s="24" t="e">
        <x:f>HYPERLINK("https://365nails.com/products/sakura-seas-cherry-blossom-shell-short-almond-handmade-nails","365nails-Sakura Seas: ""Cherry Blossom Shell"" – Short Almond Handmade Nails")</x:f>
        <x:v>HYPERLINK is not implemented. linkLocation=https://365nails.com/products/sakura-seas-cherry-blossom-shell-short-almond-handmade-nails, friendlyName=365nails-Sakura Seas: "Cherry Blossom Shell" – Short Almond Handmade Nails</x:v>
      </x:c>
      <x:c r="D951" s="18" t="str">
        <x:v>Color: (d38) xingyu beiyu—short almond; Color classification: X s / S / M / L</x:v>
      </x:c>
      <x:c r="E951" s="25" t="str">
        <x:v>$3.99</x:v>
      </x:c>
      <x:c r="F951" s="19" t="str">
        <x:v>5</x:v>
      </x:c>
    </x:row>
    <x:row r="952" ht="93" customHeight="1">
      <x:c r="A952" s="19" t="n">
        <x:v>949</x:v>
      </x:c>
      <x:c r="B952" s="22" t="e">
        <x:f>HYPERLINK("https://cdn.shopify.com/s/files/1/0918/6066/4603/files/O1CN016wVCzr2MQzf8jGIw4__2219089449823-0-cib.jpg?v=1774178809","Open")</x:f>
        <x:v>HYPERLINK is not implemented. linkLocation=https://cdn.shopify.com/s/files/1/0918/6066/4603/files/O1CN016wVCzr2MQzf8jGIw4__2219089449823-0-cib.jpg?v=1774178809, friendlyName=Open</x:v>
      </x:c>
      <x:c r="C952" s="24" t="e">
        <x:f>HYPERLINK("https://365nails.com/products/festive-cheer-candy-cane-christmas-short-almond-press-on-nails","Festive Cheer: ""Candy Cane Christmas"" – Short Almond Press-On Nails")</x:f>
        <x:v>HYPERLINK is not implemented. linkLocation=https://365nails.com/products/festive-cheer-candy-cane-christmas-short-almond-press-on-nails, friendlyName=Festive Cheer: "Candy Cane Christmas" – Short Almond Press-On Nails</x:v>
      </x:c>
      <x:c r="D952" s="18" t="str">
        <x:v>Color: D592; Color classification: X s / S / M / L</x:v>
      </x:c>
      <x:c r="E952" s="25" t="str">
        <x:v>$3.99</x:v>
      </x:c>
      <x:c r="F952" s="19" t="str">
        <x:v>1</x:v>
      </x:c>
    </x:row>
    <x:row r="953" ht="93" customHeight="1">
      <x:c r="A953" s="19" t="n">
        <x:v>950</x:v>
      </x:c>
      <x:c r="B953" s="22" t="e">
        <x:f>HYPERLINK("https://cdn.shopify.com/s/files/1/0918/6066/4603/files/O1CN01K7Rr632MQzf7yF1uB__2219089449823-0-cib.jpg?v=1774178796","Open")</x:f>
        <x:v>HYPERLINK is not implemented. linkLocation=https://cdn.shopify.com/s/files/1/0918/6066/4603/files/O1CN01K7Rr632MQzf7yF1uB__2219089449823-0-cib.jpg?v=1774178796, friendlyName=Open</x:v>
      </x:c>
      <x:c r="C953" s="24" t="e">
        <x:f>HYPERLINK("https://365nails.com/products/sunset-bloom-aurora-flower-long-almond-press-on-nails","Sunset Bloom: ""Aurora Flower"" – Long Almond Press-On Nails")</x:f>
        <x:v>HYPERLINK is not implemented. linkLocation=https://365nails.com/products/sunset-bloom-aurora-flower-long-almond-press-on-nails, friendlyName=Sunset Bloom: "Aurora Flower" – Long Almond Press-On Nails</x:v>
      </x:c>
      <x:c r="D953" s="18" t="str">
        <x:v>Color: D594; Color classification: X s / S / M / L</x:v>
      </x:c>
      <x:c r="E953" s="25" t="str">
        <x:v>$3.99</x:v>
      </x:c>
      <x:c r="F953" s="19" t="str">
        <x:v>1</x:v>
      </x:c>
    </x:row>
    <x:row r="954" ht="93" customHeight="1">
      <x:c r="A954" s="19" t="n">
        <x:v>951</x:v>
      </x:c>
      <x:c r="B954" s="22" t="e">
        <x:f>HYPERLINK("https://cdn.shopify.com/s/files/1/0918/6066/4603/files/O1CN01oc5Nn72MQzezz5MSn__2219089449823-0-cib.jpg?v=1774178779","Open")</x:f>
        <x:v>HYPERLINK is not implemented. linkLocation=https://cdn.shopify.com/s/files/1/0918/6066/4603/files/O1CN01oc5Nn72MQzezz5MSn__2219089449823-0-cib.jpg?v=1774178779, friendlyName=Open</x:v>
      </x:c>
      <x:c r="C954" s="24" t="e">
        <x:f>HYPERLINK("https://365nails.com/products/blush-bloom-velvet-rose-short-square-press-on-nails","Blush Bloom: ""Velvet Rose"" – Short Square Press-On Nails")</x:f>
        <x:v>HYPERLINK is not implemented. linkLocation=https://365nails.com/products/blush-bloom-velvet-rose-short-square-press-on-nails, friendlyName=Blush Bloom: "Velvet Rose" – Short Square Press-On Nails</x:v>
      </x:c>
      <x:c r="D954" s="18" t="str">
        <x:v>Color: L235; Color classification: X s / S / M / L</x:v>
      </x:c>
      <x:c r="E954" s="25" t="str">
        <x:v>$4.99</x:v>
      </x:c>
      <x:c r="F954" s="19" t="str">
        <x:v>1</x:v>
      </x:c>
    </x:row>
    <x:row r="955" ht="93" customHeight="1">
      <x:c r="A955" s="19" t="n">
        <x:v>952</x:v>
      </x:c>
      <x:c r="B955" s="22" t="e">
        <x:f>HYPERLINK("https://cdn.shopify.com/s/files/1/0918/6066/4603/files/O1CN01jGNUPT2MQzej4xeL6__2219089449823-0-cib.jpg?v=1774178712","Open")</x:f>
        <x:v>HYPERLINK is not implemented. linkLocation=https://cdn.shopify.com/s/files/1/0918/6066/4603/files/O1CN01jGNUPT2MQzej4xeL6__2219089449823-0-cib.jpg?v=1774178712, friendlyName=Open</x:v>
      </x:c>
      <x:c r="C955" s="24" t="e">
        <x:f>HYPERLINK("https://365nails.com/products/demon-realm-chaos-gaze-duck-bill-shape-3d-handmade-press-on-nails","Demon Realm: ""Chaos Gaze"" – Duck Bill Shape 3D Handmade Press On Nails")</x:f>
        <x:v>HYPERLINK is not implemented. linkLocation=https://365nails.com/products/demon-realm-chaos-gaze-duck-bill-shape-3d-handmade-press-on-nails, friendlyName=Demon Realm: "Chaos Gaze" – Duck Bill Shape 3D Handmade Press On Nails</x:v>
      </x:c>
      <x:c r="D955" s="18" t="str">
        <x:v>Color: L219; Color classification: X s / S / M / L</x:v>
      </x:c>
      <x:c r="E955" s="25" t="str">
        <x:v>$4.99</x:v>
      </x:c>
      <x:c r="F955" s="19" t="str">
        <x:v>1</x:v>
      </x:c>
    </x:row>
    <x:row r="956" ht="93" customHeight="1">
      <x:c r="A956" s="19" t="n">
        <x:v>953</x:v>
      </x:c>
      <x:c r="B956" s="22" t="e">
        <x:f>HYPERLINK("https://cdn.shopify.com/s/files/1/0918/6066/4603/files/O1CN01yuJe6A2MQze4bVcPE__2219089449823-0-cib.jpg?v=1774097044","Open")</x:f>
        <x:v>HYPERLINK is not implemented. linkLocation=https://cdn.shopify.com/s/files/1/0918/6066/4603/files/O1CN01yuJe6A2MQze4bVcPE__2219089449823-0-cib.jpg?v=1774097044, friendlyName=Open</x:v>
      </x:c>
      <x:c r="C956" s="24" t="e">
        <x:f>HYPERLINK("https://365nails.com/products/neon-carnival-rainbow-party-short-square-press-ons","Neon Carnival: ""Rainbow Party"" – Short Square Press-Ons")</x:f>
        <x:v>HYPERLINK is not implemented. linkLocation=https://365nails.com/products/neon-carnival-rainbow-party-short-square-press-ons, friendlyName=Neon Carnival: "Rainbow Party" – Short Square Press-Ons</x:v>
      </x:c>
      <x:c r="D956" s="18" t="str">
        <x:v>Color: L254; Color classification: X s / S / M / L</x:v>
      </x:c>
      <x:c r="E956" s="25" t="str">
        <x:v>$4.99</x:v>
      </x:c>
      <x:c r="F956" s="19" t="str">
        <x:v>1</x:v>
      </x:c>
    </x:row>
    <x:row r="957" ht="93" customHeight="1">
      <x:c r="A957" s="19" t="n">
        <x:v>954</x:v>
      </x:c>
      <x:c r="B957" s="22" t="e">
        <x:f>HYPERLINK("https://cdn.shopify.com/s/files/1/0918/6066/4603/files/O1CN01DCfVjD2MQzdxIacER__2219089449823-0-cib.jpg?v=1774097018","Open")</x:f>
        <x:v>HYPERLINK is not implemented. linkLocation=https://cdn.shopify.com/s/files/1/0918/6066/4603/files/O1CN01DCfVjD2MQzdxIacER__2219089449823-0-cib.jpg?v=1774097018, friendlyName=Open</x:v>
      </x:c>
      <x:c r="C957" s="24" t="e">
        <x:f>HYPERLINK("https://365nails.com/products/fruit-fantasy-cherry-blossom-almond-press-ons","Fruit Fantasy: ""Cherry Blossom"" – Almond Press-Ons")</x:f>
        <x:v>HYPERLINK is not implemented. linkLocation=https://365nails.com/products/fruit-fantasy-cherry-blossom-almond-press-ons, friendlyName=Fruit Fantasy: "Cherry Blossom" – Almond Press-Ons</x:v>
      </x:c>
      <x:c r="D957" s="18" t="str">
        <x:v>Color: D418; Color classification: X s / S / M / L</x:v>
      </x:c>
      <x:c r="E957" s="25" t="str">
        <x:v>$3.99</x:v>
      </x:c>
      <x:c r="F957" s="19" t="str">
        <x:v>1</x:v>
      </x:c>
    </x:row>
    <x:row r="958" ht="93" customHeight="1">
      <x:c r="A958" s="19" t="n">
        <x:v>955</x:v>
      </x:c>
      <x:c r="B958" s="22" t="e">
        <x:f>HYPERLINK("https://cdn.shopify.com/s/files/1/0918/6066/4603/files/O1CN01DU8LDb2MQzdyYw0jA__2219089449823-0-cib.jpg?v=1774096998","Open")</x:f>
        <x:v>HYPERLINK is not implemented. linkLocation=https://cdn.shopify.com/s/files/1/0918/6066/4603/files/O1CN01DU8LDb2MQzdyYw0jA__2219089449823-0-cib.jpg?v=1774096998, friendlyName=Open</x:v>
      </x:c>
      <x:c r="C958" s="24" t="e">
        <x:f>HYPERLINK("https://365nails.com/products/sakura-blush-pink-petal-short-square-press-ons","Sakura Blush: ""Pink Petal"" – Short Square Press-Ons")</x:f>
        <x:v>HYPERLINK is not implemented. linkLocation=https://365nails.com/products/sakura-blush-pink-petal-short-square-press-ons, friendlyName=Sakura Blush: "Pink Petal" – Short Square Press-Ons</x:v>
      </x:c>
      <x:c r="D958" s="18" t="str">
        <x:v>Color: L258; Color classification: X s / S / M / L</x:v>
      </x:c>
      <x:c r="E958" s="25" t="str">
        <x:v>$4.99</x:v>
      </x:c>
      <x:c r="F958" s="19" t="str">
        <x:v>1</x:v>
      </x:c>
    </x:row>
    <x:row r="959" ht="93" customHeight="1">
      <x:c r="A959" s="19" t="n">
        <x:v>956</x:v>
      </x:c>
      <x:c r="B959" s="22" t="e">
        <x:f>HYPERLINK("https://cdn.shopify.com/s/files/1/0918/6066/4603/files/O1CN016thyvC2MQzdmtJLHy__2219089449823-0-cib.jpg?v=1774096936","Open")</x:f>
        <x:v>HYPERLINK is not implemented. linkLocation=https://cdn.shopify.com/s/files/1/0918/6066/4603/files/O1CN016thyvC2MQzdmtJLHy__2219089449823-0-cib.jpg?v=1774096936, friendlyName=Open</x:v>
      </x:c>
      <x:c r="C959" s="24" t="e">
        <x:f>HYPERLINK("https://365nails.com/products/sakura-whisper-cherry-petal-almond-press-ons","Sakura Whisper: ""Cherry Petal"" – Almond Press-Ons")</x:f>
        <x:v>HYPERLINK is not implemented. linkLocation=https://365nails.com/products/sakura-whisper-cherry-petal-almond-press-ons, friendlyName=Sakura Whisper: "Cherry Petal" – Almond Press-Ons</x:v>
      </x:c>
      <x:c r="D959" s="18" t="str">
        <x:v>Color: D422; Color classification: X s / S / M / L</x:v>
      </x:c>
      <x:c r="E959" s="25" t="str">
        <x:v>$3.99</x:v>
      </x:c>
      <x:c r="F959" s="19" t="str">
        <x:v>1</x:v>
      </x:c>
    </x:row>
    <x:row r="960" ht="93" customHeight="1">
      <x:c r="A960" s="19" t="n">
        <x:v>957</x:v>
      </x:c>
      <x:c r="B960" s="22" t="e">
        <x:f>HYPERLINK("https://cdn.shopify.com/s/files/1/0918/6066/4603/files/O1CN01IE66942MQzdmKsw33__2219089449823-0-cib.jpg?v=1774096921","Open")</x:f>
        <x:v>HYPERLINK is not implemented. linkLocation=https://cdn.shopify.com/s/files/1/0918/6066/4603/files/O1CN01IE66942MQzdmKsw33__2219089449823-0-cib.jpg?v=1774096921, friendlyName=Open</x:v>
      </x:c>
      <x:c r="C960" s="24" t="e">
        <x:f>HYPERLINK("https://365nails.com/products/coastal-breeze-coral-tide-almond-press-ons","Coastal Breeze: ""Coral Tide"" – Almond Press-Ons")</x:f>
        <x:v>HYPERLINK is not implemented. linkLocation=https://365nails.com/products/coastal-breeze-coral-tide-almond-press-ons, friendlyName=Coastal Breeze: "Coral Tide" – Almond Press-Ons</x:v>
      </x:c>
      <x:c r="D960" s="18" t="str">
        <x:v>Color: D498; Color classification: X s / S / M / L</x:v>
      </x:c>
      <x:c r="E960" s="25" t="str">
        <x:v>$3.99</x:v>
      </x:c>
      <x:c r="F960" s="19" t="str">
        <x:v>1</x:v>
      </x:c>
    </x:row>
    <x:row r="961" ht="93" customHeight="1">
      <x:c r="A961" s="19" t="n">
        <x:v>958</x:v>
      </x:c>
      <x:c r="B961" s="22" t="e">
        <x:f>HYPERLINK("https://cdn.shopify.com/s/files/1/0918/6066/4603/files/O1CN01cmqCGa2MQzeto8p1J__2219089449823-0-cib.jpg?v=1774178762","Open")</x:f>
        <x:v>HYPERLINK is not implemented. linkLocation=https://cdn.shopify.com/s/files/1/0918/6066/4603/files/O1CN01cmqCGa2MQzeto8p1J__2219089449823-0-cib.jpg?v=1774178762, friendlyName=Open</x:v>
      </x:c>
      <x:c r="C961" s="24" t="e">
        <x:f>HYPERLINK("https://365nails.com/products/y2k-ocean-dream-neon-tide-almond-press-on-nails","Y2K Ocean Dream: ""Neon Tide"" – Almond Press-On Nails")</x:f>
        <x:v>HYPERLINK is not implemented. linkLocation=https://365nails.com/products/y2k-ocean-dream-neon-tide-almond-press-on-nails, friendlyName=Y2K Ocean Dream: "Neon Tide" – Almond Press-On Nails</x:v>
      </x:c>
      <x:c r="D961" s="18" t="str">
        <x:v>Color: L242; Color classification: X s / S / M / L</x:v>
      </x:c>
      <x:c r="E961" s="25" t="str">
        <x:v>$4.99</x:v>
      </x:c>
      <x:c r="F961" s="19" t="str">
        <x:v>1</x:v>
      </x:c>
    </x:row>
    <x:row r="962" ht="93" customHeight="1">
      <x:c r="A962" s="19" t="n">
        <x:v>959</x:v>
      </x:c>
      <x:c r="B962" s="22" t="e">
        <x:f>HYPERLINK("https://cdn.shopify.com/s/files/1/0918/6066/4603/files/O1CN017K7i9E2MQzenaEWc3__2219089449823-0-cib.jpg?v=1774178733","Open")</x:f>
        <x:v>HYPERLINK is not implemented. linkLocation=https://cdn.shopify.com/s/files/1/0918/6066/4603/files/O1CN017K7i9E2MQzenaEWc3__2219089449823-0-cib.jpg?v=1774178733, friendlyName=Open</x:v>
      </x:c>
      <x:c r="C962" s="24" t="e">
        <x:f>HYPERLINK("https://365nails.com/products/luxury-noir-butterfly-fortune-duck-bill-shape-handmade-press-on-nails","Luxury Noir: ""Butterfly Fortune"" – Duck Bill Shape Handmade Press On Nails")</x:f>
        <x:v>HYPERLINK is not implemented. linkLocation=https://365nails.com/products/luxury-noir-butterfly-fortune-duck-bill-shape-handmade-press-on-nails, friendlyName=Luxury Noir: "Butterfly Fortune" – Duck Bill Shape Handmade Press On Nails</x:v>
      </x:c>
      <x:c r="D962" s="18" t="str">
        <x:v>Color: L236; Color classification: X s / S / M / L</x:v>
      </x:c>
      <x:c r="E962" s="25" t="str">
        <x:v>$4.99</x:v>
      </x:c>
      <x:c r="F962" s="19" t="str">
        <x:v>1</x:v>
      </x:c>
    </x:row>
    <x:row r="963" ht="93" customHeight="1">
      <x:c r="A963" s="19" t="n">
        <x:v>960</x:v>
      </x:c>
      <x:c r="B963" s="22" t="e">
        <x:f>HYPERLINK("https://cdn.shopify.com/s/files/1/0918/6066/4603/files/O1CN01p4iWMn2MQzehS9v60__2219089449823-0-cib.jpg?v=1774178704","Open")</x:f>
        <x:v>HYPERLINK is not implemented. linkLocation=https://cdn.shopify.com/s/files/1/0918/6066/4603/files/O1CN01p4iWMn2MQzehS9v60__2219089449823-0-cib.jpg?v=1774178704, friendlyName=Open</x:v>
      </x:c>
      <x:c r="C963" s="24" t="e">
        <x:f>HYPERLINK("https://365nails.com/products/cyber-punk-neon-chaos-duck-bill-shape-3d-handmade-press-on-nails","Cyber Punk: ""Neon Chaos"" – Duck Bill Shape 3D Handmade Press On Nails")</x:f>
        <x:v>HYPERLINK is not implemented. linkLocation=https://365nails.com/products/cyber-punk-neon-chaos-duck-bill-shape-3d-handmade-press-on-nails, friendlyName=Cyber Punk: "Neon Chaos" – Duck Bill Shape 3D Handmade Press On Nails</x:v>
      </x:c>
      <x:c r="D963" s="18" t="str">
        <x:v>Color: L218; Color classification: X s / S / M / L</x:v>
      </x:c>
      <x:c r="E963" s="25" t="str">
        <x:v>$4.99</x:v>
      </x:c>
      <x:c r="F963" s="19" t="str">
        <x:v>1</x:v>
      </x:c>
    </x:row>
    <x:row r="964" ht="93" customHeight="1">
      <x:c r="A964" s="19" t="n">
        <x:v>961</x:v>
      </x:c>
      <x:c r="B964" s="22" t="e">
        <x:f>HYPERLINK("https://cdn.shopify.com/s/files/1/0918/6066/4603/files/O1CN01FHX9rA2MQze8QokYR__2219089449823-0-cib.jpg?v=1774097095","Open")</x:f>
        <x:v>HYPERLINK is not implemented. linkLocation=https://cdn.shopify.com/s/files/1/0918/6066/4603/files/O1CN01FHX9rA2MQze8QokYR__2219089449823-0-cib.jpg?v=1774097095, friendlyName=Open</x:v>
      </x:c>
      <x:c r="C964" s="24" t="e">
        <x:f>HYPERLINK("https://365nails.com/products/sakura-petal-cherry-blossom-almond-press-ons","Sakura Petal: ""Cherry Blossom"" – Almond Press-Ons")</x:f>
        <x:v>HYPERLINK is not implemented. linkLocation=https://365nails.com/products/sakura-petal-cherry-blossom-almond-press-ons, friendlyName=Sakura Petal: "Cherry Blossom" – Almond Press-Ons</x:v>
      </x:c>
      <x:c r="D964" s="18" t="str">
        <x:v>Color: D406; Color classification: X s / S / M / L</x:v>
      </x:c>
      <x:c r="E964" s="25" t="str">
        <x:v>$3.99</x:v>
      </x:c>
      <x:c r="F964" s="19" t="str">
        <x:v>1</x:v>
      </x:c>
    </x:row>
    <x:row r="965" ht="93" customHeight="1">
      <x:c r="A965" s="19" t="n">
        <x:v>962</x:v>
      </x:c>
      <x:c r="B965" s="22" t="e">
        <x:f>HYPERLINK("https://cdn.shopify.com/s/files/1/0918/6066/4603/files/O1CN01e0Ib5q2MQze8e7C60__2219089449823-0-cib.jpg?v=1774097087","Open")</x:f>
        <x:v>HYPERLINK is not implemented. linkLocation=https://cdn.shopify.com/s/files/1/0918/6066/4603/files/O1CN01e0Ib5q2MQze8e7C60__2219089449823-0-cib.jpg?v=1774097087, friendlyName=Open</x:v>
      </x:c>
      <x:c r="C965" s="24" t="e">
        <x:f>HYPERLINK("https://365nails.com/products/mango-tango-tropical-bloom-short-square-press-ons","Mango Tango: ""Tropical Bloom"" – Short Square Press-Ons")</x:f>
        <x:v>HYPERLINK is not implemented. linkLocation=https://365nails.com/products/mango-tango-tropical-bloom-short-square-press-ons, friendlyName=Mango Tango: "Tropical Bloom" – Short Square Press-Ons</x:v>
      </x:c>
      <x:c r="D965" s="18" t="str">
        <x:v>Color: L251; Color classification: X s / S / M / L</x:v>
      </x:c>
      <x:c r="E965" s="25" t="str">
        <x:v>$4.99</x:v>
      </x:c>
      <x:c r="F965" s="19" t="str">
        <x:v>1</x:v>
      </x:c>
    </x:row>
    <x:row r="966" ht="93" customHeight="1">
      <x:c r="A966" s="19" t="n">
        <x:v>963</x:v>
      </x:c>
      <x:c r="B966" s="22" t="e">
        <x:f>HYPERLINK("https://cdn.shopify.com/s/files/1/0918/6066/4603/files/O1CN01UYwAJc2MQzeA0xPff__2219089449823-0-cib.jpg?v=1774097080","Open")</x:f>
        <x:v>HYPERLINK is not implemented. linkLocation=https://cdn.shopify.com/s/files/1/0918/6066/4603/files/O1CN01UYwAJc2MQzeA0xPff__2219089449823-0-cib.jpg?v=1774097080, friendlyName=Open</x:v>
      </x:c>
      <x:c r="C966" s="24" t="e">
        <x:f>HYPERLINK("https://365nails.com/products/sakura-snow-blossom-frost-almond-press-ons","Sakura Snow: ""Blossom Frost"" – Almond Press-Ons")</x:f>
        <x:v>HYPERLINK is not implemented. linkLocation=https://365nails.com/products/sakura-snow-blossom-frost-almond-press-ons, friendlyName=Sakura Snow: "Blossom Frost" – Almond Press-Ons</x:v>
      </x:c>
      <x:c r="D966" s="18" t="str">
        <x:v>Color: C 103; Color classification: X s / S / M / L</x:v>
      </x:c>
      <x:c r="E966" s="25" t="str">
        <x:v>$3.99</x:v>
      </x:c>
      <x:c r="F966" s="19" t="str">
        <x:v>1</x:v>
      </x:c>
    </x:row>
    <x:row r="967" ht="93" customHeight="1">
      <x:c r="A967" s="19" t="n">
        <x:v>964</x:v>
      </x:c>
      <x:c r="B967" s="22" t="e">
        <x:f>HYPERLINK("https://cdn.shopify.com/s/files/1/0918/6066/4603/files/O1CN01bXdH6Q2MQze3ScpES__2219089449823-0-cib.jpg?v=1774097066","Open")</x:f>
        <x:v>HYPERLINK is not implemented. linkLocation=https://cdn.shopify.com/s/files/1/0918/6066/4603/files/O1CN01bXdH6Q2MQze3ScpES__2219089449823-0-cib.jpg?v=1774097066, friendlyName=Open</x:v>
      </x:c>
      <x:c r="C967" s="24" t="e">
        <x:f>HYPERLINK("https://365nails.com/products/floral-fantasy-purple-bloom-almond-press-ons","Floral Fantasy: ""Purple Bloom"" – Almond Press-Ons")</x:f>
        <x:v>HYPERLINK is not implemented. linkLocation=https://365nails.com/products/floral-fantasy-purple-bloom-almond-press-ons, friendlyName=Floral Fantasy: "Purple Bloom" – Almond Press-Ons</x:v>
      </x:c>
      <x:c r="D967" s="18" t="str">
        <x:v>Color: D526; Color classification: X s / S / M / L</x:v>
      </x:c>
      <x:c r="E967" s="25" t="str">
        <x:v>$3.99</x:v>
      </x:c>
      <x:c r="F967" s="19" t="str">
        <x:v>1</x:v>
      </x:c>
    </x:row>
    <x:row r="968" ht="93" customHeight="1">
      <x:c r="A968" s="19" t="n">
        <x:v>965</x:v>
      </x:c>
      <x:c r="B968" s="22" t="e">
        <x:f>HYPERLINK("https://cdn.shopify.com/s/files/1/0918/6066/4603/files/O1CN01JNuqUW2MQze4FpvBz__2219089449823-0-cib.jpg?v=1774097062","Open")</x:f>
        <x:v>HYPERLINK is not implemented. linkLocation=https://cdn.shopify.com/s/files/1/0918/6066/4603/files/O1CN01JNuqUW2MQze4FpvBz__2219089449823-0-cib.jpg?v=1774097062, friendlyName=Open</x:v>
      </x:c>
      <x:c r="C968" s="24" t="e">
        <x:f>HYPERLINK("https://365nails.com/products/mango-bloom-orange-blossom-almond-press-ons","Mango Bloom: ""Orange Blossom"" – Almond Press-Ons")</x:f>
        <x:v>HYPERLINK is not implemented. linkLocation=https://365nails.com/products/mango-bloom-orange-blossom-almond-press-ons, friendlyName=Mango Bloom: "Orange Blossom" – Almond Press-Ons</x:v>
      </x:c>
      <x:c r="D968" s="18" t="str">
        <x:v>Color: D529; Color classification: X s / S / M / L</x:v>
      </x:c>
      <x:c r="E968" s="25" t="str">
        <x:v>$3.99</x:v>
      </x:c>
      <x:c r="F968" s="19" t="str">
        <x:v>1</x:v>
      </x:c>
    </x:row>
    <x:row r="969" ht="93" customHeight="1">
      <x:c r="A969" s="19" t="n">
        <x:v>966</x:v>
      </x:c>
      <x:c r="B969" s="22" t="e">
        <x:f>HYPERLINK("https://cdn.shopify.com/s/files/1/0918/6066/4603/files/O1CN01JKVUv72MQze2d60Op__2219089449823-0-cib.jpg?v=1774097010","Open")</x:f>
        <x:v>HYPERLINK is not implemented. linkLocation=https://cdn.shopify.com/s/files/1/0918/6066/4603/files/O1CN01JKVUv72MQze2d60Op__2219089449823-0-cib.jpg?v=1774097010, friendlyName=Open</x:v>
      </x:c>
      <x:c r="C969" s="24" t="e">
        <x:f>HYPERLINK("https://365nails.com/products/sapphire-bloom-indigo-flower-almond-press-ons","Sapphire Bloom: ""Indigo Flower"" – Almond Press-Ons")</x:f>
        <x:v>HYPERLINK is not implemented. linkLocation=https://365nails.com/products/sapphire-bloom-indigo-flower-almond-press-ons, friendlyName=Sapphire Bloom: "Indigo Flower" – Almond Press-Ons</x:v>
      </x:c>
      <x:c r="D969" s="18" t="str">
        <x:v>Color: D414; Color classification: X s / S / M / L</x:v>
      </x:c>
      <x:c r="E969" s="25" t="str">
        <x:v>$3.99</x:v>
      </x:c>
      <x:c r="F969" s="19" t="str">
        <x:v>1</x:v>
      </x:c>
    </x:row>
    <x:row r="970" ht="93" customHeight="1">
      <x:c r="A970" s="19" t="n">
        <x:v>967</x:v>
      </x:c>
      <x:c r="B970" s="22" t="e">
        <x:f>HYPERLINK("https://cdn.shopify.com/s/files/1/0918/6066/4603/files/O1CN0156CIP62MQze0ab1g1__2219089449823-0-cib.jpg?v=1774096995","Open")</x:f>
        <x:v>HYPERLINK is not implemented. linkLocation=https://cdn.shopify.com/s/files/1/0918/6066/4603/files/O1CN0156CIP62MQze0ab1g1__2219089449823-0-cib.jpg?v=1774096995, friendlyName=Open</x:v>
      </x:c>
      <x:c r="C970" s="24" t="e">
        <x:f>HYPERLINK("https://365nails.com/products/neon-pop-y2k-playground-short-square-press-ons","Neon Pop: ""Y2K Playground"" – Short Square Press-Ons")</x:f>
        <x:v>HYPERLINK is not implemented. linkLocation=https://365nails.com/products/neon-pop-y2k-playground-short-square-press-ons, friendlyName=Neon Pop: "Y2K Playground" – Short Square Press-Ons</x:v>
      </x:c>
      <x:c r="D970" s="18" t="str">
        <x:v>Color: L256; Color classification: X s / S / M / L</x:v>
      </x:c>
      <x:c r="E970" s="25" t="str">
        <x:v>$4.99</x:v>
      </x:c>
      <x:c r="F970" s="19" t="str">
        <x:v>1</x:v>
      </x:c>
    </x:row>
    <x:row r="971" ht="93" customHeight="1">
      <x:c r="A971" s="19" t="n">
        <x:v>968</x:v>
      </x:c>
      <x:c r="B971" s="22" t="e">
        <x:f>HYPERLINK("https://cdn.shopify.com/s/files/1/0918/6066/4603/files/O1CN01fhZ97X2MQzdxqZfJc__2219089449823-0-cib.jpg?v=1774096973","Open")</x:f>
        <x:v>HYPERLINK is not implemented. linkLocation=https://cdn.shopify.com/s/files/1/0918/6066/4603/files/O1CN01fhZ97X2MQzdxqZfJc__2219089449823-0-cib.jpg?v=1774096973, friendlyName=Open</x:v>
      </x:c>
      <x:c r="C971" s="24" t="e">
        <x:f>HYPERLINK("https://365nails.com/products/tropical-bloom-coral-cherry-almond-press-ons","Tropical Bloom: ""Coral Cherry"" – Almond Press-Ons")</x:f>
        <x:v>HYPERLINK is not implemented. linkLocation=https://365nails.com/products/tropical-bloom-coral-cherry-almond-press-ons, friendlyName=Tropical Bloom: "Coral Cherry" – Almond Press-Ons</x:v>
      </x:c>
      <x:c r="D971" s="18" t="str">
        <x:v>Color: D519; Color classification: X s / S / M / L</x:v>
      </x:c>
      <x:c r="E971" s="25" t="str">
        <x:v>$3.99</x:v>
      </x:c>
      <x:c r="F971" s="19" t="str">
        <x:v>1</x:v>
      </x:c>
    </x:row>
    <x:row r="972" ht="93" customHeight="1">
      <x:c r="A972" s="19" t="n">
        <x:v>969</x:v>
      </x:c>
      <x:c r="B972" s="22" t="e">
        <x:f>HYPERLINK("https://cdn.shopify.com/s/files/1/0918/6066/4603/files/O1CN01hKRyfj2MQzdots3zf__2219089449823-0-cib.jpg?v=1774096940","Open")</x:f>
        <x:v>HYPERLINK is not implemented. linkLocation=https://cdn.shopify.com/s/files/1/0918/6066/4603/files/O1CN01hKRyfj2MQzdots3zf__2219089449823-0-cib.jpg?v=1774096940, friendlyName=Open</x:v>
      </x:c>
      <x:c r="C972" s="24" t="e">
        <x:f>HYPERLINK("https://365nails.com/products/mermaid-tide-coral-wave-almond-press-ons","Mermaid Tide: ""Coral Wave"" – Almond Press-Ons")</x:f>
        <x:v>HYPERLINK is not implemented. linkLocation=https://365nails.com/products/mermaid-tide-coral-wave-almond-press-ons, friendlyName=Mermaid Tide: "Coral Wave" – Almond Press-Ons</x:v>
      </x:c>
      <x:c r="D972" s="18" t="str">
        <x:v>Color: D503; Color classification: X s / S / M / L</x:v>
      </x:c>
      <x:c r="E972" s="25" t="str">
        <x:v>$3.99</x:v>
      </x:c>
      <x:c r="F972" s="19" t="str">
        <x:v>1</x:v>
      </x:c>
    </x:row>
    <x:row r="973" ht="93" customHeight="1">
      <x:c r="A973" s="19" t="n">
        <x:v>970</x:v>
      </x:c>
      <x:c r="B973" s="22" t="e">
        <x:f>HYPERLINK("https://cdn.shopify.com/s/files/1/0918/6066/4603/files/O1CN01TRzMF32MQzefjyBbS__2219089449823-0-cib.jpg?v=1774178699","Open")</x:f>
        <x:v>HYPERLINK is not implemented. linkLocation=https://cdn.shopify.com/s/files/1/0918/6066/4603/files/O1CN01TRzMF32MQzefjyBbS__2219089449823-0-cib.jpg?v=1774178699, friendlyName=Open</x:v>
      </x:c>
      <x:c r="C973" s="24" t="e">
        <x:f>HYPERLINK("https://365nails.com/products/ocean-whisper-azure-bloom-almond-shape-3d-handmade-press-on-nails","Ocean Whisper: ""Azure Bloom"" – Almond Shape 3D Handmade Press On Nails")</x:f>
        <x:v>HYPERLINK is not implemented. linkLocation=https://365nails.com/products/ocean-whisper-azure-bloom-almond-shape-3d-handmade-press-on-nails, friendlyName=Ocean Whisper: "Azure Bloom" – Almond Shape 3D Handmade Press On Nails</x:v>
      </x:c>
      <x:c r="D973" s="18" t="str">
        <x:v>Color: D571; Color classification: X s / S / M / L</x:v>
      </x:c>
      <x:c r="E973" s="25" t="str">
        <x:v>$3.49</x:v>
      </x:c>
      <x:c r="F973" s="19" t="str">
        <x:v>1</x:v>
      </x:c>
    </x:row>
    <x:row r="974" ht="93" customHeight="1">
      <x:c r="A974" s="19" t="n">
        <x:v>971</x:v>
      </x:c>
      <x:c r="B974" s="22" t="e">
        <x:f>HYPERLINK("https://cdn.shopify.com/s/files/1/0918/6066/4603/files/O1CN017rxZN22MQze5kEGUZ__2219089449823-0-cib.jpg?v=1774097083","Open")</x:f>
        <x:v>HYPERLINK is not implemented. linkLocation=https://cdn.shopify.com/s/files/1/0918/6066/4603/files/O1CN017rxZN22MQze5kEGUZ__2219089449823-0-cib.jpg?v=1774097083, friendlyName=Open</x:v>
      </x:c>
      <x:c r="C974" s="24" t="e">
        <x:f>HYPERLINK("https://365nails.com/products/emerald-whisper-cat-eye-bloom-almond-press-ons","Emerald Whisper: ""Cat Eye Bloom"" – Almond Press-Ons")</x:f>
        <x:v>HYPERLINK is not implemented. linkLocation=https://365nails.com/products/emerald-whisper-cat-eye-bloom-almond-press-ons, friendlyName=Emerald Whisper: "Cat Eye Bloom" – Almond Press-Ons</x:v>
      </x:c>
      <x:c r="D974" s="18" t="str">
        <x:v>Color: D408; Color classification: X s / S / M / L</x:v>
      </x:c>
      <x:c r="E974" s="25" t="str">
        <x:v>$3.99</x:v>
      </x:c>
      <x:c r="F974" s="19" t="str">
        <x:v>1</x:v>
      </x:c>
    </x:row>
    <x:row r="975" ht="93" customHeight="1">
      <x:c r="A975" s="19" t="n">
        <x:v>972</x:v>
      </x:c>
      <x:c r="B975" s="22" t="e">
        <x:f>HYPERLINK("https://cdn.shopify.com/s/files/1/0918/6066/4603/files/O1CN01HaKN0k2NGHlfiRbYs__4234819935-0-cib.jpg?v=1753432956","Open")</x:f>
        <x:v>HYPERLINK is not implemented. linkLocation=https://cdn.shopify.com/s/files/1/0918/6066/4603/files/O1CN01HaKN0k2NGHlfiRbYs__4234819935-0-cib.jpg?v=1753432956, friendlyName=Open</x:v>
      </x:c>
      <x:c r="C975" s="24" t="e">
        <x:f>HYPERLINK("https://365nails.com/products/nail-art-piece-finished-white-french-silver-pentagram-white-rhinestone-nail-piece-finished-removable-advanced-nail-365nails","Nail art piece Finished white French silver pentagram white rhinestone nail piece Finished removable advanced nail｜365nails")</x:f>
        <x:v>HYPERLINK is not implemented. linkLocation=https://365nails.com/products/nail-art-piece-finished-white-french-silver-pentagram-white-rhinestone-nail-piece-finished-removable-advanced-nail-365nails, friendlyName=Nail art piece Finished white French silver pentagram white rhinestone nail piece Finished removable advanced nail｜365nails</x:v>
      </x:c>
      <x:c r="D975" s="18" t="str">
        <x:v>color: JP2572</x:v>
      </x:c>
      <x:c r="E975" s="25" t="str">
        <x:v>$1.08</x:v>
      </x:c>
      <x:c r="F975" s="19" t="str">
        <x:v>1</x:v>
      </x:c>
    </x:row>
    <x:row r="976" ht="93" customHeight="1">
      <x:c r="A976" s="19" t="n">
        <x:v>973</x:v>
      </x:c>
      <x:c r="B976" s="22" t="e">
        <x:f>HYPERLINK("https://cdn.shopify.com/s/files/1/0918/6066/4603/files/O1CN018xTdDi2MQzck1CxP5__2219089449823-0-cib.jpg?v=1774065968","Open")</x:f>
        <x:v>HYPERLINK is not implemented. linkLocation=https://cdn.shopify.com/s/files/1/0918/6066/4603/files/O1CN018xTdDi2MQzck1CxP5__2219089449823-0-cib.jpg?v=1774065968, friendlyName=Open</x:v>
      </x:c>
      <x:c r="C976" s="24" t="e">
        <x:f>HYPERLINK("https://365nails.com/products/sunshine-star-yellow-bow-star-medium-almond-handmade-nails","365nails-Sunshine Star: ""Yellow Bow &amp; Star"" – Medium Almond Handmade Nails")</x:f>
        <x:v>HYPERLINK is not implemented. linkLocation=https://365nails.com/products/sunshine-star-yellow-bow-star-medium-almond-handmade-nails, friendlyName=365nails-Sunshine Star: "Yellow Bow &amp; Star" – Medium Almond Handmade Nails</x:v>
      </x:c>
      <x:c r="D976" s="18" t="str">
        <x:v>Color: D359; Color classification: X s / S / M / L</x:v>
      </x:c>
      <x:c r="E976" s="25" t="str">
        <x:v>$3.99</x:v>
      </x:c>
      <x:c r="F976" s="19" t="str">
        <x:v>1</x:v>
      </x:c>
    </x:row>
    <x:row r="977" ht="93" customHeight="1">
      <x:c r="A977" s="19" t="n">
        <x:v>974</x:v>
      </x:c>
      <x:c r="B977" s="22" t="e">
        <x:f>HYPERLINK("https://cdn.shopify.com/s/files/1/0918/6066/4603/files/O1CN01w6vWtt2214tTKDgXD__2219480337059-0-cib.jpg?v=1773824708","Open")</x:f>
        <x:v>HYPERLINK is not implemented. linkLocation=https://cdn.shopify.com/s/files/1/0918/6066/4603/files/O1CN01w6vWtt2214tTKDgXD__2219480337059-0-cib.jpg?v=1773824708, friendlyName=Open</x:v>
      </x:c>
      <x:c r="C977" s="24" t="e">
        <x:f>HYPERLINK("https://365nails.com/products/strawberry-sweet-kids-series-strawberry-dessert-party-short-square-kids-nail-art","365nails-Strawberry Sweet Kids Series: ""Strawberry Dessert Party"" – Short Square Kids Nail Art")</x:f>
        <x:v>HYPERLINK is not implemented. linkLocation=https://365nails.com/products/strawberry-sweet-kids-series-strawberry-dessert-party-short-square-kids-nail-art, friendlyName=365nails-Strawberry Sweet Kids Series: "Strawberry Dessert Party" – Short Square Kids Nail Art</x:v>
      </x:c>
      <x:c r="D977" s="18" t="str">
        <x:v>Color: Hand-picked strawberries; Color classification: Xs (about 2 years old) / S (3-4 years old) / M (5-7 years old) / L (8-11 years old)</x:v>
      </x:c>
      <x:c r="E977" s="25" t="str">
        <x:v>$2.99</x:v>
      </x:c>
      <x:c r="F977" s="19" t="str">
        <x:v>3</x:v>
      </x:c>
    </x:row>
    <x:row r="978" ht="93" customHeight="1">
      <x:c r="A978" s="19" t="n">
        <x:v>975</x:v>
      </x:c>
      <x:c r="B978" s="22" t="e">
        <x:f>HYPERLINK("https://cdn.shopify.com/s/files/1/0918/6066/4603/files/O1CN01DQAxIS2MQze23KyEC__2219089449823-0-cib.jpg?v=1774097103","Open")</x:f>
        <x:v>HYPERLINK is not implemented. linkLocation=https://cdn.shopify.com/s/files/1/0918/6066/4603/files/O1CN01DQAxIS2MQze23KyEC__2219089449823-0-cib.jpg?v=1774097103, friendlyName=Open</x:v>
      </x:c>
      <x:c r="C978" s="24" t="e">
        <x:f>HYPERLINK("https://365nails.com/products/blush-bloom-golden-sakura-short-square-press-ons","Blush Bloom: ""Golden Sakura"" – Short Square Press-Ons")</x:f>
        <x:v>HYPERLINK is not implemented. linkLocation=https://365nails.com/products/blush-bloom-golden-sakura-short-square-press-ons, friendlyName=Blush Bloom: "Golden Sakura" – Short Square Press-Ons</x:v>
      </x:c>
      <x:c r="D978" s="18" t="str">
        <x:v>Color: (c100) a new short square between flowers; Color classification: X s / S / M / L</x:v>
      </x:c>
      <x:c r="E978" s="25" t="str">
        <x:v>$2.99</x:v>
      </x:c>
      <x:c r="F978" s="19" t="str">
        <x:v>1</x:v>
      </x:c>
    </x:row>
    <x:row r="979" ht="93" customHeight="1">
      <x:c r="A979" s="19" t="n">
        <x:v>976</x:v>
      </x:c>
      <x:c r="B979" s="22" t="e">
        <x:f>HYPERLINK("https://cdn.shopify.com/s/files/1/0918/6066/4603/files/O1CN01IijWfo2MQzboW6La8__2219089449823-0-cib.jpg?v=1774065436","Open")</x:f>
        <x:v>HYPERLINK is not implemented. linkLocation=https://cdn.shopify.com/s/files/1/0918/6066/4603/files/O1CN01IijWfo2MQzboW6La8__2219089449823-0-cib.jpg?v=1774065436, friendlyName=Open</x:v>
      </x:c>
      <x:c r="C979" s="24" t="e">
        <x:f>HYPERLINK("https://365nails.com/products/fresh-green-jade-bow-medium-almond-handmade-nails","365nails-Fresh Green: ""Jade Bow"" – Medium Almond Handmade Nails")</x:f>
        <x:v>HYPERLINK is not implemented. linkLocation=https://365nails.com/products/fresh-green-jade-bow-medium-almond-handmade-nails, friendlyName=365nails-Fresh Green: "Jade Bow" – Medium Almond Handmade Nails</x:v>
      </x:c>
      <x:c r="D979" s="18" t="str">
        <x:v>Color: (c91) qianqian qingtang—middle ladder; Color classification: X s / S / M / L</x:v>
      </x:c>
      <x:c r="E979" s="25" t="str">
        <x:v>$3.99</x:v>
      </x:c>
      <x:c r="F979" s="19" t="str">
        <x:v>3</x:v>
      </x:c>
    </x:row>
    <x:row r="980" ht="93" customHeight="1">
      <x:c r="A980" s="19" t="n">
        <x:v>977</x:v>
      </x:c>
      <x:c r="B980" s="22" t="e">
        <x:f>HYPERLINK("https://cdn.shopify.com/s/files/1/0918/6066/4603/files/O1CN01l19DQA2MQzdeNxP3k__2219089449823-0-cib.jpg?v=1774011022","Open")</x:f>
        <x:v>HYPERLINK is not implemented. linkLocation=https://cdn.shopify.com/s/files/1/0918/6066/4603/files/O1CN01l19DQA2MQzdeNxP3k__2219089449823-0-cib.jpg?v=1774011022, friendlyName=Open</x:v>
      </x:c>
      <x:c r="C980" s="24" t="e">
        <x:f>HYPERLINK("https://365nails.com/products/chocolate-drip-cocoa-texture-stiletto-handmade-3d-carved-press-on-nails","365nails-Chocolate Drip: ""Cocoa Texture"" – Stiletto Handmade 3D Carved Press-On Nails")</x:f>
        <x:v>HYPERLINK is not implemented. linkLocation=https://365nails.com/products/chocolate-drip-cocoa-texture-stiletto-handmade-3d-carved-press-on-nails, friendlyName=365nails-Chocolate Drip: "Cocoa Texture" – Stiletto Handmade 3D Carved Press-On Nails</x:v>
      </x:c>
      <x:c r="D980" s="18" t="str">
        <x:v>Color: K018; Color classification: X s / S / M / L</x:v>
      </x:c>
      <x:c r="E980" s="25" t="str">
        <x:v>$3.99</x:v>
      </x:c>
      <x:c r="F980" s="19" t="str">
        <x:v>1</x:v>
      </x:c>
    </x:row>
    <x:row r="981" ht="93" customHeight="1">
      <x:c r="A981" s="19" t="n">
        <x:v>978</x:v>
      </x:c>
      <x:c r="B981" s="22" t="e">
        <x:f>HYPERLINK("https://cdn.shopify.com/s/files/1/0918/6066/4603/files/O1CN0141j5qq2MQzeLFUxzC__2219089449823-0-cib.jpg?v=1774097112","Open")</x:f>
        <x:v>HYPERLINK is not implemented. linkLocation=https://cdn.shopify.com/s/files/1/0918/6066/4603/files/O1CN0141j5qq2MQzeLFUxzC__2219089449823-0-cib.jpg?v=1774097112, friendlyName=Open</x:v>
      </x:c>
      <x:c r="C981" s="24" t="e">
        <x:f>HYPERLINK("https://365nails.com/products/royal-sapphire-ocean-crown-almond-press-ons","Royal Sapphire: ""Ocean Crown"" – Almond Press-Ons")</x:f>
        <x:v>HYPERLINK is not implemented. linkLocation=https://365nails.com/products/royal-sapphire-ocean-crown-almond-press-ons, friendlyName=Royal Sapphire: "Ocean Crown" – Almond Press-Ons</x:v>
      </x:c>
      <x:c r="D981" s="18" t="str">
        <x:v>Color: D556; Color classification: X s / S / M / L</x:v>
      </x:c>
      <x:c r="E981" s="25" t="str">
        <x:v>$3.99</x:v>
      </x:c>
      <x:c r="F981" s="19" t="str">
        <x:v>1</x:v>
      </x:c>
    </x:row>
    <x:row r="982" ht="93" customHeight="1">
      <x:c r="A982" s="19" t="n">
        <x:v>979</x:v>
      </x:c>
      <x:c r="B982" s="22" t="e">
        <x:f>HYPERLINK("https://cdn.shopify.com/s/files/1/0918/6066/4603/files/O1CN01VJdXEp2MQzdBVZRM4__2219089449823-0-cib.jpg?v=1774011279","Open")</x:f>
        <x:v>HYPERLINK is not implemented. linkLocation=https://cdn.shopify.com/s/files/1/0918/6066/4603/files/O1CN01VJdXEp2MQzdBVZRM4__2219089449823-0-cib.jpg?v=1774011279, friendlyName=Open</x:v>
      </x:c>
      <x:c r="C982" s="24" t="e">
        <x:f>HYPERLINK("https://365nails.com/products/%E8%B7%A8%E5%A2%83%E7%88%86%E6%AC%BE3d%E9%9B%95%E8%8A%B1%E7%9F%AD%E6%AC%BE%E8%93%9D%E8%89%B2%E6%B3%A2%E7%82%B9%E5%B0%8F%E8%8A%B1%E6%9D%8F%E4%BB%81%E7%94%B2%E7%BA%AF%E6%89%8B%E5%B7%A5%E7%A9%BF%E6%88%B4%E7%94%B2%E6%88%90%E5%93%81%E6%89%B9%E5%8F%91","Purple Fantasy: ""Lavender Bloom"" – Almond Shape Handmade 3D Carved Press-On Nails")</x:f>
        <x:v>HYPERLINK is not implemented. linkLocation=https://365nails.com/products/%E8%B7%A8%E5%A2%83%E7%88%86%E6%AC%BE3d%E9%9B%95%E8%8A%B1%E7%9F%AD%E6%AC%BE%E8%93%9D%E8%89%B2%E6%B3%A2%E7%82%B9%E5%B0%8F%E8%8A%B1%E6%9D%8F%E4%BB%81%E7%94%B2%E7%BA%AF%E6%89%8B%E5%B7%A5%E7%A9%BF%E6%88%B4%E7%94%B2%E6%88%90%E5%93%81%E6%89%B9%E5%8F%91, friendlyName=Purple Fantasy: "Lavender Bloom" – Almond Shape Handmade 3D Carved Press-On Nails</x:v>
      </x:c>
      <x:c r="D982" s="18" t="str">
        <x:v>Color: D437; Color classification: X s / S / M / L</x:v>
      </x:c>
      <x:c r="E982" s="25" t="str">
        <x:v>$3.99</x:v>
      </x:c>
      <x:c r="F982" s="19" t="str">
        <x:v>1</x:v>
      </x:c>
    </x:row>
    <x:row r="983" ht="93" customHeight="1">
      <x:c r="A983" s="19" t="n">
        <x:v>980</x:v>
      </x:c>
      <x:c r="B983" s="22" t="e">
        <x:f>HYPERLINK("https://cdn.shopify.com/s/files/1/0918/6066/4603/files/O1CN01swWQO92MQzd8JOlIm__2219089449823-0-cib.jpg?v=1774066105","Open")</x:f>
        <x:v>HYPERLINK is not implemented. linkLocation=https://cdn.shopify.com/s/files/1/0918/6066/4603/files/O1CN01swWQO92MQzd8JOlIm__2219089449823-0-cib.jpg?v=1774066105, friendlyName=Open</x:v>
      </x:c>
      <x:c r="C983" s="24" t="e">
        <x:f>HYPERLINK("https://365nails.com/products/beach-wave-teal-wave-floral-long-almond-handmade-nails","365nails-Beach Wave: ""Teal Wave &amp; Floral"" – Long Almond Handmade Nails")</x:f>
        <x:v>HYPERLINK is not implemented. linkLocation=https://365nails.com/products/beach-wave-teal-wave-floral-long-almond-handmade-nails, friendlyName=365nails-Beach Wave: "Teal Wave &amp; Floral" – Long Almond Handmade Nails</x:v>
      </x:c>
      <x:c r="D983" s="18" t="str">
        <x:v>Color: D451; Color classification: X s / S / M / L</x:v>
      </x:c>
      <x:c r="E983" s="25" t="str">
        <x:v>$3.99</x:v>
      </x:c>
      <x:c r="F983" s="19" t="str">
        <x:v>1</x:v>
      </x:c>
    </x:row>
    <x:row r="984" ht="93" customHeight="1">
      <x:c r="A984" s="19" t="n">
        <x:v>981</x:v>
      </x:c>
      <x:c r="B984" s="22" t="e">
        <x:f>HYPERLINK("https://cdn.shopify.com/s/files/1/0918/6066/4603/files/O1CN01rtVLIl2MQzfsroOaN__2219089449823-0-cib_fd76ccab-d936-44cc-8778-1a76cabffae9.jpg?v=1774065511","Open")</x:f>
        <x:v>HYPERLINK is not implemented. linkLocation=https://cdn.shopify.com/s/files/1/0918/6066/4603/files/O1CN01rtVLIl2MQzfsroOaN__2219089449823-0-cib_fd76ccab-d936-44cc-8778-1a76cabffae9.jpg?v=1774065511, friendlyName=Open</x:v>
      </x:c>
      <x:c r="C984" s="24" t="e">
        <x:f>HYPERLINK("https://365nails.com/products/edgy-bloom-devils-blue-flower-medium-almond-handmade-nails","365nails-Edgy Bloom: ""Devil's Blue Flower"" – Medium Almond Handmade Nails")</x:f>
        <x:v>HYPERLINK is not implemented. linkLocation=https://365nails.com/products/edgy-bloom-devils-blue-flower-medium-almond-handmade-nails, friendlyName=365nails-Edgy Bloom: "Devil's Blue Flower" – Medium Almond Handmade Nails</x:v>
      </x:c>
      <x:c r="D984" s="18" t="str">
        <x:v>Color: D257; Color classification: X s / S / M / L</x:v>
      </x:c>
      <x:c r="E984" s="25" t="str">
        <x:v>$3.99</x:v>
      </x:c>
      <x:c r="F984" s="19" t="str">
        <x:v>5</x:v>
      </x:c>
    </x:row>
    <x:row r="985" ht="93" customHeight="1">
      <x:c r="A985" s="19" t="n">
        <x:v>982</x:v>
      </x:c>
      <x:c r="B985" s="22" t="e">
        <x:f>HYPERLINK("https://cdn.shopify.com/s/files/1/0918/6066/4603/files/O1CN01wXZMnK2MQzdb4Oxp8__2219089449823-0-cib.jpg?v=1774011002","Open")</x:f>
        <x:v>HYPERLINK is not implemented. linkLocation=https://cdn.shopify.com/s/files/1/0918/6066/4603/files/O1CN01wXZMnK2MQzdb4Oxp8__2219089449823-0-cib.jpg?v=1774011002, friendlyName=Open</x:v>
      </x:c>
      <x:c r="C985" s="24" t="e">
        <x:f>HYPERLINK("https://365nails.com/products/golden-leopard-glam-leopard-square-handmade-3d-embellished-press-on-nails","365nails-Golden Leopard: ""Glam Leopard"" – Square Handmade 3D Embellished Press-On Nails")</x:f>
        <x:v>HYPERLINK is not implemented. linkLocation=https://365nails.com/products/golden-leopard-glam-leopard-square-handmade-3d-embellished-press-on-nails, friendlyName=365nails-Golden Leopard: "Glam Leopard" – Square Handmade 3D Embellished Press-On Nails</x:v>
      </x:c>
      <x:c r="D985" s="18" t="str">
        <x:v>Color: L265; Color classification: X s / S / M / L</x:v>
      </x:c>
      <x:c r="E985" s="25" t="str">
        <x:v>$3.99</x:v>
      </x:c>
      <x:c r="F985" s="19" t="str">
        <x:v>1</x:v>
      </x:c>
    </x:row>
    <x:row r="986" ht="93" customHeight="1">
      <x:c r="A986" s="19" t="n">
        <x:v>983</x:v>
      </x:c>
      <x:c r="B986" s="22" t="e">
        <x:f>HYPERLINK("https://cdn.shopify.com/s/files/1/0918/6066/4603/files/O1CN01eLPWLV2MQzdVQ2vDJ__2219089449823-0-cib.jpg?v=1774010998","Open")</x:f>
        <x:v>HYPERLINK is not implemented. linkLocation=https://cdn.shopify.com/s/files/1/0918/6066/4603/files/O1CN01eLPWLV2MQzdVQ2vDJ__2219089449823-0-cib.jpg?v=1774010998, friendlyName=Open</x:v>
      </x:c>
      <x:c r="C986" s="24" t="e">
        <x:f>HYPERLINK("https://365nails.com/products/ocean-treasure-seashell-starfish-almond-shape-handmade-3d-carved-press-on-nails","365nails-Ocean Treasure: ""Seashell Starfish"" – Almond Shape Handmade 3D Carved Press-On Nails")</x:f>
        <x:v>HYPERLINK is not implemented. linkLocation=https://365nails.com/products/ocean-treasure-seashell-starfish-almond-shape-handmade-3d-carved-press-on-nails, friendlyName=365nails-Ocean Treasure: "Seashell Starfish" – Almond Shape Handmade 3D Carved Press-On Nails</x:v>
      </x:c>
      <x:c r="D986" s="18" t="str">
        <x:v>Color: D489; Color classification: X s / S / M / L</x:v>
      </x:c>
      <x:c r="E986" s="25" t="str">
        <x:v>$3.99</x:v>
      </x:c>
      <x:c r="F986" s="19" t="str">
        <x:v>1</x:v>
      </x:c>
    </x:row>
    <x:row r="987" ht="93" customHeight="1">
      <x:c r="A987" s="19" t="n">
        <x:v>984</x:v>
      </x:c>
      <x:c r="B987" s="22" t="e">
        <x:f>HYPERLINK("https://cdn.shopify.com/s/files/1/0918/6066/4603/files/O1CN017vOTKT1GJlVlwCbWf__6000000000602-0-cib.jpg?v=1774010969","Open")</x:f>
        <x:v>HYPERLINK is not implemented. linkLocation=https://cdn.shopify.com/s/files/1/0918/6066/4603/files/O1CN017vOTKT1GJlVlwCbWf__6000000000602-0-cib.jpg?v=1774010969, friendlyName=Open</x:v>
      </x:c>
      <x:c r="C987" s="24" t="e">
        <x:f>HYPERLINK("https://365nails.com/products/jade-serenity-misty-leaf-almond-shape-handmade-3d-carved-press-on-nails","365nails-Jade Serenity: ""Misty Leaf"" – Almond Shape Handmade 3D Carved Press-On Nails")</x:f>
        <x:v>HYPERLINK is not implemented. linkLocation=https://365nails.com/products/jade-serenity-misty-leaf-almond-shape-handmade-3d-carved-press-on-nails, friendlyName=365nails-Jade Serenity: "Misty Leaf" – Almond Shape Handmade 3D Carved Press-On Nails</x:v>
      </x:c>
      <x:c r="D987" s="18" t="str">
        <x:v>Color: D482; Color classification: X s / S / M / L</x:v>
      </x:c>
      <x:c r="E987" s="25" t="str">
        <x:v>$3.99</x:v>
      </x:c>
      <x:c r="F987" s="19" t="str">
        <x:v>1</x:v>
      </x:c>
    </x:row>
    <x:row r="988" ht="93" customHeight="1">
      <x:c r="A988" s="19" t="n">
        <x:v>985</x:v>
      </x:c>
      <x:c r="B988" s="22" t="e">
        <x:f>HYPERLINK("https://cdn.shopify.com/s/files/1/0918/6066/4603/files/O1CN01jHXq0N1yJcTpeoaO2__6000000006558-0-cib.jpg?v=1774010964","Open")</x:f>
        <x:v>HYPERLINK is not implemented. linkLocation=https://cdn.shopify.com/s/files/1/0918/6066/4603/files/O1CN01jHXq0N1yJcTpeoaO2__6000000006558-0-cib.jpg?v=1774010964, friendlyName=Open</x:v>
      </x:c>
      <x:c r="C988" s="24" t="e">
        <x:f>HYPERLINK("https://365nails.com/products/cherry-sweet-cherry-bow-square-handmade-3d-carved-press-on-nails","365nails-Cherry Sweet: ""Cherry Bow"" – Square Handmade 3D Carved Press-On Nails")</x:f>
        <x:v>HYPERLINK is not implemented. linkLocation=https://365nails.com/products/cherry-sweet-cherry-bow-square-handmade-3d-carved-press-on-nails, friendlyName=365nails-Cherry Sweet: "Cherry Bow" – Square Handmade 3D Carved Press-On Nails</x:v>
      </x:c>
      <x:c r="D988" s="18" t="str">
        <x:v>Color: K024; Color classification: X s / S / M / L</x:v>
      </x:c>
      <x:c r="E988" s="25" t="str">
        <x:v>$3.99</x:v>
      </x:c>
      <x:c r="F988" s="19" t="str">
        <x:v>1</x:v>
      </x:c>
    </x:row>
    <x:row r="989" ht="93" customHeight="1">
      <x:c r="A989" s="19" t="n">
        <x:v>986</x:v>
      </x:c>
      <x:c r="B989" s="22" t="e">
        <x:f>HYPERLINK("https://cdn.shopify.com/s/files/1/0918/6066/4603/files/O1CN01tiuaFl2MQzdIcA1IZ__2219089449823-0-cib.jpg?v=1774010925","Open")</x:f>
        <x:v>HYPERLINK is not implemented. linkLocation=https://cdn.shopify.com/s/files/1/0918/6066/4603/files/O1CN01tiuaFl2MQzdIcA1IZ__2219089449823-0-cib.jpg?v=1774010925, friendlyName=Open</x:v>
      </x:c>
      <x:c r="C989" s="24" t="e">
        <x:f>HYPERLINK("https://365nails.com/products/honey-buzz-bumblebee-daisy-almond-shape-handmade-3d-carved-press-on-nails","365nails-Honey Buzz: ""Bumblebee Daisy"" – Almond Shape Handmade 3D Carved Press-On Nails")</x:f>
        <x:v>HYPERLINK is not implemented. linkLocation=https://365nails.com/products/honey-buzz-bumblebee-daisy-almond-shape-handmade-3d-carved-press-on-nails, friendlyName=365nails-Honey Buzz: "Bumblebee Daisy" – Almond Shape Handmade 3D Carved Press-On Nails</x:v>
      </x:c>
      <x:c r="D989" s="18" t="str">
        <x:v>Color: D456; Color classification: X s / S / M / L</x:v>
      </x:c>
      <x:c r="E989" s="25" t="str">
        <x:v>$3.99</x:v>
      </x:c>
      <x:c r="F989" s="19" t="str">
        <x:v>1</x:v>
      </x:c>
    </x:row>
    <x:row r="990" ht="93" customHeight="1">
      <x:c r="A990" s="19" t="n">
        <x:v>987</x:v>
      </x:c>
      <x:c r="B990" s="22" t="e">
        <x:f>HYPERLINK("https://cdn.shopify.com/s/files/1/0918/6066/4603/files/O1CN01JpsfkU2214vUs40bw__2219480337059-0-cib.jpg?v=1773320975","Open")</x:f>
        <x:v>HYPERLINK is not implemented. linkLocation=https://cdn.shopify.com/s/files/1/0918/6066/4603/files/O1CN01JpsfkU2214vUs40bw__2219480337059-0-cib.jpg?v=1773320975, friendlyName=Open</x:v>
      </x:c>
      <x:c r="C990" s="24" t="e">
        <x:f>HYPERLINK("https://365nails.com/products/365nails-edgy-sweet-bear-short-round-handmade-kids-press-on-nails","365nails: ""edgy sweet bear"" – short round handmade kids press-on nails")</x:f>
        <x:v>HYPERLINK is not implemented. linkLocation=https://365nails.com/products/365nails-edgy-sweet-bear-short-round-handmade-kids-press-on-nails, friendlyName=365nails: "edgy sweet bear" – short round handmade kids press-on nails</x:v>
      </x:c>
      <x:c r="D990" s="18" t="str">
        <x:v>Color: 10185 love transparent bear; Color classification: Xs (about 2 years old) / S (3-4 years old) / M (5-7 years old) / L (8-11 years old)</x:v>
      </x:c>
      <x:c r="E990" s="25" t="str">
        <x:v>$2.99</x:v>
      </x:c>
      <x:c r="F990" s="19" t="str">
        <x:v>3</x:v>
      </x:c>
    </x:row>
    <x:row r="991" ht="93" customHeight="1">
      <x:c r="A991" s="19" t="n">
        <x:v>988</x:v>
      </x:c>
      <x:c r="B991" s="22" t="e">
        <x:f>HYPERLINK("https://cdn.shopify.com/s/files/1/0918/6066/4603/files/O1CN01E3CLm62MQzd8zgRw5__2219089449823-0-cib.jpg?v=1774066152","Open")</x:f>
        <x:v>HYPERLINK is not implemented. linkLocation=https://cdn.shopify.com/s/files/1/0918/6066/4603/files/O1CN01E3CLm62MQzd8zgRw5__2219089449823-0-cib.jpg?v=1774066152, friendlyName=Open</x:v>
      </x:c>
      <x:c r="C991" s="24" t="e">
        <x:f>HYPERLINK("https://365nails.com/products/sweet-punk-pink-leopard-lace-up-tapered-square-press-on-nails","365nails-Sweet Punk: ""Pink Leopard Lace-Up"" – Tapered Square Press-On Nails")</x:f>
        <x:v>HYPERLINK is not implemented. linkLocation=https://365nails.com/products/sweet-punk-pink-leopard-lace-up-tapered-square-press-on-nails, friendlyName=365nails-Sweet Punk: "Pink Leopard Lace-Up" – Tapered Square Press-On Nails</x:v>
      </x:c>
      <x:c r="D991" s="18" t="str">
        <x:v>Color: L276; Color classification: X s / S / M / L</x:v>
      </x:c>
      <x:c r="E991" s="25" t="str">
        <x:v>$4.99</x:v>
      </x:c>
      <x:c r="F991" s="19" t="str">
        <x:v>1</x:v>
      </x:c>
    </x:row>
    <x:row r="992" ht="93" customHeight="1">
      <x:c r="A992" s="19" t="n">
        <x:v>989</x:v>
      </x:c>
      <x:c r="B992" s="22" t="e">
        <x:f>HYPERLINK("https://cdn.shopify.com/s/files/1/0918/6066/4603/files/O1CN01A2mdCO2MQzcuQNpqM__2219089449823-0-cib.jpg?v=1774066071","Open")</x:f>
        <x:v>HYPERLINK is not implemented. linkLocation=https://cdn.shopify.com/s/files/1/0918/6066/4603/files/O1CN01A2mdCO2MQzcuQNpqM__2219089449823-0-cib.jpg?v=1774066071, friendlyName=Open</x:v>
      </x:c>
      <x:c r="C992" s="24" t="e">
        <x:f>HYPERLINK("https://365nails.com/products/emerald-royal-vintage-gem-long-almond-handmade-nails","365nails-Emerald Royal: ""Vintage Gem"" – Long Almond Handmade Nails")</x:f>
        <x:v>HYPERLINK is not implemented. linkLocation=https://365nails.com/products/emerald-royal-vintage-gem-long-almond-handmade-nails, friendlyName=365nails-Emerald Royal: "Vintage Gem" – Long Almond Handmade Nails</x:v>
      </x:c>
      <x:c r="D992" s="18" t="str">
        <x:v>Color: C98 versailles oval one; Color classification: X s / S / M / L</x:v>
      </x:c>
      <x:c r="E992" s="25" t="str">
        <x:v>$3.99</x:v>
      </x:c>
      <x:c r="F992" s="19" t="str">
        <x:v>1</x:v>
      </x:c>
    </x:row>
    <x:row r="993" ht="93" customHeight="1">
      <x:c r="A993" s="19" t="n">
        <x:v>990</x:v>
      </x:c>
      <x:c r="B993" s="22" t="e">
        <x:f>HYPERLINK("https://cdn.shopify.com/s/files/1/0918/6066/4603/files/O1CN01HSWDRl2MQzcdEe8Wn__2219089449823-0-cib.jpg?v=1774065936","Open")</x:f>
        <x:v>HYPERLINK is not implemented. linkLocation=https://cdn.shopify.com/s/files/1/0918/6066/4603/files/O1CN01HSWDRl2MQzcdEe8Wn__2219089449823-0-cib.jpg?v=1774065936, friendlyName=Open</x:v>
      </x:c>
      <x:c r="C993" s="24" t="e">
        <x:f>HYPERLINK("https://365nails.com/products/mermaid-fantasy-seashell-starfish-long-almond-handmade-nails","365nails-Mermaid Fantasy: ""Seashell &amp; Starfish"" – Long Almond Handmade Nails")</x:f>
        <x:v>HYPERLINK is not implemented. linkLocation=https://365nails.com/products/mermaid-fantasy-seashell-starfish-long-almond-handmade-nails, friendlyName=365nails-Mermaid Fantasy: "Seashell &amp; Starfish" – Long Almond Handmade Nails</x:v>
      </x:c>
      <x:c r="D993" s="18" t="str">
        <x:v>Color: D–360; Color classification: X s / S / M / L</x:v>
      </x:c>
      <x:c r="E993" s="25" t="str">
        <x:v>$3.99</x:v>
      </x:c>
      <x:c r="F993" s="19" t="str">
        <x:v>1</x:v>
      </x:c>
    </x:row>
    <x:row r="994" ht="93" customHeight="1">
      <x:c r="A994" s="19" t="n">
        <x:v>991</x:v>
      </x:c>
      <x:c r="B994" s="22" t="e">
        <x:f>HYPERLINK("https://cdn.shopify.com/s/files/1/0918/6066/4603/files/O1CN01yNZALo1pFC6tybKQS__6000000005330-0-cib.jpg?v=1774010930","Open")</x:f>
        <x:v>HYPERLINK is not implemented. linkLocation=https://cdn.shopify.com/s/files/1/0918/6066/4603/files/O1CN01yNZALo1pFC6tybKQS__6000000005330-0-cib.jpg?v=1774010930, friendlyName=Open</x:v>
      </x:c>
      <x:c r="C994" s="24" t="e">
        <x:f>HYPERLINK("https://365nails.com/products/enchanted-meadow-rainbow-daisy-mushroom-almond-shape-handmade-3d-carved-press-on-nails","365nails-Enchanted Meadow: ""Rainbow Daisy Mushroom"" – Almond Shape Handmade 3D Carved Press-On Nails")</x:f>
        <x:v>HYPERLINK is not implemented. linkLocation=https://365nails.com/products/enchanted-meadow-rainbow-daisy-mushroom-almond-shape-handmade-3d-carved-press-on-nails, friendlyName=365nails-Enchanted Meadow: "Rainbow Daisy Mushroom" – Almond Shape Handmade 3D Carved Press-On Nails</x:v>
      </x:c>
      <x:c r="D994" s="18" t="str">
        <x:v>Color: D481; Color classification: X s / S / M / L</x:v>
      </x:c>
      <x:c r="E994" s="25" t="str">
        <x:v>$3.99</x:v>
      </x:c>
      <x:c r="F994" s="19" t="str">
        <x:v>1</x:v>
      </x:c>
    </x:row>
    <x:row r="995" ht="93" customHeight="1">
      <x:c r="A995" s="19" t="n">
        <x:v>992</x:v>
      </x:c>
      <x:c r="B995" s="22" t="e">
        <x:f>HYPERLINK("https://cdn.shopify.com/s/files/1/0918/6066/4603/files/O1CN01u4ZJUc2214v7TKgWp__2219480337059-0-cib.jpg?v=1773321139","Open")</x:f>
        <x:v>HYPERLINK is not implemented. linkLocation=https://cdn.shopify.com/s/files/1/0918/6066/4603/files/O1CN01u4ZJUc2214v7TKgWp__2219480337059-0-cib.jpg?v=1773321139, friendlyName=Open</x:v>
      </x:c>
      <x:c r="C995" s="24" t="e">
        <x:f>HYPERLINK("https://365nails.com/products/365nails-jelly-cherry-picnic-short-round-handmade-kids-press-on-nails","365nails: ""jelly cherry picnic"" – short round handmade kids press-on nails")</x:f>
        <x:v>HYPERLINK is not implemented. linkLocation=https://365nails.com/products/365nails-jelly-cherry-picnic-short-round-handmade-kids-press-on-nails, friendlyName=365nails: "jelly cherry picnic" – short round handmade kids press-on nails</x:v>
      </x:c>
      <x:c r="D995" s="18" t="str">
        <x:v>Color: H9213 cherry flash diamond; Color classification: Xs (about 2 years old) / S (3-4 years old) / M (5-7 years old) / L (8-11 years old)</x:v>
      </x:c>
      <x:c r="E995" s="25" t="str">
        <x:v>$2.99</x:v>
      </x:c>
      <x:c r="F995" s="19" t="str">
        <x:v>3</x:v>
      </x:c>
    </x:row>
    <x:row r="996" ht="93" customHeight="1">
      <x:c r="A996" s="19" t="n">
        <x:v>993</x:v>
      </x:c>
      <x:c r="B996" s="22" t="e">
        <x:f>HYPERLINK("https://cdn.shopify.com/s/files/1/0918/6066/4603/files/O1CN01YV6kqW2214ubrU8Vn__2219480337059-0-cib.jpg?v=1773320996","Open")</x:f>
        <x:v>HYPERLINK is not implemented. linkLocation=https://cdn.shopify.com/s/files/1/0918/6066/4603/files/O1CN01YV6kqW2214ubrU8Vn__2219480337059-0-cib.jpg?v=1773320996, friendlyName=Open</x:v>
      </x:c>
      <x:c r="C996" s="24" t="e">
        <x:f>HYPERLINK("https://365nails.com/products/365nails-playful-amusement-park-short-round-handmade-kids-press-on-nails","365nails: ""playful amusement park"" – short round handmade kids press-on nails")</x:f>
        <x:v>HYPERLINK is not implemented. linkLocation=https://365nails.com/products/365nails-playful-amusement-park-short-round-handmade-kids-press-on-nails, friendlyName=365nails: "playful amusement park" – short round handmade kids press-on nails</x:v>
      </x:c>
      <x:c r="D996" s="18" t="str">
        <x:v>Color: H apple flower; Color classification: Xs (about 2 years old) / S (3-4 years old) / M (5-7 years old) / L (8-11 years old)</x:v>
      </x:c>
      <x:c r="E996" s="25" t="str">
        <x:v>$2.99</x:v>
      </x:c>
      <x:c r="F996" s="19" t="str">
        <x:v>3</x:v>
      </x:c>
    </x:row>
    <x:row r="997" ht="93" customHeight="1">
      <x:c r="A997" s="19" t="n">
        <x:v>994</x:v>
      </x:c>
      <x:c r="B997" s="22" t="e">
        <x:f>HYPERLINK("https://cdn.shopify.com/s/files/1/0918/6066/4603/files/O1CN01z1X5dd2214tIxhdU6__2219480337059-0-cib.jpg?v=1773320966","Open")</x:f>
        <x:v>HYPERLINK is not implemented. linkLocation=https://cdn.shopify.com/s/files/1/0918/6066/4603/files/O1CN01z1X5dd2214tIxhdU6__2219480337059-0-cib.jpg?v=1773320966, friendlyName=Open</x:v>
      </x:c>
      <x:c r="C997" s="24" t="e">
        <x:f>HYPERLINK("https://365nails.com/products/365nails-juicy-dewdrop-cherry-short-round-handmade-kids-press-on-nails","365nails: ""juicy dewdrop cherry"" – short round handmade kids press-on nails")</x:f>
        <x:v>HYPERLINK is not implemented. linkLocation=https://365nails.com/products/365nails-juicy-dewdrop-cherry-short-round-handmade-kids-press-on-nails, friendlyName=365nails: "juicy dewdrop cherry" – short round handmade kids press-on nails</x:v>
      </x:c>
      <x:c r="D997" s="18" t="str">
        <x:v>Color: Cat eye cherry; Color classification: Xs (about 2 years old) / S (3-4 years old) / M (5-7 years old) / L(8-11 years old)</x:v>
      </x:c>
      <x:c r="E997" s="25" t="str">
        <x:v>$2.99</x:v>
      </x:c>
      <x:c r="F997" s="19" t="str">
        <x:v>3</x:v>
      </x:c>
    </x:row>
    <x:row r="998" ht="93" customHeight="1">
      <x:c r="A998" s="19" t="n">
        <x:v>995</x:v>
      </x:c>
      <x:c r="B998" s="22" t="e">
        <x:f>HYPERLINK("https://cdn.shopify.com/s/files/1/0918/6066/4603/files/O1CN01sC7ab82214sawoK32__2219480337059-0-cib.jpg?v=1773320903","Open")</x:f>
        <x:v>HYPERLINK is not implemented. linkLocation=https://cdn.shopify.com/s/files/1/0918/6066/4603/files/O1CN01sC7ab82214sawoK32__2219480337059-0-cib.jpg?v=1773320903, friendlyName=Open</x:v>
      </x:c>
      <x:c r="C998" s="24" t="e">
        <x:f>HYPERLINK("https://365nails.com/products/365nails-pink-sweetheart-collection-short-round-handmade-kids-press-on-nails-4-styles","365nails: ""pink sweetheart collection"" – short round handmade kids press-on nails (4 styles)")</x:f>
        <x:v>HYPERLINK is not implemented. linkLocation=https://365nails.com/products/365nails-pink-sweetheart-collection-short-round-handmade-kids-press-on-nails-4-styles, friendlyName=365nails: "pink sweetheart collection" – short round handmade kids press-on nails (4 styles)</x:v>
      </x:c>
      <x:c r="D998" s="18" t="str">
        <x:v>Color: Carrot strawberry rabbit / Iced peach / Ice through love / Iced out bow / Crescent kitty / Iced panda / Bow rabbit / Camellia / Tulip / Vegetable family / Colorful ladybug / Pinch your eyes / Hd melody; Color classification: Xs (about 2 years old) / S (3-4 years old) / M (5-7 years old) / L (8-11 years old)</x:v>
      </x:c>
      <x:c r="E998" s="25" t="str">
        <x:v>$2.99</x:v>
      </x:c>
      <x:c r="F998" s="19" t="str">
        <x:v>3</x:v>
      </x:c>
    </x:row>
    <x:row r="999" ht="93" customHeight="1">
      <x:c r="A999" s="19" t="n">
        <x:v>996</x:v>
      </x:c>
      <x:c r="B999" s="22" t="e">
        <x:f>HYPERLINK("https://cdn.shopify.com/s/files/1/0918/6066/4603/files/O1CN01hPLfct2214tJzbr7J__2219480337059-0-cib.jpg?v=1773320897","Open")</x:f>
        <x:v>HYPERLINK is not implemented. linkLocation=https://cdn.shopify.com/s/files/1/0918/6066/4603/files/O1CN01hPLfct2214tJzbr7J__2219480337059-0-cib.jpg?v=1773320897, friendlyName=Open</x:v>
      </x:c>
      <x:c r="C999" s="24" t="e">
        <x:f>HYPERLINK("https://365nails.com/products/365nails-holographic-gummy-bear-short-round-handmade-kids-press-on-nails","365nails: ""holographic gummy bear"" – short round handmade kids press-on nails")</x:f>
        <x:v>HYPERLINK is not implemented. linkLocation=https://365nails.com/products/365nails-holographic-gummy-bear-short-round-handmade-kids-press-on-nails, friendlyName=365nails: "holographic gummy bear" – short round handmade kids press-on nails</x:v>
      </x:c>
      <x:c r="D999" s="18" t="str">
        <x:v>Color: Colorful hugging bear; Color classification: Xs (about 2 years old) / S (3-4 years old) / M (5-7 years old) / L (8-11 years old)</x:v>
      </x:c>
      <x:c r="E999" s="25" t="str">
        <x:v>$2.99</x:v>
      </x:c>
      <x:c r="F999" s="19" t="str">
        <x:v>3</x:v>
      </x:c>
    </x:row>
    <x:row r="1000" ht="93" customHeight="1">
      <x:c r="A1000" s="19" t="n">
        <x:v>997</x:v>
      </x:c>
      <x:c r="B1000" s="22" t="e">
        <x:f>HYPERLINK("https://cdn.shopify.com/s/files/1/0918/6066/4603/files/O1CN01W308OP2214tvsgj2H__2219480337059-0-cib.jpg?v=1773320880","Open")</x:f>
        <x:v>HYPERLINK is not implemented. linkLocation=https://cdn.shopify.com/s/files/1/0918/6066/4603/files/O1CN01W308OP2214tvsgj2H__2219480337059-0-cib.jpg?v=1773320880, friendlyName=Open</x:v>
      </x:c>
      <x:c r="C1000" s="24" t="e">
        <x:f>HYPERLINK("https://365nails.com/products/365nails-cool-kawaii-demon-short-round-handmade-kids-press-on-nails","365nails: ""cool kawaii demon"" – short round handmade kids press-on nails")</x:f>
        <x:v>HYPERLINK is not implemented. linkLocation=https://365nails.com/products/365nails-cool-kawaii-demon-short-round-handmade-kids-press-on-nails, friendlyName=365nails: "cool kawaii demon" – short round handmade kids press-on nails</x:v>
      </x:c>
      <x:c r="D1000" s="18" t="str">
        <x:v>Color: Five-star diamond kuromi; Color classification: Xs (about 2 years old) / S (3-4 years old) / M (5-7 years old) / L (8-11 years old)</x:v>
      </x:c>
      <x:c r="E1000" s="25" t="str">
        <x:v>$2.99</x:v>
      </x:c>
      <x:c r="F1000" s="19" t="str">
        <x:v>3</x:v>
      </x:c>
    </x:row>
    <x:row r="1001" ht="93" customHeight="1">
      <x:c r="A1001" s="19" t="n">
        <x:v>998</x:v>
      </x:c>
      <x:c r="B1001" s="22" t="e">
        <x:f>HYPERLINK("https://cdn.shopify.com/s/files/1/0918/6066/4603/files/O1CN012O5U3b2MQzdZpuzsd__2219089449823-0-cib.jpg?v=1774011014","Open")</x:f>
        <x:v>HYPERLINK is not implemented. linkLocation=https://cdn.shopify.com/s/files/1/0918/6066/4603/files/O1CN012O5U3b2MQzdZpuzsd__2219089449823-0-cib.jpg?v=1774011014, friendlyName=Open</x:v>
      </x:c>
      <x:c r="C1001" s="24" t="e">
        <x:f>HYPERLINK("https://365nails.com/products/pink-butterfly-floral-butterfly-square-handmade-3d-embellished-press-on-nails","365nails-Pink Butterfly: ""Floral Butterfly"" – Square Handmade 3D Embellished Press-On Nails")</x:f>
        <x:v>HYPERLINK is not implemented. linkLocation=https://365nails.com/products/pink-butterfly-floral-butterfly-square-handmade-3d-embellished-press-on-nails, friendlyName=365nails-Pink Butterfly: "Floral Butterfly" – Square Handmade 3D Embellished Press-On Nails</x:v>
      </x:c>
      <x:c r="D1001" s="18" t="str">
        <x:v>Color: L266; Color classification: X s / S / M / L</x:v>
      </x:c>
      <x:c r="E1001" s="25" t="str">
        <x:v>$4.99</x:v>
      </x:c>
      <x:c r="F1001" s="19" t="str">
        <x:v>1</x:v>
      </x:c>
    </x:row>
    <x:row r="1002" ht="93" customHeight="1">
      <x:c r="A1002" s="19" t="n">
        <x:v>999</x:v>
      </x:c>
      <x:c r="B1002" s="22" t="e">
        <x:f>HYPERLINK("https://cdn.shopify.com/s/files/1/0918/6066/4603/files/O1CN01szulyA2214tgVlKZ2__2219480337059-0-cib.jpg?v=1773320989","Open")</x:f>
        <x:v>HYPERLINK is not implemented. linkLocation=https://cdn.shopify.com/s/files/1/0918/6066/4603/files/O1CN01szulyA2214tgVlKZ2__2219480337059-0-cib.jpg?v=1773320989, friendlyName=Open</x:v>
      </x:c>
      <x:c r="C1002" s="24" t="e">
        <x:f>HYPERLINK("https://365nails.com/products/365nails-cool-watermelon-hello-kitty-short-round-handmade-kids-press-on-nails","365nails: ""cool watermelon hello kitty"" – short round handmade kids press-on nails")</x:f>
        <x:v>HYPERLINK is not implemented. linkLocation=https://365nails.com/products/365nails-cool-watermelon-hello-kitty-short-round-handmade-kids-press-on-nails, friendlyName=365nails: "cool watermelon hello kitty" – short round handmade kids press-on nails</x:v>
      </x:c>
      <x:c r="D1002" s="18" t="str">
        <x:v>Color: Watermelon hello kitty; Color classification: Xs (about 2 years old) / S (3-4 years old) / M (5-7 years old) / L (8-11 years old)</x:v>
      </x:c>
      <x:c r="E1002" s="25" t="str">
        <x:v>$2.99</x:v>
      </x:c>
      <x:c r="F1002" s="19" t="str">
        <x:v>3</x:v>
      </x:c>
    </x:row>
    <x:row r="1003" ht="93" customHeight="1">
      <x:c r="A1003" s="19" t="n">
        <x:v>1000</x:v>
      </x:c>
      <x:c r="B1003" s="22" t="e">
        <x:f>HYPERLINK("https://cdn.shopify.com/s/files/1/0918/6066/4603/files/O1CN014CthVG1rlpSTV1Z3l__2215158925672-0-cib.jpg?v=1754374825","Open")</x:f>
        <x:v>HYPERLINK is not implemented. linkLocation=https://cdn.shopify.com/s/files/1/0918/6066/4603/files/O1CN014CthVG1rlpSTV1Z3l__2215158925672-0-cib.jpg?v=1754374825, friendlyName=Open</x:v>
      </x:c>
      <x:c r="C1003" s="24" t="e">
        <x:f>HYPERLINK("https://365nails.com/products/spice-girls-blush-nail-ice-transparent-french-embossed-flowers-pure-handmade-press-on-nails-wearing-fake-nail-365nails","Spring Whisper Series Press-On Nails")</x:f>
        <x:v>HYPERLINK is not implemented. linkLocation=https://365nails.com/products/spice-girls-blush-nail-ice-transparent-french-embossed-flowers-pure-handmade-press-on-nails-wearing-fake-nail-365nails, friendlyName=Spring Whisper Series Press-On Nails</x:v>
      </x:c>
      <x:c r="D1003" s="18" t="str">
        <x:v>Color: medium almond; Color classification: XS / S / M / L</x:v>
      </x:c>
      <x:c r="E1003" s="25" t="str">
        <x:v>$3.99</x:v>
      </x:c>
      <x:c r="F1003" s="19" t="str">
        <x:v>30</x:v>
      </x:c>
    </x:row>
    <x:row r="1004" ht="93" customHeight="1">
      <x:c r="A1004" s="19" t="n">
        <x:v>1001</x:v>
      </x:c>
      <x:c r="B1004" s="22" t="e">
        <x:f>HYPERLINK("https://cdn.shopify.com/s/files/1/0918/6066/4603/files/O1CN01t3UHbe2NGHsm515rw__4234819935-0-cib_6644805e-182c-43e0-9418-ad1ed125e9cf.jpg?v=1753433103","Open")</x:f>
        <x:v>HYPERLINK is not implemented. linkLocation=https://cdn.shopify.com/s/files/1/0918/6066/4603/files/O1CN01t3UHbe2NGHsm515rw__4234819935-0-cib_6644805e-182c-43e0-9418-ad1ed125e9cf.jpg?v=1753433103, friendlyName=Open</x:v>
      </x:c>
      <x:c r="C1004" s="24" t="e">
        <x:f>HYPERLINK("https://365nails.com/products/cross-border-special-for-wearing-nail-fake-nails-red-cats-eye-halloween-nail-art-european-and-american-pointed-nail-wholesale-365nails","Special for wearing nail s, red cat eye, Halloween nail art,  pointed nail ｜365nails")</x:f>
        <x:v>HYPERLINK is not implemented. linkLocation=https://365nails.com/products/cross-border-special-for-wearing-nail-fake-nails-red-cats-eye-halloween-nail-art-european-and-american-pointed-nail-wholesale-365nails, friendlyName=Special for wearing nail s, red cat eye, Halloween nail art,  pointed nail ｜365nails</x:v>
      </x:c>
      <x:c r="D1004" s="18" t="str">
        <x:v>Color: JP3407</x:v>
      </x:c>
      <x:c r="E1004" s="25" t="str">
        <x:v>$1.40</x:v>
      </x:c>
      <x:c r="F1004" s="19" t="str">
        <x:v>1</x:v>
      </x:c>
    </x:row>
    <x:row r="1005" ht="93" customHeight="1">
      <x:c r="A1005" s="19" t="n">
        <x:v>1002</x:v>
      </x:c>
      <x:c r="B1005" s="22" t="e">
        <x:f>HYPERLINK("https://cdn.shopify.com/s/files/1/0918/6066/4603/files/O1CN01dYTK3S2214tjhe0sU__2219480337059-0-cib.jpg?v=1773321148","Open")</x:f>
        <x:v>HYPERLINK is not implemented. linkLocation=https://cdn.shopify.com/s/files/1/0918/6066/4603/files/O1CN01dYTK3S2214tjhe0sU__2219480337059-0-cib.jpg?v=1773321148, friendlyName=Open</x:v>
      </x:c>
      <x:c r="C1005" s="24" t="e">
        <x:f>HYPERLINK("https://365nails.com/products/365nails-peach-french-bunny-short-round-handmade-kids-press-on-nails","365nails: ""peach french bunny"" – short round handmade kids press-on nails")</x:f>
        <x:v>HYPERLINK is not implemented. linkLocation=https://365nails.com/products/365nails-peach-french-bunny-short-round-handmade-kids-press-on-nails, friendlyName=365nails: "peach french bunny" – short round handmade kids press-on nails</x:v>
      </x:c>
      <x:c r="D1005" s="18" t="str">
        <x:v>Color: Hand pinch bunny; Color classification: Xs (about 2 years old) / S (3-4 years old) / M (5-7 years old) / L (8-11 years old)</x:v>
      </x:c>
      <x:c r="E1005" s="25" t="str">
        <x:v>$2.99</x:v>
      </x:c>
      <x:c r="F1005" s="19" t="str">
        <x:v>3</x:v>
      </x:c>
    </x:row>
    <x:row r="1006" ht="93" customHeight="1">
      <x:c r="A1006" s="19" t="n">
        <x:v>1003</x:v>
      </x:c>
      <x:c r="B1006" s="22" t="e">
        <x:f>HYPERLINK("https://cdn.shopify.com/s/files/1/0918/6066/4603/files/O1CN01kX9ySy1rlpUh36n86__2215158925672-0-cib.jpg?v=1754377508","Open")</x:f>
        <x:v>HYPERLINK is not implemented. linkLocation=https://cdn.shopify.com/s/files/1/0918/6066/4603/files/O1CN01kX9ySy1rlpUh36n86__2215158925672-0-cib.jpg?v=1754377508, friendlyName=Open</x:v>
      </x:c>
      <x:c r="C1006" s="24" t="e">
        <x:f>HYPERLINK("https://365nails.com/products/handmade-press-on-nails-gradual-change-blush-hand-painted-nail-patch-water-pipe-nail-365nails","Sunset Bloom Series Press-On Nails")</x:f>
        <x:v>HYPERLINK is not implemented. linkLocation=https://365nails.com/products/handmade-press-on-nails-gradual-change-blush-hand-painted-nail-patch-water-pipe-nail-365nails, friendlyName=Sunset Bloom Series Press-On Nails</x:v>
      </x:c>
      <x:c r="D1006" s="18" t="str">
        <x:v>Color: medium and long water pipe; Color classification: S / M / L</x:v>
      </x:c>
      <x:c r="E1006" s="25" t="str">
        <x:v>$3.99</x:v>
      </x:c>
      <x:c r="F1006" s="19" t="str">
        <x:v>30</x:v>
      </x:c>
    </x:row>
    <x:row r="1007" ht="93" customHeight="1">
      <x:c r="A1007" s="19" t="n">
        <x:v>1004</x:v>
      </x:c>
      <x:c r="B1007" s="22" t="e">
        <x:f>HYPERLINK("https://cdn.shopify.com/s/files/1/0918/6066/4603/files/O1CN01gaK92T2214uRoDkcv__2219480337059-0-cib.jpg?v=1773321130","Open")</x:f>
        <x:v>HYPERLINK is not implemented. linkLocation=https://cdn.shopify.com/s/files/1/0918/6066/4603/files/O1CN01gaK92T2214uRoDkcv__2219480337059-0-cib.jpg?v=1773321130, friendlyName=Open</x:v>
      </x:c>
      <x:c r="C1007" s="24" t="e">
        <x:f>HYPERLINK("https://365nails.com/products/365nails-magic-heart-cat-eye-4-colors-short-round-handmade-kids-press-on-nails","365nails: ""magic heart cat-eye"" (4 colors) – short round handmade kids press-on nails")</x:f>
        <x:v>HYPERLINK is not implemented. linkLocation=https://365nails.com/products/365nails-magic-heart-cat-eye-4-colors-short-round-handmade-kids-press-on-nails, friendlyName=365nails: "magic heart cat-eye" (4 colors) – short round handmade kids press-on nails</x:v>
      </x:c>
      <x:c r="D1007" s="18" t="str">
        <x:v>Color: Pink love / Golden heart / Blue love / Red heart; Color classification: Xs (about 2 years old) / S (3-4 years old) / M (5-7 years old) / L (8-11 years old)</x:v>
      </x:c>
      <x:c r="E1007" s="25" t="str">
        <x:v>$2.99</x:v>
      </x:c>
      <x:c r="F1007" s="19" t="str">
        <x:v>3</x:v>
      </x:c>
    </x:row>
    <x:row r="1008" ht="93" customHeight="1">
      <x:c r="A1008" s="19" t="n">
        <x:v>1005</x:v>
      </x:c>
      <x:c r="B1008" s="22" t="e">
        <x:f>HYPERLINK("https://cdn.shopify.com/s/files/1/0918/6066/4603/files/O1CN01Qkr1t52214t7Iizml__2219480337059-0-cib.jpg?v=1773194429","Open")</x:f>
        <x:v>HYPERLINK is not implemented. linkLocation=https://cdn.shopify.com/s/files/1/0918/6066/4603/files/O1CN01Qkr1t52214t7Iizml__2219480337059-0-cib.jpg?v=1773194429, friendlyName=Open</x:v>
      </x:c>
      <x:c r="C1008" s="24" t="e">
        <x:f>HYPERLINK("https://365nails.com/products/365nails-aurora-pink-butterfly-short-squoval-handmade-kids-press-on-nails","365nails: ""aurora pink butterfly"" – short squoval handmade kids press-on nails")</x:f>
        <x:v>HYPERLINK is not implemented. linkLocation=https://365nails.com/products/365nails-aurora-pink-butterfly-short-squoval-handmade-kids-press-on-nails, friendlyName=365nails: "aurora pink butterfly" – short squoval handmade kids press-on nails</x:v>
      </x:c>
      <x:c r="D1008" s="18" t="str">
        <x:v>Color: Cat eye butterfly; Color classification: Xs (about 2 years old) / S (3-4 years old) / M (5-7 years old) / L (8-11 years old)</x:v>
      </x:c>
      <x:c r="E1008" s="25" t="str">
        <x:v>$2.99</x:v>
      </x:c>
      <x:c r="F1008" s="19" t="str">
        <x:v>3</x:v>
      </x:c>
    </x:row>
    <x:row r="1009" ht="93" customHeight="1">
      <x:c r="A1009" s="19" t="n">
        <x:v>1006</x:v>
      </x:c>
      <x:c r="B1009" s="22" t="e">
        <x:f>HYPERLINK("https://cdn.shopify.com/s/files/1/0918/6066/4603/files/O1CN01d4CeRo2214sZmnkro__2219480337059-0-cib.jpg?v=1773181987","Open")</x:f>
        <x:v>HYPERLINK is not implemented. linkLocation=https://cdn.shopify.com/s/files/1/0918/6066/4603/files/O1CN01d4CeRo2214sZmnkro__2219480337059-0-cib.jpg?v=1773181987, friendlyName=Open</x:v>
      </x:c>
      <x:c r="C1009" s="24" t="e">
        <x:f>HYPERLINK("https://365nails.com/products/365nails-monochrome-mischievous-kitty-short-wide-handmade-kids-press-on-nails","365nails: ""monochrome mischievous kitty"" – short wide handmade kids press-on nails")</x:f>
        <x:v>HYPERLINK is not implemented. linkLocation=https://365nails.com/products/365nails-monochrome-mischievous-kitty-short-wide-handmade-kids-press-on-nails, friendlyName=365nails: "monochrome mischievous kitty" – short wide handmade kids press-on nails</x:v>
      </x:c>
      <x:c r="D1009" s="18" t="str">
        <x:v>Color: Black and white hello kitty; Color classification: Xs (about 2 years old) / S (3-4 years old) / M (5-7 years old) / L (8-11 years old)</x:v>
      </x:c>
      <x:c r="E1009" s="25" t="str">
        <x:v>$2.99</x:v>
      </x:c>
      <x:c r="F1009" s="19" t="str">
        <x:v>3</x:v>
      </x:c>
    </x:row>
    <x:row r="1010" ht="93" customHeight="1">
      <x:c r="A1010" s="19" t="n">
        <x:v>1007</x:v>
      </x:c>
      <x:c r="B1010" s="22" t="e">
        <x:f>HYPERLINK("https://cdn.shopify.com/s/files/1/0918/6066/4603/files/cb9dd00b7cc35980c053c0103dc43d5e.jpg?v=1772703469","Open")</x:f>
        <x:v>HYPERLINK is not implemented. linkLocation=https://cdn.shopify.com/s/files/1/0918/6066/4603/files/cb9dd00b7cc35980c053c0103dc43d5e.jpg?v=1772703469, friendlyName=Open</x:v>
      </x:c>
      <x:c r="C1010" s="24" t="e">
        <x:f>HYPERLINK("https://365nails.com/products/nail-glue-adhesive-tab-manicure-kit-5-in-1-professional-application-set","Nail Glue &amp; Adhesive Tab Manicure Kit – 5-in-1 Professional Application Set")</x:f>
        <x:v>HYPERLINK is not implemented. linkLocation=https://365nails.com/products/nail-glue-adhesive-tab-manicure-kit-5-in-1-professional-application-set, friendlyName=Nail Glue &amp; Adhesive Tab Manicure Kit – 5-in-1 Professional Application Set</x:v>
      </x:c>
      <x:c r="D1010" s="18" t="str">
        <x:v>Color: Five-piece tool kit</x:v>
      </x:c>
      <x:c r="E1010" s="25" t="str">
        <x:v>$0.18</x:v>
      </x:c>
      <x:c r="F1010" s="19" t="str">
        <x:v>1</x:v>
      </x:c>
    </x:row>
    <x:row r="1011" ht="93" customHeight="1">
      <x:c r="A1011" s="19" t="n">
        <x:v>1008</x:v>
      </x:c>
      <x:c r="B1011" s="22" t="e">
        <x:f>HYPERLINK("https://cdn.shopify.com/s/files/1/0918/6066/4603/files/O1CN019ZbXPx2NGHuVNnjYb__4234819935-0-cib.jpg?v=1753433232","Open")</x:f>
        <x:v>HYPERLINK is not implemented. linkLocation=https://cdn.shopify.com/s/files/1/0918/6066/4603/files/O1CN019ZbXPx2NGHuVNnjYb__4234819935-0-cib.jpg?v=1753433232, friendlyName=Open</x:v>
      </x:c>
      <x:c r="C1011" s="24" t="e">
        <x:f>HYPERLINK("https://365nails.com/products/french-green-smudge-manicure-fake-nail-piece-gold-dot-diamond-luxury-cross-wearing-nail-piece-european-and-american-foreign-trade-nail-piece-365nails","French green smudge manicure fake  gold dot diamond luxury cross    ｜365nails")</x:f>
        <x:v>HYPERLINK is not implemented. linkLocation=https://365nails.com/products/french-green-smudge-manicure-fake-nail-piece-gold-dot-diamond-luxury-cross-wearing-nail-piece-european-and-american-foreign-trade-nail-piece-365nails, friendlyName=French green smudge manicure fake  gold dot diamond luxury cross    ｜365nails</x:v>
      </x:c>
      <x:c r="D1011" s="18" t="str">
        <x:v>color: JP3521</x:v>
      </x:c>
      <x:c r="E1011" s="25" t="str">
        <x:v>$1.68</x:v>
      </x:c>
      <x:c r="F1011" s="19" t="str">
        <x:v>1</x:v>
      </x:c>
    </x:row>
    <x:row r="1012" ht="93" customHeight="1">
      <x:c r="A1012" s="19" t="n">
        <x:v>1009</x:v>
      </x:c>
      <x:c r="B1012" s="22" t="e">
        <x:f>HYPERLINK("https://cdn.shopify.com/s/files/1/0918/6066/4603/files/O1CN01toV9mR2NGHuEKLD0d__4234819935-0-cib.jpg?v=1753431804","Open")</x:f>
        <x:v>HYPERLINK is not implemented. linkLocation=https://cdn.shopify.com/s/files/1/0918/6066/4603/files/O1CN01toV9mR2NGHuEKLD0d__4234819935-0-cib.jpg?v=1753431804, friendlyName=Open</x:v>
      </x:c>
      <x:c r="C1012" s="24" t="e">
        <x:f>HYPERLINK("https://365nails.com/products/naked-powder-coating-simple-wearing-nail-french-yellow-edge-short-almond-manicure-nail-piece-cross-border-hot-selling-nail-piece-wholesale-365nails","Naked powder coating simple wearing nail French yellow edge short almond manicure nail piece  hot-selling nail piece wholesale｜365nails")</x:f>
        <x:v>HYPERLINK is not implemented. linkLocation=https://365nails.com/products/naked-powder-coating-simple-wearing-nail-french-yellow-edge-short-almond-manicure-nail-piece-cross-border-hot-selling-nail-piece-wholesale-365nails, friendlyName=Naked powder coating simple wearing nail French yellow edge short almond manicure nail piece  hot-selling nail piece wholesale｜365nails</x:v>
      </x:c>
      <x:c r="D1012" s="18" t="str">
        <x:v>color: DIY56</x:v>
      </x:c>
      <x:c r="E1012" s="25" t="str">
        <x:v>$1.16</x:v>
      </x:c>
      <x:c r="F1012" s="19" t="str">
        <x:v>1</x:v>
      </x:c>
    </x:row>
    <x:row r="1013" ht="93" customHeight="1">
      <x:c r="A1013" s="19" t="n">
        <x:v>1010</x:v>
      </x:c>
      <x:c r="B1013" s="22" t="e">
        <x:f>HYPERLINK("https://cdn.shopify.com/s/files/1/0918/6066/4603/files/O1CN01kSXCLz1HlXB29O3al__2545140798-0-cib.jpg?v=1773324951","Open")</x:f>
        <x:v>HYPERLINK is not implemented. linkLocation=https://cdn.shopify.com/s/files/1/0918/6066/4603/files/O1CN01kSXCLz1HlXB29O3al__2545140798-0-cib.jpg?v=1773324951, friendlyName=Open</x:v>
      </x:c>
      <x:c r="C1013" s="24" t="e">
        <x:f>HYPERLINK("https://365nails.com/products/sparkling-crystal-chain-luxury-bridal-nail-art-charm-set","Sparkling Crystal Chain – Luxury Bridal Nail Art Charm Set")</x:f>
        <x:v>HYPERLINK is not implemented. linkLocation=https://365nails.com/products/sparkling-crystal-chain-luxury-bridal-nail-art-charm-set, friendlyName=Sparkling Crystal Chain – Luxury Bridal Nail Art Charm Set</x:v>
      </x:c>
      <x:c r="D1013" s="18" t="str">
        <x:v>Specification type: Md025th / Md 026 / Md 027 / Md 028 / Md 029</x:v>
      </x:c>
      <x:c r="E1013" s="25" t="str">
        <x:v>$2.88–$5.07</x:v>
      </x:c>
      <x:c r="F1013" s="19" t="str">
        <x:v>1</x:v>
      </x:c>
    </x:row>
    <x:row r="1014" ht="93" customHeight="1">
      <x:c r="A1014" s="19" t="n">
        <x:v>1011</x:v>
      </x:c>
      <x:c r="B1014" s="22" t="e">
        <x:f>HYPERLINK("https://cdn.shopify.com/s/files/1/0918/6066/4603/files/O1CN01zZLfvg2214sJWGQHa__2219480337059-0-cib.jpg?v=1773320940","Open")</x:f>
        <x:v>HYPERLINK is not implemented. linkLocation=https://cdn.shopify.com/s/files/1/0918/6066/4603/files/O1CN01zZLfvg2214sJWGQHa__2219480337059-0-cib.jpg?v=1773320940, friendlyName=Open</x:v>
      </x:c>
      <x:c r="C1014" s="24" t="e">
        <x:f>HYPERLINK("https://365nails.com/products/365nails-peach-jelly-blush-short-round-handmade-kids-press-on-nails","365nails: ""peach jelly blush"" – short round handmade kids press-on nails")</x:f>
        <x:v>HYPERLINK is not implemented. linkLocation=https://365nails.com/products/365nails-peach-jelly-blush-short-round-handmade-kids-press-on-nails, friendlyName=365nails: "peach jelly blush" – short round handmade kids press-on nails</x:v>
      </x:c>
      <x:c r="D1014" s="18" t="str">
        <x:v>Color: Iced out bow; Color classification: Xs (about 2 years old) / S (3-4 years old) / M (5-7 years old) / L (8-11 years old)</x:v>
      </x:c>
      <x:c r="E1014" s="25" t="str">
        <x:v>$2.99</x:v>
      </x:c>
      <x:c r="F1014" s="19" t="str">
        <x:v>3</x:v>
      </x:c>
    </x:row>
    <x:row r="1015" ht="93" customHeight="1">
      <x:c r="A1015" s="19" t="n">
        <x:v>1012</x:v>
      </x:c>
      <x:c r="B1015" s="22" t="e">
        <x:f>HYPERLINK("https://cdn.shopify.com/s/files/1/0918/6066/4603/files/O1CN01wgJSkW2214vDDhQEj__2219480337059-0-cib.jpg?v=1773199185","Open")</x:f>
        <x:v>HYPERLINK is not implemented. linkLocation=https://cdn.shopify.com/s/files/1/0918/6066/4603/files/O1CN01wgJSkW2214vDDhQEj__2219480337059-0-cib.jpg?v=1773199185, friendlyName=Open</x:v>
      </x:c>
      <x:c r="C1015" s="24" t="e">
        <x:f>HYPERLINK("https://365nails.com/products/365nails-aurora-lavender-starheart-short-squoval-handmade-kids-press-on-nails","365nails: ""aurora lavender starheart"" – short squoval handmade kids press-on nails")</x:f>
        <x:v>HYPERLINK is not implemented. linkLocation=https://365nails.com/products/365nails-aurora-lavender-starheart-short-squoval-handmade-kids-press-on-nails, friendlyName=365nails: "aurora lavender starheart" – short squoval handmade kids press-on nails</x:v>
      </x:c>
      <x:c r="D1015" s="18" t="str">
        <x:v>Color: 9285 fairy zixia; Color classification: Xs (about 2 years old) / S (3-4 years old) / M (5-7 years old) / L (8-11 years old)</x:v>
      </x:c>
      <x:c r="E1015" s="25" t="str">
        <x:v>$2.99</x:v>
      </x:c>
      <x:c r="F1015" s="19" t="str">
        <x:v>3</x:v>
      </x:c>
    </x:row>
    <x:row r="1016" ht="93" customHeight="1">
      <x:c r="A1016" s="19" t="n">
        <x:v>1013</x:v>
      </x:c>
      <x:c r="B1016" s="22" t="e">
        <x:f>HYPERLINK("https://cdn.shopify.com/s/files/1/0918/6066/4603/files/O1CN01TEx8RU1oyFS9aV0Td__2217080665293-0-cib.jpg?v=1755340594","Open")</x:f>
        <x:v>HYPERLINK is not implemented. linkLocation=https://cdn.shopify.com/s/files/1/0918/6066/4603/files/O1CN01TEx8RU1oyFS9aV0Td__2217080665293-0-cib.jpg?v=1755340594, friendlyName=Open</x:v>
      </x:c>
      <x:c r="C1016" s="24" t="e">
        <x:f>HYPERLINK("https://365nails.com/products/press-on-nails-instruction-card-multi-style-bronzing","Press-On Nails Instruction Card Multi-style bronzing (MOQ:50 pieces)")</x:f>
        <x:v>HYPERLINK is not implemented. linkLocation=https://365nails.com/products/press-on-nails-instruction-card-multi-style-bronzing, friendlyName=Press-On Nails Instruction Card Multi-style bronzing (MOQ:50 pieces)</x:v>
      </x:c>
      <x:c r="D1016" s="18" t="str">
        <x:v>Color: 75 * 75Mm (50 sheets/pack) / 80 * 80Mm (50 sheets/pack) / 95 * 95Mm (50 sheets/pack) / 90 * 120Mm (50 sheets/pack); Specifications and models: 75 Rounded Corner Hot Silver Rainbow - English Version; 75 * 75mm (50 sheets/pack) / 80 Right Angle Hot Silver Rainbow - English Version; 80 * 80mm (50 sheets/pack) / 80 astrolabe; 80 * 80mm (50 sheets/pack) / 80 bar badge display card-A type; 80 * 80mm (50 sheets/pack) / 80 bar badge display card-B type; 80 * 80mm (50 sheets/pack) / 80 bar badge display card-C type; 80 * 80mm (50 sheets/pack) / 80 bar badge display card-D type; 80 * 80mm (50 sheets/pack) / 80 bar badge display card-E type; 80 * 80mm (50 sheets/pack) / 80 bar badge display card-F type; 80 * 80mm (50 sheets/pack) / 80 bar badge display card-G type; 80 * 80mm (50 sheets/pack) / 80 bar badge display card-H type; 80 * 80mm (50 sheets/pack) / 95 bar badge display card style 1; 95 * 95mm (50 sheets/pack) / 95 bar badge display card style 2; 95 * 95mm (50 sheets/pack) / 90 × 120 Symphony Leaves; 90 * 120mm (50 sheets/pack) / 90 × 120 streaming gold; 90 * 120mm (50 sheets/pack) / 90 × 120 European frame; 90 * 120mm (50 sheets/pack) / 90X120 Starry Sky; 90 * 120mm (50 sheets/pack)</x:v>
      </x:c>
      <x:c r="E1016" s="25" t="str">
        <x:v>$2.00–$2.50</x:v>
      </x:c>
      <x:c r="F1016" s="19" t="str">
        <x:v>1</x:v>
      </x:c>
    </x:row>
    <x:row r="1017" ht="93" customHeight="1">
      <x:c r="A1017" s="19" t="n">
        <x:v>1014</x:v>
      </x:c>
      <x:c r="B1017" s="22" t="e">
        <x:f>HYPERLINK("https://cdn.shopify.com/s/files/1/0918/6066/4603/files/O1CN01cM765A2NGHmso9u2V__4234819935-0-cib.jpg?v=1753429174","Open")</x:f>
        <x:v>HYPERLINK is not implemented. linkLocation=https://cdn.shopify.com/s/files/1/0918/6066/4603/files/O1CN01cM765A2NGHmso9u2V__4234819935-0-cib.jpg?v=1753429174, friendlyName=Open</x:v>
      </x:c>
      <x:c r="C1017" s="24" t="e">
        <x:f>HYPERLINK("https://365nails.com/products/french-nail-piece-special-nail-art-for-wearing-nail-cross-border-ballet-nail-piece-fake-nail-nail-sticker-nail-art-piece-365nails","French nail piece, special nail art for wearing nail,  ballet nail piece, fake nail nail sticker nail art piece｜365nails")</x:f>
        <x:v>HYPERLINK is not implemented. linkLocation=https://365nails.com/products/french-nail-piece-special-nail-art-for-wearing-nail-cross-border-ballet-nail-piece-fake-nail-nail-sticker-nail-art-piece-365nails, friendlyName=French nail piece, special nail art for wearing nail,  ballet nail piece, fake nail nail sticker nail art piece｜365nails</x:v>
      </x:c>
      <x:c r="D1017" s="18" t="str">
        <x:v>color: JP2755</x:v>
      </x:c>
      <x:c r="E1017" s="25" t="str">
        <x:v>$1.08</x:v>
      </x:c>
      <x:c r="F1017" s="19" t="str">
        <x:v>1</x:v>
      </x:c>
    </x:row>
    <x:row r="1018" ht="93" customHeight="1">
      <x:c r="A1018" s="19" t="n">
        <x:v>1015</x:v>
      </x:c>
      <x:c r="B1018" s="22" t="e">
        <x:f>HYPERLINK("https://cdn.shopify.com/s/files/1/0918/6066/4603/files/O1CN01riaYBr2214vg9aFlp__2219480337059-0-cib.jpg?v=1773321157","Open")</x:f>
        <x:v>HYPERLINK is not implemented. linkLocation=https://cdn.shopify.com/s/files/1/0918/6066/4603/files/O1CN01riaYBr2214vg9aFlp__2219480337059-0-cib.jpg?v=1773321157, friendlyName=Open</x:v>
      </x:c>
      <x:c r="C1018" s="24" t="e">
        <x:f>HYPERLINK("https://365nails.com/products/365nails-raspberry-jelly-cherry-short-squoval-handmade-kids-press-on-nails","365nails: ""raspberry jelly cherry"" – short squoval handmade kids press-on nails")</x:f>
        <x:v>HYPERLINK is not implemented. linkLocation=https://365nails.com/products/365nails-raspberry-jelly-cherry-short-squoval-handmade-kids-press-on-nails, friendlyName=365nails: "raspberry jelly cherry" – short squoval handmade kids press-on nails</x:v>
      </x:c>
      <x:c r="D1018" s="18" t="str">
        <x:v>Color: 10310love cherry; Color classification: Xs (about 2 years old) / S (3-4 years old) / M (5-7 years old) / L (8-11 years old)</x:v>
      </x:c>
      <x:c r="E1018" s="25" t="str">
        <x:v>$2.99</x:v>
      </x:c>
      <x:c r="F1018" s="19" t="str">
        <x:v>3</x:v>
      </x:c>
    </x:row>
    <x:row r="1019" ht="93" customHeight="1">
      <x:c r="A1019" s="19" t="n">
        <x:v>1016</x:v>
      </x:c>
      <x:c r="B1019" s="22" t="e">
        <x:f>HYPERLINK("https://cdn.shopify.com/s/files/1/0918/6066/4603/files/O1CN017vBOLz2214v1ZXnaq__2219480337059-0-cib.jpg?v=1773321152","Open")</x:f>
        <x:v>HYPERLINK is not implemented. linkLocation=https://cdn.shopify.com/s/files/1/0918/6066/4603/files/O1CN017vBOLz2214v1ZXnaq__2219480337059-0-cib.jpg?v=1773321152, friendlyName=Open</x:v>
      </x:c>
      <x:c r="C1019" s="24" t="e">
        <x:f>HYPERLINK("https://365nails.com/products/365nails-champagne-princess-crown-short-squoval-handmade-kids-press-on-nails","365nails: ""champagne princess crown"" – short squoval handmade kids press-on nails")</x:f>
        <x:v>HYPERLINK is not implemented. linkLocation=https://365nails.com/products/365nails-champagne-princess-crown-short-squoval-handmade-kids-press-on-nails, friendlyName=365nails: "champagne princess crown" – short squoval handmade kids press-on nails</x:v>
      </x:c>
      <x:c r="D1019" s="18" t="str">
        <x:v>Color: 9154 diamond butterfly; Color classification: Xs (about 2 years old) / S (3-4 years old) / M (5-7 years old) / L (8-11 years old)</x:v>
      </x:c>
      <x:c r="E1019" s="25" t="str">
        <x:v>$2.99</x:v>
      </x:c>
      <x:c r="F1019" s="19" t="str">
        <x:v>3</x:v>
      </x:c>
    </x:row>
    <x:row r="1020" ht="93" customHeight="1">
      <x:c r="A1020" s="19" t="n">
        <x:v>1017</x:v>
      </x:c>
      <x:c r="B1020" s="22" t="e">
        <x:f>HYPERLINK("https://cdn.shopify.com/s/files/1/0918/6066/4603/files/O1CN012Iu8Q62214vLf1N9Y__2219480337059-0-cib.jpg?v=1773321116","Open")</x:f>
        <x:v>HYPERLINK is not implemented. linkLocation=https://cdn.shopify.com/s/files/1/0918/6066/4603/files/O1CN012Iu8Q62214vLf1N9Y__2219480337059-0-cib.jpg?v=1773321116, friendlyName=Open</x:v>
      </x:c>
      <x:c r="C1020" s="24" t="e">
        <x:f>HYPERLINK("https://365nails.com/products/365nails-polka-dot-playful-kitty-short-round-handmade-kids-press-on-nails","365nails: ""polka dot playful kitty"" – short round handmade kids press-on nails")</x:f>
        <x:v>HYPERLINK is not implemented. linkLocation=https://365nails.com/products/365nails-polka-dot-playful-kitty-short-round-handmade-kids-press-on-nails, friendlyName=365nails: "polka dot playful kitty" – short round handmade kids press-on nails</x:v>
      </x:c>
      <x:c r="D1020" s="18" t="str">
        <x:v>Color: 10096 new cat; Color classification: Xs (about 2 years old) / S (3-4 years old) / M (5-7 years old) / L (8-11 years old)</x:v>
      </x:c>
      <x:c r="E1020" s="25" t="str">
        <x:v>$2.99</x:v>
      </x:c>
      <x:c r="F1020" s="19" t="str">
        <x:v>3</x:v>
      </x:c>
    </x:row>
    <x:row r="1021" ht="93" customHeight="1">
      <x:c r="A1021" s="19" t="n">
        <x:v>1018</x:v>
      </x:c>
      <x:c r="B1021" s="22" t="e">
        <x:f>HYPERLINK("https://cdn.shopify.com/s/files/1/0918/6066/4603/files/O1CN01eN4tQr2214tj2p0WB__2219480337059-0-cib.jpg?v=1773320992","Open")</x:f>
        <x:v>HYPERLINK is not implemented. linkLocation=https://cdn.shopify.com/s/files/1/0918/6066/4603/files/O1CN01eN4tQr2214tj2p0WB__2219480337059-0-cib.jpg?v=1773320992, friendlyName=Open</x:v>
      </x:c>
      <x:c r="C1021" s="24" t="e">
        <x:f>HYPERLINK("https://365nails.com/products/365nails-crushed-gold-jelly-short-round-handmade-kids-press-on-nails","365nails: ""crushed gold jelly"" – short round handmade kids press-on nails")</x:f>
        <x:v>HYPERLINK is not implemented. linkLocation=https://365nails.com/products/365nails-crushed-gold-jelly-short-round-handmade-kids-press-on-nails, friendlyName=365nails: "crushed gold jelly" – short round handmade kids press-on nails</x:v>
      </x:c>
      <x:c r="D1021" s="18" t="str">
        <x:v>Color: Colorful; Color classification: Xs (about 2 years old) / S (3-4 years old) / M (5-7 years old) / L (8-11 years old)</x:v>
      </x:c>
      <x:c r="E1021" s="25" t="str">
        <x:v>$2.99</x:v>
      </x:c>
      <x:c r="F1021" s="19" t="str">
        <x:v>3</x:v>
      </x:c>
    </x:row>
    <x:row r="1022" ht="93" customHeight="1">
      <x:c r="A1022" s="19" t="n">
        <x:v>1019</x:v>
      </x:c>
      <x:c r="B1022" s="22" t="e">
        <x:f>HYPERLINK("https://cdn.shopify.com/s/files/1/0918/6066/4603/files/O1CN016Fv9Bz2214sVzntCl__2219480337059-0-cib.jpg?v=1773199595","Open")</x:f>
        <x:v>HYPERLINK is not implemented. linkLocation=https://cdn.shopify.com/s/files/1/0918/6066/4603/files/O1CN016Fv9Bz2214sVzntCl__2219480337059-0-cib.jpg?v=1773199595, friendlyName=Open</x:v>
      </x:c>
      <x:c r="C1022" s="24" t="e">
        <x:f>HYPERLINK("https://365nails.com/products/365nails-cottagecore-fairy-blooms-short-handmade-kids-press-on-nails","365nails: ""cottagecore fairy blooms"" – short handmade kids press-on nails")</x:f>
        <x:v>HYPERLINK is not implemented. linkLocation=https://365nails.com/products/365nails-cottagecore-fairy-blooms-short-handmade-kids-press-on-nails, friendlyName=365nails: "cottagecore fairy blooms" – short handmade kids press-on nails</x:v>
      </x:c>
      <x:c r="D1022" s="18" t="str">
        <x:v>Color: Hand drawn flowers; Color classification: Xs (about 2 years old) / S (3-4 years old) / M (5-7 years old) / L (8-11 years old)</x:v>
      </x:c>
      <x:c r="E1022" s="25" t="str">
        <x:v>$2.99</x:v>
      </x:c>
      <x:c r="F1022" s="19" t="str">
        <x:v>3</x:v>
      </x:c>
    </x:row>
    <x:row r="1023" ht="93" customHeight="1">
      <x:c r="A1023" s="19" t="n">
        <x:v>1020</x:v>
      </x:c>
      <x:c r="B1023" s="22" t="e">
        <x:f>HYPERLINK("https://cdn.shopify.com/s/files/1/0918/6066/4603/files/O1CN01wAvGy12214sVv4EZq__2219480337059-0-cib.jpg?v=1773197556","Open")</x:f>
        <x:v>HYPERLINK is not implemented. linkLocation=https://cdn.shopify.com/s/files/1/0918/6066/4603/files/O1CN01wAvGy12214sVv4EZq__2219480337059-0-cib.jpg?v=1773197556, friendlyName=Open</x:v>
      </x:c>
      <x:c r="C1023" s="24" t="e">
        <x:f>HYPERLINK("https://365nails.com/products/365nails-kawaii-veggie-garden-short-wide-handmade-kids-press-on-nails","365nails: ""kawaii veggie garden"" – short wide handmade kids press-on nails")</x:f>
        <x:v>HYPERLINK is not implemented. linkLocation=https://365nails.com/products/365nails-kawaii-veggie-garden-short-wide-handmade-kids-press-on-nails, friendlyName=365nails: "kawaii veggie garden" – short wide handmade kids press-on nails</x:v>
      </x:c>
      <x:c r="D1023" s="18" t="str">
        <x:v>Color: Vegetable alliance; Color classification: Xs (about 2 years old) / S (3-4 years old) / M (5-7 years old) / L (8-11 weeks)</x:v>
      </x:c>
      <x:c r="E1023" s="25" t="str">
        <x:v>$2.99</x:v>
      </x:c>
      <x:c r="F1023" s="19" t="str">
        <x:v>3</x:v>
      </x:c>
    </x:row>
    <x:row r="1024" ht="93" customHeight="1">
      <x:c r="A1024" s="19" t="n">
        <x:v>1021</x:v>
      </x:c>
      <x:c r="B1024" s="22" t="e">
        <x:f>HYPERLINK("https://cdn.shopify.com/s/files/1/0918/6066/4603/files/O1CN01vlRDm42NGHwqxPuOM__4234819935-0-cib.jpg?v=1753433115","Open")</x:f>
        <x:v>HYPERLINK is not implemented. linkLocation=https://cdn.shopify.com/s/files/1/0918/6066/4603/files/O1CN01vlRDm42NGHwqxPuOM__4234819935-0-cib.jpg?v=1753433115, friendlyName=Open</x:v>
      </x:c>
      <x:c r="C1024" s="24" t="e">
        <x:f>HYPERLINK("https://365nails.com/products/y2k-millennium-style-nail-art-french-almond-fake-nails-european-and-american-cross-wearing-nail-short-removable-nail-piece-365nails","Millennium Style Nail Art French Almond Fake Nails  Cross Wearing Nail Short Removable Nail Piece｜365nails")</x:f>
        <x:v>HYPERLINK is not implemented. linkLocation=https://365nails.com/products/y2k-millennium-style-nail-art-french-almond-fake-nails-european-and-american-cross-wearing-nail-short-removable-nail-piece-365nails, friendlyName=Millennium Style Nail Art French Almond Fake Nails  Cross Wearing Nail Short Removable Nail Piece｜365nails</x:v>
      </x:c>
      <x:c r="D1024" s="18" t="str">
        <x:v>color: JP3562</x:v>
      </x:c>
      <x:c r="E1024" s="25" t="str">
        <x:v>$1.28</x:v>
      </x:c>
      <x:c r="F1024" s="19" t="str">
        <x:v>1</x:v>
      </x:c>
    </x:row>
    <x:row r="1025" ht="93" customHeight="1">
      <x:c r="A1025" s="19" t="n">
        <x:v>1022</x:v>
      </x:c>
      <x:c r="B1025" s="22" t="e">
        <x:f>HYPERLINK("https://cdn.shopify.com/s/files/1/0918/6066/4603/files/O1CN01pYjita2NGHo8dstpx__4234819935-0-cib.jpg?v=1753432992","Open")</x:f>
        <x:v>HYPERLINK is not implemented. linkLocation=https://cdn.shopify.com/s/files/1/0918/6066/4603/files/O1CN01pYjita2NGHo8dstpx__4234819935-0-cib.jpg?v=1753432992, friendlyName=Open</x:v>
      </x:c>
      <x:c r="C1025" s="24" t="e">
        <x:f>HYPERLINK("https://365nails.com/products/simple-solid-color-classic-nail-art-almond-shaped-wearable-nail-art-piece-yiwu-nail-piece-wearable-nail-patch-wholesale-365nails","Simple solid color classic nail art, almond-shaped wearable nail art piece｜365nails")</x:f>
        <x:v>HYPERLINK is not implemented. linkLocation=https://365nails.com/products/simple-solid-color-classic-nail-art-almond-shaped-wearable-nail-art-piece-yiwu-nail-piece-wearable-nail-patch-wholesale-365nails, friendlyName=Simple solid color classic nail art, almond-shaped wearable nail art piece｜365nails</x:v>
      </x:c>
      <x:c r="D1025" s="18" t="str">
        <x:v>Color: JP2865</x:v>
      </x:c>
      <x:c r="E1025" s="25" t="str">
        <x:v>$0.70</x:v>
      </x:c>
      <x:c r="F1025" s="19" t="str">
        <x:v>1</x:v>
      </x:c>
    </x:row>
    <x:row r="1026" ht="93" customHeight="1">
      <x:c r="A1026" s="19" t="n">
        <x:v>1023</x:v>
      </x:c>
      <x:c r="B1026" s="22" t="e">
        <x:f>HYPERLINK("https://cdn.shopify.com/s/files/1/0918/6066/4603/files/O1CN01v0iaxX2NGHyxPkjOq__4234819935-0-cib.jpg?v=1753429197","Open")</x:f>
        <x:v>HYPERLINK is not implemented. linkLocation=https://cdn.shopify.com/s/files/1/0918/6066/4603/files/O1CN01v0iaxX2NGHyxPkjOq__4234819935-0-cib.jpg?v=1753429197, friendlyName=Open</x:v>
      </x:c>
      <x:c r="C1026" s="24" t="e">
        <x:f>HYPERLINK("https://365nails.com/products/3d-bow-manicure-fake-nail-short-ballet-wearable-nail-piece-cat-eye-foreign-trade-hot-selling-wearable-nail-piece-365nails","3D bow manicure  short ballet wearable  cat eye  hot-selling wearable ｜365nails")</x:f>
        <x:v>HYPERLINK is not implemented. linkLocation=https://365nails.com/products/3d-bow-manicure-fake-nail-short-ballet-wearable-nail-piece-cat-eye-foreign-trade-hot-selling-wearable-nail-piece-365nails, friendlyName=3D bow manicure  short ballet wearable  cat eye  hot-selling wearable ｜365nails</x:v>
      </x:c>
      <x:c r="D1026" s="18" t="str">
        <x:v>color: JL0681</x:v>
      </x:c>
      <x:c r="E1026" s="25" t="str">
        <x:v>$0.60</x:v>
      </x:c>
      <x:c r="F1026" s="19" t="str">
        <x:v>1</x:v>
      </x:c>
    </x:row>
    <x:row r="1027" ht="93" customHeight="1">
      <x:c r="A1027" s="19" t="n">
        <x:v>1024</x:v>
      </x:c>
      <x:c r="B1027" s="22" t="e">
        <x:f>HYPERLINK("https://cdn.shopify.com/s/files/1/0918/6066/4603/files/O1CN01joYzIW2214tDXlicS__2219480337059-0-cib.jpg?v=1773198949","Open")</x:f>
        <x:v>HYPERLINK is not implemented. linkLocation=https://cdn.shopify.com/s/files/1/0918/6066/4603/files/O1CN01joYzIW2214tDXlicS__2219480337059-0-cib.jpg?v=1773198949, friendlyName=Open</x:v>
      </x:c>
      <x:c r="C1027" s="24" t="e">
        <x:f>HYPERLINK("https://365nails.com/products/365nails-peach-jelly-cherry-bow-short-handmade-kids-press-on-nails","365nails: ""peach jelly cherry bow"" – short handmade kids press-on nails")</x:f>
        <x:v>HYPERLINK is not implemented. linkLocation=https://365nails.com/products/365nails-peach-jelly-cherry-bow-short-handmade-kids-press-on-nails, friendlyName=365nails: "peach jelly cherry bow" – short handmade kids press-on nails</x:v>
      </x:c>
      <x:c r="D1027" s="18" t="str">
        <x:v>Color: Iced cherry bow; Color classification: Xs (about 2 years old) / S (3-4 years old) / M (5-7 years old) / L (8-11 years old)</x:v>
      </x:c>
      <x:c r="E1027" s="25" t="str">
        <x:v>$2.99</x:v>
      </x:c>
      <x:c r="F1027" s="19" t="str">
        <x:v>3</x:v>
      </x:c>
    </x:row>
    <x:row r="1028" ht="93" customHeight="1">
      <x:c r="A1028" s="19" t="n">
        <x:v>1025</x:v>
      </x:c>
      <x:c r="B1028" s="22" t="e">
        <x:f>HYPERLINK("https://cdn.shopify.com/s/files/1/0918/6066/4603/files/O1CN01L5klfH2214wI1ZUzF__2219480337059-0-cib.jpg?v=1773195966","Open")</x:f>
        <x:v>HYPERLINK is not implemented. linkLocation=https://cdn.shopify.com/s/files/1/0918/6066/4603/files/O1CN01L5klfH2214wI1ZUzF__2219480337059-0-cib.jpg?v=1773195966, friendlyName=Open</x:v>
      </x:c>
      <x:c r="C1028" s="24" t="e">
        <x:f>HYPERLINK("https://365nails.com/products/365nails-sparkling-fairy-crystal-short-squoval-handmade-kids-press-on-nails","365nails: ""sparkling fairy crystal"" – short squoval handmade kids press-on nails")</x:f>
        <x:v>HYPERLINK is not implemented. linkLocation=https://365nails.com/products/365nails-sparkling-fairy-crystal-short-squoval-handmade-kids-press-on-nails, friendlyName=365nails: "sparkling fairy crystal" – short squoval handmade kids press-on nails</x:v>
      </x:c>
      <x:c r="D1028" s="18" t="str">
        <x:v>Color: 10320 dazzling; Color classification: Xs (about 2 years old) / S (3-4 years old) / M (5-7 years old) / L (8-11 years old)</x:v>
      </x:c>
      <x:c r="E1028" s="25" t="str">
        <x:v>$2.99</x:v>
      </x:c>
      <x:c r="F1028" s="19" t="str">
        <x:v>3</x:v>
      </x:c>
    </x:row>
    <x:row r="1029" ht="93" customHeight="1">
      <x:c r="A1029" s="19" t="n">
        <x:v>1026</x:v>
      </x:c>
      <x:c r="B1029" s="22" t="e">
        <x:f>HYPERLINK("https://cdn.shopify.com/s/files/1/0918/6066/4603/files/O1CN01JoJ69m2NGHyN5xGGZ__4234819935-0-cib.jpg?v=1753432078","Open")</x:f>
        <x:v>HYPERLINK is not implemented. linkLocation=https://cdn.shopify.com/s/files/1/0918/6066/4603/files/O1CN01JoJ69m2NGHyN5xGGZ__4234819935-0-cib.jpg?v=1753432078, friendlyName=Open</x:v>
      </x:c>
      <x:c r="C1029" s="24" t="e">
        <x:f>HYPERLINK("https://365nails.com/products/cross-border-special-nail-wear-3d-flower-europe-and-the-united-states-hot-selling-wearable-nail-piece-repeatable-fake-nail-wholesale-365nails","special nail wear 3D flower Europe and the United States hot-selling wearable nail piece repeatable fake nail wholesale｜365nails")</x:f>
        <x:v>HYPERLINK is not implemented. linkLocation=https://365nails.com/products/cross-border-special-nail-wear-3d-flower-europe-and-the-united-states-hot-selling-wearable-nail-piece-repeatable-fake-nail-wholesale-365nails, friendlyName=special nail wear 3D flower Europe and the United States hot-selling wearable nail piece repeatable fake nail wholesale｜365nails</x:v>
      </x:c>
      <x:c r="D1029" s="18" t="str">
        <x:v>color: JP3882</x:v>
      </x:c>
      <x:c r="E1029" s="25" t="str">
        <x:v>$0.82</x:v>
      </x:c>
      <x:c r="F1029" s="19" t="str">
        <x:v>1</x:v>
      </x:c>
    </x:row>
    <x:row r="1030" ht="93" customHeight="1">
      <x:c r="A1030" s="19" t="n">
        <x:v>1027</x:v>
      </x:c>
      <x:c r="B1030" s="22" t="e">
        <x:f>HYPERLINK("https://cdn.shopify.com/s/files/1/0918/6066/4603/files/O1CN01F2pX7V2214t3PUYR4__2219480337059-0-cib.jpg?v=1773321086","Open")</x:f>
        <x:v>HYPERLINK is not implemented. linkLocation=https://cdn.shopify.com/s/files/1/0918/6066/4603/files/O1CN01F2pX7V2214t3PUYR4__2219480337059-0-cib.jpg?v=1773321086, friendlyName=Open</x:v>
      </x:c>
      <x:c r="C1030" s="24" t="e">
        <x:f>HYPERLINK("https://365nails.com/products/365nails-silver-strawberry-heart-short-round-handmade-kids-press-on-nails","365nails: ""silver strawberry heart"" – short round handmade kids press-on nails")</x:f>
        <x:v>HYPERLINK is not implemented. linkLocation=https://365nails.com/products/365nails-silver-strawberry-heart-short-round-handmade-kids-press-on-nails, friendlyName=365nails: "silver strawberry heart" – short round handmade kids press-on nails</x:v>
      </x:c>
      <x:c r="D1030" s="18" t="str">
        <x:v>Color: Cat eye strawberry; Color classification: Xs (about 2 years old) / S (3-4 years old) / M (5-7 years old) / L (8-11 years old)</x:v>
      </x:c>
      <x:c r="E1030" s="25" t="str">
        <x:v>$2.99</x:v>
      </x:c>
      <x:c r="F1030" s="19" t="str">
        <x:v>3</x:v>
      </x:c>
    </x:row>
    <x:row r="1031" ht="93" customHeight="1">
      <x:c r="A1031" s="19" t="n">
        <x:v>1028</x:v>
      </x:c>
      <x:c r="B1031" s="22" t="e">
        <x:f>HYPERLINK("https://cdn.shopify.com/s/files/1/0918/6066/4603/files/O1CN01jVR2wY2214wGXVidF__2219480337059-0-cib.jpg?v=1773321082","Open")</x:f>
        <x:v>HYPERLINK is not implemented. linkLocation=https://cdn.shopify.com/s/files/1/0918/6066/4603/files/O1CN01jVR2wY2214wGXVidF__2219480337059-0-cib.jpg?v=1773321082, friendlyName=Open</x:v>
      </x:c>
      <x:c r="C1031" s="24" t="e">
        <x:f>HYPERLINK("https://365nails.com/products/365nails-sparkling-strawberry-sweetheart-short-round-handmade-kids-press-on-nails","365nails: ""sparkling strawberry sweetheart"" – short round handmade kids press-on nails")</x:f>
        <x:v>HYPERLINK is not implemented. linkLocation=https://365nails.com/products/365nails-sparkling-strawberry-sweetheart-short-round-handmade-kids-press-on-nails, friendlyName=365nails: "sparkling strawberry sweetheart" – short round handmade kids press-on nails</x:v>
      </x:c>
      <x:c r="D1031" s="18" t="str">
        <x:v>Color: H070 cat eye big strawberry; Color classification: Xs (about 2 years old) / S (3-4 years old) / M (5-7 years old) / L (8-11 years old)</x:v>
      </x:c>
      <x:c r="E1031" s="25" t="str">
        <x:v>$2.99</x:v>
      </x:c>
      <x:c r="F1031" s="19" t="str">
        <x:v>3</x:v>
      </x:c>
    </x:row>
    <x:row r="1032" ht="93" customHeight="1">
      <x:c r="A1032" s="19" t="n">
        <x:v>1029</x:v>
      </x:c>
      <x:c r="B1032" s="22" t="e">
        <x:f>HYPERLINK("https://cdn.shopify.com/s/files/1/0918/6066/4603/files/O1CN014Fsc0A2214ubqjPgy__2219480337059-0-cib.jpg?v=1773196444","Open")</x:f>
        <x:v>HYPERLINK is not implemented. linkLocation=https://cdn.shopify.com/s/files/1/0918/6066/4603/files/O1CN014Fsc0A2214ubqjPgy__2219480337059-0-cib.jpg?v=1773196444, friendlyName=Open</x:v>
      </x:c>
      <x:c r="C1032" s="24" t="e">
        <x:f>HYPERLINK("https://365nails.com/products/365nails-sparkling-pastel-floral-short-wide-handmade-kids-press-on-nails","365nails: ""sparkling pastel floral"" – short wide handmade kids press-on nails")</x:f>
        <x:v>HYPERLINK is not implemented. linkLocation=https://365nails.com/products/365nails-sparkling-pastel-floral-short-wide-handmade-kids-press-on-nails, friendlyName=365nails: "sparkling pastel floral" – short wide handmade kids press-on nails</x:v>
      </x:c>
      <x:c r="D1032" s="18" t="str">
        <x:v>Color: Cat eye flowers; Color classification: Xs (about 2 years old) / S (3-4 years old) / M (5-7 years old) / L (8-11 years old)</x:v>
      </x:c>
      <x:c r="E1032" s="25" t="str">
        <x:v>$2.99</x:v>
      </x:c>
      <x:c r="F1032" s="19" t="str">
        <x:v>3</x:v>
      </x:c>
    </x:row>
    <x:row r="1033" ht="93" customHeight="1">
      <x:c r="A1033" s="19" t="n">
        <x:v>1030</x:v>
      </x:c>
      <x:c r="B1033" s="22" t="e">
        <x:f>HYPERLINK("https://cdn.shopify.com/s/files/1/0918/6066/4603/files/0880381880c0a2e13d78cab7e22e795f.jpg?v=1755139179","Open")</x:f>
        <x:v>HYPERLINK is not implemented. linkLocation=https://cdn.shopify.com/s/files/1/0918/6066/4603/files/0880381880c0a2e13d78cab7e22e795f.jpg?v=1755139179, friendlyName=Open</x:v>
      </x:c>
      <x:c r="C1033" s="24" t="e">
        <x:f>HYPERLINK("https://365nails.com/products/nail-tips-press-on-toenails-french-short-foot-nail-nude-traceless-prefabricated-nail-art-detachable-finished-product-patch-fake-nail-film","Nail Tips Press-on toenails French Short Foot Nail Nude Traceless Prefabricated (MOQ=3)")</x:f>
        <x:v>HYPERLINK is not implemented. linkLocation=https://365nails.com/products/nail-tips-press-on-toenails-french-short-foot-nail-nude-traceless-prefabricated-nail-art-detachable-finished-product-patch-fake-nail-film, friendlyName=Nail Tips Press-on toenails French Short Foot Nail Nude Traceless Prefabricated (MOQ=3)</x:v>
      </x:c>
      <x:c r="D1033" s="18" t="str">
        <x:v>Color: 5-Color French Edge-3391 * 150 Piece Box / YS-1449-518-C2 * 150 piece box / YS-1449-518-390 * 150 piece box / YS-1449-518-3391-1*150 box / YS-1450-518-390-2*150 box / YS-1450-518-3391-1 powder * 150 pieces box / YS-1450-518-C2 * 150 piece box / YS-1451-518-390-2*150 box / YS-1451-518-3391-1 powder * 150 pieces boxed / YS-1451-518-C2 * 150 piece box / YS-1449-518-3391 Black-1 * 150 pieces in a box; quanlity: 3pcs</x:v>
      </x:c>
      <x:c r="E1033" s="25" t="str">
        <x:v>$8.00</x:v>
      </x:c>
      <x:c r="F1033" s="19" t="str">
        <x:v>1</x:v>
      </x:c>
    </x:row>
    <x:row r="1034" ht="93" customHeight="1">
      <x:c r="A1034" s="19" t="n">
        <x:v>1031</x:v>
      </x:c>
      <x:c r="B1034" s="22" t="e">
        <x:f>HYPERLINK("https://cdn.shopify.com/s/files/1/0918/6066/4603/files/c772ae317b9b3e46d30e99066518a652_6fd6b569-b863-4973-9617-0fa24b32be86.jpg?v=1755226941","Open")</x:f>
        <x:v>HYPERLINK is not implemented. linkLocation=https://cdn.shopify.com/s/files/1/0918/6066/4603/files/c772ae317b9b3e46d30e99066518a652_6fd6b569-b863-4973-9617-0fa24b32be86.jpg?v=1755226941, friendlyName=Open</x:v>
      </x:c>
      <x:c r="C1034" s="24" t="e">
        <x:f>HYPERLINK("https://365nails.com/products/nail-tips-nail-polish-practice-fan-color-card-50-transparent-iron-ring-nail-polish-color-plates-in-bags-for-nail-salons","Nail Tips Nail polish practice fan color card, 50 transparent iron ring nail polish color plates in bags for  nail salons (MOQ=3)")</x:f>
        <x:v>HYPERLINK is not implemented. linkLocation=https://365nails.com/products/nail-tips-nail-polish-practice-fan-color-card-50-transparent-iron-ring-nail-polish-color-plates-in-bags-for-nail-salons, friendlyName=Nail Tips Nail polish practice fan color card, 50 transparent iron ring nail polish color plates in bags for  nail salons (MOQ=3)</x:v>
      </x:c>
      <x:c r="D1034" s="18" t="str">
        <x:v>Color: Printing color card flat head 01 natural color 50 pieces bag / Printing color card flat head 01 transparent color 50 pieces bag / Printing color card round head 02 transparent color 50 pieces bag / Printing color card round head 02 natural color 50 pieces bag / Printing color card tip 03 natural color 50 pieces bag / Printed color card ballet 04 transparent color 50 pieces bag / Printed color card ballet 04 natural color 50 pieces bag; Quantitty: 3pcs</x:v>
      </x:c>
      <x:c r="E1034" s="25" t="str">
        <x:v>$1.41</x:v>
      </x:c>
      <x:c r="F1034" s="19" t="str">
        <x:v>1</x:v>
      </x:c>
    </x:row>
    <x:row r="1035" ht="93" customHeight="1">
      <x:c r="A1035" s="19" t="n">
        <x:v>1032</x:v>
      </x:c>
      <x:c r="B1035" s="22" t="e">
        <x:f>HYPERLINK("https://cdn.shopify.com/s/files/1/0918/6066/4603/files/8814eecd6522c6a9bb5c20225faee931.png?v=1755079995","Open")</x:f>
        <x:v>HYPERLINK is not implemented. linkLocation=https://cdn.shopify.com/s/files/1/0918/6066/4603/files/8814eecd6522c6a9bb5c20225faee931.png?v=1755079995, friendlyName=Open</x:v>
      </x:c>
      <x:c r="C1035" s="24" t="e">
        <x:f>HYPERLINK("https://365nails.com/products/nail-piece-free-of-engraving-and-grinding-semi-matte-full-size","Nail Tips No-File Short Press-On Nails (Full Sizes) — Semi-Matte, Square &amp; Round, Clear Case (MOQ=3)")</x:f>
        <x:v>HYPERLINK is not implemented. linkLocation=https://365nails.com/products/nail-piece-free-of-engraving-and-grinding-semi-matte-full-size, friendlyName=Nail Tips No-File Short Press-On Nails (Full Sizes) — Semi-Matte, Square &amp; Round, Clear Case (MOQ=3)</x:v>
      </x:c>
      <x:c r="D1035" s="18" t="str">
        <x:v>Color: Short Square Circle - Half Sand No Trace - 120 Pieces Boxed / Short Square Circle - Half Sand No Trace - 240 Pieces Boxed; Quantity: 3pcs</x:v>
      </x:c>
      <x:c r="E1035" s="25" t="str">
        <x:v>$1.92–$3.00</x:v>
      </x:c>
      <x:c r="F1035" s="19" t="str">
        <x:v>1</x:v>
      </x:c>
    </x:row>
    <x:row r="1036" ht="93" customHeight="1">
      <x:c r="A1036" s="19" t="n">
        <x:v>1033</x:v>
      </x:c>
      <x:c r="B1036" s="22" t="e">
        <x:f>HYPERLINK("https://cdn.shopify.com/s/files/1/0918/6066/4603/files/O1CN01Lo0i942NGHw1lRJZN__4234819935-0-cib.jpg?v=1753432156","Open")</x:f>
        <x:v>HYPERLINK is not implemented. linkLocation=https://cdn.shopify.com/s/files/1/0918/6066/4603/files/O1CN01Lo0i942NGHw1lRJZN__4234819935-0-cib.jpg?v=1753432156, friendlyName=Open</x:v>
      </x:c>
      <x:c r="C1036" s="24" t="e">
        <x:f>HYPERLINK("https://365nails.com/products/3d-bow-love-nail-art-fake-nails-pink-valentines-day-french-wearing-nail-film-short-almond-wearing-nail-365nails","3D Bow Love Nail Art Fake Nails Pink Valentine's Day French Wearing Nail Film Short Almond Wearing Nail｜365nails")</x:f>
        <x:v>HYPERLINK is not implemented. linkLocation=https://365nails.com/products/3d-bow-love-nail-art-fake-nails-pink-valentines-day-french-wearing-nail-film-short-almond-wearing-nail-365nails, friendlyName=3D Bow Love Nail Art Fake Nails Pink Valentine's Day French Wearing Nail Film Short Almond Wearing Nail｜365nails</x:v>
      </x:c>
      <x:c r="D1036" s="18" t="str">
        <x:v>color: JP3626</x:v>
      </x:c>
      <x:c r="E1036" s="25" t="str">
        <x:v>$0.65</x:v>
      </x:c>
      <x:c r="F1036" s="19" t="str">
        <x:v>1</x:v>
      </x:c>
    </x:row>
    <x:row r="1037" ht="93" customHeight="1">
      <x:c r="A1037" s="19" t="n">
        <x:v>1034</x:v>
      </x:c>
      <x:c r="B1037" s="22" t="e">
        <x:f>HYPERLINK("https://cdn.shopify.com/s/files/1/0918/6066/4603/files/O1CN01F8EhYi2NGHmSUt5us__4234819935-0-cib.jpg?v=1753431675","Open")</x:f>
        <x:v>HYPERLINK is not implemented. linkLocation=https://cdn.shopify.com/s/files/1/0918/6066/4603/files/O1CN01F8EhYi2NGHmSUt5us__4234819935-0-cib.jpg?v=1753431675, friendlyName=Open</x:v>
      </x:c>
      <x:c r="C1037" s="24" t="e">
        <x:f>HYPERLINK("https://365nails.com/products/wear-fake-nail-pads-white-laser-nail-pads-removable-nail-pads-wholesale-nail-patches-wearable-nail-stickers-365nails","White laser nail pads Removable nail pads Wholesale nail patches")</x:f>
        <x:v>HYPERLINK is not implemented. linkLocation=https://365nails.com/products/wear-fake-nail-pads-white-laser-nail-pads-removable-nail-pads-wholesale-nail-patches-wearable-nail-stickers-365nails, friendlyName=White laser nail pads Removable nail pads Wholesale nail patches</x:v>
      </x:c>
      <x:c r="D1037" s="18" t="str">
        <x:v>color: JP2703</x:v>
      </x:c>
      <x:c r="E1037" s="25" t="str">
        <x:v>$1.03</x:v>
      </x:c>
      <x:c r="F1037" s="19" t="str">
        <x:v>1</x:v>
      </x:c>
    </x:row>
    <x:row r="1038" ht="93" customHeight="1">
      <x:c r="A1038" s="19" t="n">
        <x:v>1035</x:v>
      </x:c>
      <x:c r="B1038" s="22" t="e">
        <x:f>HYPERLINK("https://cdn.shopify.com/s/files/1/0918/6066/4603/files/O1CN01NbsjYs2NGHtpU3VIF__4234819935-0-cib.jpg?v=1764829395","Open")</x:f>
        <x:v>HYPERLINK is not implemented. linkLocation=https://cdn.shopify.com/s/files/1/0918/6066/4603/files/O1CN01NbsjYs2NGHtpU3VIF__4234819935-0-cib.jpg?v=1764829395, friendlyName=Open</x:v>
      </x:c>
      <x:c r="C1038" s="24" t="e">
        <x:f>HYPERLINK("https://365nails.com/products/french-3d-silver-paste-wearing-nail-film-short-almond-fake-nails-point-drill-fake-nail-nail-film-wholesale-365nails","French 3D silver paste press on nails film short almond fake nails point drill fake nail nail film wholesale｜365nails")</x:f>
        <x:v>HYPERLINK is not implemented. linkLocation=https://365nails.com/products/french-3d-silver-paste-wearing-nail-film-short-almond-fake-nails-point-drill-fake-nail-nail-film-wholesale-365nails, friendlyName=French 3D silver paste press on nails film short almond fake nails point drill fake nail nail film wholesale｜365nails</x:v>
      </x:c>
      <x:c r="D1038" s="18" t="str">
        <x:v>Color: JP3427</x:v>
      </x:c>
      <x:c r="E1038" s="25" t="str">
        <x:v>$1.54</x:v>
      </x:c>
      <x:c r="F1038" s="19" t="str">
        <x:v>1</x:v>
      </x:c>
    </x:row>
    <x:row r="1039" ht="93" customHeight="1">
      <x:c r="A1039" s="19" t="n">
        <x:v>1036</x:v>
      </x:c>
      <x:c r="B1039" s="22" t="e">
        <x:f>HYPERLINK("https://cdn.shopify.com/s/files/1/0918/6066/4603/files/O1CN0167UUtq2NGHrZi66Kh__4234819935-0-cib.jpg?v=1753432171","Open")</x:f>
        <x:v>HYPERLINK is not implemented. linkLocation=https://cdn.shopify.com/s/files/1/0918/6066/4603/files/O1CN0167UUtq2NGHrZi66Kh__4234819935-0-cib.jpg?v=1753432171, friendlyName=Open</x:v>
      </x:c>
      <x:c r="C1039" s="24" t="e">
        <x:f>HYPERLINK("https://365nails.com/products/semi-handmade-metallic-manicure-french-wearing-nail-piece-red-solid-color-nail-patch-3d-nail-piece-finished-product-wholesale-365nails","Semi-handcrafted metallic manicure French  red solid color nail patch 3D nail piece finished product wholesale｜365nails")</x:f>
        <x:v>HYPERLINK is not implemented. linkLocation=https://365nails.com/products/semi-handmade-metallic-manicure-french-wearing-nail-piece-red-solid-color-nail-patch-3d-nail-piece-finished-product-wholesale-365nails, friendlyName=Semi-handcrafted metallic manicure French  red solid color nail patch 3D nail piece finished product wholesale｜365nails</x:v>
      </x:c>
      <x:c r="D1039" s="18" t="str">
        <x:v>Color: JP3303</x:v>
      </x:c>
      <x:c r="E1039" s="25" t="str">
        <x:v>$2.17</x:v>
      </x:c>
      <x:c r="F1039" s="19" t="str">
        <x:v>1</x:v>
      </x:c>
    </x:row>
    <x:row r="1040" ht="93" customHeight="1">
      <x:c r="A1040" s="19" t="n">
        <x:v>1037</x:v>
      </x:c>
      <x:c r="B1040" s="22" t="e">
        <x:f>HYPERLINK("https://cdn.shopify.com/s/files/1/0918/6066/4603/files/O1CN01G9CSBz2NGHsm5YGIl__4234819935-0-cib.jpg?v=1753432062","Open")</x:f>
        <x:v>HYPERLINK is not implemented. linkLocation=https://cdn.shopify.com/s/files/1/0918/6066/4603/files/O1CN01G9CSBz2NGHsm5YGIl__4234819935-0-cib.jpg?v=1753432062, friendlyName=Open</x:v>
      </x:c>
      <x:c r="C1040" s="24" t="e">
        <x:f>HYPERLINK("https://365nails.com/products/2024-european-and-american-cross-border-halloween-wearing-nail-french-manicure-long-pointed-nail-piece-press-on-nails-365nails","Halloween wearing nail French manicure long pointed nail piece press on nails｜365nails")</x:f>
        <x:v>HYPERLINK is not implemented. linkLocation=https://365nails.com/products/2024-european-and-american-cross-border-halloween-wearing-nail-french-manicure-long-pointed-nail-piece-press-on-nails-365nails, friendlyName=Halloween wearing nail French manicure long pointed nail piece press on nails｜365nails</x:v>
      </x:c>
      <x:c r="D1040" s="18" t="str">
        <x:v>Color: JP3423</x:v>
      </x:c>
      <x:c r="E1040" s="25" t="str">
        <x:v>$0.86</x:v>
      </x:c>
      <x:c r="F1040" s="19" t="str">
        <x:v>1</x:v>
      </x:c>
    </x:row>
    <x:row r="1041" ht="93" customHeight="1">
      <x:c r="A1041" s="19" t="n">
        <x:v>1038</x:v>
      </x:c>
      <x:c r="B1041" s="22" t="e">
        <x:f>HYPERLINK("https://cdn.shopify.com/s/files/1/0918/6066/4603/files/O1CN01u3hqDN2NGHyG0oZCD__4234819935-0-cib.jpg?v=1753429024","Open")</x:f>
        <x:v>HYPERLINK is not implemented. linkLocation=https://cdn.shopify.com/s/files/1/0918/6066/4603/files/O1CN01u3hqDN2NGHyG0oZCD__4234819935-0-cib.jpg?v=1753429024, friendlyName=Open</x:v>
      </x:c>
      <x:c r="C1041" s="24" t="e">
        <x:f>HYPERLINK("https://365nails.com/products/sweet-and-cool-short-almond-nail-manicure-wearing-nail-hot-selling-foreign-trade-y2k-wearable-fake-nail-nail-piece-finished-product-wholesale-365nails","Sweet and cool short almond nail manicure, wearing nail, hot-selling   wearable   finished product wholesale｜365nails")</x:f>
        <x:v>HYPERLINK is not implemented. linkLocation=https://365nails.com/products/sweet-and-cool-short-almond-nail-manicure-wearing-nail-hot-selling-foreign-trade-y2k-wearable-fake-nail-nail-piece-finished-product-wholesale-365nails, friendlyName=Sweet and cool short almond nail manicure, wearing nail, hot-selling   wearable   finished product wholesale｜365nails</x:v>
      </x:c>
      <x:c r="D1041" s="18" t="str">
        <x:v>color: JP3964</x:v>
      </x:c>
      <x:c r="E1041" s="25" t="str">
        <x:v>$0.60</x:v>
      </x:c>
      <x:c r="F1041" s="19" t="str">
        <x:v>1</x:v>
      </x:c>
    </x:row>
    <x:row r="1042" ht="93" customHeight="1">
      <x:c r="A1042" s="19" t="n">
        <x:v>1039</x:v>
      </x:c>
      <x:c r="B1042" s="22" t="e">
        <x:f>HYPERLINK("https://cdn.shopify.com/s/files/1/0918/6066/4603/files/O1CN0112zZcP2NGHwfywXby__4234819935-0-cib.jpg?v=1753432153","Open")</x:f>
        <x:v>HYPERLINK is not implemented. linkLocation=https://cdn.shopify.com/s/files/1/0918/6066/4603/files/O1CN0112zZcP2NGHwfywXby__4234819935-0-cib.jpg?v=1753432153, friendlyName=Open</x:v>
      </x:c>
      <x:c r="C1042" s="24" t="e">
        <x:f>HYPERLINK("https://365nails.com/products/3d-pink-gradual-change-shell-water-droplets-wear-nail-pearl-point-diamond-manicure-fake-nail-short-high-end-nail-wholesale-365nails","3D pink gradual change shell water droplets wear nail pearl point diamond manicure fake nail short high-end nail wholesale｜365nails")</x:f>
        <x:v>HYPERLINK is not implemented. linkLocation=https://365nails.com/products/3d-pink-gradual-change-shell-water-droplets-wear-nail-pearl-point-diamond-manicure-fake-nail-short-high-end-nail-wholesale-365nails, friendlyName=3D pink gradual change shell water droplets wear nail pearl point diamond manicure fake nail short high-end nail wholesale｜365nails</x:v>
      </x:c>
      <x:c r="D1042" s="18" t="str">
        <x:v>color: JP3680</x:v>
      </x:c>
      <x:c r="E1042" s="25" t="str">
        <x:v>$1.27</x:v>
      </x:c>
      <x:c r="F1042" s="19" t="str">
        <x:v>1</x:v>
      </x:c>
    </x:row>
    <x:row r="1043" ht="93" customHeight="1">
      <x:c r="A1043" s="19" t="n">
        <x:v>1040</x:v>
      </x:c>
      <x:c r="B1043" s="22" t="e">
        <x:f>HYPERLINK("https://cdn.shopify.com/s/files/1/0918/6066/4603/files/O1CN01nKk2By2NGHukDaEpy__4234819935-0-cib.jpg?v=1753431758","Open")</x:f>
        <x:v>HYPERLINK is not implemented. linkLocation=https://cdn.shopify.com/s/files/1/0918/6066/4603/files/O1CN01nKk2By2NGHukDaEpy__4234819935-0-cib.jpg?v=1753431758, friendlyName=Open</x:v>
      </x:c>
      <x:c r="C1043" s="24" t="e">
        <x:f>HYPERLINK("https://365nails.com/products/simple-french-white-wearing-nail-blush-3d-flower-wearing-nail-piece-short-square-fake-nail-piece-wholesale-365nails","Simple French white  blush 3D flower  short square fake nail piece wholesale｜365nails")</x:f>
        <x:v>HYPERLINK is not implemented. linkLocation=https://365nails.com/products/simple-french-white-wearing-nail-blush-3d-flower-wearing-nail-piece-short-square-fake-nail-piece-wholesale-365nails, friendlyName=Simple French white  blush 3D flower  short square fake nail piece wholesale｜365nails</x:v>
      </x:c>
      <x:c r="D1043" s="18" t="str">
        <x:v>color: JP3513</x:v>
      </x:c>
      <x:c r="E1043" s="25" t="str">
        <x:v>$1.20</x:v>
      </x:c>
      <x:c r="F1043" s="19" t="str">
        <x:v>1</x:v>
      </x:c>
    </x:row>
    <x:row r="1044" ht="93" customHeight="1">
      <x:c r="A1044" s="19" t="n">
        <x:v>1041</x:v>
      </x:c>
      <x:c r="B1044" s="22" t="e">
        <x:f>HYPERLINK("https://cdn.shopify.com/s/files/1/0918/6066/4603/files/O1CN01fO4dOO2NGHsxBJCwF__4234819935-0-cib.jpg?v=1753429008","Open")</x:f>
        <x:v>HYPERLINK is not implemented. linkLocation=https://cdn.shopify.com/s/files/1/0918/6066/4603/files/O1CN01fO4dOO2NGHsxBJCwF__4234819935-0-cib.jpg?v=1753429008, friendlyName=Open</x:v>
      </x:c>
      <x:c r="C1044" s="24" t="e">
        <x:f>HYPERLINK("https://365nails.com/products/simple-short-almond-shaped-wearing-nail-piece-finished-product-wholesale-french-pink-3d-nail-piece-repeatable-fake-nail-365nails","Simple short almond-shaped  finished product wholesale French pink 3D nail piece repeatable fake nail｜365nails")</x:f>
        <x:v>HYPERLINK is not implemented. linkLocation=https://365nails.com/products/simple-short-almond-shaped-wearing-nail-piece-finished-product-wholesale-french-pink-3d-nail-piece-repeatable-fake-nail-365nails, friendlyName=Simple short almond-shaped  finished product wholesale French pink 3D nail piece repeatable fake nail｜365nails</x:v>
      </x:c>
      <x:c r="D1044" s="18" t="str">
        <x:v>Color: JP3390</x:v>
      </x:c>
      <x:c r="E1044" s="25" t="str">
        <x:v>$1.11</x:v>
      </x:c>
      <x:c r="F1044" s="19" t="str">
        <x:v>1</x:v>
      </x:c>
    </x:row>
    <x:row r="1045" ht="93" customHeight="1">
      <x:c r="A1045" s="19" t="n">
        <x:v>1042</x:v>
      </x:c>
      <x:c r="B1045" s="22" t="e">
        <x:f>HYPERLINK("https://cdn.shopify.com/s/files/1/0918/6066/4603/files/O1CN01r3ph2z1HlX3qqb6av__2545140798-0-cib.jpg?v=1774623100","Open")</x:f>
        <x:v>HYPERLINK is not implemented. linkLocation=https://cdn.shopify.com/s/files/1/0918/6066/4603/files/O1CN01r3ph2z1HlX3qqb6av__2545140798-0-cib.jpg?v=1774623100, friendlyName=Open</x:v>
      </x:c>
      <x:c r="C1045" s="24" t="e">
        <x:f>HYPERLINK("https://365nails.com/products/365nails-cute-coffee-bear-bakery-handmade-press-on-nails","365nails: ""Cute Coffee Bear Bakery"" – Nail Art Stickers")</x:f>
        <x:v>HYPERLINK is not implemented. linkLocation=https://365nails.com/products/365nails-cute-coffee-bear-bakery-handmade-press-on-nails, friendlyName=365nails: "Cute Coffee Bear Bakery" – Nail Art Stickers</x:v>
      </x:c>
      <x:c r="D1045" s="18" t="str">
        <x:v>Specification type: To4555 / To4572</x:v>
      </x:c>
      <x:c r="E1045" s="25" t="str">
        <x:v>$1.09</x:v>
      </x:c>
      <x:c r="F1045" s="19" t="str">
        <x:v>5</x:v>
      </x:c>
    </x:row>
    <x:row r="1046" ht="93" customHeight="1">
      <x:c r="A1046" s="19" t="n">
        <x:v>1043</x:v>
      </x:c>
      <x:c r="B1046" s="22" t="e">
        <x:f>HYPERLINK("https://cdn.shopify.com/s/files/1/0918/6066/4603/files/O1CN01VZn1Dr2NGHlhqpmVF__4234819935-0-cib.jpg?v=1753432236","Open")</x:f>
        <x:v>HYPERLINK is not implemented. linkLocation=https://cdn.shopify.com/s/files/1/0918/6066/4603/files/O1CN01VZn1Dr2NGHlhqpmVF__4234819935-0-cib.jpg?v=1753432236, friendlyName=Open</x:v>
      </x:c>
      <x:c r="C1046" s="24" t="e">
        <x:f>HYPERLINK("https://365nails.com/products/wearable-nail-sticker-wearing-nail-cats-eye-puppet-blue-nail-piece-wearing-nail-short-nail-nail-piece-wearing-nail-piece-wearing-nail-365nails","sticker , cat eye puppet blue nail piece  short nail nail piece  ｜365nails")</x:f>
        <x:v>HYPERLINK is not implemented. linkLocation=https://365nails.com/products/wearable-nail-sticker-wearing-nail-cats-eye-puppet-blue-nail-piece-wearing-nail-short-nail-nail-piece-wearing-nail-piece-wearing-nail-365nails, friendlyName=sticker , cat eye puppet blue nail piece  short nail nail piece  ｜365nails</x:v>
      </x:c>
      <x:c r="D1046" s="18" t="str">
        <x:v>color: JP2659</x:v>
      </x:c>
      <x:c r="E1046" s="25" t="str">
        <x:v>$1.30</x:v>
      </x:c>
      <x:c r="F1046" s="19" t="str">
        <x:v>1</x:v>
      </x:c>
    </x:row>
    <x:row r="1047" ht="93" customHeight="1">
      <x:c r="A1047" s="19" t="n">
        <x:v>1044</x:v>
      </x:c>
      <x:c r="B1047" s="22" t="e">
        <x:f>HYPERLINK("https://cdn.shopify.com/s/files/1/0918/6066/4603/files/O1CN01ym0YmK1HlX4ZKpXJk__2545140798-0-cib.jpg?v=1774689272","Open")</x:f>
        <x:v>HYPERLINK is not implemented. linkLocation=https://cdn.shopify.com/s/files/1/0918/6066/4603/files/O1CN01ym0YmK1HlX4ZKpXJk__2545140798-0-cib.jpg?v=1774689272, friendlyName=Open</x:v>
      </x:c>
      <x:c r="C1047" s="24" t="e">
        <x:f>HYPERLINK("https://365nails.com/products/365nails-dainty-pink-ribbon-bow-handmade-press-on-nails","365nails: ""Dainty Pink Ribbon Bow"" – Nail Art Stickers")</x:f>
        <x:v>HYPERLINK is not implemented. linkLocation=https://365nails.com/products/365nails-dainty-pink-ribbon-bow-handmade-press-on-nails, friendlyName=365nails: "Dainty Pink Ribbon Bow" – Nail Art Stickers</x:v>
      </x:c>
      <x:c r="D1047" s="18" t="str">
        <x:v>Specification type: To4613 / To4615 / To4616</x:v>
      </x:c>
      <x:c r="E1047" s="25" t="str">
        <x:v>$1.09</x:v>
      </x:c>
      <x:c r="F1047" s="19" t="str">
        <x:v>5</x:v>
      </x:c>
    </x:row>
    <x:row r="1048" ht="93" customHeight="1">
      <x:c r="A1048" s="19" t="n">
        <x:v>1045</x:v>
      </x:c>
      <x:c r="B1048" s="22" t="e">
        <x:f>HYPERLINK("https://cdn.shopify.com/s/files/1/0918/6066/4603/files/O1CN01qVXCz72NGHmLxau0s__4234819935-0-cib.jpg?v=1753431713","Open")</x:f>
        <x:v>HYPERLINK is not implemented. linkLocation=https://cdn.shopify.com/s/files/1/0918/6066/4603/files/O1CN01qVXCz72NGHmLxau0s__4234819935-0-cib.jpg?v=1753431713, friendlyName=Open</x:v>
      </x:c>
      <x:c r="C1048" s="24" t="e">
        <x:f>HYPERLINK("https://365nails.com/products/wearing-nail-pads-blush-pink-glitter-fake-nails-white-flowers-short-styles-wearing-nail-pads-ins-wind-wearing-armor-365nails","Press-on nails pads, blush, pink glitter, fake nails, white flowers, short styles, press on nails pads ins wind, wearing armor｜365nails")</x:f>
        <x:v>HYPERLINK is not implemented. linkLocation=https://365nails.com/products/wearing-nail-pads-blush-pink-glitter-fake-nails-white-flowers-short-styles-wearing-nail-pads-ins-wind-wearing-armor-365nails, friendlyName=Press-on nails pads, blush, pink glitter, fake nails, white flowers, short styles, press on nails pads ins wind, wearing armor｜365nails</x:v>
      </x:c>
      <x:c r="D1048" s="18" t="str">
        <x:v>color: JP2601</x:v>
      </x:c>
      <x:c r="E1048" s="25" t="str">
        <x:v>$1.96</x:v>
      </x:c>
      <x:c r="F1048" s="19" t="str">
        <x:v>1</x:v>
      </x:c>
    </x:row>
    <x:row r="1049" ht="93" customHeight="1">
      <x:c r="A1049" s="19" t="n">
        <x:v>1046</x:v>
      </x:c>
      <x:c r="B1049" s="22" t="e">
        <x:f>HYPERLINK("https://cdn.shopify.com/s/files/1/0918/6066/4603/files/O1CN01jR5j1v2NGHfG9GMYS__4234819935-0-cib.jpg?v=1753431665","Open")</x:f>
        <x:v>HYPERLINK is not implemented. linkLocation=https://cdn.shopify.com/s/files/1/0918/6066/4603/files/O1CN01jR5j1v2NGHfG9GMYS__4234819935-0-cib.jpg?v=1753431665, friendlyName=Open</x:v>
      </x:c>
      <x:c r="C1049" s="24" t="e">
        <x:f>HYPERLINK("https://365nails.com/products/simple-taro-purple-french-wearing-nail-art-nail-piece-wholesale-nail-piece-wearing-nail-finished-product-wearing-nail-nail-piece-365nails","Simple taro purple French press on nails art nail piece wholesale nail piece, press on nails finished product press on nails nail piece｜365nails")</x:f>
        <x:v>HYPERLINK is not implemented. linkLocation=https://365nails.com/products/simple-taro-purple-french-wearing-nail-art-nail-piece-wholesale-nail-piece-wearing-nail-finished-product-wearing-nail-nail-piece-365nails, friendlyName=Simple taro purple French press on nails art nail piece wholesale nail piece, press on nails finished product press on nails nail piece｜365nails</x:v>
      </x:c>
      <x:c r="D1049" s="18" t="str">
        <x:v>color: JP1561</x:v>
      </x:c>
      <x:c r="E1049" s="25" t="str">
        <x:v>$0.76</x:v>
      </x:c>
      <x:c r="F1049" s="19" t="str">
        <x:v>1</x:v>
      </x:c>
    </x:row>
    <x:row r="1050" ht="93" customHeight="1">
      <x:c r="A1050" s="19" t="n">
        <x:v>1047</x:v>
      </x:c>
      <x:c r="B1050" s="22" t="e">
        <x:f>HYPERLINK("https://cdn.shopify.com/s/files/1/0918/6066/4603/files/O1CN01BwSApc1rlpXQ6CQ88__2215158925672-0-cib.jpg?v=1754377385","Open")</x:f>
        <x:v>HYPERLINK is not implemented. linkLocation=https://cdn.shopify.com/s/files/1/0918/6066/4603/files/O1CN01BwSApc1rlpXQ6CQ88__2215158925672-0-cib.jpg?v=1754377385, friendlyName=Open</x:v>
      </x:c>
      <x:c r="C1050" s="24" t="e">
        <x:f>HYPERLINK("https://365nails.com/products/duck-beak-nail-pearl-bow-carved-girl-heart-nail-art-patch-handmade-press-on-nails-wholesale-365nails","Blossom Bow Series Press-On Nails")</x:f>
        <x:v>HYPERLINK is not implemented. linkLocation=https://365nails.com/products/duck-beak-nail-pearl-bow-carved-girl-heart-nail-art-patch-handmade-press-on-nails-wholesale-365nails, friendlyName=Blossom Bow Series Press-On Nails</x:v>
      </x:c>
      <x:c r="D1050" s="18" t="str">
        <x:v>Color: short bill; Color classification: S / M / L</x:v>
      </x:c>
      <x:c r="E1050" s="25" t="str">
        <x:v>$4.49</x:v>
      </x:c>
      <x:c r="F1050" s="19" t="str">
        <x:v>30</x:v>
      </x:c>
    </x:row>
    <x:row r="1051" ht="93" customHeight="1">
      <x:c r="A1051" s="19" t="n">
        <x:v>1048</x:v>
      </x:c>
      <x:c r="B1051" s="22" t="e">
        <x:f>HYPERLINK("https://cdn.shopify.com/s/files/1/0918/6066/4603/files/O1CN01IR6r1P1rlpXSA8Y9J__2215158925672-0-cib.jpg?v=1754377430","Open")</x:f>
        <x:v>HYPERLINK is not implemented. linkLocation=https://cdn.shopify.com/s/files/1/0918/6066/4603/files/O1CN01IR6r1P1rlpXSA8Y9J__2215158925672-0-cib.jpg?v=1754377430, friendlyName=Open</x:v>
      </x:c>
      <x:c r="C1051" s="24" t="e">
        <x:f>HYPERLINK("https://365nails.com/products/almond-nail-simple-flash-cat-eye-nail-art-ice-through-short-handmade-press-on-nails-factory-wholesale-365nails","Iridescent Petal Series Press-On Nails")</x:f>
        <x:v>HYPERLINK is not implemented. linkLocation=https://365nails.com/products/almond-nail-simple-flash-cat-eye-nail-art-ice-through-short-handmade-press-on-nails-factory-wholesale-365nails, friendlyName=Iridescent Petal Series Press-On Nails</x:v>
      </x:c>
      <x:c r="D1051" s="18" t="str">
        <x:v>Color: Short almonds; Color classification: S / M / L</x:v>
      </x:c>
      <x:c r="E1051" s="25" t="str">
        <x:v>$1.99</x:v>
      </x:c>
      <x:c r="F1051" s="19" t="str">
        <x:v>30</x:v>
      </x:c>
    </x:row>
    <x:row r="1052" ht="93" customHeight="1">
      <x:c r="A1052" s="19" t="n">
        <x:v>1049</x:v>
      </x:c>
      <x:c r="B1052" s="22" t="e">
        <x:f>HYPERLINK("https://cdn.shopify.com/s/files/1/0918/6066/4603/files/O1CN01IBh8f91HlX3IllFvt__2545140798-0-cib.jpg?v=1774623040","Open")</x:f>
        <x:v>HYPERLINK is not implemented. linkLocation=https://cdn.shopify.com/s/files/1/0918/6066/4603/files/O1CN01IBh8f91HlX3IllFvt__2545140798-0-cib.jpg?v=1774623040, friendlyName=Open</x:v>
      </x:c>
      <x:c r="C1052" s="24" t="e">
        <x:f>HYPERLINK("https://365nails.com/products/365nails-neon-leopard-print-handmade-press-on-nails","365nails: ""Neon Leopard Print"" – Nail Art Stickers")</x:f>
        <x:v>HYPERLINK is not implemented. linkLocation=https://365nails.com/products/365nails-neon-leopard-print-handmade-press-on-nails, friendlyName=365nails: "Neon Leopard Print" – Nail Art Stickers</x:v>
      </x:c>
      <x:c r="D1052" s="18" t="str">
        <x:v>Specification type: To4479</x:v>
      </x:c>
      <x:c r="E1052" s="25" t="str">
        <x:v>$1.09</x:v>
      </x:c>
      <x:c r="F1052" s="19" t="str">
        <x:v>5</x:v>
      </x:c>
    </x:row>
    <x:row r="1053" ht="93" customHeight="1">
      <x:c r="A1053" s="19" t="n">
        <x:v>1050</x:v>
      </x:c>
      <x:c r="B1053" s="22" t="e">
        <x:f>HYPERLINK("https://cdn.shopify.com/s/files/1/0918/6066/4603/files/O1CN01cOKYqB1HlX1wu1DPZ__2545140798-0-cib.jpg?v=1774622172","Open")</x:f>
        <x:v>HYPERLINK is not implemented. linkLocation=https://cdn.shopify.com/s/files/1/0918/6066/4603/files/O1CN01cOKYqB1HlX1wu1DPZ__2545140798-0-cib.jpg?v=1774622172, friendlyName=Open</x:v>
      </x:c>
      <x:c r="C1053" s="24" t="e">
        <x:f>HYPERLINK("https://365nails.com/products/365nails-cute-puppy-bear-face-handmade-press-on-nails","365nails: ""Cute Puppy &amp; Bear Face"" – Nail Art Stickers")</x:f>
        <x:v>HYPERLINK is not implemented. linkLocation=https://365nails.com/products/365nails-cute-puppy-bear-face-handmade-press-on-nails, friendlyName=365nails: "Cute Puppy &amp; Bear Face" – Nail Art Stickers</x:v>
      </x:c>
      <x:c r="D1053" s="18" t="str">
        <x:v>Specification type: To4210-jelly</x:v>
      </x:c>
      <x:c r="E1053" s="25" t="str">
        <x:v>$1.23</x:v>
      </x:c>
      <x:c r="F1053" s="19" t="str">
        <x:v>5</x:v>
      </x:c>
    </x:row>
    <x:row r="1054" ht="93" customHeight="1">
      <x:c r="A1054" s="19" t="n">
        <x:v>1051</x:v>
      </x:c>
      <x:c r="B1054" s="22" t="e">
        <x:f>HYPERLINK("https://cdn.shopify.com/s/files/1/0918/6066/4603/files/O1CN01A9ey9d2NGHrd2M6Bs__4234819935-0-cib.jpg?v=1754300700","Open")</x:f>
        <x:v>HYPERLINK is not implemented. linkLocation=https://cdn.shopify.com/s/files/1/0918/6066/4603/files/O1CN01A9ey9d2NGHrd2M6Bs__4234819935-0-cib.jpg?v=1754300700, friendlyName=Open</x:v>
      </x:c>
      <x:c r="C1054" s="24" t="e">
        <x:f>HYPERLINK("https://365nails.com/products/202-new-simple-pink-nail-art-little-red-book-wind-flower-glitter-wearable-nail-film-short-wearable-nail-wholesale-365nails","Simple Pink   Wind Flower Glitter Film Short Press-on Nails ｜365nails")</x:f>
        <x:v>HYPERLINK is not implemented. linkLocation=https://365nails.com/products/202-new-simple-pink-nail-art-little-red-book-wind-flower-glitter-wearable-nail-film-short-wearable-nail-wholesale-365nails, friendlyName=Simple Pink   Wind Flower Glitter Film Short Press-on Nails ｜365nails</x:v>
      </x:c>
      <x:c r="D1054" s="18" t="str">
        <x:v>color: JP3252 [Glue model] / JP3252 [including wearable kit]</x:v>
      </x:c>
      <x:c r="E1054" s="25" t="str">
        <x:v>$0.99–$1.16</x:v>
      </x:c>
      <x:c r="F1054" s="19" t="str">
        <x:v>1</x:v>
      </x:c>
    </x:row>
    <x:row r="1055" ht="93" customHeight="1">
      <x:c r="A1055" s="19" t="n">
        <x:v>1052</x:v>
      </x:c>
      <x:c r="B1055" s="22" t="e">
        <x:f>HYPERLINK("https://cdn.shopify.com/s/files/1/0918/6066/4603/files/O1CN01aT83U81HlWuMlFei6__2545140798-0-cib_4a5774f7-775c-4c71-a3ec-b1803ae74b11.jpg?v=1774669961","Open")</x:f>
        <x:v>HYPERLINK is not implemented. linkLocation=https://cdn.shopify.com/s/files/1/0918/6066/4603/files/O1CN01aT83U81HlWuMlFei6__2545140798-0-cib_4a5774f7-775c-4c71-a3ec-b1803ae74b11.jpg?v=1774669961, friendlyName=Open</x:v>
      </x:c>
      <x:c r="C1055" s="24" t="e">
        <x:f>HYPERLINK("https://365nails.com/products/365nails-silver-outline-floral-with-rhinestone-handmade-press-on-nails","365nails: ""Silver Outline Floral with Rhinestone"" – Nail Art Stickers")</x:f>
        <x:v>HYPERLINK is not implemented. linkLocation=https://365nails.com/products/365nails-silver-outline-floral-with-rhinestone-handmade-press-on-nails, friendlyName=365nails: "Silver Outline Floral with Rhinestone" – Nail Art Stickers</x:v>
      </x:c>
      <x:c r="D1055" s="18" t="str">
        <x:v>Specification type: To3027-new hot stamping / To3027-silver</x:v>
      </x:c>
      <x:c r="E1055" s="25" t="str">
        <x:v>$1.30</x:v>
      </x:c>
      <x:c r="F1055" s="19" t="str">
        <x:v>5</x:v>
      </x:c>
    </x:row>
    <x:row r="1056" ht="93" customHeight="1">
      <x:c r="A1056" s="19" t="n">
        <x:v>1053</x:v>
      </x:c>
      <x:c r="B1056" s="22" t="e">
        <x:f>HYPERLINK("https://cdn.shopify.com/s/files/1/0918/6066/4603/files/O1CN01TdCwVP1rlpSVfOzI4__2215158925672-0-cib.jpg?v=1754377259","Open")</x:f>
        <x:v>HYPERLINK is not implemented. linkLocation=https://cdn.shopify.com/s/files/1/0918/6066/4603/files/O1CN01TdCwVP1rlpSVfOzI4__2215158925672-0-cib.jpg?v=1754377259, friendlyName=Open</x:v>
      </x:c>
      <x:c r="C1056" s="24" t="e">
        <x:f>HYPERLINK("https://365nails.com/products/handmade-press-on-nails-dark-devils-eye-irregular-creative-hand-painted-spice-girl-nail-art-365nails","Galactic Cat Eye Series Press-On Nails")</x:f>
        <x:v>HYPERLINK is not implemented. linkLocation=https://365nails.com/products/handmade-press-on-nails-dark-devils-eye-irregular-creative-hand-painted-spice-girl-nail-art-365nails, friendlyName=Galactic Cat Eye Series Press-On Nails</x:v>
      </x:c>
      <x:c r="D1056" s="18" t="str">
        <x:v>Color: lengthened T; Color classification: XS / S / M / L</x:v>
      </x:c>
      <x:c r="E1056" s="25" t="str">
        <x:v>$3.49</x:v>
      </x:c>
      <x:c r="F1056" s="19" t="str">
        <x:v>30</x:v>
      </x:c>
    </x:row>
    <x:row r="1057" ht="93" customHeight="1">
      <x:c r="A1057" s="19" t="n">
        <x:v>1054</x:v>
      </x:c>
      <x:c r="B1057" s="22" t="e">
        <x:f>HYPERLINK("https://cdn.shopify.com/s/files/1/0918/6066/4603/files/O1CN014B5XUk1rlpY4VE2SG__2215158925672-0-cib.jpg?v=1754377180","Open")</x:f>
        <x:v>HYPERLINK is not implemented. linkLocation=https://cdn.shopify.com/s/files/1/0918/6066/4603/files/O1CN014B5XUk1rlpY4VE2SG__2215158925672-0-cib.jpg?v=1754377180, friendlyName=Open</x:v>
      </x:c>
      <x:c r="C1057" s="24" t="e">
        <x:f>HYPERLINK("https://365nails.com/products/duck-bill-nail-ice-through-hand-painted-3d-three-dimensional-engraved-short-nail-art-summer-small-fresh-handmade-press-on-nails-365nails","Tropical Lagoon Series Duckbill Press-On Nails")</x:f>
        <x:v>HYPERLINK is not implemented. linkLocation=https://365nails.com/products/duck-bill-nail-ice-through-hand-painted-3d-three-dimensional-engraved-short-nail-art-summer-small-fresh-handmade-press-on-nails-365nails, friendlyName=Tropical Lagoon Series Duckbill Press-On Nails</x:v>
      </x:c>
      <x:c r="D1057" s="18" t="str">
        <x:v>Color: short bill; Color classification: S / M / L</x:v>
      </x:c>
      <x:c r="E1057" s="25" t="str">
        <x:v>$4.49</x:v>
      </x:c>
      <x:c r="F1057" s="19" t="str">
        <x:v>30</x:v>
      </x:c>
    </x:row>
    <x:row r="1058" ht="93" customHeight="1">
      <x:c r="A1058" s="19" t="n">
        <x:v>1055</x:v>
      </x:c>
      <x:c r="B1058" s="22" t="e">
        <x:f>HYPERLINK("https://cdn.shopify.com/s/files/1/0918/6066/4603/files/O1CN018RFviH2NGHbyim4f2__4234819935-0-cib.jpg?v=1753433305","Open")</x:f>
        <x:v>HYPERLINK is not implemented. linkLocation=https://cdn.shopify.com/s/files/1/0918/6066/4603/files/O1CN018RFviH2NGHbyim4f2__4234819935-0-cib.jpg?v=1753433305, friendlyName=Open</x:v>
      </x:c>
      <x:c r="C1058" s="24" t="e">
        <x:f>HYPERLINK("https://365nails.com/products/simple-mirror-silver-french-short-ballet-wear-nail-art-finished-fake-nail-nail-art-patch-nail-patch-removable-365nails","Simple mirror silver French short ballet wear nail art finished fake nail nail art patch nail patch removable｜365nails")</x:f>
        <x:v>HYPERLINK is not implemented. linkLocation=https://365nails.com/products/simple-mirror-silver-french-short-ballet-wear-nail-art-finished-fake-nail-nail-art-patch-nail-patch-removable-365nails, friendlyName=Simple mirror silver French short ballet wear nail art finished fake nail nail art patch nail patch removable｜365nails</x:v>
      </x:c>
      <x:c r="D1058" s="18" t="str">
        <x:v>color: JP1098</x:v>
      </x:c>
      <x:c r="E1058" s="25" t="str">
        <x:v>$0.70</x:v>
      </x:c>
      <x:c r="F1058" s="19" t="str">
        <x:v>1</x:v>
      </x:c>
    </x:row>
    <x:row r="1059" ht="93" customHeight="1">
      <x:c r="A1059" s="19" t="n">
        <x:v>1056</x:v>
      </x:c>
      <x:c r="B1059" s="22" t="e">
        <x:f>HYPERLINK("https://cdn.shopify.com/s/files/1/0918/6066/4603/files/O1CN01Oc4w3d2NGHmrwzLVi__4234819935-0-cib.jpg?v=1753432074","Open")</x:f>
        <x:v>HYPERLINK is not implemented. linkLocation=https://cdn.shopify.com/s/files/1/0918/6066/4603/files/O1CN01Oc4w3d2NGHmrwzLVi__4234819935-0-cib.jpg?v=1753432074, friendlyName=Open</x:v>
      </x:c>
      <x:c r="C1059" s="24" t="e">
        <x:f>HYPERLINK("https://365nails.com/products/independence-day-wear-nail-nail-tablets-finished-products-wholesale-ballet-nail-false-nail-nail-tablets-press-on-nails-365nails","Independence Day Wear Nail Nail Tablets Finished Products Wholesale Ballet Nail False Nail Nail Tablets Press on Nails｜365nails")</x:f>
        <x:v>HYPERLINK is not implemented. linkLocation=https://365nails.com/products/independence-day-wear-nail-nail-tablets-finished-products-wholesale-ballet-nail-false-nail-nail-tablets-press-on-nails-365nails, friendlyName=Independence Day Wear Nail Nail Tablets Finished Products Wholesale Ballet Nail False Nail Nail Tablets Press on Nails｜365nails</x:v>
      </x:c>
      <x:c r="D1059" s="18" t="str">
        <x:v>color: JP2773</x:v>
      </x:c>
      <x:c r="E1059" s="25" t="str">
        <x:v>$1.14</x:v>
      </x:c>
      <x:c r="F1059" s="19" t="str">
        <x:v>1</x:v>
      </x:c>
    </x:row>
    <x:row r="1060" ht="93" customHeight="1">
      <x:c r="A1060" s="19" t="n">
        <x:v>1057</x:v>
      </x:c>
      <x:c r="B1060" s="22" t="e">
        <x:f>HYPERLINK("https://cdn.shopify.com/s/files/1/0918/6066/4603/files/O1CN01ZgecuJ2NGHvoLjabJ__4234819935-0-cib.jpg?v=1753431931","Open")</x:f>
        <x:v>HYPERLINK is not implemented. linkLocation=https://cdn.shopify.com/s/files/1/0918/6066/4603/files/O1CN01ZgecuJ2NGHvoLjabJ__4234819935-0-cib.jpg?v=1753431931, friendlyName=Open</x:v>
      </x:c>
      <x:c r="C1060" s="24" t="e">
        <x:f>HYPERLINK("https://365nails.com/products/2025-valentines-day-french-red-wearing-nail-love-nail-art-cross-border-hot-selling-fake-nails-nail-wholesale-365nails","Valentine's Day French red wearing nail love nail art  hot-selling fake nails nail wholesale｜365nails")</x:f>
        <x:v>HYPERLINK is not implemented. linkLocation=https://365nails.com/products/2025-valentines-day-french-red-wearing-nail-love-nail-art-cross-border-hot-selling-fake-nails-nail-wholesale-365nails, friendlyName=Valentine's Day French red wearing nail love nail art  hot-selling fake nails nail wholesale｜365nails</x:v>
      </x:c>
      <x:c r="D1060" s="18" t="str">
        <x:v>Color: JP3633</x:v>
      </x:c>
      <x:c r="E1060" s="25" t="str">
        <x:v>$0.77</x:v>
      </x:c>
      <x:c r="F1060" s="19" t="str">
        <x:v>1</x:v>
      </x:c>
    </x:row>
    <x:row r="1061" ht="93" customHeight="1">
      <x:c r="A1061" s="19" t="n">
        <x:v>1058</x:v>
      </x:c>
      <x:c r="B1061" s="22" t="e">
        <x:f>HYPERLINK("https://cdn.shopify.com/s/files/1/0918/6066/4603/files/O1CN01KktNPc1rlpXdpVRdl__2215158925672-0-cib.jpg?v=1754446670","Open")</x:f>
        <x:v>HYPERLINK is not implemented. linkLocation=https://cdn.shopify.com/s/files/1/0918/6066/4603/files/O1CN01KktNPc1rlpXdpVRdl__2215158925672-0-cib.jpg?v=1754446670, friendlyName=Open</x:v>
      </x:c>
      <x:c r="C1061" s="24" t="e">
        <x:f>HYPERLINK("https://365nails.com/products/long-pointed-nail-patch-simple-two-color-gradual-change-sweet-cool-wear-nail-pure-hand-fake-nails-365nails","Obsidian Melt Chrome Series Press-On Nails")</x:f>
        <x:v>HYPERLINK is not implemented. linkLocation=https://365nails.com/products/long-pointed-nail-patch-simple-two-color-gradual-change-sweet-cool-wear-nail-pure-hand-fake-nails-365nails, friendlyName=Obsidian Melt Chrome Series Press-On Nails</x:v>
      </x:c>
      <x:c r="D1061" s="18" t="str">
        <x:v>Color: long tip; Color classification: XS / S / M / L</x:v>
      </x:c>
      <x:c r="E1061" s="25" t="str">
        <x:v>$2.49</x:v>
      </x:c>
      <x:c r="F1061" s="19" t="str">
        <x:v>30</x:v>
      </x:c>
    </x:row>
    <x:row r="1062" ht="93" customHeight="1">
      <x:c r="A1062" s="19" t="n">
        <x:v>1059</x:v>
      </x:c>
      <x:c r="B1062" s="22" t="e">
        <x:f>HYPERLINK("https://cdn.shopify.com/s/files/1/0918/6066/4603/files/O1CN017zvjxp1HlX6PHMEnc__2545140798-0-cib.jpg?v=1774676300","Open")</x:f>
        <x:v>HYPERLINK is not implemented. linkLocation=https://cdn.shopify.com/s/files/1/0918/6066/4603/files/O1CN017zvjxp1HlX6PHMEnc__2545140798-0-cib.jpg?v=1774676300, friendlyName=Open</x:v>
      </x:c>
      <x:c r="C1062" s="24" t="e">
        <x:f>HYPERLINK("https://365nails.com/products/365nails-cute-bear-sweet-treats-handmade-press-on-nails","365nails: ""Cute Bear &amp; Sweet Treats"" – Nail Art Stickers")</x:f>
        <x:v>HYPERLINK is not implemented. linkLocation=https://365nails.com/products/365nails-cute-bear-sweet-treats-handmade-press-on-nails, friendlyName=365nails: "Cute Bear &amp; Sweet Treats" – Nail Art Stickers</x:v>
      </x:c>
      <x:c r="D1062" s="18" t="str">
        <x:v>Specification type: To4933 / To4935</x:v>
      </x:c>
      <x:c r="E1062" s="25" t="str">
        <x:v>$1.09</x:v>
      </x:c>
      <x:c r="F1062" s="19" t="str">
        <x:v>5</x:v>
      </x:c>
    </x:row>
    <x:row r="1063" ht="93" customHeight="1">
      <x:c r="A1063" s="19" t="n">
        <x:v>1060</x:v>
      </x:c>
      <x:c r="B1063" s="22" t="e">
        <x:f>HYPERLINK("https://cdn.shopify.com/s/files/1/0918/6066/4603/files/18571497154_2037667256.jpg?v=1753431851","Open")</x:f>
        <x:v>HYPERLINK is not implemented. linkLocation=https://cdn.shopify.com/s/files/1/0918/6066/4603/files/18571497154_2037667256.jpg?v=1753431851, friendlyName=Open</x:v>
      </x:c>
      <x:c r="C1063" s="24" t="e">
        <x:f>HYPERLINK("https://365nails.com/products/oblique-french-simple-wear-nail-art-finished-fake-nail-nail-patch-nail-patch-french-removable-nail-patch-foreign-trade-365nails","Oblique French Simple Wear Nail Art Finished    French Removable  ｜365nails")</x:f>
        <x:v>HYPERLINK is not implemented. linkLocation=https://365nails.com/products/oblique-french-simple-wear-nail-art-finished-fake-nail-nail-patch-nail-patch-french-removable-nail-patch-foreign-trade-365nails, friendlyName=Oblique French Simple Wear Nail Art Finished    French Removable  ｜365nails</x:v>
      </x:c>
      <x:c r="D1063" s="18" t="str">
        <x:v>color: JP823</x:v>
      </x:c>
      <x:c r="E1063" s="25" t="str">
        <x:v>$0.70</x:v>
      </x:c>
      <x:c r="F1063" s="19" t="str">
        <x:v>1</x:v>
      </x:c>
    </x:row>
    <x:row r="1064" ht="93" customHeight="1">
      <x:c r="A1064" s="19" t="n">
        <x:v>1061</x:v>
      </x:c>
      <x:c r="B1064" s="22" t="e">
        <x:f>HYPERLINK("https://cdn.shopify.com/s/files/1/0918/6066/4603/files/O1CN01XjCPP01rlpUkrEbmR__2215158925672-0-cib.jpg?v=1754446585","Open")</x:f>
        <x:v>HYPERLINK is not implemented. linkLocation=https://cdn.shopify.com/s/files/1/0918/6066/4603/files/O1CN01XjCPP01rlpUkrEbmR__2215158925672-0-cib.jpg?v=1754446585, friendlyName=Open</x:v>
      </x:c>
      <x:c r="C1064" s="24" t="e">
        <x:f>HYPERLINK("https://365nails.com/products/handmade-press-on-nails-sweet-cool-spice-girl-blush-nail-metal-style-long-tip-nail-patch-wholesale-365nails","Silver Mist Gradient Series Press-On Nails")</x:f>
        <x:v>HYPERLINK is not implemented. linkLocation=https://365nails.com/products/handmade-press-on-nails-sweet-cool-spice-girl-blush-nail-metal-style-long-tip-nail-patch-wholesale-365nails, friendlyName=Silver Mist Gradient Series Press-On Nails</x:v>
      </x:c>
      <x:c r="D1064" s="18" t="str">
        <x:v>Color: long tip; Color classification: XS / S / M / L</x:v>
      </x:c>
      <x:c r="E1064" s="25" t="str">
        <x:v>$3.49</x:v>
      </x:c>
      <x:c r="F1064" s="19" t="str">
        <x:v>30</x:v>
      </x:c>
    </x:row>
    <x:row r="1065" ht="93" customHeight="1">
      <x:c r="A1065" s="19" t="n">
        <x:v>1062</x:v>
      </x:c>
      <x:c r="B1065" s="22" t="e">
        <x:f>HYPERLINK("https://cdn.shopify.com/s/files/1/0918/6066/4603/files/O1CN01th6L1B1rlpSto0WFC__2215158925672-0-cib.jpg?v=1754378249","Open")</x:f>
        <x:v>HYPERLINK is not implemented. linkLocation=https://cdn.shopify.com/s/files/1/0918/6066/4603/files/O1CN01th6L1B1rlpSto0WFC__2215158925672-0-cib.jpg?v=1754378249, friendlyName=Open</x:v>
      </x:c>
      <x:c r="C1065" s="24" t="e">
        <x:f>HYPERLINK("https://365nails.com/products/simple-handmade-press-on-nails-advanced-texture-flash-aurora-nail-wearable-fake-nail-wholesale-365nails","Rosy Jelly Almond Series Press-On Nails")</x:f>
        <x:v>HYPERLINK is not implemented. linkLocation=https://365nails.com/products/simple-handmade-press-on-nails-advanced-texture-flash-aurora-nail-wearable-fake-nail-wholesale-365nails, friendlyName=Rosy Jelly Almond Series Press-On Nails</x:v>
      </x:c>
      <x:c r="D1065" s="18" t="str">
        <x:v>Color: Short almonds; Color classification: S / M / L</x:v>
      </x:c>
      <x:c r="E1065" s="25" t="str">
        <x:v>$1.99</x:v>
      </x:c>
      <x:c r="F1065" s="19" t="str">
        <x:v>30</x:v>
      </x:c>
    </x:row>
    <x:row r="1066" ht="93" customHeight="1">
      <x:c r="A1066" s="19" t="n">
        <x:v>1063</x:v>
      </x:c>
      <x:c r="B1066" s="22" t="e">
        <x:f>HYPERLINK("https://cdn.shopify.com/s/files/1/0918/6066/4603/files/O1CN01XGFWrF2NGHs6Yflrb__4234819935-0-cib.jpg?v=1753431769","Open")</x:f>
        <x:v>HYPERLINK is not implemented. linkLocation=https://cdn.shopify.com/s/files/1/0918/6066/4603/files/O1CN01XGFWrF2NGHs6Yflrb__4234819935-0-cib.jpg?v=1753431769, friendlyName=Open</x:v>
      </x:c>
      <x:c r="C1066" s="24" t="e">
        <x:f>HYPERLINK("https://365nails.com/products/simple-french-white-wearing-nail-short-square-cross-border-european-and-american-nail-art-fake-nail-nail-sticker-removable-hot-selling-nail-piece-365nails","Simple French white wearing nail short square   nail art fake nail nail sticker removable hot-selling nail piece｜365nails")</x:f>
        <x:v>HYPERLINK is not implemented. linkLocation=https://365nails.com/products/simple-french-white-wearing-nail-short-square-cross-border-european-and-american-nail-art-fake-nail-nail-sticker-removable-hot-selling-nail-piece-365nails, friendlyName=Simple French white wearing nail short square   nail art fake nail nail sticker removable hot-selling nail piece｜365nails</x:v>
      </x:c>
      <x:c r="D1066" s="18" t="str">
        <x:v>Color: JP3368</x:v>
      </x:c>
      <x:c r="E1066" s="25" t="str">
        <x:v>$0.70</x:v>
      </x:c>
      <x:c r="F1066" s="19" t="str">
        <x:v>1</x:v>
      </x:c>
    </x:row>
    <x:row r="1067" ht="93" customHeight="1">
      <x:c r="A1067" s="19" t="n">
        <x:v>1064</x:v>
      </x:c>
      <x:c r="B1067" s="22" t="e">
        <x:f>HYPERLINK("https://cdn.shopify.com/s/files/1/0918/6066/4603/files/O1CN01ZGN8NH1rlpR9NL9PD__2215158925672-0-cib.jpg?v=1754446651","Open")</x:f>
        <x:v>HYPERLINK is not implemented. linkLocation=https://cdn.shopify.com/s/files/1/0918/6066/4603/files/O1CN01ZGN8NH1rlpR9NL9PD__2215158925672-0-cib.jpg?v=1754446651, friendlyName=Open</x:v>
      </x:c>
      <x:c r="C1067" s="24" t="e">
        <x:f>HYPERLINK("https://365nails.com/products/sweet-and-cool-handmade-press-on-nails-metal-hand-painted-irregular-shape-almond-nail-wearable-nail-sticker-365nails","Galactic Charm Fusion Series Press-On Nails")</x:f>
        <x:v>HYPERLINK is not implemented. linkLocation=https://365nails.com/products/sweet-and-cool-handmade-press-on-nails-metal-hand-painted-irregular-shape-almond-nail-wearable-nail-sticker-365nails, friendlyName=Galactic Charm Fusion Series Press-On Nails</x:v>
      </x:c>
      <x:c r="D1067" s="18" t="str">
        <x:v>Color: medium almond; Color classification: XS / S / M / L</x:v>
      </x:c>
      <x:c r="E1067" s="25" t="str">
        <x:v>$4.49</x:v>
      </x:c>
      <x:c r="F1067" s="19" t="str">
        <x:v>30</x:v>
      </x:c>
    </x:row>
    <x:row r="1068" ht="93" customHeight="1">
      <x:c r="A1068" s="19" t="n">
        <x:v>1065</x:v>
      </x:c>
      <x:c r="B1068" s="22" t="e">
        <x:f>HYPERLINK("https://cdn.shopify.com/s/files/1/0918/6066/4603/files/O1CN011uOjrW2NGHvSMWKbU__4234819935-0-cib.jpg?v=1753431796","Open")</x:f>
        <x:v>HYPERLINK is not implemented. linkLocation=https://cdn.shopify.com/s/files/1/0918/6066/4603/files/O1CN011uOjrW2NGHvSMWKbU__4234819935-0-cib.jpg?v=1753431796, friendlyName=Open</x:v>
      </x:c>
      <x:c r="C1068" s="24" t="e">
        <x:f>HYPERLINK("https://365nails.com/products/japanese-cartoon-cute-kitten-wearing-armor-three-dimensional-flower-plaid-manicure-short-simple-fake-nail-nail-wholesale-365nails","Japanese cartoon cute kitten wearing armor three-dimensional flower plaid manicure short simple fake nail nail wholesale｜365nails")</x:f>
        <x:v>HYPERLINK is not implemented. linkLocation=https://365nails.com/products/japanese-cartoon-cute-kitten-wearing-armor-three-dimensional-flower-plaid-manicure-short-simple-fake-nail-nail-wholesale-365nails, friendlyName=Japanese cartoon cute kitten wearing armor three-dimensional flower plaid manicure short simple fake nail nail wholesale｜365nails</x:v>
      </x:c>
      <x:c r="D1068" s="18" t="str">
        <x:v>color: JP3570</x:v>
      </x:c>
      <x:c r="E1068" s="25" t="str">
        <x:v>$1.30</x:v>
      </x:c>
      <x:c r="F1068" s="19" t="str">
        <x:v>1</x:v>
      </x:c>
    </x:row>
    <x:row r="1069" ht="93" customHeight="1">
      <x:c r="A1069" s="19" t="n">
        <x:v>1066</x:v>
      </x:c>
      <x:c r="B1069" s="22" t="e">
        <x:f>HYPERLINK("https://cdn.shopify.com/s/files/1/0918/6066/4603/files/O1CN012I8xBV2NGHw3dymV8__4234819935-0-cib.jpg?v=1753431828","Open")</x:f>
        <x:v>HYPERLINK is not implemented. linkLocation=https://cdn.shopify.com/s/files/1/0918/6066/4603/files/O1CN012I8xBV2NGHw3dymV8__4234819935-0-cib.jpg?v=1753431828, friendlyName=Open</x:v>
      </x:c>
      <x:c r="C1069" s="24" t="e">
        <x:f>HYPERLINK("https://365nails.com/products/simple-naked-powder-manicure-fake-nails-french-white-edge-wearing-nail-glitter-flash-nail-piece-fake-nails-nail-piece-365nails","Simple naked powder manicure fake nails French white edge wearing nail glitter flash nail piece fake nails nail piece｜365nails")</x:f>
        <x:v>HYPERLINK is not implemented. linkLocation=https://365nails.com/products/simple-naked-powder-manicure-fake-nails-french-white-edge-wearing-nail-glitter-flash-nail-piece-fake-nails-nail-piece-365nails, friendlyName=Simple naked powder manicure fake nails French white edge wearing nail glitter flash nail piece fake nails nail piece｜365nails</x:v>
      </x:c>
      <x:c r="D1069" s="18" t="str">
        <x:v>color: JP3671</x:v>
      </x:c>
      <x:c r="E1069" s="25" t="str">
        <x:v>$0.45</x:v>
      </x:c>
      <x:c r="F1069" s="19" t="str">
        <x:v>1</x:v>
      </x:c>
    </x:row>
    <x:row r="1070" ht="93" customHeight="1">
      <x:c r="A1070" s="19" t="n">
        <x:v>1067</x:v>
      </x:c>
      <x:c r="B1070" s="22" t="e">
        <x:f>HYPERLINK("https://cdn.shopify.com/s/files/1/0918/6066/4603/files/37fd0bf9388cf20c45832773a4f616a1.jpg?v=1755142600","Open")</x:f>
        <x:v>HYPERLINK is not implemented. linkLocation=https://cdn.shopify.com/s/files/1/0918/6066/4603/files/37fd0bf9388cf20c45832773a4f616a1.jpg?v=1755142600, friendlyName=Open</x:v>
      </x:c>
      <x:c r="C1070" s="24" t="e">
        <x:f>HYPERLINK("https://365nails.com/products/nail-tips-the-new-press-on-nails-piece-is-divided-into-20-pieces-the-whole-piece-is-seamless-and-the-short-one-is-fully-attached-to-the-trapezoidal-matte-nail-piece-fake-nail","Nail Tips The new press on nails piece is divided into 20 pieces (MOQ=50)")</x:f>
        <x:v>HYPERLINK is not implemented. linkLocation=https://365nails.com/products/nail-tips-the-new-press-on-nails-piece-is-divided-into-20-pieces-the-whole-piece-is-seamless-and-the-short-one-is-fully-attached-to-the-trapezoidal-matte-nail-piece-fake-nail, friendlyName=Nail Tips The new press on nails piece is divided into 20 pieces (MOQ=50)</x:v>
      </x:c>
      <x:c r="D1070" s="18" t="str">
        <x:v>Color: 191 short ellipse 20 pieces / 192 trapezoidal 20 pieces / 192 Long Trapezoid - Milky White / 193 short ladders 20 pieces / 193 Short Trapezoid - Milky White / 194 Almonds 20 slices / 195 short round 20 pieces / 197 short square and 20 pieces. / 199-2 Japanese Short Fat Oval / 401 short ladder / 401 Short Ladder - Milky White / 404 Short Ballet / 409 Long Ellipse / 410 medium square; Color classification: XS code / S code / M size / L code; quantity: 50pcs</x:v>
      </x:c>
      <x:c r="E1070" s="25" t="str">
        <x:v>$6.00</x:v>
      </x:c>
      <x:c r="F1070" s="19" t="str">
        <x:v>1</x:v>
      </x:c>
    </x:row>
    <x:row r="1071" ht="93" customHeight="1">
      <x:c r="A1071" s="19" t="n">
        <x:v>1068</x:v>
      </x:c>
      <x:c r="B1071" s="22" t="e">
        <x:f>HYPERLINK("https://cdn.shopify.com/s/files/1/0918/6066/4603/files/O1CN01Ovy6F72NGHvovHcSe__4234819935-0-cib.jpg?v=1753431876","Open")</x:f>
        <x:v>HYPERLINK is not implemented. linkLocation=https://cdn.shopify.com/s/files/1/0918/6066/4603/files/O1CN01Ovy6F72NGHvovHcSe__4234819935-0-cib.jpg?v=1753431876, friendlyName=Open</x:v>
      </x:c>
      <x:c r="C1071" s="24" t="e">
        <x:f>HYPERLINK("https://365nails.com/products/gothic-hottie-wearing-nail-french-leopard-print-y2k-manicure-fake-nail-three-dimensional-bow-spider-personalized-nail-piece-365nails","Gothic hottie wearing nail French leopard print  manicure fake nail three-dimensional bow spider personalized nail piece｜365nails")</x:f>
        <x:v>HYPERLINK is not implemented. linkLocation=https://365nails.com/products/gothic-hottie-wearing-nail-french-leopard-print-y2k-manicure-fake-nail-three-dimensional-bow-spider-personalized-nail-piece-365nails, friendlyName=Gothic hottie wearing nail French leopard print  manicure fake nail three-dimensional bow spider personalized nail piece｜365nails</x:v>
      </x:c>
      <x:c r="D1071" s="18" t="str">
        <x:v>color: JP3611</x:v>
      </x:c>
      <x:c r="E1071" s="25" t="str">
        <x:v>$1.59</x:v>
      </x:c>
      <x:c r="F1071" s="19" t="str">
        <x:v>1</x:v>
      </x:c>
    </x:row>
    <x:row r="1072" ht="93" customHeight="1">
      <x:c r="A1072" s="19" t="n">
        <x:v>1069</x:v>
      </x:c>
      <x:c r="B1072" s="22" t="e">
        <x:f>HYPERLINK("https://cdn.shopify.com/s/files/1/0918/6066/4603/files/O1CN01170tst2NGHs69Bt0L__4234819935-0-cib.jpg?v=1753431949","Open")</x:f>
        <x:v>HYPERLINK is not implemented. linkLocation=https://cdn.shopify.com/s/files/1/0918/6066/4603/files/O1CN01170tst2NGHs69Bt0L__4234819935-0-cib.jpg?v=1753431949, friendlyName=Open</x:v>
      </x:c>
      <x:c r="C1072" s="24" t="e">
        <x:f>HYPERLINK("https://365nails.com/products/sweet-french-red-wearing-nail-simple-cherry-nail-piece-rewearable-fake-nail-yiwu-nail-wholesale-365nails","Sweet French red wearing nail simple cherry nail piece rewearable fake nail Yiwu nail wholesale｜365nails")</x:f>
        <x:v>HYPERLINK is not implemented. linkLocation=https://365nails.com/products/sweet-french-red-wearing-nail-simple-cherry-nail-piece-rewearable-fake-nail-yiwu-nail-wholesale-365nails, friendlyName=Sweet French red wearing nail simple cherry nail piece rewearable fake nail Yiwu nail wholesale｜365nails</x:v>
      </x:c>
      <x:c r="D1072" s="18" t="str">
        <x:v>Color: JP3316</x:v>
      </x:c>
      <x:c r="E1072" s="25" t="str">
        <x:v>$1.16</x:v>
      </x:c>
      <x:c r="F1072" s="19" t="str">
        <x:v>1</x:v>
      </x:c>
    </x:row>
    <x:row r="1073" ht="93" customHeight="1">
      <x:c r="A1073" s="19" t="n">
        <x:v>1070</x:v>
      </x:c>
      <x:c r="B1073" s="22" t="e">
        <x:f>HYPERLINK("https://cdn.shopify.com/s/files/1/0918/6066/4603/files/O1CN01Dm66Dm2NGHv1nMBYT__4234819935-0-cib.jpg?v=1753431870","Open")</x:f>
        <x:v>HYPERLINK is not implemented. linkLocation=https://cdn.shopify.com/s/files/1/0918/6066/4603/files/O1CN01Dm66Dm2NGHv1nMBYT__4234819935-0-cib.jpg?v=1753431870, friendlyName=Open</x:v>
      </x:c>
      <x:c r="C1073" s="24" t="e">
        <x:f>HYPERLINK("https://365nails.com/products/cool-spicy-french-black-wearing-nail-point-diamond-three-dimensional-bow-manicure-fake-nail-short-almond-european-and-american-nail-piece-wholesale-365nails","Cool spicy French black wearing nail point diamond three-dimensional bow manicure fake nail short almond  nail piece wholesale｜365nails")</x:f>
        <x:v>HYPERLINK is not implemented. linkLocation=https://365nails.com/products/cool-spicy-french-black-wearing-nail-point-diamond-three-dimensional-bow-manicure-fake-nail-short-almond-european-and-american-nail-piece-wholesale-365nails, friendlyName=Cool spicy French black wearing nail point diamond three-dimensional bow manicure fake nail short almond  nail piece wholesale｜365nails</x:v>
      </x:c>
      <x:c r="D1073" s="18" t="str">
        <x:v>color: SP175; Color classification: XS / S / M</x:v>
      </x:c>
      <x:c r="E1073" s="25" t="str">
        <x:v>$0.60</x:v>
      </x:c>
      <x:c r="F1073" s="19" t="str">
        <x:v>1</x:v>
      </x:c>
    </x:row>
    <x:row r="1074" ht="93" customHeight="1">
      <x:c r="A1074" s="19" t="n">
        <x:v>1071</x:v>
      </x:c>
      <x:c r="B1074" s="22" t="e">
        <x:f>HYPERLINK("https://cdn.shopify.com/s/files/1/0918/6066/4603/files/O1CN01rHXBFs2NGHyPIPNNf__4234819935-0-cib.jpg?v=1753433173","Open")</x:f>
        <x:v>HYPERLINK is not implemented. linkLocation=https://cdn.shopify.com/s/files/1/0918/6066/4603/files/O1CN01rHXBFs2NGHyPIPNNf__4234819935-0-cib.jpg?v=1753433173, friendlyName=Open</x:v>
      </x:c>
      <x:c r="C1074" s="24" t="e">
        <x:f>HYPERLINK("https://365nails.com/products/small-fresh-french-yellow-manicure-fake-nails-repeatable-short-round-nail-type-wearing-nail-simple-ins-wind-nail-piece-365nails","Small fresh French yellow manicure fake nails repeatable short round nail type wearing nail simple ins wind nail piece｜365nails")</x:f>
        <x:v>HYPERLINK is not implemented. linkLocation=https://365nails.com/products/small-fresh-french-yellow-manicure-fake-nails-repeatable-short-round-nail-type-wearing-nail-simple-ins-wind-nail-piece-365nails, friendlyName=Small fresh French yellow manicure fake nails repeatable short round nail type wearing nail simple ins wind nail piece｜365nails</x:v>
      </x:c>
      <x:c r="D1074" s="18" t="str">
        <x:v>color: JP3920</x:v>
      </x:c>
      <x:c r="E1074" s="25" t="str">
        <x:v>$0.50</x:v>
      </x:c>
      <x:c r="F1074" s="19" t="str">
        <x:v>1</x:v>
      </x:c>
    </x:row>
    <x:row r="1075" ht="93" customHeight="1">
      <x:c r="A1075" s="19" t="n">
        <x:v>1072</x:v>
      </x:c>
      <x:c r="B1075" s="22" t="e">
        <x:f>HYPERLINK("https://cdn.shopify.com/s/files/1/0918/6066/4603/files/O1CN0113KK4K2NGHtRsItvT__4234819935-0-cib.jpg?v=1753431879","Open")</x:f>
        <x:v>HYPERLINK is not implemented. linkLocation=https://cdn.shopify.com/s/files/1/0918/6066/4603/files/O1CN0113KK4K2NGHtRsItvT__4234819935-0-cib.jpg?v=1753431879, friendlyName=Open</x:v>
      </x:c>
      <x:c r="C1075" s="24" t="e">
        <x:f>HYPERLINK("https://365nails.com/products/purple-smudge-dream-wearable-nail-art-starlight-pearl-wearable-nail-patch-short-almond-nail-patch-365nails","Purple Smudge Dream Wearable Nail Art Starlight Pearl Wearable Nail Patch Short Almond Nail Patch｜365nails")</x:f>
        <x:v>HYPERLINK is not implemented. linkLocation=https://365nails.com/products/purple-smudge-dream-wearable-nail-art-starlight-pearl-wearable-nail-patch-short-almond-nail-patch-365nails, friendlyName=Purple Smudge Dream Wearable Nail Art Starlight Pearl Wearable Nail Patch Short Almond Nail Patch｜365nails</x:v>
      </x:c>
      <x:c r="D1075" s="18" t="str">
        <x:v>Color: JP3426</x:v>
      </x:c>
      <x:c r="E1075" s="25" t="str">
        <x:v>$2.13</x:v>
      </x:c>
      <x:c r="F1075" s="19" t="str">
        <x:v>1</x:v>
      </x:c>
    </x:row>
    <x:row r="1076" ht="93" customHeight="1">
      <x:c r="A1076" s="19" t="n">
        <x:v>1073</x:v>
      </x:c>
      <x:c r="B1076" s="22" t="e">
        <x:f>HYPERLINK("https://cdn.shopify.com/s/files/1/0918/6066/4603/files/O1CN01opWuUx2NGHr8MM7gX__4234819935-0-cib.jpg?v=1753431895","Open")</x:f>
        <x:v>HYPERLINK is not implemented. linkLocation=https://cdn.shopify.com/s/files/1/0918/6066/4603/files/O1CN01opWuUx2NGHr8MM7gX__4234819935-0-cib.jpg?v=1753431895, friendlyName=Open</x:v>
      </x:c>
      <x:c r="C1076" s="24" t="e">
        <x:f>HYPERLINK("https://365nails.com/products/summer-small-fresh-flower-nail-art-wholesale-almond-gold-glitter-wear-nail-press-on-nails-365nails","Summer small fresh flower nail art wholesale almond gold glitter wear nail press on nails｜365nails")</x:f>
        <x:v>HYPERLINK is not implemented. linkLocation=https://365nails.com/products/summer-small-fresh-flower-nail-art-wholesale-almond-gold-glitter-wear-nail-press-on-nails-365nails, friendlyName=Summer small fresh flower nail art wholesale almond gold glitter wear nail press on nails｜365nails</x:v>
      </x:c>
      <x:c r="D1076" s="18" t="str">
        <x:v>Color: JP3261</x:v>
      </x:c>
      <x:c r="E1076" s="25" t="str">
        <x:v>$0.76</x:v>
      </x:c>
      <x:c r="F1076" s="19" t="str">
        <x:v>1</x:v>
      </x:c>
    </x:row>
    <x:row r="1077" ht="93" customHeight="1">
      <x:c r="A1077" s="19" t="n">
        <x:v>1074</x:v>
      </x:c>
      <x:c r="B1077" s="22" t="e">
        <x:f>HYPERLINK("https://cdn.shopify.com/s/files/1/0918/6066/4603/files/5c78c32da2e6f29363d2364595349005.jpg?v=1755141715","Open")</x:f>
        <x:v>HYPERLINK is not implemented. linkLocation=https://cdn.shopify.com/s/files/1/0918/6066/4603/files/5c78c32da2e6f29363d2364595349005.jpg?v=1755141715, friendlyName=Open</x:v>
      </x:c>
      <x:c r="C1077" s="24" t="e">
        <x:f>HYPERLINK("https://365nails.com/products/nail-tips-long-salons-press-on-nails-pieces-long-tip-120-pieces-boxed-transparent-thin-dog-lengthened-art-nail-pieces-women","Long Salon Press-On Nail Tips, Transparent Thin Extended Nail Pieces, 120 Pieces Boxed (MOQ=3)")</x:f>
        <x:v>HYPERLINK is not implemented. linkLocation=https://365nails.com/products/nail-tips-long-salons-press-on-nails-pieces-long-tip-120-pieces-boxed-transparent-thin-dog-lengthened-art-nail-pieces-women, friendlyName=Long Salon Press-On Nail Tips, Transparent Thin Extended Nail Pieces, 120 Pieces Boxed (MOQ=3)</x:v>
      </x:c>
      <x:c r="D1077" s="18" t="str">
        <x:v>Color: 121-Ordinary Transparent-120 Pieces Box / YS-141 pointed box with transparent color 500 pieces / YS-141 pointed box with natural color 500 pieces / YS-141 pointed bag with transparent color 500 pieces / YS-141 pointed bag with natural color 500 pieces / YS-551 Boxed transparent color 504 pieces / YS-551 boxed natural color 504 pieces; Quantity: 3pcs</x:v>
      </x:c>
      <x:c r="E1077" s="25" t="str">
        <x:v>$5.43–$6.78</x:v>
      </x:c>
      <x:c r="F1077" s="19" t="str">
        <x:v>1</x:v>
      </x:c>
    </x:row>
    <x:row r="1078" ht="93" customHeight="1">
      <x:c r="A1078" s="19" t="n">
        <x:v>1075</x:v>
      </x:c>
      <x:c r="B1078" s="22" t="e">
        <x:f>HYPERLINK("https://cdn.shopify.com/s/files/1/0918/6066/4603/files/O1CN01B0m9gA2NGHvgHV4NZ__4234819935-0-cib.jpg?v=1753432025","Open")</x:f>
        <x:v>HYPERLINK is not implemented. linkLocation=https://cdn.shopify.com/s/files/1/0918/6066/4603/files/O1CN01B0m9gA2NGHvgHV4NZ__4234819935-0-cib.jpg?v=1753432025, friendlyName=Open</x:v>
      </x:c>
      <x:c r="C1078" s="24" t="e">
        <x:f>HYPERLINK("https://365nails.com/products/minimalist-french-white-coated-wearable-nail-piece-repeatable-manicure-fake-nail-short-simple-wearable-nail-wholesale-365nails","Minimalist French white coated wearable nail piece repeatable manicure fake nail short simple wearable nail wholesale｜365nails")</x:f>
        <x:v>HYPERLINK is not implemented. linkLocation=https://365nails.com/products/minimalist-french-white-coated-wearable-nail-piece-repeatable-manicure-fake-nail-short-simple-wearable-nail-wholesale-365nails, friendlyName=Minimalist French white coated wearable nail piece repeatable manicure fake nail short simple wearable nail wholesale｜365nails</x:v>
      </x:c>
      <x:c r="D1078" s="18" t="str">
        <x:v>color: GD29</x:v>
      </x:c>
      <x:c r="E1078" s="25" t="str">
        <x:v>$1.42</x:v>
      </x:c>
      <x:c r="F1078" s="19" t="str">
        <x:v>1</x:v>
      </x:c>
    </x:row>
    <x:row r="1079" ht="93" customHeight="1">
      <x:c r="A1079" s="19" t="n">
        <x:v>1076</x:v>
      </x:c>
      <x:c r="B1079" s="22" t="e">
        <x:f>HYPERLINK("https://cdn.shopify.com/s/files/1/0918/6066/4603/files/O1CN01XnV8Fc2NGHh3TphPa__4234819935-0-cib.jpg?v=1753431969","Open")</x:f>
        <x:v>HYPERLINK is not implemented. linkLocation=https://cdn.shopify.com/s/files/1/0918/6066/4603/files/O1CN01XnV8Fc2NGHh3TphPa__4234819935-0-cib.jpg?v=1753431969, friendlyName=Open</x:v>
      </x:c>
      <x:c r="C1079" s="24" t="e">
        <x:f>HYPERLINK("https://365nails.com/products/nail-art-wear-nail-macaron-yellow-removable-nail-art-fake-nail-patch-wholesale-press-on-nails-365nails","Nail art, wear nail macaron yellow removable nail art fake nail patch wholesale press on nails｜365nails")</x:f>
        <x:v>HYPERLINK is not implemented. linkLocation=https://365nails.com/products/nail-art-wear-nail-macaron-yellow-removable-nail-art-fake-nail-patch-wholesale-press-on-nails-365nails, friendlyName=Nail art, wear nail macaron yellow removable nail art fake nail patch wholesale press on nails｜365nails</x:v>
      </x:c>
      <x:c r="D1079" s="18" t="str">
        <x:v>color: JP1750</x:v>
      </x:c>
      <x:c r="E1079" s="25" t="str">
        <x:v>$0.70</x:v>
      </x:c>
      <x:c r="F1079" s="19" t="str">
        <x:v>1</x:v>
      </x:c>
    </x:row>
    <x:row r="1080" ht="93" customHeight="1">
      <x:c r="A1080" s="19" t="n">
        <x:v>1077</x:v>
      </x:c>
      <x:c r="B1080" s="22" t="e">
        <x:f>HYPERLINK("https://cdn.shopify.com/s/files/1/0918/6066/4603/files/O1CN01hdAIpO1HlWzQCc5FW__2545140798-0-cib_11064154-2386-4c74-9704-d4e09d2b1b08.jpg?v=1776698078","Open")</x:f>
        <x:v>HYPERLINK is not implemented. linkLocation=https://cdn.shopify.com/s/files/1/0918/6066/4603/files/O1CN01hdAIpO1HlWzQCc5FW__2545140798-0-cib_11064154-2386-4c74-9704-d4e09d2b1b08.jpg?v=1776698078, friendlyName=Open</x:v>
      </x:c>
      <x:c r="C1080" s="24" t="e">
        <x:f>HYPERLINK("https://365nails.com/products/365nails-colorful-mini-floral-nail-art-stickers","365nails: ""Colorful Mini Floral"" – nail art stickers")</x:f>
        <x:v>HYPERLINK is not implemented. linkLocation=https://365nails.com/products/365nails-colorful-mini-floral-nail-art-stickers, friendlyName=365nails: "Colorful Mini Floral" – nail art stickers</x:v>
      </x:c>
      <x:c r="D1080" s="18" t="str">
        <x:v>Specification type: To3784-relief / To3785-shell light / To3787-relief / To3788-shell light / To4877-shell light / To4878-relief / To3803-relief / To3804-relief / To3808-relief / To3979-crystal diamond / To4111-crystal diamond / To4656-jelly / To4657-jelly / To4204-jelly / To4481-new hot stamping / To4802-relief / To1794-relief / Ms563-relief / To4163-shell light</x:v>
      </x:c>
      <x:c r="E1080" s="25" t="str">
        <x:v>$1.23</x:v>
      </x:c>
      <x:c r="F1080" s="19" t="str">
        <x:v>5</x:v>
      </x:c>
    </x:row>
    <x:row r="1081" ht="93" customHeight="1">
      <x:c r="A1081" s="19" t="n">
        <x:v>1078</x:v>
      </x:c>
      <x:c r="B1081" s="22" t="e">
        <x:f>HYPERLINK("https://cdn.shopify.com/s/files/1/0918/6066/4603/files/O1CN01Azuam0247bhgJ4cYI__2209064737344-0-cib.jpg?v=1772707651","Open")</x:f>
        <x:v>HYPERLINK is not implemented. linkLocation=https://cdn.shopify.com/s/files/1/0918/6066/4603/files/O1CN01Azuam0247bhgJ4cYI__2209064737344-0-cib.jpg?v=1772707651, friendlyName=Open</x:v>
      </x:c>
      <x:c r="C1081" s="24" t="e">
        <x:f>HYPERLINK("https://365nails.com/products/365nails-timeless-french-pedicure-short-square-press-on-toenails","365nails: ""Timeless French Pedicure"" – Short Square Press-On Toenails")</x:f>
        <x:v>HYPERLINK is not implemented. linkLocation=https://365nails.com/products/365nails-timeless-french-pedicure-short-square-press-on-toenails, friendlyName=365nails: "Timeless French Pedicure" – Short Square Press-On Toenails</x:v>
      </x:c>
      <x:c r="D1081" s="18" t="str">
        <x:v>Color: 429-(61–d-014) / 429-(359) / 429-(390-2) / 429-(442) / 429-(3391-1)</x:v>
      </x:c>
      <x:c r="E1081" s="25" t="str">
        <x:v>$0.85</x:v>
      </x:c>
      <x:c r="F1081" s="19" t="str">
        <x:v>3</x:v>
      </x:c>
    </x:row>
    <x:row r="1082" ht="93" customHeight="1">
      <x:c r="A1082" s="19" t="n">
        <x:v>1079</x:v>
      </x:c>
      <x:c r="B1082" s="22" t="e">
        <x:f>HYPERLINK("https://cdn.shopify.com/s/files/1/0918/6066/4603/files/O1CN01WtJZrt1HlX2OhZNo2__2545140798-0-cib_3ae5b0be-3f3f-46b5-afae-32e78ae62383.jpg?v=1772624730","Open")</x:f>
        <x:v>HYPERLINK is not implemented. linkLocation=https://cdn.shopify.com/s/files/1/0918/6066/4603/files/O1CN01WtJZrt1HlX2OhZNo2__2545140798-0-cib_3ae5b0be-3f3f-46b5-afae-32e78ae62383.jpg?v=1772624730, friendlyName=Open</x:v>
      </x:c>
      <x:c r="C1082" s="24" t="e">
        <x:f>HYPERLINK("https://365nails.com/products/precision-stainless-steel-anti-static-tweezers-nail-art-application-tool","Precision Stainless Steel Anti-Static Tweezers – Nail Art Application Tool")</x:f>
        <x:v>HYPERLINK is not implemented. linkLocation=https://365nails.com/products/precision-stainless-steel-anti-static-tweezers-nail-art-application-tool, friendlyName=Precision Stainless Steel Anti-Static Tweezers – Nail Art Application Tool</x:v>
      </x:c>
      <x:c r="D1082" s="18" t="str">
        <x:v>Color: Pointed tweezers</x:v>
      </x:c>
      <x:c r="E1082" s="25" t="str">
        <x:v>$0.89</x:v>
      </x:c>
      <x:c r="F1082" s="19" t="str">
        <x:v>5</x:v>
      </x:c>
    </x:row>
    <x:row r="1083" ht="93" customHeight="1">
      <x:c r="A1083" s="19" t="n">
        <x:v>1080</x:v>
      </x:c>
      <x:c r="B1083" s="22" t="e">
        <x:f>HYPERLINK("https://cdn.shopify.com/s/files/1/0918/6066/4603/files/O1CN01EamBiy2NGHuUj9hzw__4234819935-0-cib.jpg?v=1753433253","Open")</x:f>
        <x:v>HYPERLINK is not implemented. linkLocation=https://cdn.shopify.com/s/files/1/0918/6066/4603/files/O1CN01EamBiy2NGHuUj9hzw__4234819935-0-cib.jpg?v=1753433253, friendlyName=Open</x:v>
      </x:c>
      <x:c r="C1083" s="24" t="e">
        <x:f>HYPERLINK("https://365nails.com/products/classic-french-white-simple-wearing-nail-gold-glitter-nail-art-fake-nail-smudge-crack-nail-finished-product-wholesale-365nails","Classic French white simple press on nails gold glitter nail art fake nail smudge crack nail finished product wholesale｜365nails")</x:f>
        <x:v>HYPERLINK is not implemented. linkLocation=https://365nails.com/products/classic-french-white-simple-wearing-nail-gold-glitter-nail-art-fake-nail-smudge-crack-nail-finished-product-wholesale-365nails, friendlyName=Classic French white simple press on nails gold glitter nail art fake nail smudge crack nail finished product wholesale｜365nails</x:v>
      </x:c>
      <x:c r="D1083" s="18" t="str">
        <x:v>color: JP3518</x:v>
      </x:c>
      <x:c r="E1083" s="25" t="str">
        <x:v>$0.77</x:v>
      </x:c>
      <x:c r="F1083" s="19" t="str">
        <x:v>1</x:v>
      </x:c>
    </x:row>
    <x:row r="1084" ht="93" customHeight="1">
      <x:c r="A1084" s="19" t="n">
        <x:v>1081</x:v>
      </x:c>
      <x:c r="B1084" s="22" t="e">
        <x:f>HYPERLINK("https://cdn.shopify.com/s/files/1/0918/6066/4603/files/O1CN01dLfKMZ2NGHd1efMRl__4234819935-0-cib.jpg?v=1753433193","Open")</x:f>
        <x:v>HYPERLINK is not implemented. linkLocation=https://cdn.shopify.com/s/files/1/0918/6066/4603/files/O1CN01dLfKMZ2NGHd1efMRl__4234819935-0-cib.jpg?v=1753433193, friendlyName=Open</x:v>
      </x:c>
      <x:c r="C1084" s="24" t="e">
        <x:f>HYPERLINK("https://365nails.com/products/idyllic-sunflower-wear-nail-art-finished-fake-nail-nail-patch-nail-patch-press-on-nail-365nails","Idyllic Sunflower Wear Nail Art Finished Fake Nail Nail Patch Nail Patch Press on nail｜365nails")</x:f>
        <x:v>HYPERLINK is not implemented. linkLocation=https://365nails.com/products/idyllic-sunflower-wear-nail-art-finished-fake-nail-nail-patch-nail-patch-press-on-nail-365nails, friendlyName=Idyllic Sunflower Wear Nail Art Finished Fake Nail Nail Patch Nail Patch Press on nail｜365nails</x:v>
      </x:c>
      <x:c r="D1084" s="18" t="str">
        <x:v>color: JP1149</x:v>
      </x:c>
      <x:c r="E1084" s="25" t="str">
        <x:v>$0.93</x:v>
      </x:c>
      <x:c r="F1084" s="19" t="str">
        <x:v>1</x:v>
      </x:c>
    </x:row>
    <x:row r="1085" ht="93" customHeight="1">
      <x:c r="A1085" s="19" t="n">
        <x:v>1082</x:v>
      </x:c>
      <x:c r="B1085" s="22" t="e">
        <x:f>HYPERLINK("https://cdn.shopify.com/s/files/1/0918/6066/4603/files/f18438b0fa4dcebabce26d429ba2e9e4.jpg?v=1772707710","Open")</x:f>
        <x:v>HYPERLINK is not implemented. linkLocation=https://cdn.shopify.com/s/files/1/0918/6066/4603/files/f18438b0fa4dcebabce26d429ba2e9e4.jpg?v=1772707710, friendlyName=Open</x:v>
      </x:c>
      <x:c r="C1085" s="24" t="e">
        <x:f>HYPERLINK("https://365nails.com/products/365nails-playful-kids-press-on-nails-size-sorted-childrens-nail-set","365nails: ""Playful Kids' Press-On Nails"" – Size-Sorted Children's Nail Set")</x:f>
        <x:v>HYPERLINK is not implemented. linkLocation=https://365nails.com/products/365nails-playful-kids-press-on-nails-size-sorted-childrens-nail-set, friendlyName=365nails: "Playful Kids' Press-On Nails" – Size-Sorted Children's Nail Set</x:v>
      </x:c>
      <x:c r="D1085" s="18" t="str">
        <x:v>Color: Kids' nail tips xs - 100 pieces / Children's a s-100 tablets / Children's a m-100 tablets / Children's a l-100 tablets</x:v>
      </x:c>
      <x:c r="E1085" s="25" t="str">
        <x:v>$0.68</x:v>
      </x:c>
      <x:c r="F1085" s="19" t="str">
        <x:v>3</x:v>
      </x:c>
    </x:row>
    <x:row r="1086" ht="93" customHeight="1">
      <x:c r="A1086" s="19" t="n">
        <x:v>1083</x:v>
      </x:c>
      <x:c r="B1086" s="22" t="e">
        <x:f>HYPERLINK("https://cdn.shopify.com/s/files/1/0918/6066/4603/files/O1CN01QEhQlA2NGHiopiZml__4234819935-0-cib.jpg?v=1753433211","Open")</x:f>
        <x:v>HYPERLINK is not implemented. linkLocation=https://cdn.shopify.com/s/files/1/0918/6066/4603/files/O1CN01QEhQlA2NGHiopiZml__4234819935-0-cib.jpg?v=1753433211, friendlyName=Open</x:v>
      </x:c>
      <x:c r="C1086" s="24" t="e">
        <x:f>HYPERLINK("https://365nails.com/products/wear-nail-art-wholesale-valentines-day-nail-pads-naked-powder-white-love-nail-pads-finished-product-removable-advanced-365nails","Wear nail art wholesale Valentine's Day nail pads naked powder white love nail pads finished product removable advanced｜365nails")</x:f>
        <x:v>HYPERLINK is not implemented. linkLocation=https://365nails.com/products/wear-nail-art-wholesale-valentines-day-nail-pads-naked-powder-white-love-nail-pads-finished-product-removable-advanced-365nails, friendlyName=Wear nail art wholesale Valentine's Day nail pads naked powder white love nail pads finished product removable advanced｜365nails</x:v>
      </x:c>
      <x:c r="D1086" s="18" t="str">
        <x:v>color: JP2251</x:v>
      </x:c>
      <x:c r="E1086" s="25" t="str">
        <x:v>$0.70</x:v>
      </x:c>
      <x:c r="F1086" s="19" t="str">
        <x:v>1</x:v>
      </x:c>
    </x:row>
    <x:row r="1087" ht="93" customHeight="1">
      <x:c r="A1087" s="19" t="n">
        <x:v>1084</x:v>
      </x:c>
      <x:c r="B1087" s="22" t="e">
        <x:f>HYPERLINK("https://cdn.shopify.com/s/files/1/0918/6066/4603/files/O1CN01EKVSxm2NGHukvjlnf__4234819935-0-cib.jpg?v=1753431977","Open")</x:f>
        <x:v>HYPERLINK is not implemented. linkLocation=https://cdn.shopify.com/s/files/1/0918/6066/4603/files/O1CN01EKVSxm2NGHukvjlnf__4234819935-0-cib.jpg?v=1753431977, friendlyName=Open</x:v>
      </x:c>
      <x:c r="C1087" s="24" t="e">
        <x:f>HYPERLINK("https://365nails.com/products/purple-smudge-3d-love-wearing-nail-short-almond-manicure-fake-nail-butterfly-star-nails-nail-patch-365nails","Purple smudge 3D love press on nails short almond manicure fake nail butterfly star nails nail patch｜365nails")</x:f>
        <x:v>HYPERLINK is not implemented. linkLocation=https://365nails.com/products/purple-smudge-3d-love-wearing-nail-short-almond-manicure-fake-nail-butterfly-star-nails-nail-patch-365nails, friendlyName=Purple smudge 3D love press on nails short almond manicure fake nail butterfly star nails nail patch｜365nails</x:v>
      </x:c>
      <x:c r="D1087" s="18" t="str">
        <x:v>color: JP3541</x:v>
      </x:c>
      <x:c r="E1087" s="25" t="str">
        <x:v>$1.20</x:v>
      </x:c>
      <x:c r="F1087" s="19" t="str">
        <x:v>1</x:v>
      </x:c>
    </x:row>
    <x:row r="1088" ht="93" customHeight="1">
      <x:c r="A1088" s="19" t="n">
        <x:v>1085</x:v>
      </x:c>
      <x:c r="B1088" s="22" t="e">
        <x:f>HYPERLINK("https://cdn.shopify.com/s/files/1/0918/6066/4603/files/O1CN01rsk4WW2NGHcH8UQeV__4234819935-0-cib.jpg?v=1753433199","Open")</x:f>
        <x:v>HYPERLINK is not implemented. linkLocation=https://cdn.shopify.com/s/files/1/0918/6066/4603/files/O1CN01rsk4WW2NGHcH8UQeV__4234819935-0-cib.jpg?v=1753433199, friendlyName=Open</x:v>
      </x:c>
      <x:c r="C1088" s="24" t="e">
        <x:f>HYPERLINK("https://365nails.com/products/smudge-cold-dark-style-wear-nail-art-finished-fake-nail-nail-nail-patch-nail-patch-removable-nail-piece-365nails","Smudge cold dark style wear nail art finished fake nail nail nail patch nail patch removable nail piece｜365nails")</x:f>
        <x:v>HYPERLINK is not implemented. linkLocation=https://365nails.com/products/smudge-cold-dark-style-wear-nail-art-finished-fake-nail-nail-nail-patch-nail-patch-removable-nail-piece-365nails, friendlyName=Smudge cold dark style wear nail art finished fake nail nail nail patch nail patch removable nail piece｜365nails</x:v>
      </x:c>
      <x:c r="D1088" s="18" t="str">
        <x:v>color: JP1136</x:v>
      </x:c>
      <x:c r="E1088" s="25" t="str">
        <x:v>$0.70</x:v>
      </x:c>
      <x:c r="F1088" s="19" t="str">
        <x:v>1</x:v>
      </x:c>
    </x:row>
    <x:row r="1089" ht="93" customHeight="1">
      <x:c r="A1089" s="19" t="n">
        <x:v>1086</x:v>
      </x:c>
      <x:c r="B1089" s="22" t="e">
        <x:f>HYPERLINK("https://cdn.shopify.com/s/files/1/0918/6066/4603/files/O1CN01MmiXsu2NGHvYtUCST__4234819935-0-cib.jpg?v=1753429126","Open")</x:f>
        <x:v>HYPERLINK is not implemented. linkLocation=https://cdn.shopify.com/s/files/1/0918/6066/4603/files/O1CN01MmiXsu2NGHvYtUCST__4234819935-0-cib.jpg?v=1753429126, friendlyName=Open</x:v>
      </x:c>
      <x:c r="C1089" s="24" t="e">
        <x:f>HYPERLINK("https://365nails.com/products/europe-and-the-united-states-cross-border-hot-selling-spice-girls-wear-nail-graffiti-letter-wearable-nail-piece-super-long-tip-nail-art-fake-nail-wholesale-365nails","Europe and the United States  hot-selling Spice Girls wear nail graffiti letter wearable nail piece extra long tip nail art fake nail wholesale｜365nails")</x:f>
        <x:v>HYPERLINK is not implemented. linkLocation=https://365nails.com/products/europe-and-the-united-states-cross-border-hot-selling-spice-girls-wear-nail-graffiti-letter-wearable-nail-piece-super-long-tip-nail-art-fake-nail-wholesale-365nails, friendlyName=Europe and the United States  hot-selling Spice Girls wear nail graffiti letter wearable nail piece extra long tip nail art fake nail wholesale｜365nails</x:v>
      </x:c>
      <x:c r="D1089" s="18" t="str">
        <x:v>color: JP3490</x:v>
      </x:c>
      <x:c r="E1089" s="25" t="str">
        <x:v>$1.08</x:v>
      </x:c>
      <x:c r="F1089" s="19" t="str">
        <x:v>1</x:v>
      </x:c>
    </x:row>
    <x:row r="1090" ht="93" customHeight="1">
      <x:c r="A1090" s="19" t="n">
        <x:v>1087</x:v>
      </x:c>
      <x:c r="B1090" s="22" t="e">
        <x:f>HYPERLINK("https://cdn.shopify.com/s/files/1/0918/6066/4603/files/O1CN01NYRsgW2NGHuYrgHKZ__4234819935-0-cib.jpg?v=1753431973","Open")</x:f>
        <x:v>HYPERLINK is not implemented. linkLocation=https://cdn.shopify.com/s/files/1/0918/6066/4603/files/O1CN01NYRsgW2NGHuYrgHKZ__4234819935-0-cib.jpg?v=1753431973, friendlyName=Open</x:v>
      </x:c>
      <x:c r="C1090" s="24" t="e">
        <x:f>HYPERLINK("https://365nails.com/products/long-super-long-pointed-fake-nail-manicure-piece-french-blue-wearing-nail-european-and-american-red-flame-pattern-nail-piece-finished-product-365nails","Long extra long pointed fake nail manicure piece French blue wearing nail  red flame pattern nail piece finished product｜365nails")</x:f>
        <x:v>HYPERLINK is not implemented. linkLocation=https://365nails.com/products/long-super-long-pointed-fake-nail-manicure-piece-french-blue-wearing-nail-european-and-american-red-flame-pattern-nail-piece-finished-product-365nails, friendlyName=Long extra long pointed fake nail manicure piece French blue wearing nail  red flame pattern nail piece finished product｜365nails</x:v>
      </x:c>
      <x:c r="D1090" s="18" t="str">
        <x:v>color: JP3510</x:v>
      </x:c>
      <x:c r="E1090" s="25" t="str">
        <x:v>$0.91</x:v>
      </x:c>
      <x:c r="F1090" s="19" t="str">
        <x:v>1</x:v>
      </x:c>
    </x:row>
    <x:row r="1091" ht="93" customHeight="1">
      <x:c r="A1091" s="19" t="n">
        <x:v>1088</x:v>
      </x:c>
      <x:c r="B1091" s="22" t="e">
        <x:f>HYPERLINK("https://cdn.shopify.com/s/files/1/0918/6066/4603/files/O1CN01kTcMsm2NGHb3UK8Gn__4234819935-0-cib.jpg?v=1753433205","Open")</x:f>
        <x:v>HYPERLINK is not implemented. linkLocation=https://cdn.shopify.com/s/files/1/0918/6066/4603/files/O1CN01kTcMsm2NGHb3UK8Gn__4234819935-0-cib.jpg?v=1753433205, friendlyName=Open</x:v>
      </x:c>
      <x:c r="C1091" s="24" t="e">
        <x:f>HYPERLINK("https://365nails.com/products/small-broken-flowers-fresh-and-elegant-foreign-trade-wear-nail-art-products-fake-nails-nail-patches-nail-patches-cross-border-direct-supply-365nails","Small broken flowers, fresh and elegant  wear nail art products, s, es, es,  direct supply｜365nails")</x:f>
        <x:v>HYPERLINK is not implemented. linkLocation=https://365nails.com/products/small-broken-flowers-fresh-and-elegant-foreign-trade-wear-nail-art-products-fake-nails-nail-patches-nail-patches-cross-border-direct-supply-365nails, friendlyName=Small broken flowers, fresh and elegant  wear nail art products, s, es, es,  direct supply｜365nails</x:v>
      </x:c>
      <x:c r="D1091" s="18" t="str">
        <x:v>color: JP1120</x:v>
      </x:c>
      <x:c r="E1091" s="25" t="str">
        <x:v>$0.70</x:v>
      </x:c>
      <x:c r="F1091" s="19" t="str">
        <x:v>1</x:v>
      </x:c>
    </x:row>
    <x:row r="1092" ht="93" customHeight="1">
      <x:c r="A1092" s="19" t="n">
        <x:v>1089</x:v>
      </x:c>
      <x:c r="B1092" s="22" t="e">
        <x:f>HYPERLINK("https://cdn.shopify.com/s/files/1/0918/6066/4603/files/O1CN01zIeCOf2NGHuLOjaRx__4234819935-0-cib.jpg?v=1753432005","Open")</x:f>
        <x:v>HYPERLINK is not implemented. linkLocation=https://cdn.shopify.com/s/files/1/0918/6066/4603/files/O1CN01zIeCOf2NGHuLOjaRx__4234819935-0-cib.jpg?v=1753432005, friendlyName=Open</x:v>
      </x:c>
      <x:c r="C1092" s="24" t="e">
        <x:f>HYPERLINK("https://365nails.com/products/sweet-french-pink-wearing-nail-3d-pearl-manicure-fake-nail-three-dimensional-bow-nail-piece-fake-nails-365nails","Sweet French pink press on nails 3D pearl manicure fake nail three-dimensional bow nail piece fake nails｜365nails")</x:f>
        <x:v>HYPERLINK is not implemented. linkLocation=https://365nails.com/products/sweet-french-pink-wearing-nail-3d-pearl-manicure-fake-nail-three-dimensional-bow-nail-piece-fake-nails-365nails, friendlyName=Sweet French pink press on nails 3D pearl manicure fake nail three-dimensional bow nail piece fake nails｜365nails</x:v>
      </x:c>
      <x:c r="D1092" s="18" t="str">
        <x:v>Color: JP3474</x:v>
      </x:c>
      <x:c r="E1092" s="25" t="str">
        <x:v>$1.33</x:v>
      </x:c>
      <x:c r="F1092" s="19" t="str">
        <x:v>1</x:v>
      </x:c>
    </x:row>
    <x:row r="1093" ht="93" customHeight="1">
      <x:c r="A1093" s="19" t="n">
        <x:v>1090</x:v>
      </x:c>
      <x:c r="B1093" s="22" t="e">
        <x:f>HYPERLINK("https://cdn.shopify.com/s/files/1/0918/6066/4603/files/O1CN01meol4x2NGHwnNDOW7__4234819935-0-cib.jpg?v=1753432014","Open")</x:f>
        <x:v>HYPERLINK is not implemented. linkLocation=https://cdn.shopify.com/s/files/1/0918/6066/4603/files/O1CN01meol4x2NGHwnNDOW7__4234819935-0-cib.jpg?v=1753432014, friendlyName=Open</x:v>
      </x:c>
      <x:c r="C1093" s="24" t="e">
        <x:f>HYPERLINK("https://365nails.com/products/3d-three-dimensional-bow-wearing-nail-removable-french-manicure-cute-cherry-nail-piece-short-almond-nail-piece-365nails","3D three-dimensional bow press on nails removable French manicure cute cherry nail piece short almond nail piece｜365nails")</x:f>
        <x:v>HYPERLINK is not implemented. linkLocation=https://365nails.com/products/3d-three-dimensional-bow-wearing-nail-removable-french-manicure-cute-cherry-nail-piece-short-almond-nail-piece-365nails, friendlyName=3D three-dimensional bow press on nails removable French manicure cute cherry nail piece short almond nail piece｜365nails</x:v>
      </x:c>
      <x:c r="D1093" s="18" t="str">
        <x:v>color: JP3605</x:v>
      </x:c>
      <x:c r="E1093" s="25" t="str">
        <x:v>$0.91</x:v>
      </x:c>
      <x:c r="F1093" s="19" t="str">
        <x:v>1</x:v>
      </x:c>
    </x:row>
    <x:row r="1094" ht="93" customHeight="1">
      <x:c r="A1094" s="19" t="n">
        <x:v>1091</x:v>
      </x:c>
      <x:c r="B1094" s="22" t="e">
        <x:f>HYPERLINK("https://cdn.shopify.com/s/files/1/0918/6066/4603/files/O1CN01z0thNG1rlpY4IuqHb__2215158925672-0-cib.jpg?v=1754446791","Open")</x:f>
        <x:v>HYPERLINK is not implemented. linkLocation=https://cdn.shopify.com/s/files/1/0918/6066/4603/files/O1CN01z0thNG1rlpY4IuqHb__2215158925672-0-cib.jpg?v=1754446791, friendlyName=Open</x:v>
      </x:c>
      <x:c r="C1094" s="24" t="e">
        <x:f>HYPERLINK("https://365nails.com/products/duck-bill-nail-ice-transparent-french-three-dimensional-blue-flower-hand-painted-nail-patch-personalized-wearing-nail-pure-handmade-365nails","Aqua Blossom Dream Duckbill Press-On Nails")</x:f>
        <x:v>HYPERLINK is not implemented. linkLocation=https://365nails.com/products/duck-bill-nail-ice-transparent-french-three-dimensional-blue-flower-hand-painted-nail-patch-personalized-wearing-nail-pure-handmade-365nails, friendlyName=Aqua Blossom Dream Duckbill Press-On Nails</x:v>
      </x:c>
      <x:c r="D1094" s="18" t="str">
        <x:v>SIZE: S / M / L</x:v>
      </x:c>
      <x:c r="E1094" s="25" t="str">
        <x:v>$4.49</x:v>
      </x:c>
      <x:c r="F1094" s="19" t="str">
        <x:v>30</x:v>
      </x:c>
    </x:row>
    <x:row r="1095" ht="93" customHeight="1">
      <x:c r="A1095" s="19" t="n">
        <x:v>1092</x:v>
      </x:c>
      <x:c r="B1095" s="22" t="e">
        <x:f>HYPERLINK("https://cdn.shopify.com/s/files/1/0918/6066/4603/files/O1CN01WaYB1s2NGHyHIiB7y__4234819935-0-cib.jpg?v=1753433276","Open")</x:f>
        <x:v>HYPERLINK is not implemented. linkLocation=https://cdn.shopify.com/s/files/1/0918/6066/4603/files/O1CN01WaYB1s2NGHyHIiB7y__4234819935-0-cib.jpg?v=1753433276, friendlyName=Open</x:v>
      </x:c>
      <x:c r="C1095" s="24" t="e">
        <x:f>HYPERLINK("https://365nails.com/products/simple-french-short-square-nail-art-cross-border-hot-selling-wearing-nail-fake-nail-press-on-nails-nail-wholesale-365nails","Simple French short square nail art  hot-selling wearing nail fake nail press on nails nail wholesale｜365nails")</x:f>
        <x:v>HYPERLINK is not implemented. linkLocation=https://365nails.com/products/simple-french-short-square-nail-art-cross-border-hot-selling-wearing-nail-fake-nail-press-on-nails-nail-wholesale-365nails, friendlyName=Simple French short square nail art  hot-selling wearing nail fake nail press on nails nail wholesale｜365nails</x:v>
      </x:c>
      <x:c r="D1095" s="18" t="str">
        <x:v>color: JP3956</x:v>
      </x:c>
      <x:c r="E1095" s="25" t="str">
        <x:v>$0.68</x:v>
      </x:c>
      <x:c r="F1095" s="19" t="str">
        <x:v>1</x:v>
      </x:c>
    </x:row>
    <x:row r="1096" ht="93" customHeight="1">
      <x:c r="A1096" s="19" t="n">
        <x:v>1093</x:v>
      </x:c>
      <x:c r="B1096" s="22" t="e">
        <x:f>HYPERLINK("https://cdn.shopify.com/s/files/1/0918/6066/4603/files/O1CN01YTrZ6d247bXU8wxhd__2209064737344-0-cib_b79bb6ae-ae59-48d8-9913-58d681274d18.jpg?v=1772707714","Open")</x:f>
        <x:v>HYPERLINK is not implemented. linkLocation=https://cdn.shopify.com/s/files/1/0918/6066/4603/files/O1CN01YTrZ6d247bXU8wxhd__2209064737344-0-cib_b79bb6ae-ae59-48d8-9913-58d681274d18.jpg?v=1772707714, friendlyName=Open</x:v>
      </x:c>
      <x:c r="C1096" s="24" t="e">
        <x:f>HYPERLINK("https://365nails.com/products/365nails-seamless-nude-nail-tips-no-file-press-on-nail-extensions","365nails: ""Seamless Nude Nail Tips"" – No-File Press-On Nail Extensions")</x:f>
        <x:v>HYPERLINK is not implemented. linkLocation=https://365nails.com/products/365nails-seamless-nude-nail-tips-no-file-press-on-nail-extensions, friendlyName=365nails: "Seamless Nude Nail Tips" – No-File Press-On Nail Extensions</x:v>
      </x:c>
      <x:c r="D1096" s="18" t="str">
        <x:v>Color: 192-medium long ladder-light pink-240 pieces box / 193-short trapezoid-light pink-240 pieces box / 194-almond a-light pink-240 tablets box / 196-medium square-light pink-240 pieces box / 192 - medium-long ladder - white - 240 pieces/box / 193 - short trapezoid - white - 240 piece box / 194-almond a-white-240 pieces box / 196-medium square-white-240 piece box / 192-medium long ladder-apricot color-240 pieces box / 193-short trapezoid-apricot-240 pieces box / 194-almond a- apricot-240 pieces box / 196-medium square-apricot-240 pieces box / 192 medium ladder skin color-240 tablets box / 193 short ladder skin tone new 1-240 pieces boxed / 193 short ladder skin tone new 2 - 240 pieces box / 193 short ladder skin tone - 240 pieces box / 193 short ladder transparent black-240 pieces in box / 194 almond skin color-240 tablets box</x:v>
      </x:c>
      <x:c r="E1096" s="25" t="str">
        <x:v>$1.68</x:v>
      </x:c>
      <x:c r="F1096" s="19" t="str">
        <x:v>3</x:v>
      </x:c>
    </x:row>
    <x:row r="1097" ht="93" customHeight="1">
      <x:c r="A1097" s="19" t="n">
        <x:v>1094</x:v>
      </x:c>
      <x:c r="B1097" s="22" t="e">
        <x:f>HYPERLINK("https://cdn.shopify.com/s/files/1/0918/6066/4603/files/O1CN01x0UwFA1rlpUCvFVbK__2215158925672-0-cib.jpg?v=1754446776","Open")</x:f>
        <x:v>HYPERLINK is not implemented. linkLocation=https://cdn.shopify.com/s/files/1/0918/6066/4603/files/O1CN01x0UwFA1rlpUCvFVbK__2215158925672-0-cib.jpg?v=1754446776, friendlyName=Open</x:v>
      </x:c>
      <x:c r="C1097" s="24" t="e">
        <x:f>HYPERLINK("https://365nails.com/products/handmade-press-on-nails-3d-three-dimensional-carving-sexy-leopard-print-blush-nail-spice-girls-almond-nail-365nails","Tropical Blossom Leopard Press-On Nails")</x:f>
        <x:v>HYPERLINK is not implemented. linkLocation=https://365nails.com/products/handmade-press-on-nails-3d-three-dimensional-carving-sexy-leopard-print-blush-nail-spice-girls-almond-nail-365nails, friendlyName=Tropical Blossom Leopard Press-On Nails</x:v>
      </x:c>
      <x:c r="D1097" s="18" t="str">
        <x:v>SIZE: XS / S / M / L</x:v>
      </x:c>
      <x:c r="E1097" s="25" t="str">
        <x:v>$4.49</x:v>
      </x:c>
      <x:c r="F1097" s="19" t="str">
        <x:v>30</x:v>
      </x:c>
    </x:row>
    <x:row r="1098" ht="93" customHeight="1">
      <x:c r="A1098" s="19" t="n">
        <x:v>1095</x:v>
      </x:c>
      <x:c r="B1098" s="22" t="e">
        <x:f>HYPERLINK("https://cdn.shopify.com/s/files/1/0918/6066/4603/files/O1CN01cHnYjz2NGHogZTNui__4234819935-0-cib.jpg?v=1753433255","Open")</x:f>
        <x:v>HYPERLINK is not implemented. linkLocation=https://cdn.shopify.com/s/files/1/0918/6066/4603/files/O1CN01cHnYjz2NGHogZTNui__4234819935-0-cib.jpg?v=1753433255, friendlyName=Open</x:v>
      </x:c>
      <x:c r="C1098" s="24" t="e">
        <x:f>HYPERLINK("https://365nails.com/products/valentines-day-pink-three-dimensional-love-pearl-wearing-nail-piece-long-french-strawberry-nail-piece-finished-product-wholesale-365nails","Valentine's Day pink three-dimensional love pearl  long French strawberry nail piece finished product wholesale｜365nails")</x:f>
        <x:v>HYPERLINK is not implemented. linkLocation=https://365nails.com/products/valentines-day-pink-three-dimensional-love-pearl-wearing-nail-piece-long-french-strawberry-nail-piece-finished-product-wholesale-365nails, friendlyName=Valentine's Day pink three-dimensional love pearl  long French strawberry nail piece finished product wholesale｜365nails</x:v>
      </x:c>
      <x:c r="D1098" s="18" t="str">
        <x:v>Color: JP3054</x:v>
      </x:c>
      <x:c r="E1098" s="25" t="str">
        <x:v>$1.33</x:v>
      </x:c>
      <x:c r="F1098" s="19" t="str">
        <x:v>1</x:v>
      </x:c>
    </x:row>
    <x:row r="1099" ht="93" customHeight="1">
      <x:c r="A1099" s="19" t="n">
        <x:v>1096</x:v>
      </x:c>
      <x:c r="B1099" s="22" t="e">
        <x:f>HYPERLINK("https://cdn.shopify.com/s/files/1/0918/6066/4603/files/O1CN01qw5lFI2NGHulVvDc6__4234819935-0-cib.jpg?v=1753429141","Open")</x:f>
        <x:v>HYPERLINK is not implemented. linkLocation=https://cdn.shopify.com/s/files/1/0918/6066/4603/files/O1CN01qw5lFI2NGHulVvDc6__4234819935-0-cib.jpg?v=1753429141, friendlyName=Open</x:v>
      </x:c>
      <x:c r="C1099" s="24" t="e">
        <x:f>HYPERLINK("https://365nails.com/products/nude-manicure-fake-nails-white-small-love-wearable-nail-piece-xiaohongshu-simple-wearable-nail-mini-nail-piece-365nails","Nude manicure fake nails white small love wearable nail piece  simple wearable nail mini nail piece｜365nails")</x:f>
        <x:v>HYPERLINK is not implemented. linkLocation=https://365nails.com/products/nude-manicure-fake-nails-white-small-love-wearable-nail-piece-xiaohongshu-simple-wearable-nail-mini-nail-piece-365nails, friendlyName=Nude manicure fake nails white small love wearable nail piece  simple wearable nail mini nail piece｜365nails</x:v>
      </x:c>
      <x:c r="D1099" s="18" t="str">
        <x:v>color: JP3549</x:v>
      </x:c>
      <x:c r="E1099" s="25" t="str">
        <x:v>$0.70</x:v>
      </x:c>
      <x:c r="F1099" s="19" t="str">
        <x:v>1</x:v>
      </x:c>
    </x:row>
    <x:row r="1100" ht="93" customHeight="1">
      <x:c r="A1100" s="19" t="n">
        <x:v>1097</x:v>
      </x:c>
      <x:c r="B1100" s="22" t="e">
        <x:f>HYPERLINK("https://cdn.shopify.com/s/files/1/0918/6066/4603/files/O1CN014aU7sx2NGHsZPpy7e__4234819935-0-cib.jpg?v=1753433247","Open")</x:f>
        <x:v>HYPERLINK is not implemented. linkLocation=https://cdn.shopify.com/s/files/1/0918/6066/4603/files/O1CN014aU7sx2NGHsZPpy7e__4234819935-0-cib.jpg?v=1753433247, friendlyName=Open</x:v>
      </x:c>
      <x:c r="C1100" s="24" t="e">
        <x:f>HYPERLINK("https://365nails.com/products/french-toenails-wear-nail-point-drill-butterfly-toenail-nail-piece-flash-diamond-burst-flash-foot-manicure-short-toenail-365nails","French toenails wear nail point drill butterfly toenail nail piece flash diamond burst flash foot manicure short toenail｜365nails")</x:f>
        <x:v>HYPERLINK is not implemented. linkLocation=https://365nails.com/products/french-toenails-wear-nail-point-drill-butterfly-toenail-nail-piece-flash-diamond-burst-flash-foot-manicure-short-toenail-365nails, friendlyName=French toenails wear nail point drill butterfly toenail nail piece flash diamond burst flash foot manicure short toenail｜365nails</x:v>
      </x:c>
      <x:c r="D1100" s="18" t="str">
        <x:v>Color: JP3348</x:v>
      </x:c>
      <x:c r="E1100" s="25" t="str">
        <x:v>$1.54</x:v>
      </x:c>
      <x:c r="F1100" s="19" t="str">
        <x:v>1</x:v>
      </x:c>
    </x:row>
    <x:row r="1101" ht="93" customHeight="1">
      <x:c r="A1101" s="19" t="n">
        <x:v>1098</x:v>
      </x:c>
      <x:c r="B1101" s="22" t="e">
        <x:f>HYPERLINK("https://cdn.shopify.com/s/files/1/0918/6066/4603/files/O1CN01gwQmKJ2NGHuXc6Ufr__4234819935-0-cib.jpg?v=1753433243","Open")</x:f>
        <x:v>HYPERLINK is not implemented. linkLocation=https://cdn.shopify.com/s/files/1/0918/6066/4603/files/O1CN01gwQmKJ2NGHuXc6Ufr__4234819935-0-cib.jpg?v=1753433243, friendlyName=Open</x:v>
      </x:c>
      <x:c r="C1101" s="24" t="e">
        <x:f>HYPERLINK("https://365nails.com/products/french-sweet-cat-wearing-nail-art-short-square-fake-nails-european-and-american-foreign-trade-fake-nails-nail-film-365nails","French sweet cat wearing nail art short square s   s nail film｜365nails")</x:f>
        <x:v>HYPERLINK is not implemented. linkLocation=https://365nails.com/products/french-sweet-cat-wearing-nail-art-short-square-fake-nails-european-and-american-foreign-trade-fake-nails-nail-film-365nails, friendlyName=French sweet cat wearing nail art short square s   s nail film｜365nails</x:v>
      </x:c>
      <x:c r="D1101" s="18" t="str">
        <x:v>color: JP3519</x:v>
      </x:c>
      <x:c r="E1101" s="25" t="str">
        <x:v>$0.94</x:v>
      </x:c>
      <x:c r="F1101" s="19" t="str">
        <x:v>1</x:v>
      </x:c>
    </x:row>
    <x:row r="1102" ht="93" customHeight="1">
      <x:c r="A1102" s="19" t="n">
        <x:v>1099</x:v>
      </x:c>
      <x:c r="B1102" s="22" t="e">
        <x:f>HYPERLINK("https://cdn.shopify.com/s/files/1/0918/6066/4603/files/O1CN010fPEvb2NGHtWeVVW4__4234819935-0-cib.jpg?v=1753433241","Open")</x:f>
        <x:v>HYPERLINK is not implemented. linkLocation=https://cdn.shopify.com/s/files/1/0918/6066/4603/files/O1CN010fPEvb2NGHtWeVVW4__4234819935-0-cib.jpg?v=1753433241, friendlyName=Open</x:v>
      </x:c>
      <x:c r="C1102" s="24" t="e">
        <x:f>HYPERLINK("https://365nails.com/products/french-cute-girl-powder-manicure-three-dimensional-flower-wearing-nail-tulip-ribbon-fake-nail-nail-piece-finished-product-wholesale-365nails","French cute girl powder manicure three-dimensional flower press on nails tulip ribbon fake nail nail piece finished product wholesale｜365nails")</x:f>
        <x:v>HYPERLINK is not implemented. linkLocation=https://365nails.com/products/french-cute-girl-powder-manicure-three-dimensional-flower-wearing-nail-tulip-ribbon-fake-nail-nail-piece-finished-product-wholesale-365nails, friendlyName=French cute girl powder manicure three-dimensional flower press on nails tulip ribbon fake nail nail piece finished product wholesale｜365nails</x:v>
      </x:c>
      <x:c r="D1102" s="18" t="str">
        <x:v>Color: JP3405</x:v>
      </x:c>
      <x:c r="E1102" s="25" t="str">
        <x:v>$1.90</x:v>
      </x:c>
      <x:c r="F1102" s="19" t="str">
        <x:v>1</x:v>
      </x:c>
    </x:row>
    <x:row r="1103" ht="93" customHeight="1">
      <x:c r="A1103" s="19" t="n">
        <x:v>1100</x:v>
      </x:c>
      <x:c r="B1103" s="22" t="e">
        <x:f>HYPERLINK("https://cdn.shopify.com/s/files/1/0918/6066/4603/files/O1CN01Dkw8Rm2NGHvTgKkhg__4234819935-0-cib.jpg?v=1753429148","Open")</x:f>
        <x:v>HYPERLINK is not implemented. linkLocation=https://cdn.shopify.com/s/files/1/0918/6066/4603/files/O1CN01Dkw8Rm2NGHvTgKkhg__4234819935-0-cib.jpg?v=1753429148, friendlyName=Open</x:v>
      </x:c>
      <x:c r="C1103" s="24" t="e">
        <x:f>HYPERLINK("https://365nails.com/products/point-diamond-metal-three-dimensional-rose-almond-wearing-nail-european-and-american-french-smudge-spice-girl-cross-nail-art-fake-nails-365nails","Point diamond metal three-dimensional rose almond wearing nail  French smudge Spice Girl cross nail art fake nails｜365nails")</x:f>
        <x:v>HYPERLINK is not implemented. linkLocation=https://365nails.com/products/point-diamond-metal-three-dimensional-rose-almond-wearing-nail-european-and-american-french-smudge-spice-girl-cross-nail-art-fake-nails-365nails, friendlyName=Point diamond metal three-dimensional rose almond wearing nail  French smudge Spice Girl cross nail art fake nails｜365nails</x:v>
      </x:c>
      <x:c r="D1103" s="18" t="str">
        <x:v>color: JP3563</x:v>
      </x:c>
      <x:c r="E1103" s="25" t="str">
        <x:v>$1.37</x:v>
      </x:c>
      <x:c r="F1103" s="19" t="str">
        <x:v>1</x:v>
      </x:c>
    </x:row>
    <x:row r="1104" ht="93" customHeight="1">
      <x:c r="A1104" s="19" t="n">
        <x:v>1101</x:v>
      </x:c>
      <x:c r="B1104" s="22" t="e">
        <x:f>HYPERLINK("https://cdn.shopify.com/s/files/1/0918/6066/4603/files/O1CN01nevPXA1CPwQZkp8MU__2213196780074-0-cib.jpg?v=1772373398","Open")</x:f>
        <x:v>HYPERLINK is not implemented. linkLocation=https://cdn.shopify.com/s/files/1/0918/6066/4603/files/O1CN01nevPXA1CPwQZkp8MU__2213196780074-0-cib.jpg?v=1772373398, friendlyName=Open</x:v>
      </x:c>
      <x:c r="C1104" s="24" t="e">
        <x:f>HYPERLINK("https://365nails.com/products/sunset-glow-collection-coral-dusk-medium-almond-press-on-nails","Sunset Glow Collection: ""Coral Dusk"" – Medium Almond Press-On Nails")</x:f>
        <x:v>HYPERLINK is not implemented. linkLocation=https://365nails.com/products/sunset-glow-collection-coral-dusk-medium-almond-press-on-nails, friendlyName=Sunset Glow Collection: "Coral Dusk" – Medium Almond Press-On Nails</x:v>
      </x:c>
      <x:c r="D1104" s="18" t="str">
        <x:v>Color: 3476-medium ellipse; Color classification: Extra small xs / Small s / Medium m / Large l</x:v>
      </x:c>
      <x:c r="E1104" s="25" t="str">
        <x:v>$2.93</x:v>
      </x:c>
      <x:c r="F1104" s="19" t="str">
        <x:v>1</x:v>
      </x:c>
    </x:row>
    <x:row r="1105" ht="93" customHeight="1">
      <x:c r="A1105" s="19" t="n">
        <x:v>1102</x:v>
      </x:c>
      <x:c r="B1105" s="22" t="e">
        <x:f>HYPERLINK("https://cdn.shopify.com/s/files/1/0918/6066/4603/files/O1CN01wlTxLE1rlpXizhlJL__2215158925672-0-cib.jpg?v=1754447215","Open")</x:f>
        <x:v>HYPERLINK is not implemented. linkLocation=https://cdn.shopify.com/s/files/1/0918/6066/4603/files/O1CN01wlTxLE1rlpXizhlJL__2215158925672-0-cib.jpg?v=1754447215, friendlyName=Open</x:v>
      </x:c>
      <x:c r="C1105" s="24" t="e">
        <x:f>HYPERLINK("https://365nails.com/products/sweet-and-gentle-wind-three-dimensional-carved-long-nail-patch-ice-transparent-french-pure-desire-handmade-press-on-nails-365nails","Floral Crystal French Long Press-On Nails")</x:f>
        <x:v>HYPERLINK is not implemented. linkLocation=https://365nails.com/products/sweet-and-gentle-wind-three-dimensional-carved-long-nail-patch-ice-transparent-french-pure-desire-handmade-press-on-nails-365nails, friendlyName=Floral Crystal French Long Press-On Nails</x:v>
      </x:c>
      <x:c r="D1105" s="18" t="str">
        <x:v>size: S / M / L</x:v>
      </x:c>
      <x:c r="E1105" s="25" t="str">
        <x:v>$3.49</x:v>
      </x:c>
      <x:c r="F1105" s="19" t="str">
        <x:v>30</x:v>
      </x:c>
    </x:row>
    <x:row r="1106" ht="93" customHeight="1">
      <x:c r="A1106" s="19" t="n">
        <x:v>1103</x:v>
      </x:c>
      <x:c r="B1106" s="22" t="e">
        <x:f>HYPERLINK("https://cdn.shopify.com/s/files/1/0918/6066/4603/files/O1CN013XhWBu1bAhe4R4vkp__2216807853425-0-cib.jpg?v=1772373442","Open")</x:f>
        <x:v>HYPERLINK is not implemented. linkLocation=https://cdn.shopify.com/s/files/1/0918/6066/4603/files/O1CN013XhWBu1bAhe4R4vkp__2216807853425-0-cib.jpg?v=1772373442, friendlyName=Open</x:v>
      </x:c>
      <x:c r="C1106" s="24" t="e">
        <x:f>HYPERLINK("https://365nails.com/products/kitty-collection-hello-kitty-french-short-square-press-on-nails","Kitty Collection: ""Hello Kitty French"" – Short Square Press-On Nails")</x:f>
        <x:v>HYPERLINK is not implemented. linkLocation=https://365nails.com/products/kitty-collection-hello-kitty-french-short-square-press-on-nails, friendlyName=Kitty Collection: "Hello Kitty French" – Short Square Press-On Nails</x:v>
      </x:c>
      <x:c r="D1106" s="18" t="str">
        <x:v>Color: Cat little red / Miu girl / Pianpian [short ladder style] / Pianpian [short ballet style] / Red fragrance / Gray space / Cat pink; Color classification: 30 pieces (xs+s+m) one piece</x:v>
      </x:c>
      <x:c r="E1106" s="25" t="str">
        <x:v>$1.16–$1.46</x:v>
      </x:c>
      <x:c r="F1106" s="19" t="str">
        <x:v>1</x:v>
      </x:c>
    </x:row>
    <x:row r="1107" ht="93" customHeight="1">
      <x:c r="A1107" s="19" t="n">
        <x:v>1104</x:v>
      </x:c>
      <x:c r="B1107" s="22" t="e">
        <x:f>HYPERLINK("https://cdn.shopify.com/s/files/1/0918/6066/4603/files/O1CN01A64pYL2NGI29wwjkS__4234819935-0-cib.jpg?v=1772094503","Open")</x:f>
        <x:v>HYPERLINK is not implemented. linkLocation=https://cdn.shopify.com/s/files/1/0918/6066/4603/files/O1CN01A64pYL2NGI29wwjkS__4234819935-0-cib.jpg?v=1772094503, friendlyName=Open</x:v>
      </x:c>
      <x:c r="C1107" s="24" t="e">
        <x:f>HYPERLINK("https://365nails.com/products/vintage-polka-sweetheart-24-piece-ready-to-wear-set","""Vintage Polka Sweetheart"" – Glitter Pink Base &amp; White Polka Dot Lace French Square Press-On Nails (24 Pcs)")</x:f>
        <x:v>HYPERLINK is not implemented. linkLocation=https://365nails.com/products/vintage-polka-sweetheart-24-piece-ready-to-wear-set, friendlyName="Vintage Polka Sweetheart" – Glitter Pink Base &amp; White Polka Dot Lace French Square Press-On Nails (24 Pcs)</x:v>
      </x:c>
      <x:c r="D1107" s="18" t="str">
        <x:v>Color: Jp 4293</x:v>
      </x:c>
      <x:c r="E1107" s="25" t="str">
        <x:v>$1.22</x:v>
      </x:c>
      <x:c r="F1107" s="19" t="str">
        <x:v>1</x:v>
      </x:c>
    </x:row>
    <x:row r="1108" ht="93" customHeight="1">
      <x:c r="A1108" s="19" t="n">
        <x:v>1105</x:v>
      </x:c>
      <x:c r="B1108" s="22" t="e">
        <x:f>HYPERLINK("https://cdn.shopify.com/s/files/1/0918/6066/4603/files/21243324988_2037667256.jpg?v=1753433291","Open")</x:f>
        <x:v>HYPERLINK is not implemented. linkLocation=https://cdn.shopify.com/s/files/1/0918/6066/4603/files/21243324988_2037667256.jpg?v=1753433291, friendlyName=Open</x:v>
      </x:c>
      <x:c r="C1108" s="24" t="e">
        <x:f>HYPERLINK("https://365nails.com/products/lotus-root-powder-gradual-change-silver-edge-french-wearing-nail-finished-fake-nail-manicure-patch-nail-patch-waterproof-removable-365nails","Lotus root powder gradual change silver edge French press on nails finished fake nail manicure patch nail patch waterproof removable｜365nails")</x:f>
        <x:v>HYPERLINK is not implemented. linkLocation=https://365nails.com/products/lotus-root-powder-gradual-change-silver-edge-french-wearing-nail-finished-fake-nail-manicure-patch-nail-patch-waterproof-removable-365nails, friendlyName=Lotus root powder gradual change silver edge French press on nails finished fake nail manicure patch nail patch waterproof removable｜365nails</x:v>
      </x:c>
      <x:c r="D1108" s="18" t="str">
        <x:v>color: JP916</x:v>
      </x:c>
      <x:c r="E1108" s="25" t="str">
        <x:v>$0.70</x:v>
      </x:c>
      <x:c r="F1108" s="19" t="str">
        <x:v>1</x:v>
      </x:c>
    </x:row>
    <x:row r="1109" ht="93" customHeight="1">
      <x:c r="A1109" s="19" t="n">
        <x:v>1106</x:v>
      </x:c>
      <x:c r="B1109" s="22" t="e">
        <x:f>HYPERLINK("https://cdn.shopify.com/s/files/1/0918/6066/4603/files/O1CN012je1Cs2NGHimMhkFO__4234819935-0-cib.jpg?v=1753432038","Open")</x:f>
        <x:v>HYPERLINK is not implemented. linkLocation=https://cdn.shopify.com/s/files/1/0918/6066/4603/files/O1CN012je1Cs2NGHimMhkFO__4234819935-0-cib.jpg?v=1753432038, friendlyName=Open</x:v>
      </x:c>
      <x:c r="C1109" s="24" t="e">
        <x:f>HYPERLINK("https://365nails.com/products/wearing-nail-wholesale-solid-color-short-ballet-nail-matte-fake-nail-wholesale-nail-art-wearing-nail-wholesale-365nails","Press-on nails wholesale Solid color short ballet nail matte fake nail wholesale Nail art Press-on nails wholesale｜365nails")</x:f>
        <x:v>HYPERLINK is not implemented. linkLocation=https://365nails.com/products/wearing-nail-wholesale-solid-color-short-ballet-nail-matte-fake-nail-wholesale-nail-art-wearing-nail-wholesale-365nails, friendlyName=Press-on nails wholesale Solid color short ballet nail matte fake nail wholesale Nail art Press-on nails wholesale｜365nails</x:v>
      </x:c>
      <x:c r="D1109" s="18" t="str">
        <x:v>color: JP2227 / JP2228 / JP2229 / JP2230 / JP2231 / JP2232 / JP2234</x:v>
      </x:c>
      <x:c r="E1109" s="25" t="str">
        <x:v>$0.70</x:v>
      </x:c>
      <x:c r="F1109" s="19" t="str">
        <x:v>1</x:v>
      </x:c>
    </x:row>
    <x:row r="1110" ht="93" customHeight="1">
      <x:c r="A1110" s="19" t="n">
        <x:v>1107</x:v>
      </x:c>
      <x:c r="B1110" s="22" t="e">
        <x:f>HYPERLINK("https://cdn.shopify.com/s/files/1/0918/6066/4603/files/O1CN01tdnva41rlpIIZU033__2215158925672-0-cib_46fcfcd0-bf04-4eb0-bef1-f1057a740def.jpg?v=1772510339","Open")</x:f>
        <x:v>HYPERLINK is not implemented. linkLocation=https://cdn.shopify.com/s/files/1/0918/6066/4603/files/O1CN01tdnva41rlpIIZU033__2215158925672-0-cib_46fcfcd0-bf04-4eb0-bef1-f1057a740def.jpg?v=1772510339, friendlyName=Open</x:v>
      </x:c>
      <x:c r="C1110" s="24" t="e">
        <x:f>HYPERLINK("https://365nails.com/products/365nails-valentine-crimson-amour-medium-square-heart-pattern-press-on-nails-24pcs","365nails Valentine: ""Crimson Amour"" – Medium Square Heart Pattern Press On Nails")</x:f>
        <x:v>HYPERLINK is not implemented. linkLocation=https://365nails.com/products/365nails-valentine-crimson-amour-medium-square-heart-pattern-press-on-nails-24pcs, friendlyName=365nails Valentine: "Crimson Amour" – Medium Square Heart Pattern Press On Nails</x:v>
      </x:c>
      <x:c r="D1110" s="18" t="str">
        <x:v>Color: Short square circle; Color classification: X s / S / M / L</x:v>
      </x:c>
      <x:c r="E1110" s="25" t="str">
        <x:v>$3.49</x:v>
      </x:c>
      <x:c r="F1110" s="19" t="str">
        <x:v>5</x:v>
      </x:c>
    </x:row>
    <x:row r="1111" ht="93" customHeight="1">
      <x:c r="A1111" s="19" t="n">
        <x:v>1108</x:v>
      </x:c>
      <x:c r="B1111" s="22" t="e">
        <x:f>HYPERLINK("https://cdn.shopify.com/s/files/1/0918/6066/4603/files/O1CN016WoOEm1rlpWtWuc2e__2215158925672-0-cib.jpg?v=1754446919","Open")</x:f>
        <x:v>HYPERLINK is not implemented. linkLocation=https://cdn.shopify.com/s/files/1/0918/6066/4603/files/O1CN016WoOEm1rlpWtWuc2e__2215158925672-0-cib.jpg?v=1754446919, friendlyName=Open</x:v>
      </x:c>
      <x:c r="C1111" s="24" t="e">
        <x:f>HYPERLINK("https://365nails.com/products/simple-small-fresh-short-nail-art-solid-color-gradual-change-wearing-nail-pure-handmade-factory-wholesale-365nails","Pearl Blush Short Almond Press-On Nails")</x:f>
        <x:v>HYPERLINK is not implemented. linkLocation=https://365nails.com/products/simple-small-fresh-short-nail-art-solid-color-gradual-change-wearing-nail-pure-handmade-factory-wholesale-365nails, friendlyName=Pearl Blush Short Almond Press-On Nails</x:v>
      </x:c>
      <x:c r="D1111" s="18" t="str">
        <x:v>size: S / M / L</x:v>
      </x:c>
      <x:c r="E1111" s="25" t="str">
        <x:v>$2.49</x:v>
      </x:c>
      <x:c r="F1111" s="19" t="str">
        <x:v>30</x:v>
      </x:c>
    </x:row>
    <x:row r="1112" ht="93" customHeight="1">
      <x:c r="A1112" s="19" t="n">
        <x:v>1109</x:v>
      </x:c>
      <x:c r="B1112" s="22" t="e">
        <x:f>HYPERLINK("https://cdn.shopify.com/s/files/1/0918/6066/4603/files/18068221917_2037667256.jpg?v=1753429160","Open")</x:f>
        <x:v>HYPERLINK is not implemented. linkLocation=https://cdn.shopify.com/s/files/1/0918/6066/4603/files/18068221917_2037667256.jpg?v=1753429160, friendlyName=Open</x:v>
      </x:c>
      <x:c r="C1112" s="24" t="e">
        <x:f>HYPERLINK("https://365nails.com/products/naked-pink-short-ballet-wearing-nail-finished-fake-nail-manicure-patch-nail-piece-nail-polish-glue-seal-live-stream-supply-365nails","Naked pink short ballet press on nails finished fake nail manicure patch nail piece nail polish glue seal live stream supply｜365nails")</x:f>
        <x:v>HYPERLINK is not implemented. linkLocation=https://365nails.com/products/naked-pink-short-ballet-wearing-nail-finished-fake-nail-manicure-patch-nail-piece-nail-polish-glue-seal-live-stream-supply-365nails, friendlyName=Naked pink short ballet press on nails finished fake nail manicure patch nail piece nail polish glue seal live stream supply｜365nails</x:v>
      </x:c>
      <x:c r="D1112" s="18" t="str">
        <x:v>color: JP779</x:v>
      </x:c>
      <x:c r="E1112" s="25" t="str">
        <x:v>$1.08</x:v>
      </x:c>
      <x:c r="F1112" s="19" t="str">
        <x:v>1</x:v>
      </x:c>
    </x:row>
    <x:row r="1113" ht="93" customHeight="1">
      <x:c r="A1113" s="19" t="n">
        <x:v>1110</x:v>
      </x:c>
      <x:c r="B1113" s="22" t="e">
        <x:f>HYPERLINK("https://cdn.shopify.com/s/files/1/0918/6066/4603/files/1_dcdc1635-5c61-4841-a30b-731ba4b910a9.png?v=1761829826","Open")</x:f>
        <x:v>HYPERLINK is not implemented. linkLocation=https://cdn.shopify.com/s/files/1/0918/6066/4603/files/1_dcdc1635-5c61-4841-a30b-731ba4b910a9.png?v=1761829826, friendlyName=Open</x:v>
      </x:c>
      <x:c r="C1113" s="24" t="e">
        <x:f>HYPERLINK("https://365nails.com/products/nail-tips-nail-pads-are-transparent-and-semi-matte-fully-pasted-ultra-thin-and-non-marking-extended-and-240-full-size-fake-nails-are-free-of-engraving-and-grinding","Nail Tips Nail pads are transparent and semi-matte, fully pasted, ultra-thin and non-marking (MOQ=3)")</x:f>
        <x:v>HYPERLINK is not implemented. linkLocation=https://365nails.com/products/nail-tips-nail-pads-are-transparent-and-semi-matte-fully-pasted-ultra-thin-and-non-marking-extended-and-240-full-size-fake-nails-are-free-of-engraving-and-grinding, friendlyName=Nail Tips Nail pads are transparent and semi-matte, fully pasted, ultra-thin and non-marking (MOQ=3)</x:v>
      </x:c>
      <x:c r="D1113" s="18" t="str">
        <x:v>Color: 101 Almond Slices - Traceless / 102 Short Ballet - Traceless / 103 short water drops - no trace / 104 small fat round - no trace / 105 Long Ellipse - No Trace / 106 square inner and outer matte - no trace / 107 Ballet Inner and Outer Scrubs - No Traces / 108 Long Oval Inside and Outside Scrub - No Trace / 109 Almond Inner and Outer Scrubs - No Traces / 110 long water droplets inside and outside matte - no trace / 180 medium square - no trace / 181 Ballet - Traceless / 182 water drops - no trace / 183 Long Almonds - Traceless / 184 Fat Ballet - Traceless / 187 Short Ellipse - No Trace / 188 short square - no trace / 185 Trapezoidal - Traceless; Color classification: 120 piece bag / 120 pieces in a box / 240 pieces in a box / 240 pieces in a broken box (without label) / 504 piece box; quantity: 3pcs</x:v>
      </x:c>
      <x:c r="E1113" s="25" t="str">
        <x:v>$1.73–$5.63</x:v>
      </x:c>
      <x:c r="F1113" s="19" t="str">
        <x:v>1</x:v>
      </x:c>
    </x:row>
    <x:row r="1114" ht="93" customHeight="1">
      <x:c r="A1114" s="19" t="n">
        <x:v>1111</x:v>
      </x:c>
      <x:c r="B1114" s="22" t="e">
        <x:f>HYPERLINK("https://cdn.shopify.com/s/files/1/0918/6066/4603/files/tufan_2F4321b570-cc2a-11f0-9586-00163e15d921.jpg?v=1764314345","Open")</x:f>
        <x:v>HYPERLINK is not implemented. linkLocation=https://cdn.shopify.com/s/files/1/0918/6066/4603/files/tufan_2F4321b570-cc2a-11f0-9586-00163e15d921.jpg?v=1764314345, friendlyName=Open</x:v>
      </x:c>
      <x:c r="C1114" s="24" t="e">
        <x:f>HYPERLINK("https://365nails.com/products/nail-tips-children-wear-120-nail-pads-boxed-transparent-and-seamless-fully-pasted-short-nail-pads-to-practice-childrens-fake-nails","Nail Tips Children wear 120 nail pads, boxed transparent and seamless (MOQ=3)")</x:f>
        <x:v>HYPERLINK is not implemented. linkLocation=https://365nails.com/products/nail-tips-children-wear-120-nail-pads-boxed-transparent-and-seamless-fully-pasted-short-nail-pads-to-practice-childrens-fake-nails, friendlyName=Nail Tips Children wear 120 nail pads, boxed transparent and seamless (MOQ=3)</x:v>
      </x:c>
      <x:c r="D1114" s="18" t="str">
        <x:v>Color: Natural White - 120 Tablets / Transparent color - 120 pieces; quantity: 3pcs</x:v>
      </x:c>
      <x:c r="E1114" s="25" t="str">
        <x:v>$3.00</x:v>
      </x:c>
      <x:c r="F1114" s="19" t="str">
        <x:v>1</x:v>
      </x:c>
    </x:row>
    <x:row r="1115" ht="93" customHeight="1">
      <x:c r="A1115" s="19" t="n">
        <x:v>1112</x:v>
      </x:c>
      <x:c r="B1115" s="22" t="e">
        <x:f>HYPERLINK("https://cdn.shopify.com/s/files/1/0918/6066/4603/files/O1CN01l7QKDo1rlpXRISF76__2215158925672-0-cib.jpg?v=1754446933","Open")</x:f>
        <x:v>HYPERLINK is not implemented. linkLocation=https://cdn.shopify.com/s/files/1/0918/6066/4603/files/O1CN01l7QKDo1rlpXRISF76__2215158925672-0-cib.jpg?v=1754446933, friendlyName=Open</x:v>
      </x:c>
      <x:c r="C1115" s="24" t="e">
        <x:f>HYPERLINK("https://365nails.com/products/duck-mouth-nail-powder-sweet-french-wearing-nail-pure-handmade-wearing-fake-nail-wholesale-365nails","Crystal French Bloom Short Square Press-On Nails")</x:f>
        <x:v>HYPERLINK is not implemented. linkLocation=https://365nails.com/products/duck-mouth-nail-powder-sweet-french-wearing-nail-pure-handmade-wearing-fake-nail-wholesale-365nails, friendlyName=Crystal French Bloom Short Square Press-On Nails</x:v>
      </x:c>
      <x:c r="D1115" s="18" t="str">
        <x:v>SIZE: S / M / L</x:v>
      </x:c>
      <x:c r="E1115" s="25" t="str">
        <x:v>$2.99</x:v>
      </x:c>
      <x:c r="F1115" s="19" t="str">
        <x:v>30</x:v>
      </x:c>
    </x:row>
    <x:row r="1116" ht="93" customHeight="1">
      <x:c r="A1116" s="19" t="n">
        <x:v>1113</x:v>
      </x:c>
      <x:c r="B1116" s="22" t="e">
        <x:f>HYPERLINK("https://cdn.shopify.com/s/files/1/0918/6066/4603/files/O1CN01VjTTC02NGHcKLmrsV__4234819935-0-cib.jpg?v=1753433293","Open")</x:f>
        <x:v>HYPERLINK is not implemented. linkLocation=https://cdn.shopify.com/s/files/1/0918/6066/4603/files/O1CN01VjTTC02NGHcKLmrsV__4234819935-0-cib.jpg?v=1753433293, friendlyName=Open</x:v>
      </x:c>
      <x:c r="C1116" s="24" t="e">
        <x:f>HYPERLINK("https://365nails.com/products/black-edge-french-manicure-sticker-gold-powder-bow-fake-nail-sticker-removable-wearable-manicure-nail-sticker-factory-direct-sales-365nails","Black edge French manicure sticker gold powder bow fake nail sticker removable wearable manicure nail sticker factory direct sales｜365nails")</x:f>
        <x:v>HYPERLINK is not implemented. linkLocation=https://365nails.com/products/black-edge-french-manicure-sticker-gold-powder-bow-fake-nail-sticker-removable-wearable-manicure-nail-sticker-factory-direct-sales-365nails, friendlyName=Black edge French manicure sticker gold powder bow fake nail sticker removable wearable manicure nail sticker factory direct sales｜365nails</x:v>
      </x:c>
      <x:c r="D1116" s="18" t="str">
        <x:v>color: JP1030</x:v>
      </x:c>
      <x:c r="E1116" s="25" t="str">
        <x:v>$1.08</x:v>
      </x:c>
      <x:c r="F1116" s="19" t="str">
        <x:v>1</x:v>
      </x:c>
    </x:row>
    <x:row r="1117" ht="93" customHeight="1">
      <x:c r="A1117" s="19" t="n">
        <x:v>1114</x:v>
      </x:c>
      <x:c r="B1117" s="22" t="e">
        <x:f>HYPERLINK("https://cdn.shopify.com/s/files/1/0918/6066/4603/files/O1CN015T7I0p2NGHcDnYd4G__4234819935-0-cib.jpg?v=1753433288","Open")</x:f>
        <x:v>HYPERLINK is not implemented. linkLocation=https://cdn.shopify.com/s/files/1/0918/6066/4603/files/O1CN015T7I0p2NGHcDnYd4G__4234819935-0-cib.jpg?v=1753433288, friendlyName=Open</x:v>
      </x:c>
      <x:c r="C1117" s="24" t="e">
        <x:f>HYPERLINK("https://365nails.com/products/temperament-gradual-change-gray-peach-heart-pearl-wear-nail-art-finished-nail-art-patch-nail-patch-removable-nail-piece-factory-sales-365nails","Temperament gradual change gray peach heart pearl wear nail art finished nail art patch nail patch removable nail piece factory sales｜365nails")</x:f>
        <x:v>HYPERLINK is not implemented. linkLocation=https://365nails.com/products/temperament-gradual-change-gray-peach-heart-pearl-wear-nail-art-finished-nail-art-patch-nail-patch-removable-nail-piece-factory-sales-365nails, friendlyName=Temperament gradual change gray peach heart pearl wear nail art finished nail art patch nail patch removable nail piece factory sales｜365nails</x:v>
      </x:c>
      <x:c r="D1117" s="18" t="str">
        <x:v>color: JP1315</x:v>
      </x:c>
      <x:c r="E1117" s="25" t="str">
        <x:v>$1.25</x:v>
      </x:c>
      <x:c r="F1117" s="19" t="str">
        <x:v>1</x:v>
      </x:c>
    </x:row>
    <x:row r="1118" ht="93" customHeight="1">
      <x:c r="A1118" s="19" t="n">
        <x:v>1115</x:v>
      </x:c>
      <x:c r="B1118" s="22" t="e">
        <x:f>HYPERLINK("https://cdn.shopify.com/s/files/1/0918/6066/4603/files/21243441463_2037667256.jpg?v=1753432029","Open")</x:f>
        <x:v>HYPERLINK is not implemented. linkLocation=https://cdn.shopify.com/s/files/1/0918/6066/4603/files/21243441463_2037667256.jpg?v=1753432029, friendlyName=Open</x:v>
      </x:c>
      <x:c r="C1118" s="24" t="e">
        <x:f>HYPERLINK("https://365nails.com/products/short-ballet-sky-blue-cloud-wear-nail-finished-fake-nail-nail-patch-nail-patch-waterproof-removable-nail-patch-365nails","Short Ballet Sky Blue Cloud Wear Nail Finished Fake Nail Nail Patch Nail Patch Waterproof Removable Nail Patch｜365nails")</x:f>
        <x:v>HYPERLINK is not implemented. linkLocation=https://365nails.com/products/short-ballet-sky-blue-cloud-wear-nail-finished-fake-nail-nail-patch-nail-patch-waterproof-removable-nail-patch-365nails, friendlyName=Short Ballet Sky Blue Cloud Wear Nail Finished Fake Nail Nail Patch Nail Patch Waterproof Removable Nail Patch｜365nails</x:v>
      </x:c>
      <x:c r="D1118" s="18" t="str">
        <x:v>color: JP917</x:v>
      </x:c>
      <x:c r="E1118" s="25" t="str">
        <x:v>$0.70</x:v>
      </x:c>
      <x:c r="F1118" s="19" t="str">
        <x:v>1</x:v>
      </x:c>
    </x:row>
    <x:row r="1119" ht="93" customHeight="1">
      <x:c r="A1119" s="19" t="n">
        <x:v>1116</x:v>
      </x:c>
      <x:c r="B1119" s="22" t="e">
        <x:f>HYPERLINK("https://cdn.shopify.com/s/files/1/0918/6066/4603/files/22497216069_2037667256.jpg?v=1753429167","Open")</x:f>
        <x:v>HYPERLINK is not implemented. linkLocation=https://cdn.shopify.com/s/files/1/0918/6066/4603/files/22497216069_2037667256.jpg?v=1753429167, friendlyName=Open</x:v>
      </x:c>
      <x:c r="C1119" s="24" t="e">
        <x:f>HYPERLINK("https://365nails.com/products/anti-french-stripes-gray-pink-purple-wear-nail-art-fake-nail-nail-art-patch-nail-patch-removable-nail-art-365nails","Anti-French Stripes Gray Pink Purple Wear Nail Art Fake Nail Nail Art Patch Nail Patch Removable Nail Art｜365nails")</x:f>
        <x:v>HYPERLINK is not implemented. linkLocation=https://365nails.com/products/anti-french-stripes-gray-pink-purple-wear-nail-art-fake-nail-nail-art-patch-nail-patch-removable-nail-art-365nails, friendlyName=Anti-French Stripes Gray Pink Purple Wear Nail Art Fake Nail Nail Art Patch Nail Patch Removable Nail Art｜365nails</x:v>
      </x:c>
      <x:c r="D1119" s="18" t="str">
        <x:v>color: JP928</x:v>
      </x:c>
      <x:c r="E1119" s="25" t="str">
        <x:v>$0.70</x:v>
      </x:c>
      <x:c r="F1119" s="19" t="str">
        <x:v>1</x:v>
      </x:c>
    </x:row>
    <x:row r="1120" ht="93" customHeight="1">
      <x:c r="A1120" s="19" t="n">
        <x:v>1117</x:v>
      </x:c>
      <x:c r="B1120" s="22" t="e">
        <x:f>HYPERLINK("https://cdn.shopify.com/s/files/1/0918/6066/4603/files/O1CN01avZPRD2NGHhqhf3va__4234819935-0-cib.jpg?v=1753429163","Open")</x:f>
        <x:v>HYPERLINK is not implemented. linkLocation=https://cdn.shopify.com/s/files/1/0918/6066/4603/files/O1CN01avZPRD2NGHhqhf3va__4234819935-0-cib.jpg?v=1753429163, friendlyName=Open</x:v>
      </x:c>
      <x:c r="C1120" s="24" t="e">
        <x:f>HYPERLINK("https://365nails.com/products/wearing-nail-finished-product-wholesale-wearing-nail-french-phnom-penh-gold-foil-plaid-nail-patch-wearing-nail-wholesale-nails-365nails","Press-on nails finished product wholesale Press-on nails, French Phnom Penh gold foil plaid nail patch Press-on nails wholesale nails｜365nails")</x:f>
        <x:v>HYPERLINK is not implemented. linkLocation=https://365nails.com/products/wearing-nail-finished-product-wholesale-wearing-nail-french-phnom-penh-gold-foil-plaid-nail-patch-wearing-nail-wholesale-nails-365nails, friendlyName=Press-on nails finished product wholesale Press-on nails, French Phnom Penh gold foil plaid nail patch Press-on nails wholesale nails｜365nails</x:v>
      </x:c>
      <x:c r="D1120" s="18" t="str">
        <x:v>color: JP2120</x:v>
      </x:c>
      <x:c r="E1120" s="25" t="str">
        <x:v>$0.76</x:v>
      </x:c>
      <x:c r="F1120" s="19" t="str">
        <x:v>1</x:v>
      </x:c>
    </x:row>
    <x:row r="1121" ht="93" customHeight="1">
      <x:c r="A1121" s="19" t="n">
        <x:v>1118</x:v>
      </x:c>
      <x:c r="B1121" s="22" t="e">
        <x:f>HYPERLINK("https://cdn.shopify.com/s/files/1/0918/6066/4603/files/O1CN01PFPmhH2NGHbUsc2EU__4234819935-0-cib.jpg?v=1753429179","Open")</x:f>
        <x:v>HYPERLINK is not implemented. linkLocation=https://cdn.shopify.com/s/files/1/0918/6066/4603/files/O1CN01PFPmhH2NGHbUsc2EU__4234819935-0-cib.jpg?v=1753429179, friendlyName=Open</x:v>
      </x:c>
      <x:c r="C1121" s="24" t="e">
        <x:f>HYPERLINK("https://365nails.com/products/rainbow-french-series-wearing-nail-art-finished-fake-nail-nail-patch-nail-patch-prees-on-nail-365nails","Rainbow French Series Wearing Nail Art Finished Fake Nail Nail Patch Nail Patch Prees on nail｜365nails")</x:f>
        <x:v>HYPERLINK is not implemented. linkLocation=https://365nails.com/products/rainbow-french-series-wearing-nail-art-finished-fake-nail-nail-patch-nail-patch-prees-on-nail-365nails, friendlyName=Rainbow French Series Wearing Nail Art Finished Fake Nail Nail Patch Nail Patch Prees on nail｜365nails</x:v>
      </x:c>
      <x:c r="D1121" s="18" t="str">
        <x:v>color: JP1135</x:v>
      </x:c>
      <x:c r="E1121" s="25" t="str">
        <x:v>$0.91</x:v>
      </x:c>
      <x:c r="F1121" s="19" t="str">
        <x:v>1</x:v>
      </x:c>
    </x:row>
    <x:row r="1122" ht="93" customHeight="1">
      <x:c r="A1122" s="19" t="n">
        <x:v>1119</x:v>
      </x:c>
      <x:c r="B1122" s="22" t="e">
        <x:f>HYPERLINK("https://cdn.shopify.com/s/files/1/0918/6066/4603/files/O1CN01kcFIur2NGHmpT7nns__4234819935-0-cib.jpg?v=1753428965","Open")</x:f>
        <x:v>HYPERLINK is not implemented. linkLocation=https://cdn.shopify.com/s/files/1/0918/6066/4603/files/O1CN01kcFIur2NGHmpT7nns__4234819935-0-cib.jpg?v=1753428965, friendlyName=Open</x:v>
      </x:c>
      <x:c r="C1122" s="24" t="e">
        <x:f>HYPERLINK("https://365nails.com/products/nail-art-christmas-popular-ballet-a-type-elk-fake-nail-nail-art-tablets-nail-stickers-wearing-nail-removable-wholesale-365nails","Nail Art Christmas Popular Ballet A-Type Elk Fake Nail Nail Art Tablets")</x:f>
        <x:v>HYPERLINK is not implemented. linkLocation=https://365nails.com/products/nail-art-christmas-popular-ballet-a-type-elk-fake-nail-nail-art-tablets-nail-stickers-wearing-nail-removable-wholesale-365nails, friendlyName=Nail Art Christmas Popular Ballet A-Type Elk Fake Nail Nail Art Tablets</x:v>
      </x:c>
      <x:c r="D1122" s="18" t="str">
        <x:v>color: JP2688</x:v>
      </x:c>
      <x:c r="E1122" s="25" t="str">
        <x:v>$1.08</x:v>
      </x:c>
      <x:c r="F1122" s="19" t="str">
        <x:v>1</x:v>
      </x:c>
    </x:row>
    <x:row r="1123" ht="93" customHeight="1">
      <x:c r="A1123" s="19" t="n">
        <x:v>1120</x:v>
      </x:c>
      <x:c r="B1123" s="22" t="e">
        <x:f>HYPERLINK("https://cdn.shopify.com/s/files/1/0918/6066/4603/files/O1CN01wWjFbm22SYiJc7rQD__2219370087119-0-cib.jpg?v=1772373485","Open")</x:f>
        <x:v>HYPERLINK is not implemented. linkLocation=https://cdn.shopify.com/s/files/1/0918/6066/4603/files/O1CN01wWjFbm22SYiJc7rQD__2219370087119-0-cib.jpg?v=1772373485, friendlyName=Open</x:v>
      </x:c>
      <x:c r="C1123" s="24" t="e">
        <x:f>HYPERLINK("https://365nails.com/products/emerald-bling-collection-full-emerald-glitter-extra-long-stiletto-press-on-nails","Emerald Bling Collection: ""Full Emerald Glitter"" – Extra Long Stiletto Press-On Nails")</x:f>
        <x:v>HYPERLINK is not implemented. linkLocation=https://365nails.com/products/emerald-bling-collection-full-emerald-glitter-extra-long-stiletto-press-on-nails, friendlyName=Emerald Bling Collection: "Full Emerald Glitter" – Extra Long Stiletto Press-On Nails</x:v>
      </x:c>
      <x:c r="D1123" s="18" t="str">
        <x:v>Color: L / M / S</x:v>
      </x:c>
      <x:c r="E1123" s="25" t="str">
        <x:v>$4.67</x:v>
      </x:c>
      <x:c r="F1123" s="19" t="str">
        <x:v>1</x:v>
      </x:c>
    </x:row>
    <x:row r="1124" ht="93" customHeight="1">
      <x:c r="A1124" s="19" t="n">
        <x:v>1121</x:v>
      </x:c>
      <x:c r="B1124" s="22" t="e">
        <x:f>HYPERLINK("https://cdn.shopify.com/s/files/1/0918/6066/4603/files/O1CN01xY48JD2NGHidwKJjC__4234819935-0-cib.jpg?v=1753432063","Open")</x:f>
        <x:v>HYPERLINK is not implemented. linkLocation=https://cdn.shopify.com/s/files/1/0918/6066/4603/files/O1CN01xY48JD2NGHidwKJjC__4234819935-0-cib.jpg?v=1753432063, friendlyName=Open</x:v>
      </x:c>
      <x:c r="C1124" s="24" t="e">
        <x:f>HYPERLINK("https://365nails.com/products/wearing-nail-pads-wholesale-black-edge-french-short-ballet-nail-pads-wholesale-nail-pads-wholesale-nail-art-finished-nails-365nails","Press-on nails pads wholesale black edge French short ballet nail pads wholesale nail pads wholesale nail art finished nails｜365nails")</x:f>
        <x:v>HYPERLINK is not implemented. linkLocation=https://365nails.com/products/wearing-nail-pads-wholesale-black-edge-french-short-ballet-nail-pads-wholesale-nail-pads-wholesale-nail-art-finished-nails-365nails, friendlyName=Press-on nails pads wholesale black edge French short ballet nail pads wholesale nail pads wholesale nail art finished nails｜365nails</x:v>
      </x:c>
      <x:c r="D1124" s="18" t="str">
        <x:v>color: JP2156</x:v>
      </x:c>
      <x:c r="E1124" s="25" t="str">
        <x:v>$0.70</x:v>
      </x:c>
      <x:c r="F1124" s="19" t="str">
        <x:v>1</x:v>
      </x:c>
    </x:row>
    <x:row r="1125" ht="93" customHeight="1">
      <x:c r="A1125" s="19" t="n">
        <x:v>1122</x:v>
      </x:c>
      <x:c r="B1125" s="22" t="e">
        <x:f>HYPERLINK("https://cdn.shopify.com/s/files/1/0918/6066/4603/files/O1CN01ug9e431CPwQUOaAmK__2213196780074-0-cib.jpg?v=1772372808","Open")</x:f>
        <x:v>HYPERLINK is not implemented. linkLocation=https://cdn.shopify.com/s/files/1/0918/6066/4603/files/O1CN01ug9e431CPwQUOaAmK__2213196780074-0-cib.jpg?v=1772372808, friendlyName=Open</x:v>
      </x:c>
      <x:c r="C1125" s="24" t="e">
        <x:f>HYPERLINK("https://365nails.com/products/royal-opera-collection-golden-phoenix-ballet-long-coffin-press-on-nails","Royal Opera Collection: ""Golden Phoenix Ballet"" – Long Coffin Press-On Nails")</x:f>
        <x:v>HYPERLINK is not implemented. linkLocation=https://365nails.com/products/royal-opera-collection-golden-phoenix-ballet-long-coffin-press-on-nails, friendlyName=Royal Opera Collection: "Golden Phoenix Ballet" – Long Coffin Press-On Nails</x:v>
      </x:c>
      <x:c r="D1125" s="18" t="str">
        <x:v>Color: 3475-long oval; Color classification: Extra small xs / Small s / Medium m / Large l</x:v>
      </x:c>
      <x:c r="E1125" s="25" t="str">
        <x:v>$3.57</x:v>
      </x:c>
      <x:c r="F1125" s="19" t="str">
        <x:v>1</x:v>
      </x:c>
    </x:row>
    <x:row r="1126" ht="93" customHeight="1">
      <x:c r="A1126" s="19" t="n">
        <x:v>1123</x:v>
      </x:c>
      <x:c r="B1126" s="22" t="e">
        <x:f>HYPERLINK("https://cdn.shopify.com/s/files/1/0918/6066/4603/files/O1CN01L5OIY31CPwQZrfYG9__2213196780074-0-cib.jpg?v=1772373394","Open")</x:f>
        <x:v>HYPERLINK is not implemented. linkLocation=https://cdn.shopify.com/s/files/1/0918/6066/4603/files/O1CN01L5OIY31CPwQZrfYG9__2213196780074-0-cib.jpg?v=1772373394, friendlyName=Open</x:v>
      </x:c>
      <x:c r="C1126" s="24" t="e">
        <x:f>HYPERLINK("https://365nails.com/products/lunar-new-year-collection-crimson-fortune-long-stiletto-long-oval-press-on-nails","Lunar New Year Collection: ""Crimson Fortune"" – Long Stiletto/Long Oval Press-On Nails")</x:f>
        <x:v>HYPERLINK is not implemented. linkLocation=https://365nails.com/products/lunar-new-year-collection-crimson-fortune-long-stiletto-long-oval-press-on-nails, friendlyName=Lunar New Year Collection: "Crimson Fortune" – Long Stiletto/Long Oval Press-On Nails</x:v>
      </x:c>
      <x:c r="D1126" s="18" t="str">
        <x:v>Color: 3468-short ladder / 3470-long ladder / 3472 - short oval / 3474-long oval; Color classification: Extra small xs / Small s / Medium m / Large l</x:v>
      </x:c>
      <x:c r="E1126" s="25" t="str">
        <x:v>$3.14</x:v>
      </x:c>
      <x:c r="F1126" s="19" t="str">
        <x:v>1</x:v>
      </x:c>
    </x:row>
    <x:row r="1127" ht="93" customHeight="1">
      <x:c r="A1127" s="19" t="n">
        <x:v>1124</x:v>
      </x:c>
      <x:c r="B1127" s="22" t="e">
        <x:f>HYPERLINK("https://cdn.shopify.com/s/files/1/0918/6066/4603/files/O1CN010fT2ls2NGI2JEVKHE__4234819935-0-cib.jpg?v=1772116987","Open")</x:f>
        <x:v>HYPERLINK is not implemented. linkLocation=https://cdn.shopify.com/s/files/1/0918/6066/4603/files/O1CN010fT2ls2NGI2JEVKHE__4234819935-0-cib.jpg?v=1772116987, friendlyName=Open</x:v>
      </x:c>
      <x:c r="C1127" s="24" t="e">
        <x:f>HYPERLINK("https://365nails.com/products/long-square-press-on-nails-with-pink-base-gold-floral-accents","Long Square Press On Nails with Pink Base &amp; Gold Floral Accents")</x:f>
        <x:v>HYPERLINK is not implemented. linkLocation=https://365nails.com/products/long-square-press-on-nails-with-pink-base-gold-floral-accents, friendlyName=Long Square Press On Nails with Pink Base &amp; Gold Floral Accents</x:v>
      </x:c>
      <x:c r="D1127" s="18" t="str">
        <x:v>Color: Jp 4307</x:v>
      </x:c>
      <x:c r="E1127" s="25" t="str">
        <x:v>$1.62</x:v>
      </x:c>
      <x:c r="F1127" s="19" t="str">
        <x:v>3</x:v>
      </x:c>
    </x:row>
    <x:row r="1128" ht="93" customHeight="1">
      <x:c r="A1128" s="19" t="n">
        <x:v>1125</x:v>
      </x:c>
      <x:c r="B1128" s="22" t="e">
        <x:f>HYPERLINK("https://cdn.shopify.com/s/files/1/0918/6066/4603/files/O1CN01LZ9pfd2NGI2JPTlML__4234819935-0-cib.jpg?v=1772116937","Open")</x:f>
        <x:v>HYPERLINK is not implemented. linkLocation=https://cdn.shopify.com/s/files/1/0918/6066/4603/files/O1CN01LZ9pfd2NGI2JPTlML__4234819935-0-cib.jpg?v=1772116937, friendlyName=Open</x:v>
      </x:c>
      <x:c r="C1128" s="24" t="e">
        <x:f>HYPERLINK("https://365nails.com/products/glossy-nude-square-press-on-nails-with-silver-glitter-dots-1","Glossy Nude Square Press On Nails with Silver Glitter Dots")</x:f>
        <x:v>HYPERLINK is not implemented. linkLocation=https://365nails.com/products/glossy-nude-square-press-on-nails-with-silver-glitter-dots-1, friendlyName=Glossy Nude Square Press On Nails with Silver Glitter Dots</x:v>
      </x:c>
      <x:c r="D1128" s="18" t="str">
        <x:v>Color: Jp 4267</x:v>
      </x:c>
      <x:c r="E1128" s="25" t="str">
        <x:v>$1.97</x:v>
      </x:c>
      <x:c r="F1128" s="19" t="str">
        <x:v>3</x:v>
      </x:c>
    </x:row>
    <x:row r="1129" ht="93" customHeight="1">
      <x:c r="A1129" s="19" t="n">
        <x:v>1126</x:v>
      </x:c>
      <x:c r="B1129" s="22" t="e">
        <x:f>HYPERLINK("https://cdn.shopify.com/s/files/1/0918/6066/4603/files/O1CN013JiFja2NGI1OmRCY0__4234819935-0-cib.jpg?v=1768905920","Open")</x:f>
        <x:v>HYPERLINK is not implemented. linkLocation=https://cdn.shopify.com/s/files/1/0918/6066/4603/files/O1CN013JiFja2NGI1OmRCY0__4234819935-0-cib.jpg?v=1768905920, friendlyName=Open</x:v>
      </x:c>
      <x:c r="C1129" s="24" t="e">
        <x:f>HYPERLINK("https://365nails.com/products/brown-solid-color-cat-eye-glitter-press-on-nails-medium-length-almond-shape","Brown solid color cat eye glitter press-on nails - medium length almond shape")</x:f>
        <x:v>HYPERLINK is not implemented. linkLocation=https://365nails.com/products/brown-solid-color-cat-eye-glitter-press-on-nails-medium-length-almond-shape, friendlyName=Brown solid color cat eye glitter press-on nails - medium length almond shape</x:v>
      </x:c>
      <x:c r="D1129" s="18" t="str">
        <x:v>Color: Jp 4190</x:v>
      </x:c>
      <x:c r="E1129" s="25" t="str">
        <x:v>$1.11</x:v>
      </x:c>
      <x:c r="F1129" s="19" t="str">
        <x:v>1</x:v>
      </x:c>
    </x:row>
    <x:row r="1130" ht="93" customHeight="1">
      <x:c r="A1130" s="19" t="n">
        <x:v>1127</x:v>
      </x:c>
      <x:c r="B1130" s="22" t="e">
        <x:f>HYPERLINK("https://cdn.shopify.com/s/files/1/0918/6066/4603/files/O1CN01nfLiIH1rlpU5hEAxF__2215158925672-0-cib.jpg?v=1754447118","Open")</x:f>
        <x:v>HYPERLINK is not implemented. linkLocation=https://cdn.shopify.com/s/files/1/0918/6066/4603/files/O1CN01nfLiIH1rlpU5hEAxF__2215158925672-0-cib.jpg?v=1754447118, friendlyName=Open</x:v>
      </x:c>
      <x:c r="C1130" s="24" t="e">
        <x:f>HYPERLINK("https://365nails.com/products/handmade-press-on-nails-simple-spice-girl-aurora-nail-shining-solid-color-almond-nail-wearing-fake-nails-365nails","Icy Pearl Glow Short Press-On Nails")</x:f>
        <x:v>HYPERLINK is not implemented. linkLocation=https://365nails.com/products/handmade-press-on-nails-simple-spice-girl-aurora-nail-shining-solid-color-almond-nail-wearing-fake-nails-365nails, friendlyName=Icy Pearl Glow Short Press-On Nails</x:v>
      </x:c>
      <x:c r="D1130" s="18" t="str">
        <x:v>size: XS / S / M / L</x:v>
      </x:c>
      <x:c r="E1130" s="25" t="str">
        <x:v>$1.99</x:v>
      </x:c>
      <x:c r="F1130" s="19" t="str">
        <x:v>30</x:v>
      </x:c>
    </x:row>
    <x:row r="1131" ht="93" customHeight="1">
      <x:c r="A1131" s="19" t="n">
        <x:v>1128</x:v>
      </x:c>
      <x:c r="B1131" s="22" t="e">
        <x:f>HYPERLINK("https://cdn.shopify.com/s/files/1/0918/6066/4603/files/O1CN01qAPwFf27ZUmiJyAP4__2220024697811-0-cib.jpg?v=1772373490","Open")</x:f>
        <x:v>HYPERLINK is not implemented. linkLocation=https://cdn.shopify.com/s/files/1/0918/6066/4603/files/O1CN01qAPwFf27ZUmiJyAP4__2220024697811-0-cib.jpg?v=1772373490, friendlyName=Open</x:v>
      </x:c>
      <x:c r="C1131" s="24" t="e">
        <x:f>HYPERLINK("https://365nails.com/products/sweet-carnival-collection-fruity-pop-art-short-square-press-on-nails","Sweet Carnival Collection: ""Fruity Pop Art"" – Short Square Press-On Nails")</x:f>
        <x:v>HYPERLINK is not implemented. linkLocation=https://365nails.com/products/sweet-carnival-collection-fruity-pop-art-short-square-press-on-nails, friendlyName=Sweet Carnival Collection: "Fruity Pop Art" – Short Square Press-On Nails</x:v>
      </x:c>
      <x:c r="D1131" s="18" t="str">
        <x:v>Color: Duckbill; Color classification: X s / S / M / L</x:v>
      </x:c>
      <x:c r="E1131" s="25" t="str">
        <x:v>$4.43</x:v>
      </x:c>
      <x:c r="F1131" s="19" t="str">
        <x:v>1</x:v>
      </x:c>
    </x:row>
    <x:row r="1132" ht="93" customHeight="1">
      <x:c r="A1132" s="19" t="n">
        <x:v>1129</x:v>
      </x:c>
      <x:c r="B1132" s="22" t="e">
        <x:f>HYPERLINK("https://cdn.shopify.com/s/files/1/0918/6066/4603/files/O1CN01Nt4PRm2NGI1V8sFG6__4234819935-0-cib.jpg?v=1768905925","Open")</x:f>
        <x:v>HYPERLINK is not implemented. linkLocation=https://cdn.shopify.com/s/files/1/0918/6066/4603/files/O1CN01Nt4PRm2NGI1V8sFG6__4234819935-0-cib.jpg?v=1768905925, friendlyName=Open</x:v>
      </x:c>
      <x:c r="C1132" s="24" t="e">
        <x:f>HYPERLINK("https://365nails.com/products/french-press-on-nails-polka-dot-almond-shaped-nail-tips","French press-on nails - polka dot almond shaped nail tips")</x:f>
        <x:v>HYPERLINK is not implemented. linkLocation=https://365nails.com/products/french-press-on-nails-polka-dot-almond-shaped-nail-tips, friendlyName=French press-on nails - polka dot almond shaped nail tips</x:v>
      </x:c>
      <x:c r="D1132" s="18" t="str">
        <x:v>Color: Jp 4227</x:v>
      </x:c>
      <x:c r="E1132" s="25" t="str">
        <x:v>$0.89</x:v>
      </x:c>
      <x:c r="F1132" s="19" t="str">
        <x:v>1</x:v>
      </x:c>
    </x:row>
    <x:row r="1133" ht="93" customHeight="1">
      <x:c r="A1133" s="19" t="n">
        <x:v>1130</x:v>
      </x:c>
      <x:c r="B1133" s="22" t="e">
        <x:f>HYPERLINK("https://cdn.shopify.com/s/files/1/0918/6066/4603/files/O1CN01NbtE2w2NGHptIWlTh__4234819935-0-cib.jpg?v=1753433319","Open")</x:f>
        <x:v>HYPERLINK is not implemented. linkLocation=https://cdn.shopify.com/s/files/1/0918/6066/4603/files/O1CN01NbtE2w2NGHptIWlTh__4234819935-0-cib.jpg?v=1753433319, friendlyName=Open</x:v>
      </x:c>
      <x:c r="C1133" s="24" t="e">
        <x:f>HYPERLINK("https://365nails.com/products/solid-color-pink-wearing-nail-white-smudged-gold-glitter-streamer-nail-piece-finished-ballet-removable-nail-art-365nails","Solid color pink press on nails white smudged gold glitter streamer nail piece finished ballet removable nail art｜365nails")</x:f>
        <x:v>HYPERLINK is not implemented. linkLocation=https://365nails.com/products/solid-color-pink-wearing-nail-white-smudged-gold-glitter-streamer-nail-piece-finished-ballet-removable-nail-art-365nails, friendlyName=Solid color pink press on nails white smudged gold glitter streamer nail piece finished ballet removable nail art｜365nails</x:v>
      </x:c>
      <x:c r="D1133" s="18" t="str">
        <x:v>Color: JP3224</x:v>
      </x:c>
      <x:c r="E1133" s="25" t="str">
        <x:v>$0.77</x:v>
      </x:c>
      <x:c r="F1133" s="19" t="str">
        <x:v>1</x:v>
      </x:c>
    </x:row>
    <x:row r="1134" ht="93" customHeight="1">
      <x:c r="A1134" s="19" t="n">
        <x:v>1131</x:v>
      </x:c>
      <x:c r="B1134" s="22" t="e">
        <x:f>HYPERLINK("https://cdn.shopify.com/s/files/1/0918/6066/4603/files/O1CN01RX96IP2NGHhubey23__4234819935-0-cib.jpg?v=1753433314","Open")</x:f>
        <x:v>HYPERLINK is not implemented. linkLocation=https://cdn.shopify.com/s/files/1/0918/6066/4603/files/O1CN01RX96IP2NGHhubey23__4234819935-0-cib.jpg?v=1753433314, friendlyName=Open</x:v>
      </x:c>
      <x:c r="C1134" s="24" t="e">
        <x:f>HYPERLINK("https://365nails.com/products/nail-art-pads-wholesale-brown-french-wearable-nail-removable-nail-art-nail-art-patch-wholesale-nail-pads-jelly-glue-365nails","Nail art pads wholesale brown French, wearable nail removable nail art nail art patch wholesale nail pads｜365nails")</x:f>
        <x:v>HYPERLINK is not implemented. linkLocation=https://365nails.com/products/nail-art-pads-wholesale-brown-french-wearable-nail-removable-nail-art-nail-art-patch-wholesale-nail-pads-jelly-glue-365nails, friendlyName=Nail art pads wholesale brown French, wearable nail removable nail art nail art patch wholesale nail pads｜365nails</x:v>
      </x:c>
      <x:c r="D1134" s="18" t="str">
        <x:v>color: JP2017</x:v>
      </x:c>
      <x:c r="E1134" s="25" t="str">
        <x:v>$0.76</x:v>
      </x:c>
      <x:c r="F1134" s="19" t="str">
        <x:v>1</x:v>
      </x:c>
    </x:row>
    <x:row r="1135" ht="93" customHeight="1">
      <x:c r="A1135" s="19" t="n">
        <x:v>1132</x:v>
      </x:c>
      <x:c r="B1135" s="22" t="e">
        <x:f>HYPERLINK("https://cdn.shopify.com/s/files/1/0918/6066/4603/files/O1CN01C2VNyh2NGHpfoCB8B__4234819935-0-cib.jpg?v=1753432060","Open")</x:f>
        <x:v>HYPERLINK is not implemented. linkLocation=https://cdn.shopify.com/s/files/1/0918/6066/4603/files/O1CN01C2VNyh2NGHpfoCB8B__4234819935-0-cib.jpg?v=1753432060, friendlyName=Open</x:v>
      </x:c>
      <x:c r="C1135" s="24" t="e">
        <x:f>HYPERLINK("https://365nails.com/products/french-flash-diamond-manicure-gradual-change-whitening-wearing-nail-nail-patch-simple-detachable-repeated-nail-patch-wholesale-365nails","French flash diamond manicure gradual change whitening press on nails nail patch simple detachable repeated nail patch wholesale｜365nails")</x:f>
        <x:v>HYPERLINK is not implemented. linkLocation=https://365nails.com/products/french-flash-diamond-manicure-gradual-change-whitening-wearing-nail-nail-patch-simple-detachable-repeated-nail-patch-wholesale-365nails, friendlyName=French flash diamond manicure gradual change whitening press on nails nail patch simple detachable repeated nail patch wholesale｜365nails</x:v>
      </x:c>
      <x:c r="D1135" s="18" t="str">
        <x:v>Color: JP2896</x:v>
      </x:c>
      <x:c r="E1135" s="25" t="str">
        <x:v>$1.40</x:v>
      </x:c>
      <x:c r="F1135" s="19" t="str">
        <x:v>1</x:v>
      </x:c>
    </x:row>
    <x:row r="1136" ht="93" customHeight="1">
      <x:c r="A1136" s="19" t="n">
        <x:v>1133</x:v>
      </x:c>
      <x:c r="B1136" s="22" t="e">
        <x:f>HYPERLINK("https://cdn.shopify.com/s/files/1/0918/6066/4603/files/O1CN01p0nrsT1rlpKJfG8Ru__2215158925672-0-cib_63d29f0b-3a36-4c9a-9d19-423fd583a7ec.jpg?v=1772513830","Open")</x:f>
        <x:v>HYPERLINK is not implemented. linkLocation=https://cdn.shopify.com/s/files/1/0918/6066/4603/files/O1CN01p0nrsT1rlpKJfG8Ru__2215158925672-0-cib_63d29f0b-3a36-4c9a-9d19-423fd583a7ec.jpg?v=1772513830, friendlyName=Open</x:v>
      </x:c>
      <x:c r="C1136" s="24" t="e">
        <x:f>HYPERLINK("https://365nails.com/products/365nails-luminance-blush-aurora-long-coffin-pink-glitter-iridescent-press-on-nails-24pcs","365nails: ""Diamond Rose"" – Medium Coffin Handmade Press-On Nails")</x:f>
        <x:v>HYPERLINK is not implemented. linkLocation=https://365nails.com/products/365nails-luminance-blush-aurora-long-coffin-pink-glitter-iridescent-press-on-nails-24pcs, friendlyName=365nails: "Diamond Rose" – Medium Coffin Handmade Press-On Nails</x:v>
      </x:c>
      <x:c r="D1136" s="18" t="str">
        <x:v>Color: Short t; Color classification: X s / S / M / L</x:v>
      </x:c>
      <x:c r="E1136" s="25" t="str">
        <x:v>$3.99</x:v>
      </x:c>
      <x:c r="F1136" s="19" t="str">
        <x:v>3</x:v>
      </x:c>
    </x:row>
    <x:row r="1137" ht="93" customHeight="1">
      <x:c r="A1137" s="19" t="n">
        <x:v>1134</x:v>
      </x:c>
      <x:c r="B1137" s="22" t="e">
        <x:f>HYPERLINK("https://cdn.shopify.com/s/files/1/0918/6066/4603/files/O1CN01u2Bvfs1rlpNPgCULl__2215158925672-0-cib.jpg?v=1754447231","Open")</x:f>
        <x:v>HYPERLINK is not implemented. linkLocation=https://cdn.shopify.com/s/files/1/0918/6066/4603/files/O1CN01u2Bvfs1rlpNPgCULl__2215158925672-0-cib.jpg?v=1754447231, friendlyName=Open</x:v>
      </x:c>
      <x:c r="C1137" s="24" t="e">
        <x:f>HYPERLINK("https://365nails.com/products/handmade-press-on-nails-sweet-cool-spice-girl-spar-cats-eye-medium-and-long-nail-art-patch-heavy-industry-hand-painted-wearable-nail-patch-365nails","Galactic Chrome Aura Medium Press-On Nails")</x:f>
        <x:v>HYPERLINK is not implemented. linkLocation=https://365nails.com/products/handmade-press-on-nails-sweet-cool-spice-girl-spar-cats-eye-medium-and-long-nail-art-patch-heavy-industry-hand-painted-wearable-nail-patch-365nails, friendlyName=Galactic Chrome Aura Medium Press-On Nails</x:v>
      </x:c>
      <x:c r="D1137" s="18" t="str">
        <x:v>size: XS / S / M / L</x:v>
      </x:c>
      <x:c r="E1137" s="25" t="str">
        <x:v>$4.49</x:v>
      </x:c>
      <x:c r="F1137" s="19" t="str">
        <x:v>30</x:v>
      </x:c>
    </x:row>
    <x:row r="1138" ht="93" customHeight="1">
      <x:c r="A1138" s="19" t="n">
        <x:v>1135</x:v>
      </x:c>
      <x:c r="B1138" s="22" t="e">
        <x:f>HYPERLINK("https://cdn.shopify.com/s/files/1/0918/6066/4603/files/O1CN01xYRjM92NGHmaYDv7m__4234819935-0-cib.jpg?v=1753433312","Open")</x:f>
        <x:v>HYPERLINK is not implemented. linkLocation=https://cdn.shopify.com/s/files/1/0918/6066/4603/files/O1CN01xYRjM92NGHmaYDv7m__4234819935-0-cib.jpg?v=1753433312, friendlyName=Open</x:v>
      </x:c>
      <x:c r="C1138" s="24" t="e">
        <x:f>HYPERLINK("https://365nails.com/products/new-french-white-edge-ballet-nail-does-not-fade-manicure-wearing-nail-white-nude-fake-nail-finished-product-wholesale-365nails","New French white edge ballet nail does not fade manicure press on nails white nude fake nail finished product wholesale｜365nails")</x:f>
        <x:v>HYPERLINK is not implemented. linkLocation=https://365nails.com/products/new-french-white-edge-ballet-nail-does-not-fade-manicure-wearing-nail-white-nude-fake-nail-finished-product-wholesale-365nails, friendlyName=New French white edge ballet nail does not fade manicure press on nails white nude fake nail finished product wholesale｜365nails</x:v>
      </x:c>
      <x:c r="D1138" s="18" t="str">
        <x:v>color: JP2590</x:v>
      </x:c>
      <x:c r="E1138" s="25" t="str">
        <x:v>$0.77</x:v>
      </x:c>
      <x:c r="F1138" s="19" t="str">
        <x:v>1</x:v>
      </x:c>
    </x:row>
    <x:row r="1139" ht="93" customHeight="1">
      <x:c r="A1139" s="19" t="n">
        <x:v>1136</x:v>
      </x:c>
      <x:c r="B1139" s="22" t="e">
        <x:f>HYPERLINK("https://cdn.shopify.com/s/files/1/0918/6066/4603/files/O1CN0149Rp8K2NGI1e9Ph5U__4234819935-0-cib.jpg?v=1768906012","Open")</x:f>
        <x:v>HYPERLINK is not implemented. linkLocation=https://cdn.shopify.com/s/files/1/0918/6066/4603/files/O1CN0149Rp8K2NGI1e9Ph5U__4234819935-0-cib.jpg?v=1768906012, friendlyName=Open</x:v>
      </x:c>
      <x:c r="C1139" s="24" t="e">
        <x:f>HYPERLINK("https://365nails.com/products/almond-shaped-press-on-nails-with-star-accents","Almond-shaped press-on nails with star accents")</x:f>
        <x:v>HYPERLINK is not implemented. linkLocation=https://365nails.com/products/almond-shaped-press-on-nails-with-star-accents, friendlyName=Almond-shaped press-on nails with star accents</x:v>
      </x:c>
      <x:c r="D1139" s="18" t="str">
        <x:v>Color: Jp 4207</x:v>
      </x:c>
      <x:c r="E1139" s="25" t="str">
        <x:v>$0.97</x:v>
      </x:c>
      <x:c r="F1139" s="19" t="str">
        <x:v>1</x:v>
      </x:c>
    </x:row>
    <x:row r="1140" ht="93" customHeight="1">
      <x:c r="A1140" s="19" t="n">
        <x:v>1137</x:v>
      </x:c>
      <x:c r="B1140" s="22" t="e">
        <x:f>HYPERLINK("https://cdn.shopify.com/s/files/1/0918/6066/4603/files/O1CN01g2lGeX2NGI19Cntgd__4234819935-0-cib.jpg?v=1768906024","Open")</x:f>
        <x:v>HYPERLINK is not implemented. linkLocation=https://cdn.shopify.com/s/files/1/0918/6066/4603/files/O1CN01g2lGeX2NGI19Cntgd__4234819935-0-cib.jpg?v=1768906024, friendlyName=Open</x:v>
      </x:c>
      <x:c r="C1140" s="24" t="e">
        <x:f>HYPERLINK("https://365nails.com/products/flashy-nude-pink-cat-eye-wearable-nails-casual-glitter-manicure-nail-pieces-short-round-nails","Flashy nude pink cat eye wearable nails casual glitter manicure nail pieces short round nails")</x:f>
        <x:v>HYPERLINK is not implemented. linkLocation=https://365nails.com/products/flashy-nude-pink-cat-eye-wearable-nails-casual-glitter-manicure-nail-pieces-short-round-nails, friendlyName=Flashy nude pink cat eye wearable nails casual glitter manicure nail pieces short round nails</x:v>
      </x:c>
      <x:c r="D1140" s="18" t="str">
        <x:v>Color: Jp 4115</x:v>
      </x:c>
      <x:c r="E1140" s="25" t="str">
        <x:v>$1.00</x:v>
      </x:c>
      <x:c r="F1140" s="19" t="str">
        <x:v>1</x:v>
      </x:c>
    </x:row>
    <x:row r="1141" ht="93" customHeight="1">
      <x:c r="A1141" s="19" t="n">
        <x:v>1138</x:v>
      </x:c>
      <x:c r="B1141" s="22" t="e">
        <x:f>HYPERLINK("https://cdn.shopify.com/s/files/1/0918/6066/4603/files/O1CN01EPIl292NGI1sOtAZ3__4234819935-0-cib.jpg?v=1768905961","Open")</x:f>
        <x:v>HYPERLINK is not implemented. linkLocation=https://cdn.shopify.com/s/files/1/0918/6066/4603/files/O1CN01EPIl292NGI1sOtAZ3__4234819935-0-cib.jpg?v=1768905961, friendlyName=Open</x:v>
      </x:c>
      <x:c r="C1141" s="24" t="e">
        <x:f>HYPERLINK("https://365nails.com/products/leopard-print-cat-eye-manicure-and-pedicure-simple-short-square-toe-nail-chips","Leopard print cat eye manicure and pedicure simple short square toe nail chips")</x:f>
        <x:v>HYPERLINK is not implemented. linkLocation=https://365nails.com/products/leopard-print-cat-eye-manicure-and-pedicure-simple-short-square-toe-nail-chips, friendlyName=Leopard print cat eye manicure and pedicure simple short square toe nail chips</x:v>
      </x:c>
      <x:c r="D1141" s="18" t="str">
        <x:v>Color: Jp 4238</x:v>
      </x:c>
      <x:c r="E1141" s="25" t="str">
        <x:v>$1.11</x:v>
      </x:c>
      <x:c r="F1141" s="19" t="str">
        <x:v>1</x:v>
      </x:c>
    </x:row>
    <x:row r="1142" ht="93" customHeight="1">
      <x:c r="A1142" s="19" t="n">
        <x:v>1139</x:v>
      </x:c>
      <x:c r="B1142" s="22" t="e">
        <x:f>HYPERLINK("https://cdn.shopify.com/s/files/1/0918/6066/4603/files/O1CN01fjkcVn2NGI1sErIvL__4234819935-0-cib.jpg?v=1768905946","Open")</x:f>
        <x:v>HYPERLINK is not implemented. linkLocation=https://cdn.shopify.com/s/files/1/0918/6066/4603/files/O1CN01fjkcVn2NGI1sErIvL__4234819935-0-cib.jpg?v=1768905946, friendlyName=Open</x:v>
      </x:c>
      <x:c r="C1142" s="24" t="e">
        <x:f>HYPERLINK("https://365nails.com/products/foreign-trade-wearable-nail-polish-3d-stereo-flower-manicure-nail-polish-smudged-french-style","Foreign trade wearable nail polish 3d stereo flower manicure nail polish smudged french style")</x:f>
        <x:v>HYPERLINK is not implemented. linkLocation=https://365nails.com/products/foreign-trade-wearable-nail-polish-3d-stereo-flower-manicure-nail-polish-smudged-french-style, friendlyName=Foreign trade wearable nail polish 3d stereo flower manicure nail polish smudged french style</x:v>
      </x:c>
      <x:c r="D1142" s="18" t="str">
        <x:v>Color: Jp 4181</x:v>
      </x:c>
      <x:c r="E1142" s="25" t="str">
        <x:v>$1.60</x:v>
      </x:c>
      <x:c r="F1142" s="19" t="str">
        <x:v>1</x:v>
      </x:c>
    </x:row>
    <x:row r="1143" ht="93" customHeight="1">
      <x:c r="A1143" s="19" t="n">
        <x:v>1140</x:v>
      </x:c>
      <x:c r="B1143" s="22" t="e">
        <x:f>HYPERLINK("https://cdn.shopify.com/s/files/1/0918/6066/4603/files/O1CN01yEexlH2NGI2AArcwq__4234819935-0-cib.jpg?v=1772117048","Open")</x:f>
        <x:v>HYPERLINK is not implemented. linkLocation=https://cdn.shopify.com/s/files/1/0918/6066/4603/files/O1CN01yEexlH2NGI2AArcwq__4234819935-0-cib.jpg?v=1772117048, friendlyName=Open</x:v>
      </x:c>
      <x:c r="C1143" s="24" t="e">
        <x:f>HYPERLINK("https://365nails.com/products/long-square-press-on-nails-with-pink-base-purple-floral-accents","Long Square Press On Nails with Pink Base &amp; Purple Floral &amp; Accents")</x:f>
        <x:v>HYPERLINK is not implemented. linkLocation=https://365nails.com/products/long-square-press-on-nails-with-pink-base-purple-floral-accents, friendlyName=Long Square Press On Nails with Pink Base &amp; Purple Floral &amp; Accents</x:v>
      </x:c>
      <x:c r="D1143" s="18" t="str">
        <x:v>Color: Jp 4222</x:v>
      </x:c>
      <x:c r="E1143" s="25" t="str">
        <x:v>$1.62</x:v>
      </x:c>
      <x:c r="F1143" s="19" t="str">
        <x:v>3</x:v>
      </x:c>
    </x:row>
    <x:row r="1144" ht="93" customHeight="1">
      <x:c r="A1144" s="19" t="n">
        <x:v>1141</x:v>
      </x:c>
      <x:c r="B1144" s="22" t="e">
        <x:f>HYPERLINK("https://cdn.shopify.com/s/files/1/0918/6066/4603/files/O1CN01NsjOO92NGI1gfUUNz__4234819935-0-cib.jpg?v=1768906021","Open")</x:f>
        <x:v>HYPERLINK is not implemented. linkLocation=https://cdn.shopify.com/s/files/1/0918/6066/4603/files/O1CN01NsjOO92NGI1gfUUNz__4234819935-0-cib.jpg?v=1768906021, friendlyName=Open</x:v>
      </x:c>
      <x:c r="C1144" s="24" t="e">
        <x:f>HYPERLINK("https://365nails.com/products/simple-french-white-toenail-tips-with-black-polka-dot-design","Simple french white toenail tips with black polka dot design")</x:f>
        <x:v>HYPERLINK is not implemented. linkLocation=https://365nails.com/products/simple-french-white-toenail-tips-with-black-polka-dot-design, friendlyName=Simple french white toenail tips with black polka dot design</x:v>
      </x:c>
      <x:c r="D1144" s="18" t="str">
        <x:v>Color: Jp 4246</x:v>
      </x:c>
      <x:c r="E1144" s="25" t="str">
        <x:v>$0.72</x:v>
      </x:c>
      <x:c r="F1144" s="19" t="str">
        <x:v>1</x:v>
      </x:c>
    </x:row>
    <x:row r="1145" ht="93" customHeight="1">
      <x:c r="A1145" s="19" t="n">
        <x:v>1142</x:v>
      </x:c>
      <x:c r="B1145" s="22" t="e">
        <x:f>HYPERLINK("https://cdn.shopify.com/s/files/1/0918/6066/4603/files/O1CN01uzk6as2NGI1rqyUv6__4234819935-0-cib.jpg?v=1768905958","Open")</x:f>
        <x:v>HYPERLINK is not implemented. linkLocation=https://cdn.shopify.com/s/files/1/0918/6066/4603/files/O1CN01uzk6as2NGI1rqyUv6__4234819935-0-cib.jpg?v=1768905958, friendlyName=Open</x:v>
      </x:c>
      <x:c r="C1145" s="24" t="e">
        <x:f>HYPERLINK("https://365nails.com/products/bestselling-solid-blue-toenail-tips-press-on-toenail-art-with-glitter-coating","Bestselling solid blue toenail tips - press-on toenail art with glitter coating")</x:f>
        <x:v>HYPERLINK is not implemented. linkLocation=https://365nails.com/products/bestselling-solid-blue-toenail-tips-press-on-toenail-art-with-glitter-coating, friendlyName=Bestselling solid blue toenail tips - press-on toenail art with glitter coating</x:v>
      </x:c>
      <x:c r="D1145" s="18" t="str">
        <x:v>Color: Jp 4243</x:v>
      </x:c>
      <x:c r="E1145" s="25" t="str">
        <x:v>$1.11</x:v>
      </x:c>
      <x:c r="F1145" s="19" t="str">
        <x:v>1</x:v>
      </x:c>
    </x:row>
    <x:row r="1146" ht="93" customHeight="1">
      <x:c r="A1146" s="19" t="n">
        <x:v>1143</x:v>
      </x:c>
      <x:c r="B1146" s="22" t="e">
        <x:f>HYPERLINK("https://cdn.shopify.com/s/files/1/0918/6066/4603/files/O1CN01LztBuw2MQzdql1z98__2219089449823-0-cib_1321e72c-7bcf-48fc-a940-53ab9a0d0a78.jpg?v=1767944851","Open")</x:f>
        <x:v>HYPERLINK is not implemented. linkLocation=https://cdn.shopify.com/s/files/1/0918/6066/4603/files/O1CN01LztBuw2MQzdql1z98__2219089449823-0-cib_1321e72c-7bcf-48fc-a940-53ab9a0d0a78.jpg?v=1767944851, friendlyName=Open</x:v>
      </x:c>
      <x:c r="C1146" s="24" t="e">
        <x:f>HYPERLINK("https://365nails.com/products/colorful-floral-sculpted-art-statement-press-on-nails","Colorful Floral Sculpted Art Statement Press On Nails")</x:f>
        <x:v>HYPERLINK is not implemented. linkLocation=https://365nails.com/products/colorful-floral-sculpted-art-statement-press-on-nails, friendlyName=Colorful Floral Sculpted Art Statement Press On Nails</x:v>
      </x:c>
      <x:c r="D1146" s="18" t="str">
        <x:v>Color: Jsa11; Color classification: S / M / L; Length: 5cm</x:v>
      </x:c>
      <x:c r="E1146" s="25" t="str">
        <x:v>$5.99</x:v>
      </x:c>
      <x:c r="F1146" s="19" t="str">
        <x:v>1</x:v>
      </x:c>
    </x:row>
    <x:row r="1147" ht="93" customHeight="1">
      <x:c r="A1147" s="19" t="n">
        <x:v>1144</x:v>
      </x:c>
      <x:c r="B1147" s="22" t="e">
        <x:f>HYPERLINK("https://cdn.shopify.com/s/files/1/0918/6066/4603/files/21598813244_2037667256.jpg?v=1753432098","Open")</x:f>
        <x:v>HYPERLINK is not implemented. linkLocation=https://cdn.shopify.com/s/files/1/0918/6066/4603/files/21598813244_2037667256.jpg?v=1753432098, friendlyName=Open</x:v>
      </x:c>
      <x:c r="C1147" s="24" t="e">
        <x:f>HYPERLINK("https://365nails.com/products/ice-and-snow-glitter-short-ballet-foreign-trade-wear-nail-art-finished-fake-nail-nail-patch-nail-patch-nail-patch-nail-patch-365nails","Ice and Snow Glitter Short Ballet  Wear Nail Art Finished     ｜365nails")</x:f>
        <x:v>HYPERLINK is not implemented. linkLocation=https://365nails.com/products/ice-and-snow-glitter-short-ballet-foreign-trade-wear-nail-art-finished-fake-nail-nail-patch-nail-patch-nail-patch-nail-patch-365nails, friendlyName=Ice and Snow Glitter Short Ballet  Wear Nail Art Finished     ｜365nails</x:v>
      </x:c>
      <x:c r="D1147" s="18" t="str">
        <x:v>color: JP921</x:v>
      </x:c>
      <x:c r="E1147" s="25" t="str">
        <x:v>$0.70</x:v>
      </x:c>
      <x:c r="F1147" s="19" t="str">
        <x:v>1</x:v>
      </x:c>
    </x:row>
    <x:row r="1148" ht="93" customHeight="1">
      <x:c r="A1148" s="19" t="n">
        <x:v>1145</x:v>
      </x:c>
      <x:c r="B1148" s="22" t="e">
        <x:f>HYPERLINK("https://cdn.shopify.com/s/files/1/0918/6066/4603/files/O1CN011HYL7J2NGHhWDuXzU__4234819935-0-cib_fa3b86a9-3342-488c-a2fd-dbb47dbd3375.jpg?v=1753432080","Open")</x:f>
        <x:v>HYPERLINK is not implemented. linkLocation=https://cdn.shopify.com/s/files/1/0918/6066/4603/files/O1CN011HYL7J2NGHhWDuXzU__4234819935-0-cib_fa3b86a9-3342-488c-a2fd-dbb47dbd3375.jpg?v=1753432080, friendlyName=Open</x:v>
      </x:c>
      <x:c r="C1148" s="24" t="e">
        <x:f>HYPERLINK("https://365nails.com/products/wear-short-nail-pads-solid-color-milky-white-short-ballet-nail-pads-wear-fake-nail-pads-nail-pads-and-finished-nail-pads-365nails-1","Wear short nail pads, solid color milky white short ballet nail pads, wear fake nail pads, nail pads, and finished nail pads.｜365nails")</x:f>
        <x:v>HYPERLINK is not implemented. linkLocation=https://365nails.com/products/wear-short-nail-pads-solid-color-milky-white-short-ballet-nail-pads-wear-fake-nail-pads-nail-pads-and-finished-nail-pads-365nails-1, friendlyName=Wear short nail pads, solid color milky white short ballet nail pads, wear fake nail pads, nail pads, and finished nail pads.｜365nails</x:v>
      </x:c>
      <x:c r="D1148" s="18" t="str">
        <x:v>color: JP2071</x:v>
      </x:c>
      <x:c r="E1148" s="25" t="str">
        <x:v>$0.60</x:v>
      </x:c>
      <x:c r="F1148" s="19" t="str">
        <x:v>1</x:v>
      </x:c>
    </x:row>
    <x:row r="1149" ht="93" customHeight="1">
      <x:c r="A1149" s="19" t="n">
        <x:v>1146</x:v>
      </x:c>
      <x:c r="B1149" s="22" t="e">
        <x:f>HYPERLINK("https://cdn.shopify.com/s/files/1/0918/6066/4603/files/O1CN01tYoJtT27ZUmjCamua__2220024697811-0-cib.jpg?v=1772373511","Open")</x:f>
        <x:v>HYPERLINK is not implemented. linkLocation=https://cdn.shopify.com/s/files/1/0918/6066/4603/files/O1CN01tYoJtT27ZUmjCamua__2220024697811-0-cib.jpg?v=1772373511, friendlyName=Open</x:v>
      </x:c>
      <x:c r="C1149" s="24" t="e">
        <x:f>HYPERLINK("https://365nails.com/products/royal-baroque-collection-golden-jewel-short-square-press-on-nails","Royal Baroque Collection: ""Golden Jewel"" – Short Square Press-On Nails")</x:f>
        <x:v>HYPERLINK is not implemented. linkLocation=https://365nails.com/products/royal-baroque-collection-golden-jewel-short-square-press-on-nails, friendlyName=Royal Baroque Collection: "Golden Jewel" – Short Square Press-On Nails</x:v>
      </x:c>
      <x:c r="D1149" s="18" t="str">
        <x:v>Color: European side; Color classification: X s / S / M / L</x:v>
      </x:c>
      <x:c r="E1149" s="25" t="str">
        <x:v>$4.43</x:v>
      </x:c>
      <x:c r="F1149" s="19" t="str">
        <x:v>1</x:v>
      </x:c>
    </x:row>
    <x:row r="1150" ht="93" customHeight="1">
      <x:c r="A1150" s="19" t="n">
        <x:v>1147</x:v>
      </x:c>
      <x:c r="B1150" s="22" t="e">
        <x:f>HYPERLINK("https://cdn.shopify.com/s/files/1/0918/6066/4603/files/O1CN019kGuxL2NGI2JaD6E2__4234819935-0-cib.jpg?v=1772116929","Open")</x:f>
        <x:v>HYPERLINK is not implemented. linkLocation=https://cdn.shopify.com/s/files/1/0918/6066/4603/files/O1CN019kGuxL2NGI2JaD6E2__4234819935-0-cib.jpg?v=1772116929, friendlyName=Open</x:v>
      </x:c>
      <x:c r="C1150" s="24" t="e">
        <x:f>HYPERLINK("https://365nails.com/products/french-square-press-on-nails-with-gold-bow-rhinestone-accents","French Square Press On Nails with Gold Bow &amp; Rhinestone Accents")</x:f>
        <x:v>HYPERLINK is not implemented. linkLocation=https://365nails.com/products/french-square-press-on-nails-with-gold-bow-rhinestone-accents, friendlyName=French Square Press On Nails with Gold Bow &amp; Rhinestone Accents</x:v>
      </x:c>
      <x:c r="D1150" s="18" t="str">
        <x:v>Color: Jp 4298</x:v>
      </x:c>
      <x:c r="E1150" s="25" t="str">
        <x:v>$1.43</x:v>
      </x:c>
      <x:c r="F1150" s="19" t="str">
        <x:v>3</x:v>
      </x:c>
    </x:row>
    <x:row r="1151" ht="93" customHeight="1">
      <x:c r="A1151" s="19" t="n">
        <x:v>1148</x:v>
      </x:c>
      <x:c r="B1151" s="22" t="e">
        <x:f>HYPERLINK("https://cdn.shopify.com/s/files/1/0918/6066/4603/files/O1CN01oKND5X2NGI29uSWXl__4234819935-0-cib.jpg?v=1772116897","Open")</x:f>
        <x:v>HYPERLINK is not implemented. linkLocation=https://cdn.shopify.com/s/files/1/0918/6066/4603/files/O1CN01oKND5X2NGI29uSWXl__4234819935-0-cib.jpg?v=1772116897, friendlyName=Open</x:v>
      </x:c>
      <x:c r="C1151" s="24" t="e">
        <x:f>HYPERLINK("https://365nails.com/products/glossy-pearl-white-press-on-toenails-with-square-shape","Glossy Pearl White Press On Toenails with Square Shape")</x:f>
        <x:v>HYPERLINK is not implemented. linkLocation=https://365nails.com/products/glossy-pearl-white-press-on-toenails-with-square-shape, friendlyName=Glossy Pearl White Press On Toenails with Square Shape</x:v>
      </x:c>
      <x:c r="D1151" s="18" t="str">
        <x:v>Color: Jp 4245</x:v>
      </x:c>
      <x:c r="E1151" s="25" t="str">
        <x:v>$1.12</x:v>
      </x:c>
      <x:c r="F1151" s="19" t="str">
        <x:v>3</x:v>
      </x:c>
    </x:row>
    <x:row r="1152" ht="93" customHeight="1">
      <x:c r="A1152" s="19" t="n">
        <x:v>1149</x:v>
      </x:c>
      <x:c r="B1152" s="22" t="e">
        <x:f>HYPERLINK("https://cdn.shopify.com/s/files/1/0918/6066/4603/files/46a66ccc66121eb366f93578a1880f79_f227000a-e4c9-4df4-86a6-68c2d582a86b.jpg?v=1771832450","Open")</x:f>
        <x:v>HYPERLINK is not implemented. linkLocation=https://cdn.shopify.com/s/files/1/0918/6066/4603/files/46a66ccc66121eb366f93578a1880f79_f227000a-e4c9-4df4-86a6-68c2d582a86b.jpg?v=1771832450, friendlyName=Open</x:v>
      </x:c>
      <x:c r="C1152" s="24" t="e">
        <x:f>HYPERLINK("https://365nails.com/products/premium-double-sided-color-mailer-boxes-custom-logo-corrugated-shipping-box","Premium Double-Sided Color Mailer Boxes – Custom Logo Corrugated Shipping Box (MOQ 100)")</x:f>
        <x:v>HYPERLINK is not implemented. linkLocation=https://365nails.com/products/premium-double-sided-color-mailer-boxes-custom-logo-corrugated-shipping-box, friendlyName=Premium Double-Sided Color Mailer Boxes – Custom Logo Corrugated Shipping Box (MOQ 100)</x:v>
      </x:c>
      <x:c r="D1152" s="18" t="str">
        <x:v>Material hardness level: Double-sided brown / Double sided orange / Double sided grass green / High-end kraft cardboard / Double sided black / Double sided light green / Double sided yellow / Double sided pink / Double sided purple / Double sided white card / Double sided red / Double sided cherry blossom powder / Double sided gray / Double sided light blue / Double sided dark blue; Size: T0 [150*100*40mm] / T1 [150*150*50mm] / T2 [200*140*40mm] / T3 [270*165*50mm] / T4 [250*200*70mm] / T5 [300*215*50mm] / T6 [330*230*50mm] / T7 [360*250*120mm] / T8 [360*300*60mm] / T9 [370*270*70mm] / T10 [360*260*60mm] / T11 [360*240*80mm] / T13 [450*350*100mm] / T14 [250*250*100mm] / T15 [200*140*80mm] / T16 [400*300*80mm] / T17 [300*200*80mm]</x:v>
      </x:c>
      <x:c r="E1152" s="25" t="str">
        <x:v>$0.14–$1.42</x:v>
      </x:c>
      <x:c r="F1152" s="19" t="str">
        <x:v>100</x:v>
      </x:c>
    </x:row>
    <x:row r="1153" ht="93" customHeight="1">
      <x:c r="A1153" s="19" t="n">
        <x:v>1150</x:v>
      </x:c>
      <x:c r="B1153" s="22" t="e">
        <x:f>HYPERLINK("https://cdn.shopify.com/s/files/1/0918/6066/4603/files/O1CN01BoC81Z2MQzdqjXxYh__2219089449823-0-cib_ffcdc32c-ad3b-45be-b66f-f0674af9fec6.jpg?v=1767944687","Open")</x:f>
        <x:v>HYPERLINK is not implemented. linkLocation=https://cdn.shopify.com/s/files/1/0918/6066/4603/files/O1CN01BoC81Z2MQzdqjXxYh__2219089449823-0-cib_ffcdc32c-ad3b-45be-b66f-f0674af9fec6.jpg?v=1767944687, friendlyName=Open</x:v>
      </x:c>
      <x:c r="C1153" s="24" t="e">
        <x:f>HYPERLINK("https://365nails.com/products/black-white-floral-extra-long-coffin-press-on-nails","Black White Floral Extra Long Coffin Press On Nails")</x:f>
        <x:v>HYPERLINK is not implemented. linkLocation=https://365nails.com/products/black-white-floral-extra-long-coffin-press-on-nails, friendlyName=Black White Floral Extra Long Coffin Press On Nails</x:v>
      </x:c>
      <x:c r="D1153" s="18" t="str">
        <x:v>Color: Jsb04    1.1; Color classification: S / M / L; Length: 5cm</x:v>
      </x:c>
      <x:c r="E1153" s="25" t="str">
        <x:v>$6.99</x:v>
      </x:c>
      <x:c r="F1153" s="19" t="str">
        <x:v>1</x:v>
      </x:c>
    </x:row>
    <x:row r="1154" ht="93" customHeight="1">
      <x:c r="A1154" s="19" t="n">
        <x:v>1151</x:v>
      </x:c>
      <x:c r="B1154" s="22" t="e">
        <x:f>HYPERLINK("https://cdn.shopify.com/s/files/1/0918/6066/4603/files/O1CN012EtyiL1rlpSRwBNHc__2215158925672-0-cib.jpg?v=1754447300","Open")</x:f>
        <x:v>HYPERLINK is not implemented. linkLocation=https://cdn.shopify.com/s/files/1/0918/6066/4603/files/O1CN012EtyiL1rlpSRwBNHc__2215158925672-0-cib.jpg?v=1754447300, friendlyName=Open</x:v>
      </x:c>
      <x:c r="C1154" s="24" t="e">
        <x:f>HYPERLINK("https://365nails.com/products/handmade-press-on-nails-spice-girl-cat-eye-nail-art-smudge-metal-wind-personalized-fake-nails-almond-nail-365nails","Metallic Butterfly Noir Medium Press-On Nails")</x:f>
        <x:v>HYPERLINK is not implemented. linkLocation=https://365nails.com/products/handmade-press-on-nails-spice-girl-cat-eye-nail-art-smudge-metal-wind-personalized-fake-nails-almond-nail-365nails, friendlyName=Metallic Butterfly Noir Medium Press-On Nails</x:v>
      </x:c>
      <x:c r="D1154" s="18" t="str">
        <x:v>Color: medium almond; Color classification: XS / S / M / L</x:v>
      </x:c>
      <x:c r="E1154" s="25" t="str">
        <x:v>$2.99</x:v>
      </x:c>
      <x:c r="F1154" s="19" t="str">
        <x:v>30</x:v>
      </x:c>
    </x:row>
    <x:row r="1155" ht="93" customHeight="1">
      <x:c r="A1155" s="19" t="n">
        <x:v>1152</x:v>
      </x:c>
      <x:c r="B1155" s="22" t="e">
        <x:f>HYPERLINK("https://cdn.shopify.com/s/files/1/0918/6066/4603/files/O1CN01CCKD3H2NGHcSpPOzz__4234819935-0-cib.jpg?v=1753432135","Open")</x:f>
        <x:v>HYPERLINK is not implemented. linkLocation=https://cdn.shopify.com/s/files/1/0918/6066/4603/files/O1CN01CCKD3H2NGHcSpPOzz__4234819935-0-cib.jpg?v=1753432135, friendlyName=Open</x:v>
      </x:c>
      <x:c r="C1155" s="24" t="e">
        <x:f>HYPERLINK("https://365nails.com/products/nude-simple-french-bow-wearing-nail-art-finished-fake-nail-nail-art-patch-nail-patch-removable-nail-piece-365nails","Nude simple French bow press on nails art finished fake nail nail art patch nail patch removable nail piece｜365nails")</x:f>
        <x:v>HYPERLINK is not implemented. linkLocation=https://365nails.com/products/nude-simple-french-bow-wearing-nail-art-finished-fake-nail-nail-art-patch-nail-patch-removable-nail-piece-365nails, friendlyName=Nude simple French bow press on nails art finished fake nail nail art patch nail patch removable nail piece｜365nails</x:v>
      </x:c>
      <x:c r="D1155" s="18" t="str">
        <x:v>color: JP1213</x:v>
      </x:c>
      <x:c r="E1155" s="25" t="str">
        <x:v>$1.03</x:v>
      </x:c>
      <x:c r="F1155" s="19" t="str">
        <x:v>1</x:v>
      </x:c>
    </x:row>
    <x:row r="1156" ht="93" customHeight="1">
      <x:c r="A1156" s="19" t="n">
        <x:v>1153</x:v>
      </x:c>
      <x:c r="B1156" s="22" t="e">
        <x:f>HYPERLINK("https://cdn.shopify.com/s/files/1/0918/6066/4603/files/O1CN01pYOcNn2NGI1Yf6jOk__4234819935-0-cib.jpg?v=1768906031","Open")</x:f>
        <x:v>HYPERLINK is not implemented. linkLocation=https://cdn.shopify.com/s/files/1/0918/6066/4603/files/O1CN01pYOcNn2NGI1Yf6jOk__4234819935-0-cib.jpg?v=1768906031, friendlyName=Open</x:v>
      </x:c>
      <x:c r="C1156" s="24" t="e">
        <x:f>HYPERLINK("https://365nails.com/products/brown-french-sweet-wearable-nails-almond-nails-cow-pattern-manicure-nails","Brown french sweet wearable nails almond nails cow pattern manicure nails")</x:f>
        <x:v>HYPERLINK is not implemented. linkLocation=https://365nails.com/products/brown-french-sweet-wearable-nails-almond-nails-cow-pattern-manicure-nails, friendlyName=Brown french sweet wearable nails almond nails cow pattern manicure nails</x:v>
      </x:c>
      <x:c r="D1156" s="18" t="str">
        <x:v>Color: Jp 4187</x:v>
      </x:c>
      <x:c r="E1156" s="25" t="str">
        <x:v>$1.51</x:v>
      </x:c>
      <x:c r="F1156" s="19" t="str">
        <x:v>1</x:v>
      </x:c>
    </x:row>
    <x:row r="1157" ht="93" customHeight="1">
      <x:c r="A1157" s="19" t="n">
        <x:v>1154</x:v>
      </x:c>
      <x:c r="B1157" s="22" t="e">
        <x:f>HYPERLINK("https://cdn.shopify.com/s/files/1/0918/6066/4603/files/O1CN01YH9Sqw2NGI1n1Txf4__4234819935-0-cib.jpg?v=1768905965","Open")</x:f>
        <x:v>HYPERLINK is not implemented. linkLocation=https://cdn.shopify.com/s/files/1/0918/6066/4603/files/O1CN01YH9Sqw2NGI1n1Txf4__4234819935-0-cib.jpg?v=1768905965, friendlyName=Open</x:v>
      </x:c>
      <x:c r="C1157" s="24" t="e">
        <x:f>HYPERLINK("https://365nails.com/products/almond-wearable-nail-tips-colorful-striped-nail-art-star-nail-stickers","Almond wearable nail tips - colorful striped nail art - star nail stickers")</x:f>
        <x:v>HYPERLINK is not implemented. linkLocation=https://365nails.com/products/almond-wearable-nail-tips-colorful-striped-nail-art-star-nail-stickers, friendlyName=Almond wearable nail tips - colorful striped nail art - star nail stickers</x:v>
      </x:c>
      <x:c r="D1157" s="18" t="str">
        <x:v>Color: Jp 4232</x:v>
      </x:c>
      <x:c r="E1157" s="25" t="str">
        <x:v>$1.63</x:v>
      </x:c>
      <x:c r="F1157" s="19" t="str">
        <x:v>1</x:v>
      </x:c>
    </x:row>
    <x:row r="1158" ht="93" customHeight="1">
      <x:c r="A1158" s="19" t="n">
        <x:v>1155</x:v>
      </x:c>
      <x:c r="B1158" s="22" t="e">
        <x:f>HYPERLINK("https://cdn.shopify.com/s/files/1/0918/6066/4603/files/O1CN01w4cdTm2MQzez4Pblx__2219089449823-0-cib.jpg?v=1767850601","Open")</x:f>
        <x:v>HYPERLINK is not implemented. linkLocation=https://cdn.shopify.com/s/files/1/0918/6066/4603/files/O1CN01w4cdTm2MQzez4Pblx__2219089449823-0-cib.jpg?v=1767850601, friendlyName=Open</x:v>
      </x:c>
      <x:c r="C1158" s="24" t="e">
        <x:f>HYPERLINK("https://365nails.com/products/colorful-candy-dot-pop-art-press-on-nails","Colorful Candy Dot Pop Art Press On Nails")</x:f>
        <x:v>HYPERLINK is not implemented. linkLocation=https://365nails.com/products/colorful-candy-dot-pop-art-press-on-nails, friendlyName=Colorful Candy Dot Pop Art Press On Nails</x:v>
      </x:c>
      <x:c r="D1158" s="18" t="str">
        <x:v>Color: M056; Color classification: S / M / L</x:v>
      </x:c>
      <x:c r="E1158" s="25" t="str">
        <x:v>$5.99</x:v>
      </x:c>
      <x:c r="F1158" s="19" t="str">
        <x:v>1</x:v>
      </x:c>
    </x:row>
    <x:row r="1159" ht="93" customHeight="1">
      <x:c r="A1159" s="19" t="n">
        <x:v>1156</x:v>
      </x:c>
      <x:c r="B1159" s="22" t="e">
        <x:f>HYPERLINK("https://cdn.shopify.com/s/files/1/0918/6066/4603/files/O1CN01YNoyIW2NGHfAmDKBt__4234819935-0-cib.jpg?v=1753432297","Open")</x:f>
        <x:v>HYPERLINK is not implemented. linkLocation=https://cdn.shopify.com/s/files/1/0918/6066/4603/files/O1CN01YNoyIW2NGHfAmDKBt__4234819935-0-cib.jpg?v=1753432297, friendlyName=Open</x:v>
      </x:c>
      <x:c r="C1159" s="24" t="e">
        <x:f>HYPERLINK("https://365nails.com/products/french-wear-nail-black-and-white-smudge-cross-long-ballet-nail-piece-fake-nail-nail-nail-piece-wholesale-nail-piece-365nails","French wear nail black and white smudge cross long ballet nail piece fake nail nail nail piece wholesale nail piece｜365nails")</x:f>
        <x:v>HYPERLINK is not implemented. linkLocation=https://365nails.com/products/french-wear-nail-black-and-white-smudge-cross-long-ballet-nail-piece-fake-nail-nail-nail-piece-wholesale-nail-piece-365nails, friendlyName=French wear nail black and white smudge cross long ballet nail piece fake nail nail nail piece wholesale nail piece｜365nails</x:v>
      </x:c>
      <x:c r="D1159" s="18" t="str">
        <x:v>color: JP1598</x:v>
      </x:c>
      <x:c r="E1159" s="25" t="str">
        <x:v>$1.16</x:v>
      </x:c>
      <x:c r="F1159" s="19" t="str">
        <x:v>1</x:v>
      </x:c>
    </x:row>
    <x:row r="1160" ht="93" customHeight="1">
      <x:c r="A1160" s="19" t="n">
        <x:v>1157</x:v>
      </x:c>
      <x:c r="B1160" s="22" t="e">
        <x:f>HYPERLINK("https://cdn.shopify.com/s/files/1/0918/6066/4603/files/21404333828_2037667256.jpg?v=1753432083","Open")</x:f>
        <x:v>HYPERLINK is not implemented. linkLocation=https://cdn.shopify.com/s/files/1/0918/6066/4603/files/21404333828_2037667256.jpg?v=1753432083, friendlyName=Open</x:v>
      </x:c>
      <x:c r="C1160" s="24" t="e">
        <x:f>HYPERLINK("https://365nails.com/products/snowflake-silver-flash-gradual-change-christmas-wear-nail-finished-fake-nail-nail-patch-nail-patch-waterproof-removable-365nails","Snowflake silver flash gradual change Christmas wear nail finished fake nail nail patch nail patch waterproof removable｜365nails")</x:f>
        <x:v>HYPERLINK is not implemented. linkLocation=https://365nails.com/products/snowflake-silver-flash-gradual-change-christmas-wear-nail-finished-fake-nail-nail-patch-nail-patch-waterproof-removable-365nails, friendlyName=Snowflake silver flash gradual change Christmas wear nail finished fake nail nail patch nail patch waterproof removable｜365nails</x:v>
      </x:c>
      <x:c r="D1160" s="18" t="str">
        <x:v>color: JP919</x:v>
      </x:c>
      <x:c r="E1160" s="25" t="str">
        <x:v>$0.70</x:v>
      </x:c>
      <x:c r="F1160" s="19" t="str">
        <x:v>1</x:v>
      </x:c>
    </x:row>
    <x:row r="1161" ht="93" customHeight="1">
      <x:c r="A1161" s="19" t="n">
        <x:v>1158</x:v>
      </x:c>
      <x:c r="B1161" s="22" t="e">
        <x:f>HYPERLINK("https://cdn.shopify.com/s/files/1/0918/6066/4603/files/O1CN01xO31Aq27ZUmnnDTOj__2220024697811-0-cib.jpg?v=1772373506","Open")</x:f>
        <x:v>HYPERLINK is not implemented. linkLocation=https://cdn.shopify.com/s/files/1/0918/6066/4603/files/O1CN01xO31Aq27ZUmnnDTOj__2220024697811-0-cib.jpg?v=1772373506, friendlyName=Open</x:v>
      </x:c>
      <x:c r="C1161" s="24" t="e">
        <x:f>HYPERLINK("https://365nails.com/products/gothic-lolita-collection-dark-cherry-short-square-press-on-nails","Gothic Lolita Collection: ""Dark Cherry"" – Short Square Press-On Nails")</x:f>
        <x:v>HYPERLINK is not implemented. linkLocation=https://365nails.com/products/gothic-lolita-collection-dark-cherry-short-square-press-on-nails, friendlyName=Gothic Lolita Collection: "Dark Cherry" – Short Square Press-On Nails</x:v>
      </x:c>
      <x:c r="D1161" s="18" t="str">
        <x:v>Color: European side; Color classification: X s / S / M / L</x:v>
      </x:c>
      <x:c r="E1161" s="25" t="str">
        <x:v>$4.01</x:v>
      </x:c>
      <x:c r="F1161" s="19" t="str">
        <x:v>1</x:v>
      </x:c>
    </x:row>
    <x:row r="1162" ht="93" customHeight="1">
      <x:c r="A1162" s="19" t="n">
        <x:v>1159</x:v>
      </x:c>
      <x:c r="B1162" s="22" t="e">
        <x:f>HYPERLINK("https://cdn.shopify.com/s/files/1/0918/6066/4603/files/O1CN01PKj2c82NGI2JEHy9Z__4234819935-0-cib.jpg?v=1772117012","Open")</x:f>
        <x:v>HYPERLINK is not implemented. linkLocation=https://cdn.shopify.com/s/files/1/0918/6066/4603/files/O1CN01PKj2c82NGI2JEHy9Z__4234819935-0-cib.jpg?v=1772117012, friendlyName=Open</x:v>
      </x:c>
      <x:c r="C1162" s="24" t="e">
        <x:f>HYPERLINK("https://365nails.com/products/short-almond-press-on-nails-with-pink-base-red-polka-dot-plaid-accents-1","Short Almond Press On Nails with Pink Base &amp; Red Polka Dot &amp; Plaid Accents")</x:f>
        <x:v>HYPERLINK is not implemented. linkLocation=https://365nails.com/products/short-almond-press-on-nails-with-pink-base-red-polka-dot-plaid-accents-1, friendlyName=Short Almond Press On Nails with Pink Base &amp; Red Polka Dot &amp; Plaid Accents</x:v>
      </x:c>
      <x:c r="D1162" s="18" t="str">
        <x:v>Color: Jp 4306</x:v>
      </x:c>
      <x:c r="E1162" s="25" t="str">
        <x:v>$1.91</x:v>
      </x:c>
      <x:c r="F1162" s="19" t="str">
        <x:v>3</x:v>
      </x:c>
    </x:row>
    <x:row r="1163" ht="93" customHeight="1">
      <x:c r="A1163" s="19" t="n">
        <x:v>1160</x:v>
      </x:c>
      <x:c r="B1163" s="22" t="e">
        <x:f>HYPERLINK("https://cdn.shopify.com/s/files/1/0918/6066/4603/files/O1CN01PGSm762NGI2InKRVx__4234819935-0-cib.jpg?v=1772116994","Open")</x:f>
        <x:v>HYPERLINK is not implemented. linkLocation=https://cdn.shopify.com/s/files/1/0918/6066/4603/files/O1CN01PGSm762NGI2InKRVx__4234819935-0-cib.jpg?v=1772116994, friendlyName=Open</x:v>
      </x:c>
      <x:c r="C1163" s="24" t="e">
        <x:f>HYPERLINK("https://365nails.com/products/short-almond-press-on-nails-with-pink-base-white-floral-accents-1","Short Almond Press On Nails with Pink Base &amp; White Floral Accents")</x:f>
        <x:v>HYPERLINK is not implemented. linkLocation=https://365nails.com/products/short-almond-press-on-nails-with-pink-base-white-floral-accents-1, friendlyName=Short Almond Press On Nails with Pink Base &amp; White Floral Accents</x:v>
      </x:c>
      <x:c r="D1163" s="18" t="str">
        <x:v>Color: Jp 4294</x:v>
      </x:c>
      <x:c r="E1163" s="25" t="str">
        <x:v>$2.20</x:v>
      </x:c>
      <x:c r="F1163" s="19" t="str">
        <x:v>3</x:v>
      </x:c>
    </x:row>
    <x:row r="1164" ht="93" customHeight="1">
      <x:c r="A1164" s="19" t="n">
        <x:v>1161</x:v>
      </x:c>
      <x:c r="B1164" s="22" t="e">
        <x:f>HYPERLINK("https://cdn.shopify.com/s/files/1/0918/6066/4603/files/O1CN01asQKW52NGHk78msRj__4234819935-0-cib.jpg?v=1753432150","Open")</x:f>
        <x:v>HYPERLINK is not implemented. linkLocation=https://cdn.shopify.com/s/files/1/0918/6066/4603/files/O1CN01asQKW52NGHk78msRj__4234819935-0-cib.jpg?v=1753432150, friendlyName=Open</x:v>
      </x:c>
      <x:c r="C1164" s="24" t="e">
        <x:f>HYPERLINK("https://365nails.com/products/wear-nail-piece-nude-rhinestone-white-line-nail-patch-wear-nail-nail-finished-fake-nail-nails-365nails","Wear nail piece Nude rhinestone white line nail patch Wear nail nail finished fake nail nails｜365nails")</x:f>
        <x:v>HYPERLINK is not implemented. linkLocation=https://365nails.com/products/wear-nail-piece-nude-rhinestone-white-line-nail-patch-wear-nail-nail-finished-fake-nail-nails-365nails, friendlyName=Wear nail piece Nude rhinestone white line nail patch Wear nail nail finished fake nail nails｜365nails</x:v>
      </x:c>
      <x:c r="D1164" s="18" t="str">
        <x:v>color: JP2308</x:v>
      </x:c>
      <x:c r="E1164" s="25" t="str">
        <x:v>$1.08</x:v>
      </x:c>
      <x:c r="F1164" s="19" t="str">
        <x:v>1</x:v>
      </x:c>
    </x:row>
    <x:row r="1165" ht="93" customHeight="1">
      <x:c r="A1165" s="19" t="n">
        <x:v>1162</x:v>
      </x:c>
      <x:c r="B1165" s="22" t="e">
        <x:f>HYPERLINK("https://cdn.shopify.com/s/files/1/0918/6066/4603/files/O1CN015Z5wT52NGI1bXr82c__4234819935-0-cib.jpg?v=1768905996","Open")</x:f>
        <x:v>HYPERLINK is not implemented. linkLocation=https://cdn.shopify.com/s/files/1/0918/6066/4603/files/O1CN015Z5wT52NGI1bXr82c__4234819935-0-cib.jpg?v=1768905996, friendlyName=Open</x:v>
      </x:c>
      <x:c r="C1165" s="24" t="e">
        <x:f>HYPERLINK("https://365nails.com/products/3d-floral-press-on-nails-french-style-autumn-winter-hot-seller-almond-shaped-nail-tips","3d floral press-on nails - french style, autumn/winter hot seller, almond shaped nail tips")</x:f>
        <x:v>HYPERLINK is not implemented. linkLocation=https://365nails.com/products/3d-floral-press-on-nails-french-style-autumn-winter-hot-seller-almond-shaped-nail-tips, friendlyName=3d floral press-on nails - french style, autumn/winter hot seller, almond shaped nail tips</x:v>
      </x:c>
      <x:c r="D1165" s="18" t="str">
        <x:v>Color: Jp 4055</x:v>
      </x:c>
      <x:c r="E1165" s="25" t="str">
        <x:v>$1.51</x:v>
      </x:c>
      <x:c r="F1165" s="19" t="str">
        <x:v>1</x:v>
      </x:c>
    </x:row>
    <x:row r="1166" ht="93" customHeight="1">
      <x:c r="A1166" s="19" t="n">
        <x:v>1163</x:v>
      </x:c>
      <x:c r="B1166" s="22" t="e">
        <x:f>HYPERLINK("https://cdn.shopify.com/s/files/1/0918/6066/4603/files/O1CN01QRvro12NGI1GxKdCz__4234819935-0-cib.jpg?v=1768905932","Open")</x:f>
        <x:v>HYPERLINK is not implemented. linkLocation=https://cdn.shopify.com/s/files/1/0918/6066/4603/files/O1CN01QRvro12NGI1GxKdCz__4234819935-0-cib.jpg?v=1768905932, friendlyName=Open</x:v>
      </x:c>
      <x:c r="C1166" s="24" t="e">
        <x:f>HYPERLINK("https://365nails.com/products/gothic-black-ombre-press-on-nails-y2k-cool-spicy-short-almond-nails-manicure-nail-tips","Gothic black ombre press-on nails y2k cool spicy short almond nails manicure nail tips")</x:f>
        <x:v>HYPERLINK is not implemented. linkLocation=https://365nails.com/products/gothic-black-ombre-press-on-nails-y2k-cool-spicy-short-almond-nails-manicure-nail-tips, friendlyName=Gothic black ombre press-on nails y2k cool spicy short almond nails manicure nail tips</x:v>
      </x:c>
      <x:c r="D1166" s="18" t="str">
        <x:v>Color: Jp 4191</x:v>
      </x:c>
      <x:c r="E1166" s="25" t="str">
        <x:v>$0.89</x:v>
      </x:c>
      <x:c r="F1166" s="19" t="str">
        <x:v>1</x:v>
      </x:c>
    </x:row>
    <x:row r="1167" ht="93" customHeight="1">
      <x:c r="A1167" s="19" t="n">
        <x:v>1164</x:v>
      </x:c>
      <x:c r="B1167" s="22" t="e">
        <x:f>HYPERLINK("https://cdn.shopify.com/s/files/1/0918/6066/4603/files/O1CN01aqeWNA2MQzdrIMOQ4__2219089449823-0-cib_a2e326ab-5d35-4a43-a188-45ac2167a63e.jpg?v=1767944748","Open")</x:f>
        <x:v>HYPERLINK is not implemented. linkLocation=https://cdn.shopify.com/s/files/1/0918/6066/4603/files/O1CN01aqeWNA2MQzdrIMOQ4__2219089449823-0-cib_a2e326ab-5d35-4a43-a188-45ac2167a63e.jpg?v=1767944748, friendlyName=Open</x:v>
      </x:c>
      <x:c r="C1167" s="24" t="e">
        <x:f>HYPERLINK("https://365nails.com/products/blush-nude-crystal-floral-luxury-press-on-nails","Blush Nude Crystal Floral Luxury Press On Nails")</x:f>
        <x:v>HYPERLINK is not implemented. linkLocation=https://365nails.com/products/blush-nude-crystal-floral-luxury-press-on-nails, friendlyName=Blush Nude Crystal Floral Luxury Press On Nails</x:v>
      </x:c>
      <x:c r="D1167" s="18" t="str">
        <x:v>Color: Jsb03    1.1; Color classification: S / M / L; Length: 4cm</x:v>
      </x:c>
      <x:c r="E1167" s="25" t="str">
        <x:v>$6.99</x:v>
      </x:c>
      <x:c r="F1167" s="19" t="str">
        <x:v>1</x:v>
      </x:c>
    </x:row>
    <x:row r="1168" ht="93" customHeight="1">
      <x:c r="A1168" s="19" t="n">
        <x:v>1165</x:v>
      </x:c>
      <x:c r="B1168" s="22" t="e">
        <x:f>HYPERLINK("https://cdn.shopify.com/s/files/1/0918/6066/4603/files/O1CN01RPGxm82MQzdm3qKUa__2219089449823-0-cib_3f56e037-22d3-4665-9f34-553f1febf82f.jpg?v=1767944242","Open")</x:f>
        <x:v>HYPERLINK is not implemented. linkLocation=https://cdn.shopify.com/s/files/1/0918/6066/4603/files/O1CN01RPGxm82MQzdm3qKUa__2219089449823-0-cib_3f56e037-22d3-4665-9f34-553f1febf82f.jpg?v=1767944242, friendlyName=Open</x:v>
      </x:c>
      <x:c r="C1168" s="24" t="e">
        <x:f>HYPERLINK("https://365nails.com/products/retro-emerald-chrome-floral-extra-long-press-on-nails","Retro Emerald Chrome Floral Extra Long Press On Nails")</x:f>
        <x:v>HYPERLINK is not implemented. linkLocation=https://365nails.com/products/retro-emerald-chrome-floral-extra-long-press-on-nails, friendlyName=Retro Emerald Chrome Floral Extra Long Press On Nails</x:v>
      </x:c>
      <x:c r="D1168" s="18" t="str">
        <x:v>Color: M099; Color classification: S / M / L; Length: 5cm</x:v>
      </x:c>
      <x:c r="E1168" s="25" t="str">
        <x:v>$5.99</x:v>
      </x:c>
      <x:c r="F1168" s="19" t="str">
        <x:v>1</x:v>
      </x:c>
    </x:row>
    <x:row r="1169" ht="93" customHeight="1">
      <x:c r="A1169" s="19" t="n">
        <x:v>1166</x:v>
      </x:c>
      <x:c r="B1169" s="22" t="e">
        <x:f>HYPERLINK("https://cdn.shopify.com/s/files/1/0918/6066/4603/files/O1CN01kc0Wy42NGI2JP6i91__4234819935-0-cib.jpg?v=1772116998","Open")</x:f>
        <x:v>HYPERLINK is not implemented. linkLocation=https://cdn.shopify.com/s/files/1/0918/6066/4603/files/O1CN01kc0Wy42NGI2JP6i91__4234819935-0-cib.jpg?v=1772116998, friendlyName=Open</x:v>
      </x:c>
      <x:c r="C1169" s="24" t="e">
        <x:f>HYPERLINK("https://365nails.com/products/long-stiletto-press-on-nails-with-white-base-purple-floral-bow-accents","Long Stiletto Press On Nails with White Base &amp; Purple Floral &amp; Bow Accents")</x:f>
        <x:v>HYPERLINK is not implemented. linkLocation=https://365nails.com/products/long-stiletto-press-on-nails-with-white-base-purple-floral-bow-accents, friendlyName=Long Stiletto Press On Nails with White Base &amp; Purple Floral &amp; Bow Accents</x:v>
      </x:c>
      <x:c r="D1169" s="18" t="str">
        <x:v>Color: Jp 4316</x:v>
      </x:c>
      <x:c r="E1169" s="25" t="str">
        <x:v>$1.52</x:v>
      </x:c>
      <x:c r="F1169" s="19" t="str">
        <x:v>3</x:v>
      </x:c>
    </x:row>
    <x:row r="1170" ht="93" customHeight="1">
      <x:c r="A1170" s="19" t="n">
        <x:v>1167</x:v>
      </x:c>
      <x:c r="B1170" s="22" t="e">
        <x:f>HYPERLINK("https://cdn.shopify.com/s/files/1/0918/6066/4603/files/O1CN01GSGs2p2NGI2JZxsnH__4234819935-0-cib.jpg?v=1772116973","Open")</x:f>
        <x:v>HYPERLINK is not implemented. linkLocation=https://cdn.shopify.com/s/files/1/0918/6066/4603/files/O1CN01GSGs2p2NGI2JZxsnH__4234819935-0-cib.jpg?v=1772116973, friendlyName=Open</x:v>
      </x:c>
      <x:c r="C1170" s="24" t="e">
        <x:f>HYPERLINK("https://365nails.com/products/almond-press-on-nails-with-pearl-finish-gold-butterfly-accents-1","Almond Press On Nails with Pearl Finish &amp; Gold Butterfly Accents")</x:f>
        <x:v>HYPERLINK is not implemented. linkLocation=https://365nails.com/products/almond-press-on-nails-with-pearl-finish-gold-butterfly-accents-1, friendlyName=Almond Press On Nails with Pearl Finish &amp; Gold Butterfly Accents</x:v>
      </x:c>
      <x:c r="D1170" s="18" t="str">
        <x:v>Color: Jp 4233</x:v>
      </x:c>
      <x:c r="E1170" s="25" t="str">
        <x:v>$1.83</x:v>
      </x:c>
      <x:c r="F1170" s="19" t="str">
        <x:v>3</x:v>
      </x:c>
    </x:row>
    <x:row r="1171" ht="93" customHeight="1">
      <x:c r="A1171" s="19" t="n">
        <x:v>1168</x:v>
      </x:c>
      <x:c r="B1171" s="22" t="e">
        <x:f>HYPERLINK("https://cdn.shopify.com/s/files/1/0918/6066/4603/files/O1CN01GIVGsM2NGI2JjE1qN__4234819935-0-cib.jpg?v=1772116954","Open")</x:f>
        <x:v>HYPERLINK is not implemented. linkLocation=https://cdn.shopify.com/s/files/1/0918/6066/4603/files/O1CN01GIVGsM2NGI2JjE1qN__4234819935-0-cib.jpg?v=1772116954, friendlyName=Open</x:v>
      </x:c>
      <x:c r="C1171" s="24" t="e">
        <x:f>HYPERLINK("https://365nails.com/products/long-stiletto-press-on-nails-with-pink-bows-rhinestone-accents","Long Stiletto Press On Nails with Pink Bows &amp; Rhinestone Accents")</x:f>
        <x:v>HYPERLINK is not implemented. linkLocation=https://365nails.com/products/long-stiletto-press-on-nails-with-pink-bows-rhinestone-accents, friendlyName=Long Stiletto Press On Nails with Pink Bows &amp; Rhinestone Accents</x:v>
      </x:c>
      <x:c r="D1171" s="18" t="str">
        <x:v>Color: Jp 4300</x:v>
      </x:c>
      <x:c r="E1171" s="25" t="str">
        <x:v>$2.20</x:v>
      </x:c>
      <x:c r="F1171" s="19" t="str">
        <x:v>3</x:v>
      </x:c>
    </x:row>
    <x:row r="1172" ht="93" customHeight="1">
      <x:c r="A1172" s="19" t="n">
        <x:v>1169</x:v>
      </x:c>
      <x:c r="B1172" s="22" t="e">
        <x:f>HYPERLINK("https://cdn.shopify.com/s/files/1/0918/6066/4603/files/O1CN01zni6vK2NGI2KWFhJo__4234819935-0-cib.jpg?v=1772116923","Open")</x:f>
        <x:v>HYPERLINK is not implemented. linkLocation=https://cdn.shopify.com/s/files/1/0918/6066/4603/files/O1CN01zni6vK2NGI2KWFhJo__4234819935-0-cib.jpg?v=1772116923, friendlyName=Open</x:v>
      </x:c>
      <x:c r="C1172" s="24" t="e">
        <x:f>HYPERLINK("https://365nails.com/products/short-square-press-on-nails-with-pink-floral-design","Short Square Press On Nails with Pink Floral Design")</x:f>
        <x:v>HYPERLINK is not implemented. linkLocation=https://365nails.com/products/short-square-press-on-nails-with-pink-floral-design, friendlyName=Short Square Press On Nails with Pink Floral Design</x:v>
      </x:c>
      <x:c r="D1172" s="18" t="str">
        <x:v>Color: Jp 4296</x:v>
      </x:c>
      <x:c r="E1172" s="25" t="str">
        <x:v>$0.80</x:v>
      </x:c>
      <x:c r="F1172" s="19" t="str">
        <x:v>3</x:v>
      </x:c>
    </x:row>
    <x:row r="1173" ht="93" customHeight="1">
      <x:c r="A1173" s="19" t="n">
        <x:v>1170</x:v>
      </x:c>
      <x:c r="B1173" s="22" t="e">
        <x:f>HYPERLINK("https://cdn.shopify.com/s/files/1/0918/6066/4603/files/O1CN014yjfAv2NGI1Y4gJrl__4234819935-0-cib.jpg?v=1768906014","Open")</x:f>
        <x:v>HYPERLINK is not implemented. linkLocation=https://cdn.shopify.com/s/files/1/0918/6066/4603/files/O1CN014yjfAv2NGI1Y4gJrl__4234819935-0-cib.jpg?v=1768906014, friendlyName=Open</x:v>
      </x:c>
      <x:c r="C1173" s="24" t="e">
        <x:f>HYPERLINK("https://365nails.com/products/french-crocodile-pattern-five-pointed-star-manicure","French crocodile pattern five-pointed star manicure")</x:f>
        <x:v>HYPERLINK is not implemented. linkLocation=https://365nails.com/products/french-crocodile-pattern-five-pointed-star-manicure, friendlyName=French crocodile pattern five-pointed star manicure</x:v>
      </x:c>
      <x:c r="D1173" s="18" t="str">
        <x:v>Color: Jp 4220</x:v>
      </x:c>
      <x:c r="E1173" s="25" t="str">
        <x:v>$1.37</x:v>
      </x:c>
      <x:c r="F1173" s="19" t="str">
        <x:v>1</x:v>
      </x:c>
    </x:row>
    <x:row r="1174" ht="93" customHeight="1">
      <x:c r="A1174" s="19" t="n">
        <x:v>1171</x:v>
      </x:c>
      <x:c r="B1174" s="22" t="e">
        <x:f>HYPERLINK("https://cdn.shopify.com/s/files/1/0918/6066/4603/files/O1CN01GqyWdh2NGI20kCQWD__4234819935-0-cib.jpg?v=1768905937","Open")</x:f>
        <x:v>HYPERLINK is not implemented. linkLocation=https://cdn.shopify.com/s/files/1/0918/6066/4603/files/O1CN01GqyWdh2NGI20kCQWD__4234819935-0-cib.jpg?v=1768905937, friendlyName=Open</x:v>
      </x:c>
      <x:c r="C1174" s="24" t="e">
        <x:f>HYPERLINK("https://365nails.com/products/minimalist-nude-press-on-nails-with-glitter-plating-and-white-polka-dot-design","Minimalist nude press-on nails with glitter plating and white polka dot design")</x:f>
        <x:v>HYPERLINK is not implemented. linkLocation=https://365nails.com/products/minimalist-nude-press-on-nails-with-glitter-plating-and-white-polka-dot-design, friendlyName=Minimalist nude press-on nails with glitter plating and white polka dot design</x:v>
      </x:c>
      <x:c r="D1174" s="18" t="str">
        <x:v>Color: Jp 4236</x:v>
      </x:c>
      <x:c r="E1174" s="25" t="str">
        <x:v>$1.11</x:v>
      </x:c>
      <x:c r="F1174" s="19" t="str">
        <x:v>1</x:v>
      </x:c>
    </x:row>
    <x:row r="1175" ht="93" customHeight="1">
      <x:c r="A1175" s="19" t="n">
        <x:v>1172</x:v>
      </x:c>
      <x:c r="B1175" s="22" t="e">
        <x:f>HYPERLINK("https://cdn.shopify.com/s/files/1/0918/6066/4603/files/O1CN01kjGzIs2NGI1hn5oGd__4234819935-0-cib.jpg?v=1768905914","Open")</x:f>
        <x:v>HYPERLINK is not implemented. linkLocation=https://cdn.shopify.com/s/files/1/0918/6066/4603/files/O1CN01kjGzIs2NGI1hn5oGd__4234819935-0-cib.jpg?v=1768905914, friendlyName=Open</x:v>
      </x:c>
      <x:c r="C1175" s="24" t="e">
        <x:f>HYPERLINK("https://365nails.com/products/french-light-pink-toenail-tips-short-square-press-on-toenails-artificial-toenails","French light pink toenail tips short square press-on toenails artificial toenails")</x:f>
        <x:v>HYPERLINK is not implemented. linkLocation=https://365nails.com/products/french-light-pink-toenail-tips-short-square-press-on-toenails-artificial-toenails, friendlyName=French light pink toenail tips short square press-on toenails artificial toenails</x:v>
      </x:c>
      <x:c r="D1175" s="18" t="str">
        <x:v>Color: Jp 4239</x:v>
      </x:c>
      <x:c r="E1175" s="25" t="str">
        <x:v>$1.37</x:v>
      </x:c>
      <x:c r="F1175" s="19" t="str">
        <x:v>1</x:v>
      </x:c>
    </x:row>
    <x:row r="1176" ht="93" customHeight="1">
      <x:c r="A1176" s="19" t="n">
        <x:v>1173</x:v>
      </x:c>
      <x:c r="B1176" s="22" t="e">
        <x:f>HYPERLINK("https://cdn.shopify.com/s/files/1/0918/6066/4603/files/O1CN012igk0D2NGHhxIzxrI__4234819935-0-cib.jpg?v=1753433323","Open")</x:f>
        <x:v>HYPERLINK is not implemented. linkLocation=https://cdn.shopify.com/s/files/1/0918/6066/4603/files/O1CN012igk0D2NGHhxIzxrI__4234819935-0-cib.jpg?v=1753433323, friendlyName=Open</x:v>
      </x:c>
      <x:c r="C1176" s="24" t="e">
        <x:f>HYPERLINK("https://365nails.com/products/wearing-nail-pieces-solid-color-short-ballet-collection-wearing-nail-short-wholesale-nail-pieces-finished-removable-nails-365nails","Solid color short ballet collection  short wholesale nail pieces Finished removable nails｜365nails")</x:f>
        <x:v>HYPERLINK is not implemented. linkLocation=https://365nails.com/products/wearing-nail-pieces-solid-color-short-ballet-collection-wearing-nail-short-wholesale-nail-pieces-finished-removable-nails-365nails, friendlyName=Solid color short ballet collection  short wholesale nail pieces Finished removable nails｜365nails</x:v>
      </x:c>
      <x:c r="D1176" s="18" t="str">
        <x:v>color: JP2070 / JP2072 / JP2073 / JP2075 / JP2077 / JP2078 / JP2079 / JP2080</x:v>
      </x:c>
      <x:c r="E1176" s="25" t="str">
        <x:v>$0.60</x:v>
      </x:c>
      <x:c r="F1176" s="19" t="str">
        <x:v>1</x:v>
      </x:c>
    </x:row>
    <x:row r="1177" ht="93" customHeight="1">
      <x:c r="A1177" s="19" t="n">
        <x:v>1174</x:v>
      </x:c>
      <x:c r="B1177" s="22" t="e">
        <x:f>HYPERLINK("https://cdn.shopify.com/s/files/1/0918/6066/4603/files/O1CN01W1gzH92NGI1y9ljbP__4234819935-0-cib.jpg?v=1768905939","Open")</x:f>
        <x:v>HYPERLINK is not implemented. linkLocation=https://cdn.shopify.com/s/files/1/0918/6066/4603/files/O1CN01W1gzH92NGI1y9ljbP__4234819935-0-cib.jpg?v=1768905939, friendlyName=Open</x:v>
      </x:c>
      <x:c r="C1177" s="24" t="e">
        <x:f>HYPERLINK("https://365nails.com/products/red-y2k-press-on-nails-premium-autumn-winter-nail-art","Red y2k press-on nails - premium autumn/winter nail art")</x:f>
        <x:v>HYPERLINK is not implemented. linkLocation=https://365nails.com/products/red-y2k-press-on-nails-premium-autumn-winter-nail-art, friendlyName=Red y2k press-on nails - premium autumn/winter nail art</x:v>
      </x:c>
      <x:c r="D1177" s="18" t="str">
        <x:v>Color: Jp 4221</x:v>
      </x:c>
      <x:c r="E1177" s="25" t="str">
        <x:v>$1.60</x:v>
      </x:c>
      <x:c r="F1177" s="19" t="str">
        <x:v>1</x:v>
      </x:c>
    </x:row>
    <x:row r="1178" ht="93" customHeight="1">
      <x:c r="A1178" s="19" t="n">
        <x:v>1175</x:v>
      </x:c>
      <x:c r="B1178" s="22" t="e">
        <x:f>HYPERLINK("https://cdn.shopify.com/s/files/1/0918/6066/4603/files/O1CN01voQBqJ2MQzdAbb3Sl__2219089449823-0-cib.jpg?v=1767628319","Open")</x:f>
        <x:v>HYPERLINK is not implemented. linkLocation=https://cdn.shopify.com/s/files/1/0918/6066/4603/files/O1CN01voQBqJ2MQzdAbb3Sl__2219089449823-0-cib.jpg?v=1767628319, friendlyName=Open</x:v>
      </x:c>
      <x:c r="C1178" s="24" t="e">
        <x:f>HYPERLINK("https://365nails.com/products/pastel-pearl-bow-floral-press-on-nail-set","Pastel Pearl Bow Floral Press On Nail Set")</x:f>
        <x:v>HYPERLINK is not implemented. linkLocation=https://365nails.com/products/pastel-pearl-bow-floral-press-on-nail-set, friendlyName=Pastel Pearl Bow Floral Press On Nail Set</x:v>
      </x:c>
      <x:c r="D1178" s="18" t="str">
        <x:v>Color: Js b18; Color classification: XS / S / M / L</x:v>
      </x:c>
      <x:c r="E1178" s="25" t="str">
        <x:v>$6.99</x:v>
      </x:c>
      <x:c r="F1178" s="19" t="str">
        <x:v>1</x:v>
      </x:c>
    </x:row>
    <x:row r="1179" ht="93" customHeight="1">
      <x:c r="A1179" s="19" t="n">
        <x:v>1176</x:v>
      </x:c>
      <x:c r="B1179" s="22" t="e">
        <x:f>HYPERLINK("https://cdn.shopify.com/s/files/1/0918/6066/4603/files/O1CN01NUE9MY2NGI20idWLQ__4234819935-0-cib.jpg?v=1768905934","Open")</x:f>
        <x:v>HYPERLINK is not implemented. linkLocation=https://cdn.shopify.com/s/files/1/0918/6066/4603/files/O1CN01NUE9MY2NGI20idWLQ__4234819935-0-cib.jpg?v=1768905934, friendlyName=Open</x:v>
      </x:c>
      <x:c r="C1179" s="24" t="e">
        <x:f>HYPERLINK("https://365nails.com/products/sweet-pink-bow-red-lip-print-heart-press-on-nails","Sweet pink bow red lip print heart press-on nails")</x:f>
        <x:v>HYPERLINK is not implemented. linkLocation=https://365nails.com/products/sweet-pink-bow-red-lip-print-heart-press-on-nails, friendlyName=Sweet pink bow red lip print heart press-on nails</x:v>
      </x:c>
      <x:c r="D1179" s="18" t="str">
        <x:v>Color: Jp 4237</x:v>
      </x:c>
      <x:c r="E1179" s="25" t="str">
        <x:v>$1.72</x:v>
      </x:c>
      <x:c r="F1179" s="19" t="str">
        <x:v>1</x:v>
      </x:c>
    </x:row>
    <x:row r="1180" ht="93" customHeight="1">
      <x:c r="A1180" s="19" t="n">
        <x:v>1177</x:v>
      </x:c>
      <x:c r="B1180" s="22" t="e">
        <x:f>HYPERLINK("https://cdn.shopify.com/s/files/1/0918/6066/4603/files/O1CN01rYsclP2NGHmNodgKO__4234819935-0-cib.jpg?v=1753432277","Open")</x:f>
        <x:v>HYPERLINK is not implemented. linkLocation=https://cdn.shopify.com/s/files/1/0918/6066/4603/files/O1CN01rYsclP2NGHmNodgKO__4234819935-0-cib.jpg?v=1753432277, friendlyName=Open</x:v>
      </x:c>
      <x:c r="C1180" s="24" t="e">
        <x:f>HYPERLINK("https://365nails.com/products/nail-art-tablets-wear-nail-powder-white-gradual-change-glitter-ins-wind-wear-nail-fake-nail-patch-finished-nail-wholesale-365nails","Nail art tablets wear nail powder white gradual change glitter ins wind wear nail fake nail patch finished nail wholesale｜365nails")</x:f>
        <x:v>HYPERLINK is not implemented. linkLocation=https://365nails.com/products/nail-art-tablets-wear-nail-powder-white-gradual-change-glitter-ins-wind-wear-nail-fake-nail-patch-finished-nail-wholesale-365nails, friendlyName=Nail art tablets wear nail powder white gradual change glitter ins wind wear nail fake nail patch finished nail wholesale｜365nails</x:v>
      </x:c>
      <x:c r="D1180" s="18" t="str">
        <x:v>color: JP2667</x:v>
      </x:c>
      <x:c r="E1180" s="25" t="str">
        <x:v>$0.86</x:v>
      </x:c>
      <x:c r="F1180" s="19" t="str">
        <x:v>1</x:v>
      </x:c>
    </x:row>
    <x:row r="1181" ht="93" customHeight="1">
      <x:c r="A1181" s="19" t="n">
        <x:v>1178</x:v>
      </x:c>
      <x:c r="B1181" s="22" t="e">
        <x:f>HYPERLINK("https://cdn.shopify.com/s/files/1/0918/6066/4603/files/O1CN01X7UOK82NGHhHtQIa0__4234819935-0-cib.jpg?v=1753428991","Open")</x:f>
        <x:v>HYPERLINK is not implemented. linkLocation=https://cdn.shopify.com/s/files/1/0918/6066/4603/files/O1CN01X7UOK82NGHhHtQIa0__4234819935-0-cib.jpg?v=1753428991, friendlyName=Open</x:v>
      </x:c>
      <x:c r="C1181" s="24" t="e">
        <x:f>HYPERLINK("https://365nails.com/products/wearing-nail-wholesale-five-color-removable-manicure-short-ballet-medium-round-double-spell-manicure-patch-wholesale-nail-nails-365nails","Press-on nails wholesale five-color removable manicure short ballet medium round double spell manicure patch wholesale nail nails｜365nails")</x:f>
        <x:v>HYPERLINK is not implemented. linkLocation=https://365nails.com/products/wearing-nail-wholesale-five-color-removable-manicure-short-ballet-medium-round-double-spell-manicure-patch-wholesale-nail-nails-365nails, friendlyName=Press-on nails wholesale five-color removable manicure short ballet medium round double spell manicure patch wholesale nail nails｜365nails</x:v>
      </x:c>
      <x:c r="D1181" s="18" t="str">
        <x:v>color: JP1992</x:v>
      </x:c>
      <x:c r="E1181" s="25" t="str">
        <x:v>$1.00</x:v>
      </x:c>
      <x:c r="F1181" s="19" t="str">
        <x:v>1</x:v>
      </x:c>
    </x:row>
    <x:row r="1182" ht="93" customHeight="1">
      <x:c r="A1182" s="19" t="n">
        <x:v>1179</x:v>
      </x:c>
      <x:c r="B1182" s="22" t="e">
        <x:f>HYPERLINK("https://cdn.shopify.com/s/files/1/0918/6066/4603/files/O1CN012i1GCT2NGI1LnKZtD__4234819935-0-cib.jpg?v=1768905986","Open")</x:f>
        <x:v>HYPERLINK is not implemented. linkLocation=https://cdn.shopify.com/s/files/1/0918/6066/4603/files/O1CN012i1GCT2NGI1LnKZtD__4234819935-0-cib.jpg?v=1768905986, friendlyName=Open</x:v>
      </x:c>
      <x:c r="C1182" s="24" t="e">
        <x:f>HYPERLINK("https://365nails.com/products/french-black-and-white-zebra-stripe-press-on-nails-long-pointed-tips-starry-rhinestone-nail-art","French black and white zebra stripe press-on nails, long pointed tips, starry rhinestone nail art")</x:f>
        <x:v>HYPERLINK is not implemented. linkLocation=https://365nails.com/products/french-black-and-white-zebra-stripe-press-on-nails-long-pointed-tips-starry-rhinestone-nail-art, friendlyName=French black and white zebra stripe press-on nails, long pointed tips, starry rhinestone nail art</x:v>
      </x:c>
      <x:c r="D1182" s="18" t="str">
        <x:v>Color: Jp 4173</x:v>
      </x:c>
      <x:c r="E1182" s="25" t="str">
        <x:v>$1.28</x:v>
      </x:c>
      <x:c r="F1182" s="19" t="str">
        <x:v>1</x:v>
      </x:c>
    </x:row>
    <x:row r="1183" ht="93" customHeight="1">
      <x:c r="A1183" s="19" t="n">
        <x:v>1180</x:v>
      </x:c>
      <x:c r="B1183" s="22" t="e">
        <x:f>HYPERLINK("https://cdn.shopify.com/s/files/1/0918/6066/4603/files/O1CN01ggfPOx2NGI1sBskAh__4234819935-0-cib.jpg?v=1768905941","Open")</x:f>
        <x:v>HYPERLINK is not implemented. linkLocation=https://cdn.shopify.com/s/files/1/0918/6066/4603/files/O1CN01ggfPOx2NGI1sBskAh__4234819935-0-cib.jpg?v=1768905941, friendlyName=Open</x:v>
      </x:c>
      <x:c r="C1183" s="24" t="e">
        <x:f>HYPERLINK("https://365nails.com/products/black-and-white-zebra-print-press-on-nails-with-3d-cherry-accents-french-red-manicure-nail-tips","Black and white zebra print press-on nails with 3d cherry accents, french red manicure nail tips")</x:f>
        <x:v>HYPERLINK is not implemented. linkLocation=https://365nails.com/products/black-and-white-zebra-print-press-on-nails-with-3d-cherry-accents-french-red-manicure-nail-tips, friendlyName=Black and white zebra print press-on nails with 3d cherry accents, french red manicure nail tips</x:v>
      </x:c>
      <x:c r="D1183" s="18" t="str">
        <x:v>Color: Jp 4122</x:v>
      </x:c>
      <x:c r="E1183" s="25" t="str">
        <x:v>$1.51</x:v>
      </x:c>
      <x:c r="F1183" s="19" t="str">
        <x:v>1</x:v>
      </x:c>
    </x:row>
    <x:row r="1184" ht="93" customHeight="1">
      <x:c r="A1184" s="19" t="n">
        <x:v>1181</x:v>
      </x:c>
      <x:c r="B1184" s="22" t="e">
        <x:f>HYPERLINK("https://cdn.shopify.com/s/files/1/0918/6066/4603/files/O1CN01Jq3VRZ2NGI1zCO8yI__4234819935-0-cib.jpg?v=1768817602","Open")</x:f>
        <x:v>HYPERLINK is not implemented. linkLocation=https://cdn.shopify.com/s/files/1/0918/6066/4603/files/O1CN01Jq3VRZ2NGI1zCO8yI__4234819935-0-cib.jpg?v=1768817602, friendlyName=Open</x:v>
      </x:c>
      <x:c r="C1184" s="24" t="e">
        <x:f>HYPERLINK("https://365nails.com/products/minimalist-french-gold-white-short-square-toe-nail-tips-with-white-floral-accents","Minimalist french gold &amp; white short square toe nail tips with white floral accents")</x:f>
        <x:v>HYPERLINK is not implemented. linkLocation=https://365nails.com/products/minimalist-french-gold-white-short-square-toe-nail-tips-with-white-floral-accents, friendlyName=Minimalist french gold &amp; white short square toe nail tips with white floral accents</x:v>
      </x:c>
      <x:c r="D1184" s="18" t="str">
        <x:v>Color: Jp 4253</x:v>
      </x:c>
      <x:c r="E1184" s="25" t="str">
        <x:v>$1.28</x:v>
      </x:c>
      <x:c r="F1184" s="19" t="str">
        <x:v>1</x:v>
      </x:c>
    </x:row>
    <x:row r="1185" ht="93" customHeight="1">
      <x:c r="A1185" s="19" t="n">
        <x:v>1182</x:v>
      </x:c>
      <x:c r="B1185" s="22" t="e">
        <x:f>HYPERLINK("https://cdn.shopify.com/s/files/1/0918/6066/4603/files/O1CN011MM1x92NGI1x6lfzC__4234819935-0-cib.jpg?v=1768905915","Open")</x:f>
        <x:v>HYPERLINK is not implemented. linkLocation=https://cdn.shopify.com/s/files/1/0918/6066/4603/files/O1CN011MM1x92NGI1x6lfzC__4234819935-0-cib.jpg?v=1768905915, friendlyName=Open</x:v>
      </x:c>
      <x:c r="C1185" s="24" t="e">
        <x:f>HYPERLINK("https://365nails.com/products/wear-nail-and-toenail-pieces-flash-diamond-flash-manicure-toenail-pieces-toenails","Wear nail and toenail pieces, flash diamond, flash manicure, toenail pieces, toenails")</x:f>
        <x:v>HYPERLINK is not implemented. linkLocation=https://365nails.com/products/wear-nail-and-toenail-pieces-flash-diamond-flash-manicure-toenail-pieces-toenails, friendlyName=Wear nail and toenail pieces, flash diamond, flash manicure, toenail pieces, toenails</x:v>
      </x:c>
      <x:c r="D1185" s="18" t="str">
        <x:v>Color: Jp 4256</x:v>
      </x:c>
      <x:c r="E1185" s="25" t="str">
        <x:v>$1.51</x:v>
      </x:c>
      <x:c r="F1185" s="19" t="str">
        <x:v>1</x:v>
      </x:c>
    </x:row>
    <x:row r="1186" ht="93" customHeight="1">
      <x:c r="A1186" s="19" t="n">
        <x:v>1183</x:v>
      </x:c>
      <x:c r="B1186" s="22" t="e">
        <x:f>HYPERLINK("https://cdn.shopify.com/s/files/1/0918/6066/4603/files/O1CN01YTawFI2NGI1yKZ3OO__4234819935-0-cib.jpg?v=1768905905","Open")</x:f>
        <x:v>HYPERLINK is not implemented. linkLocation=https://cdn.shopify.com/s/files/1/0918/6066/4603/files/O1CN01YTawFI2NGI1yKZ3OO__4234819935-0-cib.jpg?v=1768905905, friendlyName=Open</x:v>
      </x:c>
      <x:c r="C1186" s="24" t="e">
        <x:f>HYPERLINK("https://365nails.com/products/golden-diamond-sparkling-manicure-and-toe-nails","Golden diamond sparkling manicure and toe nails")</x:f>
        <x:v>HYPERLINK is not implemented. linkLocation=https://365nails.com/products/golden-diamond-sparkling-manicure-and-toe-nails, friendlyName=Golden diamond sparkling manicure and toe nails</x:v>
      </x:c>
      <x:c r="D1186" s="18" t="str">
        <x:v>Color: Jp 4255</x:v>
      </x:c>
      <x:c r="E1186" s="25" t="str">
        <x:v>$1.66</x:v>
      </x:c>
      <x:c r="F1186" s="19" t="str">
        <x:v>1</x:v>
      </x:c>
    </x:row>
    <x:row r="1187" ht="93" customHeight="1">
      <x:c r="A1187" s="19" t="n">
        <x:v>1184</x:v>
      </x:c>
      <x:c r="B1187" s="22" t="e">
        <x:f>HYPERLINK("https://cdn.shopify.com/s/files/1/0918/6066/4603/files/O1CN01Do6l2f2NGI1vEV4X3__4234819935-0-cib.jpg?v=1768905902","Open")</x:f>
        <x:v>HYPERLINK is not implemented. linkLocation=https://cdn.shopify.com/s/files/1/0918/6066/4603/files/O1CN01Do6l2f2NGI1vEV4X3__4234819935-0-cib.jpg?v=1768905902, friendlyName=Open</x:v>
      </x:c>
      <x:c r="C1187" s="24" t="e">
        <x:f>HYPERLINK("https://365nails.com/products/cracked-wearable-toe-nail-chips-full-of-diamonds-and-sparkling-toe-nail-chips","Cracked wearable toe nail chips full of diamonds and sparkling toe nail chips")</x:f>
        <x:v>HYPERLINK is not implemented. linkLocation=https://365nails.com/products/cracked-wearable-toe-nail-chips-full-of-diamonds-and-sparkling-toe-nail-chips, friendlyName=Cracked wearable toe nail chips full of diamonds and sparkling toe nail chips</x:v>
      </x:c>
      <x:c r="D1187" s="18" t="str">
        <x:v>Color: Jp 4254</x:v>
      </x:c>
      <x:c r="E1187" s="25" t="str">
        <x:v>$1.51</x:v>
      </x:c>
      <x:c r="F1187" s="19" t="str">
        <x:v>1</x:v>
      </x:c>
    </x:row>
    <x:row r="1188" ht="93" customHeight="1">
      <x:c r="A1188" s="19" t="n">
        <x:v>1185</x:v>
      </x:c>
      <x:c r="B1188" s="22" t="e">
        <x:f>HYPERLINK("https://cdn.shopify.com/s/files/1/0918/6066/4603/files/O1CN01AsKqX72NGHosqgStM__4234819935-0-cib.jpg?v=1753432194","Open")</x:f>
        <x:v>HYPERLINK is not implemented. linkLocation=https://cdn.shopify.com/s/files/1/0918/6066/4603/files/O1CN01AsKqX72NGHosqgStM__4234819935-0-cib.jpg?v=1753432194, friendlyName=Open</x:v>
      </x:c>
      <x:c r="C1188" s="24" t="e">
        <x:f>HYPERLINK("https://365nails.com/products/new-years-chinese-dragon-country-chaofeng-nail-art-tablets-cross-point-diamond-wearing-nail-medium-and-long-ballet-nail-false-nail-wholesale-365nails","New Year's Chinese Dragon Country Chaofeng Nail Art Tablets Cross Point Diamond Wearing Nail Medium and Long Ballet Nail False Nail Wholesale｜365nails")</x:f>
        <x:v>HYPERLINK is not implemented. linkLocation=https://365nails.com/products/new-years-chinese-dragon-country-chaofeng-nail-art-tablets-cross-point-diamond-wearing-nail-medium-and-long-ballet-nail-false-nail-wholesale-365nails, friendlyName=New Year's Chinese Dragon Country Chaofeng Nail Art Tablets Cross Point Diamond Wearing Nail Medium and Long Ballet Nail False Nail Wholesale｜365nails</x:v>
      </x:c>
      <x:c r="D1188" s="18" t="str">
        <x:v>Color: GN013</x:v>
      </x:c>
      <x:c r="E1188" s="25" t="str">
        <x:v>$2.47</x:v>
      </x:c>
      <x:c r="F1188" s="19" t="str">
        <x:v>1</x:v>
      </x:c>
    </x:row>
    <x:row r="1189" ht="93" customHeight="1">
      <x:c r="A1189" s="19" t="n">
        <x:v>1186</x:v>
      </x:c>
      <x:c r="B1189" s="22" t="e">
        <x:f>HYPERLINK("https://cdn.shopify.com/s/files/1/0918/6066/4603/files/O1CN01qWbRP62NGI1VnDcWi__4234819935-0-cib.jpg?v=1768906042","Open")</x:f>
        <x:v>HYPERLINK is not implemented. linkLocation=https://cdn.shopify.com/s/files/1/0918/6066/4603/files/O1CN01qWbRP62NGI1VnDcWi__4234819935-0-cib.jpg?v=1768906042, friendlyName=Open</x:v>
      </x:c>
      <x:c r="C1189" s="24" t="e">
        <x:f>HYPERLINK("https://365nails.com/products/french-glitter-press-on-nails-almond-shape-nude-cat-eye-glitter-nail-art","French glitter press-on nails almond shape nude cat eye glitter nail art")</x:f>
        <x:v>HYPERLINK is not implemented. linkLocation=https://365nails.com/products/french-glitter-press-on-nails-almond-shape-nude-cat-eye-glitter-nail-art, friendlyName=French glitter press-on nails almond shape nude cat eye glitter nail art</x:v>
      </x:c>
      <x:c r="D1189" s="18" t="str">
        <x:v>Color: Jp 4189</x:v>
      </x:c>
      <x:c r="E1189" s="25" t="str">
        <x:v>$1.11</x:v>
      </x:c>
      <x:c r="F1189" s="19" t="str">
        <x:v>1</x:v>
      </x:c>
    </x:row>
    <x:row r="1190" ht="93" customHeight="1">
      <x:c r="A1190" s="19" t="n">
        <x:v>1187</x:v>
      </x:c>
      <x:c r="B1190" s="22" t="e">
        <x:f>HYPERLINK("https://cdn.shopify.com/s/files/1/0918/6066/4603/files/O1CN01JfVWRA1CPwK1d4Qjt__2213196780074-0-cib.jpg?v=1753628600","Open")</x:f>
        <x:v>HYPERLINK is not implemented. linkLocation=https://cdn.shopify.com/s/files/1/0918/6066/4603/files/O1CN01JfVWRA1CPwK1d4Qjt__2213196780074-0-cib.jpg?v=1753628600, friendlyName=Open</x:v>
      </x:c>
      <x:c r="C1190" s="24" t="e">
        <x:f>HYPERLINK("https://365nails.com/products/zebra-xilian-handmade-press-on-nails-wear-summer-atmosphere-nail-art-false-nails-365nails","Pastel Zebra Nails with 3D Lotus and Colorful Stripes")</x:f>
        <x:v>HYPERLINK is not implemented. linkLocation=https://365nails.com/products/zebra-xilian-handmade-press-on-nails-wear-summer-atmosphere-nail-art-false-nails-365nails, friendlyName=Pastel Zebra Nails with 3D Lotus and Colorful Stripes</x:v>
      </x:c>
      <x:c r="D1190" s="18" t="str">
        <x:v>size: XS / S / M / L; shape: 2500 water pipe ladder</x:v>
      </x:c>
      <x:c r="E1190" s="25" t="str">
        <x:v>$2.99</x:v>
      </x:c>
      <x:c r="F1190" s="19" t="str">
        <x:v>1</x:v>
      </x:c>
    </x:row>
    <x:row r="1191" ht="93" customHeight="1">
      <x:c r="A1191" s="19" t="n">
        <x:v>1188</x:v>
      </x:c>
      <x:c r="B1191" s="22" t="e">
        <x:f>HYPERLINK("https://cdn.shopify.com/s/files/1/0918/6066/4603/files/O1CN01V8QplA2NGHkT8kpp9__4234819935-0-cib.jpg?v=1753432214","Open")</x:f>
        <x:v>HYPERLINK is not implemented. linkLocation=https://cdn.shopify.com/s/files/1/0918/6066/4603/files/O1CN01V8QplA2NGHkT8kpp9__4234819935-0-cib.jpg?v=1753432214, friendlyName=Open</x:v>
      </x:c>
      <x:c r="C1191" s="24" t="e">
        <x:f>HYPERLINK("https://365nails.com/products/wearing-nail-white-cross-french-silver-glitter-rhinestone-wearable-nail-patch-wearable-nail-art-finished-product-365nails","Wearing Nail White Cross French Silver Glitter Rhinestone Wearable Nail Patch Wearable Nail Art Finished Product｜365nails")</x:f>
        <x:v>HYPERLINK is not implemented. linkLocation=https://365nails.com/products/wearing-nail-white-cross-french-silver-glitter-rhinestone-wearable-nail-patch-wearable-nail-art-finished-product-365nails, friendlyName=Wearing Nail White Cross French Silver Glitter Rhinestone Wearable Nail Patch Wearable Nail Art Finished Product｜365nails</x:v>
      </x:c>
      <x:c r="D1191" s="18" t="str">
        <x:v>color: JP2325</x:v>
      </x:c>
      <x:c r="E1191" s="25" t="str">
        <x:v>$1.08</x:v>
      </x:c>
      <x:c r="F1191" s="19" t="str">
        <x:v>1</x:v>
      </x:c>
    </x:row>
    <x:row r="1192" ht="93" customHeight="1">
      <x:c r="A1192" s="19" t="n">
        <x:v>1189</x:v>
      </x:c>
      <x:c r="B1192" s="22" t="e">
        <x:f>HYPERLINK("https://cdn.shopify.com/s/files/1/0918/6066/4603/files/23018259831_2037667256.jpg?v=1753432181","Open")</x:f>
        <x:v>HYPERLINK is not implemented. linkLocation=https://cdn.shopify.com/s/files/1/0918/6066/4603/files/23018259831_2037667256.jpg?v=1753432181, friendlyName=Open</x:v>
      </x:c>
      <x:c r="C1192" s="24" t="e">
        <x:f>HYPERLINK("https://365nails.com/products/anti-french-small-milk-pattern-purple-gray-wearing-nail-art-finished-fake-nail-nail-art-patch-nail-patch-waterproof-and-removable-365nails","Anti-French small milk pattern purple gray press on nails art finished fake nail nail art patch nail patch waterproof and removable｜365nails")</x:f>
        <x:v>HYPERLINK is not implemented. linkLocation=https://365nails.com/products/anti-french-small-milk-pattern-purple-gray-wearing-nail-art-finished-fake-nail-nail-art-patch-nail-patch-waterproof-and-removable-365nails, friendlyName=Anti-French small milk pattern purple gray press on nails art finished fake nail nail art patch nail patch waterproof and removable｜365nails</x:v>
      </x:c>
      <x:c r="D1192" s="18" t="str">
        <x:v>color: JP977</x:v>
      </x:c>
      <x:c r="E1192" s="25" t="str">
        <x:v>$0.91</x:v>
      </x:c>
      <x:c r="F1192" s="19" t="str">
        <x:v>1</x:v>
      </x:c>
    </x:row>
    <x:row r="1193" ht="93" customHeight="1">
      <x:c r="A1193" s="19" t="n">
        <x:v>1190</x:v>
      </x:c>
      <x:c r="B1193" s="22" t="e">
        <x:f>HYPERLINK("https://cdn.shopify.com/s/files/1/0918/6066/4603/files/O1CN01Wh7x0s2MQzdh8M0Fy__2219089449823-0-cib.jpg?v=1767944055","Open")</x:f>
        <x:v>HYPERLINK is not implemented. linkLocation=https://cdn.shopify.com/s/files/1/0918/6066/4603/files/O1CN01Wh7x0s2MQzdh8M0Fy__2219089449823-0-cib.jpg?v=1767944055, friendlyName=Open</x:v>
      </x:c>
      <x:c r="C1193" s="24" t="e">
        <x:f>HYPERLINK("https://365nails.com/products/pastel-ice-cream-candy-cute-press-on-nails","Pastel Ice Cream Candy Cute Press On Nails")</x:f>
        <x:v>HYPERLINK is not implemented. linkLocation=https://365nails.com/products/pastel-ice-cream-candy-cute-press-on-nails, friendlyName=Pastel Ice Cream Candy Cute Press On Nails</x:v>
      </x:c>
      <x:c r="D1193" s="18" t="str">
        <x:v>Color: L209th; Color classification: S / M / L; Length: 5cm</x:v>
      </x:c>
      <x:c r="E1193" s="25" t="str">
        <x:v>$4.99</x:v>
      </x:c>
      <x:c r="F1193" s="19" t="str">
        <x:v>1</x:v>
      </x:c>
    </x:row>
    <x:row r="1194" ht="93" customHeight="1">
      <x:c r="A1194" s="19" t="n">
        <x:v>1191</x:v>
      </x:c>
      <x:c r="B1194" s="22" t="e">
        <x:f>HYPERLINK("https://cdn.shopify.com/s/files/1/0918/6066/4603/files/O1CN01LHt8z22NGI1yO5uR8__4234819935-0-cib.jpg?v=1768905948","Open")</x:f>
        <x:v>HYPERLINK is not implemented. linkLocation=https://cdn.shopify.com/s/files/1/0918/6066/4603/files/O1CN01LHt8z22NGI1yO5uR8__4234819935-0-cib.jpg?v=1768905948, friendlyName=Open</x:v>
      </x:c>
      <x:c r="C1194" s="24" t="e">
        <x:f>HYPERLINK("https://365nails.com/products/coated-flash-french-white-simple-wearable-nails-simple-gradient-manicure-finger","Coated flash french white simple wearable nails simple gradient manicure finger")</x:f>
        <x:v>HYPERLINK is not implemented. linkLocation=https://365nails.com/products/coated-flash-french-white-simple-wearable-nails-simple-gradient-manicure-finger, friendlyName=Coated flash french white simple wearable nails simple gradient manicure finger</x:v>
      </x:c>
      <x:c r="D1194" s="18" t="str">
        <x:v>Color: Jp 4213</x:v>
      </x:c>
      <x:c r="E1194" s="25" t="str">
        <x:v>$1.11</x:v>
      </x:c>
      <x:c r="F1194" s="19" t="str">
        <x:v>1</x:v>
      </x:c>
    </x:row>
    <x:row r="1195" ht="93" customHeight="1">
      <x:c r="A1195" s="19" t="n">
        <x:v>1192</x:v>
      </x:c>
      <x:c r="B1195" s="22" t="e">
        <x:f>HYPERLINK("https://cdn.shopify.com/s/files/1/0918/6066/4603/files/O1CN01jbVwZn2NGHsxYubnc__4234819935-0-cib_b66676d1-113a-4cfe-8c96-3c3f880b0975.jpg?v=1753432340","Open")</x:f>
        <x:v>HYPERLINK is not implemented. linkLocation=https://cdn.shopify.com/s/files/1/0918/6066/4603/files/O1CN01jbVwZn2NGHsxYubnc__4234819935-0-cib_b66676d1-113a-4cfe-8c96-3c3f880b0975.jpg?v=1753432340, friendlyName=Open</x:v>
      </x:c>
      <x:c r="C1195" s="24" t="e">
        <x:f>HYPERLINK("https://365nails.com/products/halloween-super-long-pointed-nail-art-hot-selling-angels-in-europe-and-america-wearing-nail-3d-smudging-fake-nails-press-on-nails-365nails","Halloween extra long pointed nail art, hot-selling angels in Europe and America, wearing nail 3D smudging fake nails press on nails｜365nails")</x:f>
        <x:v>HYPERLINK is not implemented. linkLocation=https://365nails.com/products/halloween-super-long-pointed-nail-art-hot-selling-angels-in-europe-and-america-wearing-nail-3d-smudging-fake-nails-press-on-nails-365nails, friendlyName=Halloween extra long pointed nail art, hot-selling angels in Europe and America, wearing nail 3D smudging fake nails press on nails｜365nails</x:v>
      </x:c>
      <x:c r="D1195" s="18" t="str">
        <x:v>Color: JP3413</x:v>
      </x:c>
      <x:c r="E1195" s="25" t="str">
        <x:v>$2.13</x:v>
      </x:c>
      <x:c r="F1195" s="19" t="str">
        <x:v>1</x:v>
      </x:c>
    </x:row>
    <x:row r="1196" ht="93" customHeight="1">
      <x:c r="A1196" s="19" t="n">
        <x:v>1193</x:v>
      </x:c>
      <x:c r="B1196" s="22" t="e">
        <x:f>HYPERLINK("https://cdn.shopify.com/s/files/1/0918/6066/4603/files/O1CN01iJCAf02NGI1Qu7KHc__4234819935-0-cib.jpg?v=1768906004","Open")</x:f>
        <x:v>HYPERLINK is not implemented. linkLocation=https://cdn.shopify.com/s/files/1/0918/6066/4603/files/O1CN01iJCAf02NGI1Qu7KHc__4234819935-0-cib.jpg?v=1768906004, friendlyName=Open</x:v>
      </x:c>
      <x:c r="C1196" s="24" t="e">
        <x:f>HYPERLINK("https://365nails.com/products/leopard-print-cat-eye-wearing-nails-short-almond-nails-manicure-finger","Leopard print cat eye wearing nails short almond nails manicure finger")</x:f>
        <x:v>HYPERLINK is not implemented. linkLocation=https://365nails.com/products/leopard-print-cat-eye-wearing-nails-short-almond-nails-manicure-finger, friendlyName=Leopard print cat eye wearing nails short almond nails manicure finger</x:v>
      </x:c>
      <x:c r="D1196" s="18" t="str">
        <x:v>Color: Jp 4177</x:v>
      </x:c>
      <x:c r="E1196" s="25" t="str">
        <x:v>$1.20</x:v>
      </x:c>
      <x:c r="F1196" s="19" t="str">
        <x:v>1</x:v>
      </x:c>
    </x:row>
    <x:row r="1197" ht="93" customHeight="1">
      <x:c r="A1197" s="19" t="n">
        <x:v>1194</x:v>
      </x:c>
      <x:c r="B1197" s="22" t="e">
        <x:f>HYPERLINK("https://cdn.shopify.com/s/files/1/0918/6066/4603/files/O1CN01IO82we2MQzdflHaX8__2219089449823-0-cib_6eef3048-3f97-4644-a177-6b24358ae40d.jpg?v=1767943187","Open")</x:f>
        <x:v>HYPERLINK is not implemented. linkLocation=https://cdn.shopify.com/s/files/1/0918/6066/4603/files/O1CN01IO82we2MQzdflHaX8__2219089449823-0-cib_6eef3048-3f97-4644-a177-6b24358ae40d.jpg?v=1767943187, friendlyName=Open</x:v>
      </x:c>
      <x:c r="C1197" s="24" t="e">
        <x:f>HYPERLINK("https://365nails.com/products/pink-glitter-zebra-star-press-on-nail-set","Pink Glitter Zebra Star Press On Nail Set")</x:f>
        <x:v>HYPERLINK is not implemented. linkLocation=https://365nails.com/products/pink-glitter-zebra-star-press-on-nail-set, friendlyName=Pink Glitter Zebra Star Press On Nail Set</x:v>
      </x:c>
      <x:c r="D1197" s="18" t="str">
        <x:v>Color: M103; Color classification: XS / S / M / L; Length: 5cm</x:v>
      </x:c>
      <x:c r="E1197" s="25" t="str">
        <x:v>$5.99</x:v>
      </x:c>
      <x:c r="F1197" s="19" t="str">
        <x:v>1</x:v>
      </x:c>
    </x:row>
    <x:row r="1198" ht="93" customHeight="1">
      <x:c r="A1198" s="19" t="n">
        <x:v>1195</x:v>
      </x:c>
      <x:c r="B1198" s="22" t="e">
        <x:f>HYPERLINK("https://cdn.shopify.com/s/files/1/0918/6066/4603/files/O1CN01tHlNlJ1jUPZml9EQP__6000000004551-0-cib.jpg?v=1767707864","Open")</x:f>
        <x:v>HYPERLINK is not implemented. linkLocation=https://cdn.shopify.com/s/files/1/0918/6066/4603/files/O1CN01tHlNlJ1jUPZml9EQP__6000000004551-0-cib.jpg?v=1767707864, friendlyName=Open</x:v>
      </x:c>
      <x:c r="C1198" s="24" t="e">
        <x:f>HYPERLINK("https://365nails.com/products/pink-butterfly-crystal-fantasy-press-on-nail-set","Pink Butterfly Crystal Fantasy Press On Nail Set")</x:f>
        <x:v>HYPERLINK is not implemented. linkLocation=https://365nails.com/products/pink-butterfly-crystal-fantasy-press-on-nail-set, friendlyName=Pink Butterfly Crystal Fantasy Press On Nail Set</x:v>
      </x:c>
      <x:c r="D1198" s="18" t="str">
        <x:v>Color: M109    1; Color classification: XS / S / M / L</x:v>
      </x:c>
      <x:c r="E1198" s="25" t="str">
        <x:v>$5.99</x:v>
      </x:c>
      <x:c r="F1198" s="19" t="str">
        <x:v>1</x:v>
      </x:c>
    </x:row>
    <x:row r="1199" ht="93" customHeight="1">
      <x:c r="A1199" s="19" t="n">
        <x:v>1196</x:v>
      </x:c>
      <x:c r="B1199" s="22" t="e">
        <x:f>HYPERLINK("https://cdn.shopify.com/s/files/1/0918/6066/4603/files/O1CN01wYESTB2NGHhf84nGy__4234819935-0-cib.jpg?v=1753432200","Open")</x:f>
        <x:v>HYPERLINK is not implemented. linkLocation=https://cdn.shopify.com/s/files/1/0918/6066/4603/files/O1CN01wYESTB2NGHhf84nGy__4234819935-0-cib.jpg?v=1753432200, friendlyName=Open</x:v>
      </x:c>
      <x:c r="C1199" s="24" t="e">
        <x:f>HYPERLINK("https://365nails.com/products/nail-art-tablets-nail-art-finished-yellow-short-ballet-nail-art-tablets-wholesale-wearing-nail-jelly-glue-nail-art-tablets-nails-365nails","Nail Art Tablets Nail Art Finished Yellow Short Ballet Nail Art Tablets Wholesale Wearing Nail  Nail Art Tablets Nails｜365nails")</x:f>
        <x:v>HYPERLINK is not implemented. linkLocation=https://365nails.com/products/nail-art-tablets-nail-art-finished-yellow-short-ballet-nail-art-tablets-wholesale-wearing-nail-jelly-glue-nail-art-tablets-nails-365nails, friendlyName=Nail Art Tablets Nail Art Finished Yellow Short Ballet Nail Art Tablets Wholesale Wearing Nail  Nail Art Tablets Nails｜365nails</x:v>
      </x:c>
      <x:c r="D1199" s="18" t="str">
        <x:v>color: JP2081</x:v>
      </x:c>
      <x:c r="E1199" s="25" t="str">
        <x:v>$0.60</x:v>
      </x:c>
      <x:c r="F1199" s="19" t="str">
        <x:v>1</x:v>
      </x:c>
    </x:row>
    <x:row r="1200" ht="93" customHeight="1">
      <x:c r="A1200" s="19" t="n">
        <x:v>1197</x:v>
      </x:c>
      <x:c r="B1200" s="22" t="e">
        <x:f>HYPERLINK("https://cdn.shopify.com/s/files/1/0918/6066/4603/files/O1CN01TxL4dy2NGHkBTQ4Hx__4234819935-0-cib.jpg?v=1753432217","Open")</x:f>
        <x:v>HYPERLINK is not implemented. linkLocation=https://cdn.shopify.com/s/files/1/0918/6066/4603/files/O1CN01TxL4dy2NGHkBTQ4Hx__4234819935-0-cib.jpg?v=1753432217, friendlyName=Open</x:v>
      </x:c>
      <x:c r="C1200" s="24" t="e">
        <x:f>HYPERLINK("https://365nails.com/products/nail-art-wearing-nail-piece-burgundy-gold-glitter-rhinestone-nail-piece-wholesale-nail-patch-wholesale-nail-365nails","Nail art  burgundy gold glitter rhinestone nail piece wholesale nail patch wholesale nail｜365nails")</x:f>
        <x:v>HYPERLINK is not implemented. linkLocation=https://365nails.com/products/nail-art-wearing-nail-piece-burgundy-gold-glitter-rhinestone-nail-piece-wholesale-nail-patch-wholesale-nail-365nails, friendlyName=Nail art  burgundy gold glitter rhinestone nail piece wholesale nail patch wholesale nail｜365nails</x:v>
      </x:c>
      <x:c r="D1200" s="18" t="str">
        <x:v>color: JP2374</x:v>
      </x:c>
      <x:c r="E1200" s="25" t="str">
        <x:v>$1.08</x:v>
      </x:c>
      <x:c r="F1200" s="19" t="str">
        <x:v>1</x:v>
      </x:c>
    </x:row>
    <x:row r="1201" ht="93" customHeight="1">
      <x:c r="A1201" s="19" t="n">
        <x:v>1198</x:v>
      </x:c>
      <x:c r="B1201" s="22" t="e">
        <x:f>HYPERLINK("https://cdn.shopify.com/s/files/1/0918/6066/4603/files/O1CN01G10KlB2NGHxbV00W2__4234819935-0-cib.jpg?v=1753431746","Open")</x:f>
        <x:v>HYPERLINK is not implemented. linkLocation=https://cdn.shopify.com/s/files/1/0918/6066/4603/files/O1CN01G10KlB2NGHxbV00W2__4234819935-0-cib.jpg?v=1753431746, friendlyName=Open</x:v>
      </x:c>
      <x:c r="C1201" s="24" t="e">
        <x:f>HYPERLINK("https://365nails.com/products/summer-style-wearing-nail-piece-french-white-nail-piece-short-almond-nail-piece-removable-fake-nail-wholesale-365nails","Summer style  French white nail piece short almond nail piece removable fake nail wholesale｜365nails")</x:f>
        <x:v>HYPERLINK is not implemented. linkLocation=https://365nails.com/products/summer-style-wearing-nail-piece-french-white-nail-piece-short-almond-nail-piece-removable-fake-nail-wholesale-365nails, friendlyName=Summer style  French white nail piece short almond nail piece removable fake nail wholesale｜365nails</x:v>
      </x:c>
      <x:c r="D1201" s="18" t="str">
        <x:v>color: JP3795</x:v>
      </x:c>
      <x:c r="E1201" s="25" t="str">
        <x:v>$0.86</x:v>
      </x:c>
      <x:c r="F1201" s="19" t="str">
        <x:v>1</x:v>
      </x:c>
    </x:row>
    <x:row r="1202" ht="93" customHeight="1">
      <x:c r="A1202" s="19" t="n">
        <x:v>1199</x:v>
      </x:c>
      <x:c r="B1202" s="22" t="e">
        <x:f>HYPERLINK("https://cdn.shopify.com/s/files/1/0918/6066/4603/files/O1CN01lFSqA122SYgO9Rqlc__2219370087119-0-cib.jpg?v=1767239759","Open")</x:f>
        <x:v>HYPERLINK is not implemented. linkLocation=https://cdn.shopify.com/s/files/1/0918/6066/4603/files/O1CN01lFSqA122SYgO9Rqlc__2219370087119-0-cib.jpg?v=1767239759, friendlyName=Open</x:v>
      </x:c>
      <x:c r="C1202" s="24" t="e">
        <x:f>HYPERLINK("https://365nails.com/products/ab-crystal-full-rhinestone-glamorous-press-on-nails","AB Crystal Full Rhinestone Glamorous Press On Nails")</x:f>
        <x:v>HYPERLINK is not implemented. linkLocation=https://365nails.com/products/ab-crystal-full-rhinestone-glamorous-press-on-nails, friendlyName=AB Crystal Full Rhinestone Glamorous Press On Nails</x:v>
      </x:c>
      <x:c r="D1202" s="18" t="str">
        <x:v>Color: Ab color; Color classification: L (1.7/1.3/1.4/1.3/1.1)cm / M (1.6/1.2/1.3/1.2/1.0)cm / S (1.5/1.1/1.2/1.1/0.9)cm / Xs (1.4/1.0/1.1/1.0/0.8)cm</x:v>
      </x:c>
      <x:c r="E1202" s="25" t="str">
        <x:v>$3.99</x:v>
      </x:c>
      <x:c r="F1202" s="19" t="str">
        <x:v>30</x:v>
      </x:c>
    </x:row>
    <x:row r="1203" ht="93" customHeight="1">
      <x:c r="A1203" s="19" t="n">
        <x:v>1200</x:v>
      </x:c>
      <x:c r="B1203" s="22" t="e">
        <x:f>HYPERLINK("https://cdn.shopify.com/s/files/1/0918/6066/4603/files/O1CN01AaEbHi2MQzdtAfI59__2219089449823-0-cib_546fead3-8bde-429d-9d95-34d6bda9bbf9.jpg?v=1767945061","Open")</x:f>
        <x:v>HYPERLINK is not implemented. linkLocation=https://cdn.shopify.com/s/files/1/0918/6066/4603/files/O1CN01AaEbHi2MQzdtAfI59__2219089449823-0-cib_546fead3-8bde-429d-9d95-34d6bda9bbf9.jpg?v=1767945061, friendlyName=Open</x:v>
      </x:c>
      <x:c r="C1203" s="24" t="e">
        <x:f>HYPERLINK("https://365nails.com/products/pink-gothic-heart-crystal-statement-press-on-nails","Pink Gothic Heart Crystal Statement Press On Nails")</x:f>
        <x:v>HYPERLINK is not implemented. linkLocation=https://365nails.com/products/pink-gothic-heart-crystal-statement-press-on-nails, friendlyName=Pink Gothic Heart Crystal Statement Press On Nails</x:v>
      </x:c>
      <x:c r="D1203" s="18" t="str">
        <x:v>Color: M094; Color classification: S / M / L; Length: 5cm</x:v>
      </x:c>
      <x:c r="E1203" s="25" t="str">
        <x:v>$5.99</x:v>
      </x:c>
      <x:c r="F1203" s="19" t="str">
        <x:v>1</x:v>
      </x:c>
    </x:row>
    <x:row r="1204" ht="93" customHeight="1">
      <x:c r="A1204" s="19" t="n">
        <x:v>1201</x:v>
      </x:c>
      <x:c r="B1204" s="22" t="e">
        <x:f>HYPERLINK("https://cdn.shopify.com/s/files/1/0918/6066/4603/files/O1CN01OQownv2MQzdhazFHX__2219089449823-0-cib_4232df62-ae8a-437c-94fc-be080dcad59e.jpg?v=1767943722","Open")</x:f>
        <x:v>HYPERLINK is not implemented. linkLocation=https://cdn.shopify.com/s/files/1/0918/6066/4603/files/O1CN01OQownv2MQzdhazFHX__2219089449823-0-cib_4232df62-ae8a-437c-94fc-be080dcad59e.jpg?v=1767943722, friendlyName=Open</x:v>
      </x:c>
      <x:c r="C1204" s="24" t="e">
        <x:f>HYPERLINK("https://365nails.com/products/pearl-blossom-crystal-elegant-extra-long-press-on-nails","Pearl Blossom Crystal Elegant Extra Long Press On Nails")</x:f>
        <x:v>HYPERLINK is not implemented. linkLocation=https://365nails.com/products/pearl-blossom-crystal-elegant-extra-long-press-on-nails, friendlyName=Pearl Blossom Crystal Elegant Extra Long Press On Nails</x:v>
      </x:c>
      <x:c r="D1204" s="18" t="str">
        <x:v>Color: Js b09; Color classification: S / M / L; Length: 5cm</x:v>
      </x:c>
      <x:c r="E1204" s="25" t="str">
        <x:v>$6.99</x:v>
      </x:c>
      <x:c r="F1204" s="19" t="str">
        <x:v>1</x:v>
      </x:c>
    </x:row>
    <x:row r="1205" ht="93" customHeight="1">
      <x:c r="A1205" s="19" t="n">
        <x:v>1202</x:v>
      </x:c>
      <x:c r="B1205" s="22" t="e">
        <x:f>HYPERLINK("https://cdn.shopify.com/s/files/1/0918/6066/4603/files/O1CN015ah6oM2MQzdCeFLM8__2219089449823-0-cib_17237ad4-9055-4f13-8cbe-ea4c235b2dd5.jpg?v=1767942695","Open")</x:f>
        <x:v>HYPERLINK is not implemented. linkLocation=https://cdn.shopify.com/s/files/1/0918/6066/4603/files/O1CN015ah6oM2MQzdCeFLM8__2219089449823-0-cib_17237ad4-9055-4f13-8cbe-ea4c235b2dd5.jpg?v=1767942695, friendlyName=Open</x:v>
      </x:c>
      <x:c r="C1205" s="24" t="e">
        <x:f>HYPERLINK("https://365nails.com/products/baroque-jewel-pearl-crystal-luxury-press-on-nail-set","Baroque Jewel Pearl Crystal Luxury Press On Nail Set")</x:f>
        <x:v>HYPERLINK is not implemented. linkLocation=https://365nails.com/products/baroque-jewel-pearl-crystal-luxury-press-on-nail-set, friendlyName=Baroque Jewel Pearl Crystal Luxury Press On Nail Set</x:v>
      </x:c>
      <x:c r="D1205" s="18" t="str">
        <x:v>Color: N012; Color classification: XS / S / M / L</x:v>
      </x:c>
      <x:c r="E1205" s="25" t="str">
        <x:v>$6.99</x:v>
      </x:c>
      <x:c r="F1205" s="19" t="str">
        <x:v>1</x:v>
      </x:c>
    </x:row>
    <x:row r="1206" ht="93" customHeight="1">
      <x:c r="A1206" s="19" t="n">
        <x:v>1203</x:v>
      </x:c>
      <x:c r="B1206" s="22" t="e">
        <x:f>HYPERLINK("https://cdn.shopify.com/s/files/1/0918/6066/4603/files/O1CN01mjP1dX2NGHaVhuVNp__4234819935-0-cib_78566a6e-7244-4fa5-99d3-89fc3093dc49.jpg?v=1753432268","Open")</x:f>
        <x:v>HYPERLINK is not implemented. linkLocation=https://cdn.shopify.com/s/files/1/0918/6066/4603/files/O1CN01mjP1dX2NGHaVhuVNp__4234819935-0-cib_78566a6e-7244-4fa5-99d3-89fc3093dc49.jpg?v=1753432268, friendlyName=Open</x:v>
      </x:c>
      <x:c r="C1206" s="24" t="e">
        <x:f>HYPERLINK("https://365nails.com/products/nude-black-french-short-ballet-wear-nail-art-finished-fake-nail-nail-art-patch-nail-patch-removable-nail-patch-365nails-1","Nude Black French Short Ballet Wear Nail Art Finished Fake Nail Nail Art Patch Nail Patch Removable Nail Patch｜365nails")</x:f>
        <x:v>HYPERLINK is not implemented. linkLocation=https://365nails.com/products/nude-black-french-short-ballet-wear-nail-art-finished-fake-nail-nail-art-patch-nail-patch-removable-nail-patch-365nails-1, friendlyName=Nude Black French Short Ballet Wear Nail Art Finished Fake Nail Nail Art Patch Nail Patch Removable Nail Patch｜365nails</x:v>
      </x:c>
      <x:c r="D1206" s="18" t="str">
        <x:v>color: JP1051</x:v>
      </x:c>
      <x:c r="E1206" s="25" t="str">
        <x:v>$0.70</x:v>
      </x:c>
      <x:c r="F1206" s="19" t="str">
        <x:v>1</x:v>
      </x:c>
    </x:row>
    <x:row r="1207" ht="93" customHeight="1">
      <x:c r="A1207" s="19" t="n">
        <x:v>1204</x:v>
      </x:c>
      <x:c r="B1207" s="22" t="e">
        <x:f>HYPERLINK("https://cdn.shopify.com/s/files/1/0918/6066/4603/files/O1CN01y60Ud52NGI1VRaFon__4234819935-0-cib.jpg?v=1768906026","Open")</x:f>
        <x:v>HYPERLINK is not implemented. linkLocation=https://cdn.shopify.com/s/files/1/0918/6066/4603/files/O1CN01y60Ud52NGI1VRaFon__4234819935-0-cib.jpg?v=1768906026, friendlyName=Open</x:v>
      </x:c>
      <x:c r="C1207" s="24" t="e">
        <x:f>HYPERLINK("https://365nails.com/products/french-gold-press-on-nails-3d-almond-shaped-manicure","French gold press-on nails 3d almond shaped manicure")</x:f>
        <x:v>HYPERLINK is not implemented. linkLocation=https://365nails.com/products/french-gold-press-on-nails-3d-almond-shaped-manicure, friendlyName=French gold press-on nails 3d almond shaped manicure</x:v>
      </x:c>
      <x:c r="D1207" s="18" t="str">
        <x:v>Color: Jp 4201</x:v>
      </x:c>
      <x:c r="E1207" s="25" t="str">
        <x:v>$1.15</x:v>
      </x:c>
      <x:c r="F1207" s="19" t="str">
        <x:v>1</x:v>
      </x:c>
    </x:row>
    <x:row r="1208" ht="93" customHeight="1">
      <x:c r="A1208" s="19" t="n">
        <x:v>1205</x:v>
      </x:c>
      <x:c r="B1208" s="22" t="e">
        <x:f>HYPERLINK("https://cdn.shopify.com/s/files/1/0918/6066/4603/files/O1CN01EJFnL92NGI1bYT36S__4234819935-0-cib.jpg?v=1768906016","Open")</x:f>
        <x:v>HYPERLINK is not implemented. linkLocation=https://cdn.shopify.com/s/files/1/0918/6066/4603/files/O1CN01EJFnL92NGI1bYT36S__4234819935-0-cib.jpg?v=1768906016, friendlyName=Open</x:v>
      </x:c>
      <x:c r="C1208" s="24" t="e">
        <x:f>HYPERLINK("https://365nails.com/products/30-piece-set-blue-solid-color-cat-eye-press-on-nails-medium-length-almond-shape","30-piece set blue solid color cat eye press-on nails - medium length almond shape")</x:f>
        <x:v>HYPERLINK is not implemented. linkLocation=https://365nails.com/products/30-piece-set-blue-solid-color-cat-eye-press-on-nails-medium-length-almond-shape, friendlyName=30-piece set blue solid color cat eye press-on nails - medium length almond shape</x:v>
      </x:c>
      <x:c r="D1208" s="18" t="str">
        <x:v>Color: Jp 4175</x:v>
      </x:c>
      <x:c r="E1208" s="25" t="str">
        <x:v>$1.11</x:v>
      </x:c>
      <x:c r="F1208" s="19" t="str">
        <x:v>1</x:v>
      </x:c>
    </x:row>
    <x:row r="1209" ht="93" customHeight="1">
      <x:c r="A1209" s="19" t="n">
        <x:v>1206</x:v>
      </x:c>
      <x:c r="B1209" s="22" t="e">
        <x:f>HYPERLINK("https://cdn.shopify.com/s/files/1/0918/6066/4603/files/O1CN01BryOVg2NGI1XMUjUy__4234819935-0-cib.jpg?v=1768905991","Open")</x:f>
        <x:v>HYPERLINK is not implemented. linkLocation=https://cdn.shopify.com/s/files/1/0918/6066/4603/files/O1CN01BryOVg2NGI1XMUjUy__4234819935-0-cib.jpg?v=1768905991, friendlyName=Open</x:v>
      </x:c>
      <x:c r="C1209" s="24" t="e">
        <x:f>HYPERLINK("https://365nails.com/products/black-smudged-y2-cool-wearable-cat-eye-3d-stereo-flower-manicure-nail-pieces","Black smudged y2 cool wearable cat eye 3d stereo flower manicure nail pieces")</x:f>
        <x:v>HYPERLINK is not implemented. linkLocation=https://365nails.com/products/black-smudged-y2-cool-wearable-cat-eye-3d-stereo-flower-manicure-nail-pieces, friendlyName=Black smudged y2 cool wearable cat eye 3d stereo flower manicure nail pieces</x:v>
      </x:c>
      <x:c r="D1209" s="18" t="str">
        <x:v>Color: Jp 4119</x:v>
      </x:c>
      <x:c r="E1209" s="25" t="str">
        <x:v>$2.18</x:v>
      </x:c>
      <x:c r="F1209" s="19" t="str">
        <x:v>1</x:v>
      </x:c>
    </x:row>
    <x:row r="1210" ht="93" customHeight="1">
      <x:c r="A1210" s="19" t="n">
        <x:v>1207</x:v>
      </x:c>
      <x:c r="B1210" s="22" t="e">
        <x:f>HYPERLINK("https://cdn.shopify.com/s/files/1/0918/6066/4603/files/O1CN018GA1C92NGI1yJxC7Q__4234819935-0-cib.jpg?v=1768905974","Open")</x:f>
        <x:v>HYPERLINK is not implemented. linkLocation=https://cdn.shopify.com/s/files/1/0918/6066/4603/files/O1CN018GA1C92NGI1yJxC7Q__4234819935-0-cib.jpg?v=1768905974, friendlyName=Open</x:v>
      </x:c>
      <x:c r="C1210" s="24" t="e">
        <x:f>HYPERLINK("https://365nails.com/products/3d-three-dimensional-flower-wearing-nails-short-almond-smudged-nails","3d three-dimensional flower wearing nails, short almond smudged nails")</x:f>
        <x:v>HYPERLINK is not implemented. linkLocation=https://365nails.com/products/3d-three-dimensional-flower-wearing-nails-short-almond-smudged-nails, friendlyName=3d three-dimensional flower wearing nails, short almond smudged nails</x:v>
      </x:c>
      <x:c r="D1210" s="18" t="str">
        <x:v>Color: Jp 4211</x:v>
      </x:c>
      <x:c r="E1210" s="25" t="str">
        <x:v>$1.55</x:v>
      </x:c>
      <x:c r="F1210" s="19" t="str">
        <x:v>1</x:v>
      </x:c>
    </x:row>
    <x:row r="1211" ht="93" customHeight="1">
      <x:c r="A1211" s="19" t="n">
        <x:v>1208</x:v>
      </x:c>
      <x:c r="B1211" s="22" t="e">
        <x:f>HYPERLINK("https://cdn.shopify.com/s/files/1/0918/6066/4603/files/O1CN01wxioNx2NGI1shDZ7v__4234819935-0-cib.jpg?v=1768905953","Open")</x:f>
        <x:v>HYPERLINK is not implemented. linkLocation=https://cdn.shopify.com/s/files/1/0918/6066/4603/files/O1CN01wxioNx2NGI1shDZ7v__4234819935-0-cib.jpg?v=1768905953, friendlyName=Open</x:v>
      </x:c>
      <x:c r="C1211" s="24" t="e">
        <x:f>HYPERLINK("https://365nails.com/products/solid-color-pink-manicure-and-pedicure-coated-wearable-nails-and-toes","Solid color pink manicure and pedicure coated wearable nails and toes")</x:f>
        <x:v>HYPERLINK is not implemented. linkLocation=https://365nails.com/products/solid-color-pink-manicure-and-pedicure-coated-wearable-nails-and-toes, friendlyName=Solid color pink manicure and pedicure coated wearable nails and toes</x:v>
      </x:c>
      <x:c r="D1211" s="18" t="str">
        <x:v>Color: Jp 4240</x:v>
      </x:c>
      <x:c r="E1211" s="25" t="str">
        <x:v>$1.11</x:v>
      </x:c>
      <x:c r="F1211" s="19" t="str">
        <x:v>1</x:v>
      </x:c>
    </x:row>
    <x:row r="1212" ht="93" customHeight="1">
      <x:c r="A1212" s="19" t="n">
        <x:v>1209</x:v>
      </x:c>
      <x:c r="B1212" s="22" t="e">
        <x:f>HYPERLINK("https://cdn.shopify.com/s/files/1/0918/6066/4603/files/527375b0175a20a2d6201d033ed25c6d_b610f9b7-612f-48ca-a205-9e40566385c1.jpg?v=1768614814","Open")</x:f>
        <x:v>HYPERLINK is not implemented. linkLocation=https://cdn.shopify.com/s/files/1/0918/6066/4603/files/527375b0175a20a2d6201d033ed25c6d_b610f9b7-612f-48ca-a205-9e40566385c1.jpg?v=1768614814, friendlyName=Open</x:v>
      </x:c>
      <x:c r="C1212" s="24" t="e">
        <x:f>HYPERLINK("https://365nails.com/products/odorless-press-on-nail-glue-remover-powerful-dissolving-softening","Odorless Press-On Nail Glue Remover – Powerful Dissolving &amp; Softening, Low Evaporation")</x:f>
        <x:v>HYPERLINK is not implemented. linkLocation=https://365nails.com/products/odorless-press-on-nail-glue-remover-powerful-dissolving-softening, friendlyName=Odorless Press-On Nail Glue Remover – Powerful Dissolving &amp; Softening, Low Evaporation</x:v>
      </x:c>
      <x:c r="D1212" s="18" t="str">
        <x:v>Color: 10ml glue remover (unlabeled) / 10ml glue remover (english label) / 15ml glue remover(english label) / 20ml remover(english label); Quantity: 10pcs</x:v>
      </x:c>
      <x:c r="E1212" s="25" t="str">
        <x:v>$3.00–$5.00</x:v>
      </x:c>
      <x:c r="F1212" s="19" t="str">
        <x:v>1</x:v>
      </x:c>
    </x:row>
    <x:row r="1213" ht="93" customHeight="1">
      <x:c r="A1213" s="19" t="n">
        <x:v>1210</x:v>
      </x:c>
      <x:c r="B1213" s="22" t="e">
        <x:f>HYPERLINK("https://cdn.shopify.com/s/files/1/0918/6066/4603/files/O1CN01qOHKfc2MQzddtTMNR__2219089449823-0-cib_515b33d6-a3b8-46fe-9e51-e1c2d2c8ed53.jpg?v=1767947441","Open")</x:f>
        <x:v>HYPERLINK is not implemented. linkLocation=https://cdn.shopify.com/s/files/1/0918/6066/4603/files/O1CN01qOHKfc2MQzddtTMNR__2219089449823-0-cib_515b33d6-a3b8-46fe-9e51-e1c2d2c8ed53.jpg?v=1767947441, friendlyName=Open</x:v>
      </x:c>
      <x:c r="C1213" s="24" t="e">
        <x:f>HYPERLINK("https://365nails.com/products/black-milk-tea-gothic-cross-press-on-nails","Black Milk Tea Gothic Cross Press On Nails")</x:f>
        <x:v>HYPERLINK is not implemented. linkLocation=https://365nails.com/products/black-milk-tea-gothic-cross-press-on-nails, friendlyName=Black Milk Tea Gothic Cross Press On Nails</x:v>
      </x:c>
      <x:c r="D1213" s="18" t="str">
        <x:v>Color: M104; Color classification: XS / S / M / L; Length: 5cm</x:v>
      </x:c>
      <x:c r="E1213" s="25" t="str">
        <x:v>$5.99</x:v>
      </x:c>
      <x:c r="F1213" s="19" t="str">
        <x:v>1</x:v>
      </x:c>
    </x:row>
    <x:row r="1214" ht="93" customHeight="1">
      <x:c r="A1214" s="19" t="n">
        <x:v>1211</x:v>
      </x:c>
      <x:c r="B1214" s="22" t="e">
        <x:f>HYPERLINK("https://cdn.shopify.com/s/files/1/0918/6066/4603/files/O1CN01rI1vqP2NGI1aweDbB__4234819935-0-cib.jpg?v=1768906040","Open")</x:f>
        <x:v>HYPERLINK is not implemented. linkLocation=https://cdn.shopify.com/s/files/1/0918/6066/4603/files/O1CN01rI1vqP2NGI1aweDbB__4234819935-0-cib.jpg?v=1768906040, friendlyName=Open</x:v>
      </x:c>
      <x:c r="C1214" s="24" t="e">
        <x:f>HYPERLINK("https://365nails.com/products/nude-cat-eye-flash-wearable-nails-black-polka-dot-manicure-nails-popular-almond","Nude cat eye flash wearable nails black polka dot manicure nails popular almond")</x:f>
        <x:v>HYPERLINK is not implemented. linkLocation=https://365nails.com/products/nude-cat-eye-flash-wearable-nails-black-polka-dot-manicure-nails-popular-almond, friendlyName=Nude cat eye flash wearable nails black polka dot manicure nails popular almond</x:v>
      </x:c>
      <x:c r="D1214" s="18" t="str">
        <x:v>Color: Jp 4225</x:v>
      </x:c>
      <x:c r="E1214" s="25" t="str">
        <x:v>$1.11</x:v>
      </x:c>
      <x:c r="F1214" s="19" t="str">
        <x:v>1</x:v>
      </x:c>
    </x:row>
    <x:row r="1215" ht="93" customHeight="1">
      <x:c r="A1215" s="19" t="n">
        <x:v>1212</x:v>
      </x:c>
      <x:c r="B1215" s="22" t="e">
        <x:f>HYPERLINK("https://cdn.shopify.com/s/files/1/0918/6066/4603/files/O1CN01pQZyAP2NGI1h2MWX3__4234819935-0-cib.jpg?v=1768906033","Open")</x:f>
        <x:v>HYPERLINK is not implemented. linkLocation=https://cdn.shopify.com/s/files/1/0918/6066/4603/files/O1CN01pQZyAP2NGI1h2MWX3__4234819935-0-cib.jpg?v=1768906033, friendlyName=Open</x:v>
      </x:c>
      <x:c r="C1215" s="24" t="e">
        <x:f>HYPERLINK("https://365nails.com/products/burgundy-press-on-toenails-premium-quality-foot-nail-art","Burgundy press-on toenails - premium quality foot nail art")</x:f>
        <x:v>HYPERLINK is not implemented. linkLocation=https://365nails.com/products/burgundy-press-on-toenails-premium-quality-foot-nail-art, friendlyName=Burgundy press-on toenails - premium quality foot nail art</x:v>
      </x:c>
      <x:c r="D1215" s="18" t="str">
        <x:v>Color: Jp 4261</x:v>
      </x:c>
      <x:c r="E1215" s="25" t="str">
        <x:v>$0.66</x:v>
      </x:c>
      <x:c r="F1215" s="19" t="str">
        <x:v>1</x:v>
      </x:c>
    </x:row>
    <x:row r="1216" ht="93" customHeight="1">
      <x:c r="A1216" s="19" t="n">
        <x:v>1213</x:v>
      </x:c>
      <x:c r="B1216" s="22" t="e">
        <x:f>HYPERLINK("https://cdn.shopify.com/s/files/1/0918/6066/4603/files/O1CN01Kz299C2NGI1nJf9vf__4234819935-0-cib.jpg?v=1768905967","Open")</x:f>
        <x:v>HYPERLINK is not implemented. linkLocation=https://cdn.shopify.com/s/files/1/0918/6066/4603/files/O1CN01Kz299C2NGI1nJf9vf__4234819935-0-cib.jpg?v=1768905967, friendlyName=Open</x:v>
      </x:c>
      <x:c r="C1216" s="24" t="e">
        <x:f>HYPERLINK("https://365nails.com/products/pink-cute-press-on-nails-with-bowknots-pointed-long-flower-nail-art-stickers","Pink cute press-on nails with bowknots, pointed long flower nail art stickers")</x:f>
        <x:v>HYPERLINK is not implemented. linkLocation=https://365nails.com/products/pink-cute-press-on-nails-with-bowknots-pointed-long-flower-nail-art-stickers, friendlyName=Pink cute press-on nails with bowknots, pointed long flower nail art stickers</x:v>
      </x:c>
      <x:c r="D1216" s="18" t="str">
        <x:v>Color: Jp 4230</x:v>
      </x:c>
      <x:c r="E1216" s="25" t="str">
        <x:v>$1.51</x:v>
      </x:c>
      <x:c r="F1216" s="19" t="str">
        <x:v>1</x:v>
      </x:c>
    </x:row>
    <x:row r="1217" ht="93" customHeight="1">
      <x:c r="A1217" s="19" t="n">
        <x:v>1214</x:v>
      </x:c>
      <x:c r="B1217" s="22" t="e">
        <x:f>HYPERLINK("https://cdn.shopify.com/s/files/1/0918/6066/4603/files/O1CN01RiCB6O22SYgy44OtF__2219370087119-0-cib_2e06047a-c73b-4a30-906e-cc54142d56f2.jpg?v=1767238761","Open")</x:f>
        <x:v>HYPERLINK is not implemented. linkLocation=https://cdn.shopify.com/s/files/1/0918/6066/4603/files/O1CN01RiCB6O22SYgy44OtF__2219370087119-0-cib_2e06047a-c73b-4a30-906e-cc54142d56f2.jpg?v=1767238761, friendlyName=Open</x:v>
      </x:c>
      <x:c r="C1217" s="24" t="e">
        <x:f>HYPERLINK("https://365nails.com/products/black-star-crystal-luxury-press-on-nails","Black Star Crystal Luxury Press-On Nails")</x:f>
        <x:v>HYPERLINK is not implemented. linkLocation=https://365nails.com/products/black-star-crystal-luxury-press-on-nails, friendlyName=Black Star Crystal Luxury Press-On Nails</x:v>
      </x:c>
      <x:c r="D1217" s="18" t="str">
        <x:v>Color: L (1.7/1.3/1.4/1.3/1.1)cm / M (1.6/1.2/1.3/1.2/1.0)cm / S (1.5/1.1/1.2/1.1/0.9)cm</x:v>
      </x:c>
      <x:c r="E1217" s="25" t="str">
        <x:v>$4.99</x:v>
      </x:c>
      <x:c r="F1217" s="19" t="str">
        <x:v>30</x:v>
      </x:c>
    </x:row>
    <x:row r="1218" ht="93" customHeight="1">
      <x:c r="A1218" s="19" t="n">
        <x:v>1215</x:v>
      </x:c>
      <x:c r="B1218" s="22" t="e">
        <x:f>HYPERLINK("https://cdn.shopify.com/s/files/1/0918/6066/4603/files/O1CN012OYJGy2NGI1VUd7S9__4234819935-0-cib.jpg?v=1768906044","Open")</x:f>
        <x:v>HYPERLINK is not implemented. linkLocation=https://cdn.shopify.com/s/files/1/0918/6066/4603/files/O1CN012OYJGy2NGI1VUd7S9__4234819935-0-cib.jpg?v=1768906044, friendlyName=Open</x:v>
      </x:c>
      <x:c r="C1218" s="24" t="e">
        <x:f>HYPERLINK("https://365nails.com/products/simple-french-black-press-on-nails-black-polka-dot-round-dot-manicure-nail-chips-almond-nails","Simple french black press-on nails black polka dot round dot manicure nail chips almond nails")</x:f>
        <x:v>HYPERLINK is not implemented. linkLocation=https://365nails.com/products/simple-french-black-press-on-nails-black-polka-dot-round-dot-manicure-nail-chips-almond-nails, friendlyName=Simple french black press-on nails black polka dot round dot manicure nail chips almond nails</x:v>
      </x:c>
      <x:c r="D1218" s="18" t="str">
        <x:v>Color: Jp 4228</x:v>
      </x:c>
      <x:c r="E1218" s="25" t="str">
        <x:v>$0.72</x:v>
      </x:c>
      <x:c r="F1218" s="19" t="str">
        <x:v>1</x:v>
      </x:c>
    </x:row>
    <x:row r="1219" ht="93" customHeight="1">
      <x:c r="A1219" s="19" t="n">
        <x:v>1216</x:v>
      </x:c>
      <x:c r="B1219" s="22" t="e">
        <x:f>HYPERLINK("https://cdn.shopify.com/s/files/1/0918/6066/4603/files/O1CN01A5kMSZ2NGI1RKCHAU__4234819935-0-cib.jpg?v=1768906038","Open")</x:f>
        <x:v>HYPERLINK is not implemented. linkLocation=https://cdn.shopify.com/s/files/1/0918/6066/4603/files/O1CN01A5kMSZ2NGI1RKCHAU__4234819935-0-cib.jpg?v=1768906038, friendlyName=Open</x:v>
      </x:c>
      <x:c r="C1219" s="24" t="e">
        <x:f>HYPERLINK("https://365nails.com/products/fall-and-winter-hot-selling-black-brown-smudged-wearable-nails-nail-pieces-manicure-nail-pieces-almond-nails","Fall and winter hot-selling black brown smudged wearable nails nail pieces manicure nail pieces almond nails")</x:f>
        <x:v>HYPERLINK is not implemented. linkLocation=https://365nails.com/products/fall-and-winter-hot-selling-black-brown-smudged-wearable-nails-nail-pieces-manicure-nail-pieces-almond-nails, friendlyName=Fall and winter hot-selling black brown smudged wearable nails nail pieces manicure nail pieces almond nails</x:v>
      </x:c>
      <x:c r="D1219" s="18" t="str">
        <x:v>Color: Jp 4174</x:v>
      </x:c>
      <x:c r="E1219" s="25" t="str">
        <x:v>$0.72</x:v>
      </x:c>
      <x:c r="F1219" s="19" t="str">
        <x:v>1</x:v>
      </x:c>
    </x:row>
    <x:row r="1220" ht="93" customHeight="1">
      <x:c r="A1220" s="19" t="n">
        <x:v>1217</x:v>
      </x:c>
      <x:c r="B1220" s="22" t="e">
        <x:f>HYPERLINK("https://cdn.shopify.com/s/files/1/0918/6066/4603/files/O1CN01h04RTs2NGI1ea9JyJ__4234819935-0-cib.jpg?v=1768906028","Open")</x:f>
        <x:v>HYPERLINK is not implemented. linkLocation=https://cdn.shopify.com/s/files/1/0918/6066/4603/files/O1CN01h04RTs2NGI1ea9JyJ__4234819935-0-cib.jpg?v=1768906028, friendlyName=Open</x:v>
      </x:c>
      <x:c r="C1220" s="24" t="e">
        <x:f>HYPERLINK("https://365nails.com/products/nude-pink-solid-color-short-square-manicure-and-pedicure-nail-chips-casual-toe-nail-chips","Nude pink solid color short square manicure and pedicure nail chips casual toe nail chips")</x:f>
        <x:v>HYPERLINK is not implemented. linkLocation=https://365nails.com/products/nude-pink-solid-color-short-square-manicure-and-pedicure-nail-chips-casual-toe-nail-chips, friendlyName=Nude pink solid color short square manicure and pedicure nail chips casual toe nail chips</x:v>
      </x:c>
      <x:c r="D1220" s="18" t="str">
        <x:v>Color: Jp 4260</x:v>
      </x:c>
      <x:c r="E1220" s="25" t="str">
        <x:v>$0.62</x:v>
      </x:c>
      <x:c r="F1220" s="19" t="str">
        <x:v>1</x:v>
      </x:c>
    </x:row>
    <x:row r="1221" ht="93" customHeight="1">
      <x:c r="A1221" s="19" t="n">
        <x:v>1218</x:v>
      </x:c>
      <x:c r="B1221" s="22" t="e">
        <x:f>HYPERLINK("https://cdn.shopify.com/s/files/1/0918/6066/4603/files/O1CN01vDgtbb2NGI1c3XpiG__4234819935-0-cib.jpg?v=1768906018","Open")</x:f>
        <x:v>HYPERLINK is not implemented. linkLocation=https://cdn.shopify.com/s/files/1/0918/6066/4603/files/O1CN01vDgtbb2NGI1c3XpiG__4234819935-0-cib.jpg?v=1768906018, friendlyName=Open</x:v>
      </x:c>
      <x:c r="C1221" s="24" t="e">
        <x:f>HYPERLINK("https://365nails.com/products/nail-art-french-white-minimalist-press-on-nails-with-sparkling-rhinestones","Nail art french white minimalist press-on nails with sparkling rhinestones")</x:f>
        <x:v>HYPERLINK is not implemented. linkLocation=https://365nails.com/products/nail-art-french-white-minimalist-press-on-nails-with-sparkling-rhinestones, friendlyName=Nail art french white minimalist press-on nails with sparkling rhinestones</x:v>
      </x:c>
      <x:c r="D1221" s="18" t="str">
        <x:v>Color: JP4212</x:v>
      </x:c>
      <x:c r="E1221" s="25" t="str">
        <x:v>$1.51</x:v>
      </x:c>
      <x:c r="F1221" s="19" t="str">
        <x:v>1</x:v>
      </x:c>
    </x:row>
    <x:row r="1222" ht="93" customHeight="1">
      <x:c r="A1222" s="19" t="n">
        <x:v>1219</x:v>
      </x:c>
      <x:c r="B1222" s="22" t="e">
        <x:f>HYPERLINK("https://cdn.shopify.com/s/files/1/0918/6066/4603/files/O1CN01brneKV2NGI1eZj4Vu__4234819935-0-cib.jpg?v=1768906009","Open")</x:f>
        <x:v>HYPERLINK is not implemented. linkLocation=https://cdn.shopify.com/s/files/1/0918/6066/4603/files/O1CN01brneKV2NGI1eZj4Vu__4234819935-0-cib.jpg?v=1768906009, friendlyName=Open</x:v>
      </x:c>
      <x:c r="C1222" s="24" t="e">
        <x:f>HYPERLINK("https://365nails.com/products/red-solid-color-toenail-tips-whitening-minimalist-toe-nail-extensions","Red solid color toenail tips - whitening, minimalist toe nail extensions")</x:f>
        <x:v>HYPERLINK is not implemented. linkLocation=https://365nails.com/products/red-solid-color-toenail-tips-whitening-minimalist-toe-nail-extensions, friendlyName=Red solid color toenail tips - whitening, minimalist toe nail extensions</x:v>
      </x:c>
      <x:c r="D1222" s="18" t="str">
        <x:v>Color: Jp 4259</x:v>
      </x:c>
      <x:c r="E1222" s="25" t="str">
        <x:v>$0.66</x:v>
      </x:c>
      <x:c r="F1222" s="19" t="str">
        <x:v>1</x:v>
      </x:c>
    </x:row>
    <x:row r="1223" ht="93" customHeight="1">
      <x:c r="A1223" s="19" t="n">
        <x:v>1220</x:v>
      </x:c>
      <x:c r="B1223" s="22" t="e">
        <x:f>HYPERLINK("https://cdn.shopify.com/s/files/1/0918/6066/4603/files/O1CN015vDR5k2NGI1bnMu0B__4234819935-0-cib.jpg?v=1768905997","Open")</x:f>
        <x:v>HYPERLINK is not implemented. linkLocation=https://cdn.shopify.com/s/files/1/0918/6066/4603/files/O1CN015vDR5k2NGI1bnMu0B__4234819935-0-cib.jpg?v=1768905997, friendlyName=Open</x:v>
      </x:c>
      <x:c r="C1223" s="24" t="e">
        <x:f>HYPERLINK("https://365nails.com/products/autumn-winter-wine-red-press-on-nails-with-white-polka-dot-design-short-square-shape","Autumn/winter wine red press-on nails with white polka dot design - short square shape")</x:f>
        <x:v>HYPERLINK is not implemented. linkLocation=https://365nails.com/products/autumn-winter-wine-red-press-on-nails-with-white-polka-dot-design-short-square-shape, friendlyName=Autumn/winter wine red press-on nails with white polka dot design - short square shape</x:v>
      </x:c>
      <x:c r="D1223" s="18" t="str">
        <x:v>Color: Jp 4229</x:v>
      </x:c>
      <x:c r="E1223" s="25" t="str">
        <x:v>$0.72</x:v>
      </x:c>
      <x:c r="F1223" s="19" t="str">
        <x:v>1</x:v>
      </x:c>
    </x:row>
    <x:row r="1224" ht="93" customHeight="1">
      <x:c r="A1224" s="19" t="n">
        <x:v>1221</x:v>
      </x:c>
      <x:c r="B1224" s="22" t="e">
        <x:f>HYPERLINK("https://cdn.shopify.com/s/files/1/0918/6066/4603/files/O1CN01bg7X1o2NGI17M3Zt7__4234819935-0-cib.jpg?v=1768905988","Open")</x:f>
        <x:v>HYPERLINK is not implemented. linkLocation=https://cdn.shopify.com/s/files/1/0918/6066/4603/files/O1CN01bg7X1o2NGI17M3Zt7__4234819935-0-cib.jpg?v=1768905988, friendlyName=Open</x:v>
      </x:c>
      <x:c r="C1224" s="24" t="e">
        <x:f>HYPERLINK("https://365nails.com/products/3d-floral-press-on-nails-long-stiletto-french-manicure","3d floral press-on nails, long stiletto french manicure")</x:f>
        <x:v>HYPERLINK is not implemented. linkLocation=https://365nails.com/products/3d-floral-press-on-nails-long-stiletto-french-manicure, friendlyName=3d floral press-on nails, long stiletto french manicure</x:v>
      </x:c>
      <x:c r="D1224" s="18" t="str">
        <x:v>Color: Jp 4123</x:v>
      </x:c>
      <x:c r="E1224" s="25" t="str">
        <x:v>$2.42</x:v>
      </x:c>
      <x:c r="F1224" s="19" t="str">
        <x:v>1</x:v>
      </x:c>
    </x:row>
    <x:row r="1225" ht="93" customHeight="1">
      <x:c r="A1225" s="19" t="n">
        <x:v>1222</x:v>
      </x:c>
      <x:c r="B1225" s="22" t="e">
        <x:f>HYPERLINK("https://cdn.shopify.com/s/files/1/0918/6066/4603/files/O1CN01wzylXO2NGI1Rrv8IT__4234819935-0-cib.jpg?v=1768905983","Open")</x:f>
        <x:v>HYPERLINK is not implemented. linkLocation=https://cdn.shopify.com/s/files/1/0918/6066/4603/files/O1CN01wzylXO2NGI1Rrv8IT__4234819935-0-cib.jpg?v=1768905983, friendlyName=Open</x:v>
      </x:c>
      <x:c r="C1225" s="24" t="e">
        <x:f>HYPERLINK("https://365nails.com/products/cat-eye-flash-wearable-french-red-manicure-nail-pieces-medium-short-almond-nails","Cat eye flash wearable french red manicure nail pieces medium short almond nails")</x:f>
        <x:v>HYPERLINK is not implemented. linkLocation=https://365nails.com/products/cat-eye-flash-wearable-french-red-manicure-nail-pieces-medium-short-almond-nails, friendlyName=Cat eye flash wearable french red manicure nail pieces medium short almond nails</x:v>
      </x:c>
      <x:c r="D1225" s="18" t="str">
        <x:v>Color: Jp 4169</x:v>
      </x:c>
      <x:c r="E1225" s="25" t="str">
        <x:v>$1.11</x:v>
      </x:c>
      <x:c r="F1225" s="19" t="str">
        <x:v>1</x:v>
      </x:c>
    </x:row>
    <x:row r="1226" ht="93" customHeight="1">
      <x:c r="A1226" s="19" t="n">
        <x:v>1223</x:v>
      </x:c>
      <x:c r="B1226" s="22" t="e">
        <x:f>HYPERLINK("https://cdn.shopify.com/s/files/1/0918/6066/4603/files/O1CN01C1KETq2NGI1isWwKS__4234819935-0-cib.jpg?v=1768905981","Open")</x:f>
        <x:v>HYPERLINK is not implemented. linkLocation=https://cdn.shopify.com/s/files/1/0918/6066/4603/files/O1CN01C1KETq2NGI1isWwKS__4234819935-0-cib.jpg?v=1768905981, friendlyName=Open</x:v>
      </x:c>
      <x:c r="C1226" s="24" t="e">
        <x:f>HYPERLINK("https://365nails.com/products/simple-red-wearable-nails-short-square-nails-french-red-manicure-and-feet","Simple red wearable nails, short square nails, french red manicure and feet")</x:f>
        <x:v>HYPERLINK is not implemented. linkLocation=https://365nails.com/products/simple-red-wearable-nails-short-square-nails-french-red-manicure-and-feet, friendlyName=Simple red wearable nails, short square nails, french red manicure and feet</x:v>
      </x:c>
      <x:c r="D1226" s="18" t="str">
        <x:v>Color: Jp 4248</x:v>
      </x:c>
      <x:c r="E1226" s="25" t="str">
        <x:v>$0.72</x:v>
      </x:c>
      <x:c r="F1226" s="19" t="str">
        <x:v>1</x:v>
      </x:c>
    </x:row>
    <x:row r="1227" ht="93" customHeight="1">
      <x:c r="A1227" s="19" t="n">
        <x:v>1224</x:v>
      </x:c>
      <x:c r="B1227" s="22" t="e">
        <x:f>HYPERLINK("https://cdn.shopify.com/s/files/1/0918/6066/4603/files/O1CN01xTm77A2NGI1geYYV8__4234819935-0-cib.jpg?v=1768905979","Open")</x:f>
        <x:v>HYPERLINK is not implemented. linkLocation=https://cdn.shopify.com/s/files/1/0918/6066/4603/files/O1CN01xTm77A2NGI1geYYV8__4234819935-0-cib.jpg?v=1768905979, friendlyName=Open</x:v>
      </x:c>
      <x:c r="C1227" s="24" t="e">
        <x:f>HYPERLINK("https://365nails.com/products/fresh-flirty-blush-ombre-nail-art-3d-bow-cat-eye-press-on-nails","Fresh &amp; flirty blush ombre nail art - 3d bow &amp; cat eye press-on nails")</x:f>
        <x:v>HYPERLINK is not implemented. linkLocation=https://365nails.com/products/fresh-flirty-blush-ombre-nail-art-3d-bow-cat-eye-press-on-nails, friendlyName=Fresh &amp; flirty blush ombre nail art - 3d bow &amp; cat eye press-on nails</x:v>
      </x:c>
      <x:c r="D1227" s="18" t="str">
        <x:v>Color: Jp 4210</x:v>
      </x:c>
      <x:c r="E1227" s="25" t="str">
        <x:v>$1.60</x:v>
      </x:c>
      <x:c r="F1227" s="19" t="str">
        <x:v>1</x:v>
      </x:c>
    </x:row>
    <x:row r="1228" ht="93" customHeight="1">
      <x:c r="A1228" s="19" t="n">
        <x:v>1225</x:v>
      </x:c>
      <x:c r="B1228" s="22" t="e">
        <x:f>HYPERLINK("https://cdn.shopify.com/s/files/1/0918/6066/4603/files/O1CN0115hMH12NGI1h6qS2j__4234819935-0-cib.jpg?v=1768905976","Open")</x:f>
        <x:v>HYPERLINK is not implemented. linkLocation=https://cdn.shopify.com/s/files/1/0918/6066/4603/files/O1CN0115hMH12NGI1h6qS2j__4234819935-0-cib.jpg?v=1768905976, friendlyName=Open</x:v>
      </x:c>
      <x:c r="C1228" s="24" t="e">
        <x:f>HYPERLINK("https://365nails.com/products/wear-almond-nails-manicure-nails-3d-sparkling-diamond-shiny-fingers","Wear almond nails, manicure nails, 3d sparkling diamond, shiny fingers")</x:f>
        <x:v>HYPERLINK is not implemented. linkLocation=https://365nails.com/products/wear-almond-nails-manicure-nails-3d-sparkling-diamond-shiny-fingers, friendlyName=Wear almond nails, manicure nails, 3d sparkling diamond, shiny fingers</x:v>
      </x:c>
      <x:c r="D1228" s="18" t="str">
        <x:v>Color: Jp 4202</x:v>
      </x:c>
      <x:c r="E1228" s="25" t="str">
        <x:v>$2.17</x:v>
      </x:c>
      <x:c r="F1228" s="19" t="str">
        <x:v>1</x:v>
      </x:c>
    </x:row>
    <x:row r="1229" ht="93" customHeight="1">
      <x:c r="A1229" s="19" t="n">
        <x:v>1226</x:v>
      </x:c>
      <x:c r="B1229" s="22" t="e">
        <x:f>HYPERLINK("https://cdn.shopify.com/s/files/1/0918/6066/4603/files/O1CN01gHgJ912NGI1nFtTmo__4234819935-0-cib.jpg?v=1768905962","Open")</x:f>
        <x:v>HYPERLINK is not implemented. linkLocation=https://cdn.shopify.com/s/files/1/0918/6066/4603/files/O1CN01gHgJ912NGI1nFtTmo__4234819935-0-cib.jpg?v=1768905962, friendlyName=Open</x:v>
      </x:c>
      <x:c r="C1229" s="24" t="e">
        <x:f>HYPERLINK("https://365nails.com/products/pink-solid-color-sweet-chic-press-on-toenails-glittering-electroplated-and-dazzling","Pink solid color sweet &amp; chic press-on toenails - glittering, electroplated, and dazzling")</x:f>
        <x:v>HYPERLINK is not implemented. linkLocation=https://365nails.com/products/pink-solid-color-sweet-chic-press-on-toenails-glittering-electroplated-and-dazzling, friendlyName=Pink solid color sweet &amp; chic press-on toenails - glittering, electroplated, and dazzling</x:v>
      </x:c>
      <x:c r="D1229" s="18" t="str">
        <x:v>Color: Jp 4242</x:v>
      </x:c>
      <x:c r="E1229" s="25" t="str">
        <x:v>$1.11</x:v>
      </x:c>
      <x:c r="F1229" s="19" t="str">
        <x:v>1</x:v>
      </x:c>
    </x:row>
    <x:row r="1230" ht="93" customHeight="1">
      <x:c r="A1230" s="19" t="n">
        <x:v>1227</x:v>
      </x:c>
      <x:c r="B1230" s="22" t="e">
        <x:f>HYPERLINK("https://cdn.shopify.com/s/files/1/0918/6066/4603/files/O1CN01mS6Gmu2NGHhuqckkP__4234819935-0-cib.jpg?v=1753432236","Open")</x:f>
        <x:v>HYPERLINK is not implemented. linkLocation=https://cdn.shopify.com/s/files/1/0918/6066/4603/files/O1CN01mS6Gmu2NGHhuqckkP__4234819935-0-cib.jpg?v=1753432236, friendlyName=Open</x:v>
      </x:c>
      <x:c r="C1230" s="24" t="e">
        <x:f>HYPERLINK("https://365nails.com/products/wear-armor-short-grape-gradual-change-smoke-purple-matte-nail-wear-nail-advanced-nail-wear-nail-wholesale-nail-piece-365nails","Wear armor short grape gradual change smoke purple matte nail wear nail advanced nail wear nail wholesale nail piece｜365nails")</x:f>
        <x:v>HYPERLINK is not implemented. linkLocation=https://365nails.com/products/wear-armor-short-grape-gradual-change-smoke-purple-matte-nail-wear-nail-advanced-nail-wear-nail-wholesale-nail-piece-365nails, friendlyName=Wear armor short grape gradual change smoke purple matte nail wear nail advanced nail wear nail wholesale nail piece｜365nails</x:v>
      </x:c>
      <x:c r="D1230" s="18" t="str">
        <x:v>color: JP2117</x:v>
      </x:c>
      <x:c r="E1230" s="25" t="str">
        <x:v>$0.70</x:v>
      </x:c>
      <x:c r="F1230" s="19" t="str">
        <x:v>1</x:v>
      </x:c>
    </x:row>
    <x:row r="1231" ht="93" customHeight="1">
      <x:c r="A1231" s="19" t="n">
        <x:v>1228</x:v>
      </x:c>
      <x:c r="B1231" s="22" t="e">
        <x:f>HYPERLINK("https://cdn.shopify.com/s/files/1/0918/6066/4603/files/O1CN01MQIoia2NGI1bZbvyw__4234819935-0-cib.jpg?v=1768905993","Open")</x:f>
        <x:v>HYPERLINK is not implemented. linkLocation=https://cdn.shopify.com/s/files/1/0918/6066/4603/files/O1CN01MQIoia2NGI1bZbvyw__4234819935-0-cib.jpg?v=1768905993, friendlyName=Open</x:v>
      </x:c>
      <x:c r="C1231" s="24" t="e">
        <x:f>HYPERLINK("https://365nails.com/products/toenailsfrench-toe-nail-piece-casualfrenchwhite-toe-nail-piece-toe","Toenailsfrench toe nail piece casualfrenchwhite toe nail piece toe")</x:f>
        <x:v>HYPERLINK is not implemented. linkLocation=https://365nails.com/products/toenailsfrench-toe-nail-piece-casualfrenchwhite-toe-nail-piece-toe, friendlyName=Toenailsfrench toe nail piece casualfrenchwhite toe nail piece toe</x:v>
      </x:c>
      <x:c r="D1231" s="18" t="str">
        <x:v>Color: Jp 4250</x:v>
      </x:c>
      <x:c r="E1231" s="25" t="str">
        <x:v>$0.72</x:v>
      </x:c>
      <x:c r="F1231" s="19" t="str">
        <x:v>1</x:v>
      </x:c>
    </x:row>
    <x:row r="1232" ht="93" customHeight="1">
      <x:c r="A1232" s="19" t="n">
        <x:v>1229</x:v>
      </x:c>
      <x:c r="B1232" s="22" t="e">
        <x:f>HYPERLINK("https://cdn.shopify.com/s/files/1/0918/6066/4603/files/O1CN01J4FoOQ22SYgOAF3ja__2219370087119-0-cib.jpg?v=1767184496","Open")</x:f>
        <x:v>HYPERLINK is not implemented. linkLocation=https://cdn.shopify.com/s/files/1/0918/6066/4603/files/O1CN01J4FoOQ22SYgOAF3ja__2219370087119-0-cib.jpg?v=1767184496, friendlyName=Open</x:v>
      </x:c>
      <x:c r="C1232" s="24" t="e">
        <x:f>HYPERLINK("https://365nails.com/products/pastel-floral-gradient-sculpted-press-on-nails","Pastel Floral Gradient Sculpted Press On Nails")</x:f>
        <x:v>HYPERLINK is not implemented. linkLocation=https://365nails.com/products/pastel-floral-gradient-sculpted-press-on-nails, friendlyName=Pastel Floral Gradient Sculpted Press On Nails</x:v>
      </x:c>
      <x:c r="D1232" s="18" t="str">
        <x:v>Color: L / M / S</x:v>
      </x:c>
      <x:c r="E1232" s="25" t="str">
        <x:v>$4.99</x:v>
      </x:c>
      <x:c r="F1232" s="19" t="str">
        <x:v>30</x:v>
      </x:c>
    </x:row>
    <x:row r="1233" ht="93" customHeight="1">
      <x:c r="A1233" s="19" t="n">
        <x:v>1230</x:v>
      </x:c>
      <x:c r="B1233" s="22" t="e">
        <x:f>HYPERLINK("https://cdn.shopify.com/s/files/1/0918/6066/4603/files/O1CN01S8uT8W2MQzdhn8b3p__2219089449823-0-cib_e918d6be-bbd4-4784-bc21-ee94ea13e862.jpg?v=1767943454","Open")</x:f>
        <x:v>HYPERLINK is not implemented. linkLocation=https://cdn.shopify.com/s/files/1/0918/6066/4603/files/O1CN01S8uT8W2MQzdhn8b3p__2219089449823-0-cib_e918d6be-bbd4-4784-bc21-ee94ea13e862.jpg?v=1767943454, friendlyName=Open</x:v>
      </x:c>
      <x:c r="C1233" s="24" t="e">
        <x:f>HYPERLINK("https://365nails.com/products/elegant-butterfly-crystal-ombre-press-on-nails","Elegant Butterfly Crystal Ombre Press On Nails")</x:f>
        <x:v>HYPERLINK is not implemented. linkLocation=https://365nails.com/products/elegant-butterfly-crystal-ombre-press-on-nails, friendlyName=Elegant Butterfly Crystal Ombre Press On Nails</x:v>
      </x:c>
      <x:c r="D1233" s="18" t="str">
        <x:v>Color: L208; Color classification: S / M / L; Length: 5cm</x:v>
      </x:c>
      <x:c r="E1233" s="25" t="str">
        <x:v>$4.99</x:v>
      </x:c>
      <x:c r="F1233" s="19" t="str">
        <x:v>1</x:v>
      </x:c>
    </x:row>
    <x:row r="1234" ht="93" customHeight="1">
      <x:c r="A1234" s="19" t="n">
        <x:v>1231</x:v>
      </x:c>
      <x:c r="B1234" s="22" t="e">
        <x:f>HYPERLINK("https://cdn.shopify.com/s/files/1/0918/6066/4603/files/O1CN01ZhCFwC2NGHx0ceRGt__4234819935-0-cib.jpg?v=1753432294","Open")</x:f>
        <x:v>HYPERLINK is not implemented. linkLocation=https://cdn.shopify.com/s/files/1/0918/6066/4603/files/O1CN01ZhCFwC2NGHx0ceRGt__4234819935-0-cib.jpg?v=1753432294, friendlyName=Open</x:v>
      </x:c>
      <x:c r="C1234" s="24" t="e">
        <x:f>HYPERLINK("https://365nails.com/products/black-gradual-change-nail-piece-new-chinese-plum-blossom-wearing-nail-piece-finished-short-ballet-removable-nail-piece-wholesale-365nails","Black gradual change nail piece New Chinese plum blossom  Finished short ballet removable nail piece Wholesale｜365nails")</x:f>
        <x:v>HYPERLINK is not implemented. linkLocation=https://365nails.com/products/black-gradual-change-nail-piece-new-chinese-plum-blossom-wearing-nail-piece-finished-short-ballet-removable-nail-piece-wholesale-365nails, friendlyName=Black gradual change nail piece New Chinese plum blossom  Finished short ballet removable nail piece Wholesale｜365nails</x:v>
      </x:c>
      <x:c r="D1234" s="18" t="str">
        <x:v>color: JP3716</x:v>
      </x:c>
      <x:c r="E1234" s="25" t="str">
        <x:v>$0.94</x:v>
      </x:c>
      <x:c r="F1234" s="19" t="str">
        <x:v>1</x:v>
      </x:c>
    </x:row>
    <x:row r="1235" ht="93" customHeight="1">
      <x:c r="A1235" s="19" t="n">
        <x:v>1232</x:v>
      </x:c>
      <x:c r="B1235" s="22" t="e">
        <x:f>HYPERLINK("https://cdn.shopify.com/s/files/1/0918/6066/4603/files/O1CN01cgagbm2NGI1bXu42w__4234819935-0-cib.jpg?v=1768906036","Open")</x:f>
        <x:v>HYPERLINK is not implemented. linkLocation=https://cdn.shopify.com/s/files/1/0918/6066/4603/files/O1CN01cgagbm2NGI1bXu42w__4234819935-0-cib.jpg?v=1768906036, friendlyName=Open</x:v>
      </x:c>
      <x:c r="C1235" s="24" t="e">
        <x:f>HYPERLINK("https://365nails.com/products/black-minimalist-french-press-on-nails-with-white-polka-dot-design-short-square-nail-tips","Black minimalist french press-on nails with white polka dot design - short square nail tips")</x:f>
        <x:v>HYPERLINK is not implemented. linkLocation=https://365nails.com/products/black-minimalist-french-press-on-nails-with-white-polka-dot-design-short-square-nail-tips, friendlyName=Black minimalist french press-on nails with white polka dot design - short square nail tips</x:v>
      </x:c>
      <x:c r="D1235" s="18" t="str">
        <x:v>Color: Jp 4216</x:v>
      </x:c>
      <x:c r="E1235" s="25" t="str">
        <x:v>$0.72</x:v>
      </x:c>
      <x:c r="F1235" s="19" t="str">
        <x:v>1</x:v>
      </x:c>
    </x:row>
    <x:row r="1236" ht="93" customHeight="1">
      <x:c r="A1236" s="19" t="n">
        <x:v>1233</x:v>
      </x:c>
      <x:c r="B1236" s="22" t="e">
        <x:f>HYPERLINK("https://cdn.shopify.com/s/files/1/0918/6066/4603/files/O1CN017XOzNk2NGI1e9vnee__4234819935-0-cib.jpg?v=1768906007","Open")</x:f>
        <x:v>HYPERLINK is not implemented. linkLocation=https://cdn.shopify.com/s/files/1/0918/6066/4603/files/O1CN017XOzNk2NGI1e9vnee__4234819935-0-cib.jpg?v=1768906007, friendlyName=Open</x:v>
      </x:c>
      <x:c r="C1236" s="24" t="e">
        <x:f>HYPERLINK("https://365nails.com/products/fall-and-winters-hottest-brown-cat-eye-flash-wearing-manicure-with-white-polka-dots-is-hot-selling","Fall and winter's hottest brown cat-eye flash-wearing manicure with white polka dots is hot-selling")</x:f>
        <x:v>HYPERLINK is not implemented. linkLocation=https://365nails.com/products/fall-and-winters-hottest-brown-cat-eye-flash-wearing-manicure-with-white-polka-dots-is-hot-selling, friendlyName=Fall and winter's hottest brown cat-eye flash-wearing manicure with white polka dots is hot-selling</x:v>
      </x:c>
      <x:c r="D1236" s="18" t="str">
        <x:v>Color: Jp 4224</x:v>
      </x:c>
      <x:c r="E1236" s="25" t="str">
        <x:v>$1.15</x:v>
      </x:c>
      <x:c r="F1236" s="19" t="str">
        <x:v>1</x:v>
      </x:c>
    </x:row>
    <x:row r="1237" ht="93" customHeight="1">
      <x:c r="A1237" s="19" t="n">
        <x:v>1234</x:v>
      </x:c>
      <x:c r="B1237" s="22" t="e">
        <x:f>HYPERLINK("https://cdn.shopify.com/s/files/1/0918/6066/4603/files/O1CN01oOeFoC2NGI1jU2ZUq__4234819935-0-cib.jpg?v=1768905969","Open")</x:f>
        <x:v>HYPERLINK is not implemented. linkLocation=https://cdn.shopify.com/s/files/1/0918/6066/4603/files/O1CN01oOeFoC2NGI1jU2ZUq__4234819935-0-cib.jpg?v=1768905969, friendlyName=Open</x:v>
      </x:c>
      <x:c r="C1237" s="24" t="e">
        <x:f>HYPERLINK("https://365nails.com/products/french-black-press-on-nails-with-3d-floral-nail-art","French black press-on nails with 3d floral nail art")</x:f>
        <x:v>HYPERLINK is not implemented. linkLocation=https://365nails.com/products/french-black-press-on-nails-with-3d-floral-nail-art, friendlyName=French black press-on nails with 3d floral nail art</x:v>
      </x:c>
      <x:c r="D1237" s="18" t="str">
        <x:v>Color: Jp 4214</x:v>
      </x:c>
      <x:c r="E1237" s="25" t="str">
        <x:v>$1.60</x:v>
      </x:c>
      <x:c r="F1237" s="19" t="str">
        <x:v>1</x:v>
      </x:c>
    </x:row>
    <x:row r="1238" ht="93" customHeight="1">
      <x:c r="A1238" s="19" t="n">
        <x:v>1235</x:v>
      </x:c>
      <x:c r="B1238" s="22" t="e">
        <x:f>HYPERLINK("https://cdn.shopify.com/s/files/1/0918/6066/4603/files/O1CN01KNkrPd2NGI1jEwctd__4234819935-0-cib.jpg?v=1768905944","Open")</x:f>
        <x:v>HYPERLINK is not implemented. linkLocation=https://cdn.shopify.com/s/files/1/0918/6066/4603/files/O1CN01KNkrPd2NGI1jEwctd__4234819935-0-cib.jpg?v=1768905944, friendlyName=Open</x:v>
      </x:c>
      <x:c r="C1238" s="24" t="e">
        <x:f>HYPERLINK("https://365nails.com/products/3d-floral-nail-art-press-ons-heart-butterfly-designs-short-almond-shaped-false-nails","3d floral nail art press-ons - heart &amp; butterfly designs - short almond shaped false nails")</x:f>
        <x:v>HYPERLINK is not implemented. linkLocation=https://365nails.com/products/3d-floral-nail-art-press-ons-heart-butterfly-designs-short-almond-shaped-false-nails, friendlyName=3d floral nail art press-ons - heart &amp; butterfly designs - short almond shaped false nails</x:v>
      </x:c>
      <x:c r="D1238" s="18" t="str">
        <x:v>Color: Jp 4219</x:v>
      </x:c>
      <x:c r="E1238" s="25" t="str">
        <x:v>$1.51</x:v>
      </x:c>
      <x:c r="F1238" s="19" t="str">
        <x:v>1</x:v>
      </x:c>
    </x:row>
    <x:row r="1239" ht="93" customHeight="1">
      <x:c r="A1239" s="19" t="n">
        <x:v>1236</x:v>
      </x:c>
      <x:c r="B1239" s="22" t="e">
        <x:f>HYPERLINK("https://cdn.shopify.com/s/files/1/0918/6066/4603/files/O1CN01rMsrRZ2MQzePxH9ht__2219089449823-0-cib_74116d99-df91-4103-b0ec-7499e7f3c92b.jpg?v=1767945982","Open")</x:f>
        <x:v>HYPERLINK is not implemented. linkLocation=https://cdn.shopify.com/s/files/1/0918/6066/4603/files/O1CN01rMsrRZ2MQzePxH9ht__2219089449823-0-cib_74116d99-df91-4103-b0ec-7499e7f3c92b.jpg?v=1767945982, friendlyName=Open</x:v>
      </x:c>
      <x:c r="C1239" s="24" t="e">
        <x:f>HYPERLINK("https://365nails.com/products/neon-green-holographic-floral-statement-press-on-nails","Neon Green Holographic Floral Statement Press On Nails")</x:f>
        <x:v>HYPERLINK is not implemented. linkLocation=https://365nails.com/products/neon-green-holographic-floral-statement-press-on-nails, friendlyName=Neon Green Holographic Floral Statement Press On Nails</x:v>
      </x:c>
      <x:c r="D1239" s="18" t="str">
        <x:v>Color: M077; Color classification: S / M / L; Length: 5cm</x:v>
      </x:c>
      <x:c r="E1239" s="25" t="str">
        <x:v>$5.99</x:v>
      </x:c>
      <x:c r="F1239" s="19" t="str">
        <x:v>1</x:v>
      </x:c>
    </x:row>
    <x:row r="1240" ht="93" customHeight="1">
      <x:c r="A1240" s="19" t="n">
        <x:v>1237</x:v>
      </x:c>
      <x:c r="B1240" s="22" t="e">
        <x:f>HYPERLINK("https://cdn.shopify.com/s/files/1/0918/6066/4603/files/a2c97179541614491861667dd7b75625.jpg?v=1767499353","Open")</x:f>
        <x:v>HYPERLINK is not implemented. linkLocation=https://cdn.shopify.com/s/files/1/0918/6066/4603/files/a2c97179541614491861667dd7b75625.jpg?v=1767499353, friendlyName=Open</x:v>
      </x:c>
      <x:c r="C1240" s="24" t="e">
        <x:f>HYPERLINK("https://365nails.com/products/window-display-box-for-press-on-nails","Window Display Box for Press On Nails")</x:f>
        <x:v>HYPERLINK is not implemented. linkLocation=https://365nails.com/products/window-display-box-for-press-on-nails, friendlyName=Window Display Box for Press On Nails</x:v>
      </x:c>
      <x:c r="D1240" s="18" t="str">
        <x:v>Color: Pink and blue gradient color english packaging box (high-end model)</x:v>
      </x:c>
      <x:c r="E1240" s="25" t="str">
        <x:v>$0.45</x:v>
      </x:c>
      <x:c r="F1240" s="19" t="str">
        <x:v>1</x:v>
      </x:c>
    </x:row>
    <x:row r="1241" ht="93" customHeight="1">
      <x:c r="A1241" s="19" t="n">
        <x:v>1238</x:v>
      </x:c>
      <x:c r="B1241" s="22" t="e">
        <x:f>HYPERLINK("https://cdn.shopify.com/s/files/1/0918/6066/4603/files/9eb0708fc6cbc2b74433abdce1c3b0bc.png?v=1755260999","Open")</x:f>
        <x:v>HYPERLINK is not implemented. linkLocation=https://cdn.shopify.com/s/files/1/0918/6066/4603/files/9eb0708fc6cbc2b74433abdce1c3b0bc.png?v=1755260999, friendlyName=Open</x:v>
      </x:c>
      <x:c r="C1241" s="24" t="e">
        <x:f>HYPERLINK("https://365nails.com/products/nail-tips-sub-code-nail-pads-100-pcs-for-press-on-nails-pads-standard-size-wear-free-full-half-stickers-matte-trapezoidal-square-false-nail-pads","Nail Tips Sub-code nail pads, 100 pcs for press on nails pads (MOQ=3)")</x:f>
        <x:v>HYPERLINK is not implemented. linkLocation=https://365nails.com/products/nail-tips-sub-code-nail-pads-100-pcs-for-press-on-nails-pads-standard-size-wear-free-full-half-stickers-matte-trapezoidal-square-false-nail-pads, friendlyName=Nail Tips Sub-code nail pads, 100 pcs for press on nails pads (MOQ=3)</x:v>
      </x:c>
      <x:c r="D1241" s="18" t="str">
        <x:v>Color: Short Oval - 100 Pieces Boxed / Short Oval - 100 Piece Bag / Trapezoidal - 100 piece box / Trapezoidal - 100 piece bag / Short Trapezoid - 100 Pieces Boxed / Short trapezoidal - 100 piece bag / Almond Nail - 100 Pieces Boxed / Almond nail - 100 pieces in a bag / Japanese Short Chubby Elliptical - 100 pieces in a box / Japanese Short Chubby Elliptical - 100 pieces in a bag / Short Ladder - 100 Pieces Boxed / Short ladder - 100 pieces in bags / Short Round - 100 Pieces Boxed / Short Round - 100 Piece Bag / Short Square Circle - 100 Pieces Boxed / Short square circle - 100 pieces in a bag.; Color classification: XS code / S code / M size / L code / S/M dual code; quantity: 3pcs</x:v>
      </x:c>
      <x:c r="E1241" s="25" t="str">
        <x:v>$1.50</x:v>
      </x:c>
      <x:c r="F1241" s="19" t="str">
        <x:v>1</x:v>
      </x:c>
    </x:row>
    <x:row r="1242" ht="93" customHeight="1">
      <x:c r="A1242" s="19" t="n">
        <x:v>1239</x:v>
      </x:c>
      <x:c r="B1242" s="22" t="e">
        <x:f>HYPERLINK("https://cdn.shopify.com/s/files/1/0918/6066/4603/files/O1CN01qrW2Po1Ij4eiRuvqJ__2219463140928-0-cib.jpg?v=1768014648","Open")</x:f>
        <x:v>HYPERLINK is not implemented. linkLocation=https://cdn.shopify.com/s/files/1/0918/6066/4603/files/O1CN01qrW2Po1Ij4eiRuvqJ__2219463140928-0-cib.jpg?v=1768014648, friendlyName=Open</x:v>
      </x:c>
      <x:c r="C1242" s="24" t="e">
        <x:f>HYPERLINK("https://365nails.com/products/valentines-day-press-on-nails-french-cherry-bow-and-heart-designs","Valentine's day press-on nails: french cherry, bow, and heart designs")</x:f>
        <x:v>HYPERLINK is not implemented. linkLocation=https://365nails.com/products/valentines-day-press-on-nails-french-cherry-bow-and-heart-designs, friendlyName=Valentine's day press-on nails: french cherry, bow, and heart designs</x:v>
      </x:c>
      <x:c r="D1242" s="18" t="str">
        <x:v>Color: Jsa 17; Color classification: S / M / L</x:v>
      </x:c>
      <x:c r="E1242" s="25" t="str">
        <x:v>$4.99</x:v>
      </x:c>
      <x:c r="F1242" s="19" t="str">
        <x:v>1</x:v>
      </x:c>
    </x:row>
    <x:row r="1243" ht="93" customHeight="1">
      <x:c r="A1243" s="19" t="n">
        <x:v>1240</x:v>
      </x:c>
      <x:c r="B1243" s="22" t="e">
        <x:f>HYPERLINK("https://cdn.shopify.com/s/files/1/0918/6066/4603/files/O1CN01hPmhGv2MQze3em6ES__2219089449823-0-cib.jpg?v=1767947560","Open")</x:f>
        <x:v>HYPERLINK is not implemented. linkLocation=https://cdn.shopify.com/s/files/1/0918/6066/4603/files/O1CN01hPmhGv2MQze3em6ES__2219089449823-0-cib.jpg?v=1767947560, friendlyName=Open</x:v>
      </x:c>
      <x:c r="C1243" s="24" t="e">
        <x:f>HYPERLINK("https://365nails.com/products/purple-crystal-embellished-extra-long-press-on-nails","Purple Crystal Embellished Extra Long Press On Nails")</x:f>
        <x:v>HYPERLINK is not implemented. linkLocation=https://365nails.com/products/purple-crystal-embellished-extra-long-press-on-nails, friendlyName=Purple Crystal Embellished Extra Long Press On Nails</x:v>
      </x:c>
      <x:c r="D1243" s="18" t="str">
        <x:v>Color: M085; Color classification: S / M / L; Length: 5cm</x:v>
      </x:c>
      <x:c r="E1243" s="25" t="str">
        <x:v>$5.99</x:v>
      </x:c>
      <x:c r="F1243" s="19" t="str">
        <x:v>1</x:v>
      </x:c>
    </x:row>
    <x:row r="1244" ht="93" customHeight="1">
      <x:c r="A1244" s="19" t="n">
        <x:v>1241</x:v>
      </x:c>
      <x:c r="B1244" s="22" t="e">
        <x:f>HYPERLINK("https://cdn.shopify.com/s/files/1/0918/6066/4603/files/O1CN01sB5GiX2MQzd9SGJFP__2219089449823-0-cib.jpg?v=1767628479","Open")</x:f>
        <x:v>HYPERLINK is not implemented. linkLocation=https://cdn.shopify.com/s/files/1/0918/6066/4603/files/O1CN01sB5GiX2MQzd9SGJFP__2219089449823-0-cib.jpg?v=1767628479, friendlyName=Open</x:v>
      </x:c>
      <x:c r="C1244" s="24" t="e">
        <x:f>HYPERLINK("https://365nails.com/products/aqua-flame-y2k-glossy-press-on-nail-set","Aqua Flame Y2K Glossy Press On Nail Set")</x:f>
        <x:v>HYPERLINK is not implemented. linkLocation=https://365nails.com/products/aqua-flame-y2k-glossy-press-on-nail-set, friendlyName=Aqua Flame Y2K Glossy Press On Nail Set</x:v>
      </x:c>
      <x:c r="D1244" s="18" t="str">
        <x:v>Color: K029; Color classification: XS / S / M / L</x:v>
      </x:c>
      <x:c r="E1244" s="25" t="str">
        <x:v>$3.99</x:v>
      </x:c>
      <x:c r="F1244" s="19" t="str">
        <x:v>1</x:v>
      </x:c>
    </x:row>
    <x:row r="1245" ht="93" customHeight="1">
      <x:c r="A1245" s="19" t="n">
        <x:v>1242</x:v>
      </x:c>
      <x:c r="B1245" s="22" t="e">
        <x:f>HYPERLINK("https://cdn.shopify.com/s/files/1/0918/6066/4603/files/O1CN01vuN3HL22SYgDczlE0__2219370087119-0-cib.jpg?v=1767096291","Open")</x:f>
        <x:v>HYPERLINK is not implemented. linkLocation=https://cdn.shopify.com/s/files/1/0918/6066/4603/files/O1CN01vuN3HL22SYgDczlE0__2219370087119-0-cib.jpg?v=1767096291, friendlyName=Open</x:v>
      </x:c>
      <x:c r="C1245" s="24" t="e">
        <x:f>HYPERLINK("https://365nails.com/products/mixed-color-nails-with-sculpted-charms-and-playful-details","Mixed Color Nails with Sculpted Charms and Playful Details")</x:f>
        <x:v>HYPERLINK is not implemented. linkLocation=https://365nails.com/products/mixed-color-nails-with-sculpted-charms-and-playful-details, friendlyName=Mixed Color Nails with Sculpted Charms and Playful Details</x:v>
      </x:c>
      <x:c r="D1245" s="18" t="str">
        <x:v>Color: L (1.7/1.3/1.4/1.3/1.1)cm / M (1.6/1.2/1.3/1.2/1.0)cm / S (1.5/1.1/1.2/1.1/0.9)cm</x:v>
      </x:c>
      <x:c r="E1245" s="25" t="str">
        <x:v>$4.99</x:v>
      </x:c>
      <x:c r="F1245" s="19" t="str">
        <x:v>30</x:v>
      </x:c>
    </x:row>
    <x:row r="1246" ht="93" customHeight="1">
      <x:c r="A1246" s="19" t="n">
        <x:v>1243</x:v>
      </x:c>
      <x:c r="B1246" s="22" t="e">
        <x:f>HYPERLINK("https://cdn.shopify.com/s/files/1/0918/6066/4603/files/O1CN01VbtzAq2NGI1RtIKKN__4234819935-0-cib.jpg?v=1768906050","Open")</x:f>
        <x:v>HYPERLINK is not implemented. linkLocation=https://cdn.shopify.com/s/files/1/0918/6066/4603/files/O1CN01VbtzAq2NGI1RtIKKN__4234819935-0-cib.jpg?v=1768906050, friendlyName=Open</x:v>
      </x:c>
      <x:c r="C1246" s="24" t="e">
        <x:f>HYPERLINK("https://365nails.com/products/classic-french-white-press-on-nails-with-white-trim-glitter-coating-and-sparkling-nail-art","Classic french white press-on nails with white trim, glitter coating, and sparkling nail art")</x:f>
        <x:v>HYPERLINK is not implemented. linkLocation=https://365nails.com/products/classic-french-white-press-on-nails-with-white-trim-glitter-coating-and-sparkling-nail-art, friendlyName=Classic french white press-on nails with white trim, glitter coating, and sparkling nail art</x:v>
      </x:c>
      <x:c r="D1246" s="18" t="str">
        <x:v>Color: Jp 4188</x:v>
      </x:c>
      <x:c r="E1246" s="25" t="str">
        <x:v>$1.11</x:v>
      </x:c>
      <x:c r="F1246" s="19" t="str">
        <x:v>1</x:v>
      </x:c>
    </x:row>
    <x:row r="1247" ht="93" customHeight="1">
      <x:c r="A1247" s="19" t="n">
        <x:v>1244</x:v>
      </x:c>
      <x:c r="B1247" s="22" t="e">
        <x:f>HYPERLINK("https://cdn.shopify.com/s/files/1/0918/6066/4603/files/O1CN01jdDGCW2NGI1f9opk9__4234819935-0-cib.jpg?v=1768906047","Open")</x:f>
        <x:v>HYPERLINK is not implemented. linkLocation=https://cdn.shopify.com/s/files/1/0918/6066/4603/files/O1CN01jdDGCW2NGI1f9opk9__4234819935-0-cib.jpg?v=1768906047, friendlyName=Open</x:v>
      </x:c>
      <x:c r="C1247" s="24" t="e">
        <x:f>HYPERLINK("https://365nails.com/products/fall-and-winter-wear-french-casualwhite-manicure-nail-pieces-red-brown-gradient-nail-pieces","Fall and winter wear french casualwhite manicure nail pieces red brown gradient nail pieces")</x:f>
        <x:v>HYPERLINK is not implemented. linkLocation=https://365nails.com/products/fall-and-winter-wear-french-casualwhite-manicure-nail-pieces-red-brown-gradient-nail-pieces, friendlyName=Fall and winter wear french casualwhite manicure nail pieces red brown gradient nail pieces</x:v>
      </x:c>
      <x:c r="D1247" s="18" t="str">
        <x:v>Color: Jp 4171</x:v>
      </x:c>
      <x:c r="E1247" s="25" t="str">
        <x:v>$0.97</x:v>
      </x:c>
      <x:c r="F1247" s="19" t="str">
        <x:v>1</x:v>
      </x:c>
    </x:row>
    <x:row r="1248" ht="93" customHeight="1">
      <x:c r="A1248" s="19" t="n">
        <x:v>1245</x:v>
      </x:c>
      <x:c r="B1248" s="22" t="e">
        <x:f>HYPERLINK("https://cdn.shopify.com/s/files/1/0918/6066/4603/files/O1CN01qQJcqs2MQzdWITcjz__2219089449823-0-cib_6a317cd7-5a5b-4680-8bf0-791024ebf6ac.jpg?v=1767943375","Open")</x:f>
        <x:v>HYPERLINK is not implemented. linkLocation=https://cdn.shopify.com/s/files/1/0918/6066/4603/files/O1CN01qQJcqs2MQzdWITcjz__2219089449823-0-cib_6a317cd7-5a5b-4680-8bf0-791024ebf6ac.jpg?v=1767943375, friendlyName=Open</x:v>
      </x:c>
      <x:c r="C1248" s="24" t="e">
        <x:f>HYPERLINK("https://365nails.com/products/french-bow-pearl-extra-long-press-on-nails","French Bow Pearl Extra Long Press On Nails")</x:f>
        <x:v>HYPERLINK is not implemented. linkLocation=https://365nails.com/products/french-bow-pearl-extra-long-press-on-nails, friendlyName=French Bow Pearl Extra Long Press On Nails</x:v>
      </x:c>
      <x:c r="D1248" s="18" t="str">
        <x:v>Color: K022; Color classification: XS / S / M / L; Length: 5cm</x:v>
      </x:c>
      <x:c r="E1248" s="25" t="str">
        <x:v>$3.99</x:v>
      </x:c>
      <x:c r="F1248" s="19" t="str">
        <x:v>1</x:v>
      </x:c>
    </x:row>
    <x:row r="1249" ht="93" customHeight="1">
      <x:c r="A1249" s="19" t="n">
        <x:v>1246</x:v>
      </x:c>
      <x:c r="B1249" s="22" t="e">
        <x:f>HYPERLINK("https://cdn.shopify.com/s/files/1/0918/6066/4603/files/O1CN01b7Lt1W2MQzdXrbvE2__2219089449823-0-cib.jpg?v=1767708741","Open")</x:f>
        <x:v>HYPERLINK is not implemented. linkLocation=https://cdn.shopify.com/s/files/1/0918/6066/4603/files/O1CN01b7Lt1W2MQzdXrbvE2__2219089449823-0-cib.jpg?v=1767708741, friendlyName=Open</x:v>
      </x:c>
      <x:c r="C1249" s="24" t="e">
        <x:f>HYPERLINK("https://365nails.com/products/metallic-blue-fairy-gothic-press-on-nail-set","Metallic Blue Fairy Gothic Press On Nail Set")</x:f>
        <x:v>HYPERLINK is not implemented. linkLocation=https://365nails.com/products/metallic-blue-fairy-gothic-press-on-nail-set, friendlyName=Metallic Blue Fairy Gothic Press On Nail Set</x:v>
      </x:c>
      <x:c r="D1249" s="18" t="str">
        <x:v>Color: M107; Color classification: XS / S / M / L</x:v>
      </x:c>
      <x:c r="E1249" s="25" t="str">
        <x:v>$5.99</x:v>
      </x:c>
      <x:c r="F1249" s="19" t="str">
        <x:v>1</x:v>
      </x:c>
    </x:row>
    <x:row r="1250" ht="93" customHeight="1">
      <x:c r="A1250" s="19" t="n">
        <x:v>1247</x:v>
      </x:c>
      <x:c r="B1250" s="22" t="e">
        <x:f>HYPERLINK("https://cdn.shopify.com/s/files/1/0918/6066/4603/files/O1CN01DTPI7B2MQzdRuA0OF__2219089449823-0-cib.jpg?v=1767708519","Open")</x:f>
        <x:v>HYPERLINK is not implemented. linkLocation=https://cdn.shopify.com/s/files/1/0918/6066/4603/files/O1CN01DTPI7B2MQzdRuA0OF__2219089449823-0-cib.jpg?v=1767708519, friendlyName=Open</x:v>
      </x:c>
      <x:c r="C1250" s="24" t="e">
        <x:f>HYPERLINK("https://365nails.com/products/pink-leopard-black-glam-press-on-nail-set","Pink Leopard Black Glam Press On Nail Set")</x:f>
        <x:v>HYPERLINK is not implemented. linkLocation=https://365nails.com/products/pink-leopard-black-glam-press-on-nail-set, friendlyName=Pink Leopard Black Glam Press On Nail Set</x:v>
      </x:c>
      <x:c r="D1250" s="18" t="str">
        <x:v>Color: M108; Color classification: XS / S / M / L</x:v>
      </x:c>
      <x:c r="E1250" s="25" t="str">
        <x:v>$5.99</x:v>
      </x:c>
      <x:c r="F1250" s="19" t="str">
        <x:v>1</x:v>
      </x:c>
    </x:row>
    <x:row r="1251" ht="93" customHeight="1">
      <x:c r="A1251" s="19" t="n">
        <x:v>1248</x:v>
      </x:c>
      <x:c r="B1251" s="22" t="e">
        <x:f>HYPERLINK("https://cdn.shopify.com/s/files/1/0918/6066/4603/files/O1CN01BpqHJv1aayi8xXouM__6000000003347-0-cib.jpg?v=1767708308","Open")</x:f>
        <x:v>HYPERLINK is not implemented. linkLocation=https://cdn.shopify.com/s/files/1/0918/6066/4603/files/O1CN01BpqHJv1aayi8xXouM__6000000003347-0-cib.jpg?v=1767708308, friendlyName=Open</x:v>
      </x:c>
      <x:c r="C1251" s="24" t="e">
        <x:f>HYPERLINK("https://365nails.com/products/neutral-leopard-crystal-floral-press-on-nail-set","Neutral Leopard Crystal Floral Press On Nail Set")</x:f>
        <x:v>HYPERLINK is not implemented. linkLocation=https://365nails.com/products/neutral-leopard-crystal-floral-press-on-nail-set, friendlyName=Neutral Leopard Crystal Floral Press On Nail Set</x:v>
      </x:c>
      <x:c r="D1251" s="18" t="str">
        <x:v>Color: Js b16; Color classification: XS / S / M / L</x:v>
      </x:c>
      <x:c r="E1251" s="25" t="str">
        <x:v>$6.99</x:v>
      </x:c>
      <x:c r="F1251" s="19" t="str">
        <x:v>1</x:v>
      </x:c>
    </x:row>
    <x:row r="1252" ht="93" customHeight="1">
      <x:c r="A1252" s="19" t="n">
        <x:v>1249</x:v>
      </x:c>
      <x:c r="B1252" s="22" t="e">
        <x:f>HYPERLINK("https://cdn.shopify.com/s/files/1/0918/6066/4603/files/O1CN01R5pveg1Kq3uB7z1ki__6000000001214-0-cib.jpg?v=1767708155","Open")</x:f>
        <x:v>HYPERLINK is not implemented. linkLocation=https://cdn.shopify.com/s/files/1/0918/6066/4603/files/O1CN01R5pveg1Kq3uB7z1ki__6000000001214-0-cib.jpg?v=1767708155, friendlyName=Open</x:v>
      </x:c>
      <x:c r="C1252" s="24" t="e">
        <x:f>HYPERLINK("https://365nails.com/products/midnight-floral-contrast-art-press-on-nail-set","Midnight Floral Contrast Art Press On Nail Set")</x:f>
        <x:v>HYPERLINK is not implemented. linkLocation=https://365nails.com/products/midnight-floral-contrast-art-press-on-nail-set, friendlyName=Midnight Floral Contrast Art Press On Nail Set</x:v>
      </x:c>
      <x:c r="D1252" s="18" t="str">
        <x:v>Color: Jsa24; Color classification: XS / S / M / L</x:v>
      </x:c>
      <x:c r="E1252" s="25" t="str">
        <x:v>$5.99</x:v>
      </x:c>
      <x:c r="F1252" s="19" t="str">
        <x:v>1</x:v>
      </x:c>
    </x:row>
    <x:row r="1253" ht="93" customHeight="1">
      <x:c r="A1253" s="19" t="n">
        <x:v>1250</x:v>
      </x:c>
      <x:c r="B1253" s="22" t="e">
        <x:f>HYPERLINK("https://cdn.shopify.com/s/files/1/0918/6066/4603/files/O1CN01llDV1G2MQzd92dlSB__2219089449823-0-cib_4d90be08-5e95-42cd-a0cd-555c40f12dd3.jpg?v=1767942487","Open")</x:f>
        <x:v>HYPERLINK is not implemented. linkLocation=https://cdn.shopify.com/s/files/1/0918/6066/4603/files/O1CN01llDV1G2MQzd92dlSB__2219089449823-0-cib_4d90be08-5e95-42cd-a0cd-555c40f12dd3.jpg?v=1767942487, friendlyName=Open</x:v>
      </x:c>
      <x:c r="C1253" s="24" t="e">
        <x:f>HYPERLINK("https://365nails.com/products/fresh-green-floral-crystal-art-press-on-nail-set","Fresh Green Floral Crystal Art Press On Nail Set")</x:f>
        <x:v>HYPERLINK is not implemented. linkLocation=https://365nails.com/products/fresh-green-floral-crystal-art-press-on-nail-set, friendlyName=Fresh Green Floral Crystal Art Press On Nail Set</x:v>
      </x:c>
      <x:c r="D1253" s="18" t="str">
        <x:v>Color: M116; Color classification: XS / S / M / L</x:v>
      </x:c>
      <x:c r="E1253" s="25" t="str">
        <x:v>$5.99</x:v>
      </x:c>
      <x:c r="F1253" s="19" t="str">
        <x:v>1</x:v>
      </x:c>
    </x:row>
    <x:row r="1254" ht="93" customHeight="1">
      <x:c r="A1254" s="19" t="n">
        <x:v>1251</x:v>
      </x:c>
      <x:c r="B1254" s="22" t="e">
        <x:f>HYPERLINK("https://cdn.shopify.com/s/files/1/0918/6066/4603/files/O1CN01NllGPe2NGHmFqG58W__4234819935-0-cib.jpg?v=1753432265","Open")</x:f>
        <x:v>HYPERLINK is not implemented. linkLocation=https://cdn.shopify.com/s/files/1/0918/6066/4603/files/O1CN01NllGPe2NGHmFqG58W__4234819935-0-cib.jpg?v=1753432265, friendlyName=Open</x:v>
      </x:c>
      <x:c r="C1254" s="24" t="e">
        <x:f>HYPERLINK("https://365nails.com/products/wearable-nail-sticker-pink-french-gradual-change-wearable-nail-short-nail-film-nail-art-wearable-nail-sticker-finished-product-365nails","Wearable nail sticker pink French gradual change Wearable nail short nail film Nail art Wearable nail sticker Finished product｜365nails")</x:f>
        <x:v>HYPERLINK is not implemented. linkLocation=https://365nails.com/products/wearable-nail-sticker-pink-french-gradual-change-wearable-nail-short-nail-film-nail-art-wearable-nail-sticker-finished-product-365nails, friendlyName=Wearable nail sticker pink French gradual change Wearable nail short nail film Nail art Wearable nail sticker Finished product｜365nails</x:v>
      </x:c>
      <x:c r="D1254" s="18" t="str">
        <x:v>color: JP2589</x:v>
      </x:c>
      <x:c r="E1254" s="25" t="str">
        <x:v>$0.77</x:v>
      </x:c>
      <x:c r="F1254" s="19" t="str">
        <x:v>1</x:v>
      </x:c>
    </x:row>
    <x:row r="1255" ht="93" customHeight="1">
      <x:c r="A1255" s="19" t="n">
        <x:v>1252</x:v>
      </x:c>
      <x:c r="B1255" s="22" t="e">
        <x:f>HYPERLINK("https://cdn.shopify.com/s/files/1/0918/6066/4603/files/O1CN01uUchOU2NGHpqjYAbt__4234819935-0-cib.jpg?v=1753432253","Open")</x:f>
        <x:v>HYPERLINK is not implemented. linkLocation=https://cdn.shopify.com/s/files/1/0918/6066/4603/files/O1CN01uUchOU2NGHpqjYAbt__4234819935-0-cib.jpg?v=1753432253, friendlyName=Open</x:v>
      </x:c>
      <x:c r="C1255" s="24" t="e">
        <x:f>HYPERLINK("https://365nails.com/products/cross-border-hot-selling-solid-color-cat-eye-wearing-nail-removable-short-nude-fake-nail-nail-patch-finished-nail-piece-365nails","hot-selling solid color cat eye wearing nail removable short nude fake nail nail patch finished nail piece｜365nails")</x:f>
        <x:v>HYPERLINK is not implemented. linkLocation=https://365nails.com/products/cross-border-hot-selling-solid-color-cat-eye-wearing-nail-removable-short-nude-fake-nail-nail-patch-finished-nail-piece-365nails, friendlyName=hot-selling solid color cat eye wearing nail removable short nude fake nail nail patch finished nail piece｜365nails</x:v>
      </x:c>
      <x:c r="D1255" s="18" t="str">
        <x:v>Color: JP3234</x:v>
      </x:c>
      <x:c r="E1255" s="25" t="str">
        <x:v>$1.51</x:v>
      </x:c>
      <x:c r="F1255" s="19" t="str">
        <x:v>1</x:v>
      </x:c>
    </x:row>
    <x:row r="1256" ht="93" customHeight="1">
      <x:c r="A1256" s="19" t="n">
        <x:v>1253</x:v>
      </x:c>
      <x:c r="B1256" s="22" t="e">
        <x:f>HYPERLINK("https://cdn.shopify.com/s/files/1/0918/6066/4603/files/O1CN01afm3Bk2NGHo8wVwmY__4234819935-0-cib.jpg?v=1753432247","Open")</x:f>
        <x:v>HYPERLINK is not implemented. linkLocation=https://cdn.shopify.com/s/files/1/0918/6066/4603/files/O1CN01afm3Bk2NGHo8wVwmY__4234819935-0-cib.jpg?v=1753432247, friendlyName=Open</x:v>
      </x:c>
      <x:c r="C1256" s="24" t="e">
        <x:f>HYPERLINK("https://365nails.com/products/autumn-brown-simple-wear-nail-patch-gold-glitter-leopard-print-nail-art-ballet-finger-nail-patch-nail-patch-365nails","Autumn Brown Simple Wear Nail Patch Gold Glitter Leopard Print Nail Art Ballet Finger Nail Patch Nail Patch｜365nails")</x:f>
        <x:v>HYPERLINK is not implemented. linkLocation=https://365nails.com/products/autumn-brown-simple-wear-nail-patch-gold-glitter-leopard-print-nail-art-ballet-finger-nail-patch-nail-patch-365nails, friendlyName=Autumn Brown Simple Wear Nail Patch Gold Glitter Leopard Print Nail Art Ballet Finger Nail Patch Nail Patch｜365nails</x:v>
      </x:c>
      <x:c r="D1256" s="18" t="str">
        <x:v>Color: JP3034</x:v>
      </x:c>
      <x:c r="E1256" s="25" t="str">
        <x:v>$1.10</x:v>
      </x:c>
      <x:c r="F1256" s="19" t="str">
        <x:v>1</x:v>
      </x:c>
    </x:row>
    <x:row r="1257" ht="93" customHeight="1">
      <x:c r="A1257" s="19" t="n">
        <x:v>1254</x:v>
      </x:c>
      <x:c r="B1257" s="22" t="e">
        <x:f>HYPERLINK("https://cdn.shopify.com/s/files/1/0918/6066/4603/files/O1CN01WV4ThW2NGHx2SkptV__4234819935-0-cib.jpg?v=1753429003","Open")</x:f>
        <x:v>HYPERLINK is not implemented. linkLocation=https://cdn.shopify.com/s/files/1/0918/6066/4603/files/O1CN01WV4ThW2NGHx2SkptV__4234819935-0-cib.jpg?v=1753429003, friendlyName=Open</x:v>
      </x:c>
      <x:c r="C1257" s="24" t="e">
        <x:f>HYPERLINK("https://365nails.com/products/sweet-and-cool-french-leopard-print-short-ballet-manicure-flash-diamond-flash-manicure-fake-nail-cross-border-hot-selling-wearable-nail-piece-365nails","Sweet and cool French leopard print short ballet manicure flash diamond flash manicure fake nail  hot-selling wearable nail piece｜365nails")</x:f>
        <x:v>HYPERLINK is not implemented. linkLocation=https://365nails.com/products/sweet-and-cool-french-leopard-print-short-ballet-manicure-flash-diamond-flash-manicure-fake-nail-cross-border-hot-selling-wearable-nail-piece-365nails, friendlyName=Sweet and cool French leopard print short ballet manicure flash diamond flash manicure fake nail  hot-selling wearable nail piece｜365nails</x:v>
      </x:c>
      <x:c r="D1257" s="18" t="str">
        <x:v>color: JP3595</x:v>
      </x:c>
      <x:c r="E1257" s="25" t="str">
        <x:v>$1.16</x:v>
      </x:c>
      <x:c r="F1257" s="19" t="str">
        <x:v>1</x:v>
      </x:c>
    </x:row>
    <x:row r="1258" ht="93" customHeight="1">
      <x:c r="A1258" s="19" t="n">
        <x:v>1255</x:v>
      </x:c>
      <x:c r="B1258" s="22" t="e">
        <x:f>HYPERLINK("https://cdn.shopify.com/s/files/1/0918/6066/4603/files/O1CN018y6JWs2MQzdbCo1Uo__2219089449823-0-cib_f853c4c1-4624-4d15-9c72-5b583b911e9d.jpg?v=1767946904","Open")</x:f>
        <x:v>HYPERLINK is not implemented. linkLocation=https://cdn.shopify.com/s/files/1/0918/6066/4603/files/O1CN018y6JWs2MQzdbCo1Uo__2219089449823-0-cib_f853c4c1-4624-4d15-9c72-5b583b911e9d.jpg?v=1767946904, friendlyName=Open</x:v>
      </x:c>
      <x:c r="C1258" s="24" t="e">
        <x:f>HYPERLINK("https://365nails.com/products/black-silver-mechanical-chrome-gothic-statement-press-on-nails","Black Silver Mechanical Chrome Gothic Statement Press On Nails")</x:f>
        <x:v>HYPERLINK is not implemented. linkLocation=https://365nails.com/products/black-silver-mechanical-chrome-gothic-statement-press-on-nails, friendlyName=Black Silver Mechanical Chrome Gothic Statement Press On Nails</x:v>
      </x:c>
      <x:c r="D1258" s="18" t="str">
        <x:v>Color: N003; Color classification: XS / S / M / L; Length: 5cm</x:v>
      </x:c>
      <x:c r="E1258" s="25" t="str">
        <x:v>$6.99</x:v>
      </x:c>
      <x:c r="F1258" s="19" t="str">
        <x:v>1</x:v>
      </x:c>
    </x:row>
    <x:row r="1259" ht="93" customHeight="1">
      <x:c r="A1259" s="19" t="n">
        <x:v>1256</x:v>
      </x:c>
      <x:c r="B1259" s="22" t="e">
        <x:f>HYPERLINK("https://cdn.shopify.com/s/files/1/0918/6066/4603/files/O1CN013xlix12MQzePq6AAY__2219089449823-0-cib.jpg?v=1767849145","Open")</x:f>
        <x:v>HYPERLINK is not implemented. linkLocation=https://cdn.shopify.com/s/files/1/0918/6066/4603/files/O1CN013xlix12MQzePq6AAY__2219089449823-0-cib.jpg?v=1767849145, friendlyName=Open</x:v>
      </x:c>
      <x:c r="C1259" s="24" t="e">
        <x:f>HYPERLINK("https://365nails.com/products/icy-blue-crystal-embellished-luxury-statement-press-on-nails","Icy Blue Crystal Embellished Luxury Statement Press On Nails")</x:f>
        <x:v>HYPERLINK is not implemented. linkLocation=https://365nails.com/products/icy-blue-crystal-embellished-luxury-statement-press-on-nails, friendlyName=Icy Blue Crystal Embellished Luxury Statement Press On Nails</x:v>
      </x:c>
      <x:c r="D1259" s="18" t="str">
        <x:v>Color: M079; Color classification: S / M / L; Length: 5cm</x:v>
      </x:c>
      <x:c r="E1259" s="25" t="str">
        <x:v>$5.99</x:v>
      </x:c>
      <x:c r="F1259" s="19" t="str">
        <x:v>1</x:v>
      </x:c>
    </x:row>
    <x:row r="1260" ht="93" customHeight="1">
      <x:c r="A1260" s="19" t="n">
        <x:v>1257</x:v>
      </x:c>
      <x:c r="B1260" s="22" t="e">
        <x:f>HYPERLINK("https://cdn.shopify.com/s/files/1/0918/6066/4603/files/O1CN01td92Ih2NGHlSvYZB0__4234819935-0-cib.jpg?v=1753432299","Open")</x:f>
        <x:v>HYPERLINK is not implemented. linkLocation=https://cdn.shopify.com/s/files/1/0918/6066/4603/files/O1CN01td92Ih2NGHlSvYZB0__4234819935-0-cib.jpg?v=1753432299, friendlyName=Open</x:v>
      </x:c>
      <x:c r="C1260" s="24" t="e">
        <x:f>HYPERLINK("https://365nails.com/products/nail-piece-wearing-nail-halloween-nail-art-black-frosted-white-spider-web-rhinestone-nail-art-piece-removable-nail-365nails","Nail Piece Wearing Nail Halloween Nail Art Black Frosted White Spider Web Rhinestone Nail Art Piece Removable nail｜365nails")</x:f>
        <x:v>HYPERLINK is not implemented. linkLocation=https://365nails.com/products/nail-piece-wearing-nail-halloween-nail-art-black-frosted-white-spider-web-rhinestone-nail-art-piece-removable-nail-365nails, friendlyName=Nail Piece Wearing Nail Halloween Nail Art Black Frosted White Spider Web Rhinestone Nail Art Piece Removable nail｜365nails</x:v>
      </x:c>
      <x:c r="D1260" s="18" t="str">
        <x:v>color: JP2515</x:v>
      </x:c>
      <x:c r="E1260" s="25" t="str">
        <x:v>$1.03</x:v>
      </x:c>
      <x:c r="F1260" s="19" t="str">
        <x:v>1</x:v>
      </x:c>
    </x:row>
    <x:row r="1261" ht="93" customHeight="1">
      <x:c r="A1261" s="19" t="n">
        <x:v>1258</x:v>
      </x:c>
      <x:c r="B1261" s="22" t="e">
        <x:f>HYPERLINK("https://cdn.shopify.com/s/files/1/0918/6066/4603/files/O1CN01OuooNZ2MQzdt8edTS__2219089449823-0-cib_3ed019e4-9286-493d-b879-376822f0822e.jpg?v=1767945238","Open")</x:f>
        <x:v>HYPERLINK is not implemented. linkLocation=https://cdn.shopify.com/s/files/1/0918/6066/4603/files/O1CN01OuooNZ2MQzdt8edTS__2219089449823-0-cib_3ed019e4-9286-493d-b879-376822f0822e.jpg?v=1767945238, friendlyName=Open</x:v>
      </x:c>
      <x:c r="C1261" s="24" t="e">
        <x:f>HYPERLINK("https://365nails.com/products/hot-pink-metallic-wave-statement-press-on-nails","Hot Pink Metallic Wave Statement Press On Nails")</x:f>
        <x:v>HYPERLINK is not implemented. linkLocation=https://365nails.com/products/hot-pink-metallic-wave-statement-press-on-nails, friendlyName=Hot Pink Metallic Wave Statement Press On Nails</x:v>
      </x:c>
      <x:c r="D1261" s="18" t="str">
        <x:v>Color: K009; Color classification: S / M / L; Length: 5cm</x:v>
      </x:c>
      <x:c r="E1261" s="25" t="str">
        <x:v>$3.99</x:v>
      </x:c>
      <x:c r="F1261" s="19" t="str">
        <x:v>1</x:v>
      </x:c>
    </x:row>
    <x:row r="1262" ht="93" customHeight="1">
      <x:c r="A1262" s="19" t="n">
        <x:v>1259</x:v>
      </x:c>
      <x:c r="B1262" s="22" t="e">
        <x:f>HYPERLINK("https://cdn.shopify.com/s/files/1/0918/6066/4603/files/O1CN01HqADcb2MQzdt5mo22__2219089449823-0-cib.jpg?v=1767789781","Open")</x:f>
        <x:v>HYPERLINK is not implemented. linkLocation=https://cdn.shopify.com/s/files/1/0918/6066/4603/files/O1CN01HqADcb2MQzdt5mo22__2219089449823-0-cib.jpg?v=1767789781, friendlyName=Open</x:v>
      </x:c>
      <x:c r="C1262" s="24" t="e">
        <x:f>HYPERLINK("https://365nails.com/products/pink-nude-crystal-stripe-glam-press-on-nails","Pink Nude Crystal Stripe Glam Press On Nails")</x:f>
        <x:v>HYPERLINK is not implemented. linkLocation=https://365nails.com/products/pink-nude-crystal-stripe-glam-press-on-nails, friendlyName=Pink Nude Crystal Stripe Glam Press On Nails</x:v>
      </x:c>
      <x:c r="D1262" s="18" t="str">
        <x:v>Color: M095; Color classification: XS / S / M / L</x:v>
      </x:c>
      <x:c r="E1262" s="25" t="str">
        <x:v>$5.99</x:v>
      </x:c>
      <x:c r="F1262" s="19" t="str">
        <x:v>1</x:v>
      </x:c>
    </x:row>
    <x:row r="1263" ht="93" customHeight="1">
      <x:c r="A1263" s="19" t="n">
        <x:v>1260</x:v>
      </x:c>
      <x:c r="B1263" s="22" t="e">
        <x:f>HYPERLINK("https://cdn.shopify.com/s/files/1/0918/6066/4603/files/O1CN01Z6jhl52MQzdkP1GnO__2219089449823-0-cib_5c518f51-9de0-4828-a460-9eb2490751ce.jpg?v=1767943753","Open")</x:f>
        <x:v>HYPERLINK is not implemented. linkLocation=https://cdn.shopify.com/s/files/1/0918/6066/4603/files/O1CN01Z6jhl52MQzdkP1GnO__2219089449823-0-cib_5c518f51-9de0-4828-a460-9eb2490751ce.jpg?v=1767943753, friendlyName=Open</x:v>
      </x:c>
      <x:c r="C1263" s="24" t="e">
        <x:f>HYPERLINK("https://365nails.com/products/blue-blossom-pearl-elegant-extra-long-press-on-nails","Blue Blossom Pearl Elegant Extra Long Press On Nails")</x:f>
        <x:v>HYPERLINK is not implemented. linkLocation=https://365nails.com/products/blue-blossom-pearl-elegant-extra-long-press-on-nails, friendlyName=Blue Blossom Pearl Elegant Extra Long Press On Nails</x:v>
      </x:c>
      <x:c r="D1263" s="18" t="str">
        <x:v>Color: Jsb07    1.1; Color classification: S / M / L; Length: 4cm</x:v>
      </x:c>
      <x:c r="E1263" s="25" t="str">
        <x:v>$6.99</x:v>
      </x:c>
      <x:c r="F1263" s="19" t="str">
        <x:v>1</x:v>
      </x:c>
    </x:row>
    <x:row r="1264" ht="93" customHeight="1">
      <x:c r="A1264" s="19" t="n">
        <x:v>1261</x:v>
      </x:c>
      <x:c r="B1264" s="22" t="e">
        <x:f>HYPERLINK("https://cdn.shopify.com/s/files/1/0918/6066/4603/files/O1CN01l3W57h2MQzdeFr8Yq__2219089449823-0-cib_dd8ec316-8c1b-4a47-a6e3-a7ce1a072a08.jpg?v=1767943690","Open")</x:f>
        <x:v>HYPERLINK is not implemented. linkLocation=https://cdn.shopify.com/s/files/1/0918/6066/4603/files/O1CN01l3W57h2MQzdeFr8Yq__2219089449823-0-cib_dd8ec316-8c1b-4a47-a6e3-a7ce1a072a08.jpg?v=1767943690, friendlyName=Open</x:v>
      </x:c>
      <x:c r="C1264" s="24" t="e">
        <x:f>HYPERLINK("https://365nails.com/products/iridescent-3d-floral-extra-long-press-on-nails","Iridescent 3D Floral Extra Long Press On Nails")</x:f>
        <x:v>HYPERLINK is not implemented. linkLocation=https://365nails.com/products/iridescent-3d-floral-extra-long-press-on-nails, friendlyName=Iridescent 3D Floral Extra Long Press On Nails</x:v>
      </x:c>
      <x:c r="D1264" s="18" t="str">
        <x:v>Color: Js b11; Color classification: XS / S / M / L; Length: 5cm</x:v>
      </x:c>
      <x:c r="E1264" s="25" t="str">
        <x:v>$6.99</x:v>
      </x:c>
      <x:c r="F1264" s="19" t="str">
        <x:v>1</x:v>
      </x:c>
    </x:row>
    <x:row r="1265" ht="93" customHeight="1">
      <x:c r="A1265" s="19" t="n">
        <x:v>1262</x:v>
      </x:c>
      <x:c r="B1265" s="22" t="e">
        <x:f>HYPERLINK("https://cdn.shopify.com/s/files/1/0918/6066/4603/files/O1CN01rLKTBt2MQzdeSRbpJ__2219089449823-0-cib.jpg?v=1767943606","Open")</x:f>
        <x:v>HYPERLINK is not implemented. linkLocation=https://cdn.shopify.com/s/files/1/0918/6066/4603/files/O1CN01rLKTBt2MQzdeSRbpJ__2219089449823-0-cib.jpg?v=1767943606, friendlyName=Open</x:v>
      </x:c>
      <x:c r="C1265" s="24" t="e">
        <x:f>HYPERLINK("https://365nails.com/products/retro-colorblock-crystal-gradient-press-on-nails","Retro Colorblock Crystal Gradient Press On Nails")</x:f>
        <x:v>HYPERLINK is not implemented. linkLocation=https://365nails.com/products/retro-colorblock-crystal-gradient-press-on-nails, friendlyName=Retro Colorblock Crystal Gradient Press On Nails</x:v>
      </x:c>
      <x:c r="D1265" s="18" t="str">
        <x:v>Color: N002; Color classification: XS / S / M / L; Length: 5cm</x:v>
      </x:c>
      <x:c r="E1265" s="25" t="str">
        <x:v>$6.99</x:v>
      </x:c>
      <x:c r="F1265" s="19" t="str">
        <x:v>1</x:v>
      </x:c>
    </x:row>
    <x:row r="1266" ht="93" customHeight="1">
      <x:c r="A1266" s="19" t="n">
        <x:v>1263</x:v>
      </x:c>
      <x:c r="B1266" s="22" t="e">
        <x:f>HYPERLINK("https://cdn.shopify.com/s/files/1/0918/6066/4603/files/O1CN01HgIhIK2MQzdiLaZhP__2219089449823-0-cib.jpg?v=1767943546","Open")</x:f>
        <x:v>HYPERLINK is not implemented. linkLocation=https://cdn.shopify.com/s/files/1/0918/6066/4603/files/O1CN01HgIhIK2MQzdiLaZhP__2219089449823-0-cib.jpg?v=1767943546, friendlyName=Open</x:v>
      </x:c>
      <x:c r="C1266" s="24" t="e">
        <x:f>HYPERLINK("https://365nails.com/products/vintage-baroque-angel-pearl-crystal-press-on-nails","Vintage Baroque Angel Pearl Crystal Press On Nails")</x:f>
        <x:v>HYPERLINK is not implemented. linkLocation=https://365nails.com/products/vintage-baroque-angel-pearl-crystal-press-on-nails, friendlyName=Vintage Baroque Angel Pearl Crystal Press On Nails</x:v>
      </x:c>
      <x:c r="D1266" s="18" t="str">
        <x:v>Color: M100; Color classification: S / M / L; Length: 5cm</x:v>
      </x:c>
      <x:c r="E1266" s="25" t="str">
        <x:v>$5.99</x:v>
      </x:c>
      <x:c r="F1266" s="19" t="str">
        <x:v>1</x:v>
      </x:c>
    </x:row>
    <x:row r="1267" ht="93" customHeight="1">
      <x:c r="A1267" s="19" t="n">
        <x:v>1264</x:v>
      </x:c>
      <x:c r="B1267" s="22" t="e">
        <x:f>HYPERLINK("https://cdn.shopify.com/s/files/1/0918/6066/4603/files/O1CN01r4fsTP22SYgpM5D42__2219370087119-0-cib.jpg?v=1767238051","Open")</x:f>
        <x:v>HYPERLINK is not implemented. linkLocation=https://cdn.shopify.com/s/files/1/0918/6066/4603/files/O1CN01r4fsTP22SYgpM5D42__2219370087119-0-cib.jpg?v=1767238051, friendlyName=Open</x:v>
      </x:c>
      <x:c r="C1267" s="24" t="e">
        <x:f>HYPERLINK("https://365nails.com/products/soft-pink-crystal-butterfly-floral-press-on-nails","Soft Pink Crystal Butterfly Floral Press On Nails")</x:f>
        <x:v>HYPERLINK is not implemented. linkLocation=https://365nails.com/products/soft-pink-crystal-butterfly-floral-press-on-nails, friendlyName=Soft Pink Crystal Butterfly Floral Press On Nails</x:v>
      </x:c>
      <x:c r="D1267" s="18" t="str">
        <x:v>Color: L (1.7/1.3/1.4/1.3/1.1)cm / M (1.6/1.2/1.3/1.2/1.0)cm / S (1.5/1.1/1.2/1.1/0.9)cm</x:v>
      </x:c>
      <x:c r="E1267" s="25" t="str">
        <x:v>$5.49</x:v>
      </x:c>
      <x:c r="F1267" s="19" t="str">
        <x:v>30</x:v>
      </x:c>
    </x:row>
    <x:row r="1268" ht="93" customHeight="1">
      <x:c r="A1268" s="19" t="n">
        <x:v>1265</x:v>
      </x:c>
      <x:c r="B1268" s="22" t="e">
        <x:f>HYPERLINK("https://cdn.shopify.com/s/files/1/0918/6066/4603/files/O1CN01SF6lJK2NGHmbJ4fEe__4234819935-0-cib_210d4ac2-108e-4723-8bca-d07742a58065.jpg?v=1753432317","Open")</x:f>
        <x:v>HYPERLINK is not implemented. linkLocation=https://cdn.shopify.com/s/files/1/0918/6066/4603/files/O1CN01SF6lJK2NGHmbJ4fEe__4234819935-0-cib_210d4ac2-108e-4723-8bca-d07742a58065.jpg?v=1753432317, friendlyName=Open</x:v>
      </x:c>
      <x:c r="C1268" s="24" t="e">
        <x:f>HYPERLINK("https://365nails.com/products/2023-new-european-and-american-wearable-nail-removable-nail-patch-finished-product-flash-diamond-butterfly-girl-fake-nail-wholesale-365nails","Press-on nails removable nail patch finished product flash diamond butterfly girl fake nail wholesale｜365nails")</x:f>
        <x:v>HYPERLINK is not implemented. linkLocation=https://365nails.com/products/2023-new-european-and-american-wearable-nail-removable-nail-patch-finished-product-flash-diamond-butterfly-girl-fake-nail-wholesale-365nails, friendlyName=Press-on nails removable nail patch finished product flash diamond butterfly girl fake nail wholesale｜365nails</x:v>
      </x:c>
      <x:c r="D1268" s="18" t="str">
        <x:v>color: JP2738</x:v>
      </x:c>
      <x:c r="E1268" s="25" t="str">
        <x:v>$1.08</x:v>
      </x:c>
      <x:c r="F1268" s="19" t="str">
        <x:v>1</x:v>
      </x:c>
    </x:row>
    <x:row r="1269" ht="93" customHeight="1">
      <x:c r="A1269" s="19" t="n">
        <x:v>1266</x:v>
      </x:c>
      <x:c r="B1269" s="22" t="e">
        <x:f>HYPERLINK("https://cdn.shopify.com/s/files/1/0918/6066/4603/files/O1CN01Sygp3m2NGHjXj8J8u__4234819935-0-cib.jpg?v=1753432282","Open")</x:f>
        <x:v>HYPERLINK is not implemented. linkLocation=https://cdn.shopify.com/s/files/1/0918/6066/4603/files/O1CN01Sygp3m2NGHjXj8J8u__4234819935-0-cib.jpg?v=1753432282, friendlyName=Open</x:v>
      </x:c>
      <x:c r="C1269" s="24" t="e">
        <x:f>HYPERLINK("https://365nails.com/products/wear-nail-piece-black-french-short-ballet-wear-nail-short-wholesale-fake-nail-press-on-nails-365nails","Wear nail piece black French short ballet wear nail short wholesale fake nail press on nails｜365nails")</x:f>
        <x:v>HYPERLINK is not implemented. linkLocation=https://365nails.com/products/wear-nail-piece-black-french-short-ballet-wear-nail-short-wholesale-fake-nail-press-on-nails-365nails, friendlyName=Wear nail piece black French short ballet wear nail short wholesale fake nail press on nails｜365nails</x:v>
      </x:c>
      <x:c r="D1269" s="18" t="str">
        <x:v>color: JP2425</x:v>
      </x:c>
      <x:c r="E1269" s="25" t="str">
        <x:v>$0.70</x:v>
      </x:c>
      <x:c r="F1269" s="19" t="str">
        <x:v>1</x:v>
      </x:c>
    </x:row>
    <x:row r="1270" ht="93" customHeight="1">
      <x:c r="A1270" s="19" t="n">
        <x:v>1267</x:v>
      </x:c>
      <x:c r="B1270" s="22" t="e">
        <x:f>HYPERLINK("https://cdn.shopify.com/s/files/1/0918/6066/4603/files/O1CN01DDyf3d2NGHrcVcGyJ__4234819935-0-cib.jpg?v=1753432280","Open")</x:f>
        <x:v>HYPERLINK is not implemented. linkLocation=https://cdn.shopify.com/s/files/1/0918/6066/4603/files/O1CN01DDyf3d2NGHrcVcGyJ__4234819935-0-cib.jpg?v=1753432280, friendlyName=Open</x:v>
      </x:c>
      <x:c r="C1270" s="24" t="e">
        <x:f>HYPERLINK("https://365nails.com/products/naked-pink-french-glitter-nail-art-wear-short-ballet-nail-art-tablets-detachable-wearable-nail-tablets-finished-products-wholesale-365nails","Naked Pink French Glitter Nail Art Wear Short Ballet Nail Art Tablets Detachable Wearable Nail Tablets Finished Products Wholesale｜365nails")</x:f>
        <x:v>HYPERLINK is not implemented. linkLocation=https://365nails.com/products/naked-pink-french-glitter-nail-art-wear-short-ballet-nail-art-tablets-detachable-wearable-nail-tablets-finished-products-wholesale-365nails, friendlyName=Naked Pink French Glitter Nail Art Wear Short Ballet Nail Art Tablets Detachable Wearable Nail Tablets Finished Products Wholesale｜365nails</x:v>
      </x:c>
      <x:c r="D1270" s="18" t="str">
        <x:v>Color: JP3297</x:v>
      </x:c>
      <x:c r="E1270" s="25" t="str">
        <x:v>$0.70</x:v>
      </x:c>
      <x:c r="F1270" s="19" t="str">
        <x:v>1</x:v>
      </x:c>
    </x:row>
    <x:row r="1271" ht="93" customHeight="1">
      <x:c r="A1271" s="19" t="n">
        <x:v>1268</x:v>
      </x:c>
      <x:c r="B1271" s="22" t="e">
        <x:f>HYPERLINK("https://cdn.shopify.com/s/files/1/0918/6066/4603/files/O1CN01mLMLm12MQzdgqb20s__2219089449823-0-cib.jpg?v=1767944380","Open")</x:f>
        <x:v>HYPERLINK is not implemented. linkLocation=https://cdn.shopify.com/s/files/1/0918/6066/4603/files/O1CN01mLMLm12MQzdgqb20s__2219089449823-0-cib.jpg?v=1767944380, friendlyName=Open</x:v>
      </x:c>
      <x:c r="C1271" s="24" t="e">
        <x:f>HYPERLINK("https://365nails.com/products/lavender-butterfly-fairy-extra-long-press-on-nails","Lavender Butterfly Fairy Extra Long Press On Nails")</x:f>
        <x:v>HYPERLINK is not implemented. linkLocation=https://365nails.com/products/lavender-butterfly-fairy-extra-long-press-on-nails, friendlyName=Lavender Butterfly Fairy Extra Long Press On Nails</x:v>
      </x:c>
      <x:c r="D1271" s="18" t="str">
        <x:v>Color: Jsa16; Color classification: S / M / L; Length: 5cm</x:v>
      </x:c>
      <x:c r="E1271" s="25" t="str">
        <x:v>$5.99</x:v>
      </x:c>
      <x:c r="F1271" s="19" t="str">
        <x:v>1</x:v>
      </x:c>
    </x:row>
    <x:row r="1272" ht="93" customHeight="1">
      <x:c r="A1272" s="19" t="n">
        <x:v>1269</x:v>
      </x:c>
      <x:c r="B1272" s="22" t="e">
        <x:f>HYPERLINK("https://cdn.shopify.com/s/files/1/0918/6066/4603/files/O1CN01HrgJsY2MQzdnGX6Gm__2219089449823-0-cib.jpg?v=1767944125","Open")</x:f>
        <x:v>HYPERLINK is not implemented. linkLocation=https://cdn.shopify.com/s/files/1/0918/6066/4603/files/O1CN01HrgJsY2MQzdnGX6Gm__2219089449823-0-cib.jpg?v=1767944125, friendlyName=Open</x:v>
      </x:c>
      <x:c r="C1272" s="24" t="e">
        <x:f>HYPERLINK("https://365nails.com/products/leopard-floral-extra-long-stiletto-press-on-nails","Leopard Floral Extra Long Stiletto Press On Nails")</x:f>
        <x:v>HYPERLINK is not implemented. linkLocation=https://365nails.com/products/leopard-floral-extra-long-stiletto-press-on-nails, friendlyName=Leopard Floral Extra Long Stiletto Press On Nails</x:v>
      </x:c>
      <x:c r="D1272" s="18" t="str">
        <x:v>Color: Jsa13; Color classification: S / M / L; Length: 5cm</x:v>
      </x:c>
      <x:c r="E1272" s="25" t="str">
        <x:v>$5.99</x:v>
      </x:c>
      <x:c r="F1272" s="19" t="str">
        <x:v>1</x:v>
      </x:c>
    </x:row>
    <x:row r="1273" ht="93" customHeight="1">
      <x:c r="A1273" s="19" t="n">
        <x:v>1270</x:v>
      </x:c>
      <x:c r="B1273" s="22" t="e">
        <x:f>HYPERLINK("https://cdn.shopify.com/s/files/1/0918/6066/4603/files/O1CN01NdFZMX2MQzdnGHaIT__2219089449823-0-cib.jpg?v=1767943634","Open")</x:f>
        <x:v>HYPERLINK is not implemented. linkLocation=https://cdn.shopify.com/s/files/1/0918/6066/4603/files/O1CN01NdFZMX2MQzdnGHaIT__2219089449823-0-cib.jpg?v=1767943634, friendlyName=Open</x:v>
      </x:c>
      <x:c r="C1273" s="24" t="e">
        <x:f>HYPERLINK("https://365nails.com/products/purple-heart-crystal-gothic-press-on-nails","Purple Heart Crystal Gothic Press On Nails")</x:f>
        <x:v>HYPERLINK is not implemented. linkLocation=https://365nails.com/products/purple-heart-crystal-gothic-press-on-nails, friendlyName=Purple Heart Crystal Gothic Press On Nails</x:v>
      </x:c>
      <x:c r="D1273" s="18" t="str">
        <x:v>Color: M076; Color classification: S / M / L; Length: 5cm</x:v>
      </x:c>
      <x:c r="E1273" s="25" t="str">
        <x:v>$5.99</x:v>
      </x:c>
      <x:c r="F1273" s="19" t="str">
        <x:v>1</x:v>
      </x:c>
    </x:row>
    <x:row r="1274" ht="93" customHeight="1">
      <x:c r="A1274" s="19" t="n">
        <x:v>1271</x:v>
      </x:c>
      <x:c r="B1274" s="22" t="e">
        <x:f>HYPERLINK("https://cdn.shopify.com/s/files/1/0918/6066/4603/files/O1CN01p4KJ6g2MQzfW4DRZZ__2219089449823-0-cib_c8de21d5-5c7c-4f3d-af7f-963f878a0414.jpg?v=1767947146","Open")</x:f>
        <x:v>HYPERLINK is not implemented. linkLocation=https://cdn.shopify.com/s/files/1/0918/6066/4603/files/O1CN01p4KJ6g2MQzfW4DRZZ__2219089449823-0-cib_c8de21d5-5c7c-4f3d-af7f-963f878a0414.jpg?v=1767947146, friendlyName=Open</x:v>
      </x:c>
      <x:c r="C1274" s="24" t="e">
        <x:f>HYPERLINK("https://365nails.com/products/blue-cow-print-cute-bear-statement-press-on-nails","Blue Cow Print Cute Bear Statement Press On Nails")</x:f>
        <x:v>HYPERLINK is not implemented. linkLocation=https://365nails.com/products/blue-cow-print-cute-bear-statement-press-on-nails, friendlyName=Blue Cow Print Cute Bear Statement Press On Nails</x:v>
      </x:c>
      <x:c r="D1274" s="18" t="str">
        <x:v>Color: L206; Color classification: S / M / L; Length: 5cm</x:v>
      </x:c>
      <x:c r="E1274" s="25" t="str">
        <x:v>$4.99</x:v>
      </x:c>
      <x:c r="F1274" s="19" t="str">
        <x:v>1</x:v>
      </x:c>
    </x:row>
    <x:row r="1275" ht="93" customHeight="1">
      <x:c r="A1275" s="19" t="n">
        <x:v>1272</x:v>
      </x:c>
      <x:c r="B1275" s="22" t="e">
        <x:f>HYPERLINK("https://cdn.shopify.com/s/files/1/0918/6066/4603/files/O1CN018aHcbm2MQzeODh8NW__2219089449823-0-cib_32ab9709-2477-4d40-91c3-ae7eb00f42be.jpg?v=1767947858","Open")</x:f>
        <x:v>HYPERLINK is not implemented. linkLocation=https://cdn.shopify.com/s/files/1/0918/6066/4603/files/O1CN018aHcbm2MQzeODh8NW__2219089449823-0-cib_32ab9709-2477-4d40-91c3-ae7eb00f42be.jpg?v=1767947858, friendlyName=Open</x:v>
      </x:c>
      <x:c r="C1275" s="24" t="e">
        <x:f>HYPERLINK("https://365nails.com/products/y2k-leopard-glitter-extra-long-press-on-nails","Y2K Leopard Glitter Extra Long Press On Nails")</x:f>
        <x:v>HYPERLINK is not implemented. linkLocation=https://365nails.com/products/y2k-leopard-glitter-extra-long-press-on-nails, friendlyName=Y2K Leopard Glitter Extra Long Press On Nails</x:v>
      </x:c>
      <x:c r="D1275" s="18" t="str">
        <x:v>Color: M072; Color classification: S / M / L; Length: 4cm</x:v>
      </x:c>
      <x:c r="E1275" s="25" t="str">
        <x:v>$5.99</x:v>
      </x:c>
      <x:c r="F1275" s="19" t="str">
        <x:v>1</x:v>
      </x:c>
    </x:row>
    <x:row r="1276" ht="93" customHeight="1">
      <x:c r="A1276" s="19" t="n">
        <x:v>1273</x:v>
      </x:c>
      <x:c r="B1276" s="22" t="e">
        <x:f>HYPERLINK("https://cdn.shopify.com/s/files/1/0918/6066/4603/files/O1CN01A8WeIH2NGHyB3ljG8__4234819935-0-cib.jpg?v=1753432309","Open")</x:f>
        <x:v>HYPERLINK is not implemented. linkLocation=https://cdn.shopify.com/s/files/1/0918/6066/4603/files/O1CN01A8WeIH2NGHyB3ljG8__4234819935-0-cib.jpg?v=1753432309, friendlyName=Open</x:v>
      </x:c>
      <x:c r="C1276" s="24" t="e">
        <x:f>HYPERLINK("https://365nails.com/products/cross-border-hot-selling-wearing-nail-fake-nail-short-short-round-nail-piece-press-on-nails-nail-piece-wholesale-365nails","hot-selling wearing nail fake nail short short round nail piece press on nails nail piece wholesale｜365nails")</x:f>
        <x:v>HYPERLINK is not implemented. linkLocation=https://365nails.com/products/cross-border-hot-selling-wearing-nail-fake-nail-short-short-round-nail-piece-press-on-nails-nail-piece-wholesale-365nails, friendlyName=hot-selling wearing nail fake nail short short round nail piece press on nails nail piece wholesale｜365nails</x:v>
      </x:c>
      <x:c r="D1276" s="18" t="str">
        <x:v>color: JP3959</x:v>
      </x:c>
      <x:c r="E1276" s="25" t="str">
        <x:v>$1.28</x:v>
      </x:c>
      <x:c r="F1276" s="19" t="str">
        <x:v>1</x:v>
      </x:c>
    </x:row>
    <x:row r="1277" ht="93" customHeight="1">
      <x:c r="A1277" s="19" t="n">
        <x:v>1274</x:v>
      </x:c>
      <x:c r="B1277" s="22" t="e">
        <x:f>HYPERLINK("https://cdn.shopify.com/s/files/1/0918/6066/4603/files/O1CN01kBs6ff22SYgE9dI8y__2219370087119-0-cib.jpg?v=1767094469","Open")</x:f>
        <x:v>HYPERLINK is not implemented. linkLocation=https://cdn.shopify.com/s/files/1/0918/6066/4603/files/O1CN01kBs6ff22SYgE9dI8y__2219370087119-0-cib.jpg?v=1767094469, friendlyName=Open</x:v>
      </x:c>
      <x:c r="C1277" s="24" t="e">
        <x:f>HYPERLINK("https://365nails.com/products/pink-french-nails-with-floral-shell-accents-and-soft-pearls","Pink French Nails with Floral Shell Accents and Soft Pearls")</x:f>
        <x:v>HYPERLINK is not implemented. linkLocation=https://365nails.com/products/pink-french-nails-with-floral-shell-accents-and-soft-pearls, friendlyName=Pink French Nails with Floral Shell Accents and Soft Pearls</x:v>
      </x:c>
      <x:c r="D1277" s="18" t="str">
        <x:v>Color: L / M / S</x:v>
      </x:c>
      <x:c r="E1277" s="25" t="str">
        <x:v>$5.49</x:v>
      </x:c>
      <x:c r="F1277" s="19" t="str">
        <x:v>30</x:v>
      </x:c>
    </x:row>
    <x:row r="1278" ht="93" customHeight="1">
      <x:c r="A1278" s="19" t="n">
        <x:v>1275</x:v>
      </x:c>
      <x:c r="B1278" s="22" t="e">
        <x:f>HYPERLINK("https://cdn.shopify.com/s/files/1/0918/6066/4603/files/O1CN01Avg3vn2MQzdCXC6LC__2219089449823-0-cib.jpg?v=1767850926","Open")</x:f>
        <x:v>HYPERLINK is not implemented. linkLocation=https://cdn.shopify.com/s/files/1/0918/6066/4603/files/O1CN01Avg3vn2MQzdCXC6LC__2219089449823-0-cib.jpg?v=1767850926, friendlyName=Open</x:v>
      </x:c>
      <x:c r="C1278" s="24" t="e">
        <x:f>HYPERLINK("https://365nails.com/products/soft-pink-bow-lace-sweet-french-press-on-nails","Soft Pink Bow Lace Sweet French Press On Nails")</x:f>
        <x:v>HYPERLINK is not implemented. linkLocation=https://365nails.com/products/soft-pink-bow-lace-sweet-french-press-on-nails, friendlyName=Soft Pink Bow Lace Sweet French Press On Nails</x:v>
      </x:c>
      <x:c r="D1278" s="18" t="str">
        <x:v>Color: K030; Color classification: XS / S / M / L</x:v>
      </x:c>
      <x:c r="E1278" s="25" t="str">
        <x:v>$3.99</x:v>
      </x:c>
      <x:c r="F1278" s="19" t="str">
        <x:v>1</x:v>
      </x:c>
    </x:row>
    <x:row r="1279" ht="93" customHeight="1">
      <x:c r="A1279" s="19" t="n">
        <x:v>1276</x:v>
      </x:c>
      <x:c r="B1279" s="22" t="e">
        <x:f>HYPERLINK("https://cdn.shopify.com/s/files/1/0918/6066/4603/files/O1CN01xTZ4kG2MQzfENFWbK__2219089449823-0-cib.jpg?v=1767850131","Open")</x:f>
        <x:v>HYPERLINK is not implemented. linkLocation=https://cdn.shopify.com/s/files/1/0918/6066/4603/files/O1CN01xTZ4kG2MQzfENFWbK__2219089449823-0-cib.jpg?v=1767850131, friendlyName=Open</x:v>
      </x:c>
      <x:c r="C1279" s="24" t="e">
        <x:f>HYPERLINK("https://365nails.com/products/nude-french-butterfly-crystal-luxe-press-on-nails","Nude French Butterfly Crystal Luxe Press On Nails")</x:f>
        <x:v>HYPERLINK is not implemented. linkLocation=https://365nails.com/products/nude-french-butterfly-crystal-luxe-press-on-nails, friendlyName=Nude French Butterfly Crystal Luxe Press On Nails</x:v>
      </x:c>
      <x:c r="D1279" s="18" t="str">
        <x:v>Color: M046; Color classification: XS / S / M / L</x:v>
      </x:c>
      <x:c r="E1279" s="25" t="str">
        <x:v>$5.99</x:v>
      </x:c>
      <x:c r="F1279" s="19" t="str">
        <x:v>1</x:v>
      </x:c>
    </x:row>
    <x:row r="1280" ht="93" customHeight="1">
      <x:c r="A1280" s="19" t="n">
        <x:v>1277</x:v>
      </x:c>
      <x:c r="B1280" s="22" t="e">
        <x:f>HYPERLINK("https://cdn.shopify.com/s/files/1/0918/6066/4603/files/O1CN01gKe06C2MQze28dBjM__2219089449823-0-cib_c12e5278-644c-4744-a9ea-bbb888fec867.jpg?v=1767946355","Open")</x:f>
        <x:v>HYPERLINK is not implemented. linkLocation=https://cdn.shopify.com/s/files/1/0918/6066/4603/files/O1CN01gKe06C2MQze28dBjM__2219089449823-0-cib_c12e5278-644c-4744-a9ea-bbb888fec867.jpg?v=1767946355, friendlyName=Open</x:v>
      </x:c>
      <x:c r="C1280" s="24" t="e">
        <x:f>HYPERLINK("https://365nails.com/products/vintage-palace-heart-gem-press-on-nails","Vintage Palace Heart Gem Press On Nails")</x:f>
        <x:v>HYPERLINK is not implemented. linkLocation=https://365nails.com/products/vintage-palace-heart-gem-press-on-nails, friendlyName=Vintage Palace Heart Gem Press On Nails</x:v>
      </x:c>
      <x:c r="D1280" s="18" t="str">
        <x:v>Color: M082; Color classification: S / M / L; Length: 5cm</x:v>
      </x:c>
      <x:c r="E1280" s="25" t="str">
        <x:v>$5.99</x:v>
      </x:c>
      <x:c r="F1280" s="19" t="str">
        <x:v>1</x:v>
      </x:c>
    </x:row>
    <x:row r="1281" ht="93" customHeight="1">
      <x:c r="A1281" s="19" t="n">
        <x:v>1278</x:v>
      </x:c>
      <x:c r="B1281" s="22" t="e">
        <x:f>HYPERLINK("https://cdn.shopify.com/s/files/1/0918/6066/4603/files/O1CN01dBa7Vp2MQzeSUbPIf__2219089449823-0-cib.jpg?v=1767790530","Open")</x:f>
        <x:v>HYPERLINK is not implemented. linkLocation=https://cdn.shopify.com/s/files/1/0918/6066/4603/files/O1CN01dBa7Vp2MQzeSUbPIf__2219089449823-0-cib.jpg?v=1767790530, friendlyName=Open</x:v>
      </x:c>
      <x:c r="C1281" s="24" t="e">
        <x:f>HYPERLINK("https://365nails.com/products/pink-black-gothic-heart-crystal-statement-press-on-nails","Pink Black Gothic Heart Crystal Statement Press On Nails")</x:f>
        <x:v>HYPERLINK is not implemented. linkLocation=https://365nails.com/products/pink-black-gothic-heart-crystal-statement-press-on-nails, friendlyName=Pink Black Gothic Heart Crystal Statement Press On Nails</x:v>
      </x:c>
      <x:c r="D1281" s="18" t="str">
        <x:v>Color: M074; Color classification: XS / S / M / L</x:v>
      </x:c>
      <x:c r="E1281" s="25" t="str">
        <x:v>$5.99</x:v>
      </x:c>
      <x:c r="F1281" s="19" t="str">
        <x:v>1</x:v>
      </x:c>
    </x:row>
    <x:row r="1282" ht="93" customHeight="1">
      <x:c r="A1282" s="19" t="n">
        <x:v>1279</x:v>
      </x:c>
      <x:c r="B1282" s="22" t="e">
        <x:f>HYPERLINK("https://cdn.shopify.com/s/files/1/0918/6066/4603/files/O1CN019UvU7t2MQzf5btlh8__2219089449823-0-cib_6232efd1-0f81-42dc-afc6-ad203adcb196.jpg?v=1767947005","Open")</x:f>
        <x:v>HYPERLINK is not implemented. linkLocation=https://cdn.shopify.com/s/files/1/0918/6066/4603/files/O1CN019UvU7t2MQzf5btlh8__2219089449823-0-cib_6232efd1-0f81-42dc-afc6-ad203adcb196.jpg?v=1767947005, friendlyName=Open</x:v>
      </x:c>
      <x:c r="C1282" s="24" t="e">
        <x:f>HYPERLINK("https://365nails.com/products/cherry-fruit-jelly-cute-pastel-press-on-nails","Cherry Fruit Jelly Cute Pastel Press On Nails")</x:f>
        <x:v>HYPERLINK is not implemented. linkLocation=https://365nails.com/products/cherry-fruit-jelly-cute-pastel-press-on-nails, friendlyName=Cherry Fruit Jelly Cute Pastel Press On Nails</x:v>
      </x:c>
      <x:c r="D1282" s="18" t="str">
        <x:v>Color: L224; Color classification: S / M / L; Length: 5cm</x:v>
      </x:c>
      <x:c r="E1282" s="25" t="str">
        <x:v>$4.99</x:v>
      </x:c>
      <x:c r="F1282" s="19" t="str">
        <x:v>1</x:v>
      </x:c>
    </x:row>
    <x:row r="1283" ht="93" customHeight="1">
      <x:c r="A1283" s="19" t="n">
        <x:v>1280</x:v>
      </x:c>
      <x:c r="B1283" s="22" t="e">
        <x:f>HYPERLINK("https://cdn.shopify.com/s/files/1/0918/6066/4603/files/O1CN01YaYWZf2MQzfVpniXQ__2219089449823-0-cib_e8dc5712-883a-4f05-92d9-d78d4890a314.jpg?v=1767946569","Open")</x:f>
        <x:v>HYPERLINK is not implemented. linkLocation=https://cdn.shopify.com/s/files/1/0918/6066/4603/files/O1CN01YaYWZf2MQzfVpniXQ__2219089449823-0-cib_e8dc5712-883a-4f05-92d9-d78d4890a314.jpg?v=1767946569, friendlyName=Open</x:v>
      </x:c>
      <x:c r="C1283" s="24" t="e">
        <x:f>HYPERLINK("https://365nails.com/products/nude-crystal-french-glam-statement-press-on-nails","Nude Crystal French Glam Statement Press On Nails")</x:f>
        <x:v>HYPERLINK is not implemented. linkLocation=https://365nails.com/products/nude-crystal-french-glam-statement-press-on-nails, friendlyName=Nude Crystal French Glam Statement Press On Nails</x:v>
      </x:c>
      <x:c r="D1283" s="18" t="str">
        <x:v>Color: L155; Color classification: S / M / L; Length: 4cm</x:v>
      </x:c>
      <x:c r="E1283" s="25" t="str">
        <x:v>$4.99</x:v>
      </x:c>
      <x:c r="F1283" s="19" t="str">
        <x:v>1</x:v>
      </x:c>
    </x:row>
    <x:row r="1284" ht="93" customHeight="1">
      <x:c r="A1284" s="19" t="n">
        <x:v>1281</x:v>
      </x:c>
      <x:c r="B1284" s="22" t="e">
        <x:f>HYPERLINK("https://cdn.shopify.com/s/files/1/0918/6066/4603/files/O1CN01buLra82MQzf7hIqkH__2219089449823-0-cib.jpg?v=1767849404","Open")</x:f>
        <x:v>HYPERLINK is not implemented. linkLocation=https://cdn.shopify.com/s/files/1/0918/6066/4603/files/O1CN01buLra82MQzf7hIqkH__2219089449823-0-cib.jpg?v=1767849404, friendlyName=Open</x:v>
      </x:c>
      <x:c r="C1284" s="24" t="e">
        <x:f>HYPERLINK("https://365nails.com/products/pink-jelly-bear-floral-cute-statement-press-on-nails","Pink Jelly Bear Floral Cute Statement Press On Nails")</x:f>
        <x:v>HYPERLINK is not implemented. linkLocation=https://365nails.com/products/pink-jelly-bear-floral-cute-statement-press-on-nails, friendlyName=Pink Jelly Bear Floral Cute Statement Press On Nails</x:v>
      </x:c>
      <x:c r="D1284" s="18" t="str">
        <x:v>Color: M049; Color classification: S / M / L</x:v>
      </x:c>
      <x:c r="E1284" s="25" t="str">
        <x:v>$5.99</x:v>
      </x:c>
      <x:c r="F1284" s="19" t="str">
        <x:v>1</x:v>
      </x:c>
    </x:row>
    <x:row r="1285" ht="93" customHeight="1">
      <x:c r="A1285" s="19" t="n">
        <x:v>1282</x:v>
      </x:c>
      <x:c r="B1285" s="22" t="e">
        <x:f>HYPERLINK("https://cdn.shopify.com/s/files/1/0918/6066/4603/files/O1CN01kj9tCG2MQzeUWOLU7__2219089449823-0-cib_2c4c0d7c-a2f6-44c7-89a3-a997546c2bd9.jpg?v=1767946472","Open")</x:f>
        <x:v>HYPERLINK is not implemented. linkLocation=https://cdn.shopify.com/s/files/1/0918/6066/4603/files/O1CN01kj9tCG2MQzeUWOLU7__2219089449823-0-cib_2c4c0d7c-a2f6-44c7-89a3-a997546c2bd9.jpg?v=1767946472, friendlyName=Open</x:v>
      </x:c>
      <x:c r="C1285" s="24" t="e">
        <x:f>HYPERLINK("https://365nails.com/products/gothic-black-white-heart-cross-press-on-nails","Gothic Black White Heart Cross Press On Nails")</x:f>
        <x:v>HYPERLINK is not implemented. linkLocation=https://365nails.com/products/gothic-black-white-heart-cross-press-on-nails, friendlyName=Gothic Black White Heart Cross Press On Nails</x:v>
      </x:c>
      <x:c r="D1285" s="18" t="str">
        <x:v>Color: M071; Color classification: S / M / L; Length: 5cm</x:v>
      </x:c>
      <x:c r="E1285" s="25" t="str">
        <x:v>$5.99</x:v>
      </x:c>
      <x:c r="F1285" s="19" t="str">
        <x:v>1</x:v>
      </x:c>
    </x:row>
    <x:row r="1286" ht="93" customHeight="1">
      <x:c r="A1286" s="19" t="n">
        <x:v>1283</x:v>
      </x:c>
      <x:c r="B1286" s="22" t="e">
        <x:f>HYPERLINK("https://cdn.shopify.com/s/files/1/0918/6066/4603/files/O1CN01Le5THz2MQze0H4bNt__2219089449823-0-cib_01f7c7ce-57a2-4849-b18c-8a2e5124cfc4.jpg?v=1767945329","Open")</x:f>
        <x:v>HYPERLINK is not implemented. linkLocation=https://cdn.shopify.com/s/files/1/0918/6066/4603/files/O1CN01Le5THz2MQze0H4bNt__2219089449823-0-cib_01f7c7ce-57a2-4849-b18c-8a2e5124cfc4.jpg?v=1767945329, friendlyName=Open</x:v>
      </x:c>
      <x:c r="C1286" s="24" t="e">
        <x:f>HYPERLINK("https://365nails.com/products/icy-blue-crystal-drip-elegant-press-on-nails","Icy Blue Crystal Drip Elegant Press On Nails")</x:f>
        <x:v>HYPERLINK is not implemented. linkLocation=https://365nails.com/products/icy-blue-crystal-drip-elegant-press-on-nails, friendlyName=Icy Blue Crystal Drip Elegant Press On Nails</x:v>
      </x:c>
      <x:c r="D1286" s="18" t="str">
        <x:v>Color: K002; Color classification: S / M / L; Length: 5cm</x:v>
      </x:c>
      <x:c r="E1286" s="25" t="str">
        <x:v>$3.99</x:v>
      </x:c>
      <x:c r="F1286" s="19" t="str">
        <x:v>1</x:v>
      </x:c>
    </x:row>
    <x:row r="1287" ht="93" customHeight="1">
      <x:c r="A1287" s="19" t="n">
        <x:v>1284</x:v>
      </x:c>
      <x:c r="B1287" s="22" t="e">
        <x:f>HYPERLINK("https://cdn.shopify.com/s/files/1/0918/6066/4603/files/O1CN01jvLix62MQzdxYmnyU__2219089449823-0-cib.jpg?v=1767945272","Open")</x:f>
        <x:v>HYPERLINK is not implemented. linkLocation=https://cdn.shopify.com/s/files/1/0918/6066/4603/files/O1CN01jvLix62MQzdxYmnyU__2219089449823-0-cib.jpg?v=1767945272, friendlyName=Open</x:v>
      </x:c>
      <x:c r="C1287" s="24" t="e">
        <x:f>HYPERLINK("https://365nails.com/products/ivory-red-baroque-heart-crystal-press-on-nails","Ivory Red Baroque Heart Crystal Press On Nails")</x:f>
        <x:v>HYPERLINK is not implemented. linkLocation=https://365nails.com/products/ivory-red-baroque-heart-crystal-press-on-nails, friendlyName=Ivory Red Baroque Heart Crystal Press On Nails</x:v>
      </x:c>
      <x:c r="D1287" s="18" t="str">
        <x:v>Color: M091; Color classification: S / M / L; Length: 5cm</x:v>
      </x:c>
      <x:c r="E1287" s="25" t="str">
        <x:v>$5.99</x:v>
      </x:c>
      <x:c r="F1287" s="19" t="str">
        <x:v>1</x:v>
      </x:c>
    </x:row>
    <x:row r="1288" ht="93" customHeight="1">
      <x:c r="A1288" s="19" t="n">
        <x:v>1285</x:v>
      </x:c>
      <x:c r="B1288" s="22" t="e">
        <x:f>HYPERLINK("https://cdn.shopify.com/s/files/1/0918/6066/4603/files/O1CN015oskdH2NGHsYkmtIf__4234819935-0-cib.jpg?v=1753432410","Open")</x:f>
        <x:v>HYPERLINK is not implemented. linkLocation=https://cdn.shopify.com/s/files/1/0918/6066/4603/files/O1CN015oskdH2NGHsYkmtIf__4234819935-0-cib.jpg?v=1753432410, friendlyName=Open</x:v>
      </x:c>
      <x:c r="C1288" s="24" t="e">
        <x:f>HYPERLINK("https://365nails.com/products/nail-patch-wear-nail-summer-nail-art-french-flower-glitter-fake-nails-new-detachable-nail-patch-wholesale-365nails","Nail Patch Wear Nail Summer Nail Art French Flower Glitter Fake Nails New Detachable Nail Patch Wholesale｜365nails")</x:f>
        <x:v>HYPERLINK is not implemented. linkLocation=https://365nails.com/products/nail-patch-wear-nail-summer-nail-art-french-flower-glitter-fake-nails-new-detachable-nail-patch-wholesale-365nails, friendlyName=Nail Patch Wear Nail Summer Nail Art French Flower Glitter Fake Nails New Detachable Nail Patch Wholesale｜365nails</x:v>
      </x:c>
      <x:c r="D1288" s="18" t="str">
        <x:v>Color: JP3384</x:v>
      </x:c>
      <x:c r="E1288" s="25" t="str">
        <x:v>$1.33</x:v>
      </x:c>
      <x:c r="F1288" s="19" t="str">
        <x:v>1</x:v>
      </x:c>
    </x:row>
    <x:row r="1289" ht="93" customHeight="1">
      <x:c r="A1289" s="19" t="n">
        <x:v>1286</x:v>
      </x:c>
      <x:c r="B1289" s="22" t="e">
        <x:f>HYPERLINK("https://cdn.shopify.com/s/files/1/0918/6066/4603/files/O1CN017QBXgA2MQzex22atj__2219089449823-0-cib.jpg?v=1767852279","Open")</x:f>
        <x:v>HYPERLINK is not implemented. linkLocation=https://cdn.shopify.com/s/files/1/0918/6066/4603/files/O1CN017QBXgA2MQzex22atj__2219089449823-0-cib.jpg?v=1767852279, friendlyName=Open</x:v>
      </x:c>
      <x:c r="C1289" s="24" t="e">
        <x:f>HYPERLINK("https://365nails.com/products/red-white-gradient-crystal-press-on-nails","Red White Gradient Crystal Press On Nails")</x:f>
        <x:v>HYPERLINK is not implemented. linkLocation=https://365nails.com/products/red-white-gradient-crystal-press-on-nails, friendlyName=Red White Gradient Crystal Press On Nails</x:v>
      </x:c>
      <x:c r="D1289" s="18" t="str">
        <x:v>Color: M054; Color classification: S / M / L</x:v>
      </x:c>
      <x:c r="E1289" s="25" t="str">
        <x:v>$5.99</x:v>
      </x:c>
      <x:c r="F1289" s="19" t="str">
        <x:v>1</x:v>
      </x:c>
    </x:row>
    <x:row r="1290" ht="93" customHeight="1">
      <x:c r="A1290" s="19" t="n">
        <x:v>1287</x:v>
      </x:c>
      <x:c r="B1290" s="22" t="e">
        <x:f>HYPERLINK("https://cdn.shopify.com/s/files/1/0918/6066/4603/files/O1CN01r2UGd22MQzeLPQY0i__2219089449823-0-cib_a55d5078-9bf7-4355-9e26-6266b6ca2ee9.jpg?v=1767946207","Open")</x:f>
        <x:v>HYPERLINK is not implemented. linkLocation=https://cdn.shopify.com/s/files/1/0918/6066/4603/files/O1CN01r2UGd22MQzeLPQY0i__2219089449823-0-cib_a55d5078-9bf7-4355-9e26-6266b6ca2ee9.jpg?v=1767946207, friendlyName=Open</x:v>
      </x:c>
      <x:c r="C1290" s="24" t="e">
        <x:f>HYPERLINK("https://365nails.com/products/baroque-angel-cameo-crystal-press-on-nails","Baroque Angel Cameo Crystal Press On Nails")</x:f>
        <x:v>HYPERLINK is not implemented. linkLocation=https://365nails.com/products/baroque-angel-cameo-crystal-press-on-nails, friendlyName=Baroque Angel Cameo Crystal Press On Nails</x:v>
      </x:c>
      <x:c r="D1290" s="18" t="str">
        <x:v>Color: M081; Color classification: S / M / L; Length: 5cm</x:v>
      </x:c>
      <x:c r="E1290" s="25" t="str">
        <x:v>$5.99</x:v>
      </x:c>
      <x:c r="F1290" s="19" t="str">
        <x:v>1</x:v>
      </x:c>
    </x:row>
    <x:row r="1291" ht="93" customHeight="1">
      <x:c r="A1291" s="19" t="n">
        <x:v>1288</x:v>
      </x:c>
      <x:c r="B1291" s="22" t="e">
        <x:f>HYPERLINK("https://cdn.shopify.com/s/files/1/0918/6066/4603/files/O1CN015Il2mc2MQzddGPObi__2219089449823-0-cib_547f3084-ceb0-4b80-87bd-f0e3206c013f.jpg?v=1767947707","Open")</x:f>
        <x:v>HYPERLINK is not implemented. linkLocation=https://cdn.shopify.com/s/files/1/0918/6066/4603/files/O1CN015Il2mc2MQzddGPObi__2219089449823-0-cib_547f3084-ceb0-4b80-87bd-f0e3206c013f.jpg?v=1767947707, friendlyName=Open</x:v>
      </x:c>
      <x:c r="C1291" s="24" t="e">
        <x:f>HYPERLINK("https://365nails.com/products/black-blush-gothic-extra-long-press-on-nails","Black Blush Gothic Extra Long Press On Nails")</x:f>
        <x:v>HYPERLINK is not implemented. linkLocation=https://365nails.com/products/black-blush-gothic-extra-long-press-on-nails, friendlyName=Black Blush Gothic Extra Long Press On Nails</x:v>
      </x:c>
      <x:c r="D1291" s="18" t="str">
        <x:v>Color: L212; Color classification: XS / S / M / L; Length: 4cm</x:v>
      </x:c>
      <x:c r="E1291" s="25" t="str">
        <x:v>$4.99</x:v>
      </x:c>
      <x:c r="F1291" s="19" t="str">
        <x:v>1</x:v>
      </x:c>
    </x:row>
    <x:row r="1292" ht="93" customHeight="1">
      <x:c r="A1292" s="19" t="n">
        <x:v>1289</x:v>
      </x:c>
      <x:c r="B1292" s="22" t="e">
        <x:f>HYPERLINK("https://cdn.shopify.com/s/files/1/0918/6066/4603/files/O1CN01EdbZZW2MQzfWNfQfS__2219089449823-0-cib_d2c200d7-1f47-47fc-9901-d05b00e681ab.jpg?v=1767946962","Open")</x:f>
        <x:v>HYPERLINK is not implemented. linkLocation=https://cdn.shopify.com/s/files/1/0918/6066/4603/files/O1CN01EdbZZW2MQzfWNfQfS__2219089449823-0-cib_d2c200d7-1f47-47fc-9901-d05b00e681ab.jpg?v=1767946962, friendlyName=Open</x:v>
      </x:c>
      <x:c r="C1292" s="24" t="e">
        <x:f>HYPERLINK("https://365nails.com/products/nude-gold-crystal-drip-luxe-statement-press-on-nails","Nude Gold Crystal Drip Luxe Statement Press On Nails")</x:f>
        <x:v>HYPERLINK is not implemented. linkLocation=https://365nails.com/products/nude-gold-crystal-drip-luxe-statement-press-on-nails, friendlyName=Nude Gold Crystal Drip Luxe Statement Press On Nails</x:v>
      </x:c>
      <x:c r="D1292" s="18" t="str">
        <x:v>Color: L165; Color classification: S / M / L; Length: 5cm</x:v>
      </x:c>
      <x:c r="E1292" s="25" t="str">
        <x:v>$4.99</x:v>
      </x:c>
      <x:c r="F1292" s="19" t="str">
        <x:v>1</x:v>
      </x:c>
    </x:row>
    <x:row r="1293" ht="93" customHeight="1">
      <x:c r="A1293" s="19" t="n">
        <x:v>1290</x:v>
      </x:c>
      <x:c r="B1293" s="22" t="e">
        <x:f>HYPERLINK("https://cdn.shopify.com/s/files/1/0918/6066/4603/files/O1CN01ktaAAU2MQzeQ7R8E3__2219089449823-0-cib_fc56a118-8708-4668-a8ce-4b3614268c15.jpg?v=1767946418","Open")</x:f>
        <x:v>HYPERLINK is not implemented. linkLocation=https://cdn.shopify.com/s/files/1/0918/6066/4603/files/O1CN01ktaAAU2MQzeQ7R8E3__2219089449823-0-cib_fc56a118-8708-4668-a8ce-4b3614268c15.jpg?v=1767946418, friendlyName=Open</x:v>
      </x:c>
      <x:c r="C1293" s="24" t="e">
        <x:f>HYPERLINK("https://365nails.com/products/white-crystal-charm-press-on-nails","White Crystal Charm Press On Nails")</x:f>
        <x:v>HYPERLINK is not implemented. linkLocation=https://365nails.com/products/white-crystal-charm-press-on-nails, friendlyName=White Crystal Charm Press On Nails</x:v>
      </x:c>
      <x:c r="D1293" s="18" t="str">
        <x:v>Color: M075; Color classification: S / M / L; Length: 5cm</x:v>
      </x:c>
      <x:c r="E1293" s="25" t="str">
        <x:v>$5.99</x:v>
      </x:c>
      <x:c r="F1293" s="19" t="str">
        <x:v>1</x:v>
      </x:c>
    </x:row>
    <x:row r="1294" ht="93" customHeight="1">
      <x:c r="A1294" s="19" t="n">
        <x:v>1291</x:v>
      </x:c>
      <x:c r="B1294" s="22" t="e">
        <x:f>HYPERLINK("https://cdn.shopify.com/s/files/1/0918/6066/4603/files/O1CN019Iy77X22SYgEDKYDA__2219370087119-0-cib.jpg?v=1767094394","Open")</x:f>
        <x:v>HYPERLINK is not implemented. linkLocation=https://cdn.shopify.com/s/files/1/0918/6066/4603/files/O1CN019Iy77X22SYgEDKYDA__2219370087119-0-cib.jpg?v=1767094394, friendlyName=Open</x:v>
      </x:c>
      <x:c r="C1294" s="24" t="e">
        <x:f>HYPERLINK("https://365nails.com/products/nude-french-nails-with-silver-butterfly-crystal-embellishments","Nude French Nails with Silver Butterfly Crystal Embellishments")</x:f>
        <x:v>HYPERLINK is not implemented. linkLocation=https://365nails.com/products/nude-french-nails-with-silver-butterfly-crystal-embellishments, friendlyName=Nude French Nails with Silver Butterfly Crystal Embellishments</x:v>
      </x:c>
      <x:c r="D1294" s="18" t="str">
        <x:v>Color: L / M / S</x:v>
      </x:c>
      <x:c r="E1294" s="25" t="str">
        <x:v>$4.99</x:v>
      </x:c>
      <x:c r="F1294" s="19" t="str">
        <x:v>30</x:v>
      </x:c>
    </x:row>
    <x:row r="1295" ht="93" customHeight="1">
      <x:c r="A1295" s="19" t="n">
        <x:v>1292</x:v>
      </x:c>
      <x:c r="B1295" s="22" t="e">
        <x:f>HYPERLINK("https://cdn.shopify.com/s/files/1/0918/6066/4603/files/O1CN01X01KOx22SYgDIY91w__2219370087119-0-cib.jpg?v=1767236945","Open")</x:f>
        <x:v>HYPERLINK is not implemented. linkLocation=https://cdn.shopify.com/s/files/1/0918/6066/4603/files/O1CN01X01KOx22SYgDIY91w__2219370087119-0-cib.jpg?v=1767236945, friendlyName=Open</x:v>
      </x:c>
      <x:c r="C1295" s="24" t="e">
        <x:f>HYPERLINK("https://365nails.com/products/ab-crystal-full-rhinestone-square-press-on-nails","AB Crystal Full Rhinestone Square Press On Nails")</x:f>
        <x:v>HYPERLINK is not implemented. linkLocation=https://365nails.com/products/ab-crystal-full-rhinestone-square-press-on-nails, friendlyName=AB Crystal Full Rhinestone Square Press On Nails</x:v>
      </x:c>
      <x:c r="D1295" s="18" t="str">
        <x:v>Color: L / M / S</x:v>
      </x:c>
      <x:c r="E1295" s="25" t="str">
        <x:v>$4.49</x:v>
      </x:c>
      <x:c r="F1295" s="19" t="str">
        <x:v>30</x:v>
      </x:c>
    </x:row>
    <x:row r="1296" ht="93" customHeight="1">
      <x:c r="A1296" s="19" t="n">
        <x:v>1293</x:v>
      </x:c>
      <x:c r="B1296" s="22" t="e">
        <x:f>HYPERLINK("https://cdn.shopify.com/s/files/1/0918/6066/4603/files/O1CN011ZO6AA22SYgEQbzQO__2219370087119-0-cib.jpg?v=1767094317","Open")</x:f>
        <x:v>HYPERLINK is not implemented. linkLocation=https://cdn.shopify.com/s/files/1/0918/6066/4603/files/O1CN011ZO6AA22SYgEQbzQO__2219370087119-0-cib.jpg?v=1767094317, friendlyName=Open</x:v>
      </x:c>
      <x:c r="C1296" s="24" t="e">
        <x:f>HYPERLINK("https://365nails.com/products/pink-french-floral-stiletto-nails-with-elegant-sculpted-finish","Pink French Floral Stiletto Nails with Elegant Sculpted Finish")</x:f>
        <x:v>HYPERLINK is not implemented. linkLocation=https://365nails.com/products/pink-french-floral-stiletto-nails-with-elegant-sculpted-finish, friendlyName=Pink French Floral Stiletto Nails with Elegant Sculpted Finish</x:v>
      </x:c>
      <x:c r="D1296" s="18" t="str">
        <x:v>Color: L / M / S</x:v>
      </x:c>
      <x:c r="E1296" s="25" t="str">
        <x:v>$4.99</x:v>
      </x:c>
      <x:c r="F1296" s="19" t="str">
        <x:v>30</x:v>
      </x:c>
    </x:row>
    <x:row r="1297" ht="93" customHeight="1">
      <x:c r="A1297" s="19" t="n">
        <x:v>1294</x:v>
      </x:c>
      <x:c r="B1297" s="22" t="e">
        <x:f>HYPERLINK("https://cdn.shopify.com/s/files/1/0918/6066/4603/files/O1CN01SsA5lD2MQzdZTCnMF__2219089449823-0-cib.jpg?v=1767947963","Open")</x:f>
        <x:v>HYPERLINK is not implemented. linkLocation=https://cdn.shopify.com/s/files/1/0918/6066/4603/files/O1CN01SsA5lD2MQzdZTCnMF__2219089449823-0-cib.jpg?v=1767947963, friendlyName=Open</x:v>
      </x:c>
      <x:c r="C1297" s="24" t="e">
        <x:f>HYPERLINK("https://365nails.com/products/coral-crystal-drip-extra-long-press-on-nails","Coral Crystal Drip Extra Long Press On Nails")</x:f>
        <x:v>HYPERLINK is not implemented. linkLocation=https://365nails.com/products/coral-crystal-drip-extra-long-press-on-nails, friendlyName=Coral Crystal Drip Extra Long Press On Nails</x:v>
      </x:c>
      <x:c r="D1297" s="18" t="str">
        <x:v>Color: N001; Color classification: XS / S / M / L; Length: 5cm</x:v>
      </x:c>
      <x:c r="E1297" s="25" t="str">
        <x:v>$6.99</x:v>
      </x:c>
      <x:c r="F1297" s="19" t="str">
        <x:v>1</x:v>
      </x:c>
    </x:row>
    <x:row r="1298" ht="93" customHeight="1">
      <x:c r="A1298" s="19" t="n">
        <x:v>1295</x:v>
      </x:c>
      <x:c r="B1298" s="22" t="e">
        <x:f>HYPERLINK("https://cdn.shopify.com/s/files/1/0918/6066/4603/files/O1CN01J7Xqgh2MQzevk0AAt__2219089449823-0-cib.jpg?v=1767853604","Open")</x:f>
        <x:v>HYPERLINK is not implemented. linkLocation=https://cdn.shopify.com/s/files/1/0918/6066/4603/files/O1CN01J7Xqgh2MQzevk0AAt__2219089449823-0-cib.jpg?v=1767853604, friendlyName=Open</x:v>
      </x:c>
      <x:c r="C1298" s="24" t="e">
        <x:f>HYPERLINK("https://365nails.com/products/pink-bow-extra-long-rhinestone-press-on-nails","Pink Bow Extra Long Rhinestone Press On Nails")</x:f>
        <x:v>HYPERLINK is not implemented. linkLocation=https://365nails.com/products/pink-bow-extra-long-rhinestone-press-on-nails, friendlyName=Pink Bow Extra Long Rhinestone Press On Nails</x:v>
      </x:c>
      <x:c r="D1298" s="18" t="str">
        <x:v>Color: M024; Color classification: S / M / L; Length: 4cm</x:v>
      </x:c>
      <x:c r="E1298" s="25" t="str">
        <x:v>$5.99</x:v>
      </x:c>
      <x:c r="F1298" s="19" t="str">
        <x:v>1</x:v>
      </x:c>
    </x:row>
    <x:row r="1299" ht="93" customHeight="1">
      <x:c r="A1299" s="19" t="n">
        <x:v>1296</x:v>
      </x:c>
      <x:c r="B1299" s="22" t="e">
        <x:f>HYPERLINK("https://cdn.shopify.com/s/files/1/0918/6066/4603/files/O1CN014WNxZ82MQzdH8nnc3__2219089449823-0-cib.jpg?v=1767853545","Open")</x:f>
        <x:v>HYPERLINK is not implemented. linkLocation=https://cdn.shopify.com/s/files/1/0918/6066/4603/files/O1CN014WNxZ82MQzdH8nnc3__2219089449823-0-cib.jpg?v=1767853545, friendlyName=Open</x:v>
      </x:c>
      <x:c r="C1299" s="24" t="e">
        <x:f>HYPERLINK("https://365nails.com/products/ultra-sparkle-extra-long-crystal-press-on-nails","Ultra Sparkle Extra Long Crystal Press On Nails")</x:f>
        <x:v>HYPERLINK is not implemented. linkLocation=https://365nails.com/products/ultra-sparkle-extra-long-crystal-press-on-nails, friendlyName=Ultra Sparkle Extra Long Crystal Press On Nails</x:v>
      </x:c>
      <x:c r="D1299" s="18" t="str">
        <x:v>Color: N010; Color classification: S / M / L; Length: 5cm</x:v>
      </x:c>
      <x:c r="E1299" s="25" t="str">
        <x:v>$6.99</x:v>
      </x:c>
      <x:c r="F1299" s="19" t="str">
        <x:v>1</x:v>
      </x:c>
    </x:row>
    <x:row r="1300" ht="93" customHeight="1">
      <x:c r="A1300" s="19" t="n">
        <x:v>1297</x:v>
      </x:c>
      <x:c r="B1300" s="22" t="e">
        <x:f>HYPERLINK("https://cdn.shopify.com/s/files/1/0918/6066/4603/files/O1CN01GDBELn2MQzdDBprhe__2219089449823-0-cib.jpg?v=1767852525","Open")</x:f>
        <x:v>HYPERLINK is not implemented. linkLocation=https://cdn.shopify.com/s/files/1/0918/6066/4603/files/O1CN01GDBELn2MQzdDBprhe__2219089449823-0-cib.jpg?v=1767852525, friendlyName=Open</x:v>
      </x:c>
      <x:c r="C1300" s="24" t="e">
        <x:f>HYPERLINK("https://365nails.com/products/luxury-blush-crystal-press-on-nails","Luxury Blush Crystal Press On Nails")</x:f>
        <x:v>HYPERLINK is not implemented. linkLocation=https://365nails.com/products/luxury-blush-crystal-press-on-nails, friendlyName=Luxury Blush Crystal Press On Nails</x:v>
      </x:c>
      <x:c r="D1300" s="18" t="str">
        <x:v>Color: N008; Color classification: XS / S / M / L</x:v>
      </x:c>
      <x:c r="E1300" s="25" t="str">
        <x:v>$6.99</x:v>
      </x:c>
      <x:c r="F1300" s="19" t="str">
        <x:v>1</x:v>
      </x:c>
    </x:row>
    <x:row r="1301" ht="93" customHeight="1">
      <x:c r="A1301" s="19" t="n">
        <x:v>1298</x:v>
      </x:c>
      <x:c r="B1301" s="22" t="e">
        <x:f>HYPERLINK("https://cdn.shopify.com/s/files/1/0918/6066/4603/files/O1CN01jHnV0K22SYgKeFHFW__2219370087119-0-cib.jpg?v=1767236675","Open")</x:f>
        <x:v>HYPERLINK is not implemented. linkLocation=https://cdn.shopify.com/s/files/1/0918/6066/4603/files/O1CN01jHnV0K22SYgKeFHFW__2219370087119-0-cib.jpg?v=1767236675, friendlyName=Open</x:v>
      </x:c>
      <x:c r="C1301" s="24" t="e">
        <x:f>HYPERLINK("https://365nails.com/products/black-butterfly-crystal-french-press-on-nails","Black Butterfly Crystal French Press On Nails")</x:f>
        <x:v>HYPERLINK is not implemented. linkLocation=https://365nails.com/products/black-butterfly-crystal-french-press-on-nails, friendlyName=Black Butterfly Crystal French Press On Nails</x:v>
      </x:c>
      <x:c r="D1301" s="18" t="str">
        <x:v>Color: L (1.7/1.3/1.4/1.3/1.1)cm / M (1.6/1.2/1.3/1.2/1.0)cm / S (1.5/1.1/1.2/1.1/0.9)cm</x:v>
      </x:c>
      <x:c r="E1301" s="25" t="str">
        <x:v>$5.49</x:v>
      </x:c>
      <x:c r="F1301" s="19" t="str">
        <x:v>30</x:v>
      </x:c>
    </x:row>
    <x:row r="1302" ht="93" customHeight="1">
      <x:c r="A1302" s="19" t="n">
        <x:v>1299</x:v>
      </x:c>
      <x:c r="B1302" s="22" t="e">
        <x:f>HYPERLINK("https://cdn.shopify.com/s/files/1/0918/6066/4603/files/O1CN01DJy9ot2MQzdmuRwa7__2219089449823-0-cib_b1ba958f-deac-4b90-bcb7-459c0c64feec.jpg?v=1767947674","Open")</x:f>
        <x:v>HYPERLINK is not implemented. linkLocation=https://cdn.shopify.com/s/files/1/0918/6066/4603/files/O1CN01DJy9ot2MQzdmuRwa7__2219089449823-0-cib_b1ba958f-deac-4b90-bcb7-459c0c64feec.jpg?v=1767947674, friendlyName=Open</x:v>
      </x:c>
      <x:c r="C1302" s="24" t="e">
        <x:f>HYPERLINK("https://365nails.com/products/blue-pearl-crystal-extra-long-press-on-nails","Blue Pearl Crystal Extra Long Press On Nails")</x:f>
        <x:v>HYPERLINK is not implemented. linkLocation=https://365nails.com/products/blue-pearl-crystal-extra-long-press-on-nails, friendlyName=Blue Pearl Crystal Extra Long Press On Nails</x:v>
      </x:c>
      <x:c r="D1302" s="18" t="str">
        <x:v>Color: M086; Color classification: S / M / L; Length: 5cm</x:v>
      </x:c>
      <x:c r="E1302" s="25" t="str">
        <x:v>$5.99</x:v>
      </x:c>
      <x:c r="F1302" s="19" t="str">
        <x:v>1</x:v>
      </x:c>
    </x:row>
    <x:row r="1303" ht="93" customHeight="1">
      <x:c r="A1303" s="19" t="n">
        <x:v>1300</x:v>
      </x:c>
      <x:c r="B1303" s="22" t="e">
        <x:f>HYPERLINK("https://cdn.shopify.com/s/files/1/0918/6066/4603/files/O1CN01MYfSjY2MQze5g87Av__2219089449823-0-cib.jpg?v=1767853095","Open")</x:f>
        <x:v>HYPERLINK is not implemented. linkLocation=https://cdn.shopify.com/s/files/1/0918/6066/4603/files/O1CN01MYfSjY2MQze5g87Av__2219089449823-0-cib.jpg?v=1767853095, friendlyName=Open</x:v>
      </x:c>
      <x:c r="C1303" s="24" t="e">
        <x:f>HYPERLINK("https://365nails.com/products/soft-floral-crystal-extra-long-press-on-nails","Soft Floral Crystal Extra Long Press On Nails")</x:f>
        <x:v>HYPERLINK is not implemented. linkLocation=https://365nails.com/products/soft-floral-crystal-extra-long-press-on-nails, friendlyName=Soft Floral Crystal Extra Long Press On Nails</x:v>
      </x:c>
      <x:c r="D1303" s="18" t="str">
        <x:v>Color: M083; Color classification: S / M / L; Length: 5cm</x:v>
      </x:c>
      <x:c r="E1303" s="25" t="str">
        <x:v>$5.99</x:v>
      </x:c>
      <x:c r="F1303" s="19" t="str">
        <x:v>1</x:v>
      </x:c>
    </x:row>
    <x:row r="1304" ht="93" customHeight="1">
      <x:c r="A1304" s="19" t="n">
        <x:v>1301</x:v>
      </x:c>
      <x:c r="B1304" s="22" t="e">
        <x:f>HYPERLINK("https://cdn.shopify.com/s/files/1/0918/6066/4603/files/O1CN01gsWvMe2MQzeyTCxoD__2219089449823-0-cib.jpg?v=1767947589","Open")</x:f>
        <x:v>HYPERLINK is not implemented. linkLocation=https://cdn.shopify.com/s/files/1/0918/6066/4603/files/O1CN01gsWvMe2MQzeyTCxoD__2219089449823-0-cib.jpg?v=1767947589, friendlyName=Open</x:v>
      </x:c>
      <x:c r="C1304" s="24" t="e">
        <x:f>HYPERLINK("https://365nails.com/products/floral-art-extra-long-press-on-nails","Floral Art Extra Long Press On Nails")</x:f>
        <x:v>HYPERLINK is not implemented. linkLocation=https://365nails.com/products/floral-art-extra-long-press-on-nails, friendlyName=Floral Art Extra Long Press On Nails</x:v>
      </x:c>
      <x:c r="D1304" s="18" t="str">
        <x:v>Color: O002; Color classification: XS / S / M / L; Length: 4cm</x:v>
      </x:c>
      <x:c r="E1304" s="25" t="str">
        <x:v>$11.49</x:v>
      </x:c>
      <x:c r="F1304" s="19" t="str">
        <x:v>1</x:v>
      </x:c>
    </x:row>
    <x:row r="1305" ht="93" customHeight="1">
      <x:c r="A1305" s="19" t="n">
        <x:v>1302</x:v>
      </x:c>
      <x:c r="B1305" s="22" t="e">
        <x:f>HYPERLINK("https://cdn.shopify.com/s/files/1/0918/6066/4603/files/O1CN012KuDUU1dxMvJC2gfv__6000000003802-0-cib.jpg?v=1767852666","Open")</x:f>
        <x:v>HYPERLINK is not implemented. linkLocation=https://cdn.shopify.com/s/files/1/0918/6066/4603/files/O1CN012KuDUU1dxMvJC2gfv__6000000003802-0-cib.jpg?v=1767852666, friendlyName=Open</x:v>
      </x:c>
      <x:c r="C1305" s="24" t="e">
        <x:f>HYPERLINK("https://365nails.com/products/nude-ab-crystal-full-rhinestone-press-on-nails","Nude AB Crystal Full Rhinestone Press On Nails")</x:f>
        <x:v>HYPERLINK is not implemented. linkLocation=https://365nails.com/products/nude-ab-crystal-full-rhinestone-press-on-nails, friendlyName=Nude AB Crystal Full Rhinestone Press On Nails</x:v>
      </x:c>
      <x:c r="D1305" s="18" t="str">
        <x:v>Color: N007; Color classification: XS / S / M / L</x:v>
      </x:c>
      <x:c r="E1305" s="25" t="str">
        <x:v>$6.99</x:v>
      </x:c>
      <x:c r="F1305" s="19" t="str">
        <x:v>1</x:v>
      </x:c>
    </x:row>
    <x:row r="1306" ht="93" customHeight="1">
      <x:c r="A1306" s="19" t="n">
        <x:v>1303</x:v>
      </x:c>
      <x:c r="B1306" s="22" t="e">
        <x:f>HYPERLINK("https://cdn.shopify.com/s/files/1/0918/6066/4603/files/O1CN01Qyz9IF1plFi7ymU85__2215838495400-0-cib_827ff172-1397-4cd3-80d7-fede645a245d.jpg?v=1767524422","Open")</x:f>
        <x:v>HYPERLINK is not implemented. linkLocation=https://cdn.shopify.com/s/files/1/0918/6066/4603/files/O1CN01Qyz9IF1plFi7ymU85__2215838495400-0-cib_827ff172-1397-4cd3-80d7-fede645a245d.jpg?v=1767524422, friendlyName=Open</x:v>
      </x:c>
      <x:c r="C1306" s="24" t="e">
        <x:f>HYPERLINK("https://365nails.com/products/minimalist-drawer-jewelry-packaging-box","Minimalist Drawer Jewelry Packaging Box (MOQ=10)")</x:f>
        <x:v>HYPERLINK is not implemented. linkLocation=https://365nails.com/products/minimalist-drawer-jewelry-packaging-box, friendlyName=Minimalist Drawer Jewelry Packaging Box (MOQ=10)</x:v>
      </x:c>
      <x:c r="D1306" s="18" t="str">
        <x:v>Specifications and models: Matcha green;10.5*11*4.5 / Elegant white;10.5*11*4.5 / Sky gray;10.5*11*4.5 / Mocha brown;10.5*11*4.5 / Carbon black;10.5*11*4.5 / Khaki yellow;10.5*11*4.5; Quantity: 10pcs</x:v>
      </x:c>
      <x:c r="E1306" s="25" t="str">
        <x:v>$9.40</x:v>
      </x:c>
      <x:c r="F1306" s="19" t="str">
        <x:v>1</x:v>
      </x:c>
    </x:row>
    <x:row r="1307" ht="93" customHeight="1">
      <x:c r="A1307" s="19" t="n">
        <x:v>1304</x:v>
      </x:c>
      <x:c r="B1307" s="22" t="e">
        <x:f>HYPERLINK("https://cdn.shopify.com/s/files/1/0918/6066/4603/files/31ac5497dbe56a6468248a73e641e0fe.jpg?v=1767505455","Open")</x:f>
        <x:v>HYPERLINK is not implemented. linkLocation=https://cdn.shopify.com/s/files/1/0918/6066/4603/files/31ac5497dbe56a6468248a73e641e0fe.jpg?v=1767505455, friendlyName=Open</x:v>
      </x:c>
      <x:c r="C1307" s="24" t="e">
        <x:f>HYPERLINK("https://365nails.com/products/custom-foam-insert-nail-display-gift-box","Custom Foam Insert Nail Display Gift Box (MOQ=10)")</x:f>
        <x:v>HYPERLINK is not implemented. linkLocation=https://365nails.com/products/custom-foam-insert-nail-display-gift-box, friendlyName=Custom Foam Insert Nail Display Gift Box (MOQ=10)</x:v>
      </x:c>
      <x:c r="D1307" s="18" t="str">
        <x:v>Specifications and models: Black; inner diameter 9.5*9.5*3.5cm / White; inner diameter 9.5*9.5*3.5cm / Pink; inner diameter 9.5*9.5*3.5cm / Green; inner diameter 9.5*9.5*3.5cm / 15*15*5 kraft paper airplane box; 15*15*5cm / 9*9*2pe black membrane box; 9*9*2cm / Card;9*9*2cm / Heaven and earth cover;xcm / Drawer box;xcm / Book-shaped box;xcm / Double opening box;xcm; Quantity: 10pcs</x:v>
      </x:c>
      <x:c r="E1307" s="25" t="str">
        <x:v>$1.20–$22.00</x:v>
      </x:c>
      <x:c r="F1307" s="19" t="str">
        <x:v>1</x:v>
      </x:c>
    </x:row>
    <x:row r="1308" ht="93" customHeight="1">
      <x:c r="A1308" s="19" t="n">
        <x:v>1305</x:v>
      </x:c>
      <x:c r="B1308" s="22" t="e">
        <x:f>HYPERLINK("https://cdn.shopify.com/s/files/1/0918/6066/4603/files/O1CN01ugufvU22SYh2gOVV7__2219370087119-0-cib.jpg?v=1767237263","Open")</x:f>
        <x:v>HYPERLINK is not implemented. linkLocation=https://cdn.shopify.com/s/files/1/0918/6066/4603/files/O1CN01ugufvU22SYh2gOVV7__2219370087119-0-cib.jpg?v=1767237263, friendlyName=Open</x:v>
      </x:c>
      <x:c r="C1308" s="24" t="e">
        <x:f>HYPERLINK("https://365nails.com/products/black-crystal-stiletto-press-on-nails","Black Crystal Stiletto Press On Nails")</x:f>
        <x:v>HYPERLINK is not implemented. linkLocation=https://365nails.com/products/black-crystal-stiletto-press-on-nails, friendlyName=Black Crystal Stiletto Press On Nails</x:v>
      </x:c>
      <x:c r="D1308" s="18" t="str">
        <x:v>Color: L (1.7/1.3/1.4/1.3/1.1)cm / M (1.6/1.2/1.3/1.2/1.0)cm / S (1.5/1.1/1.2/1.1/0.9)cm</x:v>
      </x:c>
      <x:c r="E1308" s="25" t="str">
        <x:v>$4.49</x:v>
      </x:c>
      <x:c r="F1308" s="19" t="str">
        <x:v>30</x:v>
      </x:c>
    </x:row>
    <x:row r="1309" ht="93" customHeight="1">
      <x:c r="A1309" s="19" t="n">
        <x:v>1306</x:v>
      </x:c>
      <x:c r="B1309" s="22" t="e">
        <x:f>HYPERLINK("https://cdn.shopify.com/s/files/1/0918/6066/4603/files/O1CN01pabjkG2NGHyOqiSkw__4234819935-0-cib.jpg?v=1753431866","Open")</x:f>
        <x:v>HYPERLINK is not implemented. linkLocation=https://cdn.shopify.com/s/files/1/0918/6066/4603/files/O1CN01pabjkG2NGHyOqiSkw__4234819935-0-cib.jpg?v=1753431866, friendlyName=Open</x:v>
      </x:c>
      <x:c r="C1309" s="24" t="e">
        <x:f>HYPERLINK("https://365nails.com/products/flowers-small-fresh-ins-wind-wearing-nail-short-square-nail-manicure-piece-french-purple-fake-nail-nails-365nails","Flowers small fresh ins wind  short square nail manicure piece French purple  ｜365nails")</x:f>
        <x:v>HYPERLINK is not implemented. linkLocation=https://365nails.com/products/flowers-small-fresh-ins-wind-wearing-nail-short-square-nail-manicure-piece-french-purple-fake-nail-nails-365nails, friendlyName=Flowers small fresh ins wind  short square nail manicure piece French purple  ｜365nails</x:v>
      </x:c>
      <x:c r="D1309" s="18" t="str">
        <x:v>color: JP3927</x:v>
      </x:c>
      <x:c r="E1309" s="25" t="str">
        <x:v>$0.86</x:v>
      </x:c>
      <x:c r="F1309" s="19" t="str">
        <x:v>1</x:v>
      </x:c>
    </x:row>
    <x:row r="1310" ht="93" customHeight="1">
      <x:c r="A1310" s="19" t="n">
        <x:v>1307</x:v>
      </x:c>
      <x:c r="B1310" s="22" t="e">
        <x:f>HYPERLINK("https://cdn.shopify.com/s/files/1/0918/6066/4603/files/19e72e7045d6e.png?v=1780044336","Open")</x:f>
        <x:v>HYPERLINK is not implemented. linkLocation=https://cdn.shopify.com/s/files/1/0918/6066/4603/files/19e72e7045d6e.png?v=1780044336, friendlyName=Open</x:v>
      </x:c>
      <x:c r="C1310" s="24" t="e">
        <x:f>HYPERLINK("https://365nails.com/products/luxury-foil-logo-window-press-on-nail-box","Luxury Foil Logo Window Press On Nail Box (MOQ=10)")</x:f>
        <x:v>HYPERLINK is not implemented. linkLocation=https://365nails.com/products/luxury-foil-logo-window-press-on-nail-box, friendlyName=Luxury Foil Logo Window Press On Nail Box (MOQ=10)</x:v>
      </x:c>
      <x:c r="D1310" s="18" t="str">
        <x:v>Specifications and models: Purple;8x11x2.5cm / Blue;8x11x2.5cm; Quantity: 20pcs</x:v>
      </x:c>
      <x:c r="E1310" s="25" t="str">
        <x:v>$0.50</x:v>
      </x:c>
      <x:c r="F1310" s="19" t="str">
        <x:v>10</x:v>
      </x:c>
    </x:row>
    <x:row r="1311" ht="93" customHeight="1">
      <x:c r="A1311" s="19" t="n">
        <x:v>1308</x:v>
      </x:c>
      <x:c r="B1311" s="22" t="e">
        <x:f>HYPERLINK("https://cdn.shopify.com/s/files/1/0918/6066/4603/files/O1CN01JezDQp2NGHkjWf6iY__4234819935-0-cib.jpg?v=1753432364","Open")</x:f>
        <x:v>HYPERLINK is not implemented. linkLocation=https://cdn.shopify.com/s/files/1/0918/6066/4603/files/O1CN01JezDQp2NGHkjWf6iY__4234819935-0-cib.jpg?v=1753432364, friendlyName=Open</x:v>
      </x:c>
      <x:c r="C1311" s="24" t="e">
        <x:f>HYPERLINK("https://365nails.com/products/wearable-nail-sticker-purple-gradual-change-wearable-nail-piece-finished-silver-sequined-fake-nail-removable-finished-nail-365nails","Wearable nail sticker Purple gradual change Wearable nail piece Finished silver sequined fake nail Removable finished nail｜365nails")</x:f>
        <x:v>HYPERLINK is not implemented. linkLocation=https://365nails.com/products/wearable-nail-sticker-purple-gradual-change-wearable-nail-piece-finished-silver-sequined-fake-nail-removable-finished-nail-365nails, friendlyName=Wearable nail sticker Purple gradual change Wearable nail piece Finished silver sequined fake nail Removable finished nail｜365nails</x:v>
      </x:c>
      <x:c r="D1311" s="18" t="str">
        <x:v>color: JP2353</x:v>
      </x:c>
      <x:c r="E1311" s="25" t="str">
        <x:v>$0.94</x:v>
      </x:c>
      <x:c r="F1311" s="19" t="str">
        <x:v>1</x:v>
      </x:c>
    </x:row>
    <x:row r="1312" ht="93" customHeight="1">
      <x:c r="A1312" s="19" t="n">
        <x:v>1309</x:v>
      </x:c>
      <x:c r="B1312" s="22" t="e">
        <x:f>HYPERLINK("https://cdn.shopify.com/s/files/1/0918/6066/4603/files/O1CN0141CNXi2MQzeOpERVc__2219089449823-0-cib_e5db91ee-48ed-4680-a71e-cf90171493a2.jpg?v=1767947525","Open")</x:f>
        <x:v>HYPERLINK is not implemented. linkLocation=https://cdn.shopify.com/s/files/1/0918/6066/4603/files/O1CN0141CNXi2MQzeOpERVc__2219089449823-0-cib_e5db91ee-48ed-4680-a71e-cf90171493a2.jpg?v=1767947525, friendlyName=Open</x:v>
      </x:c>
      <x:c r="C1312" s="24" t="e">
        <x:f>HYPERLINK("https://365nails.com/products/pink-glitter-butterfly-crystal-press-on-nails","Pink Glitter Butterfly Crystal Press On Nails")</x:f>
        <x:v>HYPERLINK is not implemented. linkLocation=https://365nails.com/products/pink-glitter-butterfly-crystal-press-on-nails, friendlyName=Pink Glitter Butterfly Crystal Press On Nails</x:v>
      </x:c>
      <x:c r="D1312" s="18" t="str">
        <x:v>Color: M078; Color classification: S / M / L; Length: 5cm</x:v>
      </x:c>
      <x:c r="E1312" s="25" t="str">
        <x:v>$5.99</x:v>
      </x:c>
      <x:c r="F1312" s="19" t="str">
        <x:v>1</x:v>
      </x:c>
    </x:row>
    <x:row r="1313" ht="93" customHeight="1">
      <x:c r="A1313" s="19" t="n">
        <x:v>1310</x:v>
      </x:c>
      <x:c r="B1313" s="22" t="e">
        <x:f>HYPERLINK("https://cdn.shopify.com/s/files/1/0918/6066/4603/files/O1CN01YZeAWU22SYgI6s53c__2219370087119-0-cib.jpg?v=1767095518","Open")</x:f>
        <x:v>HYPERLINK is not implemented. linkLocation=https://cdn.shopify.com/s/files/1/0918/6066/4603/files/O1CN01YZeAWU22SYgI6s53c__2219370087119-0-cib.jpg?v=1767095518, friendlyName=Open</x:v>
      </x:c>
      <x:c r="C1313" s="24" t="e">
        <x:f>HYPERLINK("https://365nails.com/products/pink-jelly-nails-with-floral-heart-and-sweet-accents","Pink Jelly Nails with Floral Heart and Sweet Accents")</x:f>
        <x:v>HYPERLINK is not implemented. linkLocation=https://365nails.com/products/pink-jelly-nails-with-floral-heart-and-sweet-accents, friendlyName=Pink Jelly Nails with Floral Heart and Sweet Accents</x:v>
      </x:c>
      <x:c r="D1313" s="18" t="str">
        <x:v>Color: L (1.7/1.3/1.4/1.3/1.1)cm / M (1.6/1.2/1.3/1.2/1.0)cm / S (1.5/1.1/1.2/1.1/0.9)cm</x:v>
      </x:c>
      <x:c r="E1313" s="25" t="str">
        <x:v>$5.49</x:v>
      </x:c>
      <x:c r="F1313" s="19" t="str">
        <x:v>30</x:v>
      </x:c>
    </x:row>
    <x:row r="1314" ht="93" customHeight="1">
      <x:c r="A1314" s="19" t="n">
        <x:v>1311</x:v>
      </x:c>
      <x:c r="B1314" s="22" t="e">
        <x:f>HYPERLINK("https://cdn.shopify.com/s/files/1/0918/6066/4603/files/O1CN01zmxOBE2NGHxjrljH4__4234819935-0-cib.jpg?v=1753432359","Open")</x:f>
        <x:v>HYPERLINK is not implemented. linkLocation=https://cdn.shopify.com/s/files/1/0918/6066/4603/files/O1CN01zmxOBE2NGHxjrljH4__4234819935-0-cib.jpg?v=1753432359, friendlyName=Open</x:v>
      </x:c>
      <x:c r="C1314" s="24" t="e">
        <x:f>HYPERLINK("https://365nails.com/products/foreign-trade-hot-selling-short-square-nail-manicure-blue-gradual-change-wearing-fake-nail-silver-irregular-stripe-wearing-nail-365nails","hot-selling short square nail manicure blue gradual change wearing  silver irregular stripe wearing nail｜365nails")</x:f>
        <x:v>HYPERLINK is not implemented. linkLocation=https://365nails.com/products/foreign-trade-hot-selling-short-square-nail-manicure-blue-gradual-change-wearing-fake-nail-silver-irregular-stripe-wearing-nail-365nails, friendlyName=hot-selling short square nail manicure blue gradual change wearing  silver irregular stripe wearing nail｜365nails</x:v>
      </x:c>
      <x:c r="D1314" s="18" t="str">
        <x:v>color: JP3819</x:v>
      </x:c>
      <x:c r="E1314" s="25" t="str">
        <x:v>$0.68</x:v>
      </x:c>
      <x:c r="F1314" s="19" t="str">
        <x:v>1</x:v>
      </x:c>
    </x:row>
    <x:row r="1315" ht="93" customHeight="1">
      <x:c r="A1315" s="19" t="n">
        <x:v>1312</x:v>
      </x:c>
      <x:c r="B1315" s="22" t="e">
        <x:f>HYPERLINK("https://cdn.shopify.com/s/files/1/0918/6066/4603/files/5bacf66e3a4a82e39cb870685374bb5e_df4a2323-90aa-446d-a877-662ff3dcda00.jpg?v=1767505469","Open")</x:f>
        <x:v>HYPERLINK is not implemented. linkLocation=https://cdn.shopify.com/s/files/1/0918/6066/4603/files/5bacf66e3a4a82e39cb870685374bb5e_df4a2323-90aa-446d-a877-662ff3dcda00.jpg?v=1767505469, friendlyName=Open</x:v>
      </x:c>
      <x:c r="C1315" s="24" t="e">
        <x:f>HYPERLINK("https://365nails.com/products/custom-metal-press-on-nail-storage-tin","Custom Metal Press On Nail Storage Tin (MOQ=10)")</x:f>
        <x:v>HYPERLINK is not implemented. linkLocation=https://365nails.com/products/custom-metal-press-on-nail-storage-tin, friendlyName=Custom Metal Press On Nail Storage Tin (MOQ=10)</x:v>
      </x:c>
      <x:c r="D1315" s="18" t="str">
        <x:v>Color: 87*60*18 silver flat cover empty box / 87*60*18 silver half-open window empty box / 87*60*18 silver full window empty box / 87*60*18 black flat cover empty box / 87*60*18 black half-open window empty box / 87*60*18 black full window empty box / 87*60*18 pink flat cover empty box / 87*60*18 red flat cover empty box / 87*60*18 red half-open window empty box / 87*60*18 red full window empty box / 101*70*20 silver flat cover empty box / 101*70*20 silver half-open window empty box / 115*85*22 silver flat cover empty box / 115*85*22 silver half-open window empty box / 115 85 22 full window empty box / 136 91 18 silver flat cover empty box / 136 91 18 black flat cover empty box / 136 91 18 silver conjoined empty box / 136 91 18 black one-piece empty box / 87 card paper (86*58mm) 10 sheets / 101 cardboard (97*64mm) 10 sheets / 115 card paper (114*80mm) (10 sheets) / Cardstock 134 85 (5 sheets); Quantity: 10pcs</x:v>
      </x:c>
      <x:c r="E1315" s="25" t="str">
        <x:v>$2.00–$6.80</x:v>
      </x:c>
      <x:c r="F1315" s="19" t="str">
        <x:v>1</x:v>
      </x:c>
    </x:row>
    <x:row r="1316" ht="93" customHeight="1">
      <x:c r="A1316" s="19" t="n">
        <x:v>1313</x:v>
      </x:c>
      <x:c r="B1316" s="22" t="e">
        <x:f>HYPERLINK("https://cdn.shopify.com/s/files/1/0918/6066/4603/files/O1CN01iaGbRj22SYgMSAnMk__2219370087119-0-cib.jpg?v=1767239561","Open")</x:f>
        <x:v>HYPERLINK is not implemented. linkLocation=https://cdn.shopify.com/s/files/1/0918/6066/4603/files/O1CN01iaGbRj22SYgMSAnMk__2219370087119-0-cib.jpg?v=1767239561, friendlyName=Open</x:v>
      </x:c>
      <x:c r="C1316" s="24" t="e">
        <x:f>HYPERLINK("https://365nails.com/products/blush-french-floral-crystal-embellished-elegant-press-on-nails","Blush French Floral Crystal Embellished Elegant Press On Nails")</x:f>
        <x:v>HYPERLINK is not implemented. linkLocation=https://365nails.com/products/blush-french-floral-crystal-embellished-elegant-press-on-nails, friendlyName=Blush French Floral Crystal Embellished Elegant Press On Nails</x:v>
      </x:c>
      <x:c r="D1316" s="18" t="str">
        <x:v>Color: L (1.7/1.3/1.4/1.3/1.1)cm / M (1.6/1.2/1.3/1.2/1.0)cm / S (1.5/1.1/1.2/1.1/0.9)cm</x:v>
      </x:c>
      <x:c r="E1316" s="25" t="str">
        <x:v>$5.49</x:v>
      </x:c>
      <x:c r="F1316" s="19" t="str">
        <x:v>30</x:v>
      </x:c>
    </x:row>
    <x:row r="1317" ht="93" customHeight="1">
      <x:c r="A1317" s="19" t="n">
        <x:v>1314</x:v>
      </x:c>
      <x:c r="B1317" s="22" t="e">
        <x:f>HYPERLINK("https://cdn.shopify.com/s/files/1/0918/6066/4603/files/O1CN01NnAoUr22SYgEFfhET__2219370087119-0-cib.jpg?v=1767235050","Open")</x:f>
        <x:v>HYPERLINK is not implemented. linkLocation=https://cdn.shopify.com/s/files/1/0918/6066/4603/files/O1CN01NnAoUr22SYgEFfhET__2219370087119-0-cib.jpg?v=1767235050, friendlyName=Open</x:v>
      </x:c>
      <x:c r="C1317" s="24" t="e">
        <x:f>HYPERLINK("https://365nails.com/products/neon-candy-star-crystal-short-press-on-nails","Neon Candy Star Crystal Short Press On Nails")</x:f>
        <x:v>HYPERLINK is not implemented. linkLocation=https://365nails.com/products/neon-candy-star-crystal-short-press-on-nails, friendlyName=Neon Candy Star Crystal Short Press On Nails</x:v>
      </x:c>
      <x:c r="D1317" s="18" t="str">
        <x:v>Color: Orange red; Color classification: L / M / S</x:v>
      </x:c>
      <x:c r="E1317" s="25" t="str">
        <x:v>$5.49</x:v>
      </x:c>
      <x:c r="F1317" s="19" t="str">
        <x:v>30</x:v>
      </x:c>
    </x:row>
    <x:row r="1318" ht="93" customHeight="1">
      <x:c r="A1318" s="19" t="n">
        <x:v>1315</x:v>
      </x:c>
      <x:c r="B1318" s="22" t="e">
        <x:f>HYPERLINK("https://cdn.shopify.com/s/files/1/0918/6066/4603/files/O1CN01WpS4O21bnAs15nj0A__2215625633509-0-cib.jpg?v=1767525844","Open")</x:f>
        <x:v>HYPERLINK is not implemented. linkLocation=https://cdn.shopify.com/s/files/1/0918/6066/4603/files/O1CN01WpS4O21bnAs15nj0A__2215625633509-0-cib.jpg?v=1767525844, friendlyName=Open</x:v>
      </x:c>
      <x:c r="C1318" s="24" t="e">
        <x:f>HYPERLINK("https://365nails.com/products/iridescent-pearl-chrome-minimal-gloss-press-on-nails","Iridescent Pearl Chrome Minimal Gloss Press On Nails")</x:f>
        <x:v>HYPERLINK is not implemented. linkLocation=https://365nails.com/products/iridescent-pearl-chrome-minimal-gloss-press-on-nails, friendlyName=Iridescent Pearl Chrome Minimal Gloss Press On Nails</x:v>
      </x:c>
      <x:c r="D1318" s="18" t="str">
        <x:v>Color: Aw 59 / Aw 440 / Cw 250 / Cw 269; Color classification: Jelly glue + rubbing strips</x:v>
      </x:c>
      <x:c r="E1318" s="25" t="str">
        <x:v>$0.59–$0.83</x:v>
      </x:c>
      <x:c r="F1318" s="19" t="str">
        <x:v>1</x:v>
      </x:c>
    </x:row>
    <x:row r="1319" ht="93" customHeight="1">
      <x:c r="A1319" s="19" t="n">
        <x:v>1316</x:v>
      </x:c>
      <x:c r="B1319" s="22" t="e">
        <x:f>HYPERLINK("https://cdn.shopify.com/s/files/1/0918/6066/4603/files/O1CN018e5Zob22SYgNVkxD9__2219370087119-0-cib.jpg?v=1767095875","Open")</x:f>
        <x:v>HYPERLINK is not implemented. linkLocation=https://cdn.shopify.com/s/files/1/0918/6066/4603/files/O1CN018e5Zob22SYgNVkxD9__2219370087119-0-cib.jpg?v=1767095875, friendlyName=Open</x:v>
      </x:c>
      <x:c r="C1319" s="24" t="e">
        <x:f>HYPERLINK("https://365nails.com/products/black-red-nails-with-star-cross-and-crystal-accents","Black Red Nails with Star Cross and Crystal Accents")</x:f>
        <x:v>HYPERLINK is not implemented. linkLocation=https://365nails.com/products/black-red-nails-with-star-cross-and-crystal-accents, friendlyName=Black Red Nails with Star Cross and Crystal Accents</x:v>
      </x:c>
      <x:c r="D1319" s="18" t="str">
        <x:v>Color: L (1.7/1.3/1.4/1.3/1.1)cm / M (1.6/1.2/1.3/1.2/1.0)cm / S (1.5/1.1/1.2/1.1/0.9)cm</x:v>
      </x:c>
      <x:c r="E1319" s="25" t="str">
        <x:v>$4.99</x:v>
      </x:c>
      <x:c r="F1319" s="19" t="str">
        <x:v>30</x:v>
      </x:c>
    </x:row>
    <x:row r="1320" ht="93" customHeight="1">
      <x:c r="A1320" s="19" t="n">
        <x:v>1317</x:v>
      </x:c>
      <x:c r="B1320" s="22" t="e">
        <x:f>HYPERLINK("https://cdn.shopify.com/s/files/1/0918/6066/4603/files/O1CN01rIwPGx22SYgE9ENyR__2219370087119-0-cib.jpg?v=1767094590","Open")</x:f>
        <x:v>HYPERLINK is not implemented. linkLocation=https://cdn.shopify.com/s/files/1/0918/6066/4603/files/O1CN01rIwPGx22SYgE9ENyR__2219370087119-0-cib.jpg?v=1767094590, friendlyName=Open</x:v>
      </x:c>
      <x:c r="C1320" s="24" t="e">
        <x:f>HYPERLINK("https://365nails.com/products/red-ab-crystal-nails-with-full-glitter-luxury-finish","Red AB Crystal Nails with Full Glitter Luxury Finish")</x:f>
        <x:v>HYPERLINK is not implemented. linkLocation=https://365nails.com/products/red-ab-crystal-nails-with-full-glitter-luxury-finish, friendlyName=Red AB Crystal Nails with Full Glitter Luxury Finish</x:v>
      </x:c>
      <x:c r="D1320" s="18" t="str">
        <x:v>Color: Big red ab color; Color classification: L (1.7/1.3/1.4/1.3/1.1)cm / M (1.6/1.2/1.3/1.2/1.0)cm / S (1.5/1.1/1.2/1.1/0.9)cm</x:v>
      </x:c>
      <x:c r="E1320" s="25" t="str">
        <x:v>$4.49</x:v>
      </x:c>
      <x:c r="F1320" s="19" t="str">
        <x:v>30</x:v>
      </x:c>
    </x:row>
    <x:row r="1321" ht="93" customHeight="1">
      <x:c r="A1321" s="19" t="n">
        <x:v>1318</x:v>
      </x:c>
      <x:c r="B1321" s="22" t="e">
        <x:f>HYPERLINK("https://cdn.shopify.com/s/files/1/0918/6066/4603/files/b6c3a3079f9c21057167b02763822610.jpg?v=1767499949","Open")</x:f>
        <x:v>HYPERLINK is not implemented. linkLocation=https://cdn.shopify.com/s/files/1/0918/6066/4603/files/b6c3a3079f9c21057167b02763822610.jpg?v=1767499949, friendlyName=Open</x:v>
      </x:c>
      <x:c r="C1321" s="24" t="e">
        <x:f>HYPERLINK("https://365nails.com/products/clear-rectangular-press-on-nail-display-case","Clear Rectangular Press On Nail Display Case")</x:f>
        <x:v>HYPERLINK is not implemented. linkLocation=https://365nails.com/products/clear-rectangular-press-on-nail-display-case, friendlyName=Clear Rectangular Press On Nail Display Case</x:v>
      </x:c>
      <x:c r="D1321" s="18" t="str">
        <x:v>Color: Rectangular transparent model / Rectangular orange pink style / Rectangular black base / Cardboard / Crystal strip red</x:v>
      </x:c>
      <x:c r="E1321" s="25" t="str">
        <x:v>$0.05–$0.29</x:v>
      </x:c>
      <x:c r="F1321" s="19" t="str">
        <x:v>1</x:v>
      </x:c>
    </x:row>
    <x:row r="1322" ht="93" customHeight="1">
      <x:c r="A1322" s="19" t="n">
        <x:v>1319</x:v>
      </x:c>
      <x:c r="B1322" s="22" t="e">
        <x:f>HYPERLINK("https://cdn.shopify.com/s/files/1/0918/6066/4603/files/2b00a419750334bbfaeccc6145a49e46.png?v=1755260553","Open")</x:f>
        <x:v>HYPERLINK is not implemented. linkLocation=https://cdn.shopify.com/s/files/1/0918/6066/4603/files/2b00a419750334bbfaeccc6145a49e46.png?v=1755260553, friendlyName=Open</x:v>
      </x:c>
      <x:c r="C1322" s="24" t="e">
        <x:f>HYPERLINK("https://365nails.com/products/nail-tips-french-press-on-nails-toenails-square-nail-pieces-60-pieces-bag-removable-and-traceless-prefabricated-patch-nail-art-foot-fake-nails","Nail Tips French press on nails toenails Square Nail Pieces 60 Pieces Bag (MOQ=3)")</x:f>
        <x:v>HYPERLINK is not implemented. linkLocation=https://365nails.com/products/nail-tips-french-press-on-nails-toenails-square-nail-pieces-60-pieces-bag-removable-and-traceless-prefabricated-patch-nail-art-foot-fake-nails, friendlyName=Nail Tips French press on nails toenails Square Nail Pieces 60 Pieces Bag (MOQ=3)</x:v>
      </x:c>
      <x:c r="D1322" s="18" t="str">
        <x:v>Color: Hand + foot, white French * 60 piece bag / Hands + Feet, Black French * 60 piece bag / Hand + foot, blue French * 60 piece bag / Hands + Feet, Pink French * 60 piece bag; quantity: 3pcs</x:v>
      </x:c>
      <x:c r="E1322" s="25" t="str">
        <x:v>$5.00</x:v>
      </x:c>
      <x:c r="F1322" s="19" t="str">
        <x:v>1</x:v>
      </x:c>
    </x:row>
    <x:row r="1323" ht="93" customHeight="1">
      <x:c r="A1323" s="19" t="n">
        <x:v>1320</x:v>
      </x:c>
      <x:c r="B1323" s="22" t="e">
        <x:f>HYPERLINK("https://cdn.shopify.com/s/files/1/0918/6066/4603/files/18f41ac531c10ed7615e7126733184a8.jpg?v=1767499195","Open")</x:f>
        <x:v>HYPERLINK is not implemented. linkLocation=https://cdn.shopify.com/s/files/1/0918/6066/4603/files/18f41ac531c10ed7615e7126733184a8.jpg?v=1767499195, friendlyName=Open</x:v>
      </x:c>
      <x:c r="C1323" s="24" t="e">
        <x:f>HYPERLINK("https://365nails.com/products/metal-press-on-nail-storage-display-tin","Metal Press On Nail Storage Display Tin")</x:f>
        <x:v>HYPERLINK is not implemented. linkLocation=https://365nails.com/products/metal-press-on-nail-storage-display-tin, friendlyName=Metal Press On Nail Storage Display Tin</x:v>
      </x:c>
      <x:c r="D1323" s="18" t="str">
        <x:v>Color classification: Iron box powder / Tin box, creamy yellow / Iron box matching cardboard</x:v>
      </x:c>
      <x:c r="E1323" s="25" t="str">
        <x:v>$0.08–$0.35</x:v>
      </x:c>
      <x:c r="F1323" s="19" t="str">
        <x:v>1</x:v>
      </x:c>
    </x:row>
    <x:row r="1324" ht="93" customHeight="1">
      <x:c r="A1324" s="19" t="n">
        <x:v>1321</x:v>
      </x:c>
      <x:c r="B1324" s="22" t="e">
        <x:f>HYPERLINK("https://cdn.shopify.com/s/files/1/0918/6066/4603/files/90f5faf449401117ae428b8c1b07e15d.png?v=1755259378","Open")</x:f>
        <x:v>HYPERLINK is not implemented. linkLocation=https://cdn.shopify.com/s/files/1/0918/6066/4603/files/90f5faf449401117ae428b8c1b07e15d.png?v=1755259378, friendlyName=Open</x:v>
      </x:c>
      <x:c r="C1324" s="24" t="e">
        <x:f>HYPERLINK("https://365nails.com/products/nail-tips-press-on-toenails-advanced-cat-eye-flash-120-pieces-removable-prefabricated-nail-art-patch-patch-fake-nail","Nail Tips Press-on toenails Advanced Cat Eye Flash 120 pieces Removable Prefabricated Nail Art Patch Patch Fake Nail (MOQ=3)")</x:f>
        <x:v>HYPERLINK is not implemented. linkLocation=https://365nails.com/products/nail-tips-press-on-toenails-advanced-cat-eye-flash-120-pieces-removable-prefabricated-nail-art-patch-patch-fake-nail, friendlyName=Nail Tips Press-on toenails Advanced Cat Eye Flash 120 pieces Removable Prefabricated Nail Art Patch Patch Fake Nail (MOQ=3)</x:v>
      </x:c>
      <x:c r="D1324" s="18" t="str">
        <x:v>Color: 406-01-Mixed Cat's Eye Toenails * 120 pieces / 406-02-Mixed Cat's Eye Toenails * 120 pieces; Quantity: 3pcs</x:v>
      </x:c>
      <x:c r="E1324" s="25" t="str">
        <x:v>$6.24</x:v>
      </x:c>
      <x:c r="F1324" s="19" t="str">
        <x:v>1</x:v>
      </x:c>
    </x:row>
    <x:row r="1325" ht="93" customHeight="1">
      <x:c r="A1325" s="19" t="n">
        <x:v>1322</x:v>
      </x:c>
      <x:c r="B1325" s="22" t="e">
        <x:f>HYPERLINK("https://cdn.shopify.com/s/files/1/0918/6066/4603/files/O1CN01JXXMJw2NGHt0vCL8G__4234819935-0-cib.jpg?v=1753431838","Open")</x:f>
        <x:v>HYPERLINK is not implemented. linkLocation=https://cdn.shopify.com/s/files/1/0918/6066/4603/files/O1CN01JXXMJw2NGHt0vCL8G__4234819935-0-cib.jpg?v=1753431838, friendlyName=Open</x:v>
      </x:c>
      <x:c r="C1325" s="24" t="e">
        <x:f>HYPERLINK("https://365nails.com/products/summer-new-products-wear-nail-lotus-smudge-nail-art-short-almond-fake-nails-fake-nails-finished-product-365nails","Summer new products wear nail lotus smudge nail art short almond fake nails fake nails finished product｜365nails")</x:f>
        <x:v>HYPERLINK is not implemented. linkLocation=https://365nails.com/products/summer-new-products-wear-nail-lotus-smudge-nail-art-short-almond-fake-nails-fake-nails-finished-product-365nails, friendlyName=Summer new products wear nail lotus smudge nail art short almond fake nails fake nails finished product｜365nails</x:v>
      </x:c>
      <x:c r="D1325" s="18" t="str">
        <x:v>Color: JP3397</x:v>
      </x:c>
      <x:c r="E1325" s="25" t="str">
        <x:v>$1.20</x:v>
      </x:c>
      <x:c r="F1325" s="19" t="str">
        <x:v>1</x:v>
      </x:c>
    </x:row>
    <x:row r="1326" ht="93" customHeight="1">
      <x:c r="A1326" s="19" t="n">
        <x:v>1323</x:v>
      </x:c>
      <x:c r="B1326" s="22" t="e">
        <x:f>HYPERLINK("https://cdn.shopify.com/s/files/1/0918/6066/4603/files/d56f06903ab4f0782e7a67738287c9aa.jpg?v=1767505481","Open")</x:f>
        <x:v>HYPERLINK is not implemented. linkLocation=https://cdn.shopify.com/s/files/1/0918/6066/4603/files/d56f06903ab4f0782e7a67738287c9aa.jpg?v=1767505481, friendlyName=Open</x:v>
      </x:c>
      <x:c r="C1326" s="24" t="e">
        <x:f>HYPERLINK("https://365nails.com/products/magnetic-press-on-nail-storage-gift-box","Magnetic Press On Nail Storage Gift Box (MOQ=5)")</x:f>
        <x:v>HYPERLINK is not implemented. linkLocation=https://365nails.com/products/magnetic-press-on-nail-storage-gift-box, friendlyName=Magnetic Press On Nail Storage Gift Box (MOQ=5)</x:v>
      </x:c>
      <x:c r="D1326" s="18" t="str">
        <x:v>Color: Black, no nail tips included. internal dimensions: 11*5*1.5cm / Light blue, no nail tips included. internal dimensions: 11*5*1.5cm / Dark blue, no nail polish, inner size 11*5*1.5cm / Rose red without nails, inner size 11*5*1.5cm / Purple, no nail tips included. internal dimensions: 11*5*1.5cm / Red film adhesive thickness 0.5mm wide 10mm long 30.1m roll / Special pink inner size 11*5*1.5cm / Light purple inner size 12.1*5.7*1.5cm / Black size 12.1*5.7*1.5cm / Special pink size 12.1*5.7*1.5cm / Tiffany blue size 12.1*5.7*1.5cm / Rose pink size 12.1*5.7*1.5cm; Quantity: 5pcs</x:v>
      </x:c>
      <x:c r="E1326" s="25" t="str">
        <x:v>$3.30–$8.80</x:v>
      </x:c>
      <x:c r="F1326" s="19" t="str">
        <x:v>1</x:v>
      </x:c>
    </x:row>
    <x:row r="1327" ht="93" customHeight="1">
      <x:c r="A1327" s="19" t="n">
        <x:v>1324</x:v>
      </x:c>
      <x:c r="B1327" s="22" t="e">
        <x:f>HYPERLINK("https://cdn.shopify.com/s/files/1/0918/6066/4603/files/e57d2373fc647c8cfa2ce4c9225ac961.jpg?v=1767500141","Open")</x:f>
        <x:v>HYPERLINK is not implemented. linkLocation=https://cdn.shopify.com/s/files/1/0918/6066/4603/files/e57d2373fc647c8cfa2ce4c9225ac961.jpg?v=1767500141, friendlyName=Open</x:v>
      </x:c>
      <x:c r="C1327" s="24" t="e">
        <x:f>HYPERLINK("https://365nails.com/products/double-layer-press-on-nail-storage-display-box","Double Layer Press On Nail Storage Display Box")</x:f>
        <x:v>HYPERLINK is not implemented. linkLocation=https://365nails.com/products/double-layer-press-on-nail-storage-display-box, friendlyName=Double Layer Press On Nail Storage Display Box</x:v>
      </x:c>
      <x:c r="D1327" s="18" t="str">
        <x:v>Color: 8.5*8.5 double layer black bottom box / 8.5*8.5 double layer white background box</x:v>
      </x:c>
      <x:c r="E1327" s="25" t="str">
        <x:v>$0.32</x:v>
      </x:c>
      <x:c r="F1327" s="19" t="str">
        <x:v>1</x:v>
      </x:c>
    </x:row>
    <x:row r="1328" ht="93" customHeight="1">
      <x:c r="A1328" s="19" t="n">
        <x:v>1325</x:v>
      </x:c>
      <x:c r="B1328" s="22" t="e">
        <x:f>HYPERLINK("https://cdn.shopify.com/s/files/1/0918/6066/4603/files/O1CN01gSQMIp22SYg9q7EFt__2219370087119-0-cib.jpg?v=1767185040","Open")</x:f>
        <x:v>HYPERLINK is not implemented. linkLocation=https://cdn.shopify.com/s/files/1/0918/6066/4603/files/O1CN01gSQMIp22SYg9q7EFt__2219370087119-0-cib.jpg?v=1767185040, friendlyName=Open</x:v>
      </x:c>
      <x:c r="C1328" s="24" t="e">
        <x:f>HYPERLINK("https://365nails.com/products/orange-gradient-butterfly-crystal-stiletto-press-on-nails","Orange Gradient Butterfly Crystal Stiletto Press On Nails")</x:f>
        <x:v>HYPERLINK is not implemented. linkLocation=https://365nails.com/products/orange-gradient-butterfly-crystal-stiletto-press-on-nails, friendlyName=Orange Gradient Butterfly Crystal Stiletto Press On Nails</x:v>
      </x:c>
      <x:c r="D1328" s="18" t="str">
        <x:v>Color: L (1.7/1.3/1.4/1.3/1.1)cm / M (1.6/1.2/1.3/1.2/1.0)cm / S (1.5/1.1/1.2/1.1/0.9)cm</x:v>
      </x:c>
      <x:c r="E1328" s="25" t="str">
        <x:v>$5.99</x:v>
      </x:c>
      <x:c r="F1328" s="19" t="str">
        <x:v>30</x:v>
      </x:c>
    </x:row>
    <x:row r="1329" ht="93" customHeight="1">
      <x:c r="A1329" s="19" t="n">
        <x:v>1326</x:v>
      </x:c>
      <x:c r="B1329" s="22" t="e">
        <x:f>HYPERLINK("https://cdn.shopify.com/s/files/1/0918/6066/4603/files/O1CN01Y1OA5v22SYgCjWzwV__2219370087119-0-cib.jpg?v=1767095339","Open")</x:f>
        <x:v>HYPERLINK is not implemented. linkLocation=https://cdn.shopify.com/s/files/1/0918/6066/4603/files/O1CN01Y1OA5v22SYgCjWzwV__2219370087119-0-cib.jpg?v=1767095339, friendlyName=Open</x:v>
      </x:c>
      <x:c r="C1329" s="24" t="e">
        <x:f>HYPERLINK("https://365nails.com/products/pink-black-french-nails-with-cherry-crystal-accents","Pink Black French Nails with Cherry Crystal Accents")</x:f>
        <x:v>HYPERLINK is not implemented. linkLocation=https://365nails.com/products/pink-black-french-nails-with-cherry-crystal-accents, friendlyName=Pink Black French Nails with Cherry Crystal Accents</x:v>
      </x:c>
      <x:c r="D1329" s="18" t="str">
        <x:v>Color: L (1.7/1.3/1.4/1.3/1.1)cm / M (1.6/1.2/1.3/1.2/1.0)cm / S (1.5/1.1/1.2/1.1/0.9)cm</x:v>
      </x:c>
      <x:c r="E1329" s="25" t="str">
        <x:v>$4.99</x:v>
      </x:c>
      <x:c r="F1329" s="19" t="str">
        <x:v>30</x:v>
      </x:c>
    </x:row>
    <x:row r="1330" ht="93" customHeight="1">
      <x:c r="A1330" s="19" t="n">
        <x:v>1327</x:v>
      </x:c>
      <x:c r="B1330" s="22" t="e">
        <x:f>HYPERLINK("https://cdn.shopify.com/s/files/1/0918/6066/4603/files/O1CN01p3prpR22SYgEAVFqn__2219370087119-0-cib.jpg?v=1767094530","Open")</x:f>
        <x:v>HYPERLINK is not implemented. linkLocation=https://cdn.shopify.com/s/files/1/0918/6066/4603/files/O1CN01p3prpR22SYgEAVFqn__2219370087119-0-cib.jpg?v=1767094530, friendlyName=Open</x:v>
      </x:c>
      <x:c r="C1330" s="24" t="e">
        <x:f>HYPERLINK("https://365nails.com/products/golden-glitter-long-nails-with-crystal-studded-glam-finish","Golden Glitter Long Nails with Crystal Studded Glam Finish")</x:f>
        <x:v>HYPERLINK is not implemented. linkLocation=https://365nails.com/products/golden-glitter-long-nails-with-crystal-studded-glam-finish, friendlyName=Golden Glitter Long Nails with Crystal Studded Glam Finish</x:v>
      </x:c>
      <x:c r="D1330" s="18" t="str">
        <x:v>Color: Golden; Color classification: L (1.7/1.3/1.4/1.3/1.1)cm / M (1.6/1.2/1.3/1.2/1.0)cm / S (1.5/1.1/1.2/1.1/0.9)cm</x:v>
      </x:c>
      <x:c r="E1330" s="25" t="str">
        <x:v>$4.99</x:v>
      </x:c>
      <x:c r="F1330" s="19" t="str">
        <x:v>30</x:v>
      </x:c>
    </x:row>
    <x:row r="1331" ht="93" customHeight="1">
      <x:c r="A1331" s="19" t="n">
        <x:v>1328</x:v>
      </x:c>
      <x:c r="B1331" s="22" t="e">
        <x:f>HYPERLINK("https://cdn.shopify.com/s/files/1/0918/6066/4603/files/O1CN01KaGZOY22SYd67ipMH__2219370087119-0-cib.jpg?v=1767183593","Open")</x:f>
        <x:v>HYPERLINK is not implemented. linkLocation=https://cdn.shopify.com/s/files/1/0918/6066/4603/files/O1CN01KaGZOY22SYd67ipMH__2219370087119-0-cib.jpg?v=1767183593, friendlyName=Open</x:v>
      </x:c>
      <x:c r="C1331" s="24" t="e">
        <x:f>HYPERLINK("https://365nails.com/products/neon-pink-crystal-accent-extra-long-press-on-nails","Neon Pink Crystal Accent Extra Long Press-On Nails")</x:f>
        <x:v>HYPERLINK is not implemented. linkLocation=https://365nails.com/products/neon-pink-crystal-accent-extra-long-press-on-nails, friendlyName=Neon Pink Crystal Accent Extra Long Press-On Nails</x:v>
      </x:c>
      <x:c r="D1331" s="18" t="str">
        <x:v>Color: Fluorescent rose red; Color classification: L (1.7/1.3/1.4/1.3/1.1)cm / M (1.6/1.2/1.3/1.2/1.0)cm / S (1.5/1.1/1.2/1.1/0.9)cm / Xs (1.4/1.0/1.1/1.0/0.8)cm</x:v>
      </x:c>
      <x:c r="E1331" s="25" t="str">
        <x:v>$4.99</x:v>
      </x:c>
      <x:c r="F1331" s="19" t="str">
        <x:v>30</x:v>
      </x:c>
    </x:row>
    <x:row r="1332" ht="93" customHeight="1">
      <x:c r="A1332" s="19" t="n">
        <x:v>1329</x:v>
      </x:c>
      <x:c r="B1332" s="22" t="e">
        <x:f>HYPERLINK("https://cdn.shopify.com/s/files/1/0918/6066/4603/files/O1CN01xPctgf22SYgCgu3ia__2219370087119-0-cib.jpg?v=1767094221","Open")</x:f>
        <x:v>HYPERLINK is not implemented. linkLocation=https://cdn.shopify.com/s/files/1/0918/6066/4603/files/O1CN01xPctgf22SYgCgu3ia__2219370087119-0-cib.jpg?v=1767094221, friendlyName=Open</x:v>
      </x:c>
      <x:c r="C1332" s="24" t="e">
        <x:f>HYPERLINK("https://365nails.com/products/red-ab-crystal-glam-nails-with-bold-jewel-shine","Red AB Crystal Glam Nails with Bold Jewel Shine")</x:f>
        <x:v>HYPERLINK is not implemented. linkLocation=https://365nails.com/products/red-ab-crystal-glam-nails-with-bold-jewel-shine, friendlyName=Red AB Crystal Glam Nails with Bold Jewel Shine</x:v>
      </x:c>
      <x:c r="D1332" s="18" t="str">
        <x:v>Color: Big red ab; Color classification: L (2.0/1.2/1.1/1.0/0.9)cm / M (1.8/1.1/1.0/0.9/0.8)cm / S (1.7/1.0/0.9/0.8/0.7)cm</x:v>
      </x:c>
      <x:c r="E1332" s="25" t="str">
        <x:v>$3.99</x:v>
      </x:c>
      <x:c r="F1332" s="19" t="str">
        <x:v>30</x:v>
      </x:c>
    </x:row>
    <x:row r="1333" ht="93" customHeight="1">
      <x:c r="A1333" s="19" t="n">
        <x:v>1330</x:v>
      </x:c>
      <x:c r="B1333" s="22" t="e">
        <x:f>HYPERLINK("https://cdn.shopify.com/s/files/1/0918/6066/4603/files/O1CN01otYEJQ2NGHv81rxyj__4234819935-0-cib.jpg?v=1753432404","Open")</x:f>
        <x:v>HYPERLINK is not implemented. linkLocation=https://cdn.shopify.com/s/files/1/0918/6066/4603/files/O1CN01otYEJQ2NGHv81rxyj__4234819935-0-cib.jpg?v=1753432404, friendlyName=Open</x:v>
      </x:c>
      <x:c r="C1333" s="24" t="e">
        <x:f>HYPERLINK("https://365nails.com/products/small-fresh-3d-fruit-orange-manicure-fake-nail-orange-gradual-change-wearing-nail-europe-and-the-united-states-hot-selling-wearable-nail-365nails","Small fresh 3D fruit orange manicure  orange gradual change  hot-selling ｜365nails")</x:f>
        <x:v>HYPERLINK is not implemented. linkLocation=https://365nails.com/products/small-fresh-3d-fruit-orange-manicure-fake-nail-orange-gradual-change-wearing-nail-europe-and-the-united-states-hot-selling-wearable-nail-365nails, friendlyName=Small fresh 3D fruit orange manicure  orange gradual change  hot-selling ｜365nails</x:v>
      </x:c>
      <x:c r="D1333" s="18" t="str">
        <x:v>color: JP3560</x:v>
      </x:c>
      <x:c r="E1333" s="25" t="str">
        <x:v>$1.28</x:v>
      </x:c>
      <x:c r="F1333" s="19" t="str">
        <x:v>1</x:v>
      </x:c>
    </x:row>
    <x:row r="1334" ht="93" customHeight="1">
      <x:c r="A1334" s="19" t="n">
        <x:v>1331</x:v>
      </x:c>
      <x:c r="B1334" s="22" t="e">
        <x:f>HYPERLINK("https://cdn.shopify.com/s/files/1/0918/6066/4603/files/O1CN01TLt8wL22SYgLioVUY__2219370087119-0-cib.jpg?v=1767096201","Open")</x:f>
        <x:v>HYPERLINK is not implemented. linkLocation=https://cdn.shopify.com/s/files/1/0918/6066/4603/files/O1CN01TLt8wL22SYgLioVUY__2219370087119-0-cib.jpg?v=1767096201, friendlyName=Open</x:v>
      </x:c>
      <x:c r="C1334" s="24" t="e">
        <x:f>HYPERLINK("https://365nails.com/products/pink-nude-nails-with-ab-crystal-glam-tips","Pink Nude Nails with AB Crystal Glam Tips")</x:f>
        <x:v>HYPERLINK is not implemented. linkLocation=https://365nails.com/products/pink-nude-nails-with-ab-crystal-glam-tips, friendlyName=Pink Nude Nails with AB Crystal Glam Tips</x:v>
      </x:c>
      <x:c r="D1334" s="18" t="str">
        <x:v>Color: L (1.7/1.3/1.4/1.3/1.1)cm / M (1.6/1.2/1.3/1.2/1.0)cm / S (1.5/1.1/1.2/1.1/0.9)cm</x:v>
      </x:c>
      <x:c r="E1334" s="25" t="str">
        <x:v>$4.99</x:v>
      </x:c>
      <x:c r="F1334" s="19" t="str">
        <x:v>30</x:v>
      </x:c>
    </x:row>
    <x:row r="1335" ht="93" customHeight="1">
      <x:c r="A1335" s="19" t="n">
        <x:v>1332</x:v>
      </x:c>
      <x:c r="B1335" s="22" t="e">
        <x:f>HYPERLINK("https://cdn.shopify.com/s/files/1/0918/6066/4603/files/O1CN01rmYezf22SYgEBB50E__2219370087119-0-cib.jpg?v=1767094886","Open")</x:f>
        <x:v>HYPERLINK is not implemented. linkLocation=https://cdn.shopify.com/s/files/1/0918/6066/4603/files/O1CN01rmYezf22SYgEBB50E__2219370087119-0-cib.jpg?v=1767094886, friendlyName=Open</x:v>
      </x:c>
      <x:c r="C1335" s="24" t="e">
        <x:f>HYPERLINK("https://365nails.com/products/ab-crystal-nails-with-full-iridescent-sparkle-finish","AB Crystal Nails with Full Iridescent Sparkle Finish")</x:f>
        <x:v>HYPERLINK is not implemented. linkLocation=https://365nails.com/products/ab-crystal-nails-with-full-iridescent-sparkle-finish, friendlyName=AB Crystal Nails with Full Iridescent Sparkle Finish</x:v>
      </x:c>
      <x:c r="D1335" s="18" t="str">
        <x:v>Color: Ab color; Color classification: L (1.7/1.3/1.4/1.3/1.1)cm / M (1.6/1.2/1.3/1.2/1.0)cm / S (1.5/1.1/1.2/1.1/0.9)cm</x:v>
      </x:c>
      <x:c r="E1335" s="25" t="str">
        <x:v>$4.49</x:v>
      </x:c>
      <x:c r="F1335" s="19" t="str">
        <x:v>30</x:v>
      </x:c>
    </x:row>
    <x:row r="1336" ht="93" customHeight="1">
      <x:c r="A1336" s="19" t="n">
        <x:v>1333</x:v>
      </x:c>
      <x:c r="B1336" s="22" t="e">
        <x:f>HYPERLINK("https://cdn.shopify.com/s/files/1/0918/6066/4603/files/71734ca620384778dda6c1e78b59bd36.jpg?v=1767499733","Open")</x:f>
        <x:v>HYPERLINK is not implemented. linkLocation=https://cdn.shopify.com/s/files/1/0918/6066/4603/files/71734ca620384778dda6c1e78b59bd36.jpg?v=1767499733, friendlyName=Open</x:v>
      </x:c>
      <x:c r="C1336" s="24" t="e">
        <x:f>HYPERLINK("https://365nails.com/products/clear-nail-art-display-album-organizer","Clear Nail Art Display Album Organizer")</x:f>
        <x:v>HYPERLINK is not implemented. linkLocation=https://365nails.com/products/clear-nail-art-display-album-organizer, friendlyName=Clear Nail Art Display Album Organizer</x:v>
      </x:c>
      <x:c r="D1336" s="18" t="str">
        <x:v>Color: Nail art storage book with 4 pages loose-leaf large size (25.5x35cm)） / Medium-sized nail art storage binder with 4 loose-leaf pages (17.5x23.5cm))</x:v>
      </x:c>
      <x:c r="E1336" s="25" t="str">
        <x:v>$2.00–$4.00</x:v>
      </x:c>
      <x:c r="F1336" s="19" t="str">
        <x:v>1</x:v>
      </x:c>
    </x:row>
    <x:row r="1337" ht="93" customHeight="1">
      <x:c r="A1337" s="19" t="n">
        <x:v>1334</x:v>
      </x:c>
      <x:c r="B1337" s="22" t="e">
        <x:f>HYPERLINK("https://cdn.shopify.com/s/files/1/0918/6066/4603/files/97f1d6c25dd63e37719e8832dc234af0.jpg?v=1767499011","Open")</x:f>
        <x:v>HYPERLINK is not implemented. linkLocation=https://cdn.shopify.com/s/files/1/0918/6066/4603/files/97f1d6c25dd63e37719e8832dc234af0.jpg?v=1767499011, friendlyName=Open</x:v>
      </x:c>
      <x:c r="C1337" s="24" t="e">
        <x:f>HYPERLINK("https://365nails.com/products/clear-square-press-on-nail-storage-display-box","Clear Square Press On Nail Storage Display Box")</x:f>
        <x:v>HYPERLINK is not implemented. linkLocation=https://365nails.com/products/clear-square-press-on-nail-storage-display-box, friendlyName=Clear Square Press On Nail Storage Display Box</x:v>
      </x:c>
      <x:c r="D1337" s="18" t="str">
        <x:v>Color: Transparent / Orange / Yellow / Blue / Purple / Pink / Press-on nail card k style 84mm*79mm (fits 9x9cm boxes) / Black bottom / White background</x:v>
      </x:c>
      <x:c r="E1337" s="25" t="str">
        <x:v>$0.05–$0.25</x:v>
      </x:c>
      <x:c r="F1337" s="19" t="str">
        <x:v>1</x:v>
      </x:c>
    </x:row>
    <x:row r="1338" ht="93" customHeight="1">
      <x:c r="A1338" s="19" t="n">
        <x:v>1335</x:v>
      </x:c>
      <x:c r="B1338" s="22" t="e">
        <x:f>HYPERLINK("https://cdn.shopify.com/s/files/1/0918/6066/4603/files/O1CN019jz16j22SYgL2EuVS__2219370087119-0-cib.jpg?v=1767236360","Open")</x:f>
        <x:v>HYPERLINK is not implemented. linkLocation=https://cdn.shopify.com/s/files/1/0918/6066/4603/files/O1CN019jz16j22SYgL2EuVS__2219370087119-0-cib.jpg?v=1767236360, friendlyName=Open</x:v>
      </x:c>
      <x:c r="C1338" s="24" t="e">
        <x:f>HYPERLINK("https://365nails.com/products/gold-marble-cross-floral-stiletto-press-on-nails","Gold Marble Cross Floral Stiletto Press On Nails")</x:f>
        <x:v>HYPERLINK is not implemented. linkLocation=https://365nails.com/products/gold-marble-cross-floral-stiletto-press-on-nails, friendlyName=Gold Marble Cross Floral Stiletto Press On Nails</x:v>
      </x:c>
      <x:c r="D1338" s="18" t="str">
        <x:v>Color: L (1.7/1.3/1.4/1.3/1.1)cm / M (1.6/1.2/1.3/1.2/1.0)cm / S (1.5/1.1/1.2/1.1/0.9)cm</x:v>
      </x:c>
      <x:c r="E1338" s="25" t="str">
        <x:v>$5.49</x:v>
      </x:c>
      <x:c r="F1338" s="19" t="str">
        <x:v>30</x:v>
      </x:c>
    </x:row>
    <x:row r="1339" ht="93" customHeight="1">
      <x:c r="A1339" s="19" t="n">
        <x:v>1336</x:v>
      </x:c>
      <x:c r="B1339" s="22" t="e">
        <x:f>HYPERLINK("https://cdn.shopify.com/s/files/1/0918/6066/4603/files/O1CN01CY6Mcy22SYgJArjWV__2219370087119-0-cib.jpg?v=1767096915","Open")</x:f>
        <x:v>HYPERLINK is not implemented. linkLocation=https://cdn.shopify.com/s/files/1/0918/6066/4603/files/O1CN01CY6Mcy22SYgJArjWV__2219370087119-0-cib.jpg?v=1767096915, friendlyName=Open</x:v>
      </x:c>
      <x:c r="C1339" s="24" t="e">
        <x:f>HYPERLINK("https://365nails.com/products/pink-chrome-y2k-star-press-on-nails-set","Pink Chrome Y2K Star Press On Nails Set")</x:f>
        <x:v>HYPERLINK is not implemented. linkLocation=https://365nails.com/products/pink-chrome-y2k-star-press-on-nails-set, friendlyName=Pink Chrome Y2K Star Press On Nails Set</x:v>
      </x:c>
      <x:c r="D1339" s="18" t="str">
        <x:v>Color: L (1.7/1.3/1.4/1.3/1.1)cm / M (1.6/1.2/1.3/1.2/1.0)cm / S (1.5/1.1/1.2/1.1/0.9)cm</x:v>
      </x:c>
      <x:c r="E1339" s="25" t="str">
        <x:v>$5.49</x:v>
      </x:c>
      <x:c r="F1339" s="19" t="str">
        <x:v>30</x:v>
      </x:c>
    </x:row>
    <x:row r="1340" ht="93" customHeight="1">
      <x:c r="A1340" s="19" t="n">
        <x:v>1337</x:v>
      </x:c>
      <x:c r="B1340" s="22" t="e">
        <x:f>HYPERLINK("https://cdn.shopify.com/s/files/1/0918/6066/4603/files/O1CN01UfTKok22SYgDHwwzM__2219370087119-0-cib.jpg?v=1767095806","Open")</x:f>
        <x:v>HYPERLINK is not implemented. linkLocation=https://cdn.shopify.com/s/files/1/0918/6066/4603/files/O1CN01UfTKok22SYgDHwwzM__2219370087119-0-cib.jpg?v=1767095806, friendlyName=Open</x:v>
      </x:c>
      <x:c r="C1340" s="24" t="e">
        <x:f>HYPERLINK("https://365nails.com/products/red-polka-dot-nails-with-ladybug-and-cherry-details","Red Polka Dot Nails with Ladybug and Cherry Details")</x:f>
        <x:v>HYPERLINK is not implemented. linkLocation=https://365nails.com/products/red-polka-dot-nails-with-ladybug-and-cherry-details, friendlyName=Red Polka Dot Nails with Ladybug and Cherry Details</x:v>
      </x:c>
      <x:c r="D1340" s="18" t="str">
        <x:v>Color: L / M / S</x:v>
      </x:c>
      <x:c r="E1340" s="25" t="str">
        <x:v>$4.99</x:v>
      </x:c>
      <x:c r="F1340" s="19" t="str">
        <x:v>30</x:v>
      </x:c>
    </x:row>
    <x:row r="1341" ht="93" customHeight="1">
      <x:c r="A1341" s="19" t="n">
        <x:v>1338</x:v>
      </x:c>
      <x:c r="B1341" s="22" t="e">
        <x:f>HYPERLINK("https://cdn.shopify.com/s/files/1/0918/6066/4603/files/O1CN01gLH2r522SYgEPRY8A__2219370087119-0-cib.jpg?v=1767237648","Open")</x:f>
        <x:v>HYPERLINK is not implemented. linkLocation=https://cdn.shopify.com/s/files/1/0918/6066/4603/files/O1CN01gLH2r522SYgEPRY8A__2219370087119-0-cib.jpg?v=1767237648, friendlyName=Open</x:v>
      </x:c>
      <x:c r="C1341" s="24" t="e">
        <x:f>HYPERLINK("https://365nails.com/products/brown-leopard-floral-duckbill-press-on-nails","Brown Leopard Floral Duckbill Press On Nails")</x:f>
        <x:v>HYPERLINK is not implemented. linkLocation=https://365nails.com/products/brown-leopard-floral-duckbill-press-on-nails, friendlyName=Brown Leopard Floral Duckbill Press On Nails</x:v>
      </x:c>
      <x:c r="D1341" s="18" t="str">
        <x:v>Color: L (1.7/1.3/1.4/1.3/1.1)cm / M (1.6/1.2/1.3/1.2/1.0)cm / S (1.5/1.1/1.2/1.1/0.9)cm</x:v>
      </x:c>
      <x:c r="E1341" s="25" t="str">
        <x:v>$4.99</x:v>
      </x:c>
      <x:c r="F1341" s="19" t="str">
        <x:v>30</x:v>
      </x:c>
    </x:row>
    <x:row r="1342" ht="93" customHeight="1">
      <x:c r="A1342" s="19" t="n">
        <x:v>1339</x:v>
      </x:c>
      <x:c r="B1342" s="22" t="e">
        <x:f>HYPERLINK("https://cdn.shopify.com/s/files/1/0918/6066/4603/files/O1CN01huWeLE22SYgOj0Hyc__2219370087119-0-cib.jpg?v=1767097531","Open")</x:f>
        <x:v>HYPERLINK is not implemented. linkLocation=https://cdn.shopify.com/s/files/1/0918/6066/4603/files/O1CN01huWeLE22SYgOj0Hyc__2219370087119-0-cib.jpg?v=1767097531, friendlyName=Open</x:v>
      </x:c>
      <x:c r="C1342" s="24" t="e">
        <x:f>HYPERLINK("https://365nails.com/products/red-gradient-floral-cross-statement-press-on-nails","Red Gradient Floral Cross Statement Press On Nails")</x:f>
        <x:v>HYPERLINK is not implemented. linkLocation=https://365nails.com/products/red-gradient-floral-cross-statement-press-on-nails, friendlyName=Red Gradient Floral Cross Statement Press On Nails</x:v>
      </x:c>
      <x:c r="D1342" s="18" t="str">
        <x:v>Color: L (1.7/1.3/1.4/1.3/1.1)cm / M (1.6/1.2/1.3/1.2/1.0)cm / S (1.5/1.1/1.2/1.1/0.9)cm</x:v>
      </x:c>
      <x:c r="E1342" s="25" t="str">
        <x:v>$5.99</x:v>
      </x:c>
      <x:c r="F1342" s="19" t="str">
        <x:v>30</x:v>
      </x:c>
    </x:row>
    <x:row r="1343" ht="93" customHeight="1">
      <x:c r="A1343" s="19" t="n">
        <x:v>1340</x:v>
      </x:c>
      <x:c r="B1343" s="22" t="e">
        <x:f>HYPERLINK("https://cdn.shopify.com/s/files/1/0918/6066/4603/files/O1CN01L1E8UX22SYgCfySOt__2219370087119-0-cib.jpg?v=1767097175","Open")</x:f>
        <x:v>HYPERLINK is not implemented. linkLocation=https://cdn.shopify.com/s/files/1/0918/6066/4603/files/O1CN01L1E8UX22SYgCfySOt__2219370087119-0-cib.jpg?v=1767097175, friendlyName=Open</x:v>
      </x:c>
      <x:c r="C1343" s="24" t="e">
        <x:f>HYPERLINK("https://365nails.com/products/red-crystal-full-rhinestone-press-on-nails","Red Crystal Full Rhinestone Press On Nails")</x:f>
        <x:v>HYPERLINK is not implemented. linkLocation=https://365nails.com/products/red-crystal-full-rhinestone-press-on-nails, friendlyName=Red Crystal Full Rhinestone Press On Nails</x:v>
      </x:c>
      <x:c r="D1343" s="18" t="str">
        <x:v>Color: L (1.7/1.3/1.4/1.3/1.1)cm / M (1.6/1.2/1.3/1.2/1.0)cm / S (1.5/1.1/1.2/1.1/0.9)cm</x:v>
      </x:c>
      <x:c r="E1343" s="25" t="str">
        <x:v>$4.49</x:v>
      </x:c>
      <x:c r="F1343" s="19" t="str">
        <x:v>30</x:v>
      </x:c>
    </x:row>
    <x:row r="1344" ht="93" customHeight="1">
      <x:c r="A1344" s="19" t="n">
        <x:v>1341</x:v>
      </x:c>
      <x:c r="B1344" s="22" t="e">
        <x:f>HYPERLINK("https://cdn.shopify.com/s/files/1/0918/6066/4603/files/O1CN01kOPeKl22SYgOXD7rz__2219370087119-0-cib_d71a648d-a5d0-4a40-98c0-24f290f83dda.jpg?v=1767242394","Open")</x:f>
        <x:v>HYPERLINK is not implemented. linkLocation=https://cdn.shopify.com/s/files/1/0918/6066/4603/files/O1CN01kOPeKl22SYgOXD7rz__2219370087119-0-cib_d71a648d-a5d0-4a40-98c0-24f290f83dda.jpg?v=1767242394, friendlyName=Open</x:v>
      </x:c>
      <x:c r="C1344" s="24" t="e">
        <x:f>HYPERLINK("https://365nails.com/products/pink-sugar-crystal-long-press-on-nails","Pink Sugar Crystal Long Press-On Nails")</x:f>
        <x:v>HYPERLINK is not implemented. linkLocation=https://365nails.com/products/pink-sugar-crystal-long-press-on-nails, friendlyName=Pink Sugar Crystal Long Press-On Nails</x:v>
      </x:c>
      <x:c r="D1344" s="18" t="str">
        <x:v>Color: L (1.7/1.3/1.4/1.3/1.1)cm / M (1.6/1.2/1.3/1.2/1.0)cm / S (1.5/1.1/1.2/1.1/0.9)cm</x:v>
      </x:c>
      <x:c r="E1344" s="25" t="str">
        <x:v>$4.99</x:v>
      </x:c>
      <x:c r="F1344" s="19" t="str">
        <x:v>30</x:v>
      </x:c>
    </x:row>
    <x:row r="1345" ht="93" customHeight="1">
      <x:c r="A1345" s="19" t="n">
        <x:v>1342</x:v>
      </x:c>
      <x:c r="B1345" s="22" t="e">
        <x:f>HYPERLINK("https://cdn.shopify.com/s/files/1/0918/6066/4603/files/O1CN015BjZN622SYgISelRD__2219370087119-0-cib.jpg?v=1767095665","Open")</x:f>
        <x:v>HYPERLINK is not implemented. linkLocation=https://cdn.shopify.com/s/files/1/0918/6066/4603/files/O1CN015BjZN622SYgISelRD__2219370087119-0-cib.jpg?v=1767095665, friendlyName=Open</x:v>
      </x:c>
      <x:c r="C1345" s="24" t="e">
        <x:f>HYPERLINK("https://365nails.com/products/green-yellow-french-nails-with-floral-and-crown-charms","Green Yellow French Nails with Floral and Crown Charms")</x:f>
        <x:v>HYPERLINK is not implemented. linkLocation=https://365nails.com/products/green-yellow-french-nails-with-floral-and-crown-charms, friendlyName=Green Yellow French Nails with Floral and Crown Charms</x:v>
      </x:c>
      <x:c r="D1345" s="18" t="str">
        <x:v>Color: L (1.7/1.3/1.4/1.3/1.1)cm / M (1.6/1.2/1.3/1.2/1.0)cm / S (1.5/1.1/1.2/1.1/0.9)cm</x:v>
      </x:c>
      <x:c r="E1345" s="25" t="str">
        <x:v>$5.49</x:v>
      </x:c>
      <x:c r="F1345" s="19" t="str">
        <x:v>30</x:v>
      </x:c>
    </x:row>
    <x:row r="1346" ht="93" customHeight="1">
      <x:c r="A1346" s="19" t="n">
        <x:v>1343</x:v>
      </x:c>
      <x:c r="B1346" s="22" t="e">
        <x:f>HYPERLINK("https://cdn.shopify.com/s/files/1/0918/6066/4603/files/O1CN016FafPY22SYgEnXjkC__2219370087119-0-cib.jpg?v=1767095733","Open")</x:f>
        <x:v>HYPERLINK is not implemented. linkLocation=https://cdn.shopify.com/s/files/1/0918/6066/4603/files/O1CN016FafPY22SYgEnXjkC__2219370087119-0-cib.jpg?v=1767095733, friendlyName=Open</x:v>
      </x:c>
      <x:c r="C1346" s="24" t="e">
        <x:f>HYPERLINK("https://365nails.com/products/pink-zebra-nails-with-floral-accents-and-crystal-details","Pink Zebra Nails with Floral Accents and Crystal Details")</x:f>
        <x:v>HYPERLINK is not implemented. linkLocation=https://365nails.com/products/pink-zebra-nails-with-floral-accents-and-crystal-details, friendlyName=Pink Zebra Nails with Floral Accents and Crystal Details</x:v>
      </x:c>
      <x:c r="D1346" s="18" t="str">
        <x:v>Color: L (1.7/1.3/1.4/1.3/1.1)cm / M (1.6/1.2/1.3/1.2/1.0)cm / S (1.5/1.1/1.2/1.1/0.9)cm</x:v>
      </x:c>
      <x:c r="E1346" s="25" t="str">
        <x:v>$5.49</x:v>
      </x:c>
      <x:c r="F1346" s="19" t="str">
        <x:v>30</x:v>
      </x:c>
    </x:row>
    <x:row r="1347" ht="93" customHeight="1">
      <x:c r="A1347" s="19" t="n">
        <x:v>1344</x:v>
      </x:c>
      <x:c r="B1347" s="22" t="e">
        <x:f>HYPERLINK("https://cdn.shopify.com/s/files/1/0918/6066/4603/files/O1CN015FClps22SYgL1ZUQ2__2219370087119-0-cib.jpg?v=1767095230","Open")</x:f>
        <x:v>HYPERLINK is not implemented. linkLocation=https://cdn.shopify.com/s/files/1/0918/6066/4603/files/O1CN015FClps22SYgL1ZUQ2__2219370087119-0-cib.jpg?v=1767095230, friendlyName=Open</x:v>
      </x:c>
      <x:c r="C1347" s="24" t="e">
        <x:f>HYPERLINK("https://365nails.com/products/nude-black-french-nails-with-cross-and-bow-details","Nude Black French Nails with Cross and Bow Details")</x:f>
        <x:v>HYPERLINK is not implemented. linkLocation=https://365nails.com/products/nude-black-french-nails-with-cross-and-bow-details, friendlyName=Nude Black French Nails with Cross and Bow Details</x:v>
      </x:c>
      <x:c r="D1347" s="18" t="str">
        <x:v>Color: L (1.7/1.3/1.4/1.3/1.1)cm / M (1.6/1.2/1.3/1.2/1.0)cm / S (1.5/1.1/1.2/1.1/0.9)cm</x:v>
      </x:c>
      <x:c r="E1347" s="25" t="str">
        <x:v>$5.49</x:v>
      </x:c>
      <x:c r="F1347" s="19" t="str">
        <x:v>30</x:v>
      </x:c>
    </x:row>
    <x:row r="1348" ht="93" customHeight="1">
      <x:c r="A1348" s="19" t="n">
        <x:v>1345</x:v>
      </x:c>
      <x:c r="B1348" s="22" t="e">
        <x:f>HYPERLINK("https://cdn.shopify.com/s/files/1/0918/6066/4603/files/O1CN01VWb4i22NGHp6hEhbU__4234819935-0-cib.jpg?v=1753431766","Open")</x:f>
        <x:v>HYPERLINK is not implemented. linkLocation=https://cdn.shopify.com/s/files/1/0918/6066/4603/files/O1CN01VWb4i22NGHp6hEhbU__4234819935-0-cib.jpg?v=1753431766, friendlyName=Open</x:v>
      </x:c>
      <x:c r="C1348" s="24" t="e">
        <x:f>HYPERLINK("https://365nails.com/products/internet-celebrity-popular-short-round-manicure-solid-color-cat-eye-fake-nails-xiaohongshu-ins-wearing-nail-film-short-nail-film-365nails","Internet celebrity popular short round manicure solid color cat eye   ins  film short ｜365nails")</x:f>
        <x:v>HYPERLINK is not implemented. linkLocation=https://365nails.com/products/internet-celebrity-popular-short-round-manicure-solid-color-cat-eye-fake-nails-xiaohongshu-ins-wearing-nail-film-short-nail-film-365nails, friendlyName=Internet celebrity popular short round manicure solid color cat eye   ins  film short ｜365nails</x:v>
      </x:c>
      <x:c r="D1348" s="18" t="str">
        <x:v>Color: GN008</x:v>
      </x:c>
      <x:c r="E1348" s="25" t="str">
        <x:v>$1.19</x:v>
      </x:c>
      <x:c r="F1348" s="19" t="str">
        <x:v>1</x:v>
      </x:c>
    </x:row>
    <x:row r="1349" ht="93" customHeight="1">
      <x:c r="A1349" s="19" t="n">
        <x:v>1346</x:v>
      </x:c>
      <x:c r="B1349" s="22" t="e">
        <x:f>HYPERLINK("https://cdn.shopify.com/s/files/1/0918/6066/4603/files/O1CN014OHwVC22SYgIdyrNg__2219370087119-0-cib.jpg?v=1767096593","Open")</x:f>
        <x:v>HYPERLINK is not implemented. linkLocation=https://cdn.shopify.com/s/files/1/0918/6066/4603/files/O1CN014OHwVC22SYgIdyrNg__2219370087119-0-cib.jpg?v=1767096593, friendlyName=Open</x:v>
      </x:c>
      <x:c r="C1349" s="24" t="e">
        <x:f>HYPERLINK("https://365nails.com/products/pink-french-nails-with-gold-cross-and-floral-charms","Pink French Nails with Gold Cross and Floral Charms")</x:f>
        <x:v>HYPERLINK is not implemented. linkLocation=https://365nails.com/products/pink-french-nails-with-gold-cross-and-floral-charms, friendlyName=Pink French Nails with Gold Cross and Floral Charms</x:v>
      </x:c>
      <x:c r="D1349" s="18" t="str">
        <x:v>Color: L (1.7/1.3/1.4/1.3/1.1)cm / M (1.6/1.2/1.3/1.2/1.0)cm / S (1.5/1.1/1.2/1.1/0.9)cm</x:v>
      </x:c>
      <x:c r="E1349" s="25" t="str">
        <x:v>$5.49</x:v>
      </x:c>
      <x:c r="F1349" s="19" t="str">
        <x:v>30</x:v>
      </x:c>
    </x:row>
    <x:row r="1350" ht="93" customHeight="1">
      <x:c r="A1350" s="19" t="n">
        <x:v>1347</x:v>
      </x:c>
      <x:c r="B1350" s="22" t="e">
        <x:f>HYPERLINK("https://cdn.shopify.com/s/files/1/0918/6066/4603/files/O1CN01PRHxD522SYgOvMMLj__2219370087119-0-cib.jpg?v=1767096353","Open")</x:f>
        <x:v>HYPERLINK is not implemented. linkLocation=https://cdn.shopify.com/s/files/1/0918/6066/4603/files/O1CN01PRHxD522SYgOvMMLj__2219370087119-0-cib.jpg?v=1767096353, friendlyName=Open</x:v>
      </x:c>
      <x:c r="C1350" s="24" t="e">
        <x:f>HYPERLINK("https://365nails.com/products/pink-kitty-nails-with-heart-star-and-cross-charms","Pink Kitty Nails with Heart Star and Cross Charms")</x:f>
        <x:v>HYPERLINK is not implemented. linkLocation=https://365nails.com/products/pink-kitty-nails-with-heart-star-and-cross-charms, friendlyName=Pink Kitty Nails with Heart Star and Cross Charms</x:v>
      </x:c>
      <x:c r="D1350" s="18" t="str">
        <x:v>Color: L / M / S</x:v>
      </x:c>
      <x:c r="E1350" s="25" t="str">
        <x:v>$4.99</x:v>
      </x:c>
      <x:c r="F1350" s="19" t="str">
        <x:v>30</x:v>
      </x:c>
    </x:row>
    <x:row r="1351" ht="93" customHeight="1">
      <x:c r="A1351" s="19" t="n">
        <x:v>1348</x:v>
      </x:c>
      <x:c r="B1351" s="22" t="e">
        <x:f>HYPERLINK("https://cdn.shopify.com/s/files/1/0918/6066/4603/files/O1CN01zdbH0u22SYgEDzMxD__2219370087119-0-cib.jpg?v=1767096055","Open")</x:f>
        <x:v>HYPERLINK is not implemented. linkLocation=https://cdn.shopify.com/s/files/1/0918/6066/4603/files/O1CN01zdbH0u22SYgEDzMxD__2219370087119-0-cib.jpg?v=1767096055, friendlyName=Open</x:v>
      </x:c>
      <x:c r="C1351" s="24" t="e">
        <x:f>HYPERLINK("https://365nails.com/products/colorful-pink-nails-with-smiley-flower-and-star-charms","Colorful Pink Nails with Smiley Flower and Star Charms")</x:f>
        <x:v>HYPERLINK is not implemented. linkLocation=https://365nails.com/products/colorful-pink-nails-with-smiley-flower-and-star-charms, friendlyName=Colorful Pink Nails with Smiley Flower and Star Charms</x:v>
      </x:c>
      <x:c r="D1351" s="18" t="str">
        <x:v>Color: L (1.7/1.3/1.4/1.3/1.1)cm / M (1.6/1.2/1.3/1.2/1.0)cm / S (1.5/1.1/1.2/1.1/0.9)cm</x:v>
      </x:c>
      <x:c r="E1351" s="25" t="str">
        <x:v>$4.99</x:v>
      </x:c>
      <x:c r="F1351" s="19" t="str">
        <x:v>30</x:v>
      </x:c>
    </x:row>
    <x:row r="1352" ht="93" customHeight="1">
      <x:c r="A1352" s="19" t="n">
        <x:v>1349</x:v>
      </x:c>
      <x:c r="B1352" s="22" t="e">
        <x:f>HYPERLINK("https://cdn.shopify.com/s/files/1/0918/6066/4603/files/O1CN01EkU3dN22SYgDo8X5r__2219370087119-0-cib.jpg?v=1767235625","Open")</x:f>
        <x:v>HYPERLINK is not implemented. linkLocation=https://cdn.shopify.com/s/files/1/0918/6066/4603/files/O1CN01EkU3dN22SYgDo8X5r__2219370087119-0-cib.jpg?v=1767235625, friendlyName=Open</x:v>
      </x:c>
      <x:c r="C1352" s="24" t="e">
        <x:f>HYPERLINK("https://365nails.com/products/colorful-crystal-butterfly-glossy-press-on-nails","Colorful Crystal Butterfly Glossy Press On Nails")</x:f>
        <x:v>HYPERLINK is not implemented. linkLocation=https://365nails.com/products/colorful-crystal-butterfly-glossy-press-on-nails, friendlyName=Colorful Crystal Butterfly Glossy Press On Nails</x:v>
      </x:c>
      <x:c r="D1352" s="18" t="str">
        <x:v>Color: Orange red; Color classification: L / M / S</x:v>
      </x:c>
      <x:c r="E1352" s="25" t="str">
        <x:v>$4.99</x:v>
      </x:c>
      <x:c r="F1352" s="19" t="str">
        <x:v>30</x:v>
      </x:c>
    </x:row>
    <x:row r="1353" ht="93" customHeight="1">
      <x:c r="A1353" s="19" t="n">
        <x:v>1350</x:v>
      </x:c>
      <x:c r="B1353" s="22" t="e">
        <x:f>HYPERLINK("https://cdn.shopify.com/s/files/1/0918/6066/4603/files/O1CN01IIWYzp22SYgIlDK4C__2219370087119-0-cib.jpg?v=1767240152","Open")</x:f>
        <x:v>HYPERLINK is not implemented. linkLocation=https://cdn.shopify.com/s/files/1/0918/6066/4603/files/O1CN01IIWYzp22SYgIlDK4C__2219370087119-0-cib.jpg?v=1767240152, friendlyName=Open</x:v>
      </x:c>
      <x:c r="C1353" s="24" t="e">
        <x:f>HYPERLINK("https://365nails.com/products/blush-leopard-floral-french-elegant-press-on-nails","Blush Leopard Floral French Elegant Press On Nails")</x:f>
        <x:v>HYPERLINK is not implemented. linkLocation=https://365nails.com/products/blush-leopard-floral-french-elegant-press-on-nails, friendlyName=Blush Leopard Floral French Elegant Press On Nails</x:v>
      </x:c>
      <x:c r="D1353" s="18" t="str">
        <x:v>Color: L (1.7/1.3/1.4/1.3/1.1)cm / M (1.6/1.2/1.3/1.2/1.0)cm / S (1.5/1.1/1.2/1.1/0.9)cm</x:v>
      </x:c>
      <x:c r="E1353" s="25" t="str">
        <x:v>$5.49</x:v>
      </x:c>
      <x:c r="F1353" s="19" t="str">
        <x:v>30</x:v>
      </x:c>
    </x:row>
    <x:row r="1354" ht="93" customHeight="1">
      <x:c r="A1354" s="19" t="n">
        <x:v>1351</x:v>
      </x:c>
      <x:c r="B1354" s="22" t="e">
        <x:f>HYPERLINK("https://cdn.shopify.com/s/files/1/0918/6066/4603/files/O1CN01xDaX6V22SYgOMJXfK__2219370087119-0-cib.jpg?v=1767238999","Open")</x:f>
        <x:v>HYPERLINK is not implemented. linkLocation=https://cdn.shopify.com/s/files/1/0918/6066/4603/files/O1CN01xDaX6V22SYgOMJXfK__2219370087119-0-cib.jpg?v=1767238999, friendlyName=Open</x:v>
      </x:c>
      <x:c r="C1354" s="24" t="e">
        <x:f>HYPERLINK("https://365nails.com/products/nude-french-crystal-floral-press-on-nails","Nude French Crystal Floral Press-On Nails")</x:f>
        <x:v>HYPERLINK is not implemented. linkLocation=https://365nails.com/products/nude-french-crystal-floral-press-on-nails, friendlyName=Nude French Crystal Floral Press-On Nails</x:v>
      </x:c>
      <x:c r="D1354" s="18" t="str">
        <x:v>Color: L (1.7/1.3/1.4/1.3/1.1)cm / M (1.6/1.2/1.3/1.2/1.0)cm / S (1.5/1.1/1.2/1.1/0.9)cm</x:v>
      </x:c>
      <x:c r="E1354" s="25" t="str">
        <x:v>$4.99</x:v>
      </x:c>
      <x:c r="F1354" s="19" t="str">
        <x:v>30</x:v>
      </x:c>
    </x:row>
    <x:row r="1355" ht="93" customHeight="1">
      <x:c r="A1355" s="19" t="n">
        <x:v>1352</x:v>
      </x:c>
      <x:c r="B1355" s="22" t="e">
        <x:f>HYPERLINK("https://cdn.shopify.com/s/files/1/0918/6066/4603/files/O1CN01pNGFrV22SYgCkW1TC__2219370087119-0-cib.jpg?v=1767235136","Open")</x:f>
        <x:v>HYPERLINK is not implemented. linkLocation=https://cdn.shopify.com/s/files/1/0918/6066/4603/files/O1CN01pNGFrV22SYgCkW1TC__2219370087119-0-cib.jpg?v=1767235136, friendlyName=Open</x:v>
      </x:c>
      <x:c r="C1355" s="24" t="e">
        <x:f>HYPERLINK("https://365nails.com/products/gold-rose-sculpted-luxury-stiletto-press-on-nails","Gold Rose Sculpted Luxury Stiletto Press On Nails")</x:f>
        <x:v>HYPERLINK is not implemented. linkLocation=https://365nails.com/products/gold-rose-sculpted-luxury-stiletto-press-on-nails, friendlyName=Gold Rose Sculpted Luxury Stiletto Press On Nails</x:v>
      </x:c>
      <x:c r="D1355" s="18" t="str">
        <x:v>Color: L / M / S</x:v>
      </x:c>
      <x:c r="E1355" s="25" t="str">
        <x:v>$5.49</x:v>
      </x:c>
      <x:c r="F1355" s="19" t="str">
        <x:v>30</x:v>
      </x:c>
    </x:row>
    <x:row r="1356" ht="93" customHeight="1">
      <x:c r="A1356" s="19" t="n">
        <x:v>1353</x:v>
      </x:c>
      <x:c r="B1356" s="22" t="e">
        <x:f>HYPERLINK("https://cdn.shopify.com/s/files/1/0918/6066/4603/files/O1CN01FGICFS22SYgNEIxAb__2219370087119-0-cib.jpg?v=1767097075","Open")</x:f>
        <x:v>HYPERLINK is not implemented. linkLocation=https://cdn.shopify.com/s/files/1/0918/6066/4603/files/O1CN01FGICFS22SYgNEIxAb__2219370087119-0-cib.jpg?v=1767097075, friendlyName=Open</x:v>
      </x:c>
      <x:c r="C1356" s="24" t="e">
        <x:f>HYPERLINK("https://365nails.com/products/nude-red-star-floral-press-on-nails","Nude Red Star Floral Press On Nails")</x:f>
        <x:v>HYPERLINK is not implemented. linkLocation=https://365nails.com/products/nude-red-star-floral-press-on-nails, friendlyName=Nude Red Star Floral Press On Nails</x:v>
      </x:c>
      <x:c r="D1356" s="18" t="str">
        <x:v>Color: L (1.7/1.3/1.4/1.3/1.1)cm / M (1.6/1.2/1.3/1.2/1.0)cm / S (1.5/1.1/1.2/1.1/0.9)cm</x:v>
      </x:c>
      <x:c r="E1356" s="25" t="str">
        <x:v>$5.49</x:v>
      </x:c>
      <x:c r="F1356" s="19" t="str">
        <x:v>30</x:v>
      </x:c>
    </x:row>
    <x:row r="1357" ht="93" customHeight="1">
      <x:c r="A1357" s="19" t="n">
        <x:v>1354</x:v>
      </x:c>
      <x:c r="B1357" s="22" t="e">
        <x:f>HYPERLINK("https://cdn.shopify.com/s/files/1/0918/6066/4603/files/O1CN01nVpzJz22SYd5yqniJ__2219370087119-0-cib.jpg?v=1767183897","Open")</x:f>
        <x:v>HYPERLINK is not implemented. linkLocation=https://cdn.shopify.com/s/files/1/0918/6066/4603/files/O1CN01nVpzJz22SYd5yqniJ__2219370087119-0-cib.jpg?v=1767183897, friendlyName=Open</x:v>
      </x:c>
      <x:c r="C1357" s="24" t="e">
        <x:f>HYPERLINK("https://365nails.com/products/white-crystal-extra-long-coffin-press-on-nails","White Crystal Extra Long Coffin Press On Nails")</x:f>
        <x:v>HYPERLINK is not implemented. linkLocation=https://365nails.com/products/white-crystal-extra-long-coffin-press-on-nails, friendlyName=White Crystal Extra Long Coffin Press On Nails</x:v>
      </x:c>
      <x:c r="D1357" s="18" t="str">
        <x:v>Color: White; Color classification: L (1.7/1.3/1.4/1.3/1.1)cm / M (1.6/1.2/1.3/1.2/1.0)cm / S (1.5/1.1/1.2/1.1/0.9)cm / Xs (1.4/1.0/1.1/1.0/0.8)cm</x:v>
      </x:c>
      <x:c r="E1357" s="25" t="str">
        <x:v>$4.99</x:v>
      </x:c>
      <x:c r="F1357" s="19" t="str">
        <x:v>30</x:v>
      </x:c>
    </x:row>
    <x:row r="1358" ht="93" customHeight="1">
      <x:c r="A1358" s="19" t="n">
        <x:v>1355</x:v>
      </x:c>
      <x:c r="B1358" s="22" t="e">
        <x:f>HYPERLINK("https://cdn.shopify.com/s/files/1/0918/6066/4603/files/O1CN01lM6xF722SYgPXQUU2__2219370087119-0-cib_e0fa2fd9-1bed-4b3c-b254-54a310d994dc.jpg?v=1767097735","Open")</x:f>
        <x:v>HYPERLINK is not implemented. linkLocation=https://cdn.shopify.com/s/files/1/0918/6066/4603/files/O1CN01lM6xF722SYgPXQUU2__2219370087119-0-cib_e0fa2fd9-1bed-4b3c-b254-54a310d994dc.jpg?v=1767097735, friendlyName=Open</x:v>
      </x:c>
      <x:c r="C1358" s="24" t="e">
        <x:f>HYPERLINK("https://365nails.com/products/red-kitty-crystal-cute-press-on-nails","Red Kitty Crystal Cute Press On Nails")</x:f>
        <x:v>HYPERLINK is not implemented. linkLocation=https://365nails.com/products/red-kitty-crystal-cute-press-on-nails, friendlyName=Red Kitty Crystal Cute Press On Nails</x:v>
      </x:c>
      <x:c r="D1358" s="18" t="str">
        <x:v>Color: Red; Color classification: L / M / S</x:v>
      </x:c>
      <x:c r="E1358" s="25" t="str">
        <x:v>$4.99</x:v>
      </x:c>
      <x:c r="F1358" s="19" t="str">
        <x:v>30</x:v>
      </x:c>
    </x:row>
    <x:row r="1359" ht="93" customHeight="1">
      <x:c r="A1359" s="19" t="n">
        <x:v>1356</x:v>
      </x:c>
      <x:c r="B1359" s="22" t="e">
        <x:f>HYPERLINK("https://cdn.shopify.com/s/files/1/0918/6066/4603/files/O1CN01NqVVxr22SYgMc4V7i__2219370087119-0-cib.jpg?v=1767239677","Open")</x:f>
        <x:v>HYPERLINK is not implemented. linkLocation=https://cdn.shopify.com/s/files/1/0918/6066/4603/files/O1CN01NqVVxr22SYgMc4V7i__2219370087119-0-cib.jpg?v=1767239677, friendlyName=Open</x:v>
      </x:c>
      <x:c r="C1359" s="24" t="e">
        <x:f>HYPERLINK("https://365nails.com/products/peach-french-floral-soft-gloss-elegant-press-on-nails","Peach French Floral Soft Gloss Elegant Press On Nails")</x:f>
        <x:v>HYPERLINK is not implemented. linkLocation=https://365nails.com/products/peach-french-floral-soft-gloss-elegant-press-on-nails, friendlyName=Peach French Floral Soft Gloss Elegant Press On Nails</x:v>
      </x:c>
      <x:c r="D1359" s="18" t="str">
        <x:v>Color: L (1.7/1.3/1.4/1.3/1.1)cm / M (1.6/1.2/1.3/1.2/1.0)cm / S (1.5/1.1/1.2/1.1/0.9)cm</x:v>
      </x:c>
      <x:c r="E1359" s="25" t="str">
        <x:v>$5.49</x:v>
      </x:c>
      <x:c r="F1359" s="19" t="str">
        <x:v>30</x:v>
      </x:c>
    </x:row>
    <x:row r="1360" ht="93" customHeight="1">
      <x:c r="A1360" s="19" t="n">
        <x:v>1357</x:v>
      </x:c>
      <x:c r="B1360" s="22" t="e">
        <x:f>HYPERLINK("https://cdn.shopify.com/s/files/1/0918/6066/4603/files/O1CN01syeHBy22SYgDjmi5X__2219370087119-0-cib.jpg?v=1767183213","Open")</x:f>
        <x:v>HYPERLINK is not implemented. linkLocation=https://cdn.shopify.com/s/files/1/0918/6066/4603/files/O1CN01syeHBy22SYgDjmi5X__2219370087119-0-cib.jpg?v=1767183213, friendlyName=Open</x:v>
      </x:c>
      <x:c r="C1360" s="24" t="e">
        <x:f>HYPERLINK("https://365nails.com/products/red-crystal-stiletto-press-on-nails","Red Crystal Stiletto Press On Nails")</x:f>
        <x:v>HYPERLINK is not implemented. linkLocation=https://365nails.com/products/red-crystal-stiletto-press-on-nails, friendlyName=Red Crystal Stiletto Press On Nails</x:v>
      </x:c>
      <x:c r="D1360" s="18" t="str">
        <x:v>Color: L / M / S</x:v>
      </x:c>
      <x:c r="E1360" s="25" t="str">
        <x:v>$4.49</x:v>
      </x:c>
      <x:c r="F1360" s="19" t="str">
        <x:v>30</x:v>
      </x:c>
    </x:row>
    <x:row r="1361" ht="93" customHeight="1">
      <x:c r="A1361" s="19" t="n">
        <x:v>1358</x:v>
      </x:c>
      <x:c r="B1361" s="22" t="e">
        <x:f>HYPERLINK("https://cdn.shopify.com/s/files/1/0918/6066/4603/files/O1CN01qSk2t122SYfyTOP5A__2219370087119-0-cib.jpg?v=1767235202","Open")</x:f>
        <x:v>HYPERLINK is not implemented. linkLocation=https://cdn.shopify.com/s/files/1/0918/6066/4603/files/O1CN01qSk2t122SYfyTOP5A__2219370087119-0-cib.jpg?v=1767235202, friendlyName=Open</x:v>
      </x:c>
      <x:c r="C1361" s="24" t="e">
        <x:f>HYPERLINK("https://365nails.com/products/pink-yellow-floral-jelly-press-on-nails","Pink Yellow Floral Jelly Press On Nails")</x:f>
        <x:v>HYPERLINK is not implemented. linkLocation=https://365nails.com/products/pink-yellow-floral-jelly-press-on-nails, friendlyName=Pink Yellow Floral Jelly Press On Nails</x:v>
      </x:c>
      <x:c r="D1361" s="18" t="str">
        <x:v>Color: L / M / S</x:v>
      </x:c>
      <x:c r="E1361" s="25" t="str">
        <x:v>$4.99</x:v>
      </x:c>
      <x:c r="F1361" s="19" t="str">
        <x:v>30</x:v>
      </x:c>
    </x:row>
    <x:row r="1362" ht="93" customHeight="1">
      <x:c r="A1362" s="19" t="n">
        <x:v>1359</x:v>
      </x:c>
      <x:c r="B1362" s="22" t="e">
        <x:f>HYPERLINK("https://cdn.shopify.com/s/files/1/0918/6066/4603/files/O1CN01dJKCjy22SYgCf6gDk__2219370087119-0-cib.jpg?v=1767185186","Open")</x:f>
        <x:v>HYPERLINK is not implemented. linkLocation=https://cdn.shopify.com/s/files/1/0918/6066/4603/files/O1CN01dJKCjy22SYgCf6gDk__2219370087119-0-cib.jpg?v=1767185186, friendlyName=Open</x:v>
      </x:c>
      <x:c r="C1362" s="24" t="e">
        <x:f>HYPERLINK("https://365nails.com/products/playful-ladybug-floral-garden-press-on-nails","Playful Ladybug Floral Garden Press On Nails")</x:f>
        <x:v>HYPERLINK is not implemented. linkLocation=https://365nails.com/products/playful-ladybug-floral-garden-press-on-nails, friendlyName=Playful Ladybug Floral Garden Press On Nails</x:v>
      </x:c>
      <x:c r="D1362" s="18" t="str">
        <x:v>Color: L (1.7/1.3/1.4/1.3/1.1)cm / M (1.6/1.2/1.3/1.2/1.0)cm / S (1.5/1.1/1.2/1.1/0.9)cm</x:v>
      </x:c>
      <x:c r="E1362" s="25" t="str">
        <x:v>$5.99</x:v>
      </x:c>
      <x:c r="F1362" s="19" t="str">
        <x:v>30</x:v>
      </x:c>
    </x:row>
    <x:row r="1363" ht="93" customHeight="1">
      <x:c r="A1363" s="19" t="n">
        <x:v>1360</x:v>
      </x:c>
      <x:c r="B1363" s="22" t="e">
        <x:f>HYPERLINK("https://cdn.shopify.com/s/files/1/0918/6066/4603/files/O1CN01b0BEfC22SYgDlAN9h__2219370087119-0-cib_b0d932d3-8bb7-4f31-a0b8-f209cb8b8647.jpg?v=1767238790","Open")</x:f>
        <x:v>HYPERLINK is not implemented. linkLocation=https://cdn.shopify.com/s/files/1/0918/6066/4603/files/O1CN01b0BEfC22SYgDlAN9h__2219370087119-0-cib_b0d932d3-8bb7-4f31-a0b8-f209cb8b8647.jpg?v=1767238790, friendlyName=Open</x:v>
      </x:c>
      <x:c r="C1363" s="24" t="e">
        <x:f>HYPERLINK("https://365nails.com/products/nude-ab-crystal-stiletto-press-on-nails","Nude AB Crystal Stiletto Press-On Nails")</x:f>
        <x:v>HYPERLINK is not implemented. linkLocation=https://365nails.com/products/nude-ab-crystal-stiletto-press-on-nails, friendlyName=Nude AB Crystal Stiletto Press-On Nails</x:v>
      </x:c>
      <x:c r="D1363" s="18" t="str">
        <x:v>Color: Deep skin nude; Color classification: L (1.7/1.3/1.4/1.3/1.1)cm / M (1.6/1.2/1.3/1.2/1.0)cm / S (1.5/1.1/1.2/1.1/0.9)cm</x:v>
      </x:c>
      <x:c r="E1363" s="25" t="str">
        <x:v>$4.49</x:v>
      </x:c>
      <x:c r="F1363" s="19" t="str">
        <x:v>30</x:v>
      </x:c>
    </x:row>
    <x:row r="1364" ht="93" customHeight="1">
      <x:c r="A1364" s="19" t="n">
        <x:v>1361</x:v>
      </x:c>
      <x:c r="B1364" s="22" t="e">
        <x:f>HYPERLINK("https://cdn.shopify.com/s/files/1/0918/6066/4603/files/O1CN01l3jATv22SYgDGQDsl__2219370087119-0-cib.jpg?v=1767236886","Open")</x:f>
        <x:v>HYPERLINK is not implemented. linkLocation=https://cdn.shopify.com/s/files/1/0918/6066/4603/files/O1CN01l3jATv22SYgDGQDsl__2219370087119-0-cib.jpg?v=1767236886, friendlyName=Open</x:v>
      </x:c>
      <x:c r="C1364" s="24" t="e">
        <x:f>HYPERLINK("https://365nails.com/products/soft-pearl-blossom-gold-accent-press-on-nails","Soft Pearl Blossom Gold Accent Press On Nails")</x:f>
        <x:v>HYPERLINK is not implemented. linkLocation=https://365nails.com/products/soft-pearl-blossom-gold-accent-press-on-nails, friendlyName=Soft Pearl Blossom Gold Accent Press On Nails</x:v>
      </x:c>
      <x:c r="D1364" s="18" t="str">
        <x:v>Color: L (1.7/1.3/1.4/1.3/1.1)cm / M (1.6/1.2/1.3/1.2/1.0)cm / S (1.5/1.1/1.2/1.1/0.9)cm</x:v>
      </x:c>
      <x:c r="E1364" s="25" t="str">
        <x:v>$4.99</x:v>
      </x:c>
      <x:c r="F1364" s="19" t="str">
        <x:v>30</x:v>
      </x:c>
    </x:row>
    <x:row r="1365" ht="93" customHeight="1">
      <x:c r="A1365" s="19" t="n">
        <x:v>1362</x:v>
      </x:c>
      <x:c r="B1365" s="22" t="e">
        <x:f>HYPERLINK("https://cdn.shopify.com/s/files/1/0918/6066/4603/files/O1CN01DCi2ho22SYgIl8cno__2219370087119-0-cib.jpg?v=1767184556","Open")</x:f>
        <x:v>HYPERLINK is not implemented. linkLocation=https://cdn.shopify.com/s/files/1/0918/6066/4603/files/O1CN01DCi2ho22SYgIl8cno__2219370087119-0-cib.jpg?v=1767184556, friendlyName=Open</x:v>
      </x:c>
      <x:c r="C1365" s="24" t="e">
        <x:f>HYPERLINK("https://365nails.com/products/peach-crystal-sugar-lace-french-press-on-nails","Peach Crystal Sugar Lace French Press On Nails")</x:f>
        <x:v>HYPERLINK is not implemented. linkLocation=https://365nails.com/products/peach-crystal-sugar-lace-french-press-on-nails, friendlyName=Peach Crystal Sugar Lace French Press On Nails</x:v>
      </x:c>
      <x:c r="D1365" s="18" t="str">
        <x:v>Color: White; Color classification: L (1.7/1.3/1.4/1.3/1.1)cm / M (1.6/1.2/1.3/1.2/1.0)cm / S (1.5/1.1/1.2/1.1/0.9)cm</x:v>
      </x:c>
      <x:c r="E1365" s="25" t="str">
        <x:v>$4.99</x:v>
      </x:c>
      <x:c r="F1365" s="19" t="str">
        <x:v>30</x:v>
      </x:c>
    </x:row>
    <x:row r="1366" ht="93" customHeight="1">
      <x:c r="A1366" s="19" t="n">
        <x:v>1363</x:v>
      </x:c>
      <x:c r="B1366" s="22" t="e">
        <x:f>HYPERLINK("https://cdn.shopify.com/s/files/1/0918/6066/4603/files/O1CN01wp0fWA2NGHyMmiM14__4234819935-0-cib.jpg?v=1753432418","Open")</x:f>
        <x:v>HYPERLINK is not implemented. linkLocation=https://cdn.shopify.com/s/files/1/0918/6066/4603/files/O1CN01wp0fWA2NGHyMmiM14__4234819935-0-cib.jpg?v=1753432418, friendlyName=Open</x:v>
      </x:c>
      <x:c r="C1366" s="24" t="e">
        <x:f>HYPERLINK("https://365nails.com/products/premium-sense-30-pieces-boxed-wear-nail-big-red-solid-color-gel-nail-art-short-almond-nail-false-nail-365nails","Premium Sense 30 Pieces Boxed Wear Nail Big Red Solid Color Gel Nail Art Short Almond Nail False Nail｜365nails")</x:f>
        <x:v>HYPERLINK is not implemented. linkLocation=https://365nails.com/products/premium-sense-30-pieces-boxed-wear-nail-big-red-solid-color-gel-nail-art-short-almond-nail-false-nail-365nails, friendlyName=Premium Sense 30 Pieces Boxed Wear Nail Big Red Solid Color Gel Nail Art Short Almond Nail False Nail｜365nails</x:v>
      </x:c>
      <x:c r="D1366" s="18" t="str">
        <x:v>Color: GD38</x:v>
      </x:c>
      <x:c r="E1366" s="25" t="str">
        <x:v>$1.02</x:v>
      </x:c>
      <x:c r="F1366" s="19" t="str">
        <x:v>1</x:v>
      </x:c>
    </x:row>
    <x:row r="1367" ht="93" customHeight="1">
      <x:c r="A1367" s="19" t="n">
        <x:v>1364</x:v>
      </x:c>
      <x:c r="B1367" s="22" t="e">
        <x:f>HYPERLINK("https://cdn.shopify.com/s/files/1/0918/6066/4603/files/O1CN01bHC3MF22SYgSDKIKJ__2219370087119-0-cib.jpg?v=1767184103","Open")</x:f>
        <x:v>HYPERLINK is not implemented. linkLocation=https://cdn.shopify.com/s/files/1/0918/6066/4603/files/O1CN01bHC3MF22SYgSDKIKJ__2219370087119-0-cib.jpg?v=1767184103, friendlyName=Open</x:v>
      </x:c>
      <x:c r="C1367" s="24" t="e">
        <x:f>HYPERLINK("https://365nails.com/products/pink-crystal-french-star-accent-press-on-nails","Pink Crystal French Star Accent Press On Nails")</x:f>
        <x:v>HYPERLINK is not implemented. linkLocation=https://365nails.com/products/pink-crystal-french-star-accent-press-on-nails, friendlyName=Pink Crystal French Star Accent Press On Nails</x:v>
      </x:c>
      <x:c r="D1367" s="18" t="str">
        <x:v>Color: L (1.7/1.3/1.4/1.3/1.1)cm / M (1.6/1.2/1.3/1.2/1.0)cm / S (1.5/1.1/1.2/1.1/0.9)cm</x:v>
      </x:c>
      <x:c r="E1367" s="25" t="str">
        <x:v>$5.49</x:v>
      </x:c>
      <x:c r="F1367" s="19" t="str">
        <x:v>30</x:v>
      </x:c>
    </x:row>
    <x:row r="1368" ht="93" customHeight="1">
      <x:c r="A1368" s="19" t="n">
        <x:v>1365</x:v>
      </x:c>
      <x:c r="B1368" s="22" t="e">
        <x:f>HYPERLINK("https://cdn.shopify.com/s/files/1/0918/6066/4603/files/O1CN01B8Yp3F22SYgEPp2yA__2219370087119-0-cib.jpg?v=1767238449","Open")</x:f>
        <x:v>HYPERLINK is not implemented. linkLocation=https://cdn.shopify.com/s/files/1/0918/6066/4603/files/O1CN01B8Yp3F22SYgEPp2yA__2219370087119-0-cib.jpg?v=1767238449, friendlyName=Open</x:v>
      </x:c>
      <x:c r="C1368" s="24" t="e">
        <x:f>HYPERLINK("https://365nails.com/products/red-crystal-stiletto-luxury-press-on-nails","Red Crystal Stiletto Luxury Press-On Nails")</x:f>
        <x:v>HYPERLINK is not implemented. linkLocation=https://365nails.com/products/red-crystal-stiletto-luxury-press-on-nails, friendlyName=Red Crystal Stiletto Luxury Press-On Nails</x:v>
      </x:c>
      <x:c r="D1368" s="18" t="str">
        <x:v>Color: L / M / S</x:v>
      </x:c>
      <x:c r="E1368" s="25" t="str">
        <x:v>$4.99</x:v>
      </x:c>
      <x:c r="F1368" s="19" t="str">
        <x:v>30</x:v>
      </x:c>
    </x:row>
    <x:row r="1369" ht="93" customHeight="1">
      <x:c r="A1369" s="19" t="n">
        <x:v>1366</x:v>
      </x:c>
      <x:c r="B1369" s="22" t="e">
        <x:f>HYPERLINK("https://cdn.shopify.com/s/files/1/0918/6066/4603/files/O1CN01U575ib22SYgDfb17T__2219370087119-0-cib.jpg?v=1767236827","Open")</x:f>
        <x:v>HYPERLINK is not implemented. linkLocation=https://cdn.shopify.com/s/files/1/0918/6066/4603/files/O1CN01U575ib22SYgDfb17T__2219370087119-0-cib.jpg?v=1767236827, friendlyName=Open</x:v>
      </x:c>
      <x:c r="C1369" s="24" t="e">
        <x:f>HYPERLINK("https://365nails.com/products/ab-crystal-full-rhinestone-short-almond-press-on-nails","AB Crystal Full Rhinestone Short Almond Press On Nails")</x:f>
        <x:v>HYPERLINK is not implemented. linkLocation=https://365nails.com/products/ab-crystal-full-rhinestone-short-almond-press-on-nails, friendlyName=AB Crystal Full Rhinestone Short Almond Press On Nails</x:v>
      </x:c>
      <x:c r="D1369" s="18" t="str">
        <x:v>Color: Color; Color classification: L (1.7/1.3/1.4/1.3/1.1)cm / M (1.6/1.2/1.3/1.2/1.0)cm / S (1.5/1.1/1.2/1.1/0.9)cm</x:v>
      </x:c>
      <x:c r="E1369" s="25" t="str">
        <x:v>$4.49</x:v>
      </x:c>
      <x:c r="F1369" s="19" t="str">
        <x:v>30</x:v>
      </x:c>
    </x:row>
    <x:row r="1370" ht="93" customHeight="1">
      <x:c r="A1370" s="19" t="n">
        <x:v>1367</x:v>
      </x:c>
      <x:c r="B1370" s="22" t="e">
        <x:f>HYPERLINK("https://cdn.shopify.com/s/files/1/0918/6066/4603/files/O1CN01eUYNPT22SYgmjHh08__2219370087119-0-cib.jpg?v=1767238264","Open")</x:f>
        <x:v>HYPERLINK is not implemented. linkLocation=https://cdn.shopify.com/s/files/1/0918/6066/4603/files/O1CN01eUYNPT22SYgmjHh08__2219370087119-0-cib.jpg?v=1767238264, friendlyName=Open</x:v>
      </x:c>
      <x:c r="C1370" s="24" t="e">
        <x:f>HYPERLINK("https://365nails.com/products/pink-ocean-flower-starfish-press-on-nails","Pink Ocean Flower Starfish Press-On Nails")</x:f>
        <x:v>HYPERLINK is not implemented. linkLocation=https://365nails.com/products/pink-ocean-flower-starfish-press-on-nails, friendlyName=Pink Ocean Flower Starfish Press-On Nails</x:v>
      </x:c>
      <x:c r="D1370" s="18" t="str">
        <x:v>Color: L (1.7/1.3/1.4/1.3/1.1)cm / M (1.6/1.2/1.3/1.2/1.0)cm / S (1.5/1.1/1.2/1.1/0.9)cm</x:v>
      </x:c>
      <x:c r="E1370" s="25" t="str">
        <x:v>$5.49</x:v>
      </x:c>
      <x:c r="F1370" s="19" t="str">
        <x:v>30</x:v>
      </x:c>
    </x:row>
    <x:row r="1371" ht="93" customHeight="1">
      <x:c r="A1371" s="19" t="n">
        <x:v>1368</x:v>
      </x:c>
      <x:c r="B1371" s="22" t="e">
        <x:f>HYPERLINK("https://cdn.shopify.com/s/files/1/0918/6066/4603/files/366dadb5597f8173d20b34acb7116f69.png?v=1755263697","Open")</x:f>
        <x:v>HYPERLINK is not implemented. linkLocation=https://cdn.shopify.com/s/files/1/0918/6066/4603/files/366dadb5597f8173d20b34acb7116f69.png?v=1755263697, friendlyName=Open</x:v>
      </x:c>
      <x:c r="C1371" s="24" t="e">
        <x:f>HYPERLINK("https://365nails.com/products/nail-tips-new-toenail-slices-600-pieces-in-a-bag-transparent-short-toenail-slices-all-pasted-with-light-and-thin-toenail-nail-slices","Nail Tips New toenail slices 600 pieces in a bag, transparent short toenail slices, all pasted with light and thin toenail nail slices (MOQ=3)")</x:f>
        <x:v>HYPERLINK is not implemented. linkLocation=https://365nails.com/products/nail-tips-new-toenail-slices-600-pieces-in-a-bag-transparent-short-toenail-slices-all-pasted-with-light-and-thin-toenail-nail-slices, friendlyName=Nail Tips New toenail slices 600 pieces in a bag, transparent short toenail slices, all pasted with light and thin toenail nail slices (MOQ=3)</x:v>
      </x:c>
      <x:c r="D1371" s="18" t="str">
        <x:v>Color classification: 34-Natural Color 600 Piece Bag / 34-Transparent color 600 pieces bag / 406-Frosted Toenails-8 Bags; Quantity: 3pcs</x:v>
      </x:c>
      <x:c r="E1371" s="25" t="str">
        <x:v>$15.00</x:v>
      </x:c>
      <x:c r="F1371" s="19" t="str">
        <x:v>1</x:v>
      </x:c>
    </x:row>
    <x:row r="1372" ht="93" customHeight="1">
      <x:c r="A1372" s="19" t="n">
        <x:v>1369</x:v>
      </x:c>
      <x:c r="B1372" s="22" t="e">
        <x:f>HYPERLINK("https://cdn.shopify.com/s/files/1/0918/6066/4603/files/O1CN01VylKIW22SYgDIvRKK__2219370087119-0-cib.jpg?v=1767238389","Open")</x:f>
        <x:v>HYPERLINK is not implemented. linkLocation=https://cdn.shopify.com/s/files/1/0918/6066/4603/files/O1CN01VylKIW22SYgDIvRKK__2219370087119-0-cib.jpg?v=1767238389, friendlyName=Open</x:v>
      </x:c>
      <x:c r="C1372" s="24" t="e">
        <x:f>HYPERLINK("https://365nails.com/products/gold-k9-crystal-luxury-stiletto-press-on-nails","Gold K9 Crystal Luxury Stiletto Press-On Nails")</x:f>
        <x:v>HYPERLINK is not implemented. linkLocation=https://365nails.com/products/gold-k9-crystal-luxury-stiletto-press-on-nails, friendlyName=Gold K9 Crystal Luxury Stiletto Press-On Nails</x:v>
      </x:c>
      <x:c r="D1372" s="18" t="str">
        <x:v>Color: Champagne gold; Color classification: L (1.7/1.3/1.4/1.3/1.1)cm / M (1.6/1.2/1.3/1.2/1.0)cm / S (1.5/1.1/1.2/1.1/0.9)cm</x:v>
      </x:c>
      <x:c r="E1372" s="25" t="str">
        <x:v>$4.49</x:v>
      </x:c>
      <x:c r="F1372" s="19" t="str">
        <x:v>30</x:v>
      </x:c>
    </x:row>
    <x:row r="1373" ht="93" customHeight="1">
      <x:c r="A1373" s="19" t="n">
        <x:v>1370</x:v>
      </x:c>
      <x:c r="B1373" s="22" t="e">
        <x:f>HYPERLINK("https://cdn.shopify.com/s/files/1/0918/6066/4603/files/O1CN01xaybfU22SYgEbxGLx__2219370087119-0-cib.jpg?v=1767184662","Open")</x:f>
        <x:v>HYPERLINK is not implemented. linkLocation=https://cdn.shopify.com/s/files/1/0918/6066/4603/files/O1CN01xaybfU22SYgEbxGLx__2219370087119-0-cib.jpg?v=1767184662, friendlyName=Open</x:v>
      </x:c>
      <x:c r="C1373" s="24" t="e">
        <x:f>HYPERLINK("https://365nails.com/products/snake-print-gemstone-stiletto-statement-press-on-nails","Snake Print Gemstone Stiletto Statement Press On Nails")</x:f>
        <x:v>HYPERLINK is not implemented. linkLocation=https://365nails.com/products/snake-print-gemstone-stiletto-statement-press-on-nails, friendlyName=Snake Print Gemstone Stiletto Statement Press On Nails</x:v>
      </x:c>
      <x:c r="D1373" s="18" t="str">
        <x:v>Color: L / M / S</x:v>
      </x:c>
      <x:c r="E1373" s="25" t="str">
        <x:v>$4.99</x:v>
      </x:c>
      <x:c r="F1373" s="19" t="str">
        <x:v>30</x:v>
      </x:c>
    </x:row>
    <x:row r="1374" ht="93" customHeight="1">
      <x:c r="A1374" s="19" t="n">
        <x:v>1371</x:v>
      </x:c>
      <x:c r="B1374" s="22" t="e">
        <x:f>HYPERLINK("https://cdn.shopify.com/s/files/1/0918/6066/4603/files/O1CN01R2oTDj2NGHvMiNRIt__4234819935-0-cib.jpg?v=1753431828","Open")</x:f>
        <x:v>HYPERLINK is not implemented. linkLocation=https://cdn.shopify.com/s/files/1/0918/6066/4603/files/O1CN01R2oTDj2NGHvMiNRIt__4234819935-0-cib.jpg?v=1753431828, friendlyName=Open</x:v>
      </x:c>
      <x:c r="C1374" s="24" t="e">
        <x:f>HYPERLINK("https://365nails.com/products/cross-border-hot-selling-long-pointed-manicure-blue-cats-eye-coating-wearing-nail-fake-nails-fake-nails-wholesale-365nails","hot-selling long-pointed manicure, blue cat eye coating,   ｜365nails")</x:f>
        <x:v>HYPERLINK is not implemented. linkLocation=https://365nails.com/products/cross-border-hot-selling-long-pointed-manicure-blue-cats-eye-coating-wearing-nail-fake-nails-fake-nails-wholesale-365nails, friendlyName=hot-selling long-pointed manicure, blue cat eye coating,   ｜365nails</x:v>
      </x:c>
      <x:c r="D1374" s="18" t="str">
        <x:v>color: JP3593</x:v>
      </x:c>
      <x:c r="E1374" s="25" t="str">
        <x:v>$0.65</x:v>
      </x:c>
      <x:c r="F1374" s="19" t="str">
        <x:v>1</x:v>
      </x:c>
    </x:row>
    <x:row r="1375" ht="93" customHeight="1">
      <x:c r="A1375" s="19" t="n">
        <x:v>1372</x:v>
      </x:c>
      <x:c r="B1375" s="22" t="e">
        <x:f>HYPERLINK("https://cdn.shopify.com/s/files/1/0918/6066/4603/files/O1CN01WZQZsI22SYgmWMA8V__2219370087119-0-cib.jpg?v=1767237585","Open")</x:f>
        <x:v>HYPERLINK is not implemented. linkLocation=https://cdn.shopify.com/s/files/1/0918/6066/4603/files/O1CN01WZQZsI22SYgmWMA8V__2219370087119-0-cib.jpg?v=1767237585, friendlyName=Open</x:v>
      </x:c>
      <x:c r="C1375" s="24" t="e">
        <x:f>HYPERLINK("https://365nails.com/products/autumn-blush-floral-duckbill-press-on-nails","Autumn Blush Floral Duckbill Press On Nails")</x:f>
        <x:v>HYPERLINK is not implemented. linkLocation=https://365nails.com/products/autumn-blush-floral-duckbill-press-on-nails, friendlyName=Autumn Blush Floral Duckbill Press On Nails</x:v>
      </x:c>
      <x:c r="D1375" s="18" t="str">
        <x:v>Color: L (1.7/1.3/1.4/1.3/1.1)cm / M (1.6/1.2/1.3/1.2/1.0)cm / S (1.5/1.1/1.2/1.1/0.9)cm</x:v>
      </x:c>
      <x:c r="E1375" s="25" t="str">
        <x:v>$5.49</x:v>
      </x:c>
      <x:c r="F1375" s="19" t="str">
        <x:v>30</x:v>
      </x:c>
    </x:row>
    <x:row r="1376" ht="93" customHeight="1">
      <x:c r="A1376" s="19" t="n">
        <x:v>1373</x:v>
      </x:c>
      <x:c r="B1376" s="22" t="e">
        <x:f>HYPERLINK("https://cdn.shopify.com/s/files/1/0918/6066/4603/files/O1CN015hCQ4R22SYgDYkCRD__2219370087119-0-cib.jpg?v=1767238330","Open")</x:f>
        <x:v>HYPERLINK is not implemented. linkLocation=https://cdn.shopify.com/s/files/1/0918/6066/4603/files/O1CN015hCQ4R22SYgDYkCRD__2219370087119-0-cib.jpg?v=1767238330, friendlyName=Open</x:v>
      </x:c>
      <x:c r="C1376" s="24" t="e">
        <x:f>HYPERLINK("https://365nails.com/products/white-slanted-french-ab-crystal-press-on-nails","White Slanted French AB Crystal Press-On Nails")</x:f>
        <x:v>HYPERLINK is not implemented. linkLocation=https://365nails.com/products/white-slanted-french-ab-crystal-press-on-nails, friendlyName=White Slanted French AB Crystal Press-On Nails</x:v>
      </x:c>
      <x:c r="D1376" s="18" t="str">
        <x:v>Color: L (1.7/1.3/1.4/1.3/1.1)cm / M (1.6/1.2/1.3/1.2/1.0)cm / S (1.5/1.1/1.2/1.1/0.9)cm</x:v>
      </x:c>
      <x:c r="E1376" s="25" t="str">
        <x:v>$4.99</x:v>
      </x:c>
      <x:c r="F1376" s="19" t="str">
        <x:v>30</x:v>
      </x:c>
    </x:row>
    <x:row r="1377" ht="93" customHeight="1">
      <x:c r="A1377" s="19" t="n">
        <x:v>1374</x:v>
      </x:c>
      <x:c r="B1377" s="22" t="e">
        <x:f>HYPERLINK("https://cdn.shopify.com/s/files/1/0918/6066/4603/files/O1CN01mxGWUq22SYgOss1zr__2219370087119-0-cib.jpg?v=1767237132","Open")</x:f>
        <x:v>HYPERLINK is not implemented. linkLocation=https://cdn.shopify.com/s/files/1/0918/6066/4603/files/O1CN01mxGWUq22SYgOss1zr__2219370087119-0-cib.jpg?v=1767237132, friendlyName=Open</x:v>
      </x:c>
      <x:c r="C1377" s="24" t="e">
        <x:f>HYPERLINK("https://365nails.com/products/apricot-yellow-duckbill-cross-accent-press-on-nails","Apricot Yellow Duckbill Cross Accent Press On Nails")</x:f>
        <x:v>HYPERLINK is not implemented. linkLocation=https://365nails.com/products/apricot-yellow-duckbill-cross-accent-press-on-nails, friendlyName=Apricot Yellow Duckbill Cross Accent Press On Nails</x:v>
      </x:c>
      <x:c r="D1377" s="18" t="str">
        <x:v>Color: L (1.7/1.3/1.4/1.3/1.1)cm / M (1.6/1.2/1.3/1.2/1.0)cm / S (1.5/1.1/1.2/1.1/0.9)cm</x:v>
      </x:c>
      <x:c r="E1377" s="25" t="str">
        <x:v>$5.49</x:v>
      </x:c>
      <x:c r="F1377" s="19" t="str">
        <x:v>30</x:v>
      </x:c>
    </x:row>
    <x:row r="1378" ht="93" customHeight="1">
      <x:c r="A1378" s="19" t="n">
        <x:v>1375</x:v>
      </x:c>
      <x:c r="B1378" s="22" t="e">
        <x:f>HYPERLINK("https://cdn.shopify.com/s/files/1/0918/6066/4603/files/O1CN01mqYk2F22SYgPHtlIV__2219370087119-0-cib.jpg?v=1767235934","Open")</x:f>
        <x:v>HYPERLINK is not implemented. linkLocation=https://cdn.shopify.com/s/files/1/0918/6066/4603/files/O1CN01mqYk2F22SYgPHtlIV__2219370087119-0-cib.jpg?v=1767235934, friendlyName=Open</x:v>
      </x:c>
      <x:c r="C1378" s="24" t="e">
        <x:f>HYPERLINK("https://365nails.com/products/sheer-pink-heart-jelly-stiletto-press-on-nails","Sheer Pink Heart Jelly Stiletto Press On Nails")</x:f>
        <x:v>HYPERLINK is not implemented. linkLocation=https://365nails.com/products/sheer-pink-heart-jelly-stiletto-press-on-nails, friendlyName=Sheer Pink Heart Jelly Stiletto Press On Nails</x:v>
      </x:c>
      <x:c r="D1378" s="18" t="str">
        <x:v>Color: L (1.7/1.3/1.4/1.3/1.1)cm / M (1.6/1.2/1.3/1.2/1.0)cm / S (1.5/1.1/1.2/1.1/0.9)cm</x:v>
      </x:c>
      <x:c r="E1378" s="25" t="str">
        <x:v>$4.99</x:v>
      </x:c>
      <x:c r="F1378" s="19" t="str">
        <x:v>30</x:v>
      </x:c>
    </x:row>
    <x:row r="1379" ht="93" customHeight="1">
      <x:c r="A1379" s="19" t="n">
        <x:v>1376</x:v>
      </x:c>
      <x:c r="B1379" s="22" t="e">
        <x:f>HYPERLINK("https://cdn.shopify.com/s/files/1/0918/6066/4603/files/O1CN01NkgONY247bmG2XXXn__2209064737344-0-cib.jpg?v=1755602887","Open")</x:f>
        <x:v>HYPERLINK is not implemented. linkLocation=https://cdn.shopify.com/s/files/1/0918/6066/4603/files/O1CN01NkgONY247bmG2XXXn__2209064737344-0-cib.jpg?v=1755602887, friendlyName=Open</x:v>
      </x:c>
      <x:c r="C1379" s="24" t="e">
        <x:f>HYPERLINK("https://365nails.com/products/nail-tips-new-duck-bill-nail-wearing-candy-color-lollipop-duck-bill-shape-foreign-trade-hot-nail-press-on-nails","New duck bill nail wearing candy color lollipop duck bill shape  foreign trade hot nail press on nails (MOQ=3)")</x:f>
        <x:v>HYPERLINK is not implemented. linkLocation=https://365nails.com/products/nail-tips-new-duck-bill-nail-wearing-candy-color-lollipop-duck-bill-shape-foreign-trade-hot-nail-press-on-nails, friendlyName=New duck bill nail wearing candy color lollipop duck bill shape  foreign trade hot nail press on nails (MOQ=3)</x:v>
      </x:c>
      <x:c r="D1379" s="18" t="str">
        <x:v>Color: 481-01 / 481-02 / 481-03 / 481-04 / 481-05 / 481-06 / 481-07 / 481-08 / 481-09 / 481-10; Color classification: S / M / L; Quantity: 3pcs</x:v>
      </x:c>
      <x:c r="E1379" s="25" t="str">
        <x:v>$5.16</x:v>
      </x:c>
      <x:c r="F1379" s="19" t="str">
        <x:v>1</x:v>
      </x:c>
    </x:row>
    <x:row r="1380" ht="93" customHeight="1">
      <x:c r="A1380" s="19" t="n">
        <x:v>1377</x:v>
      </x:c>
      <x:c r="B1380" s="22" t="e">
        <x:f>HYPERLINK("https://cdn.shopify.com/s/files/1/0918/6066/4603/files/O1CN01iLdVVT2NGHxuO6aOK__4234819935-0-cib.jpg?v=1753431877","Open")</x:f>
        <x:v>HYPERLINK is not implemented. linkLocation=https://cdn.shopify.com/s/files/1/0918/6066/4603/files/O1CN01iLdVVT2NGHxuO6aOK__4234819935-0-cib.jpg?v=1753431877, friendlyName=Open</x:v>
      </x:c>
      <x:c r="C1380" s="24" t="e">
        <x:f>HYPERLINK("https://365nails.com/products/simple-wearable-fake-nails-french-white-nail-art-3d-love-detachable-wearable-fake-nails-365nails","Simple Wearable Fake Nails French White Nail Art 3D Love Detachable Wearable Fake Nails｜365nails")</x:f>
        <x:v>HYPERLINK is not implemented. linkLocation=https://365nails.com/products/simple-wearable-fake-nails-french-white-nail-art-3d-love-detachable-wearable-fake-nails-365nails, friendlyName=Simple Wearable Fake Nails French White Nail Art 3D Love Detachable Wearable Fake Nails｜365nails</x:v>
      </x:c>
      <x:c r="D1380" s="18" t="str">
        <x:v>color: JP3869</x:v>
      </x:c>
      <x:c r="E1380" s="25" t="str">
        <x:v>$0.70</x:v>
      </x:c>
      <x:c r="F1380" s="19" t="str">
        <x:v>1</x:v>
      </x:c>
    </x:row>
    <x:row r="1381" ht="93" customHeight="1">
      <x:c r="A1381" s="19" t="n">
        <x:v>1378</x:v>
      </x:c>
      <x:c r="B1381" s="22" t="e">
        <x:f>HYPERLINK("https://cdn.shopify.com/s/files/1/0918/6066/4603/files/O1CN01zBOh4i22SYgEZqHbW__2219370087119-0-cib.jpg?v=1767240406","Open")</x:f>
        <x:v>HYPERLINK is not implemented. linkLocation=https://cdn.shopify.com/s/files/1/0918/6066/4603/files/O1CN01zBOh4i22SYgEZqHbW__2219370087119-0-cib.jpg?v=1767240406, friendlyName=Open</x:v>
      </x:c>
      <x:c r="C1381" s="24" t="e">
        <x:f>HYPERLINK("https://365nails.com/products/honey-bee-floral-sweet-crystal-press-on-nails","Honey Bee Floral Sweet Crystal Press On Nails")</x:f>
        <x:v>HYPERLINK is not implemented. linkLocation=https://365nails.com/products/honey-bee-floral-sweet-crystal-press-on-nails, friendlyName=Honey Bee Floral Sweet Crystal Press On Nails</x:v>
      </x:c>
      <x:c r="D1381" s="18" t="str">
        <x:v>Color: L (1.7/1.3/1.4/1.3/1.1)cm / M (1.6/1.2/1.3/1.2/1.0)cm / S (1.5/1.1/1.2/1.1/0.9)cm</x:v>
      </x:c>
      <x:c r="E1381" s="25" t="str">
        <x:v>$5.49</x:v>
      </x:c>
      <x:c r="F1381" s="19" t="str">
        <x:v>30</x:v>
      </x:c>
    </x:row>
    <x:row r="1382" ht="93" customHeight="1">
      <x:c r="A1382" s="19" t="n">
        <x:v>1379</x:v>
      </x:c>
      <x:c r="B1382" s="22" t="e">
        <x:f>HYPERLINK("https://cdn.shopify.com/s/files/1/0918/6066/4603/files/O1CN01zClMal22SYgfeL0cq__2219370087119-0-cib.jpg?v=1767238208","Open")</x:f>
        <x:v>HYPERLINK is not implemented. linkLocation=https://cdn.shopify.com/s/files/1/0918/6066/4603/files/O1CN01zClMal22SYgfeL0cq__2219370087119-0-cib.jpg?v=1767238208, friendlyName=Open</x:v>
      </x:c>
      <x:c r="C1382" s="24" t="e">
        <x:f>HYPERLINK("https://365nails.com/products/purple-fairy-bow-crystal-press-on-nails-set","Purple Fairy Bow Crystal Press-On Nails Set")</x:f>
        <x:v>HYPERLINK is not implemented. linkLocation=https://365nails.com/products/purple-fairy-bow-crystal-press-on-nails-set, friendlyName=Purple Fairy Bow Crystal Press-On Nails Set</x:v>
      </x:c>
      <x:c r="D1382" s="18" t="str">
        <x:v>Color: L (1.7/1.3/1.4/1.3/1.1)cm / M (1.6/1.2/1.3/1.2/1.0)cm / S (1.5/1.1/1.2/1.1/0.9)cm</x:v>
      </x:c>
      <x:c r="E1382" s="25" t="str">
        <x:v>$5.49</x:v>
      </x:c>
      <x:c r="F1382" s="19" t="str">
        <x:v>30</x:v>
      </x:c>
    </x:row>
    <x:row r="1383" ht="93" customHeight="1">
      <x:c r="A1383" s="19" t="n">
        <x:v>1380</x:v>
      </x:c>
      <x:c r="B1383" s="22" t="e">
        <x:f>HYPERLINK("https://cdn.shopify.com/s/files/1/0918/6066/4603/files/O1CN01lEAvM72NGHgtMFuJn__4234819935-0-cib_afcced15-e6ed-4740-a6a3-323e9aabee6d.jpg?v=1753431801","Open")</x:f>
        <x:v>HYPERLINK is not implemented. linkLocation=https://cdn.shopify.com/s/files/1/0918/6066/4603/files/O1CN01lEAvM72NGHgtMFuJn__4234819935-0-cib_afcced15-e6ed-4740-a6a3-323e9aabee6d.jpg?v=1753431801, friendlyName=Open</x:v>
      </x:c>
      <x:c r="C1383" s="24" t="e">
        <x:f>HYPERLINK("https://365nails.com/products/wear-nail-art-french-wear-nail-black-edge-black-small-love-wear-nail-plate-patch-nail-fake-nail-nails-365nails","Wear nail art French wear nail black edge black small love wear nail plate patch nail fake nail nails｜365nails")</x:f>
        <x:v>HYPERLINK is not implemented. linkLocation=https://365nails.com/products/wear-nail-art-french-wear-nail-black-edge-black-small-love-wear-nail-plate-patch-nail-fake-nail-nails-365nails, friendlyName=Wear nail art French wear nail black edge black small love wear nail plate patch nail fake nail nails｜365nails</x:v>
      </x:c>
      <x:c r="D1383" s="18" t="str">
        <x:v>color: JP1835</x:v>
      </x:c>
      <x:c r="E1383" s="25" t="str">
        <x:v>$0.70</x:v>
      </x:c>
      <x:c r="F1383" s="19" t="str">
        <x:v>1</x:v>
      </x:c>
    </x:row>
    <x:row r="1384" ht="93" customHeight="1">
      <x:c r="A1384" s="19" t="n">
        <x:v>1381</x:v>
      </x:c>
      <x:c r="B1384" s="22" t="e">
        <x:f>HYPERLINK("https://cdn.shopify.com/s/files/1/0918/6066/4603/files/O1CN01uVo5HW22SYgNtKfaq__2219370087119-0-cib.jpg?v=1767236491","Open")</x:f>
        <x:v>HYPERLINK is not implemented. linkLocation=https://cdn.shopify.com/s/files/1/0918/6066/4603/files/O1CN01uVo5HW22SYgNtKfaq__2219370087119-0-cib.jpg?v=1767236491, friendlyName=Open</x:v>
      </x:c>
      <x:c r="C1384" s="24" t="e">
        <x:f>HYPERLINK("https://365nails.com/products/red-nude-cross-heart-baroque-press-on-nails","Red Nude Cross Heart Baroque Press On Nails")</x:f>
        <x:v>HYPERLINK is not implemented. linkLocation=https://365nails.com/products/red-nude-cross-heart-baroque-press-on-nails, friendlyName=Red Nude Cross Heart Baroque Press On Nails</x:v>
      </x:c>
      <x:c r="D1384" s="18" t="str">
        <x:v>Color: L (1.7/1.3/1.4/1.3/1.1)cm / M (1.6/1.2/1.3/1.2/1.0)cm / S (1.5/1.1/1.2/1.1/0.9)cm</x:v>
      </x:c>
      <x:c r="E1384" s="25" t="str">
        <x:v>$5.49</x:v>
      </x:c>
      <x:c r="F1384" s="19" t="str">
        <x:v>30</x:v>
      </x:c>
    </x:row>
    <x:row r="1385" ht="93" customHeight="1">
      <x:c r="A1385" s="19" t="n">
        <x:v>1382</x:v>
      </x:c>
      <x:c r="B1385" s="22" t="e">
        <x:f>HYPERLINK("https://cdn.shopify.com/s/files/1/0918/6066/4603/files/O1CN01rElXqs22SYgCfgC6V__2219370087119-0-cib.jpg?v=1767236293","Open")</x:f>
        <x:v>HYPERLINK is not implemented. linkLocation=https://cdn.shopify.com/s/files/1/0918/6066/4603/files/O1CN01rElXqs22SYgCfgC6V__2219370087119-0-cib.jpg?v=1767236293, friendlyName=Open</x:v>
      </x:c>
      <x:c r="C1385" s="24" t="e">
        <x:f>HYPERLINK("https://365nails.com/products/black-white-gothic-eye-crystal-press-on-nails","Black White Gothic Eye Crystal Press On Nails")</x:f>
        <x:v>HYPERLINK is not implemented. linkLocation=https://365nails.com/products/black-white-gothic-eye-crystal-press-on-nails, friendlyName=Black White Gothic Eye Crystal Press On Nails</x:v>
      </x:c>
      <x:c r="D1385" s="18" t="str">
        <x:v>Color: L (1.7/1.3/1.4/1.3/1.1)cm / M (1.6/1.2/1.3/1.2/1.0)cm / S (1.5/1.1/1.2/1.1/0.9)cm</x:v>
      </x:c>
      <x:c r="E1385" s="25" t="str">
        <x:v>$4.99</x:v>
      </x:c>
      <x:c r="F1385" s="19" t="str">
        <x:v>30</x:v>
      </x:c>
    </x:row>
    <x:row r="1386" ht="93" customHeight="1">
      <x:c r="A1386" s="19" t="n">
        <x:v>1383</x:v>
      </x:c>
      <x:c r="B1386" s="22" t="e">
        <x:f>HYPERLINK("https://cdn.shopify.com/s/files/1/0918/6066/4603/files/O1CN01eG7YAG22SYgOB6ymx__2219370087119-0-cib.jpg?v=1767238146","Open")</x:f>
        <x:v>HYPERLINK is not implemented. linkLocation=https://cdn.shopify.com/s/files/1/0918/6066/4603/files/O1CN01eG7YAG22SYgOB6ymx__2219370087119-0-cib.jpg?v=1767238146, friendlyName=Open</x:v>
      </x:c>
      <x:c r="C1386" s="24" t="e">
        <x:f>HYPERLINK("https://365nails.com/products/pink-crocodile-french-stiletto-nails-with-gold-bear-charm","Pink Crocodile French Stiletto Nails with Gold Bear Charm")</x:f>
        <x:v>HYPERLINK is not implemented. linkLocation=https://365nails.com/products/pink-crocodile-french-stiletto-nails-with-gold-bear-charm, friendlyName=Pink Crocodile French Stiletto Nails with Gold Bear Charm</x:v>
      </x:c>
      <x:c r="D1386" s="18" t="str">
        <x:v>Color: L (1.7/1.3/1.4/1.3/1.1)cm / M (1.6/1.2/1.3/1.2/1.0)cm / S (1.5/1.1/1.2/1.1/0.9)cm</x:v>
      </x:c>
      <x:c r="E1386" s="25" t="str">
        <x:v>$5.49</x:v>
      </x:c>
      <x:c r="F1386" s="19" t="str">
        <x:v>30</x:v>
      </x:c>
    </x:row>
    <x:row r="1387" ht="93" customHeight="1">
      <x:c r="A1387" s="19" t="n">
        <x:v>1384</x:v>
      </x:c>
      <x:c r="B1387" s="22" t="e">
        <x:f>HYPERLINK("https://cdn.shopify.com/s/files/1/0918/6066/4603/files/O1CN01GboNex22SYgDP5V1t__2219370087119-0-cib.jpg?v=1767237715","Open")</x:f>
        <x:v>HYPERLINK is not implemented. linkLocation=https://cdn.shopify.com/s/files/1/0918/6066/4603/files/O1CN01GboNex22SYgDP5V1t__2219370087119-0-cib.jpg?v=1767237715, friendlyName=Open</x:v>
      </x:c>
      <x:c r="C1387" s="24" t="e">
        <x:f>HYPERLINK("https://365nails.com/products/hot-pink-lips-duckbill-press-on-nails","Hot Pink Lips Duckbill Press On Nails")</x:f>
        <x:v>HYPERLINK is not implemented. linkLocation=https://365nails.com/products/hot-pink-lips-duckbill-press-on-nails, friendlyName=Hot Pink Lips Duckbill Press On Nails</x:v>
      </x:c>
      <x:c r="D1387" s="18" t="str">
        <x:v>Color: L (1.7/1.3/1.4/1.3/1.1)cm / M (1.6/1.2/1.3/1.2/1.0)cm / S (1.5/1.1/1.2/1.1/0.9)cm</x:v>
      </x:c>
      <x:c r="E1387" s="25" t="str">
        <x:v>$5.99</x:v>
      </x:c>
      <x:c r="F1387" s="19" t="str">
        <x:v>30</x:v>
      </x:c>
    </x:row>
    <x:row r="1388" ht="93" customHeight="1">
      <x:c r="A1388" s="19" t="n">
        <x:v>1385</x:v>
      </x:c>
      <x:c r="B1388" s="22" t="e">
        <x:f>HYPERLINK("https://cdn.shopify.com/s/files/1/0918/6066/4603/files/O1CN01KoQ5X722SYgE8qoFV__2219370087119-0-cib.jpg?v=1767238771","Open")</x:f>
        <x:v>HYPERLINK is not implemented. linkLocation=https://cdn.shopify.com/s/files/1/0918/6066/4603/files/O1CN01KoQ5X722SYgE8qoFV__2219370087119-0-cib.jpg?v=1767238771, friendlyName=Open</x:v>
      </x:c>
      <x:c r="C1388" s="24" t="e">
        <x:f>HYPERLINK("https://365nails.com/products/ocean-starfish-shell-press-on-nails","Ocean Starfish Shell Press-On Nails")</x:f>
        <x:v>HYPERLINK is not implemented. linkLocation=https://365nails.com/products/ocean-starfish-shell-press-on-nails, friendlyName=Ocean Starfish Shell Press-On Nails</x:v>
      </x:c>
      <x:c r="D1388" s="18" t="str">
        <x:v>Color: L (1.7/1.3/1.4/1.3/1.1)cm / M (1.6/1.2/1.3/1.2/1.0)cm / S (1.5/1.1/1.2/1.1/0.9)cm</x:v>
      </x:c>
      <x:c r="E1388" s="25" t="str">
        <x:v>$5.49</x:v>
      </x:c>
      <x:c r="F1388" s="19" t="str">
        <x:v>30</x:v>
      </x:c>
    </x:row>
    <x:row r="1389" ht="93" customHeight="1">
      <x:c r="A1389" s="19" t="n">
        <x:v>1386</x:v>
      </x:c>
      <x:c r="B1389" s="22" t="e">
        <x:f>HYPERLINK("https://cdn.shopify.com/s/files/1/0918/6066/4603/files/O1CN01mLX28N22SYgDMP8Ck__2219370087119-0-cib.jpg?v=1767240339","Open")</x:f>
        <x:v>HYPERLINK is not implemented. linkLocation=https://cdn.shopify.com/s/files/1/0918/6066/4603/files/O1CN01mLX28N22SYgDMP8Ck__2219370087119-0-cib.jpg?v=1767240339, friendlyName=Open</x:v>
      </x:c>
      <x:c r="C1389" s="24" t="e">
        <x:f>HYPERLINK("https://365nails.com/products/black-full-crystal-y2k-statement-press-on-nails","Black Full Crystal Y2K Statement Press On Nails")</x:f>
        <x:v>HYPERLINK is not implemented. linkLocation=https://365nails.com/products/black-full-crystal-y2k-statement-press-on-nails, friendlyName=Black Full Crystal Y2K Statement Press On Nails</x:v>
      </x:c>
      <x:c r="D1389" s="18" t="str">
        <x:v>Color: Black / Emerald green; Color classification: L (1.7/1.3/1.4/1.3/1.1)cm / M (1.6/1.2/1.3/1.2/1.0)cm / S (1.5/1.1/1.2/1.1/0.9)cm</x:v>
      </x:c>
      <x:c r="E1389" s="25" t="str">
        <x:v>$4.49</x:v>
      </x:c>
      <x:c r="F1389" s="19" t="str">
        <x:v>30</x:v>
      </x:c>
    </x:row>
    <x:row r="1390" ht="93" customHeight="1">
      <x:c r="A1390" s="19" t="n">
        <x:v>1387</x:v>
      </x:c>
      <x:c r="B1390" s="22" t="e">
        <x:f>HYPERLINK("https://cdn.shopify.com/s/files/1/0918/6066/4603/files/O1CN016Um87122SYgDpBzFA__2219370087119-0-cib.jpg?v=1767239164","Open")</x:f>
        <x:v>HYPERLINK is not implemented. linkLocation=https://cdn.shopify.com/s/files/1/0918/6066/4603/files/O1CN016Um87122SYgDpBzFA__2219370087119-0-cib.jpg?v=1767239164, friendlyName=Open</x:v>
      </x:c>
      <x:c r="C1390" s="24" t="e">
        <x:f>HYPERLINK("https://365nails.com/products/ruby-red-crystal-stiletto-press-on-nails","Ruby Red Crystal Stiletto Press-On Nails")</x:f>
        <x:v>HYPERLINK is not implemented. linkLocation=https://365nails.com/products/ruby-red-crystal-stiletto-press-on-nails, friendlyName=Ruby Red Crystal Stiletto Press-On Nails</x:v>
      </x:c>
      <x:c r="D1390" s="18" t="str">
        <x:v>Color: L (1.7/1.3/1.4/1.3/1.1)cm / M (1.6/1.2/1.3/1.2/1.0)cm / S (1.5/1.1/1.2/1.1/0.9)cm</x:v>
      </x:c>
      <x:c r="E1390" s="25" t="str">
        <x:v>$4.99</x:v>
      </x:c>
      <x:c r="F1390" s="19" t="str">
        <x:v>30</x:v>
      </x:c>
    </x:row>
    <x:row r="1391" ht="93" customHeight="1">
      <x:c r="A1391" s="19" t="n">
        <x:v>1388</x:v>
      </x:c>
      <x:c r="B1391" s="22" t="e">
        <x:f>HYPERLINK("https://cdn.shopify.com/s/files/1/0918/6066/4603/files/O1CN01SyBsTU2NGHroFRLt0__4234819935-0-cib.jpg?v=1753431769","Open")</x:f>
        <x:v>HYPERLINK is not implemented. linkLocation=https://cdn.shopify.com/s/files/1/0918/6066/4603/files/O1CN01SyBsTU2NGHroFRLt0__4234819935-0-cib.jpg?v=1753431769, friendlyName=Open</x:v>
      </x:c>
      <x:c r="C1391" s="24" t="e">
        <x:f>HYPERLINK("https://365nails.com/products/pack-of-24-pink-sweet-cats-eye-wearable-nail-pads-wholesale-bow-nail-pads-xiaohongshu-ins-fake-nails-365nails","Pack of 24 pink sweet cat eye pads  bow nail pads  ins s｜365nails")</x:f>
        <x:v>HYPERLINK is not implemented. linkLocation=https://365nails.com/products/pack-of-24-pink-sweet-cats-eye-wearable-nail-pads-wholesale-bow-nail-pads-xiaohongshu-ins-fake-nails-365nails, friendlyName=Pack of 24 pink sweet cat eye pads  bow nail pads  ins s｜365nails</x:v>
      </x:c>
      <x:c r="D1391" s="18" t="str">
        <x:v>Color: JP3307</x:v>
      </x:c>
      <x:c r="E1391" s="25" t="str">
        <x:v>$1.22</x:v>
      </x:c>
      <x:c r="F1391" s="19" t="str">
        <x:v>1</x:v>
      </x:c>
    </x:row>
    <x:row r="1392" ht="93" customHeight="1">
      <x:c r="A1392" s="19" t="n">
        <x:v>1389</x:v>
      </x:c>
      <x:c r="B1392" s="22" t="e">
        <x:f>HYPERLINK("https://cdn.shopify.com/s/files/1/0918/6066/4603/files/O1CN01lcNvjR2NGHyXWfqxD__4234819935-0-cib.jpg?v=1753431908","Open")</x:f>
        <x:v>HYPERLINK is not implemented. linkLocation=https://cdn.shopify.com/s/files/1/0918/6066/4603/files/O1CN01lcNvjR2NGHyXWfqxD__4234819935-0-cib.jpg?v=1753431908, friendlyName=Open</x:v>
      </x:c>
      <x:c r="C1392" s="24" t="e">
        <x:f>HYPERLINK("https://365nails.com/products/cross-border-foreign-trade-short-square-nail-wearing-nail-fresh-cherry-wearing-nail-piece-simple-nail-piece-wholesale-365nails","short square nail  fresh cherry  simple  wholesale｜365nails")</x:f>
        <x:v>HYPERLINK is not implemented. linkLocation=https://365nails.com/products/cross-border-foreign-trade-short-square-nail-wearing-nail-fresh-cherry-wearing-nail-piece-simple-nail-piece-wholesale-365nails, friendlyName=short square nail  fresh cherry  simple  wholesale｜365nails</x:v>
      </x:c>
      <x:c r="D1392" s="18" t="str">
        <x:v>color: JP3948</x:v>
      </x:c>
      <x:c r="E1392" s="25" t="str">
        <x:v>$1.30</x:v>
      </x:c>
      <x:c r="F1392" s="19" t="str">
        <x:v>1</x:v>
      </x:c>
    </x:row>
    <x:row r="1393" ht="93" customHeight="1">
      <x:c r="A1393" s="19" t="n">
        <x:v>1390</x:v>
      </x:c>
      <x:c r="B1393" s="22" t="e">
        <x:f>HYPERLINK("https://cdn.shopify.com/s/files/1/0918/6066/4603/files/O1CN01w0MHVC2NGHymUxmoD__4234819935-0-cib.jpg?v=1753431763","Open")</x:f>
        <x:v>HYPERLINK is not implemented. linkLocation=https://cdn.shopify.com/s/files/1/0918/6066/4603/files/O1CN01w0MHVC2NGHymUxmoD__4234819935-0-cib.jpg?v=1753431763, friendlyName=Open</x:v>
      </x:c>
      <x:c r="C1393" s="24" t="e">
        <x:f>HYPERLINK("https://365nails.com/products/cross-border-hot-selling-french-rose-red-glitter-wearing-nail-fake-nails-short-square-nail-nail-art-fake-nails-365nails","hot-selling French rose red glitter,  , short square nail, nail art, ｜365nails")</x:f>
        <x:v>HYPERLINK is not implemented. linkLocation=https://365nails.com/products/cross-border-hot-selling-french-rose-red-glitter-wearing-nail-fake-nails-short-square-nail-nail-art-fake-nails-365nails, friendlyName=hot-selling French rose red glitter,  , short square nail, nail art, ｜365nails</x:v>
      </x:c>
      <x:c r="D1393" s="18" t="str">
        <x:v>color: JP3936</x:v>
      </x:c>
      <x:c r="E1393" s="25" t="str">
        <x:v>$1.30</x:v>
      </x:c>
      <x:c r="F1393" s="19" t="str">
        <x:v>1</x:v>
      </x:c>
    </x:row>
    <x:row r="1394" ht="93" customHeight="1">
      <x:c r="A1394" s="19" t="n">
        <x:v>1391</x:v>
      </x:c>
      <x:c r="B1394" s="22" t="e">
        <x:f>HYPERLINK("https://cdn.shopify.com/s/files/1/0918/6066/4603/files/O1CN01xEd6hD2NGHux5Arpq__4234819935-0-cib.jpg?v=1753431752","Open")</x:f>
        <x:v>HYPERLINK is not implemented. linkLocation=https://cdn.shopify.com/s/files/1/0918/6066/4603/files/O1CN01xEd6hD2NGHux5Arpq__4234819935-0-cib.jpg?v=1753431752, friendlyName=Open</x:v>
      </x:c>
      <x:c r="C1394" s="24" t="e">
        <x:f>HYPERLINK("https://365nails.com/products/french-silver-circle-wearing-nail-dark-blue-smudged-manicure-fake-nail-short-almond-european-and-american-cross-border-nail-piece-365nails","French silver circle  dark blue smudged manicure  short almond   ｜365nails")</x:f>
        <x:v>HYPERLINK is not implemented. linkLocation=https://365nails.com/products/french-silver-circle-wearing-nail-dark-blue-smudged-manicure-fake-nail-short-almond-european-and-american-cross-border-nail-piece-365nails, friendlyName=French silver circle  dark blue smudged manicure  short almond   ｜365nails</x:v>
      </x:c>
      <x:c r="D1394" s="18" t="str">
        <x:v>color: JP3566</x:v>
      </x:c>
      <x:c r="E1394" s="25" t="str">
        <x:v>$0.70</x:v>
      </x:c>
      <x:c r="F1394" s="19" t="str">
        <x:v>1</x:v>
      </x:c>
    </x:row>
    <x:row r="1395" ht="93" customHeight="1">
      <x:c r="A1395" s="19" t="n">
        <x:v>1392</x:v>
      </x:c>
      <x:c r="B1395" s="22" t="e">
        <x:f>HYPERLINK("https://cdn.shopify.com/s/files/1/0918/6066/4603/files/O1CN01Q8x8d122SYgOSslvm__2219370087119-0-cib.jpg?v=1767239353","Open")</x:f>
        <x:v>HYPERLINK is not implemented. linkLocation=https://cdn.shopify.com/s/files/1/0918/6066/4603/files/O1CN01Q8x8d122SYgOSslvm__2219370087119-0-cib.jpg?v=1767239353, friendlyName=Open</x:v>
      </x:c>
      <x:c r="C1395" s="24" t="e">
        <x:f>HYPERLINK("https://365nails.com/products/nude-pink-crystal-duckbill-press-on-nails","Nude Pink Crystal Duckbill Press-On Nails")</x:f>
        <x:v>HYPERLINK is not implemented. linkLocation=https://365nails.com/products/nude-pink-crystal-duckbill-press-on-nails, friendlyName=Nude Pink Crystal Duckbill Press-On Nails</x:v>
      </x:c>
      <x:c r="D1395" s="18" t="str">
        <x:v>Color: L (1.7/1.3/1.4/1.3/1.1)cm / M (1.6/1.2/1.3/1.2/1.0)cm / S (1.5/1.1/1.2/1.1/0.9)cm</x:v>
      </x:c>
      <x:c r="E1395" s="25" t="str">
        <x:v>$4.99</x:v>
      </x:c>
      <x:c r="F1395" s="19" t="str">
        <x:v>30</x:v>
      </x:c>
    </x:row>
    <x:row r="1396" ht="93" customHeight="1">
      <x:c r="A1396" s="19" t="n">
        <x:v>1393</x:v>
      </x:c>
      <x:c r="B1396" s="22" t="e">
        <x:f>HYPERLINK("https://cdn.shopify.com/s/files/1/0918/6066/4603/files/O1CN01FIX50F1rlpJdmNLPt__2215158925672-0-cib.jpg?v=1754448155","Open")</x:f>
        <x:v>HYPERLINK is not implemented. linkLocation=https://cdn.shopify.com/s/files/1/0918/6066/4603/files/O1CN01FIX50F1rlpJdmNLPt__2215158925672-0-cib.jpg?v=1754448155, friendlyName=Open</x:v>
      </x:c>
      <x:c r="C1396" s="24" t="e">
        <x:f>HYPERLINK("https://365nails.com/products/handmade-manicure-short-spring-and-summer-small-fresh-hand-painted-five-petaled-flower-pure-handmade-press-on-nails-removable-fake-nail-365nails","Nature Daisy Green Glitter Floral Short Press-On Nails")</x:f>
        <x:v>HYPERLINK is not implemented. linkLocation=https://365nails.com/products/handmade-manicure-short-spring-and-summer-small-fresh-hand-painted-five-petaled-flower-pure-handmade-press-on-nails-removable-fake-nail-365nails, friendlyName=Nature Daisy Green Glitter Floral Short Press-On Nails</x:v>
      </x:c>
      <x:c r="D1396" s="18" t="str">
        <x:v>shape: new short square; size: XS / S / M / L</x:v>
      </x:c>
      <x:c r="E1396" s="25" t="str">
        <x:v>$2.99</x:v>
      </x:c>
      <x:c r="F1396" s="19" t="str">
        <x:v>30</x:v>
      </x:c>
    </x:row>
    <x:row r="1397" ht="93" customHeight="1">
      <x:c r="A1397" s="19" t="n">
        <x:v>1394</x:v>
      </x:c>
      <x:c r="B1397" s="22" t="e">
        <x:f>HYPERLINK("https://cdn.shopify.com/s/files/1/0918/6066/4603/files/O1CN01hbPztb2NGHggDN0yg__4234819935-0-cib.jpg?v=1753432258","Open")</x:f>
        <x:v>HYPERLINK is not implemented. linkLocation=https://cdn.shopify.com/s/files/1/0918/6066/4603/files/O1CN01hbPztb2NGHggDN0yg__4234819935-0-cib.jpg?v=1753432258, friendlyName=Open</x:v>
      </x:c>
      <x:c r="C1397" s="24" t="e">
        <x:f>HYPERLINK("https://365nails.com/products/wholesale-of-finished-nail-pads-wearing-armor-french-pink-glitter-small-flowers-and-small-gold-beads-nail-pads-with-fake-nails-365nails","Wholesale of finished nail pads Wearing armor, French pink glitter, small flowers and small gold beads, nail pads with fake nails｜365nails")</x:f>
        <x:v>HYPERLINK is not implemented. linkLocation=https://365nails.com/products/wholesale-of-finished-nail-pads-wearing-armor-french-pink-glitter-small-flowers-and-small-gold-beads-nail-pads-with-fake-nails-365nails, friendlyName=Wholesale of finished nail pads Wearing armor, French pink glitter, small flowers and small gold beads, nail pads with fake nails｜365nails</x:v>
      </x:c>
      <x:c r="D1397" s="18" t="str">
        <x:v>color: JP1736</x:v>
      </x:c>
      <x:c r="E1397" s="25" t="str">
        <x:v>$1.47</x:v>
      </x:c>
      <x:c r="F1397" s="19" t="str">
        <x:v>1</x:v>
      </x:c>
    </x:row>
    <x:row r="1398" ht="93" customHeight="1">
      <x:c r="A1398" s="19" t="n">
        <x:v>1395</x:v>
      </x:c>
      <x:c r="B1398" s="22" t="e">
        <x:f>HYPERLINK("https://cdn.shopify.com/s/files/1/0918/6066/4603/files/O1CN01V4GvoV2NGHvmfQiR8__4234819935-0-cib.jpg?v=1753431869","Open")</x:f>
        <x:v>HYPERLINK is not implemented. linkLocation=https://cdn.shopify.com/s/files/1/0918/6066/4603/files/O1CN01V4GvoV2NGHvmfQiR8__4234819935-0-cib.jpg?v=1753431869, friendlyName=Open</x:v>
      </x:c>
      <x:c r="C1398" s="24" t="e">
        <x:f>HYPERLINK("https://365nails.com/products/simple-spice-girl-dark-red-gradual-change-wearing-nail-cross-border-hot-selling-european-and-american-nail-products-short-nail-art-fake-nail-wholesale-365nails","Simple Spice Girl dark red gradual change   hot-selling  nail products short nail art  wholesale｜365nails")</x:f>
        <x:v>HYPERLINK is not implemented. linkLocation=https://365nails.com/products/simple-spice-girl-dark-red-gradual-change-wearing-nail-cross-border-hot-selling-european-and-american-nail-products-short-nail-art-fake-nail-wholesale-365nails, friendlyName=Simple Spice Girl dark red gradual change   hot-selling  nail products short nail art  wholesale｜365nails</x:v>
      </x:c>
      <x:c r="D1398" s="18" t="str">
        <x:v>color: GD35</x:v>
      </x:c>
      <x:c r="E1398" s="25" t="str">
        <x:v>$0.97</x:v>
      </x:c>
      <x:c r="F1398" s="19" t="str">
        <x:v>1</x:v>
      </x:c>
    </x:row>
    <x:row r="1399" ht="93" customHeight="1">
      <x:c r="A1399" s="19" t="n">
        <x:v>1396</x:v>
      </x:c>
      <x:c r="B1399" s="22" t="e">
        <x:f>HYPERLINK("https://cdn.shopify.com/s/files/1/0918/6066/4603/files/O1CN01JsGl6P22SYgjcCeNs__2219370087119-0-cib.jpg?v=1767239836","Open")</x:f>
        <x:v>HYPERLINK is not implemented. linkLocation=https://cdn.shopify.com/s/files/1/0918/6066/4603/files/O1CN01JsGl6P22SYgjcCeNs__2219370087119-0-cib.jpg?v=1767239836, friendlyName=Open</x:v>
      </x:c>
      <x:c r="C1399" s="24" t="e">
        <x:f>HYPERLINK("https://365nails.com/products/black-gold-baroque-bow-luxury-press-on-nails","Black Gold Baroque Bow Luxury Press On Nails")</x:f>
        <x:v>HYPERLINK is not implemented. linkLocation=https://365nails.com/products/black-gold-baroque-bow-luxury-press-on-nails, friendlyName=Black Gold Baroque Bow Luxury Press On Nails</x:v>
      </x:c>
      <x:c r="D1399" s="18" t="str">
        <x:v>Color: L (1.7/1.3/1.4/1.3/1.1)cm / M (1.6/1.2/1.3/1.2/1.0)cm / S (1.5/1.1/1.2/1.1/0.9)cm</x:v>
      </x:c>
      <x:c r="E1399" s="25" t="str">
        <x:v>$5.49</x:v>
      </x:c>
      <x:c r="F1399" s="19" t="str">
        <x:v>30</x:v>
      </x:c>
    </x:row>
    <x:row r="1400" ht="93" customHeight="1">
      <x:c r="A1400" s="19" t="n">
        <x:v>1397</x:v>
      </x:c>
      <x:c r="B1400" s="22" t="e">
        <x:f>HYPERLINK("https://cdn.shopify.com/s/files/1/0918/6066/4603/files/O1CN01mzbjlA1rlpXtzsjX3__2215158925672-0-cib.jpg?v=1754447439","Open")</x:f>
        <x:v>HYPERLINK is not implemented. linkLocation=https://cdn.shopify.com/s/files/1/0918/6066/4603/files/O1CN01mzbjlA1rlpXtzsjX3__2215158925672-0-cib.jpg?v=1754447439, friendlyName=Open</x:v>
      </x:c>
      <x:c r="C1400" s="24" t="e">
        <x:f>HYPERLINK("https://365nails.com/products/dyed-armor-ice-transparent-french-ins-style-almond-armor-simple-blush-armor-metal-wind-cross-hand-worn-armor-365nails","Elegant Gold Frame Blush Nails with Chic Cross Accents")</x:f>
        <x:v>HYPERLINK is not implemented. linkLocation=https://365nails.com/products/dyed-armor-ice-transparent-french-ins-style-almond-armor-simple-blush-armor-metal-wind-cross-hand-worn-armor-365nails, friendlyName=Elegant Gold Frame Blush Nails with Chic Cross Accents</x:v>
      </x:c>
      <x:c r="D1400" s="18" t="str">
        <x:v>Size: XS / S / M / L</x:v>
      </x:c>
      <x:c r="E1400" s="25" t="str">
        <x:v>$2.99</x:v>
      </x:c>
      <x:c r="F1400" s="19" t="str">
        <x:v>30</x:v>
      </x:c>
    </x:row>
    <x:row r="1401" ht="93" customHeight="1">
      <x:c r="A1401" s="19" t="n">
        <x:v>1398</x:v>
      </x:c>
      <x:c r="B1401" s="22" t="e">
        <x:f>HYPERLINK("https://cdn.shopify.com/s/files/1/0918/6066/4603/files/O1CN01nF1eNp2NGHsrtpgUG__4234819935-0-cib.jpg?v=1753429069","Open")</x:f>
        <x:v>HYPERLINK is not implemented. linkLocation=https://cdn.shopify.com/s/files/1/0918/6066/4603/files/O1CN01nF1eNp2NGHsrtpgUG__4234819935-0-cib.jpg?v=1753429069, friendlyName=Open</x:v>
      </x:c>
      <x:c r="C1401" s="24" t="e">
        <x:f>HYPERLINK("https://365nails.com/products/2024-simple-french-purple-wearing-nail-xiaohongshu-gradual-change-fake-nail-short-round-nail-finished-product-wholesale-365nails","simple French purple press on nails  gradual change fake nail short round nail finished product wholesale｜365nails")</x:f>
        <x:v>HYPERLINK is not implemented. linkLocation=https://365nails.com/products/2024-simple-french-purple-wearing-nail-xiaohongshu-gradual-change-fake-nail-short-round-nail-finished-product-wholesale-365nails, friendlyName=simple French purple press on nails  gradual change fake nail short round nail finished product wholesale｜365nails</x:v>
      </x:c>
      <x:c r="D1401" s="18" t="str">
        <x:v>color: JP3435 [Glue model] / JP3435 [Including wearable kit]</x:v>
      </x:c>
      <x:c r="E1401" s="25" t="str">
        <x:v>$0.77–$0.94</x:v>
      </x:c>
      <x:c r="F1401" s="19" t="str">
        <x:v>1</x:v>
      </x:c>
    </x:row>
    <x:row r="1402" ht="93" customHeight="1">
      <x:c r="A1402" s="19" t="n">
        <x:v>1399</x:v>
      </x:c>
      <x:c r="B1402" s="22" t="e">
        <x:f>HYPERLINK("https://cdn.shopify.com/s/files/1/0918/6066/4603/files/O1CN01MQWemD2NGHsF3XBc4__4234819935-0-cib.jpg?v=1753431923","Open")</x:f>
        <x:v>HYPERLINK is not implemented. linkLocation=https://cdn.shopify.com/s/files/1/0918/6066/4603/files/O1CN01MQWemD2NGHsF3XBc4__4234819935-0-cib.jpg?v=1753431923, friendlyName=Open</x:v>
      </x:c>
      <x:c r="C1402" s="24" t="e">
        <x:f>HYPERLINK("https://365nails.com/products/french-almond-nail-patch-nail-patch-cross-border-explosion-bow-wearing-nail-blush-star-manicure-fake-nail-365nails","French almond nail patch explosion bow  blush star manicure ｜365nails")</x:f>
        <x:v>HYPERLINK is not implemented. linkLocation=https://365nails.com/products/french-almond-nail-patch-nail-patch-cross-border-explosion-bow-wearing-nail-blush-star-manicure-fake-nail-365nails, friendlyName=French almond nail patch explosion bow  blush star manicure ｜365nails</x:v>
      </x:c>
      <x:c r="D1402" s="18" t="str">
        <x:v>Color: JP3223</x:v>
      </x:c>
      <x:c r="E1402" s="25" t="str">
        <x:v>$1.73</x:v>
      </x:c>
      <x:c r="F1402" s="19" t="str">
        <x:v>1</x:v>
      </x:c>
    </x:row>
    <x:row r="1403" ht="93" customHeight="1">
      <x:c r="A1403" s="19" t="n">
        <x:v>1400</x:v>
      </x:c>
      <x:c r="B1403" s="22" t="e">
        <x:f>HYPERLINK("https://cdn.shopify.com/s/files/1/0918/6066/4603/files/O1CN01tCBaCx2NGHolGUJqV__4234819935-0-cib.jpg?v=1753429112","Open")</x:f>
        <x:v>HYPERLINK is not implemented. linkLocation=https://cdn.shopify.com/s/files/1/0918/6066/4603/files/O1CN01tCBaCx2NGHolGUJqV__4234819935-0-cib.jpg?v=1753429112, friendlyName=Open</x:v>
      </x:c>
      <x:c r="C1403" s="24" t="e">
        <x:f>HYPERLINK("https://365nails.com/products/golden-glitter-wearing-nail-v-shaped-french-white-edge-flower-three-dimensional-rhinestone-nail-piece-autumn-and-winter-new-nail-piece-batch-365nails","Golden glitter  V-shaped French white edge flower three-dimensional rhinestone  autumn and winter new  batch｜365nails")</x:f>
        <x:v>HYPERLINK is not implemented. linkLocation=https://365nails.com/products/golden-glitter-wearing-nail-v-shaped-french-white-edge-flower-three-dimensional-rhinestone-nail-piece-autumn-and-winter-new-nail-piece-batch-365nails, friendlyName=Golden glitter  V-shaped French white edge flower three-dimensional rhinestone  autumn and winter new  batch｜365nails</x:v>
      </x:c>
      <x:c r="D1403" s="18" t="str">
        <x:v>color: JP2934 [Glue model] / JP2934 [Including wearable kit]</x:v>
      </x:c>
      <x:c r="E1403" s="25" t="str">
        <x:v>$1.33–$1.51</x:v>
      </x:c>
      <x:c r="F1403" s="19" t="str">
        <x:v>1</x:v>
      </x:c>
    </x:row>
    <x:row r="1404" ht="93" customHeight="1">
      <x:c r="A1404" s="19" t="n">
        <x:v>1401</x:v>
      </x:c>
      <x:c r="B1404" s="22" t="e">
        <x:f>HYPERLINK("https://cdn.shopify.com/s/files/1/0918/6066/4603/files/O1CN01L7vRdd2NGHy14aVuI__4234819935-0-cib.jpg?v=1753433349","Open")</x:f>
        <x:v>HYPERLINK is not implemented. linkLocation=https://cdn.shopify.com/s/files/1/0918/6066/4603/files/O1CN01L7vRdd2NGHy14aVuI__4234819935-0-cib.jpg?v=1753433349, friendlyName=Open</x:v>
      </x:c>
      <x:c r="C1404" s="24" t="e">
        <x:f>HYPERLINK("https://365nails.com/products/sweet-girl-wind-wearing-armor-cross-border-foreign-trade-french-manicure-nail-piece-point-drill-three-dimensional-camellia-fake-nail-wholesale-365nails","Sweet girl wind wearing armor   French manicure nail piece point drill three-dimensional camellia fake nail wholesale｜365nails")</x:f>
        <x:v>HYPERLINK is not implemented. linkLocation=https://365nails.com/products/sweet-girl-wind-wearing-armor-cross-border-foreign-trade-french-manicure-nail-piece-point-drill-three-dimensional-camellia-fake-nail-wholesale-365nails, friendlyName=Sweet girl wind wearing armor   French manicure nail piece point drill three-dimensional camellia fake nail wholesale｜365nails</x:v>
      </x:c>
      <x:c r="D1404" s="18" t="str">
        <x:v>color: JP3866</x:v>
      </x:c>
      <x:c r="E1404" s="25" t="str">
        <x:v>$1.03</x:v>
      </x:c>
      <x:c r="F1404" s="19" t="str">
        <x:v>1</x:v>
      </x:c>
    </x:row>
    <x:row r="1405" ht="93" customHeight="1">
      <x:c r="A1405" s="19" t="n">
        <x:v>1402</x:v>
      </x:c>
      <x:c r="B1405" s="22" t="e">
        <x:f>HYPERLINK("https://cdn.shopify.com/s/files/1/0918/6066/4603/files/O1CN01q1xOod2NGHwK6tbZv__4234819935-0-cib.jpg?v=1753431932","Open")</x:f>
        <x:v>HYPERLINK is not implemented. linkLocation=https://cdn.shopify.com/s/files/1/0918/6066/4603/files/O1CN01q1xOod2NGHwK6tbZv__4234819935-0-cib.jpg?v=1753431932, friendlyName=Open</x:v>
      </x:c>
      <x:c r="C1405" s="24" t="e">
        <x:f>HYPERLINK("https://365nails.com/products/cross-border-explosion-french-leopard-print-manicure-flash-diamond-flash-cartoon-cat-fake-nails-flower-bow-wearing-nail-piece-365nails","French leopard print manicure flash diamond flash cartoon cat fake nails flower bow｜365nails")</x:f>
        <x:v>HYPERLINK is not implemented. linkLocation=https://365nails.com/products/cross-border-explosion-french-leopard-print-manicure-flash-diamond-flash-cartoon-cat-fake-nails-flower-bow-wearing-nail-piece-365nails, friendlyName=French leopard print manicure flash diamond flash cartoon cat fake nails flower bow｜365nails</x:v>
      </x:c>
      <x:c r="D1405" s="18" t="str">
        <x:v>color: JP3677</x:v>
      </x:c>
      <x:c r="E1405" s="25" t="str">
        <x:v>$2.11</x:v>
      </x:c>
      <x:c r="F1405" s="19" t="str">
        <x:v>1</x:v>
      </x:c>
    </x:row>
    <x:row r="1406" ht="93" customHeight="1">
      <x:c r="A1406" s="19" t="n">
        <x:v>1403</x:v>
      </x:c>
      <x:c r="B1406" s="22" t="e">
        <x:f>HYPERLINK("https://cdn.shopify.com/s/files/1/0918/6066/4603/files/O1CN01Qgnzwy2NGHx2HDf8N__4234819935-0-cib.jpg?v=1753431929","Open")</x:f>
        <x:v>HYPERLINK is not implemented. linkLocation=https://cdn.shopify.com/s/files/1/0918/6066/4603/files/O1CN01Qgnzwy2NGHx2HDf8N__4234819935-0-cib.jpg?v=1753431929, friendlyName=Open</x:v>
      </x:c>
      <x:c r="C1406" s="24" t="e">
        <x:f>HYPERLINK("https://365nails.com/products/spring-and-summer-new-nail-art-fake-nails-short-square-nail-wearable-nail-piece-small-fresh-flower-wearable-nail-piece-finished-product-wholesale-365nails","Spring and summer new nail art fake nails short square nail wearable nail piece small fresh flower wearable nail piece finished product wholesale｜365nails")</x:f>
        <x:v>HYPERLINK is not implemented. linkLocation=https://365nails.com/products/spring-and-summer-new-nail-art-fake-nails-short-square-nail-wearable-nail-piece-small-fresh-flower-wearable-nail-piece-finished-product-wholesale-365nails, friendlyName=Spring and summer new nail art fake nails short square nail wearable nail piece small fresh flower wearable nail piece finished product wholesale｜365nails</x:v>
      </x:c>
      <x:c r="D1406" s="18" t="str">
        <x:v>color: JP3761</x:v>
      </x:c>
      <x:c r="E1406" s="25" t="str">
        <x:v>$0.77</x:v>
      </x:c>
      <x:c r="F1406" s="19" t="str">
        <x:v>1</x:v>
      </x:c>
    </x:row>
    <x:row r="1407" ht="93" customHeight="1">
      <x:c r="A1407" s="19" t="n">
        <x:v>1404</x:v>
      </x:c>
      <x:c r="B1407" s="22" t="e">
        <x:f>HYPERLINK("https://cdn.shopify.com/s/files/1/0918/6066/4603/files/O1CN011rFDcr2NGHyN3OciR__4234819935-0-cib.jpg?v=1753432001","Open")</x:f>
        <x:v>HYPERLINK is not implemented. linkLocation=https://cdn.shopify.com/s/files/1/0918/6066/4603/files/O1CN011rFDcr2NGHyN3OciR__4234819935-0-cib.jpg?v=1753432001, friendlyName=Open</x:v>
      </x:c>
      <x:c r="C1407" s="24" t="e">
        <x:f>HYPERLINK("https://365nails.com/products/sweet-little-red-book-style-wearing-nail-short-almond-shaped-nail-art-piece-french-ribbon-bow-fake-nail-wholesale-365nails","Sweet   short almond-shaped nail art piece French ribbon bow  ｜365nails")</x:f>
        <x:v>HYPERLINK is not implemented. linkLocation=https://365nails.com/products/sweet-little-red-book-style-wearing-nail-short-almond-shaped-nail-art-piece-french-ribbon-bow-fake-nail-wholesale-365nails, friendlyName=Sweet   short almond-shaped nail art piece French ribbon bow  ｜365nails</x:v>
      </x:c>
      <x:c r="D1407" s="18" t="str">
        <x:v>color: JL0671</x:v>
      </x:c>
      <x:c r="E1407" s="25" t="str">
        <x:v>$0.70</x:v>
      </x:c>
      <x:c r="F1407" s="19" t="str">
        <x:v>1</x:v>
      </x:c>
    </x:row>
    <x:row r="1408" ht="93" customHeight="1">
      <x:c r="A1408" s="19" t="n">
        <x:v>1405</x:v>
      </x:c>
      <x:c r="B1408" s="22" t="e">
        <x:f>HYPERLINK("https://cdn.shopify.com/s/files/1/0918/6066/4603/files/O1CN01KmBMc02NGHyBkV3U3__4234819935-0-cib.jpg?v=1753432023","Open")</x:f>
        <x:v>HYPERLINK is not implemented. linkLocation=https://cdn.shopify.com/s/files/1/0918/6066/4603/files/O1CN01KmBMc02NGHyBkV3U3__4234819935-0-cib.jpg?v=1753432023, friendlyName=Open</x:v>
      </x:c>
      <x:c r="C1408" s="24" t="e">
        <x:f>HYPERLINK("https://365nails.com/products/french-red-wearing-nail-short-almond-nail-nail-piece-sweet-foreign-trade-hot-selling-wearing-fake-nail-wholesale-365nails","French red  short almond nail  sweet  hot-selling wearing  wholesale｜365nails")</x:f>
        <x:v>HYPERLINK is not implemented. linkLocation=https://365nails.com/products/french-red-wearing-nail-short-almond-nail-nail-piece-sweet-foreign-trade-hot-selling-wearing-fake-nail-wholesale-365nails, friendlyName=French red  short almond nail  sweet  hot-selling wearing  wholesale｜365nails</x:v>
      </x:c>
      <x:c r="D1408" s="18" t="str">
        <x:v>color: JP3839</x:v>
      </x:c>
      <x:c r="E1408" s="25" t="str">
        <x:v>$0.86</x:v>
      </x:c>
      <x:c r="F1408" s="19" t="str">
        <x:v>1</x:v>
      </x:c>
    </x:row>
    <x:row r="1409" ht="93" customHeight="1">
      <x:c r="A1409" s="19" t="n">
        <x:v>1406</x:v>
      </x:c>
      <x:c r="B1409" s="22" t="e">
        <x:f>HYPERLINK("https://cdn.shopify.com/s/files/1/0918/6066/4603/files/O1CN013TCZXY1rlpTSRbs59__2215158925672-0-cib.jpg?v=1754447729","Open")</x:f>
        <x:v>HYPERLINK is not implemented. linkLocation=https://cdn.shopify.com/s/files/1/0918/6066/4603/files/O1CN013TCZXY1rlpTSRbs59__2215158925672-0-cib.jpg?v=1754447729, friendlyName=Open</x:v>
      </x:c>
      <x:c r="C1409" s="24" t="e">
        <x:f>HYPERLINK("https://365nails.com/products/handmade-armor-blue-dream-merman-tears-sweet-and-cool-hot-girl-short-nail-art-wholesale-365nails","Modern Press-On Nails with Blue Chrome Accents and 3D Metal Studs")</x:f>
        <x:v>HYPERLINK is not implemented. linkLocation=https://365nails.com/products/handmade-armor-blue-dream-merman-tears-sweet-and-cool-hot-girl-short-nail-art-wholesale-365nails, friendlyName=Modern Press-On Nails with Blue Chrome Accents and 3D Metal Studs</x:v>
      </x:c>
      <x:c r="D1409" s="18" t="str">
        <x:v>shape: Ultra short T; size: XS / S / M / L</x:v>
      </x:c>
      <x:c r="E1409" s="25" t="str">
        <x:v>$3.49</x:v>
      </x:c>
      <x:c r="F1409" s="19" t="str">
        <x:v>30</x:v>
      </x:c>
    </x:row>
    <x:row r="1410" ht="93" customHeight="1">
      <x:c r="A1410" s="19" t="n">
        <x:v>1407</x:v>
      </x:c>
      <x:c r="B1410" s="22" t="e">
        <x:f>HYPERLINK("https://cdn.shopify.com/s/files/1/0918/6066/4603/files/O1CN01gAOy4r2NGHaEP29E2__4234819935-0-cib.jpg?v=1753433402","Open")</x:f>
        <x:v>HYPERLINK is not implemented. linkLocation=https://cdn.shopify.com/s/files/1/0918/6066/4603/files/O1CN01gAOy4r2NGHaEP29E2__4234819935-0-cib.jpg?v=1753433402, friendlyName=Open</x:v>
      </x:c>
      <x:c r="C1410" s="24" t="e">
        <x:f>HYPERLINK("https://365nails.com/products/sky-blue-clouds-gradually-change-rhinestone-wearing-finished-nail-art-fake-nail-nail-patch-nail-patch-removable-foreign-trade-365nails","Sky blue clouds gradually change rhinestone wearing finished nail art    removable ｜365nails")</x:f>
        <x:v>HYPERLINK is not implemented. linkLocation=https://365nails.com/products/sky-blue-clouds-gradually-change-rhinestone-wearing-finished-nail-art-fake-nail-nail-patch-nail-patch-removable-foreign-trade-365nails, friendlyName=Sky blue clouds gradually change rhinestone wearing finished nail art    removable ｜365nails</x:v>
      </x:c>
      <x:c r="D1410" s="18" t="str">
        <x:v>color: JP1014</x:v>
      </x:c>
      <x:c r="E1410" s="25" t="str">
        <x:v>$0.86</x:v>
      </x:c>
      <x:c r="F1410" s="19" t="str">
        <x:v>1</x:v>
      </x:c>
    </x:row>
    <x:row r="1411" ht="93" customHeight="1">
      <x:c r="A1411" s="19" t="n">
        <x:v>1408</x:v>
      </x:c>
      <x:c r="B1411" s="22" t="e">
        <x:f>HYPERLINK("https://cdn.shopify.com/s/files/1/0918/6066/4603/files/O1CN0130rITL1rlpJBw1EjN__2215158925672-0-cib.jpg?v=1754448001","Open")</x:f>
        <x:v>HYPERLINK is not implemented. linkLocation=https://cdn.shopify.com/s/files/1/0918/6066/4603/files/O1CN0130rITL1rlpJBw1EjN__2215158925672-0-cib.jpg?v=1754448001, friendlyName=Open</x:v>
      </x:c>
      <x:c r="C1411" s="24" t="e">
        <x:f>HYPERLINK("https://365nails.com/products/new-spar-cats-eye-wearing-nail-short-finished-nail-patch-foreign-trade-style-pure-handmade-press-on-nails-wholesale-365nails","Galaxy Press-On Nails with Silver Chrome and Blue Shimmer")</x:f>
        <x:v>HYPERLINK is not implemented. linkLocation=https://365nails.com/products/new-spar-cats-eye-wearing-nail-short-finished-nail-patch-foreign-trade-style-pure-handmade-press-on-nails-wholesale-365nails, friendlyName=Galaxy Press-On Nails with Silver Chrome and Blue Shimmer</x:v>
      </x:c>
      <x:c r="D1411" s="18" t="str">
        <x:v>shape: Short T; size: XS / S / M / L</x:v>
      </x:c>
      <x:c r="E1411" s="25" t="str">
        <x:v>$2.99</x:v>
      </x:c>
      <x:c r="F1411" s="19" t="str">
        <x:v>30</x:v>
      </x:c>
    </x:row>
    <x:row r="1412" ht="93" customHeight="1">
      <x:c r="A1412" s="19" t="n">
        <x:v>1409</x:v>
      </x:c>
      <x:c r="B1412" s="22" t="e">
        <x:f>HYPERLINK("https://cdn.shopify.com/s/files/1/0918/6066/4603/files/O1CN019xM2LO2NGHqZSZdwL__4234819935-0-cib.jpg?v=1753432003","Open")</x:f>
        <x:v>HYPERLINK is not implemented. linkLocation=https://cdn.shopify.com/s/files/1/0918/6066/4603/files/O1CN019xM2LO2NGHqZSZdwL__4234819935-0-cib.jpg?v=1753432003, friendlyName=Open</x:v>
      </x:c>
      <x:c r="C1412" s="24" t="e">
        <x:f>HYPERLINK("https://365nails.com/products/cross-border-special-supply-for-classic-french-gradual-change-simple-wear-nail-short-nail-art-piece-24-pieces-fake-nail-wholesale-365nails","special supply for classic French gradual change simple wear nail short nail art piece 24 pieces fake nail wholesale｜365nails")</x:f>
        <x:v>HYPERLINK is not implemented. linkLocation=https://365nails.com/products/cross-border-special-supply-for-classic-french-gradual-change-simple-wear-nail-short-nail-art-piece-24-pieces-fake-nail-wholesale-365nails, friendlyName=special supply for classic French gradual change simple wear nail short nail art piece 24 pieces fake nail wholesale｜365nails</x:v>
      </x:c>
      <x:c r="D1412" s="18" t="str">
        <x:v>color: JP3262 [Glue model] / JP3262 [including wearable kit]</x:v>
      </x:c>
      <x:c r="E1412" s="25" t="str">
        <x:v>$0.70–$0.86</x:v>
      </x:c>
      <x:c r="F1412" s="19" t="str">
        <x:v>1</x:v>
      </x:c>
    </x:row>
    <x:row r="1413" ht="93" customHeight="1">
      <x:c r="A1413" s="19" t="n">
        <x:v>1410</x:v>
      </x:c>
      <x:c r="B1413" s="22" t="e">
        <x:f>HYPERLINK("https://cdn.shopify.com/s/files/1/0918/6066/4603/files/aeb7764fe53595a7004c86aa02f6d6c8.jpg?v=1766121511","Open")</x:f>
        <x:v>HYPERLINK is not implemented. linkLocation=https://cdn.shopify.com/s/files/1/0918/6066/4603/files/aeb7764fe53595a7004c86aa02f6d6c8.jpg?v=1766121511, friendlyName=Open</x:v>
      </x:c>
      <x:c r="C1413" s="24" t="e">
        <x:f>HYPERLINK("https://365nails.com/products/acetone-free-nail-glue-remover-gentle-oil-based-debonder-for-press-on-nails","Acetone-Free Nail Glue Remover | Gentle Oil-Based Debonder for Press-on Nails (MOQ=10)")</x:f>
        <x:v>HYPERLINK is not implemented. linkLocation=https://365nails.com/products/acetone-free-nail-glue-remover-gentle-oil-based-debonder-for-press-on-nails, friendlyName=Acetone-Free Nail Glue Remover | Gentle Oil-Based Debonder for Press-on Nails (MOQ=10)</x:v>
      </x:c>
      <x:c r="D1413" s="18" t="str">
        <x:v>Color: 10Ml environmentally friendly degumming solution (English standard, non-sensitive goods can be exported) / 10Ml environmentally friendly degumming solution (red English label, non-sensitive goods can be exported); Quantity: 10pcs</x:v>
      </x:c>
      <x:c r="E1413" s="25" t="str">
        <x:v>$5.00</x:v>
      </x:c>
      <x:c r="F1413" s="19" t="str">
        <x:v>1</x:v>
      </x:c>
    </x:row>
    <x:row r="1414" ht="93" customHeight="1">
      <x:c r="A1414" s="19" t="n">
        <x:v>1411</x:v>
      </x:c>
      <x:c r="B1414" s="22" t="e">
        <x:f>HYPERLINK("https://cdn.shopify.com/s/files/1/0918/6066/4603/files/d6be22c17e2169f83c325f1950a3d1bd.png?v=1755264124","Open")</x:f>
        <x:v>HYPERLINK is not implemented. linkLocation=https://cdn.shopify.com/s/files/1/0918/6066/4603/files/d6be22c17e2169f83c325f1950a3d1bd.png?v=1755264124, friendlyName=Open</x:v>
      </x:c>
      <x:c r="C1414" s="24" t="e">
        <x:f>HYPERLINK("https://365nails.com/products/nail-tips-new-childrens-press-on-nails-pads-40-pieces-of-sub-size-matte-one-size-has-no-marks-no-engraving-and-grinding-removable-fake-nails","Nail Tips New children's press on nails pads, 40 pieces of sub-size matte (MOQ=30)")</x:f>
        <x:v>HYPERLINK is not implemented. linkLocation=https://365nails.com/products/nail-tips-new-childrens-press-on-nails-pads-40-pieces-of-sub-size-matte-one-size-has-no-marks-no-engraving-and-grinding-removable-fake-nails, friendlyName=Nail Tips New children's press on nails pads, 40 pieces of sub-size matte (MOQ=30)</x:v>
      </x:c>
      <x:c r="D1414" s="18" t="str">
        <x:v>Color: XS/S/M/L-4 size 40 pieces a whole strip; quantity: 30pcs</x:v>
      </x:c>
      <x:c r="E1414" s="25" t="str">
        <x:v>$9.00</x:v>
      </x:c>
      <x:c r="F1414" s="19" t="str">
        <x:v>1</x:v>
      </x:c>
    </x:row>
    <x:row r="1415" ht="93" customHeight="1">
      <x:c r="A1415" s="19" t="n">
        <x:v>1412</x:v>
      </x:c>
      <x:c r="B1415" s="22" t="e">
        <x:f>HYPERLINK("https://cdn.shopify.com/s/files/1/0918/6066/4603/files/O1CN01eJtr3m2NGHbA9kbrB__4234819935-0-cib.jpg?v=1753432056","Open")</x:f>
        <x:v>HYPERLINK is not implemented. linkLocation=https://cdn.shopify.com/s/files/1/0918/6066/4603/files/O1CN01eJtr3m2NGHbA9kbrB__4234819935-0-cib.jpg?v=1753432056, friendlyName=Open</x:v>
      </x:c>
      <x:c r="C1415" s="24" t="e">
        <x:f>HYPERLINK("https://365nails.com/products/pink-small-v-french-fake-nail-press-on-nail-nail-patch-wear-nail-art-finished-fake-nail-removable-365nails","Pink small V French fake nail press on nail nail patch wear nail art finished fake nail removable｜365nails")</x:f>
        <x:v>HYPERLINK is not implemented. linkLocation=https://365nails.com/products/pink-small-v-french-fake-nail-press-on-nail-nail-patch-wear-nail-art-finished-fake-nail-removable-365nails, friendlyName=Pink small V French fake nail press on nail nail patch wear nail art finished fake nail removable｜365nails</x:v>
      </x:c>
      <x:c r="D1415" s="18" t="str">
        <x:v>color: JP1197</x:v>
      </x:c>
      <x:c r="E1415" s="25" t="str">
        <x:v>$0.91</x:v>
      </x:c>
      <x:c r="F1415" s="19" t="str">
        <x:v>1</x:v>
      </x:c>
    </x:row>
    <x:row r="1416" ht="93" customHeight="1">
      <x:c r="A1416" s="19" t="n">
        <x:v>1413</x:v>
      </x:c>
      <x:c r="B1416" s="22" t="e">
        <x:f>HYPERLINK("https://cdn.shopify.com/s/files/1/0918/6066/4603/files/82cb03cee4781174193325f0528165bf.jpg?v=1766362949","Open")</x:f>
        <x:v>HYPERLINK is not implemented. linkLocation=https://cdn.shopify.com/s/files/1/0918/6066/4603/files/82cb03cee4781174193325f0528165bf.jpg?v=1766362949, friendlyName=Open</x:v>
      </x:c>
      <x:c r="C1416" s="24" t="e">
        <x:f>HYPERLINK("https://365nails.com/products/solid-gel-nail-glue-for-long-lasting-press-on-nails","Solid Gel Nail Glue for Long Lasting Press On Nails (MOQ=3)")</x:f>
        <x:v>HYPERLINK is not implemented. linkLocation=https://365nails.com/products/solid-gel-nail-glue-for-long-lasting-press-on-nails, friendlyName=Solid Gel Nail Glue for Long Lasting Press On Nails (MOQ=3)</x:v>
      </x:c>
      <x:c r="D1416" s="18" t="str">
        <x:v>Color: 30G-solid glue (the product is only for export sales, domestic sales are prohibited, and purchase is equivalent to the default company disclaimer); Quantity: 3pcs</x:v>
      </x:c>
      <x:c r="E1416" s="25" t="str">
        <x:v>$4.29</x:v>
      </x:c>
      <x:c r="F1416" s="19" t="str">
        <x:v>1</x:v>
      </x:c>
    </x:row>
    <x:row r="1417" ht="93" customHeight="1">
      <x:c r="A1417" s="19" t="n">
        <x:v>1414</x:v>
      </x:c>
      <x:c r="B1417" s="22" t="e">
        <x:f>HYPERLINK("https://cdn.shopify.com/s/files/1/0918/6066/4603/files/O1CN01jSNL7c2NiDu88hmB2__1036849996-0-cib_2d4c59e2-faec-4953-808d-bf644ef8dc98.jpg?v=1766362883","Open")</x:f>
        <x:v>HYPERLINK is not implemented. linkLocation=https://cdn.shopify.com/s/files/1/0918/6066/4603/files/O1CN01jSNL7c2NiDu88hmB2__1036849996-0-cib_2d4c59e2-faec-4953-808d-bf644ef8dc98.jpg?v=1766362883, friendlyName=Open</x:v>
      </x:c>
      <x:c r="C1417" s="24" t="e">
        <x:f>HYPERLINK("https://365nails.com/products/vintage-textured-thank-you-envelope-with-wax-seal-style","Vintage Textured Thank You Envelope With Wax Seal Style (MOQ=2)")</x:f>
        <x:v>HYPERLINK is not implemented. linkLocation=https://365nails.com/products/vintage-textured-thank-you-envelope-with-wax-seal-style, friendlyName=Vintage Textured Thank You Envelope With Wax Seal Style (MOQ=2)</x:v>
      </x:c>
      <x:c r="D1417" s="18" t="str">
        <x:v>Size: [30] Wood grain 120g-beige (single envelope) / [29] Wood grain 120g-light roasted coffee (single envelope) / [31] Wood grain 120g-jujube red (single envelope) / [32] Wood grain 120g-orange (single envelope) / [01] Linen pattern 120g-navy blue (single envelope) 16.2 * 11.9cm / [02] Linen pattern 120g-egg yellow (single envelope) 16.2 * 11.9cm / [03] Linen pattern 120g-burgundy (single envelope) 16.2 * 11.9cm / [04] Linen pattern 120g-light khaki (single envelope) 16.2 * 11.9cm / [05] Linen pattern 120g-deep roasted coffee (single envelope) 16.2 * 11.9cm / [06] Linen pattern 120g-pearl white (single envelope) 16.2 * 11.9cm / [34] Linen pattern 120g-candy powder (single envelope) 16.2 * 11.9cm / [35] Linen pattern 120g-clear water blue (single envelope) 16.2 * 11.9cm / [36] Linen pattern 120g-hearty green (single envelope) 16.2 * 11.9cm / [37] Linen pattern 120g-melancholy black (single envelope) 16.2 * 11.9cm / [07] Linen pattern 250g thick - beige (single envelope) 16.2 * 11.9cm / [08] Linen pattern 250g thick - kraft paper color (single envelope) 16.2 * 11.9cm / [09] Linen pattern 250g thick-light khaki (single envelope) 16.2 * 11.9cm / [10] Linen pattern 250g thick - burgundy (single envelope) 16.2 * 11.9cm / [11] Thank you for the fire paint sticker / [12] One navy blue linen cloth pattern 120g + 1 fire paint sticker + one A5 letter paper (distributed) 16.2 * 11.9cm / [13] One egg yolk hemp cloth pattern 120g + 1 fire paint sticker + one A5 letter paper (distributed) 16.2 * 11.9cm / [14] One burgundy linen pattern 120g + 1 fire paint sticker + one A5 letter paper (distributed) 16.2 * 11.9cm / [16] Deep roasted coffee linen pattern 120g + fire paint sticker 1 + A5 letter paper (distribution) 16.2 * 11.9cm / [17] One pearl white linen cloth pattern 120g + 1 fire paint sticker + one A5 letter paper (distributed) 16.2 * 11.9cm / [18] The beige linen pattern is 250g thick, one + 1 fire paint sticker + one A5 letter paper (distributed) 16.2 * 11.9cm. / [19] Light khaki linen pattern 250g thick, one + fire paint sticker 1 + A5 letter paper (distributed) 16.2 * 11.9cm / [20] Kraft paper color linen pattern 250g thick one + fire paint sticker 1 + A5 letter paper (distribution) 16.2 * 11.9cm / [21] Best wishes fire paint sticker / [22] Kraft paper thank you sealing sticker style 1 (20 round stickers each) / [23] Kraft paper thank you sealing sticker style 2 (20 round stickers per piece) / [24] A4 Kraft Letter Paper - a set of 10 sheets / [25] A5 Letter Paper - Set of 10 / [26] Linen pattern 120g-navy blue (large size 17.5 * 12.5) (single envelope) / [27] Linen pattern 120g-burgundy (large size 17.5 * 12.5) (single envelope) / [28] Linen pattern 250g thick - burgundy (large size 17.5 * 12.5) (single envelope); Quantity: 2pcs</x:v>
      </x:c>
      <x:c r="E1417" s="25" t="str">
        <x:v>$0.18–$0.64</x:v>
      </x:c>
      <x:c r="F1417" s="19" t="str">
        <x:v>1</x:v>
      </x:c>
    </x:row>
    <x:row r="1418" ht="93" customHeight="1">
      <x:c r="A1418" s="19" t="n">
        <x:v>1415</x:v>
      </x:c>
      <x:c r="B1418" s="22" t="e">
        <x:f>HYPERLINK("https://cdn.shopify.com/s/files/1/0918/6066/4603/files/O1CN01JfIsaj1rlpVJc7dae__2215158925672-0-cib.jpg?v=1754447627","Open")</x:f>
        <x:v>HYPERLINK is not implemented. linkLocation=https://cdn.shopify.com/s/files/1/0918/6066/4603/files/O1CN01JfIsaj1rlpVJc7dae__2215158925672-0-cib.jpg?v=1754447627, friendlyName=Open</x:v>
      </x:c>
      <x:c r="C1418" s="24" t="e">
        <x:f>HYPERLINK("https://365nails.com/products/handmade-press-on-nails-sweet-french-blush-nail-ice-transparent-three-dimensional-carving-long-tip-nail-patch-wholesale-365nails","Elegant Press-On Nails with 3D Floral Accents and Plaid Tips")</x:f>
        <x:v>HYPERLINK is not implemented. linkLocation=https://365nails.com/products/handmade-press-on-nails-sweet-french-blush-nail-ice-transparent-three-dimensional-carving-long-tip-nail-patch-wholesale-365nails, friendlyName=Elegant Press-On Nails with 3D Floral Accents and Plaid Tips</x:v>
      </x:c>
      <x:c r="D1418" s="18" t="str">
        <x:v>shape: long pointed ellipse; size: XS / S / M / L</x:v>
      </x:c>
      <x:c r="E1418" s="25" t="str">
        <x:v>$4.49</x:v>
      </x:c>
      <x:c r="F1418" s="19" t="str">
        <x:v>30</x:v>
      </x:c>
    </x:row>
    <x:row r="1419" ht="93" customHeight="1">
      <x:c r="A1419" s="19" t="n">
        <x:v>1416</x:v>
      </x:c>
      <x:c r="B1419" s="22" t="e">
        <x:f>HYPERLINK("https://cdn.shopify.com/s/files/1/0918/6066/4603/files/O1CN01GDILEz2NGHb5nfKEw__4234819935-0-cib.jpg?v=1753429146","Open")</x:f>
        <x:v>HYPERLINK is not implemented. linkLocation=https://cdn.shopify.com/s/files/1/0918/6066/4603/files/O1CN01GDILEz2NGHb5nfKEw__4234819935-0-cib.jpg?v=1753429146, friendlyName=Open</x:v>
      </x:c>
      <x:c r="C1419" s="24" t="e">
        <x:f>HYPERLINK("https://365nails.com/products/simple-line-french-long-ballet-wearing-nail-art-finished-fake-nail-patch-nail-patch-fake-nail-nail-art-piece-365nails","Simple line French long ballet  art finished  patch  nail art piece｜365nails")</x:f>
        <x:v>HYPERLINK is not implemented. linkLocation=https://365nails.com/products/simple-line-french-long-ballet-wearing-nail-art-finished-fake-nail-patch-nail-patch-fake-nail-nail-art-piece-365nails, friendlyName=Simple line French long ballet  art finished  patch  nail art piece｜365nails</x:v>
      </x:c>
      <x:c r="D1419" s="18" t="str">
        <x:v>color: JP1117</x:v>
      </x:c>
      <x:c r="E1419" s="25" t="str">
        <x:v>$1.03</x:v>
      </x:c>
      <x:c r="F1419" s="19" t="str">
        <x:v>1</x:v>
      </x:c>
    </x:row>
    <x:row r="1420" ht="93" customHeight="1">
      <x:c r="A1420" s="19" t="n">
        <x:v>1417</x:v>
      </x:c>
      <x:c r="B1420" s="22" t="e">
        <x:f>HYPERLINK("https://cdn.shopify.com/s/files/1/0918/6066/4603/files/O1CN01RrTEtn2NGHyEDHMor__4234819935-0-cib.jpg?v=1753429117","Open")</x:f>
        <x:v>HYPERLINK is not implemented. linkLocation=https://cdn.shopify.com/s/files/1/0918/6066/4603/files/O1CN01RrTEtn2NGHyEDHMor__4234819935-0-cib.jpg?v=1753429117, friendlyName=Open</x:v>
      </x:c>
      <x:c r="C1420" s="24" t="e">
        <x:f>HYPERLINK("https://365nails.com/products/pure-desire-blush-wearing-nail-new-nail-art-in-summer-white-flower-short-round-wearing-fake-nail-wholesale-365nails","Pure desire blush , new nail art in summer, white flower short round wearing  wholesale｜365nails")</x:f>
        <x:v>HYPERLINK is not implemented. linkLocation=https://365nails.com/products/pure-desire-blush-wearing-nail-new-nail-art-in-summer-white-flower-short-round-wearing-fake-nail-wholesale-365nails, friendlyName=Pure desire blush , new nail art in summer, white flower short round wearing  wholesale｜365nails</x:v>
      </x:c>
      <x:c r="D1420" s="18" t="str">
        <x:v>color: JL0678</x:v>
      </x:c>
      <x:c r="E1420" s="25" t="str">
        <x:v>$1.31</x:v>
      </x:c>
      <x:c r="F1420" s="19" t="str">
        <x:v>1</x:v>
      </x:c>
    </x:row>
    <x:row r="1421" ht="93" customHeight="1">
      <x:c r="A1421" s="19" t="n">
        <x:v>1418</x:v>
      </x:c>
      <x:c r="B1421" s="22" t="e">
        <x:f>HYPERLINK("https://cdn.shopify.com/s/files/1/0918/6066/4603/files/O1CN01qSrJ5F1rlpXXZ7m4o__2215158925672-0-cib.jpg?v=1754447616","Open")</x:f>
        <x:v>HYPERLINK is not implemented. linkLocation=https://cdn.shopify.com/s/files/1/0918/6066/4603/files/O1CN01qSrJ5F1rlpXXZ7m4o__2215158925672-0-cib.jpg?v=1754447616, friendlyName=Open</x:v>
      </x:c>
      <x:c r="C1421" s="24" t="e">
        <x:f>HYPERLINK("https://365nails.com/products/spice-girls-almond-nail-three-dimensional-carved-blush-nail-sweet-and-pure-want-to-wear-nail-pure-handmade-wholesale-365nails","Trendy Press-On Nails with Gold Accents and Floral 3D Details")</x:f>
        <x:v>HYPERLINK is not implemented. linkLocation=https://365nails.com/products/spice-girls-almond-nail-three-dimensional-carved-blush-nail-sweet-and-pure-want-to-wear-nail-pure-handmade-wholesale-365nails, friendlyName=Trendy Press-On Nails with Gold Accents and Floral 3D Details</x:v>
      </x:c>
      <x:c r="D1421" s="18" t="str">
        <x:v>shape: medium almond; size: XS / S / M / L</x:v>
      </x:c>
      <x:c r="E1421" s="25" t="str">
        <x:v>$4.99</x:v>
      </x:c>
      <x:c r="F1421" s="19" t="str">
        <x:v>30</x:v>
      </x:c>
    </x:row>
    <x:row r="1422" ht="93" customHeight="1">
      <x:c r="A1422" s="19" t="n">
        <x:v>1419</x:v>
      </x:c>
      <x:c r="B1422" s="22" t="e">
        <x:f>HYPERLINK("https://cdn.shopify.com/s/files/1/0918/6066/4603/files/O1CN015Ise1T1CPwHm3Y7wq__2213196780074-0-cib.jpg?v=1753665426","Open")</x:f>
        <x:v>HYPERLINK is not implemented. linkLocation=https://cdn.shopify.com/s/files/1/0918/6066/4603/files/O1CN015Ise1T1CPwHm3Y7wq__2213196780074-0-cib.jpg?v=1753665426, friendlyName=Open</x:v>
      </x:c>
      <x:c r="C1422" s="24" t="e">
        <x:f>HYPERLINK("https://365nails.com/products/european-and-american-handmade-wearable-nail-products-wearable-manicure-european-and-american-style-duck-bill-manicure-nail-type-millennium-spice-girl-manicure-365nails","Y2K Mix Pattern Nails with Zebra, Dots, and Crystal Charms")</x:f>
        <x:v>HYPERLINK is not implemented. linkLocation=https://365nails.com/products/european-and-american-handmade-wearable-nail-products-wearable-manicure-european-and-american-style-duck-bill-manicure-nail-type-millennium-spice-girl-manicure-365nails, friendlyName=Y2K Mix Pattern Nails with Zebra, Dots, and Crystal Charms</x:v>
      </x:c>
      <x:c r="D1422" s="18" t="str">
        <x:v>shape: 2130-Duckbill; size: XS / S / M / L</x:v>
      </x:c>
      <x:c r="E1422" s="25" t="str">
        <x:v>$3.49</x:v>
      </x:c>
      <x:c r="F1422" s="19" t="str">
        <x:v>1</x:v>
      </x:c>
    </x:row>
    <x:row r="1423" ht="93" customHeight="1">
      <x:c r="A1423" s="19" t="n">
        <x:v>1420</x:v>
      </x:c>
      <x:c r="B1423" s="22" t="e">
        <x:f>HYPERLINK("https://cdn.shopify.com/s/files/1/0918/6066/4603/files/O1CN01jzgpcB2NGHbaibptq__4234819935-0-cib.jpg?v=1753433424","Open")</x:f>
        <x:v>HYPERLINK is not implemented. linkLocation=https://cdn.shopify.com/s/files/1/0918/6066/4603/files/O1CN01jzgpcB2NGHbaibptq__4234819935-0-cib.jpg?v=1753433424, friendlyName=Open</x:v>
      </x:c>
      <x:c r="C1423" s="24" t="e">
        <x:f>HYPERLINK("https://365nails.com/products/ice-permeable-taro-flower-french-wearing-nail-art-finished-fake-nail-nail-art-patch-removable-nail-wear-nail-piece-365nails","Ice-permeable taro flower French  art finished  nail art patch removable nail wear ｜365nails")</x:f>
        <x:v>HYPERLINK is not implemented. linkLocation=https://365nails.com/products/ice-permeable-taro-flower-french-wearing-nail-art-finished-fake-nail-nail-art-patch-removable-nail-wear-nail-piece-365nails, friendlyName=Ice-permeable taro flower French  art finished  nail art patch removable nail wear ｜365nails</x:v>
      </x:c>
      <x:c r="D1423" s="18" t="str">
        <x:v>color: JP1203</x:v>
      </x:c>
      <x:c r="E1423" s="25" t="str">
        <x:v>$1.03</x:v>
      </x:c>
      <x:c r="F1423" s="19" t="str">
        <x:v>1</x:v>
      </x:c>
    </x:row>
    <x:row r="1424" ht="93" customHeight="1">
      <x:c r="A1424" s="19" t="n">
        <x:v>1421</x:v>
      </x:c>
      <x:c r="B1424" s="22" t="e">
        <x:f>HYPERLINK("https://cdn.shopify.com/s/files/1/0918/6066/4603/files/20cb7a9ac1492800a8c13849301d5afc.jpg?v=1766120830","Open")</x:f>
        <x:v>HYPERLINK is not implemented. linkLocation=https://cdn.shopify.com/s/files/1/0918/6066/4603/files/20cb7a9ac1492800a8c13849301d5afc.jpg?v=1766120830, friendlyName=Open</x:v>
      </x:c>
      <x:c r="C1424" s="24" t="e">
        <x:f>HYPERLINK("https://365nails.com/products/professional-solid-nail-glue-gel-for-press-on-tips-super-strong-hold-non-yellowing-no-heat-spike-uv-led-cured-wholesale-private-label-available-moq-3","Professional Solid Nail Glue Gel for Press-on Tips | Super Strong Hold, Non-Yellowing, No Heat Spike | UV/LED Cured | Wholesale &amp; Private Label Available (MOQ=10)")</x:f>
        <x:v>HYPERLINK is not implemented. linkLocation=https://365nails.com/products/professional-solid-nail-glue-gel-for-press-on-tips-super-strong-hold-non-yellowing-no-heat-spike-uv-led-cured-wholesale-private-label-available-moq-3, friendlyName=Professional Solid Nail Glue Gel for Press-on Tips | Super Strong Hold, Non-Yellowing, No Heat Spike | UV/LED Cured | Wholesale &amp; Private Label Available (MOQ=10)</x:v>
      </x:c>
      <x:c r="D1424" s="18" t="str">
        <x:v>Color: 8G solid glue can / 20G solid glue can / 10G solid rubber hose; Quantity: 10pcs</x:v>
      </x:c>
      <x:c r="E1424" s="25" t="str">
        <x:v>$2.70–$6.70</x:v>
      </x:c>
      <x:c r="F1424" s="19" t="str">
        <x:v>30</x:v>
      </x:c>
    </x:row>
    <x:row r="1425" ht="93" customHeight="1">
      <x:c r="A1425" s="19" t="n">
        <x:v>1422</x:v>
      </x:c>
      <x:c r="B1425" s="22" t="e">
        <x:f>HYPERLINK("https://cdn.shopify.com/s/files/1/0918/6066/4603/files/O1CN01Ct977C2NGHap7LDM5__4234819935-0-cib.jpg?v=1753432052","Open")</x:f>
        <x:v>HYPERLINK is not implemented. linkLocation=https://cdn.shopify.com/s/files/1/0918/6066/4603/files/O1CN01Ct977C2NGHap7LDM5__4234819935-0-cib.jpg?v=1753432052, friendlyName=Open</x:v>
      </x:c>
      <x:c r="C1425" s="24" t="e">
        <x:f>HYPERLINK("https://365nails.com/products/cross-border-pop-line-long-ballet-wear-nail-art-finished-fake-nail-nail-art-patch-nail-patch-removable-nail-365nails","Pop Line Long Ballet Wear Nail Art Finished Fake Nail Nail Art Patch Nail Patch Removable Nail｜365nails")</x:f>
        <x:v>HYPERLINK is not implemented. linkLocation=https://365nails.com/products/cross-border-pop-line-long-ballet-wear-nail-art-finished-fake-nail-nail-art-patch-nail-patch-removable-nail-365nails, friendlyName=Pop Line Long Ballet Wear Nail Art Finished Fake Nail Nail Art Patch Nail Patch Removable Nail｜365nails</x:v>
      </x:c>
      <x:c r="D1425" s="18" t="str">
        <x:v>color: JP1095</x:v>
      </x:c>
      <x:c r="E1425" s="25" t="str">
        <x:v>$1.16</x:v>
      </x:c>
      <x:c r="F1425" s="19" t="str">
        <x:v>1</x:v>
      </x:c>
    </x:row>
    <x:row r="1426" ht="93" customHeight="1">
      <x:c r="A1426" s="19" t="n">
        <x:v>1423</x:v>
      </x:c>
      <x:c r="B1426" s="22" t="e">
        <x:f>HYPERLINK("https://cdn.shopify.com/s/files/1/0918/6066/4603/files/O1CN01acOlSk2NGHur7G1e8__4234819935-0-cib.jpg?v=1753432146","Open")</x:f>
        <x:v>HYPERLINK is not implemented. linkLocation=https://cdn.shopify.com/s/files/1/0918/6066/4603/files/O1CN01acOlSk2NGHur7G1e8__4234819935-0-cib.jpg?v=1753432146, friendlyName=Open</x:v>
      </x:c>
      <x:c r="C1426" s="24" t="e">
        <x:f>HYPERLINK("https://365nails.com/products/sweet-cartoon-pink-nail-art-cone-ice-cream-wearing-nail-three-dimensional-bow-nail-piece-love-flash-diamond-fake-nail-365nails","Sweet cartoon pink nail art cone ice cream  three-dimensional bow  love flash diamond ｜365nails")</x:f>
        <x:v>HYPERLINK is not implemented. linkLocation=https://365nails.com/products/sweet-cartoon-pink-nail-art-cone-ice-cream-wearing-nail-three-dimensional-bow-nail-piece-love-flash-diamond-fake-nail-365nails, friendlyName=Sweet cartoon pink nail art cone ice cream  three-dimensional bow  love flash diamond ｜365nails</x:v>
      </x:c>
      <x:c r="D1426" s="18" t="str">
        <x:v>color: JP2800</x:v>
      </x:c>
      <x:c r="E1426" s="25" t="str">
        <x:v>$1.90</x:v>
      </x:c>
      <x:c r="F1426" s="19" t="str">
        <x:v>1</x:v>
      </x:c>
    </x:row>
    <x:row r="1427" ht="93" customHeight="1">
      <x:c r="A1427" s="19" t="n">
        <x:v>1424</x:v>
      </x:c>
      <x:c r="B1427" s="22" t="e">
        <x:f>HYPERLINK("https://cdn.shopify.com/s/files/1/0918/6066/4603/files/O1CN01Tenfq52NGHrMxBOKc__4234819935-0-cib.jpg?v=1753432372","Open")</x:f>
        <x:v>HYPERLINK is not implemented. linkLocation=https://cdn.shopify.com/s/files/1/0918/6066/4603/files/O1CN01Tenfq52NGHrMxBOKc__4234819935-0-cib.jpg?v=1753432372, friendlyName=Open</x:v>
      </x:c>
      <x:c r="C1427" s="24" t="e">
        <x:f>HYPERLINK("https://365nails.com/products/wearable-nail-piece-sweet-girl-french-pink-manicure-bow-pearl-staggered-almond-wearing-nail-wholesale-365nails","Wearable  Sweet girl French pink manicure Bow Pearl staggered almond  wholesale｜365nails")</x:f>
        <x:v>HYPERLINK is not implemented. linkLocation=https://365nails.com/products/wearable-nail-piece-sweet-girl-french-pink-manicure-bow-pearl-staggered-almond-wearing-nail-wholesale-365nails, friendlyName=Wearable  Sweet girl French pink manicure Bow Pearl staggered almond  wholesale｜365nails</x:v>
      </x:c>
      <x:c r="D1427" s="18" t="str">
        <x:v>Color: JP3275</x:v>
      </x:c>
      <x:c r="E1427" s="25" t="str">
        <x:v>$1.30</x:v>
      </x:c>
      <x:c r="F1427" s="19" t="str">
        <x:v>1</x:v>
      </x:c>
    </x:row>
    <x:row r="1428" ht="93" customHeight="1">
      <x:c r="A1428" s="19" t="n">
        <x:v>1425</x:v>
      </x:c>
      <x:c r="B1428" s="22" t="e">
        <x:f>HYPERLINK("https://cdn.shopify.com/s/files/1/0918/6066/4603/files/O1CN018SKTGa2NGHf519L6P__4234819935-0-cib.jpg?v=1753432270","Open")</x:f>
        <x:v>HYPERLINK is not implemented. linkLocation=https://cdn.shopify.com/s/files/1/0918/6066/4603/files/O1CN018SKTGa2NGHf519L6P__4234819935-0-cib.jpg?v=1753432270, friendlyName=Open</x:v>
      </x:c>
      <x:c r="C1428" s="24" t="e">
        <x:f>HYPERLINK("https://365nails.com/products/long-ballet-naked-pink-white-green-leaf-small-cherry-red-diamond-nail-art-nail-wear-wholesale-nail-piece-long-nail-wear-365nails","Long Ballet Naked Pink White Green Leaf Small Cherry Red Diamond Nail Art Nail Wear Wholesale Nail Piece Long Nail Wear｜365nails")</x:f>
        <x:v>HYPERLINK is not implemented. linkLocation=https://365nails.com/products/long-ballet-naked-pink-white-green-leaf-small-cherry-red-diamond-nail-art-nail-wear-wholesale-nail-piece-long-nail-wear-365nails, friendlyName=Long Ballet Naked Pink White Green Leaf Small Cherry Red Diamond Nail Art Nail Wear Wholesale Nail Piece Long Nail Wear｜365nails</x:v>
      </x:c>
      <x:c r="D1428" s="18" t="str">
        <x:v>color: JP1623</x:v>
      </x:c>
      <x:c r="E1428" s="25" t="str">
        <x:v>$1.03</x:v>
      </x:c>
      <x:c r="F1428" s="19" t="str">
        <x:v>1</x:v>
      </x:c>
    </x:row>
    <x:row r="1429" ht="93" customHeight="1">
      <x:c r="A1429" s="19" t="n">
        <x:v>1426</x:v>
      </x:c>
      <x:c r="B1429" s="22" t="e">
        <x:f>HYPERLINK("https://cdn.shopify.com/s/files/1/0918/6066/4603/files/O1CN01TK6xVt2NGHdRJEaHn__4234819935-0-cib.jpg?v=1753429026","Open")</x:f>
        <x:v>HYPERLINK is not implemented. linkLocation=https://cdn.shopify.com/s/files/1/0918/6066/4603/files/O1CN01TK6xVt2NGHdRJEaHn__4234819935-0-cib.jpg?v=1753429026, friendlyName=Open</x:v>
      </x:c>
      <x:c r="C1429" s="24" t="e">
        <x:f>HYPERLINK("https://365nails.com/products/art-abstract-face-wearing-nail-line-nail-art-personalized-nail-film-cross-border-direct-supply-nails-nail-film-wholesale-365nails","Art abstract face  line nail art personalized   direct supply nails  wholesale｜365nails")</x:f>
        <x:v>HYPERLINK is not implemented. linkLocation=https://365nails.com/products/art-abstract-face-wearing-nail-line-nail-art-personalized-nail-film-cross-border-direct-supply-nails-nail-film-wholesale-365nails, friendlyName=Art abstract face  line nail art personalized   direct supply nails  wholesale｜365nails</x:v>
      </x:c>
      <x:c r="D1429" s="18" t="str">
        <x:v>color: JP1436</x:v>
      </x:c>
      <x:c r="E1429" s="25" t="str">
        <x:v>$0.91</x:v>
      </x:c>
      <x:c r="F1429" s="19" t="str">
        <x:v>1</x:v>
      </x:c>
    </x:row>
    <x:row r="1430" ht="93" customHeight="1">
      <x:c r="A1430" s="19" t="n">
        <x:v>1427</x:v>
      </x:c>
      <x:c r="B1430" s="22" t="e">
        <x:f>HYPERLINK("https://cdn.shopify.com/s/files/1/0918/6066/4603/files/O1CN01i1CYxf1rlpRdKad1W__2215158925672-0-cib.jpg?v=1754448667","Open")</x:f>
        <x:v>HYPERLINK is not implemented. linkLocation=https://cdn.shopify.com/s/files/1/0918/6066/4603/files/O1CN01i1CYxf1rlpRdKad1W__2215158925672-0-cib.jpg?v=1754448667, friendlyName=Open</x:v>
      </x:c>
      <x:c r="C1430" s="24" t="e">
        <x:f>HYPERLINK("https://365nails.com/products/european-american-medium-and-long-square-handmade-press-on-nails-spray-gun-contrast-color-gradual-change-hand-squeezed-shape-advanced-sense-long-nail-patch-365nails","Airbrushed Color-Block Gradient Nails with Shimmer Accents")</x:f>
        <x:v>HYPERLINK is not implemented. linkLocation=https://365nails.com/products/european-american-medium-and-long-square-handmade-press-on-nails-spray-gun-contrast-color-gradual-change-hand-squeezed-shape-advanced-sense-long-nail-patch-365nails, friendlyName=Airbrushed Color-Block Gradient Nails with Shimmer Accents</x:v>
      </x:c>
      <x:c r="D1430" s="18" t="str">
        <x:v>shape: medium and long square; size: S / M / L</x:v>
      </x:c>
      <x:c r="E1430" s="25" t="str">
        <x:v>$4.99</x:v>
      </x:c>
      <x:c r="F1430" s="19" t="str">
        <x:v>30</x:v>
      </x:c>
    </x:row>
    <x:row r="1431" ht="93" customHeight="1">
      <x:c r="A1431" s="19" t="n">
        <x:v>1428</x:v>
      </x:c>
      <x:c r="B1431" s="22" t="e">
        <x:f>HYPERLINK("https://cdn.shopify.com/s/files/1/0918/6066/4603/files/O1CN01amk4gw1rlpNUBFw9s__2215158925672-0-cib.jpg?v=1754448973","Open")</x:f>
        <x:v>HYPERLINK is not implemented. linkLocation=https://cdn.shopify.com/s/files/1/0918/6066/4603/files/O1CN01amk4gw1rlpNUBFw9s__2215158925672-0-cib.jpg?v=1754448973, friendlyName=Open</x:v>
      </x:c>
      <x:c r="C1431" s="24" t="e">
        <x:f>HYPERLINK("https://365nails.com/products/handmade-armor-christmas-new-snowy-village-cute-sweet-short-cat-eye-manicure-wearable-nail-sticker-365nails","Snowy Christmas Village Nails with Hand-Painted Holiday Details")</x:f>
        <x:v>HYPERLINK is not implemented. linkLocation=https://365nails.com/products/handmade-armor-christmas-new-snowy-village-cute-sweet-short-cat-eye-manicure-wearable-nail-sticker-365nails, friendlyName=Snowy Christmas Village Nails with Hand-Painted Holiday Details</x:v>
      </x:c>
      <x:c r="D1431" s="18" t="str">
        <x:v>shape: short circle; size: XS / S / M / L</x:v>
      </x:c>
      <x:c r="E1431" s="25" t="str">
        <x:v>$2.49</x:v>
      </x:c>
      <x:c r="F1431" s="19" t="str">
        <x:v>30</x:v>
      </x:c>
    </x:row>
    <x:row r="1432" ht="93" customHeight="1">
      <x:c r="A1432" s="19" t="n">
        <x:v>1429</x:v>
      </x:c>
      <x:c r="B1432" s="22" t="e">
        <x:f>HYPERLINK("https://cdn.shopify.com/s/files/1/0918/6066/4603/files/O1CN01YN7soy1rlpQk0xFfw__2215158925672-0-cib.jpg?v=1754448222","Open")</x:f>
        <x:v>HYPERLINK is not implemented. linkLocation=https://cdn.shopify.com/s/files/1/0918/6066/4603/files/O1CN01YN7soy1rlpQk0xFfw__2215158925672-0-cib.jpg?v=1754448222, friendlyName=Open</x:v>
      </x:c>
      <x:c r="C1432" s="24" t="e">
        <x:f>HYPERLINK("https://365nails.com/products/spring-and-summer-new-manicure-qingti-cat-eye-cute-hand-painted-bow-handmade-press-on-nails-wearable-nail-sticker-wholesale-365nails","Sweet Pastel Green Bow Glitter Mixed Short Press-On Nails")</x:f>
        <x:v>HYPERLINK is not implemented. linkLocation=https://365nails.com/products/spring-and-summer-new-manicure-qingti-cat-eye-cute-hand-painted-bow-handmade-press-on-nails-wearable-nail-sticker-wholesale-365nails, friendlyName=Sweet Pastel Green Bow Glitter Mixed Short Press-On Nails</x:v>
      </x:c>
      <x:c r="D1432" s="18" t="str">
        <x:v>shape: Medium Square; size: XS / S / M</x:v>
      </x:c>
      <x:c r="E1432" s="25" t="str">
        <x:v>$2.99</x:v>
      </x:c>
      <x:c r="F1432" s="19" t="str">
        <x:v>30</x:v>
      </x:c>
    </x:row>
    <x:row r="1433" ht="93" customHeight="1">
      <x:c r="A1433" s="19" t="n">
        <x:v>1430</x:v>
      </x:c>
      <x:c r="B1433" s="22" t="e">
        <x:f>HYPERLINK("https://cdn.shopify.com/s/files/1/0918/6066/4603/files/O1CN01oDjuLd2NGHb1zlLPI__4234819935-0-cib.jpg?v=1753432215","Open")</x:f>
        <x:v>HYPERLINK is not implemented. linkLocation=https://cdn.shopify.com/s/files/1/0918/6066/4603/files/O1CN01oDjuLd2NGHb1zlLPI__4234819935-0-cib.jpg?v=1753432215, friendlyName=Open</x:v>
      </x:c>
      <x:c r="C1433" s="24" t="e">
        <x:f>HYPERLINK("https://365nails.com/products/pink-long-ballet-crescent-crescent-rhinestone-wearing-nail-art-finished-fake-nail-nail-nail-patch-cross-border-direct-supply-nail-patch-365nails","Pink long ballet crescent crescent rhinestone press on nails art finished fake nail nail nail patch  direct supply nail patch｜365nails")</x:f>
        <x:v>HYPERLINK is not implemented. linkLocation=https://365nails.com/products/pink-long-ballet-crescent-crescent-rhinestone-wearing-nail-art-finished-fake-nail-nail-nail-patch-cross-border-direct-supply-nail-patch-365nails, friendlyName=Pink long ballet crescent crescent rhinestone press on nails art finished fake nail nail nail patch  direct supply nail patch｜365nails</x:v>
      </x:c>
      <x:c r="D1433" s="18" t="str">
        <x:v>color: JP1086</x:v>
      </x:c>
      <x:c r="E1433" s="25" t="str">
        <x:v>$1.25</x:v>
      </x:c>
      <x:c r="F1433" s="19" t="str">
        <x:v>1</x:v>
      </x:c>
    </x:row>
    <x:row r="1434" ht="93" customHeight="1">
      <x:c r="A1434" s="19" t="n">
        <x:v>1431</x:v>
      </x:c>
      <x:c r="B1434" s="22" t="e">
        <x:f>HYPERLINK("https://cdn.shopify.com/s/files/1/0918/6066/4603/files/O1CN01yhBbzu2NGHdIpC9st__4234819935-0-cib.jpg?v=1753432095","Open")</x:f>
        <x:v>HYPERLINK is not implemented. linkLocation=https://cdn.shopify.com/s/files/1/0918/6066/4603/files/O1CN01yhBbzu2NGHdIpC9st__4234819935-0-cib.jpg?v=1753432095, friendlyName=Open</x:v>
      </x:c>
      <x:c r="C1434" s="24" t="e">
        <x:f>HYPERLINK("https://365nails.com/products/royal-blue-wearing-nail-whitening-manicure-full-diamond-series-nail-piece-cross-border-direct-supply-wearing-nail-wholesale-nail-piece-wholesale-365nails","Royal blue  whitening manicure full diamond series   direct supply  wholesale  wholesale｜365nails")</x:f>
        <x:v>HYPERLINK is not implemented. linkLocation=https://365nails.com/products/royal-blue-wearing-nail-whitening-manicure-full-diamond-series-nail-piece-cross-border-direct-supply-wearing-nail-wholesale-nail-piece-wholesale-365nails, friendlyName=Royal blue  whitening manicure full diamond series   direct supply  wholesale  wholesale｜365nails</x:v>
      </x:c>
      <x:c r="D1434" s="18" t="str">
        <x:v>color: JP1329</x:v>
      </x:c>
      <x:c r="E1434" s="25" t="str">
        <x:v>$1.62</x:v>
      </x:c>
      <x:c r="F1434" s="19" t="str">
        <x:v>1</x:v>
      </x:c>
    </x:row>
    <x:row r="1435" ht="93" customHeight="1">
      <x:c r="A1435" s="19" t="n">
        <x:v>1432</x:v>
      </x:c>
      <x:c r="B1435" s="22" t="e">
        <x:f>HYPERLINK("https://cdn.shopify.com/s/files/1/0918/6066/4603/files/O1CN01n2rFA71rlpNADgC9D__2215158925672-0-cib.jpg?v=1754448363","Open")</x:f>
        <x:v>HYPERLINK is not implemented. linkLocation=https://cdn.shopify.com/s/files/1/0918/6066/4603/files/O1CN01n2rFA71rlpNADgC9D__2215158925672-0-cib.jpg?v=1754448363, friendlyName=Open</x:v>
      </x:c>
      <x:c r="C1435" s="24" t="e">
        <x:f>HYPERLINK("https://365nails.com/products/maillard-style-short-manicure-amber-smudge-spray-gun-gradual-change-pure-handmade-press-on-nails-wholesale-wearable-nail-sticker-365nails","Amber Gradient Nails with Maillard-Inspired Artistic Details")</x:f>
        <x:v>HYPERLINK is not implemented. linkLocation=https://365nails.com/products/maillard-style-short-manicure-amber-smudge-spray-gun-gradual-change-pure-handmade-press-on-nails-wholesale-wearable-nail-sticker-365nails, friendlyName=Amber Gradient Nails with Maillard-Inspired Artistic Details</x:v>
      </x:c>
      <x:c r="D1435" s="18" t="str">
        <x:v>shape: new short square; size: XS / S / M / L</x:v>
      </x:c>
      <x:c r="E1435" s="25" t="str">
        <x:v>$2.99</x:v>
      </x:c>
      <x:c r="F1435" s="19" t="str">
        <x:v>30</x:v>
      </x:c>
    </x:row>
    <x:row r="1436" ht="93" customHeight="1">
      <x:c r="A1436" s="19" t="n">
        <x:v>1433</x:v>
      </x:c>
      <x:c r="B1436" s="22" t="e">
        <x:f>HYPERLINK("https://cdn.shopify.com/s/files/1/0918/6066/4603/files/O1CN01B1iL5g1rlpJgMui6J__2215158925672-0-cib.jpg?v=1754448106","Open")</x:f>
        <x:v>HYPERLINK is not implemented. linkLocation=https://cdn.shopify.com/s/files/1/0918/6066/4603/files/O1CN01B1iL5g1rlpJgMui6J__2215158925672-0-cib.jpg?v=1754448106, friendlyName=Open</x:v>
      </x:c>
      <x:c r="C1436" s="24" t="e">
        <x:f>HYPERLINK("https://365nails.com/products/handmade-press-on-nails-advanced-temperament-cold-wind-medium-and-long-nail-patch-reusable-fake-nail-wholesale-365nails","Minimalist Silver Line Art Abstract Chrome Accent White Press-On Nails")</x:f>
        <x:v>HYPERLINK is not implemented. linkLocation=https://365nails.com/products/handmade-press-on-nails-advanced-temperament-cold-wind-medium-and-long-nail-patch-reusable-fake-nail-wholesale-365nails, friendlyName=Minimalist Silver Line Art Abstract Chrome Accent White Press-On Nails</x:v>
      </x:c>
      <x:c r="D1436" s="18" t="str">
        <x:v>shape: Medium T; size: XS / S / M / L</x:v>
      </x:c>
      <x:c r="E1436" s="25" t="str">
        <x:v>$3.49</x:v>
      </x:c>
      <x:c r="F1436" s="19" t="str">
        <x:v>30</x:v>
      </x:c>
    </x:row>
    <x:row r="1437" ht="93" customHeight="1">
      <x:c r="A1437" s="19" t="n">
        <x:v>1434</x:v>
      </x:c>
      <x:c r="B1437" s="22" t="e">
        <x:f>HYPERLINK("https://cdn.shopify.com/s/files/1/0918/6066/4603/files/O1CN01O30Cyc2NGHcacVKiD__4234819935-0-cib.jpg?v=1753432267","Open")</x:f>
        <x:v>HYPERLINK is not implemented. linkLocation=https://cdn.shopify.com/s/files/1/0918/6066/4603/files/O1CN01O30Cyc2NGHcacVKiD__4234819935-0-cib.jpg?v=1753432267, friendlyName=Open</x:v>
      </x:c>
      <x:c r="C1437" s="24" t="e">
        <x:f>HYPERLINK("https://365nails.com/products/wave-series-white-wave-wear-nail-art-finished-fake-nail-nail-patch-nail-patch-false-nails-365nails","Wave Series White Wave Wear Nail Art Finished Fake Nail Nail Patch Nail Patch False Nails｜365nails")</x:f>
        <x:v>HYPERLINK is not implemented. linkLocation=https://365nails.com/products/wave-series-white-wave-wear-nail-art-finished-fake-nail-nail-patch-nail-patch-false-nails-365nails, friendlyName=Wave Series White Wave Wear Nail Art Finished Fake Nail Nail Patch Nail Patch False Nails｜365nails</x:v>
      </x:c>
      <x:c r="D1437" s="18" t="str">
        <x:v>color: JP1397</x:v>
      </x:c>
      <x:c r="E1437" s="25" t="str">
        <x:v>$0.91</x:v>
      </x:c>
      <x:c r="F1437" s="19" t="str">
        <x:v>1</x:v>
      </x:c>
    </x:row>
    <x:row r="1438" ht="93" customHeight="1">
      <x:c r="A1438" s="19" t="n">
        <x:v>1435</x:v>
      </x:c>
      <x:c r="B1438" s="22" t="e">
        <x:f>HYPERLINK("https://cdn.shopify.com/s/files/1/0918/6066/4603/files/O1CN01KmEhFO2NGHokCNr70__4234819935-0-cib.jpg?v=1753432119","Open")</x:f>
        <x:v>HYPERLINK is not implemented. linkLocation=https://cdn.shopify.com/s/files/1/0918/6066/4603/files/O1CN01KmEhFO2NGHokCNr70__4234819935-0-cib.jpg?v=1753432119, friendlyName=Open</x:v>
      </x:c>
      <x:c r="C1438" s="24" t="e">
        <x:f>HYPERLINK("https://365nails.com/products/long-ballet-manicure-piece-pearl-white-fake-nails-blue-gradual-change-sequins-sparkling-diamond-wearing-nail-autumn-and-winter-white-nail-piece-365nails","Long ballet manicure piece Pearl white  Blue gradual change sequins Sparkling diamond  Autumn and winter white ｜365nails")</x:f>
        <x:v>HYPERLINK is not implemented. linkLocation=https://365nails.com/products/long-ballet-manicure-piece-pearl-white-fake-nails-blue-gradual-change-sequins-sparkling-diamond-wearing-nail-autumn-and-winter-white-nail-piece-365nails, friendlyName=Long ballet manicure piece Pearl white  Blue gradual change sequins Sparkling diamond  Autumn and winter white ｜365nails</x:v>
      </x:c>
      <x:c r="D1438" s="18" t="str">
        <x:v>Color: JP2927</x:v>
      </x:c>
      <x:c r="E1438" s="25" t="str">
        <x:v>$1.47</x:v>
      </x:c>
      <x:c r="F1438" s="19" t="str">
        <x:v>1</x:v>
      </x:c>
    </x:row>
    <x:row r="1439" ht="93" customHeight="1">
      <x:c r="A1439" s="19" t="n">
        <x:v>1436</x:v>
      </x:c>
      <x:c r="B1439" s="22" t="e">
        <x:f>HYPERLINK("https://cdn.shopify.com/s/files/1/0918/6066/4603/files/O1CN01ZxcsZ51rlpK9oHDJY__2215158925672-0-cib.jpg?v=1754447981","Open")</x:f>
        <x:v>HYPERLINK is not implemented. linkLocation=https://cdn.shopify.com/s/files/1/0918/6066/4603/files/O1CN01ZxcsZ51rlpK9oHDJY__2215158925672-0-cib.jpg?v=1754447981, friendlyName=Open</x:v>
      </x:c>
      <x:c r="C1439" s="24" t="e">
        <x:f>HYPERLINK("https://365nails.com/products/handmade-press-on-nails-aurora-drill-airbrush-grape-purple-blush-medium-and-long-whitening-nail-patch-wearable-fake-nails-365nails","Gradient Press-On Nails with Iridescent Shards and Soft Sparkle")</x:f>
        <x:v>HYPERLINK is not implemented. linkLocation=https://365nails.com/products/handmade-press-on-nails-aurora-drill-airbrush-grape-purple-blush-medium-and-long-whitening-nail-patch-wearable-fake-nails-365nails, friendlyName=Gradient Press-On Nails with Iridescent Shards and Soft Sparkle</x:v>
      </x:c>
      <x:c r="D1439" s="18" t="str">
        <x:v>shape: Medium T; size: XS / S / M / L</x:v>
      </x:c>
      <x:c r="E1439" s="25" t="str">
        <x:v>$2.99</x:v>
      </x:c>
      <x:c r="F1439" s="19" t="str">
        <x:v>30</x:v>
      </x:c>
    </x:row>
    <x:row r="1440" ht="93" customHeight="1">
      <x:c r="A1440" s="19" t="n">
        <x:v>1437</x:v>
      </x:c>
      <x:c r="B1440" s="22" t="e">
        <x:f>HYPERLINK("https://cdn.shopify.com/s/files/1/0918/6066/4603/files/O1CN01KQI39I2NGHihHpe0T__4234819935-0-cib.jpg?v=1753432285","Open")</x:f>
        <x:v>HYPERLINK is not implemented. linkLocation=https://cdn.shopify.com/s/files/1/0918/6066/4603/files/O1CN01KQI39I2NGHihHpe0T__4234819935-0-cib.jpg?v=1753432285, friendlyName=Open</x:v>
      </x:c>
      <x:c r="C1440" s="24" t="e">
        <x:f>HYPERLINK("https://365nails.com/products/wear-nail-pads-wholesale-valentines-day-hypotenuse-red-french-love-lip-print-red-wear-nail-manicure-wear-nail-365nails","Wear nail pads wholesale Valentine's Day hypotenuse red French love lip print red wear nail manicure wear nail｜365nails")</x:f>
        <x:v>HYPERLINK is not implemented. linkLocation=https://365nails.com/products/wear-nail-pads-wholesale-valentines-day-hypotenuse-red-french-love-lip-print-red-wear-nail-manicure-wear-nail-365nails, friendlyName=Wear nail pads wholesale Valentine's Day hypotenuse red French love lip print red wear nail manicure wear nail｜365nails</x:v>
      </x:c>
      <x:c r="D1440" s="18" t="str">
        <x:v>color: JP2250</x:v>
      </x:c>
      <x:c r="E1440" s="25" t="str">
        <x:v>$0.91</x:v>
      </x:c>
      <x:c r="F1440" s="19" t="str">
        <x:v>1</x:v>
      </x:c>
    </x:row>
    <x:row r="1441" ht="93" customHeight="1">
      <x:c r="A1441" s="19" t="n">
        <x:v>1438</x:v>
      </x:c>
      <x:c r="B1441" s="22" t="e">
        <x:f>HYPERLINK("https://cdn.shopify.com/s/files/1/0918/6066/4603/files/23017560428_2037667256.jpg?v=1753432233","Open")</x:f>
        <x:v>HYPERLINK is not implemented. linkLocation=https://cdn.shopify.com/s/files/1/0918/6066/4603/files/23017560428_2037667256.jpg?v=1753432233, friendlyName=Open</x:v>
      </x:c>
      <x:c r="C1441" s="24" t="e">
        <x:f>HYPERLINK("https://365nails.com/products/blue-water-green-gradual-change-long-ballet-wear-nail-art-finished-fake-nail-nail-art-patch-nail-patch-waterproof-removable-365nails","Blue water green gradual change long ballet wear nail art finished fake nail nail art patch nail patch waterproof removable｜365nails")</x:f>
        <x:v>HYPERLINK is not implemented. linkLocation=https://365nails.com/products/blue-water-green-gradual-change-long-ballet-wear-nail-art-finished-fake-nail-nail-art-patch-nail-patch-waterproof-removable-365nails, friendlyName=Blue water green gradual change long ballet wear nail art finished fake nail nail art patch nail patch waterproof removable｜365nails</x:v>
      </x:c>
      <x:c r="D1441" s="18" t="str">
        <x:v>color: JP961</x:v>
      </x:c>
      <x:c r="E1441" s="25" t="str">
        <x:v>$0.91</x:v>
      </x:c>
      <x:c r="F1441" s="19" t="str">
        <x:v>1</x:v>
      </x:c>
    </x:row>
    <x:row r="1442" ht="93" customHeight="1">
      <x:c r="A1442" s="19" t="n">
        <x:v>1439</x:v>
      </x:c>
      <x:c r="B1442" s="22" t="e">
        <x:f>HYPERLINK("https://cdn.shopify.com/s/files/1/0918/6066/4603/files/O1CN01y4Rxfk2NGHdfOl7nW__4234819935-0-cib.jpg?v=1753428972","Open")</x:f>
        <x:v>HYPERLINK is not implemented. linkLocation=https://cdn.shopify.com/s/files/1/0918/6066/4603/files/O1CN01y4Rxfk2NGHdfOl7nW__4234819935-0-cib.jpg?v=1753428972, friendlyName=Open</x:v>
      </x:c>
      <x:c r="C1442" s="24" t="e">
        <x:f>HYPERLINK("https://365nails.com/products/wearing-nail-french-manicure-coffee-color-matching-false-nail-polka-dot-series-nail-piece-false-nail-cross-border-direct-supply-365nails","French manicure coffee color matching false nail polka dot series  false nail  direct supply｜365nails")</x:f>
        <x:v>HYPERLINK is not implemented. linkLocation=https://365nails.com/products/wearing-nail-french-manicure-coffee-color-matching-false-nail-polka-dot-series-nail-piece-false-nail-cross-border-direct-supply-365nails, friendlyName=French manicure coffee color matching false nail polka dot series  false nail  direct supply｜365nails</x:v>
      </x:c>
      <x:c r="D1442" s="18" t="str">
        <x:v>color: JP1435</x:v>
      </x:c>
      <x:c r="E1442" s="25" t="str">
        <x:v>$1.08</x:v>
      </x:c>
      <x:c r="F1442" s="19" t="str">
        <x:v>1</x:v>
      </x:c>
    </x:row>
    <x:row r="1443" ht="93" customHeight="1">
      <x:c r="A1443" s="19" t="n">
        <x:v>1440</x:v>
      </x:c>
      <x:c r="B1443" s="22" t="e">
        <x:f>HYPERLINK("https://cdn.shopify.com/s/files/1/0918/6066/4603/files/O1CN01j2bHv82NGHh26kZNE__4234819935-0-cib.jpg?v=1753432229","Open")</x:f>
        <x:v>HYPERLINK is not implemented. linkLocation=https://cdn.shopify.com/s/files/1/0918/6066/4603/files/O1CN01j2bHv82NGHh26kZNE__4234819935-0-cib.jpg?v=1753432229, friendlyName=Open</x:v>
      </x:c>
      <x:c r="C1443" s="24" t="e">
        <x:f>HYPERLINK("https://365nails.com/products/wearable-nail-art-wholesale-french-pink-edge-mosaic-love-rhinestone-wearing-nail-art-advanced-long-wearing-nail-products-365nails","Art Wholesale French Pink Edge Mosaic Love Rhinestone  Art Advanced Long  Products｜365nails")</x:f>
        <x:v>HYPERLINK is not implemented. linkLocation=https://365nails.com/products/wearable-nail-art-wholesale-french-pink-edge-mosaic-love-rhinestone-wearing-nail-art-advanced-long-wearing-nail-products-365nails, friendlyName=Art Wholesale French Pink Edge Mosaic Love Rhinestone  Art Advanced Long  Products｜365nails</x:v>
      </x:c>
      <x:c r="D1443" s="18" t="str">
        <x:v>color: JP1853</x:v>
      </x:c>
      <x:c r="E1443" s="25" t="str">
        <x:v>$1.25</x:v>
      </x:c>
      <x:c r="F1443" s="19" t="str">
        <x:v>1</x:v>
      </x:c>
    </x:row>
    <x:row r="1444" ht="93" customHeight="1">
      <x:c r="A1444" s="19" t="n">
        <x:v>1441</x:v>
      </x:c>
      <x:c r="B1444" s="22" t="e">
        <x:f>HYPERLINK("https://cdn.shopify.com/s/files/1/0918/6066/4603/files/O1CN011zVnWe2NGHoQimopC__4234819935-0-cib.jpg?v=1753429020","Open")</x:f>
        <x:v>HYPERLINK is not implemented. linkLocation=https://cdn.shopify.com/s/files/1/0918/6066/4603/files/O1CN011zVnWe2NGHoQimopC__4234819935-0-cib.jpg?v=1753429020, friendlyName=Open</x:v>
      </x:c>
      <x:c r="C1444" s="24" t="e">
        <x:f>HYPERLINK("https://365nails.com/products/glitter-dark-bat-wearing-nail-piece-red-edge-nail-art-european-and-american-cross-border-nail-art-removable-nail-piece-finished-product-wholesale-365nails","Glitter, dark bat , red edge nail art,   nail art removable nail piece finished product wholesale｜365nails")</x:f>
        <x:v>HYPERLINK is not implemented. linkLocation=https://365nails.com/products/glitter-dark-bat-wearing-nail-piece-red-edge-nail-art-european-and-american-cross-border-nail-art-removable-nail-piece-finished-product-wholesale-365nails, friendlyName=Glitter, dark bat , red edge nail art,   nail art removable nail piece finished product wholesale｜365nails</x:v>
      </x:c>
      <x:c r="D1444" s="18" t="str">
        <x:v>Color: JP3050</x:v>
      </x:c>
      <x:c r="E1444" s="25" t="str">
        <x:v>$0.99</x:v>
      </x:c>
      <x:c r="F1444" s="19" t="str">
        <x:v>1</x:v>
      </x:c>
    </x:row>
    <x:row r="1445" ht="93" customHeight="1">
      <x:c r="A1445" s="19" t="n">
        <x:v>1442</x:v>
      </x:c>
      <x:c r="B1445" s="22" t="e">
        <x:f>HYPERLINK("https://cdn.shopify.com/s/files/1/0918/6066/4603/files/O1CN01jhedfn2NGHrLB8ymw__4234819935-0-cib.jpg?v=1753432282","Open")</x:f>
        <x:v>HYPERLINK is not implemented. linkLocation=https://cdn.shopify.com/s/files/1/0918/6066/4603/files/O1CN01jhedfn2NGHrLB8ymw__4234819935-0-cib.jpg?v=1753432282, friendlyName=Open</x:v>
      </x:c>
      <x:c r="C1445" s="24" t="e">
        <x:f>HYPERLINK("https://365nails.com/products/ballet-fake-nails-hand-feel-matte-bronzing-manicure-wearing-nail-love-xingmang-removable-nail-piece-finished-product-wholesale-365nails","Ballet , hand feel matte bronzing manicure,  love, Xingmang removable  finished product wholesale｜365nails")</x:f>
        <x:v>HYPERLINK is not implemented. linkLocation=https://365nails.com/products/ballet-fake-nails-hand-feel-matte-bronzing-manicure-wearing-nail-love-xingmang-removable-nail-piece-finished-product-wholesale-365nails, friendlyName=Ballet , hand feel matte bronzing manicure,  love, Xingmang removable  finished product wholesale｜365nails</x:v>
      </x:c>
      <x:c r="D1445" s="18" t="str">
        <x:v>Color: JP3286</x:v>
      </x:c>
      <x:c r="E1445" s="25" t="str">
        <x:v>$0.86</x:v>
      </x:c>
      <x:c r="F1445" s="19" t="str">
        <x:v>1</x:v>
      </x:c>
    </x:row>
    <x:row r="1446" ht="93" customHeight="1">
      <x:c r="A1446" s="19" t="n">
        <x:v>1443</x:v>
      </x:c>
      <x:c r="B1446" s="22" t="e">
        <x:f>HYPERLINK("https://cdn.shopify.com/s/files/1/0918/6066/4603/files/O1CN01RTrfYh2NGHcih3xsj__4234819935-0-cib.jpg?v=1753432097","Open")</x:f>
        <x:v>HYPERLINK is not implemented. linkLocation=https://cdn.shopify.com/s/files/1/0918/6066/4603/files/O1CN01RTrfYh2NGHcih3xsj__4234819935-0-cib.jpg?v=1753432097, friendlyName=Open</x:v>
      </x:c>
      <x:c r="C1446" s="24" t="e">
        <x:f>HYPERLINK("https://365nails.com/products/black-and-white-markings-french-false-nail-wear-nail-art-finished-fake-nail-nail-patch-nail-patch-cross-border-365nails","Black and white markings French False nail Wear Nail Art Finished Fake Nail Nail Patch Nail Patch ｜365nails")</x:f>
        <x:v>HYPERLINK is not implemented. linkLocation=https://365nails.com/products/black-and-white-markings-french-false-nail-wear-nail-art-finished-fake-nail-nail-patch-nail-patch-cross-border-365nails, friendlyName=Black and white markings French False nail Wear Nail Art Finished Fake Nail Nail Patch Nail Patch ｜365nails</x:v>
      </x:c>
      <x:c r="D1446" s="18" t="str">
        <x:v>color: JP1402</x:v>
      </x:c>
      <x:c r="E1446" s="25" t="str">
        <x:v>$0.91</x:v>
      </x:c>
      <x:c r="F1446" s="19" t="str">
        <x:v>1</x:v>
      </x:c>
    </x:row>
    <x:row r="1447" ht="93" customHeight="1">
      <x:c r="A1447" s="19" t="n">
        <x:v>1444</x:v>
      </x:c>
      <x:c r="B1447" s="22" t="e">
        <x:f>HYPERLINK("https://cdn.shopify.com/s/files/1/0918/6066/4603/files/O1CN01tQL4SB2NGHgUfwlM2__4234819935-0-cib.jpg?v=1753432248","Open")</x:f>
        <x:v>HYPERLINK is not implemented. linkLocation=https://cdn.shopify.com/s/files/1/0918/6066/4603/files/O1CN01tQL4SB2NGHgUfwlM2__4234819935-0-cib.jpg?v=1753432248, friendlyName=Open</x:v>
      </x:c>
      <x:c r="C1447" s="24" t="e">
        <x:f>HYPERLINK("https://365nails.com/products/nail-piece-finished-product-wholesale-orange-line-wavy-simple-french-nail-sticker-removable-nail-piece-nail-piece-wholesale-365nails","Nail piece finished product wholesale Orange line wavy simple French nail sticker Removable nail piece Nail piece Wholesale｜365nails")</x:f>
        <x:v>HYPERLINK is not implemented. linkLocation=https://365nails.com/products/nail-piece-finished-product-wholesale-orange-line-wavy-simple-french-nail-sticker-removable-nail-piece-nail-piece-wholesale-365nails, friendlyName=Nail piece finished product wholesale Orange line wavy simple French nail sticker Removable nail piece Nail piece Wholesale｜365nails</x:v>
      </x:c>
      <x:c r="D1447" s="18" t="str">
        <x:v>color: JP1739</x:v>
      </x:c>
      <x:c r="E1447" s="25" t="str">
        <x:v>$0.91</x:v>
      </x:c>
      <x:c r="F1447" s="19" t="str">
        <x:v>1</x:v>
      </x:c>
    </x:row>
    <x:row r="1448" ht="93" customHeight="1">
      <x:c r="A1448" s="19" t="n">
        <x:v>1445</x:v>
      </x:c>
      <x:c r="B1448" s="22" t="e">
        <x:f>HYPERLINK("https://cdn.shopify.com/s/files/1/0918/6066/4603/files/O1CN01WsdsAT2NGHvp1PuNh__4234819935-0-cib.jpg?v=1753432379","Open")</x:f>
        <x:v>HYPERLINK is not implemented. linkLocation=https://cdn.shopify.com/s/files/1/0918/6066/4603/files/O1CN01WsdsAT2NGHvp1PuNh__4234819935-0-cib.jpg?v=1753432379, friendlyName=Open</x:v>
      </x:c>
      <x:c r="C1448" s="24" t="e">
        <x:f>HYPERLINK("https://365nails.com/products/tropical-flower-3d-wearing-nail-piece-three-dimensional-point-drill-butterfly-french-nail-piece-cross-border-hot-selling-color-fake-nail-manicure-365nails","Tropical flower 3D  three-dimensional point drill butterfly French nail piece  hot-selling color fake nail manicure｜365nails")</x:f>
        <x:v>HYPERLINK is not implemented. linkLocation=https://365nails.com/products/tropical-flower-3d-wearing-nail-piece-three-dimensional-point-drill-butterfly-french-nail-piece-cross-border-hot-selling-color-fake-nail-manicure-365nails, friendlyName=Tropical flower 3D  three-dimensional point drill butterfly French nail piece  hot-selling color fake nail manicure｜365nails</x:v>
      </x:c>
      <x:c r="D1448" s="18" t="str">
        <x:v>color: JP3468</x:v>
      </x:c>
      <x:c r="E1448" s="25" t="str">
        <x:v>$3.22</x:v>
      </x:c>
      <x:c r="F1448" s="19" t="str">
        <x:v>1</x:v>
      </x:c>
    </x:row>
    <x:row r="1449" ht="93" customHeight="1">
      <x:c r="A1449" s="19" t="n">
        <x:v>1446</x:v>
      </x:c>
      <x:c r="B1449" s="22" t="e">
        <x:f>HYPERLINK("https://cdn.shopify.com/s/files/1/0918/6066/4603/files/O1CN01yGfBW31rlpJXXQnoj__2215158925672-0-cib.jpg?v=1754448785","Open")</x:f>
        <x:v>HYPERLINK is not implemented. linkLocation=https://cdn.shopify.com/s/files/1/0918/6066/4603/files/O1CN01yGfBW31rlpJXXQnoj__2215158925672-0-cib.jpg?v=1754448785, friendlyName=Open</x:v>
      </x:c>
      <x:c r="C1449" s="24" t="e">
        <x:f>HYPERLINK("https://365nails.com/products/handmade-press-on-nails-short-spring-and-summer-small-fresh-five-petaled-flower-nail-patch-reusable-fake-nails-365nails","Fresh Spring Nails with Petite Five-Petal Floral Accents")</x:f>
        <x:v>HYPERLINK is not implemented. linkLocation=https://365nails.com/products/handmade-press-on-nails-short-spring-and-summer-small-fresh-five-petaled-flower-nail-patch-reusable-fake-nails-365nails, friendlyName=Fresh Spring Nails with Petite Five-Petal Floral Accents</x:v>
      </x:c>
      <x:c r="D1449" s="18" t="str">
        <x:v>shape: new short square; size: XS / S / M / L</x:v>
      </x:c>
      <x:c r="E1449" s="25" t="str">
        <x:v>$3.49</x:v>
      </x:c>
      <x:c r="F1449" s="19" t="str">
        <x:v>30</x:v>
      </x:c>
    </x:row>
    <x:row r="1450" ht="93" customHeight="1">
      <x:c r="A1450" s="19" t="n">
        <x:v>1447</x:v>
      </x:c>
      <x:c r="B1450" s="22" t="e">
        <x:f>HYPERLINK("https://cdn.shopify.com/s/files/1/0918/6066/4603/files/O1CN01AE0XF21rlpQXPkroP__2215158925672-0-cib.jpg?v=1754448341","Open")</x:f>
        <x:v>HYPERLINK is not implemented. linkLocation=https://cdn.shopify.com/s/files/1/0918/6066/4603/files/O1CN01AE0XF21rlpQXPkroP__2215158925672-0-cib.jpg?v=1754448341, friendlyName=Open</x:v>
      </x:c>
      <x:c r="C1450" s="24" t="e">
        <x:f>HYPERLINK("https://365nails.com/products/handmade-press-on-nails-spray-gun-gradual-change-advanced-sense-long-nail-patch-stack-drill-fake-nails-yiwu-nail-wholesale-365nails","Airbrushed Blush Nails with Crystal Droplet Accents")</x:f>
        <x:v>HYPERLINK is not implemented. linkLocation=https://365nails.com/products/handmade-press-on-nails-spray-gun-gradual-change-advanced-sense-long-nail-patch-stack-drill-fake-nails-yiwu-nail-wholesale-365nails, friendlyName=Airbrushed Blush Nails with Crystal Droplet Accents</x:v>
      </x:c>
      <x:c r="D1450" s="18" t="str">
        <x:v>shape: lengthened T; size: XS / S / M</x:v>
      </x:c>
      <x:c r="E1450" s="25" t="str">
        <x:v>$3.99</x:v>
      </x:c>
      <x:c r="F1450" s="19" t="str">
        <x:v>30</x:v>
      </x:c>
    </x:row>
    <x:row r="1451" ht="93" customHeight="1">
      <x:c r="A1451" s="19" t="n">
        <x:v>1448</x:v>
      </x:c>
      <x:c r="B1451" s="22" t="e">
        <x:f>HYPERLINK("https://cdn.shopify.com/s/files/1/0918/6066/4603/files/32410786b31f15fce73a8453efc9aa35_66719160-9770-4db6-b16a-f4ecef2b3995.png?v=1764143666","Open")</x:f>
        <x:v>HYPERLINK is not implemented. linkLocation=https://cdn.shopify.com/s/files/1/0918/6066/4603/files/32410786b31f15fce73a8453efc9aa35_66719160-9770-4db6-b16a-f4ecef2b3995.png?v=1764143666, friendlyName=Open</x:v>
      </x:c>
      <x:c r="C1451" s="24" t="e">
        <x:f>HYPERLINK("https://365nails.com/products/ultra-long-stiletto-press-on-nails-collection-dozens-of-styles-reusable-ready-to-wear","Extra Long 5.5cm Stiletto Press-On Nails Collection | Dozens of Styles | Reusable &amp; Ready to Wear")</x:f>
        <x:v>HYPERLINK is not implemented. linkLocation=https://365nails.com/products/ultra-long-stiletto-press-on-nails-collection-dozens-of-styles-reusable-ready-to-wear, friendlyName=Extra Long 5.5cm Stiletto Press-On Nails Collection | Dozens of Styles | Reusable &amp; Ready to Wear</x:v>
      </x:c>
      <x:c r="D1451" s="18" t="str">
        <x:v>Color: Code 601: JA001 / Code 602: JA002 / Code 603: JB001 / Code 604: JB002 / Code 605: JB003 / Code 606: JB004 / Code 607: JB005 / Code 608: JB006 / Code 609: JB007 / Code 610: JB008 / Code 611: JB009 / Code 612: JB010 / Code 613: JB011 / Code 614: JB012 / Code 615: JB013 / Code 616: JB014 / Code 617: JB015 / Code 618: JB016 / Code 619: JB017 / Code 620: JC001 / Code 621: JC002 / Code 622: JC003 / Code 623: JC004 / Code 624: JC005 / Code 625: JC006 / Code 626: JC007 / Code 627: JC008 / Code 628: JC009 / Code 629: JC010 / Code 630: JC011 / Code 631: JC012 / Code 632: JC013 / Code 633: JC014 / Code 634: JC015 / Code 636: JC017 / Code 637: JC018 / Code 638: JC019 / Code 639: JC021 / Code 640: JC022 / Code 641: JC023 / Code 642: JC024 / Code 643: JC025 / Code 644: JC026 / Code 645: JC027 / Code 646: JC028 / Code 647: JC029 / Code 648: JC030; Size: XS / S / M / L</x:v>
      </x:c>
      <x:c r="E1451" s="25" t="str">
        <x:v>$5.99</x:v>
      </x:c>
      <x:c r="F1451" s="19" t="str">
        <x:v>1</x:v>
      </x:c>
    </x:row>
    <x:row r="1452" ht="93" customHeight="1">
      <x:c r="A1452" s="19" t="n">
        <x:v>1449</x:v>
      </x:c>
      <x:c r="B1452" s="22" t="e">
        <x:f>HYPERLINK("https://cdn.shopify.com/s/files/1/0918/6066/4603/files/O1CN01cSHRUJ2NGHuZFkTg3__4234819935-0-cib.jpg?v=1753432433","Open")</x:f>
        <x:v>HYPERLINK is not implemented. linkLocation=https://cdn.shopify.com/s/files/1/0918/6066/4603/files/O1CN01cSHRUJ2NGHuZFkTg3__4234819935-0-cib.jpg?v=1753432433, friendlyName=Open</x:v>
      </x:c>
      <x:c r="C1452" s="24" t="e">
        <x:f>HYPERLINK("https://365nails.com/products/simple-new-product-coated-wearable-nail-european-and-american-cross-border-solid-color-fake-nail-almond-short-wearable-nail-piece-365nails","Simple new product coated wearable nail   solid color fake nail almond short wearable nail piece｜365nails")</x:f>
        <x:v>HYPERLINK is not implemented. linkLocation=https://365nails.com/products/simple-new-product-coated-wearable-nail-european-and-american-cross-border-solid-color-fake-nail-almond-short-wearable-nail-piece-365nails, friendlyName=Simple new product coated wearable nail   solid color fake nail almond short wearable nail piece｜365nails</x:v>
      </x:c>
      <x:c r="D1452" s="18" t="str">
        <x:v>color: JP3497</x:v>
      </x:c>
      <x:c r="E1452" s="25" t="str">
        <x:v>$1.08</x:v>
      </x:c>
      <x:c r="F1452" s="19" t="str">
        <x:v>1</x:v>
      </x:c>
    </x:row>
    <x:row r="1453" ht="93" customHeight="1">
      <x:c r="A1453" s="19" t="n">
        <x:v>1450</x:v>
      </x:c>
      <x:c r="B1453" s="22" t="e">
        <x:f>HYPERLINK("https://cdn.shopify.com/s/files/1/0918/6066/4603/files/O1CN01UP5FHd2NGHupnvAtf__4234819935-0-cib.jpg?v=1753432338","Open")</x:f>
        <x:v>HYPERLINK is not implemented. linkLocation=https://cdn.shopify.com/s/files/1/0918/6066/4603/files/O1CN01UP5FHd2NGHupnvAtf__4234819935-0-cib.jpg?v=1753432338, friendlyName=Open</x:v>
      </x:c>
      <x:c r="C1453" s="24" t="e">
        <x:f>HYPERLINK("https://365nails.com/products/pink-and-white-gradual-change-wearable-nail-piece-minimalist-detachable-nail-art-short-almond-repeatable-wearable-nail-art-wholesale-365nails","Pink and white gradual change wearable nail piece minimalist detachable nail art short almond repeatable wearable nail art wholesale｜365nails")</x:f>
        <x:v>HYPERLINK is not implemented. linkLocation=https://365nails.com/products/pink-and-white-gradual-change-wearable-nail-piece-minimalist-detachable-nail-art-short-almond-repeatable-wearable-nail-art-wholesale-365nails, friendlyName=Pink and white gradual change wearable nail piece minimalist detachable nail art short almond repeatable wearable nail art wholesale｜365nails</x:v>
      </x:c>
      <x:c r="D1453" s="18" t="str">
        <x:v>color: JP3568</x:v>
      </x:c>
      <x:c r="E1453" s="25" t="str">
        <x:v>$0.70</x:v>
      </x:c>
      <x:c r="F1453" s="19" t="str">
        <x:v>1</x:v>
      </x:c>
    </x:row>
    <x:row r="1454" ht="93" customHeight="1">
      <x:c r="A1454" s="19" t="n">
        <x:v>1451</x:v>
      </x:c>
      <x:c r="B1454" s="22" t="e">
        <x:f>HYPERLINK("https://cdn.shopify.com/s/files/1/0918/6066/4603/files/O1CN01rcHrhk1rlpMWWL43Z__2215158925672-0-cib.jpg?v=1754448553","Open")</x:f>
        <x:v>HYPERLINK is not implemented. linkLocation=https://cdn.shopify.com/s/files/1/0918/6066/4603/files/O1CN01rcHrhk1rlpMWWL43Z__2215158925672-0-cib.jpg?v=1754448553, friendlyName=Open</x:v>
      </x:c>
      <x:c r="C1454" s="24" t="e">
        <x:f>HYPERLINK("https://365nails.com/products/blush-nail-art-opal-pearlescent-watercolor-smudge-short-handmade-press-on-nails-patch-simple-wearable-nail-patch-365nails","Opal Pearl Nails with Soft Watercolor Shimmer")</x:f>
        <x:v>HYPERLINK is not implemented. linkLocation=https://365nails.com/products/blush-nail-art-opal-pearlescent-watercolor-smudge-short-handmade-press-on-nails-patch-simple-wearable-nail-patch-365nails, friendlyName=Opal Pearl Nails with Soft Watercolor Shimmer</x:v>
      </x:c>
      <x:c r="D1454" s="18" t="str">
        <x:v>shape: Short T; size: XS / S / M / L</x:v>
      </x:c>
      <x:c r="E1454" s="25" t="str">
        <x:v>$2.49</x:v>
      </x:c>
      <x:c r="F1454" s="19" t="str">
        <x:v>30</x:v>
      </x:c>
    </x:row>
    <x:row r="1455" ht="93" customHeight="1">
      <x:c r="A1455" s="19" t="n">
        <x:v>1452</x:v>
      </x:c>
      <x:c r="B1455" s="22" t="e">
        <x:f>HYPERLINK("https://cdn.shopify.com/s/files/1/0918/6066/4603/files/O1CN01EvWgck1rlpR8xhGCc__2215158925672-0-cib.jpg?v=1754448499","Open")</x:f>
        <x:v>HYPERLINK is not implemented. linkLocation=https://cdn.shopify.com/s/files/1/0918/6066/4603/files/O1CN01EvWgck1rlpR8xhGCc__2215158925672-0-cib.jpg?v=1754448499, friendlyName=Open</x:v>
      </x:c>
      <x:c r="C1455" s="24" t="e">
        <x:f>HYPERLINK("https://365nails.com/products/explosive-handmade-press-on-nails-european-american-super-long-water-pipe-nail-patch-foreign-trade-wearable-nail-sticker-wholesale-365nails","Diamond Sparkle Nails with Full Crystal Shine")</x:f>
        <x:v>HYPERLINK is not implemented. linkLocation=https://365nails.com/products/explosive-handmade-press-on-nails-european-american-super-long-water-pipe-nail-patch-foreign-trade-wearable-nail-sticker-wholesale-365nails, friendlyName=Diamond Sparkle Nails with Full Crystal Shine</x:v>
      </x:c>
      <x:c r="D1455" s="18" t="str">
        <x:v>shape: long water pipe; size: S / M / L</x:v>
      </x:c>
      <x:c r="E1455" s="25" t="str">
        <x:v>$4.99</x:v>
      </x:c>
      <x:c r="F1455" s="19" t="str">
        <x:v>30</x:v>
      </x:c>
    </x:row>
    <x:row r="1456" ht="93" customHeight="1">
      <x:c r="A1456" s="19" t="n">
        <x:v>1453</x:v>
      </x:c>
      <x:c r="B1456" s="22" t="e">
        <x:f>HYPERLINK("https://cdn.shopify.com/s/files/1/0918/6066/4603/files/O1CN0191Ky821rlpMQwuHZE__2215158925672-0-cib.jpg?v=1754448539","Open")</x:f>
        <x:v>HYPERLINK is not implemented. linkLocation=https://cdn.shopify.com/s/files/1/0918/6066/4603/files/O1CN0191Ky821rlpMQwuHZE__2215158925672-0-cib.jpg?v=1754448539, friendlyName=Open</x:v>
      </x:c>
      <x:c r="C1456" s="24" t="e">
        <x:f>HYPERLINK("https://365nails.com/products/handmade-press-on-nails-spar-cats-eye-irregular-hook-edge-short-nail-patch-temperament-wearable-nail-sticker-wholesale-365nails","Crystal Cat-Eye Nails with Irregular Chrome Outlines")</x:f>
        <x:v>HYPERLINK is not implemented. linkLocation=https://365nails.com/products/handmade-press-on-nails-spar-cats-eye-irregular-hook-edge-short-nail-patch-temperament-wearable-nail-sticker-wholesale-365nails, friendlyName=Crystal Cat-Eye Nails with Irregular Chrome Outlines</x:v>
      </x:c>
      <x:c r="D1456" s="18" t="str">
        <x:v>shape: New Medium Square; size: XS / S / M / L</x:v>
      </x:c>
      <x:c r="E1456" s="25" t="str">
        <x:v>$2.99</x:v>
      </x:c>
      <x:c r="F1456" s="19" t="str">
        <x:v>30</x:v>
      </x:c>
    </x:row>
    <x:row r="1457" ht="93" customHeight="1">
      <x:c r="A1457" s="19" t="n">
        <x:v>1454</x:v>
      </x:c>
      <x:c r="B1457" s="22" t="e">
        <x:f>HYPERLINK("https://cdn.shopify.com/s/files/1/0918/6066/4603/files/O1CN01UkOhEa2NGHjkg0mri__4234819935-0-cib.jpg?v=1753432405","Open")</x:f>
        <x:v>HYPERLINK is not implemented. linkLocation=https://cdn.shopify.com/s/files/1/0918/6066/4603/files/O1CN01UkOhEa2NGHjkg0mri__4234819935-0-cib.jpg?v=1753432405, friendlyName=Open</x:v>
      </x:c>
      <x:c r="C1457" s="24" t="e">
        <x:f>HYPERLINK("https://365nails.com/products/wearing-nail-short-oval-glitter-french-wearing-nail-art-finished-product-wholesale-nail-piece-nail-art-wearing-nail-wholesale-365nails","short oval glitter French  art finished product wholesale  nail art  wholesale｜365nails")</x:f>
        <x:v>HYPERLINK is not implemented. linkLocation=https://365nails.com/products/wearing-nail-short-oval-glitter-french-wearing-nail-art-finished-product-wholesale-nail-piece-nail-art-wearing-nail-wholesale-365nails, friendlyName=short oval glitter French  art finished product wholesale  nail art  wholesale｜365nails</x:v>
      </x:c>
      <x:c r="D1457" s="18" t="str">
        <x:v>color: JP2324</x:v>
      </x:c>
      <x:c r="E1457" s="25" t="str">
        <x:v>$0.70</x:v>
      </x:c>
      <x:c r="F1457" s="19" t="str">
        <x:v>1</x:v>
      </x:c>
    </x:row>
    <x:row r="1458" ht="93" customHeight="1">
      <x:c r="A1458" s="19" t="n">
        <x:v>1455</x:v>
      </x:c>
      <x:c r="B1458" s="22" t="e">
        <x:f>HYPERLINK("https://cdn.shopify.com/s/files/1/0918/6066/4603/files/O1CN01Ewomd7247blFq6zzD__2209064737344-0-cib.jpg?v=1755266083","Open")</x:f>
        <x:v>HYPERLINK is not implemented. linkLocation=https://cdn.shopify.com/s/files/1/0918/6066/4603/files/O1CN01Ewomd7247blFq6zzD__2209064737344-0-cib.jpg?v=1755266083, friendlyName=Open</x:v>
      </x:c>
      <x:c r="C1458" s="24" t="e">
        <x:f>HYPERLINK("https://365nails.com/products/nail-tips-xiyin-popular-hand-worn-nail-sweet-cool-flower-almond-long-finished-nail-art-removable-patch-fake-nail-piece","Popular hand-worn nail sweet cool flower almond long finished nail art removable patch fake nail piece (MOQ=3)")</x:f>
        <x:v>HYPERLINK is not implemented. linkLocation=https://365nails.com/products/nail-tips-xiyin-popular-hand-worn-nail-sweet-cool-flower-almond-long-finished-nail-art-removable-patch-fake-nail-piece, friendlyName=Popular hand-worn nail sweet cool flower almond long finished nail art removable patch fake nail piece (MOQ=3)</x:v>
      </x:c>
      <x:c r="D1458" s="18" t="str">
        <x:v>Color: YS-470-01 / YS-470-02 / YS-451-01 / YS-451-03 / YS-451-04; Quantity: 3pcs</x:v>
      </x:c>
      <x:c r="E1458" s="25" t="str">
        <x:v>$5.43</x:v>
      </x:c>
      <x:c r="F1458" s="19" t="str">
        <x:v>1</x:v>
      </x:c>
    </x:row>
    <x:row r="1459" ht="93" customHeight="1">
      <x:c r="A1459" s="19" t="n">
        <x:v>1456</x:v>
      </x:c>
      <x:c r="B1459" s="22" t="e">
        <x:f>HYPERLINK("https://cdn.shopify.com/s/files/1/0918/6066/4603/files/fca162974804b4b15895f73cf1a20e8e.png?v=1755267902","Open")</x:f>
        <x:v>HYPERLINK is not implemented. linkLocation=https://cdn.shopify.com/s/files/1/0918/6066/4603/files/fca162974804b4b15895f73cf1a20e8e.png?v=1755267902, friendlyName=Open</x:v>
      </x:c>
      <x:c r="C1459" s="24" t="e">
        <x:f>HYPERLINK("https://365nails.com/products/nail-tips-press-on-nails-solid-color-almond-nail-piece-short-high-end-150-pieces-bag-removable-prefabricated-nail-art-wholesale","Nail Tips press on nails solid color almond nail piece, short high-end 160 pieces (MOQ=3)")</x:f>
        <x:v>HYPERLINK is not implemented. linkLocation=https://365nails.com/products/nail-tips-press-on-nails-solid-color-almond-nail-piece-short-high-end-150-pieces-bag-removable-prefabricated-nail-art-wholesale, friendlyName=Nail Tips press on nails solid color almond nail piece, short high-end 160 pieces (MOQ=3)</x:v>
      </x:c>
      <x:c r="D1459" s="18" t="str">
        <x:v>Color: YS-516-01 * 160 piece bag / YS-516-02 * 160 piece bag; quantity: 3pcs</x:v>
      </x:c>
      <x:c r="E1459" s="25" t="str">
        <x:v>$8.00</x:v>
      </x:c>
      <x:c r="F1459" s="19" t="str">
        <x:v>1</x:v>
      </x:c>
    </x:row>
    <x:row r="1460" ht="93" customHeight="1">
      <x:c r="A1460" s="19" t="n">
        <x:v>1457</x:v>
      </x:c>
      <x:c r="B1460" s="22" t="e">
        <x:f>HYPERLINK("https://cdn.shopify.com/s/files/1/0918/6066/4603/files/O1CN01YkYAQN2NGHrvnuM64__4234819935-0-cib.jpg?v=1753432424","Open")</x:f>
        <x:v>HYPERLINK is not implemented. linkLocation=https://cdn.shopify.com/s/files/1/0918/6066/4603/files/O1CN01YkYAQN2NGHrvnuM64__4234819935-0-cib.jpg?v=1753432424, friendlyName=Open</x:v>
      </x:c>
      <x:c r="C1460" s="24" t="e">
        <x:f>HYPERLINK("https://365nails.com/products/cross-border-hot-selling-three-dimensional-shell-wearing-nail-pads-wholesale-2024-new-nude-almond-nail-patch-365nails","hot-selling three-dimensional shell  pads wholesale  nude almond nail patch｜365nails")</x:f>
        <x:v>HYPERLINK is not implemented. linkLocation=https://365nails.com/products/cross-border-hot-selling-three-dimensional-shell-wearing-nail-pads-wholesale-2024-new-nude-almond-nail-patch-365nails, friendlyName=hot-selling three-dimensional shell  pads wholesale  nude almond nail patch｜365nails</x:v>
      </x:c>
      <x:c r="D1460" s="18" t="str">
        <x:v>Color: JP3330</x:v>
      </x:c>
      <x:c r="E1460" s="25" t="str">
        <x:v>$1.30</x:v>
      </x:c>
      <x:c r="F1460" s="19" t="str">
        <x:v>1</x:v>
      </x:c>
    </x:row>
    <x:row r="1461" ht="93" customHeight="1">
      <x:c r="A1461" s="19" t="n">
        <x:v>1458</x:v>
      </x:c>
      <x:c r="B1461" s="22" t="e">
        <x:f>HYPERLINK("https://cdn.shopify.com/s/files/1/0918/6066/4603/files/O1CN01pbz4Fi2NGHoyXU5ow__4234819935-0-cib.jpg?v=1753431924","Open")</x:f>
        <x:v>HYPERLINK is not implemented. linkLocation=https://cdn.shopify.com/s/files/1/0918/6066/4603/files/O1CN01pbz4Fi2NGHoyXU5ow__4234819935-0-cib.jpg?v=1753431924, friendlyName=Open</x:v>
      </x:c>
      <x:c r="C1461" s="24" t="e">
        <x:f>HYPERLINK("https://365nails.com/products/xiaohongshu-simple-white-bow-wearing-armor-short-nude-ins-nail-press-o-n-nails-wholesale-365nails","Simple white bow wearing armor short nude ins nail press o n nails wholesale｜365nails")</x:f>
        <x:v>HYPERLINK is not implemented. linkLocation=https://365nails.com/products/xiaohongshu-simple-white-bow-wearing-armor-short-nude-ins-nail-press-o-n-nails-wholesale-365nails, friendlyName=Simple white bow wearing armor short nude ins nail press o n nails wholesale｜365nails</x:v>
      </x:c>
      <x:c r="D1461" s="18" t="str">
        <x:v>Color: JP3122</x:v>
      </x:c>
      <x:c r="E1461" s="25" t="str">
        <x:v>$1.03</x:v>
      </x:c>
      <x:c r="F1461" s="19" t="str">
        <x:v>1</x:v>
      </x:c>
    </x:row>
    <x:row r="1462" ht="93" customHeight="1">
      <x:c r="A1462" s="19" t="n">
        <x:v>1459</x:v>
      </x:c>
      <x:c r="B1462" s="22" t="e">
        <x:f>HYPERLINK("https://cdn.shopify.com/s/files/1/0918/6066/4603/files/ccdb6cd78322d2916996d60d22d7aed2.png?v=1755266147","Open")</x:f>
        <x:v>HYPERLINK is not implemented. linkLocation=https://cdn.shopify.com/s/files/1/0918/6066/4603/files/ccdb6cd78322d2916996d60d22d7aed2.png?v=1755266147, friendlyName=Open</x:v>
      </x:c>
      <x:c r="C1462" s="24" t="e">
        <x:f>HYPERLINK("https://365nails.com/products/nail-tips-french-press-on-nails-short-almond-short-square-versatile-removable-patch-nail-art-150-boxed-fake-nails","Nail Tips French Short Almond Short Square Versatile Removable Patch Nail Art 150 Boxed (MOQ=3)")</x:f>
        <x:v>HYPERLINK is not implemented. linkLocation=https://365nails.com/products/nail-tips-french-press-on-nails-short-almond-short-square-versatile-removable-patch-nail-art-150-boxed-fake-nails, friendlyName=Nail Tips French Short Almond Short Square Versatile Removable Patch Nail Art 150 Boxed (MOQ=3)</x:v>
      </x:c>
      <x:c r="D1462" s="18" t="str">
        <x:v>Color: YS-510 five colors * 150 pieces boxed / YS-511 five colors * 160 pieces box / YS-512 five colors * 150 pieces box / YS-513 five colors * 150 pieces box / YS-514 five colors * 150 pieces box / YS-515 five colors * 160 pieces box / YS-516 five-color * 160-piece box / YS-517 five colors * 160 pieces box; Quantity: 3pcs</x:v>
      </x:c>
      <x:c r="E1462" s="25" t="str">
        <x:v>$12.00</x:v>
      </x:c>
      <x:c r="F1462" s="19" t="str">
        <x:v>1</x:v>
      </x:c>
    </x:row>
    <x:row r="1463" ht="93" customHeight="1">
      <x:c r="A1463" s="19" t="n">
        <x:v>1460</x:v>
      </x:c>
      <x:c r="B1463" s="22" t="e">
        <x:f>HYPERLINK("https://cdn.shopify.com/s/files/1/0918/6066/4603/files/b6db9680d607a908166bc7006b426c32.png?v=1755267929","Open")</x:f>
        <x:v>HYPERLINK is not implemented. linkLocation=https://cdn.shopify.com/s/files/1/0918/6066/4603/files/b6db9680d607a908166bc7006b426c32.png?v=1755267929, friendlyName=Open</x:v>
      </x:c>
      <x:c r="C1463" s="24" t="e">
        <x:f>HYPERLINK("https://365nails.com/products/nail-tips-popular-europe-and-the-united-states-gradual-change-toenail-press-on-nails-short-nude-150-pieces-boxed-toenail-patch-nail-wholesale","Nail Tips Popular  gradual change toenail press on nails short nude 150 pieces boxed toenail patch nail (MOQ=3)")</x:f>
        <x:v>HYPERLINK is not implemented. linkLocation=https://365nails.com/products/nail-tips-popular-europe-and-the-united-states-gradual-change-toenail-press-on-nails-short-nude-150-pieces-boxed-toenail-patch-nail-wholesale, friendlyName=Nail Tips Popular  gradual change toenail press on nails short nude 150 pieces boxed toenail patch nail (MOQ=3)</x:v>
      </x:c>
      <x:c r="D1463" s="18" t="str">
        <x:v>Color: 518-390-2 * 150 pieces / 518-3391-1 * 150 pieces / 518-C2 * 150 pieces; quantity: 3pcs</x:v>
      </x:c>
      <x:c r="E1463" s="25" t="str">
        <x:v>$9.00</x:v>
      </x:c>
      <x:c r="F1463" s="19" t="str">
        <x:v>1</x:v>
      </x:c>
    </x:row>
    <x:row r="1464" ht="93" customHeight="1">
      <x:c r="A1464" s="19" t="n">
        <x:v>1461</x:v>
      </x:c>
      <x:c r="B1464" s="22" t="e">
        <x:f>HYPERLINK("https://cdn.shopify.com/s/files/1/0918/6066/4603/files/O1CN01pKCSs21rlpK9I3Fhl__2215158925672-0-cib.jpg?v=1754449220","Open")</x:f>
        <x:v>HYPERLINK is not implemented. linkLocation=https://cdn.shopify.com/s/files/1/0918/6066/4603/files/O1CN01pKCSs21rlpK9I3Fhl__2215158925672-0-cib.jpg?v=1754449220, friendlyName=Open</x:v>
      </x:c>
      <x:c r="C1464" s="24" t="e">
        <x:f>HYPERLINK("https://365nails.com/products/handmade-press-on-nails-mermaid-bubble-beads-medium-and-long-nail-art-finished-patch-macaron-color-scheme-gradual-change-fake-nails-365nails","Macaron Gradient Nails with Iridescent Mermaid Bubble Gems")</x:f>
        <x:v>HYPERLINK is not implemented. linkLocation=https://365nails.com/products/handmade-press-on-nails-mermaid-bubble-beads-medium-and-long-nail-art-finished-patch-macaron-color-scheme-gradual-change-fake-nails-365nails, friendlyName=Macaron Gradient Nails with Iridescent Mermaid Bubble Gems</x:v>
      </x:c>
      <x:c r="D1464" s="18" t="str">
        <x:v>shape: Medium T; size: XS / S / M / L</x:v>
      </x:c>
      <x:c r="E1464" s="25" t="str">
        <x:v>$3.99</x:v>
      </x:c>
      <x:c r="F1464" s="19" t="str">
        <x:v>30</x:v>
      </x:c>
    </x:row>
    <x:row r="1465" ht="93" customHeight="1">
      <x:c r="A1465" s="19" t="n">
        <x:v>1462</x:v>
      </x:c>
      <x:c r="B1465" s="22" t="e">
        <x:f>HYPERLINK("https://cdn.shopify.com/s/files/1/0918/6066/4603/files/O1CN01ptdEzD1rlpWjSRq0t__2215158925672-0-cib.jpg?v=1754448890","Open")</x:f>
        <x:v>HYPERLINK is not implemented. linkLocation=https://cdn.shopify.com/s/files/1/0918/6066/4603/files/O1CN01ptdEzD1rlpWjSRq0t__2215158925672-0-cib.jpg?v=1754448890, friendlyName=Open</x:v>
      </x:c>
      <x:c r="C1465" s="24" t="e">
        <x:f>HYPERLINK("https://365nails.com/products/europe-and-the-united-states-duckbill-nail-spray-gun-gradual-change-blush-nail-ice-through-hand-wear-nail-factory-wholesale-365nails","Airbrush Blush Nails with Red Gradient &amp; Heart Charms")</x:f>
        <x:v>HYPERLINK is not implemented. linkLocation=https://365nails.com/products/europe-and-the-united-states-duckbill-nail-spray-gun-gradual-change-blush-nail-ice-through-hand-wear-nail-factory-wholesale-365nails, friendlyName=Airbrush Blush Nails with Red Gradient &amp; Heart Charms</x:v>
      </x:c>
      <x:c r="D1465" s="18" t="str">
        <x:v>shape: short bill; size: S / M / L</x:v>
      </x:c>
      <x:c r="E1465" s="25" t="str">
        <x:v>$4.99</x:v>
      </x:c>
      <x:c r="F1465" s="19" t="str">
        <x:v>30</x:v>
      </x:c>
    </x:row>
    <x:row r="1466" ht="93" customHeight="1">
      <x:c r="A1466" s="19" t="n">
        <x:v>1463</x:v>
      </x:c>
      <x:c r="B1466" s="22" t="e">
        <x:f>HYPERLINK("https://cdn.shopify.com/s/files/1/0918/6066/4603/files/7821c0a8bcba18ada2b271f697ff365b.png?v=1755266257","Open")</x:f>
        <x:v>HYPERLINK is not implemented. linkLocation=https://cdn.shopify.com/s/files/1/0918/6066/4603/files/7821c0a8bcba18ada2b271f697ff365b.png?v=1755266257, friendlyName=Open</x:v>
      </x:c>
      <x:c r="C1466" s="24" t="e">
        <x:f>HYPERLINK("https://365nails.com/products/nail-tips-explosion-french-press-on-nails-multi-color-jiugongge-nude-nail-art-trapezoidal-removable-fake-nail-piece-wholesale-women","Nail Tips explosion French press on nails multi-color (MOQ=3)")</x:f>
        <x:v>HYPERLINK is not implemented. linkLocation=https://365nails.com/products/nail-tips-explosion-french-press-on-nails-multi-color-jiugongge-nude-nail-art-trapezoidal-removable-fake-nail-piece-wholesale-women, friendlyName=Nail Tips explosion French press on nails multi-color (MOQ=3)</x:v>
      </x:c>
      <x:c r="D1466" s="18" t="str">
        <x:v>Color: YS-192/270 pieces / YS-405/270 pieces; Quantity: 3pcs</x:v>
      </x:c>
      <x:c r="E1466" s="25" t="str">
        <x:v>$8.00</x:v>
      </x:c>
      <x:c r="F1466" s="19" t="str">
        <x:v>1</x:v>
      </x:c>
    </x:row>
    <x:row r="1467" ht="93" customHeight="1">
      <x:c r="A1467" s="19" t="n">
        <x:v>1464</x:v>
      </x:c>
      <x:c r="B1467" s="22" t="e">
        <x:f>HYPERLINK("https://cdn.shopify.com/s/files/1/0918/6066/4603/files/O1CN01n4lQpS2NGHsmE0Gll__4234819935-0-cib.jpg?v=1753431929","Open")</x:f>
        <x:v>HYPERLINK is not implemented. linkLocation=https://cdn.shopify.com/s/files/1/0918/6066/4603/files/O1CN01n4lQpS2NGHsmE0Gll__4234819935-0-cib.jpg?v=1753431929, friendlyName=Open</x:v>
      </x:c>
      <x:c r="C1467" s="24" t="e">
        <x:f>HYPERLINK("https://365nails.com/products/european-and-american-halloween-wear-nail-black-french-gradual-change-manicure-short-almond-repeatable-nail-fake-nails-365nails","Halloween wear nail black French gradual change manicure short almond repeatable nail fake nails｜365nails")</x:f>
        <x:v>HYPERLINK is not implemented. linkLocation=https://365nails.com/products/european-and-american-halloween-wear-nail-black-french-gradual-change-manicure-short-almond-repeatable-nail-fake-nails-365nails, friendlyName=Halloween wear nail black French gradual change manicure short almond repeatable nail fake nails｜365nails</x:v>
      </x:c>
      <x:c r="D1467" s="18" t="str">
        <x:v>Color: JP3418</x:v>
      </x:c>
      <x:c r="E1467" s="25" t="str">
        <x:v>$0.70</x:v>
      </x:c>
      <x:c r="F1467" s="19" t="str">
        <x:v>1</x:v>
      </x:c>
    </x:row>
    <x:row r="1468" ht="93" customHeight="1">
      <x:c r="A1468" s="19" t="n">
        <x:v>1465</x:v>
      </x:c>
      <x:c r="B1468" s="22" t="e">
        <x:f>HYPERLINK("https://cdn.shopify.com/s/files/1/0918/6066/4603/files/O1CN013QJpXG2NGHy5ZHpwQ__4234819935-0-cib.jpg?v=1753429099","Open")</x:f>
        <x:v>HYPERLINK is not implemented. linkLocation=https://cdn.shopify.com/s/files/1/0918/6066/4603/files/O1CN013QJpXG2NGHy5ZHpwQ__4234819935-0-cib.jpg?v=1753429099, friendlyName=Open</x:v>
      </x:c>
      <x:c r="C1468" s="24" t="e">
        <x:f>HYPERLINK("https://365nails.com/products/3d-bronzing-short-almond-nail-wearable-nail-piece-hot-selling-nail-art-in-europe-and-america-fake-nail-press-on-nails-365nails","3D bronzing short almond press on nails")</x:f>
        <x:v>HYPERLINK is not implemented. linkLocation=https://365nails.com/products/3d-bronzing-short-almond-nail-wearable-nail-piece-hot-selling-nail-art-in-europe-and-america-fake-nail-press-on-nails-365nails, friendlyName=3D bronzing short almond press on nails</x:v>
      </x:c>
      <x:c r="D1468" s="18" t="str">
        <x:v>Color: JP3877</x:v>
      </x:c>
      <x:c r="E1468" s="25" t="str">
        <x:v>$0.91</x:v>
      </x:c>
      <x:c r="F1468" s="19" t="str">
        <x:v>1</x:v>
      </x:c>
    </x:row>
    <x:row r="1469" ht="93" customHeight="1">
      <x:c r="A1469" s="19" t="n">
        <x:v>1466</x:v>
      </x:c>
      <x:c r="B1469" s="22" t="e">
        <x:f>HYPERLINK("https://cdn.shopify.com/s/files/1/0918/6066/4603/files/O1CN01ah8ErA1rlpTR17u71__2215158925672-0-cib.jpg?v=1754448869","Open")</x:f>
        <x:v>HYPERLINK is not implemented. linkLocation=https://cdn.shopify.com/s/files/1/0918/6066/4603/files/O1CN01ah8ErA1rlpTR17u71__2215158925672-0-cib.jpg?v=1754448869, friendlyName=Open</x:v>
      </x:c>
      <x:c r="C1469" s="24" t="e">
        <x:f>HYPERLINK("https://365nails.com/products/heart-to-heart-barbie-pink-aurora-peach-heart-handmade-press-on-nails-long-ice-through-cats-eye-nail-art-365nails","Iridescent Barbie Pink Heart Nails with Shimmer Glow")</x:f>
        <x:v>HYPERLINK is not implemented. linkLocation=https://365nails.com/products/heart-to-heart-barbie-pink-aurora-peach-heart-handmade-press-on-nails-long-ice-through-cats-eye-nail-art-365nails, friendlyName=Iridescent Barbie Pink Heart Nails with Shimmer Glow</x:v>
      </x:c>
      <x:c r="D1469" s="18" t="str">
        <x:v>shape: long pointed ellipse; size: XS / S / M / L</x:v>
      </x:c>
      <x:c r="E1469" s="25" t="str">
        <x:v>$2.49</x:v>
      </x:c>
      <x:c r="F1469" s="19" t="str">
        <x:v>30</x:v>
      </x:c>
    </x:row>
    <x:row r="1470" ht="93" customHeight="1">
      <x:c r="A1470" s="19" t="n">
        <x:v>1467</x:v>
      </x:c>
      <x:c r="B1470" s="22" t="e">
        <x:f>HYPERLINK("https://cdn.shopify.com/s/files/1/0918/6066/4603/files/O1CN01O4NmnS1rlpRS3kpT6__2215158925672-0-cib.jpg?v=1754449291","Open")</x:f>
        <x:v>HYPERLINK is not implemented. linkLocation=https://cdn.shopify.com/s/files/1/0918/6066/4603/files/O1CN01O4NmnS1rlpRS3kpT6__2215158925672-0-cib.jpg?v=1754449291, friendlyName=Open</x:v>
      </x:c>
      <x:c r="C1470" s="24" t="e">
        <x:f>HYPERLINK("https://365nails.com/products/europe-and-the-united-states-flash-super-long-water-pipe-nail-patch-small-fresh-handmade-press-on-nails-nail-wholesale-365nails","Sparkling Nude Ombre Nails with Full Crystal Shine")</x:f>
        <x:v>HYPERLINK is not implemented. linkLocation=https://365nails.com/products/europe-and-the-united-states-flash-super-long-water-pipe-nail-patch-small-fresh-handmade-press-on-nails-nail-wholesale-365nails, friendlyName=Sparkling Nude Ombre Nails with Full Crystal Shine</x:v>
      </x:c>
      <x:c r="D1470" s="18" t="str">
        <x:v>shape: long water pipe; size: S / M / L</x:v>
      </x:c>
      <x:c r="E1470" s="25" t="str">
        <x:v>$4.99</x:v>
      </x:c>
      <x:c r="F1470" s="19" t="str">
        <x:v>30</x:v>
      </x:c>
    </x:row>
    <x:row r="1471" ht="93" customHeight="1">
      <x:c r="A1471" s="19" t="n">
        <x:v>1468</x:v>
      </x:c>
      <x:c r="B1471" s="22" t="e">
        <x:f>HYPERLINK("https://cdn.shopify.com/s/files/1/0918/6066/4603/files/O1CN01kKp2CH1rlpK1cwAZv__2215158925672-0-cib.jpg?v=1754449183","Open")</x:f>
        <x:v>HYPERLINK is not implemented. linkLocation=https://cdn.shopify.com/s/files/1/0918/6066/4603/files/O1CN01kKp2CH1rlpK1cwAZv__2215158925672-0-cib.jpg?v=1754449183, friendlyName=Open</x:v>
      </x:c>
      <x:c r="C1471" s="24" t="e">
        <x:f>HYPERLINK("https://365nails.com/products/pure-handmade-press-on-nails-spray-gun-blush-smudge-star-short-nail-patch-high-end-wearable-nail-piece-finished-product-365nails","Blush Airbrushed Nails with Soft Glow Star Accents")</x:f>
        <x:v>HYPERLINK is not implemented. linkLocation=https://365nails.com/products/pure-handmade-press-on-nails-spray-gun-blush-smudge-star-short-nail-patch-high-end-wearable-nail-piece-finished-product-365nails, friendlyName=Blush Airbrushed Nails with Soft Glow Star Accents</x:v>
      </x:c>
      <x:c r="D1471" s="18" t="str">
        <x:v>shape: new short square; size: XS / S / M / L</x:v>
      </x:c>
      <x:c r="E1471" s="25" t="str">
        <x:v>$2.49</x:v>
      </x:c>
      <x:c r="F1471" s="19" t="str">
        <x:v>30</x:v>
      </x:c>
    </x:row>
    <x:row r="1472" ht="93" customHeight="1">
      <x:c r="A1472" s="19" t="n">
        <x:v>1469</x:v>
      </x:c>
      <x:c r="B1472" s="22" t="e">
        <x:f>HYPERLINK("https://cdn.shopify.com/s/files/1/0918/6066/4603/files/O1CN01JQEJUf1rlpVA9OHIl__2215158925672-0-cib.jpg?v=1754449089","Open")</x:f>
        <x:v>HYPERLINK is not implemented. linkLocation=https://cdn.shopify.com/s/files/1/0918/6066/4603/files/O1CN01JQEJUf1rlpVA9OHIl__2215158925672-0-cib.jpg?v=1754449089, friendlyName=Open</x:v>
      </x:c>
      <x:c r="C1472" s="24" t="e">
        <x:f>HYPERLINK("https://365nails.com/products/handmade-press-on-nails-sweet-and-cute-kitten-cats-eye-nail-patch-wearable-fake-nail-wholesale-365nails","Cute Kitty Nails with Sparkle Blush and Playful Patterns")</x:f>
        <x:v>HYPERLINK is not implemented. linkLocation=https://365nails.com/products/handmade-press-on-nails-sweet-and-cute-kitten-cats-eye-nail-patch-wearable-fake-nail-wholesale-365nails, friendlyName=Cute Kitty Nails with Sparkle Blush and Playful Patterns</x:v>
      </x:c>
      <x:c r="D1472" s="18" t="str">
        <x:v>shape: medium almond; size: XS / S / M / L</x:v>
      </x:c>
      <x:c r="E1472" s="25" t="str">
        <x:v>$2.99</x:v>
      </x:c>
      <x:c r="F1472" s="19" t="str">
        <x:v>30</x:v>
      </x:c>
    </x:row>
    <x:row r="1473" ht="93" customHeight="1">
      <x:c r="A1473" s="19" t="n">
        <x:v>1470</x:v>
      </x:c>
      <x:c r="B1473" s="22" t="e">
        <x:f>HYPERLINK("https://cdn.shopify.com/s/files/1/0918/6066/4603/files/O1CN01DiwRH72NGHyQcvEMV__4234819935-0-cib.jpg?v=1753433461","Open")</x:f>
        <x:v>HYPERLINK is not implemented. linkLocation=https://cdn.shopify.com/s/files/1/0918/6066/4603/files/O1CN01DiwRH72NGHyQcvEMV__4234819935-0-cib.jpg?v=1753433461, friendlyName=Open</x:v>
      </x:c>
      <x:c r="C1473" s="24" t="e">
        <x:f>HYPERLINK("https://365nails.com/products/french-pink-cat-eye-flash-wearing-nail-almond-nail-fake-nail-love-nail-art-wearing-nail-piece-finished-product-wholesale-365nails","French pink cat eye flash  almond nail fake nail love nail art  finished product wholesale｜365nails")</x:f>
        <x:v>HYPERLINK is not implemented. linkLocation=https://365nails.com/products/french-pink-cat-eye-flash-wearing-nail-almond-nail-fake-nail-love-nail-art-wearing-nail-piece-finished-product-wholesale-365nails, friendlyName=French pink cat eye flash  almond nail fake nail love nail art  finished product wholesale｜365nails</x:v>
      </x:c>
      <x:c r="D1473" s="18" t="str">
        <x:v>color: JP3848</x:v>
      </x:c>
      <x:c r="E1473" s="25" t="str">
        <x:v>$0.60</x:v>
      </x:c>
      <x:c r="F1473" s="19" t="str">
        <x:v>1</x:v>
      </x:c>
    </x:row>
    <x:row r="1474" ht="93" customHeight="1">
      <x:c r="A1474" s="19" t="n">
        <x:v>1471</x:v>
      </x:c>
      <x:c r="B1474" s="22" t="e">
        <x:f>HYPERLINK("https://cdn.shopify.com/s/files/1/0918/6066/4603/files/O1CN014eSnam2NGHuZFx6IW__4234819935-0-cib.jpg?v=1753433449","Open")</x:f>
        <x:v>HYPERLINK is not implemented. linkLocation=https://cdn.shopify.com/s/files/1/0918/6066/4603/files/O1CN014eSnam2NGHuZFx6IW__4234819935-0-cib.jpg?v=1753433449, friendlyName=Open</x:v>
      </x:c>
      <x:c r="C1474" s="24" t="e">
        <x:f>HYPERLINK("https://365nails.com/products/french-3d-blush-gradual-change-manicure-short-square-wearable-nail-piece-finished-flower-wearable-nail-piece-wholesale-365nails","French 3D blush gradual change manicure short square wearable nail piece finished flower wearable nail piece wholesale｜365nails")</x:f>
        <x:v>HYPERLINK is not implemented. linkLocation=https://365nails.com/products/french-3d-blush-gradual-change-manicure-short-square-wearable-nail-piece-finished-flower-wearable-nail-piece-wholesale-365nails, friendlyName=French 3D blush gradual change manicure short square wearable nail piece finished flower wearable nail piece wholesale｜365nails</x:v>
      </x:c>
      <x:c r="D1474" s="18" t="str">
        <x:v>color: JP3500</x:v>
      </x:c>
      <x:c r="E1474" s="25" t="str">
        <x:v>$1.16</x:v>
      </x:c>
      <x:c r="F1474" s="19" t="str">
        <x:v>1</x:v>
      </x:c>
    </x:row>
    <x:row r="1475" ht="93" customHeight="1">
      <x:c r="A1475" s="19" t="n">
        <x:v>1472</x:v>
      </x:c>
      <x:c r="B1475" s="22" t="e">
        <x:f>HYPERLINK("https://cdn.shopify.com/s/files/1/0918/6066/4603/files/O1CN01R3VtTl2NGHx1YbiBF__4234819935-0-cib.jpg?v=1753431942","Open")</x:f>
        <x:v>HYPERLINK is not implemented. linkLocation=https://cdn.shopify.com/s/files/1/0918/6066/4603/files/O1CN01R3VtTl2NGHx1YbiBF__4234819935-0-cib.jpg?v=1753431942, friendlyName=Open</x:v>
      </x:c>
      <x:c r="C1475" s="24" t="e">
        <x:f>HYPERLINK("https://365nails.com/products/3d-gold-irregular-manicure-fake-nail-short-almond-nail-cross-border-foreign-trade-hot-selling-wearing-nail-film-finished-product-365nails","3D gold irregular manicure  short almond nail   hot-selling  film finished product｜365nails")</x:f>
        <x:v>HYPERLINK is not implemented. linkLocation=https://365nails.com/products/3d-gold-irregular-manicure-fake-nail-short-almond-nail-cross-border-foreign-trade-hot-selling-wearing-nail-film-finished-product-365nails, friendlyName=3D gold irregular manicure  short almond nail   hot-selling  film finished product｜365nails</x:v>
      </x:c>
      <x:c r="D1475" s="18" t="str">
        <x:v>color: JP3721</x:v>
      </x:c>
      <x:c r="E1475" s="25" t="str">
        <x:v>$1.11</x:v>
      </x:c>
      <x:c r="F1475" s="19" t="str">
        <x:v>1</x:v>
      </x:c>
    </x:row>
    <x:row r="1476" ht="93" customHeight="1">
      <x:c r="A1476" s="19" t="n">
        <x:v>1473</x:v>
      </x:c>
      <x:c r="B1476" s="22" t="e">
        <x:f>HYPERLINK("https://cdn.shopify.com/s/files/1/0918/6066/4603/files/O1CN01TtEPMW1rlpSLdY9E8__2215158925672-0-cib.jpg?v=1754449077","Open")</x:f>
        <x:v>HYPERLINK is not implemented. linkLocation=https://cdn.shopify.com/s/files/1/0918/6066/4603/files/O1CN01TtEPMW1rlpSLdY9E8__2215158925672-0-cib.jpg?v=1754449077, friendlyName=Open</x:v>
      </x:c>
      <x:c r="C1476" s="24" t="e">
        <x:f>HYPERLINK("https://365nails.com/products/long-pointed-summer-colorful-contrasting-colors-handmade-press-on-nails-polka-dot-stamen-long-nail-patch-365nails","Summer Color-Block Nails with Floral and Polka Dot Accents")</x:f>
        <x:v>HYPERLINK is not implemented. linkLocation=https://365nails.com/products/long-pointed-summer-colorful-contrasting-colors-handmade-press-on-nails-polka-dot-stamen-long-nail-patch-365nails, friendlyName=Summer Color-Block Nails with Floral and Polka Dot Accents</x:v>
      </x:c>
      <x:c r="D1476" s="18" t="str">
        <x:v>shape: long tip; size: XS / S / M / L</x:v>
      </x:c>
      <x:c r="E1476" s="25" t="str">
        <x:v>$2.99</x:v>
      </x:c>
      <x:c r="F1476" s="19" t="str">
        <x:v>30</x:v>
      </x:c>
    </x:row>
    <x:row r="1477" ht="93" customHeight="1">
      <x:c r="A1477" s="19" t="n">
        <x:v>1474</x:v>
      </x:c>
      <x:c r="B1477" s="22" t="e">
        <x:f>HYPERLINK("https://cdn.shopify.com/s/files/1/0918/6066/4603/files/O1CN017QXveE2NGHraiSzxQ__4234819935-0-cib.jpg?v=1753433452","Open")</x:f>
        <x:v>HYPERLINK is not implemented. linkLocation=https://cdn.shopify.com/s/files/1/0918/6066/4603/files/O1CN017QXveE2NGHraiSzxQ__4234819935-0-cib.jpg?v=1753433452, friendlyName=Open</x:v>
      </x:c>
      <x:c r="C1477" s="24" t="e">
        <x:f>HYPERLINK("https://365nails.com/products/internet-celebrity-explosion-coated-white-solid-color-nail-art-fake-nail-wholesale-cross-border-hot-selling-wearable-nail-wear-365nails","Internet celebrity explosion coated white solid color nail art fake nail wholesale  hot-selling wearable nail wear｜365nails")</x:f>
        <x:v>HYPERLINK is not implemented. linkLocation=https://365nails.com/products/internet-celebrity-explosion-coated-white-solid-color-nail-art-fake-nail-wholesale-cross-border-hot-selling-wearable-nail-wear-365nails, friendlyName=Internet celebrity explosion coated white solid color nail art fake nail wholesale  hot-selling wearable nail wear｜365nails</x:v>
      </x:c>
      <x:c r="D1477" s="18" t="str">
        <x:v>Color: JP3242</x:v>
      </x:c>
      <x:c r="E1477" s="25" t="str">
        <x:v>$0.82</x:v>
      </x:c>
      <x:c r="F1477" s="19" t="str">
        <x:v>1</x:v>
      </x:c>
    </x:row>
    <x:row r="1478" ht="93" customHeight="1">
      <x:c r="A1478" s="19" t="n">
        <x:v>1475</x:v>
      </x:c>
      <x:c r="B1478" s="22" t="e">
        <x:f>HYPERLINK("https://cdn.shopify.com/s/files/1/0918/6066/4603/files/O1CN019VZ79y2NGHnuSXSGn__4234819935-0-cib.jpg?v=1753431955","Open")</x:f>
        <x:v>HYPERLINK is not implemented. linkLocation=https://cdn.shopify.com/s/files/1/0918/6066/4603/files/O1CN019VZ79y2NGHnuSXSGn__4234819935-0-cib.jpg?v=1753431955, friendlyName=Open</x:v>
      </x:c>
      <x:c r="C1478" s="24" t="e">
        <x:f>HYPERLINK("https://365nails.com/products/yiwu-nail-art-nail-patch-nail-patch-3d-three-dimensional-water-ripple-wearing-nail-patch-wearing-fake-nail-wholesale-365nails","3D Three-dimensional Water Ripple  Patch Wearing  Wholesale｜365nails")</x:f>
        <x:v>HYPERLINK is not implemented. linkLocation=https://365nails.com/products/yiwu-nail-art-nail-patch-nail-patch-3d-three-dimensional-water-ripple-wearing-nail-patch-wearing-fake-nail-wholesale-365nails, friendlyName=3D Three-dimensional Water Ripple  Patch Wearing  Wholesale｜365nails</x:v>
      </x:c>
      <x:c r="D1478" s="18" t="str">
        <x:v>Color: JP2786</x:v>
      </x:c>
      <x:c r="E1478" s="25" t="str">
        <x:v>$1.62</x:v>
      </x:c>
      <x:c r="F1478" s="19" t="str">
        <x:v>1</x:v>
      </x:c>
    </x:row>
    <x:row r="1479" ht="93" customHeight="1">
      <x:c r="A1479" s="19" t="n">
        <x:v>1476</x:v>
      </x:c>
      <x:c r="B1479" s="22" t="e">
        <x:f>HYPERLINK("https://cdn.shopify.com/s/files/1/0918/6066/4603/files/O1CN01EfLxK62NGHs55PQxS__4234819935-0-cib.jpg?v=1753433475","Open")</x:f>
        <x:v>HYPERLINK is not implemented. linkLocation=https://cdn.shopify.com/s/files/1/0918/6066/4603/files/O1CN01EfLxK62NGHs55PQxS__4234819935-0-cib.jpg?v=1753433475, friendlyName=Open</x:v>
      </x:c>
      <x:c r="C1479" s="24" t="e">
        <x:f>HYPERLINK("https://365nails.com/products/handmade-magic-mirror-powder-wearing-nail-pads-wholesale-purple-solid-color-simple-nail-art-golden-butterfly-wearing-nail-art-pads-365nails","Magic mirror powder  pads wholesale purple solid color simple nail art golden butterfly  art pads｜365nails")</x:f>
        <x:v>HYPERLINK is not implemented. linkLocation=https://365nails.com/products/handmade-magic-mirror-powder-wearing-nail-pads-wholesale-purple-solid-color-simple-nail-art-golden-butterfly-wearing-nail-art-pads-365nails, friendlyName=Magic mirror powder  pads wholesale purple solid color simple nail art golden butterfly  art pads｜365nails</x:v>
      </x:c>
      <x:c r="D1479" s="18" t="str">
        <x:v>Color: JP3301</x:v>
      </x:c>
      <x:c r="E1479" s="25" t="str">
        <x:v>$1.76</x:v>
      </x:c>
      <x:c r="F1479" s="19" t="str">
        <x:v>1</x:v>
      </x:c>
    </x:row>
    <x:row r="1480" ht="93" customHeight="1">
      <x:c r="A1480" s="19" t="n">
        <x:v>1477</x:v>
      </x:c>
      <x:c r="B1480" s="22" t="e">
        <x:f>HYPERLINK("https://cdn.shopify.com/s/files/1/0918/6066/4603/files/O1CN013QTPGa2NGHyeXi8W7__4234819935-0-cib.jpg?v=1753431927","Open")</x:f>
        <x:v>HYPERLINK is not implemented. linkLocation=https://cdn.shopify.com/s/files/1/0918/6066/4603/files/O1CN013QTPGa2NGHyeXi8W7__4234819935-0-cib.jpg?v=1753431927, friendlyName=Open</x:v>
      </x:c>
      <x:c r="C1480" s="24" t="e">
        <x:f>HYPERLINK("https://365nails.com/products/cross-border-hot-selling-3d-three-dimensional-flower-wearing-nail-fake-nail-french-european-and-american-medium-and-short-almond-nail-nail-piece-365nails","hot-selling 3D three-dimensional flower   French  medium and short almond nail ｜365nails")</x:f>
        <x:v>HYPERLINK is not implemented. linkLocation=https://365nails.com/products/cross-border-hot-selling-3d-three-dimensional-flower-wearing-nail-fake-nail-french-european-and-american-medium-and-short-almond-nail-nail-piece-365nails, friendlyName=hot-selling 3D three-dimensional flower   French  medium and short almond nail ｜365nails</x:v>
      </x:c>
      <x:c r="D1480" s="18" t="str">
        <x:v>color: JP3855</x:v>
      </x:c>
      <x:c r="E1480" s="25" t="str">
        <x:v>$0.76</x:v>
      </x:c>
      <x:c r="F1480" s="19" t="str">
        <x:v>1</x:v>
      </x:c>
    </x:row>
    <x:row r="1481" ht="93" customHeight="1">
      <x:c r="A1481" s="19" t="n">
        <x:v>1478</x:v>
      </x:c>
      <x:c r="B1481" s="22" t="e">
        <x:f>HYPERLINK("https://cdn.shopify.com/s/files/1/0918/6066/4603/files/O1CN01niei9Q2NGHyqXECIB__4234819935-0-cib.jpg?v=1753431912","Open")</x:f>
        <x:v>HYPERLINK is not implemented. linkLocation=https://cdn.shopify.com/s/files/1/0918/6066/4603/files/O1CN01niei9Q2NGHyqXECIB__4234819935-0-cib.jpg?v=1753431912, friendlyName=Open</x:v>
      </x:c>
      <x:c r="C1481" s="24" t="e">
        <x:f>HYPERLINK("https://365nails.com/products/cross-border-hot-selling-tropical-3d-tropical-flower-manicure-wearing-short-almond-nail-piece-foreign-trade-wearing-fake-nail-365nails","hot-selling tropical 3D tropical flower manicure wearing short almond nail piece  wearing fake nail｜365nails")</x:f>
        <x:v>HYPERLINK is not implemented. linkLocation=https://365nails.com/products/cross-border-hot-selling-tropical-3d-tropical-flower-manicure-wearing-short-almond-nail-piece-foreign-trade-wearing-fake-nail-365nails, friendlyName=hot-selling tropical 3D tropical flower manicure wearing short almond nail piece  wearing fake nail｜365nails</x:v>
      </x:c>
      <x:c r="D1481" s="18" t="str">
        <x:v>color: JP3900</x:v>
      </x:c>
      <x:c r="E1481" s="25" t="str">
        <x:v>$1.73</x:v>
      </x:c>
      <x:c r="F1481" s="19" t="str">
        <x:v>1</x:v>
      </x:c>
    </x:row>
    <x:row r="1482" ht="93" customHeight="1">
      <x:c r="A1482" s="19" t="n">
        <x:v>1479</x:v>
      </x:c>
      <x:c r="B1482" s="22" t="e">
        <x:f>HYPERLINK("https://cdn.shopify.com/s/files/1/0918/6066/4603/files/O1CN01f9Atey2NGI1PF8QNX__4234819935-0-cib.jpg?v=1764943054","Open")</x:f>
        <x:v>HYPERLINK is not implemented. linkLocation=https://cdn.shopify.com/s/files/1/0918/6066/4603/files/O1CN01f9Atey2NGI1PF8QNX__4234819935-0-cib.jpg?v=1764943054, friendlyName=Open</x:v>
      </x:c>
      <x:c r="C1482" s="24" t="e">
        <x:f>HYPERLINK("https://365nails.com/products/peach-tortoiseshell-heart-accent-press-on-nails","Peach Tortoiseshell Heart Accent Press-On Nails")</x:f>
        <x:v>HYPERLINK is not implemented. linkLocation=https://365nails.com/products/peach-tortoiseshell-heart-accent-press-on-nails, friendlyName=Peach Tortoiseshell Heart Accent Press-On Nails</x:v>
      </x:c>
      <x:c r="D1482" s="18" t="str">
        <x:v>Color: JP4167</x:v>
      </x:c>
      <x:c r="E1482" s="25" t="str">
        <x:v>$1.93</x:v>
      </x:c>
      <x:c r="F1482" s="19" t="str">
        <x:v>1</x:v>
      </x:c>
    </x:row>
    <x:row r="1483" ht="93" customHeight="1">
      <x:c r="A1483" s="19" t="n">
        <x:v>1480</x:v>
      </x:c>
      <x:c r="B1483" s="22" t="e">
        <x:f>HYPERLINK("https://cdn.shopify.com/s/files/1/0918/6066/4603/files/O1CN01dKlreh1rlpSp0CZmN__2215158925672-0-cib.jpg?v=1754449103","Open")</x:f>
        <x:v>HYPERLINK is not implemented. linkLocation=https://cdn.shopify.com/s/files/1/0918/6066/4603/files/O1CN01dKlreh1rlpSp0CZmN__2215158925672-0-cib.jpg?v=1754449103, friendlyName=Open</x:v>
      </x:c>
      <x:c r="C1483" s="24" t="e">
        <x:f>HYPERLINK("https://365nails.com/products/cartoon-cute-handmade-press-on-nails-childlike-hand-painted-wearing-fake-nail-patch-wholesale-365nails","Playful Doodle Nails with Childlike Hand-Drawn Charm")</x:f>
        <x:v>HYPERLINK is not implemented. linkLocation=https://365nails.com/products/cartoon-cute-handmade-press-on-nails-childlike-hand-painted-wearing-fake-nail-patch-wholesale-365nails, friendlyName=Playful Doodle Nails with Childlike Hand-Drawn Charm</x:v>
      </x:c>
      <x:c r="D1483" s="18" t="str">
        <x:v>shape: short circle; size: XS / S / M / L</x:v>
      </x:c>
      <x:c r="E1483" s="25" t="str">
        <x:v>$2.99</x:v>
      </x:c>
      <x:c r="F1483" s="19" t="str">
        <x:v>30</x:v>
      </x:c>
    </x:row>
    <x:row r="1484" ht="93" customHeight="1">
      <x:c r="A1484" s="19" t="n">
        <x:v>1481</x:v>
      </x:c>
      <x:c r="B1484" s="22" t="e">
        <x:f>HYPERLINK("https://cdn.shopify.com/s/files/1/0918/6066/4603/files/O1CN01BLr1qT1rlpLGByPTC__2215158925672-0-cib.jpg?v=1754449232","Open")</x:f>
        <x:v>HYPERLINK is not implemented. linkLocation=https://cdn.shopify.com/s/files/1/0918/6066/4603/files/O1CN01BLr1qT1rlpLGByPTC__2215158925672-0-cib.jpg?v=1754449232, friendlyName=Open</x:v>
      </x:c>
      <x:c r="C1484" s="24" t="e">
        <x:f>HYPERLINK("https://365nails.com/products/pure-handmade-press-on-nails-relief-camellia-simple-aurora-fine-flash-nail-patch-wearable-nail-sticker-wholesale-365nails","Iridescent Camellia Nails with Soft Sculpted Florals")</x:f>
        <x:v>HYPERLINK is not implemented. linkLocation=https://365nails.com/products/pure-handmade-press-on-nails-relief-camellia-simple-aurora-fine-flash-nail-patch-wearable-nail-sticker-wholesale-365nails, friendlyName=Iridescent Camellia Nails with Soft Sculpted Florals</x:v>
      </x:c>
      <x:c r="D1484" s="18" t="str">
        <x:v>shape: Short T; size: XS / S / M / L</x:v>
      </x:c>
      <x:c r="E1484" s="25" t="str">
        <x:v>$2.99</x:v>
      </x:c>
      <x:c r="F1484" s="19" t="str">
        <x:v>30</x:v>
      </x:c>
    </x:row>
    <x:row r="1485" ht="93" customHeight="1">
      <x:c r="A1485" s="19" t="n">
        <x:v>1482</x:v>
      </x:c>
      <x:c r="B1485" s="22" t="e">
        <x:f>HYPERLINK("https://cdn.shopify.com/s/files/1/0918/6066/4603/files/O1CN01P8AfOG2NGHtrMAblS__4234819935-0-cib.jpg?v=1753433478","Open")</x:f>
        <x:v>HYPERLINK is not implemented. linkLocation=https://cdn.shopify.com/s/files/1/0918/6066/4603/files/O1CN01P8AfOG2NGHtrMAblS__4234819935-0-cib.jpg?v=1753433478, friendlyName=Open</x:v>
      </x:c>
      <x:c r="C1485" s="24" t="e">
        <x:f>HYPERLINK("https://365nails.com/products/simple-french-white-fake-nail-manicure-3d-gold-striped-wearing-nail-cross-border-foreign-trade-removable-nail-piece-finished-product-365nails","Simple French white  manicure 3D gold striped    removable  finished product｜365nails")</x:f>
        <x:v>HYPERLINK is not implemented. linkLocation=https://365nails.com/products/simple-french-white-fake-nail-manicure-3d-gold-striped-wearing-nail-cross-border-foreign-trade-removable-nail-piece-finished-product-365nails, friendlyName=Simple French white  manicure 3D gold striped    removable  finished product｜365nails</x:v>
      </x:c>
      <x:c r="D1485" s="18" t="str">
        <x:v>Color: JP3444</x:v>
      </x:c>
      <x:c r="E1485" s="25" t="str">
        <x:v>$1.16</x:v>
      </x:c>
      <x:c r="F1485" s="19" t="str">
        <x:v>1</x:v>
      </x:c>
    </x:row>
    <x:row r="1486" ht="93" customHeight="1">
      <x:c r="A1486" s="19" t="n">
        <x:v>1483</x:v>
      </x:c>
      <x:c r="B1486" s="22" t="e">
        <x:f>HYPERLINK("https://cdn.shopify.com/s/files/1/0918/6066/4603/files/O1CN01UoPHpJ1rlpJty2NBY__2215158925672-0-cib.jpg?v=1754449172","Open")</x:f>
        <x:v>HYPERLINK is not implemented. linkLocation=https://cdn.shopify.com/s/files/1/0918/6066/4603/files/O1CN01UoPHpJ1rlpJty2NBY__2215158925672-0-cib.jpg?v=1754449172, friendlyName=Open</x:v>
      </x:c>
      <x:c r="C1486" s="24" t="e">
        <x:f>HYPERLINK("https://365nails.com/products/handmade-nail-wear-summer-spice-girls-blush-nail-art-finished-patch-wearable-nail-sticker-false-nail-wholesale-365nails","Summer Gradient Nails with Soft Blush Chrome Glow")</x:f>
        <x:v>HYPERLINK is not implemented. linkLocation=https://365nails.com/products/handmade-nail-wear-summer-spice-girls-blush-nail-art-finished-patch-wearable-nail-sticker-false-nail-wholesale-365nails, friendlyName=Summer Gradient Nails with Soft Blush Chrome Glow</x:v>
      </x:c>
      <x:c r="D1486" s="18" t="str">
        <x:v>shape: Pink medium T / Blue medium T; size: XS / S / M / L</x:v>
      </x:c>
      <x:c r="E1486" s="25" t="str">
        <x:v>$2.49</x:v>
      </x:c>
      <x:c r="F1486" s="19" t="str">
        <x:v>30</x:v>
      </x:c>
    </x:row>
    <x:row r="1487" ht="93" customHeight="1">
      <x:c r="A1487" s="19" t="n">
        <x:v>1484</x:v>
      </x:c>
      <x:c r="B1487" s="22" t="e">
        <x:f>HYPERLINK("https://cdn.shopify.com/s/files/1/0918/6066/4603/files/O1CN01GGdC3S2NGHritD9ZL__4234819935-0-cib.jpg?v=1753433510","Open")</x:f>
        <x:v>HYPERLINK is not implemented. linkLocation=https://cdn.shopify.com/s/files/1/0918/6066/4603/files/O1CN01GGdC3S2NGHritD9ZL__4234819935-0-cib.jpg?v=1753433510, friendlyName=Open</x:v>
      </x:c>
      <x:c r="C1487" s="24" t="e">
        <x:f>HYPERLINK("https://365nails.com/products/pack-of-24-spring-and-summer-new-almond-shaped-manicure-fake-nails-pastoral-style-small-fresh-flowers-wearing-nail-pads-wholesale-365nails","Pcs of 24 spring and summer new almond-shaped manicure  pastoral style small fresh flowers  pads wholesale｜365nails")</x:f>
        <x:v>HYPERLINK is not implemented. linkLocation=https://365nails.com/products/pack-of-24-spring-and-summer-new-almond-shaped-manicure-fake-nails-pastoral-style-small-fresh-flowers-wearing-nail-pads-wholesale-365nails, friendlyName=Pcs of 24 spring and summer new almond-shaped manicure  pastoral style small fresh flowers  pads wholesale｜365nails</x:v>
      </x:c>
      <x:c r="D1487" s="18" t="str">
        <x:v>Color: JP3306</x:v>
      </x:c>
      <x:c r="E1487" s="25" t="str">
        <x:v>$1.54</x:v>
      </x:c>
      <x:c r="F1487" s="19" t="str">
        <x:v>1</x:v>
      </x:c>
    </x:row>
    <x:row r="1488" ht="93" customHeight="1">
      <x:c r="A1488" s="19" t="n">
        <x:v>1485</x:v>
      </x:c>
      <x:c r="B1488" s="22" t="e">
        <x:f>HYPERLINK("https://cdn.shopify.com/s/files/1/0918/6066/4603/files/O1CN01JZqU541nYJNe5XNDI__2217958295101-0-cib_44891d16-8111-4794-a748-630a06715db0.jpg?v=1766330879","Open")</x:f>
        <x:v>HYPERLINK is not implemented. linkLocation=https://cdn.shopify.com/s/files/1/0918/6066/4603/files/O1CN01JZqU541nYJNe5XNDI__2217958295101-0-cib_44891d16-8111-4794-a748-630a06715db0.jpg?v=1766330879, friendlyName=Open</x:v>
      </x:c>
      <x:c r="C1488" s="24" t="e">
        <x:f>HYPERLINK("https://365nails.com/products/blue-bow-hello-kitty-kids-press-on-nails-set","Blue Bow Hello Kitty Kids Press On Nails Set")</x:f>
        <x:v>HYPERLINK is not implemented. linkLocation=https://365nails.com/products/blue-bow-hello-kitty-kids-press-on-nails-set, friendlyName=Blue Bow Hello Kitty Kids Press On Nails Set</x:v>
      </x:c>
      <x:c r="D1488" s="18" t="str">
        <x:v>Color: 049 blue bow hello KT; Color classification: XS (2-3 years old) / S (4-6 years old) / M (7-8 years old) / L (9-12 years old)</x:v>
      </x:c>
      <x:c r="E1488" s="25" t="str">
        <x:v>$2.49</x:v>
      </x:c>
      <x:c r="F1488" s="19" t="str">
        <x:v>1</x:v>
      </x:c>
    </x:row>
    <x:row r="1489" ht="93" customHeight="1">
      <x:c r="A1489" s="19" t="n">
        <x:v>1486</x:v>
      </x:c>
      <x:c r="B1489" s="22" t="e">
        <x:f>HYPERLINK("https://cdn.shopify.com/s/files/1/0918/6066/4603/files/O1CN01N8zzss2NGI1Pjg5mz__4234819935-0-cib.jpg?v=1764943943","Open")</x:f>
        <x:v>HYPERLINK is not implemented. linkLocation=https://cdn.shopify.com/s/files/1/0918/6066/4603/files/O1CN01N8zzss2NGI1Pjg5mz__4234819935-0-cib.jpg?v=1764943943, friendlyName=Open</x:v>
      </x:c>
      <x:c r="C1489" s="24" t="e">
        <x:f>HYPERLINK("https://365nails.com/products/floral-tortoiseshell-and-zebra-accent-glossy-nails","Floral Tortoiseshell and Zebra Accent Glossy Nails")</x:f>
        <x:v>HYPERLINK is not implemented. linkLocation=https://365nails.com/products/floral-tortoiseshell-and-zebra-accent-glossy-nails, friendlyName=Floral Tortoiseshell and Zebra Accent Glossy Nails</x:v>
      </x:c>
      <x:c r="D1489" s="18" t="str">
        <x:v>Color: JP4186</x:v>
      </x:c>
      <x:c r="E1489" s="25" t="str">
        <x:v>$1.48</x:v>
      </x:c>
      <x:c r="F1489" s="19" t="str">
        <x:v>1</x:v>
      </x:c>
    </x:row>
    <x:row r="1490" ht="93" customHeight="1">
      <x:c r="A1490" s="19" t="n">
        <x:v>1487</x:v>
      </x:c>
      <x:c r="B1490" s="22" t="e">
        <x:f>HYPERLINK("https://cdn.shopify.com/s/files/1/0918/6066/4603/files/O1CN01O256Qi2NGHqJ5sXPm__4234819935-0-cib.jpg?v=1753433495","Open")</x:f>
        <x:v>HYPERLINK is not implemented. linkLocation=https://cdn.shopify.com/s/files/1/0918/6066/4603/files/O1CN01O256Qi2NGHqJ5sXPm__4234819935-0-cib.jpg?v=1753433495, friendlyName=Open</x:v>
      </x:c>
      <x:c r="C1490" s="24" t="e">
        <x:f>HYPERLINK("https://365nails.com/products/yiwu-wearing-nail-red-solid-color-blood-red-cat-eye-manicure-european-square-short-wearable-nail-piece-finished-product-wholesale-365nails","Red solid color blood red cat eye manicure European square short wearable nail piece finished product wholesale｜365nails")</x:f>
        <x:v>HYPERLINK is not implemented. linkLocation=https://365nails.com/products/yiwu-wearing-nail-red-solid-color-blood-red-cat-eye-manicure-european-square-short-wearable-nail-piece-finished-product-wholesale-365nails, friendlyName=Red solid color blood red cat eye manicure European square short wearable nail piece finished product wholesale｜365nails</x:v>
      </x:c>
      <x:c r="D1490" s="18" t="str">
        <x:v>Color: JP3260</x:v>
      </x:c>
      <x:c r="E1490" s="25" t="str">
        <x:v>$1.30</x:v>
      </x:c>
      <x:c r="F1490" s="19" t="str">
        <x:v>1</x:v>
      </x:c>
    </x:row>
    <x:row r="1491" ht="93" customHeight="1">
      <x:c r="A1491" s="19" t="n">
        <x:v>1488</x:v>
      </x:c>
      <x:c r="B1491" s="22" t="e">
        <x:f>HYPERLINK("https://cdn.shopify.com/s/files/1/0918/6066/4603/files/O1CN019Y72BB2NGI1CXApGk__4234819935-0-cib.jpg?v=1764943403","Open")</x:f>
        <x:v>HYPERLINK is not implemented. linkLocation=https://cdn.shopify.com/s/files/1/0918/6066/4603/files/O1CN019Y72BB2NGI1CXApGk__4234819935-0-cib.jpg?v=1764943403, friendlyName=Open</x:v>
      </x:c>
      <x:c r="C1491" s="24" t="e">
        <x:f>HYPERLINK("https://365nails.com/products/nude-tortoiseshell-french-tips-with-gold-detail","Nude Tortoiseshell French Tips with Gold Detail")</x:f>
        <x:v>HYPERLINK is not implemented. linkLocation=https://365nails.com/products/nude-tortoiseshell-french-tips-with-gold-detail, friendlyName=Nude Tortoiseshell French Tips with Gold Detail</x:v>
      </x:c>
      <x:c r="D1491" s="18" t="str">
        <x:v>Color: JP4168</x:v>
      </x:c>
      <x:c r="E1491" s="25" t="str">
        <x:v>$1.86</x:v>
      </x:c>
      <x:c r="F1491" s="19" t="str">
        <x:v>1</x:v>
      </x:c>
    </x:row>
    <x:row r="1492" ht="93" customHeight="1">
      <x:c r="A1492" s="19" t="n">
        <x:v>1489</x:v>
      </x:c>
      <x:c r="B1492" s="22" t="e">
        <x:f>HYPERLINK("https://cdn.shopify.com/s/files/1/0918/6066/4603/files/O1CN01n0Yfby2NGI1JGcUP7__4234819935-0-cib.jpg?v=1764945212","Open")</x:f>
        <x:v>HYPERLINK is not implemented. linkLocation=https://cdn.shopify.com/s/files/1/0918/6066/4603/files/O1CN01n0Yfby2NGI1JGcUP7__4234819935-0-cib.jpg?v=1764945212, friendlyName=Open</x:v>
      </x:c>
      <x:c r="C1492" s="24" t="e">
        <x:f>HYPERLINK("https://365nails.com/products/brown-smoky-gradient-glossy-press-on-nails","Brown Smoky Gradient Glossy Press-On Nails")</x:f>
        <x:v>HYPERLINK is not implemented. linkLocation=https://365nails.com/products/brown-smoky-gradient-glossy-press-on-nails, friendlyName=Brown Smoky Gradient Glossy Press-On Nails</x:v>
      </x:c>
      <x:c r="D1492" s="18" t="str">
        <x:v>Color: JP4192</x:v>
      </x:c>
      <x:c r="E1492" s="25" t="str">
        <x:v>$0.69</x:v>
      </x:c>
      <x:c r="F1492" s="19" t="str">
        <x:v>1</x:v>
      </x:c>
    </x:row>
    <x:row r="1493" ht="93" customHeight="1">
      <x:c r="A1493" s="19" t="n">
        <x:v>1490</x:v>
      </x:c>
      <x:c r="B1493" s="22" t="e">
        <x:f>HYPERLINK("https://cdn.shopify.com/s/files/1/0918/6066/4603/files/O1CN01YRkizt2NGI19xnYMF__4234819935-0-cib_eb08354c-cc5e-4bac-83c5-7ddf28c3d036.jpg?v=1764941872","Open")</x:f>
        <x:v>HYPERLINK is not implemented. linkLocation=https://cdn.shopify.com/s/files/1/0918/6066/4603/files/O1CN01YRkizt2NGI19xnYMF__4234819935-0-cib_eb08354c-cc5e-4bac-83c5-7ddf28c3d036.jpg?v=1764941872, friendlyName=Open</x:v>
      </x:c>
      <x:c r="C1493" s="24" t="e">
        <x:f>HYPERLINK("https://365nails.com/products/smoky-ombre-glossy-neutral-press-on-nails","Smoky Ombre Glossy Neutral Press-On Nails")</x:f>
        <x:v>HYPERLINK is not implemented. linkLocation=https://365nails.com/products/smoky-ombre-glossy-neutral-press-on-nails, friendlyName=Smoky Ombre Glossy Neutral Press-On Nails</x:v>
      </x:c>
      <x:c r="D1493" s="18" t="str">
        <x:v>Color: JP4172</x:v>
      </x:c>
      <x:c r="E1493" s="25" t="str">
        <x:v>$0.69</x:v>
      </x:c>
      <x:c r="F1493" s="19" t="str">
        <x:v>1</x:v>
      </x:c>
    </x:row>
    <x:row r="1494" ht="93" customHeight="1">
      <x:c r="A1494" s="19" t="n">
        <x:v>1491</x:v>
      </x:c>
      <x:c r="B1494" s="22" t="e">
        <x:f>HYPERLINK("https://cdn.shopify.com/s/files/1/0918/6066/4603/files/O1CN015Fdbya2NGI1MRIafU__4234819935-0-cib.jpg?v=1764944818","Open")</x:f>
        <x:v>HYPERLINK is not implemented. linkLocation=https://cdn.shopify.com/s/files/1/0918/6066/4603/files/O1CN015Fdbya2NGI1MRIafU__4234819935-0-cib.jpg?v=1764944818, friendlyName=Open</x:v>
      </x:c>
      <x:c r="C1494" s="24" t="e">
        <x:f>HYPERLINK("https://365nails.com/products/pink-and-black-cow-print-contrast-glossy-nails","Pink and Black Cow Print Contrast Glossy Nails")</x:f>
        <x:v>HYPERLINK is not implemented. linkLocation=https://365nails.com/products/pink-and-black-cow-print-contrast-glossy-nails, friendlyName=Pink and Black Cow Print Contrast Glossy Nails</x:v>
      </x:c>
      <x:c r="D1494" s="18" t="str">
        <x:v>Color: JP4182</x:v>
      </x:c>
      <x:c r="E1494" s="25" t="str">
        <x:v>$0.72</x:v>
      </x:c>
      <x:c r="F1494" s="19" t="str">
        <x:v>1</x:v>
      </x:c>
    </x:row>
    <x:row r="1495" ht="93" customHeight="1">
      <x:c r="A1495" s="19" t="n">
        <x:v>1492</x:v>
      </x:c>
      <x:c r="B1495" s="22" t="e">
        <x:f>HYPERLINK("https://cdn.shopify.com/s/files/1/0918/6066/4603/files/O1CN01F5DFhL2NGI1GeALX3__4234819935-0-cib.jpg?v=1764944097","Open")</x:f>
        <x:v>HYPERLINK is not implemented. linkLocation=https://cdn.shopify.com/s/files/1/0918/6066/4603/files/O1CN01F5DFhL2NGI1GeALX3__4234819935-0-cib.jpg?v=1764944097, friendlyName=Open</x:v>
      </x:c>
      <x:c r="C1495" s="24" t="e">
        <x:f>HYPERLINK("https://365nails.com/products/pink-chrome-mirror-shine-press-on-nails","Pink Chrome Mirror Shine Press-On Nails")</x:f>
        <x:v>HYPERLINK is not implemented. linkLocation=https://365nails.com/products/pink-chrome-mirror-shine-press-on-nails, friendlyName=Pink Chrome Mirror Shine Press-On Nails</x:v>
      </x:c>
      <x:c r="D1495" s="18" t="str">
        <x:v>Color: JP4195</x:v>
      </x:c>
      <x:c r="E1495" s="25" t="str">
        <x:v>$1.19</x:v>
      </x:c>
      <x:c r="F1495" s="19" t="str">
        <x:v>1</x:v>
      </x:c>
    </x:row>
    <x:row r="1496" ht="93" customHeight="1">
      <x:c r="A1496" s="19" t="n">
        <x:v>1493</x:v>
      </x:c>
      <x:c r="B1496" s="22" t="e">
        <x:f>HYPERLINK("https://cdn.shopify.com/s/files/1/0918/6066/4603/files/O1CN01Loksiv2NGI1M9vs2y__4234819935-0-cib.jpg?v=1764940681","Open")</x:f>
        <x:v>HYPERLINK is not implemented. linkLocation=https://cdn.shopify.com/s/files/1/0918/6066/4603/files/O1CN01Loksiv2NGI1M9vs2y__4234819935-0-cib.jpg?v=1764940681, friendlyName=Open</x:v>
      </x:c>
      <x:c r="C1496" s="24" t="e">
        <x:f>HYPERLINK("https://365nails.com/products/elegant-burgundy-gold-detail-almond-nails","Elegant Burgundy Swirl Art with Gold Accents")</x:f>
        <x:v>HYPERLINK is not implemented. linkLocation=https://365nails.com/products/elegant-burgundy-gold-detail-almond-nails, friendlyName=Elegant Burgundy Swirl Art with Gold Accents</x:v>
      </x:c>
      <x:c r="D1496" s="18" t="str">
        <x:v>Color: JP4072</x:v>
      </x:c>
      <x:c r="E1496" s="25" t="str">
        <x:v>$2.39</x:v>
      </x:c>
      <x:c r="F1496" s="19" t="str">
        <x:v>1</x:v>
      </x:c>
    </x:row>
    <x:row r="1497" ht="93" customHeight="1">
      <x:c r="A1497" s="19" t="n">
        <x:v>1494</x:v>
      </x:c>
      <x:c r="B1497" s="22" t="e">
        <x:f>HYPERLINK("https://cdn.shopify.com/s/files/1/0918/6066/4603/files/O1CN01V9Qugt1rlpJl0X6jS__2215158925672-0-cib.jpg?v=1754449305","Open")</x:f>
        <x:v>HYPERLINK is not implemented. linkLocation=https://cdn.shopify.com/s/files/1/0918/6066/4603/files/O1CN01V9Qugt1rlpJl0X6jS__2215158925672-0-cib.jpg?v=1754449305, friendlyName=Open</x:v>
      </x:c>
      <x:c r="C1497" s="24" t="e">
        <x:f>HYPERLINK("https://365nails.com/products/handmade-press-on-nails-blush-metal-medium-and-long-white-internet-celebrity-nail-art-finished-nail-piece-wearing-nail-fake-nail-patch-365nails","Blush Ombre Nails with Sculpted Metallic Accents")</x:f>
        <x:v>HYPERLINK is not implemented. linkLocation=https://365nails.com/products/handmade-press-on-nails-blush-metal-medium-and-long-white-internet-celebrity-nail-art-finished-nail-piece-wearing-nail-fake-nail-patch-365nails, friendlyName=Blush Ombre Nails with Sculpted Metallic Accents</x:v>
      </x:c>
      <x:c r="D1497" s="18" t="str">
        <x:v>shape: Medium T; size: XS / S / M / L</x:v>
      </x:c>
      <x:c r="E1497" s="25" t="str">
        <x:v>$4.99</x:v>
      </x:c>
      <x:c r="F1497" s="19" t="str">
        <x:v>30</x:v>
      </x:c>
    </x:row>
    <x:row r="1498" ht="93" customHeight="1">
      <x:c r="A1498" s="19" t="n">
        <x:v>1495</x:v>
      </x:c>
      <x:c r="B1498" s="22" t="e">
        <x:f>HYPERLINK("https://cdn.shopify.com/s/files/1/0918/6066/4603/files/O1CN01ZJA9ow1nYJNefPLT3__2217958295101-0-cib_839e740e-071d-4737-b918-0b4f8e20a4d3.jpg?v=1766330898","Open")</x:f>
        <x:v>HYPERLINK is not implemented. linkLocation=https://cdn.shopify.com/s/files/1/0918/6066/4603/files/O1CN01ZJA9ow1nYJNefPLT3__2217958295101-0-cib_839e740e-071d-4737-b918-0b4f8e20a4d3.jpg?v=1766330898, friendlyName=Open</x:v>
      </x:c>
      <x:c r="C1498" s="24" t="e">
        <x:f>HYPERLINK("https://365nails.com/products/kulomie-dark-cute-kids-press-on-nails-with-bow-details","Kulomie Dark Cute Kids Press On Nails with Bow Details")</x:f>
        <x:v>HYPERLINK is not implemented. linkLocation=https://365nails.com/products/kulomie-dark-cute-kids-press-on-nails-with-bow-details, friendlyName=Kulomie Dark Cute Kids Press On Nails with Bow Details</x:v>
      </x:c>
      <x:c r="D1498" s="18" t="str">
        <x:v>Color: Size Kulomie 016; Color classification: XS (2-3 years old) / S (4-6 years old) / M (7-8 years old) / L (9-12 years old)</x:v>
      </x:c>
      <x:c r="E1498" s="25" t="str">
        <x:v>$1.99</x:v>
      </x:c>
      <x:c r="F1498" s="19" t="str">
        <x:v>1</x:v>
      </x:c>
    </x:row>
    <x:row r="1499" ht="93" customHeight="1">
      <x:c r="A1499" s="19" t="n">
        <x:v>1496</x:v>
      </x:c>
      <x:c r="B1499" s="22" t="e">
        <x:f>HYPERLINK("https://cdn.shopify.com/s/files/1/0918/6066/4603/files/O1CN01kLt9w62NGI1P8Yx2A__4234819935-0-cib.jpg?v=1764944257","Open")</x:f>
        <x:v>HYPERLINK is not implemented. linkLocation=https://cdn.shopify.com/s/files/1/0918/6066/4603/files/O1CN01kLt9w62NGI1P8Yx2A__4234819935-0-cib.jpg?v=1764944257, friendlyName=Open</x:v>
      </x:c>
      <x:c r="C1499" s="24" t="e">
        <x:f>HYPERLINK("https://365nails.com/products/soft-pink-shimmer-nails-with-deep-glossy-tips","Soft Pink Shimmer Nails with Deep Glossy Tips")</x:f>
        <x:v>HYPERLINK is not implemented. linkLocation=https://365nails.com/products/soft-pink-shimmer-nails-with-deep-glossy-tips, friendlyName=Soft Pink Shimmer Nails with Deep Glossy Tips</x:v>
      </x:c>
      <x:c r="D1499" s="18" t="str">
        <x:v>Color: JP4179</x:v>
      </x:c>
      <x:c r="E1499" s="25" t="str">
        <x:v>$1.09</x:v>
      </x:c>
      <x:c r="F1499" s="19" t="str">
        <x:v>1</x:v>
      </x:c>
    </x:row>
    <x:row r="1500" ht="93" customHeight="1">
      <x:c r="A1500" s="19" t="n">
        <x:v>1497</x:v>
      </x:c>
      <x:c r="B1500" s="22" t="e">
        <x:f>HYPERLINK("https://cdn.shopify.com/s/files/1/0918/6066/4603/files/O1CN01yOPwVg2NGI1GgjsJL__4234819935-0-cib.jpg?v=1764941930","Open")</x:f>
        <x:v>HYPERLINK is not implemented. linkLocation=https://cdn.shopify.com/s/files/1/0918/6066/4603/files/O1CN01yOPwVg2NGI1GgjsJL__4234819935-0-cib.jpg?v=1764941930, friendlyName=Open</x:v>
      </x:c>
      <x:c r="C1500" s="24" t="e">
        <x:f>HYPERLINK("https://365nails.com/products/pink-bow-and-pearl-charm-glossy-press-on-nails","Pink Bow and Pearl Charm Glossy Press-On Nails")</x:f>
        <x:v>HYPERLINK is not implemented. linkLocation=https://365nails.com/products/pink-bow-and-pearl-charm-glossy-press-on-nails, friendlyName=Pink Bow and Pearl Charm Glossy Press-On Nails</x:v>
      </x:c>
      <x:c r="D1500" s="18" t="str">
        <x:v>Color: JP4183</x:v>
      </x:c>
      <x:c r="E1500" s="25" t="str">
        <x:v>$1.63</x:v>
      </x:c>
      <x:c r="F1500" s="19" t="str">
        <x:v>1</x:v>
      </x:c>
    </x:row>
    <x:row r="1501" ht="93" customHeight="1">
      <x:c r="A1501" s="19" t="n">
        <x:v>1498</x:v>
      </x:c>
      <x:c r="B1501" s="22" t="e">
        <x:f>HYPERLINK("https://cdn.shopify.com/s/files/1/0918/6066/4603/files/O1CN011qRh0a2NGI1KztTAS__4234819935-0-cib.jpg?v=1764945095","Open")</x:f>
        <x:v>HYPERLINK is not implemented. linkLocation=https://cdn.shopify.com/s/files/1/0918/6066/4603/files/O1CN011qRh0a2NGI1KztTAS__4234819935-0-cib.jpg?v=1764945095, friendlyName=Open</x:v>
      </x:c>
      <x:c r="C1501" s="24" t="e">
        <x:f>HYPERLINK("https://365nails.com/products/brown-polka-dot-retro-glossy-press-on-nails","Brown Polka Dot Retro Glossy Press-On Nails")</x:f>
        <x:v>HYPERLINK is not implemented. linkLocation=https://365nails.com/products/brown-polka-dot-retro-glossy-press-on-nails, friendlyName=Brown Polka Dot Retro Glossy Press-On Nails</x:v>
      </x:c>
      <x:c r="D1501" s="18" t="str">
        <x:v>Color: JP4194</x:v>
      </x:c>
      <x:c r="E1501" s="25" t="str">
        <x:v>$0.72</x:v>
      </x:c>
      <x:c r="F1501" s="19" t="str">
        <x:v>1</x:v>
      </x:c>
    </x:row>
    <x:row r="1502" ht="93" customHeight="1">
      <x:c r="A1502" s="19" t="n">
        <x:v>1499</x:v>
      </x:c>
      <x:c r="B1502" s="22" t="e">
        <x:f>HYPERLINK("https://cdn.shopify.com/s/files/1/0918/6066/4603/files/O1CN01mCVel92NGI1JkVd8N__4234819935-0-cib.jpg?v=1764943774","Open")</x:f>
        <x:v>HYPERLINK is not implemented. linkLocation=https://cdn.shopify.com/s/files/1/0918/6066/4603/files/O1CN01mCVel92NGI1JkVd8N__4234819935-0-cib.jpg?v=1764943774, friendlyName=Open</x:v>
      </x:c>
      <x:c r="C1502" s="24" t="e">
        <x:f>HYPERLINK("https://365nails.com/products/red-cherry-and-leopard-accent-glossy-press-on-nails","Red Cherry and Leopard Accent Glossy Press-On Nails")</x:f>
        <x:v>HYPERLINK is not implemented. linkLocation=https://365nails.com/products/red-cherry-and-leopard-accent-glossy-press-on-nails, friendlyName=Red Cherry and Leopard Accent Glossy Press-On Nails</x:v>
      </x:c>
      <x:c r="D1502" s="18" t="str">
        <x:v>Color: JP4156</x:v>
      </x:c>
      <x:c r="E1502" s="25" t="str">
        <x:v>$1.71</x:v>
      </x:c>
      <x:c r="F1502" s="19" t="str">
        <x:v>1</x:v>
      </x:c>
    </x:row>
    <x:row r="1503" ht="93" customHeight="1">
      <x:c r="A1503" s="19" t="n">
        <x:v>1500</x:v>
      </x:c>
      <x:c r="B1503" s="22" t="e">
        <x:f>HYPERLINK("https://cdn.shopify.com/s/files/1/0918/6066/4603/files/O1CN01rMbaC82NGI1CriRWo__4234819935-0-cib.jpg?v=1764944557","Open")</x:f>
        <x:v>HYPERLINK is not implemented. linkLocation=https://cdn.shopify.com/s/files/1/0918/6066/4603/files/O1CN01rMbaC82NGI1CriRWo__4234819935-0-cib.jpg?v=1764944557, friendlyName=Open</x:v>
      </x:c>
      <x:c r="C1503" s="24" t="e">
        <x:f>HYPERLINK("https://365nails.com/products/soft-pink-glossy-nails-with-red-cherry-accents","Soft Pink Glossy Nails with Red Cherry Accents")</x:f>
        <x:v>HYPERLINK is not implemented. linkLocation=https://365nails.com/products/soft-pink-glossy-nails-with-red-cherry-accents, friendlyName=Soft Pink Glossy Nails with Red Cherry Accents</x:v>
      </x:c>
      <x:c r="D1503" s="18" t="str">
        <x:v>Color: JP4126</x:v>
      </x:c>
      <x:c r="E1503" s="25" t="str">
        <x:v>$1.63</x:v>
      </x:c>
      <x:c r="F1503" s="19" t="str">
        <x:v>1</x:v>
      </x:c>
    </x:row>
    <x:row r="1504" ht="93" customHeight="1">
      <x:c r="A1504" s="19" t="n">
        <x:v>1501</x:v>
      </x:c>
      <x:c r="B1504" s="22" t="e">
        <x:f>HYPERLINK("https://cdn.shopify.com/s/files/1/0918/6066/4603/files/O1CN016xmSiI2NGI1LxeEok__4234819935-0-cib.jpg?v=1764941040","Open")</x:f>
        <x:v>HYPERLINK is not implemented. linkLocation=https://cdn.shopify.com/s/files/1/0918/6066/4603/files/O1CN016xmSiI2NGI1LxeEok__4234819935-0-cib.jpg?v=1764941040, friendlyName=Open</x:v>
      </x:c>
      <x:c r="C1504" s="24" t="e">
        <x:f>HYPERLINK("https://365nails.com/products/soft-pink-bow-and-heart-glitter-nails","Soft Pink Bow and Heart Glitter Nails")</x:f>
        <x:v>HYPERLINK is not implemented. linkLocation=https://365nails.com/products/soft-pink-bow-and-heart-glitter-nails, friendlyName=Soft Pink Bow and Heart Glitter Nails</x:v>
      </x:c>
      <x:c r="D1504" s="18" t="str">
        <x:v>Color: JP4105</x:v>
      </x:c>
      <x:c r="E1504" s="25" t="str">
        <x:v>$2.16</x:v>
      </x:c>
      <x:c r="F1504" s="19" t="str">
        <x:v>1</x:v>
      </x:c>
    </x:row>
    <x:row r="1505" ht="93" customHeight="1">
      <x:c r="A1505" s="19" t="n">
        <x:v>1502</x:v>
      </x:c>
      <x:c r="B1505" s="22" t="e">
        <x:f>HYPERLINK("https://cdn.shopify.com/s/files/1/0918/6066/4603/files/O1CN01B6UELO1nYJNecPu6T__2217958295101-0-cib.jpg?v=1766293527","Open")</x:f>
        <x:v>HYPERLINK is not implemented. linkLocation=https://cdn.shopify.com/s/files/1/0918/6066/4603/files/O1CN01B6UELO1nYJNecPu6T__2217958295101-0-cib.jpg?v=1766293527, friendlyName=Open</x:v>
      </x:c>
      <x:c r="C1505" s="24" t="e">
        <x:f>HYPERLINK("https://365nails.com/products/bear-lollipop-cute-kids-press-on-nails-with-candy-colors","Bear Lollipop Cute Kids Press On Nails with Candy Colors")</x:f>
        <x:v>HYPERLINK is not implemented. linkLocation=https://365nails.com/products/bear-lollipop-cute-kids-press-on-nails-with-candy-colors, friendlyName=Bear Lollipop Cute Kids Press On Nails with Candy Colors</x:v>
      </x:c>
      <x:c r="D1505" s="18" t="str">
        <x:v>Color: 037 Bubble Girl / 046 Bubble Girl / 047 Candy Bear / 062 Lollipop Melody / 064ins wind plane hand-painted / 065 flash mocha butterfly / 066 Kapibara / 067 Pony Poly / 068 Princess Elsa / 069 Purple Kulomie / 075 Butter Bear; Color classification: XS (2-3 years old) / S (4-6 years old) / M (7-8 years old) / L (9-12 years old)</x:v>
      </x:c>
      <x:c r="E1505" s="25" t="str">
        <x:v>$2.49</x:v>
      </x:c>
      <x:c r="F1505" s="19" t="str">
        <x:v>1</x:v>
      </x:c>
    </x:row>
    <x:row r="1506" ht="93" customHeight="1">
      <x:c r="A1506" s="19" t="n">
        <x:v>1503</x:v>
      </x:c>
      <x:c r="B1506" s="22" t="e">
        <x:f>HYPERLINK("https://cdn.shopify.com/s/files/1/0918/6066/4603/files/O1CN01O35adY1nYJNbcSHeL__2217958295101-0-cib.jpg?v=1766294674","Open")</x:f>
        <x:v>HYPERLINK is not implemented. linkLocation=https://cdn.shopify.com/s/files/1/0918/6066/4603/files/O1CN01O35adY1nYJNbcSHeL__2217958295101-0-cib.jpg?v=1766294674, friendlyName=Open</x:v>
      </x:c>
      <x:c r="C1506" s="24" t="e">
        <x:f>HYPERLINK("https://365nails.com/products/red-glitter-crystal-cute-kids-press-on-nails-set","Red Glitter Crystal Cute Kids Press On Nails Set")</x:f>
        <x:v>HYPERLINK is not implemented. linkLocation=https://365nails.com/products/red-glitter-crystal-cute-kids-press-on-nails-set, friendlyName=Red Glitter Crystal Cute Kids Press On Nails Set</x:v>
      </x:c>
      <x:c r="D1506" s="18" t="str">
        <x:v>Color: Red smudged bear 039; Color classification: XS (2-3 years old) / S (4-6 years old) / M (7-8 years old) / L (9-12 years old)</x:v>
      </x:c>
      <x:c r="E1506" s="25" t="str">
        <x:v>$2.49</x:v>
      </x:c>
      <x:c r="F1506" s="19" t="str">
        <x:v>1</x:v>
      </x:c>
    </x:row>
    <x:row r="1507" ht="93" customHeight="1">
      <x:c r="A1507" s="19" t="n">
        <x:v>1504</x:v>
      </x:c>
      <x:c r="B1507" s="22" t="e">
        <x:f>HYPERLINK("https://cdn.shopify.com/s/files/1/0918/6066/4603/files/O1CN01Pvcgqw1nYJQpi80q7__2217958295101-0-cib.jpg?v=1766294616","Open")</x:f>
        <x:v>HYPERLINK is not implemented. linkLocation=https://cdn.shopify.com/s/files/1/0918/6066/4603/files/O1CN01Pvcgqw1nYJQpi80q7__2217958295101-0-cib.jpg?v=1766294616, friendlyName=Open</x:v>
      </x:c>
      <x:c r="C1507" s="24" t="e">
        <x:f>HYPERLINK("https://365nails.com/products/cat-s-eye-shimmer-cute-kids-press-on-nails-set","Cat’s Eye Shimmer Cute Kids Press On Nails Set")</x:f>
        <x:v>HYPERLINK is not implemented. linkLocation=https://365nails.com/products/cat-s-eye-shimmer-cute-kids-press-on-nails-set, friendlyName=Cat’s Eye Shimmer Cute Kids Press On Nails Set</x:v>
      </x:c>
      <x:c r="D1507" s="18" t="str">
        <x:v>Color: 017 cat's eye transparent bear; Color classification: XS (2-3 years old) / S (3-5 years old) / M (5-7 years old) / L (7-12 years old)</x:v>
      </x:c>
      <x:c r="E1507" s="25" t="str">
        <x:v>$2.49</x:v>
      </x:c>
      <x:c r="F1507" s="19" t="str">
        <x:v>1</x:v>
      </x:c>
    </x:row>
    <x:row r="1508" ht="93" customHeight="1">
      <x:c r="A1508" s="19" t="n">
        <x:v>1505</x:v>
      </x:c>
      <x:c r="B1508" s="22" t="e">
        <x:f>HYPERLINK("https://cdn.shopify.com/s/files/1/0918/6066/4603/files/O1CN01EcZruh1nYJNe6ktok__2217958295101-0-cib.jpg?v=1766294531","Open")</x:f>
        <x:v>HYPERLINK is not implemented. linkLocation=https://cdn.shopify.com/s/files/1/0918/6066/4603/files/O1CN01EcZruh1nYJNe6ktok__2217958295101-0-cib.jpg?v=1766294531, friendlyName=Open</x:v>
      </x:c>
      <x:c r="C1508" s="24" t="e">
        <x:f>HYPERLINK("https://365nails.com/products/yugui-dog-cute-kids-press-on-nails-with-star-glitter","Yugui Dog Cute Kids Press On Nails with Star Glitter")</x:f>
        <x:v>HYPERLINK is not implemented. linkLocation=https://365nails.com/products/yugui-dog-cute-kids-press-on-nails-with-star-glitter, friendlyName=Yugui Dog Cute Kids Press On Nails with Star Glitter</x:v>
      </x:c>
      <x:c r="D1508" s="18" t="str">
        <x:v>Color: Yugui Dog 007; Color classification: XS (2-3 years old) / S (4-6 years old) / M (7-8 years old) / L (9-12 years old)</x:v>
      </x:c>
      <x:c r="E1508" s="25" t="str">
        <x:v>$1.99</x:v>
      </x:c>
      <x:c r="F1508" s="19" t="str">
        <x:v>1</x:v>
      </x:c>
    </x:row>
    <x:row r="1509" ht="93" customHeight="1">
      <x:c r="A1509" s="19" t="n">
        <x:v>1506</x:v>
      </x:c>
      <x:c r="B1509" s="22" t="e">
        <x:f>HYPERLINK("https://cdn.shopify.com/s/files/1/0918/6066/4603/files/O1CN01OZ3L3s2NGHfmRDwg0__4234819935-0-cib.jpg?v=1753429135","Open")</x:f>
        <x:v>HYPERLINK is not implemented. linkLocation=https://cdn.shopify.com/s/files/1/0918/6066/4603/files/O1CN01OZ3L3s2NGHfmRDwg0__4234819935-0-cib.jpg?v=1753429135, friendlyName=Open</x:v>
      </x:c>
      <x:c r="C1509" s="24" t="e">
        <x:f>HYPERLINK("https://365nails.com/products/wear-nail-manicure-toenail-patch-wholesale-collection-toenail-removable-cross-border-fake-nail-false-nails-365nails","Wear nail manicure toenail patch wholesale collection toenail removable  fake nail false nails｜365nails")</x:f>
        <x:v>HYPERLINK is not implemented. linkLocation=https://365nails.com/products/wear-nail-manicure-toenail-patch-wholesale-collection-toenail-removable-cross-border-fake-nail-false-nails-365nails, friendlyName=Wear nail manicure toenail patch wholesale collection toenail removable  fake nail false nails｜365nails</x:v>
      </x:c>
      <x:c r="D1509" s="18" t="str">
        <x:v>color: 1624 / 1625 / 1627 / 1629 / 1630 / 1632 / 1633 / 1635 / 1636 / 1639 / 1640 / 1641 / 1642 / 1643 / 1644 / 1645 / 1646 / 1647 / 1648 / 1651 / 1654 / 1656 / 1659 / 1660 / 1661 / 1662 / 1664 / 1665 / 1667 / 1668 / 1669 / 1671 / 1672 / 1673</x:v>
      </x:c>
      <x:c r="E1509" s="25" t="str">
        <x:v>$0.88–$1.08</x:v>
      </x:c>
      <x:c r="F1509" s="19" t="str">
        <x:v>1</x:v>
      </x:c>
    </x:row>
    <x:row r="1510" ht="93" customHeight="1">
      <x:c r="A1510" s="19" t="n">
        <x:v>1507</x:v>
      </x:c>
      <x:c r="B1510" s="22" t="e">
        <x:f>HYPERLINK("https://cdn.shopify.com/s/files/1/0918/6066/4603/files/O1CN0172OZxn1nYJNX63psW__2217958295101-0-cib.jpg?v=1766293895","Open")</x:f>
        <x:v>HYPERLINK is not implemented. linkLocation=https://cdn.shopify.com/s/files/1/0918/6066/4603/files/O1CN0172OZxn1nYJNX63psW__2217958295101-0-cib.jpg?v=1766293895, friendlyName=Open</x:v>
      </x:c>
      <x:c r="C1510" s="24" t="e">
        <x:f>HYPERLINK("https://365nails.com/products/pony-poly-cute-kids-press-on-nails-with-bow-hearts","Pony Poly Cute Kids Press On Nails with Bow Hearts")</x:f>
        <x:v>HYPERLINK is not implemented. linkLocation=https://365nails.com/products/pony-poly-cute-kids-press-on-nails-with-bow-hearts, friendlyName=Pony Poly Cute Kids Press On Nails with Bow Hearts</x:v>
      </x:c>
      <x:c r="D1510" s="18" t="str">
        <x:v>Color: 005 Pony Poly Rongrong; Color classification: Xs (2-3 years old) / S (4-6 years old) / M (7-8 years old) / L (9-12 years old)</x:v>
      </x:c>
      <x:c r="E1510" s="25" t="str">
        <x:v>$1.99</x:v>
      </x:c>
      <x:c r="F1510" s="19" t="str">
        <x:v>1</x:v>
      </x:c>
    </x:row>
    <x:row r="1511" ht="93" customHeight="1">
      <x:c r="A1511" s="19" t="n">
        <x:v>1508</x:v>
      </x:c>
      <x:c r="B1511" s="22" t="e">
        <x:f>HYPERLINK("https://cdn.shopify.com/s/files/1/0918/6066/4603/files/O1CN012Nf1ae1nYJNdZK30e__2217958295101-0-cib.jpg?v=1766294155","Open")</x:f>
        <x:v>HYPERLINK is not implemented. linkLocation=https://cdn.shopify.com/s/files/1/0918/6066/4603/files/O1CN012Nf1ae1nYJNdZK30e__2217958295101-0-cib.jpg?v=1766294155, friendlyName=Open</x:v>
      </x:c>
      <x:c r="C1511" s="24" t="e">
        <x:f>HYPERLINK("https://365nails.com/products/bursting-butterfly-stars-cute-kids-press-on-nails-set","Bursting Butterfly Stars Cute Kids Press On Nails Set")</x:f>
        <x:v>HYPERLINK is not implemented. linkLocation=https://365nails.com/products/bursting-butterfly-stars-cute-kids-press-on-nails-set, friendlyName=Bursting Butterfly Stars Cute Kids Press On Nails Set</x:v>
      </x:c>
      <x:c r="D1511" s="18" t="str">
        <x:v>Color: 065 Bursting Butterfly Stars; Color classification: XS (3-4 years old) / S (5-6 years old) / M (7-8 years old) / L (9-12 years old)</x:v>
      </x:c>
      <x:c r="E1511" s="25" t="str">
        <x:v>$2.49</x:v>
      </x:c>
      <x:c r="F1511" s="19" t="str">
        <x:v>1</x:v>
      </x:c>
    </x:row>
    <x:row r="1512" ht="93" customHeight="1">
      <x:c r="A1512" s="19" t="n">
        <x:v>1509</x:v>
      </x:c>
      <x:c r="B1512" s="22" t="e">
        <x:f>HYPERLINK("https://cdn.shopify.com/s/files/1/0918/6066/4603/files/O1CN01ETu7MF1nYJNeGmUb6__2217958295101-0-cib.jpg?v=1766293761","Open")</x:f>
        <x:v>HYPERLINK is not implemented. linkLocation=https://cdn.shopify.com/s/files/1/0918/6066/4603/files/O1CN01ETu7MF1nYJNeGmUb6__2217958295101-0-cib.jpg?v=1766293761, friendlyName=Open</x:v>
      </x:c>
      <x:c r="C1512" s="24" t="e">
        <x:f>HYPERLINK("https://365nails.com/products/kulomie-purple-black-cute-kids-press-on-nails-set","Kulomie Purple Black Cute Kids Press On Nails Set")</x:f>
        <x:v>HYPERLINK is not implemented. linkLocation=https://365nails.com/products/kulomie-purple-black-cute-kids-press-on-nails-set, friendlyName=Kulomie Purple Black Cute Kids Press On Nails Set</x:v>
      </x:c>
      <x:c r="D1512" s="18" t="str">
        <x:v>Color: Kulomie 029; Color classification: XS (2-3 years old) / S (4-6 years old) / M (7-8 years old) / L (9-12 years old)</x:v>
      </x:c>
      <x:c r="E1512" s="25" t="str">
        <x:v>$2.49</x:v>
      </x:c>
      <x:c r="F1512" s="19" t="str">
        <x:v>1</x:v>
      </x:c>
    </x:row>
    <x:row r="1513" ht="93" customHeight="1">
      <x:c r="A1513" s="19" t="n">
        <x:v>1510</x:v>
      </x:c>
      <x:c r="B1513" s="22" t="e">
        <x:f>HYPERLINK("https://cdn.shopify.com/s/files/1/0918/6066/4603/files/O1CN01QkG7dC1nYJQp2sRZ7__2217958295101-0-cib_ebba8f83-136e-4748-98ea-ccb47fa4b57a.jpg?v=1766297256","Open")</x:f>
        <x:v>HYPERLINK is not implemented. linkLocation=https://cdn.shopify.com/s/files/1/0918/6066/4603/files/O1CN01QkG7dC1nYJQp2sRZ7__2217958295101-0-cib_ebba8f83-136e-4748-98ea-ccb47fa4b57a.jpg?v=1766297256, friendlyName=Open</x:v>
      </x:c>
      <x:c r="C1513" s="24" t="e">
        <x:f>HYPERLINK("https://365nails.com/products/pink-glitter-butterfly-cute-kids-press-on-nails-set","Pink Glitter Butterfly Cute Kids Press On Nails Set")</x:f>
        <x:v>HYPERLINK is not implemented. linkLocation=https://365nails.com/products/pink-glitter-butterfly-cute-kids-press-on-nails-set, friendlyName=Pink Glitter Butterfly Cute Kids Press On Nails Set</x:v>
      </x:c>
      <x:c r="D1513" s="18" t="str">
        <x:v>Color: 045 Purple Flash Warm Elf; Color classification: XS (2-3 years old) / S (3-5 years old) / M (5-7 years old) / L (7-12 years old)</x:v>
      </x:c>
      <x:c r="E1513" s="25" t="str">
        <x:v>$2.49</x:v>
      </x:c>
      <x:c r="F1513" s="19" t="str">
        <x:v>1</x:v>
      </x:c>
    </x:row>
    <x:row r="1514" ht="93" customHeight="1">
      <x:c r="A1514" s="19" t="n">
        <x:v>1511</x:v>
      </x:c>
      <x:c r="B1514" s="22" t="e">
        <x:f>HYPERLINK("https://cdn.shopify.com/s/files/1/0918/6066/4603/files/O1CN01Z9YmUD1rlpSH6aKef__2215158925672-0-cib.jpg?v=1754449602","Open")</x:f>
        <x:v>HYPERLINK is not implemented. linkLocation=https://cdn.shopify.com/s/files/1/0918/6066/4603/files/O1CN01Z9YmUD1rlpSH6aKef__2215158925672-0-cib.jpg?v=1754449602, friendlyName=Open</x:v>
      </x:c>
      <x:c r="C1514" s="24" t="e">
        <x:f>HYPERLINK("https://365nails.com/products/mermaid-ji-french-almond-armor-simple-ocean-blue-shell-pattern-atmosphere-handmade-press-on-nails-365nails","Mermaid Blue Nails with Shimmering Ocean Shell Textures")</x:f>
        <x:v>HYPERLINK is not implemented. linkLocation=https://365nails.com/products/mermaid-ji-french-almond-armor-simple-ocean-blue-shell-pattern-atmosphere-handmade-press-on-nails-365nails, friendlyName=Mermaid Blue Nails with Shimmering Ocean Shell Textures</x:v>
      </x:c>
      <x:c r="D1514" s="18" t="str">
        <x:v>shape: medium almond; size: XS / S / M / L</x:v>
      </x:c>
      <x:c r="E1514" s="25" t="str">
        <x:v>$2.99</x:v>
      </x:c>
      <x:c r="F1514" s="19" t="str">
        <x:v>30</x:v>
      </x:c>
    </x:row>
    <x:row r="1515" ht="93" customHeight="1">
      <x:c r="A1515" s="19" t="n">
        <x:v>1512</x:v>
      </x:c>
      <x:c r="B1515" s="22" t="e">
        <x:f>HYPERLINK("https://cdn.shopify.com/s/files/1/0918/6066/4603/files/O1CN01cEC7jh1CPwLw6RsrY__2213196780074-0-cib.jpg?v=1753688329","Open")</x:f>
        <x:v>HYPERLINK is not implemented. linkLocation=https://cdn.shopify.com/s/files/1/0918/6066/4603/files/O1CN01cEC7jh1CPwLw6RsrY__2213196780074-0-cib.jpg?v=1753688329, friendlyName=Open</x:v>
      </x:c>
      <x:c r="C1515" s="24" t="e">
        <x:f>HYPERLINK("https://365nails.com/products/fruit-party-summer-new-painted-fruit-cats-eye-carving-white-advanced-handmade-press-on-nails-365nails","Summer Fruit Party Nails with Cat Eye and Carved Details")</x:f>
        <x:v>HYPERLINK is not implemented. linkLocation=https://365nails.com/products/fruit-party-summer-new-painted-fruit-cats-eye-carving-white-advanced-handmade-press-on-nails-365nails, friendlyName=Summer Fruit Party Nails with Cat Eye and Carved Details</x:v>
      </x:c>
      <x:c r="D1515" s="18" t="str">
        <x:v>shape: 442-Ultra short ladder / 431-Almond Nail; size: XS / S / M / L</x:v>
      </x:c>
      <x:c r="E1515" s="25" t="str">
        <x:v>$2.99</x:v>
      </x:c>
      <x:c r="F1515" s="19" t="str">
        <x:v>1</x:v>
      </x:c>
    </x:row>
    <x:row r="1516" ht="93" customHeight="1">
      <x:c r="A1516" s="19" t="n">
        <x:v>1513</x:v>
      </x:c>
      <x:c r="B1516" s="22" t="e">
        <x:f>HYPERLINK("https://cdn.shopify.com/s/files/1/0918/6066/4603/files/O1CN01e6Z1nL2NGHs7FeuLA__4234819935-0-cib.jpg?v=1753433529","Open")</x:f>
        <x:v>HYPERLINK is not implemented. linkLocation=https://cdn.shopify.com/s/files/1/0918/6066/4603/files/O1CN01e6Z1nL2NGHs7FeuLA__4234819935-0-cib.jpg?v=1753433529, friendlyName=Open</x:v>
      </x:c>
      <x:c r="C1516" s="24" t="e">
        <x:f>HYPERLINK("https://365nails.com/products/cats-eye-wearing-manicure-nail-piece-french-rich-green-simple-wearing-nail-fake-nail-wholesale-almond-nail-patch-365nails","Cat eye wearing manicure  French rich green simple    almond ｜365nails")</x:f>
        <x:v>HYPERLINK is not implemented. linkLocation=https://365nails.com/products/cats-eye-wearing-manicure-nail-piece-french-rich-green-simple-wearing-nail-fake-nail-wholesale-almond-nail-patch-365nails, friendlyName=Cat eye wearing manicure  French rich green simple    almond ｜365nails</x:v>
      </x:c>
      <x:c r="D1516" s="18" t="str">
        <x:v>Color: JP3292</x:v>
      </x:c>
      <x:c r="E1516" s="25" t="str">
        <x:v>$1.08</x:v>
      </x:c>
      <x:c r="F1516" s="19" t="str">
        <x:v>1</x:v>
      </x:c>
    </x:row>
    <x:row r="1517" ht="93" customHeight="1">
      <x:c r="A1517" s="19" t="n">
        <x:v>1514</x:v>
      </x:c>
      <x:c r="B1517" s="22" t="e">
        <x:f>HYPERLINK("https://cdn.shopify.com/s/files/1/0918/6066/4603/files/O1CN01om3fKi1nYJNegqpla__2217958295101-0-cib.jpg?v=1766296911","Open")</x:f>
        <x:v>HYPERLINK is not implemented. linkLocation=https://cdn.shopify.com/s/files/1/0918/6066/4603/files/O1CN01om3fKi1nYJNegqpla__2217958295101-0-cib.jpg?v=1766296911, friendlyName=Open</x:v>
      </x:c>
      <x:c r="C1517" s="24" t="e">
        <x:f>HYPERLINK("https://365nails.com/products/melody-rotary-windmill-pastel-cute-kids-press-on-nails","Melody Rotary Windmill Pastel Cute Kids Press On Nails")</x:f>
        <x:v>HYPERLINK is not implemented. linkLocation=https://365nails.com/products/melody-rotary-windmill-pastel-cute-kids-press-on-nails, friendlyName=Melody Rotary Windmill Pastel Cute Kids Press On Nails</x:v>
      </x:c>
      <x:c r="D1517" s="18" t="str">
        <x:v>Color: Melody Rotary Windmill 024; Color classification: XS (2-3 years old) / S (4-6 years old) / M (7-8 years old) / L (9-12 years old)</x:v>
      </x:c>
      <x:c r="E1517" s="25" t="str">
        <x:v>$2.49</x:v>
      </x:c>
      <x:c r="F1517" s="19" t="str">
        <x:v>1</x:v>
      </x:c>
    </x:row>
    <x:row r="1518" ht="93" customHeight="1">
      <x:c r="A1518" s="19" t="n">
        <x:v>1515</x:v>
      </x:c>
      <x:c r="B1518" s="22" t="e">
        <x:f>HYPERLINK("https://cdn.shopify.com/s/files/1/0918/6066/4603/files/O1CN01hh6WYX1rlpQrI10zD__2215158925672-0-cib.jpg?v=1754449670","Open")</x:f>
        <x:v>HYPERLINK is not implemented. linkLocation=https://cdn.shopify.com/s/files/1/0918/6066/4603/files/O1CN01hh6WYX1rlpQrI10zD__2215158925672-0-cib.jpg?v=1754449670, friendlyName=Open</x:v>
      </x:c>
      <x:c r="C1518" s="24" t="e">
        <x:f>HYPERLINK("https://365nails.com/products/simple-cats-eye-handmade-press-on-nails-summer-fresh-small-short-nail-wearable-nail-sticker-yiwu-nail-art-wholesale-365nails","Fresh Summer Glitter Nails with Playful Silver Heart Charms")</x:f>
        <x:v>HYPERLINK is not implemented. linkLocation=https://365nails.com/products/simple-cats-eye-handmade-press-on-nails-summer-fresh-small-short-nail-wearable-nail-sticker-yiwu-nail-art-wholesale-365nails, friendlyName=Fresh Summer Glitter Nails with Playful Silver Heart Charms</x:v>
      </x:c>
      <x:c r="D1518" s="18" t="str">
        <x:v>shape: short circle; size: XS / S / M / L</x:v>
      </x:c>
      <x:c r="E1518" s="25" t="str">
        <x:v>$1.99</x:v>
      </x:c>
      <x:c r="F1518" s="19" t="str">
        <x:v>30</x:v>
      </x:c>
    </x:row>
    <x:row r="1519" ht="93" customHeight="1">
      <x:c r="A1519" s="19" t="n">
        <x:v>1516</x:v>
      </x:c>
      <x:c r="B1519" s="22" t="e">
        <x:f>HYPERLINK("https://cdn.shopify.com/s/files/1/0918/6066/4603/files/O1CN01w3q0vG1rlpRKeacEG__2215158925672-0-cib.jpg?v=1754449576","Open")</x:f>
        <x:v>HYPERLINK is not implemented. linkLocation=https://cdn.shopify.com/s/files/1/0918/6066/4603/files/O1CN01w3q0vG1rlpRKeacEG__2215158925672-0-cib.jpg?v=1754449576, friendlyName=Open</x:v>
      </x:c>
      <x:c r="C1519" s="24" t="e">
        <x:f>HYPERLINK("https://365nails.com/products/super-long-water-pipe-nail-art-pink-and-blue-two-color-gradual-change-handmade-press-on-nails-long-finished-nail-art-wholesale-365nails","Blue-Pink Gradient Nails with Sparkling Crystal Accents")</x:f>
        <x:v>HYPERLINK is not implemented. linkLocation=https://365nails.com/products/super-long-water-pipe-nail-art-pink-and-blue-two-color-gradual-change-handmade-press-on-nails-long-finished-nail-art-wholesale-365nails, friendlyName=Blue-Pink Gradient Nails with Sparkling Crystal Accents</x:v>
      </x:c>
      <x:c r="D1519" s="18" t="str">
        <x:v>shape: long water pipe; size: S / M / L</x:v>
      </x:c>
      <x:c r="E1519" s="25" t="str">
        <x:v>$4.99</x:v>
      </x:c>
      <x:c r="F1519" s="19" t="str">
        <x:v>30</x:v>
      </x:c>
    </x:row>
    <x:row r="1520" ht="93" customHeight="1">
      <x:c r="A1520" s="19" t="n">
        <x:v>1517</x:v>
      </x:c>
      <x:c r="B1520" s="22" t="e">
        <x:f>HYPERLINK("https://cdn.shopify.com/s/files/1/0918/6066/4603/files/O1CN01H4sHcA1nYJMx9ApO1__2217958295101-0-cib_b0f373d2-db10-45a8-aacf-a12249ce9bfd.jpg?v=1766297834","Open")</x:f>
        <x:v>HYPERLINK is not implemented. linkLocation=https://cdn.shopify.com/s/files/1/0918/6066/4603/files/O1CN01H4sHcA1nYJMx9ApO1__2217958295101-0-cib_b0f373d2-db10-45a8-aacf-a12249ce9bfd.jpg?v=1766297834, friendlyName=Open</x:v>
      </x:c>
      <x:c r="C1520" s="24" t="e">
        <x:f>HYPERLINK("https://365nails.com/products/aurora-butterfly-pastel-cute-kids-press-on-nails-set","Aurora Butterfly Pastel Cute Kids Press On Nails Set")</x:f>
        <x:v>HYPERLINK is not implemented. linkLocation=https://365nails.com/products/aurora-butterfly-pastel-cute-kids-press-on-nails-set, friendlyName=Aurora Butterfly Pastel Cute Kids Press On Nails Set</x:v>
      </x:c>
      <x:c r="D1520" s="18" t="str">
        <x:v>Color: Xs is suitable for 80% (2-3 years old) children / S is suitable for 80% (4-6 years old) children / M is suitable for 80% (7-8 years old) children / L Suitable for 80% (9-12 years old) children; Specification type: 020 Aurora Butterfly</x:v>
      </x:c>
      <x:c r="E1520" s="25" t="str">
        <x:v>$2.49</x:v>
      </x:c>
      <x:c r="F1520" s="19" t="str">
        <x:v>1</x:v>
      </x:c>
    </x:row>
    <x:row r="1521" ht="93" customHeight="1">
      <x:c r="A1521" s="19" t="n">
        <x:v>1518</x:v>
      </x:c>
      <x:c r="B1521" s="22" t="e">
        <x:f>HYPERLINK("https://cdn.shopify.com/s/files/1/0918/6066/4603/files/O1CN01K3FGLG1nYJPhyV0c3__2217958295101-0-cib.jpg?v=1766297309","Open")</x:f>
        <x:v>HYPERLINK is not implemented. linkLocation=https://cdn.shopify.com/s/files/1/0918/6066/4603/files/O1CN01K3FGLG1nYJPhyV0c3__2217958295101-0-cib.jpg?v=1766297309, friendlyName=Open</x:v>
      </x:c>
      <x:c r="C1521" s="24" t="e">
        <x:f>HYPERLINK("https://365nails.com/products/melody-pink-cute-kids-press-on-nails-with-bow-glitter","Melody Pink Cute Kids Press On Nails with Bow Glitter")</x:f>
        <x:v>HYPERLINK is not implemented. linkLocation=https://365nails.com/products/melody-pink-cute-kids-press-on-nails-with-bow-glitter, friendlyName=Melody Pink Cute Kids Press On Nails with Bow Glitter</x:v>
      </x:c>
      <x:c r="D1521" s="18" t="str">
        <x:v>Color: 063 Melody; Color classification: XS is suitable for 80% (2-3 years old) / S Suitable for 80% (4-5 years old) / M is suitable for 80% (6-7 years old) / L Suitable for 80% (8-12 years old)</x:v>
      </x:c>
      <x:c r="E1521" s="25" t="str">
        <x:v>$2.49</x:v>
      </x:c>
      <x:c r="F1521" s="19" t="str">
        <x:v>1</x:v>
      </x:c>
    </x:row>
    <x:row r="1522" ht="93" customHeight="1">
      <x:c r="A1522" s="19" t="n">
        <x:v>1519</x:v>
      </x:c>
      <x:c r="B1522" s="22" t="e">
        <x:f>HYPERLINK("https://cdn.shopify.com/s/files/1/0918/6066/4603/files/O1CN01aC7QVC1nYJNufSV8J__2217958295101-0-cib_bfe47dac-73ec-4acf-874e-7448c833c001.jpg?v=1766300986","Open")</x:f>
        <x:v>HYPERLINK is not implemented. linkLocation=https://cdn.shopify.com/s/files/1/0918/6066/4603/files/O1CN01aC7QVC1nYJNufSV8J__2217958295101-0-cib_bfe47dac-73ec-4acf-874e-7448c833c001.jpg?v=1766300986, friendlyName=Open</x:v>
      </x:c>
      <x:c r="C1522" s="24" t="e">
        <x:f>HYPERLINK("https://365nails.com/products/rotary-kulomie-black-pink-cute-kids-press-on-nails","Rotary Kulomie Black Pink Cute Kids Press On Nails")</x:f>
        <x:v>HYPERLINK is not implemented. linkLocation=https://365nails.com/products/rotary-kulomie-black-pink-cute-kids-press-on-nails, friendlyName=Rotary Kulomie Black Pink Cute Kids Press On Nails</x:v>
      </x:c>
      <x:c r="D1522" s="18" t="str">
        <x:v>Color: 038 Rotary Kulomie; Color classification: Extra small XS (2-3 years old) / Small S (4-6 years old) / Medium M (7-8 years old) / Large L (9-12 years old)</x:v>
      </x:c>
      <x:c r="E1522" s="25" t="str">
        <x:v>$2.49</x:v>
      </x:c>
      <x:c r="F1522" s="19" t="str">
        <x:v>1</x:v>
      </x:c>
    </x:row>
    <x:row r="1523" ht="93" customHeight="1">
      <x:c r="A1523" s="19" t="n">
        <x:v>1520</x:v>
      </x:c>
      <x:c r="B1523" s="22" t="e">
        <x:f>HYPERLINK("https://cdn.shopify.com/s/files/1/0918/6066/4603/files/O1CN019KtG1j1nYJKgPHUsl__2217958295101-0-cib.jpg?v=1766297124","Open")</x:f>
        <x:v>HYPERLINK is not implemented. linkLocation=https://cdn.shopify.com/s/files/1/0918/6066/4603/files/O1CN019KtG1j1nYJKgPHUsl__2217958295101-0-cib.jpg?v=1766297124, friendlyName=Open</x:v>
      </x:c>
      <x:c r="C1523" s="24" t="e">
        <x:f>HYPERLINK("https://365nails.com/products/luminous-rabbit-pastel-cute-kids-press-on-nails-set","Luminous Rabbit Pastel Cute Kids Press On Nails Set")</x:f>
        <x:v>HYPERLINK is not implemented. linkLocation=https://365nails.com/products/luminous-rabbit-pastel-cute-kids-press-on-nails-set, friendlyName=Luminous Rabbit Pastel Cute Kids Press On Nails Set</x:v>
      </x:c>
      <x:c r="D1523" s="18" t="str">
        <x:v>Color: Luminous rabbit 053; Color classification: XS Super Small (2-3 years old) / S small (4-6 years old) / M medium (7-8 years old) / L large (9-12 years old)</x:v>
      </x:c>
      <x:c r="E1523" s="25" t="str">
        <x:v>$1.99</x:v>
      </x:c>
      <x:c r="F1523" s="19" t="str">
        <x:v>1</x:v>
      </x:c>
    </x:row>
    <x:row r="1524" ht="93" customHeight="1">
      <x:c r="A1524" s="19" t="n">
        <x:v>1521</x:v>
      </x:c>
      <x:c r="B1524" s="22" t="e">
        <x:f>HYPERLINK("https://cdn.shopify.com/s/files/1/0918/6066/4603/files/O1CN01OlwE3m1nYJNdQ5BNP__2217958295101-0-cib.jpg?v=1766296392","Open")</x:f>
        <x:v>HYPERLINK is not implemented. linkLocation=https://cdn.shopify.com/s/files/1/0918/6066/4603/files/O1CN01OlwE3m1nYJNdQ5BNP__2217958295101-0-cib.jpg?v=1766296392, friendlyName=Open</x:v>
      </x:c>
      <x:c r="C1524" s="24" t="e">
        <x:f>HYPERLINK("https://365nails.com/products/kuromi-pink-crystal-cute-kids-press-on-nails-set","Kuromi Pink Crystal Cute Kids Press On Nails Set")</x:f>
        <x:v>HYPERLINK is not implemented. linkLocation=https://365nails.com/products/kuromi-pink-crystal-cute-kids-press-on-nails-set, friendlyName=Kuromi Pink Crystal Cute Kids Press On Nails Set</x:v>
      </x:c>
      <x:c r="D1524" s="18" t="str">
        <x:v>Color: XS size [2-3 years old] / S size [4~ 6 years old] / M size [7~ 8 years old] / Size [9~ 12 years old]; Color classification: 069 Light Purple Kulomie</x:v>
      </x:c>
      <x:c r="E1524" s="25" t="str">
        <x:v>$2.49</x:v>
      </x:c>
      <x:c r="F1524" s="19" t="str">
        <x:v>1</x:v>
      </x:c>
    </x:row>
    <x:row r="1525" ht="93" customHeight="1">
      <x:c r="A1525" s="19" t="n">
        <x:v>1522</x:v>
      </x:c>
      <x:c r="B1525" s="22" t="e">
        <x:f>HYPERLINK("https://cdn.shopify.com/s/files/1/0918/6066/4603/files/O1CN01ytLXjF2NGHyX2QaPd__4234819935-0-cib.jpg?v=1753433538","Open")</x:f>
        <x:v>HYPERLINK is not implemented. linkLocation=https://cdn.shopify.com/s/files/1/0918/6066/4603/files/O1CN01ytLXjF2NGHyX2QaPd__4234819935-0-cib.jpg?v=1753433538, friendlyName=Open</x:v>
      </x:c>
      <x:c r="C1525" s="24" t="e">
        <x:f>HYPERLINK("https://365nails.com/products/short-almond-nail-piece-manicure-french-pink-wearing-nail-fake-nail-3d-flower-foreign-trade-cross-border-nail-piece-365nails","Short almond  manicure French pink   3D flower   ｜365nails")</x:f>
        <x:v>HYPERLINK is not implemented. linkLocation=https://365nails.com/products/short-almond-nail-piece-manicure-french-pink-wearing-nail-fake-nail-3d-flower-foreign-trade-cross-border-nail-piece-365nails, friendlyName=Short almond  manicure French pink   3D flower   ｜365nails</x:v>
      </x:c>
      <x:c r="D1525" s="18" t="str">
        <x:v>color: JP3861</x:v>
      </x:c>
      <x:c r="E1525" s="25" t="str">
        <x:v>$0.76</x:v>
      </x:c>
      <x:c r="F1525" s="19" t="str">
        <x:v>1</x:v>
      </x:c>
    </x:row>
    <x:row r="1526" ht="93" customHeight="1">
      <x:c r="A1526" s="19" t="n">
        <x:v>1523</x:v>
      </x:c>
      <x:c r="B1526" s="22" t="e">
        <x:f>HYPERLINK("https://cdn.shopify.com/s/files/1/0918/6066/4603/files/O1CN01C1L08U2NGHi8eGlfe__4234819935-0-cib.jpg?v=1753431981","Open")</x:f>
        <x:v>HYPERLINK is not implemented. linkLocation=https://cdn.shopify.com/s/files/1/0918/6066/4603/files/O1CN01C1L08U2NGHi8eGlfe__4234819935-0-cib.jpg?v=1753431981, friendlyName=Open</x:v>
      </x:c>
      <x:c r="C1526" s="24" t="e">
        <x:f>HYPERLINK("https://365nails.com/products/wear-nail-short-glitter-french-phnom-penh-wear-nail-wholesale-finished-nail-piece-wholesale-nail-art-finished-nails-365nails","Wear nail short glitter French Phnom Penh Wear nail wholesale Finished nail piece wholesale Nail art Finished nails｜365nails")</x:f>
        <x:v>HYPERLINK is not implemented. linkLocation=https://365nails.com/products/wear-nail-short-glitter-french-phnom-penh-wear-nail-wholesale-finished-nail-piece-wholesale-nail-art-finished-nails-365nails, friendlyName=Wear nail short glitter French Phnom Penh Wear nail wholesale Finished nail piece wholesale Nail art Finished nails｜365nails</x:v>
      </x:c>
      <x:c r="D1526" s="18" t="str">
        <x:v>color: JP2124</x:v>
      </x:c>
      <x:c r="E1526" s="25" t="str">
        <x:v>$1.54</x:v>
      </x:c>
      <x:c r="F1526" s="19" t="str">
        <x:v>1</x:v>
      </x:c>
    </x:row>
    <x:row r="1527" ht="93" customHeight="1">
      <x:c r="A1527" s="19" t="n">
        <x:v>1524</x:v>
      </x:c>
      <x:c r="B1527" s="22" t="e">
        <x:f>HYPERLINK("https://cdn.shopify.com/s/files/1/0918/6066/4603/files/O1CN01pmJv4G247bioQ9ZtJ_2209064737344-0-cib-f.jpg?v=1755269616","Open")</x:f>
        <x:v>HYPERLINK is not implemented. linkLocation=https://cdn.shopify.com/s/files/1/0918/6066/4603/files/O1CN01pmJv4G247bioQ9ZtJ_2209064737344-0-cib-f.jpg?v=1755269616, friendlyName=Open</x:v>
      </x:c>
      <x:c r="C1527" s="24" t="e">
        <x:f>HYPERLINK("https://365nails.com/products/nail-tips-europe-and-the-united-states-french-press-on-nails-simple-long-ladder-manicure-removable-fake-nails-120-pieces-prefabricated-nail-wholesale","Nail tips French press on nails, simple long ladder manicure removable fake nails 120 pieces (MOQ=3)")</x:f>
        <x:v>HYPERLINK is not implemented. linkLocation=https://365nails.com/products/nail-tips-europe-and-the-united-states-french-press-on-nails-simple-long-ladder-manicure-removable-fake-nails-120-pieces-prefabricated-nail-wholesale, friendlyName=Nail tips French press on nails, simple long ladder manicure removable fake nails 120 pieces (MOQ=3)</x:v>
      </x:c>
      <x:c r="D1527" s="18" t="str">
        <x:v>Color: Pink and white box 502-61D-014 * 30 pieces / Pink and white box 502-359 * 30 pieces / Pink and white box 502-390-2 * 30 pieces / Pink and white box 502-442 * 30 pieces / Pink and white box 502-3391-1 * 30 pieces / Pink and white box 502-C2 * 30 pieces / Purple bag 502-61D-014 * 120 pieces / Purple bag 502-359 * 120 pieces / Purple bag 502-390-2 * 120 pieces / Purple bag 502-442 * 120 pieces / Purple bag 502-3391-1 * 120 pieces / Purple bag 502-C2 * 120 pieces / Pink and white box 503-359 * 30 pieces / Pink and white box 503-442 * 30 pieces / Pink and white box 503-C2 * 30 pieces / Purple bag 503-359 * 120 pieces / Purple bag 503-442 * 120 pieces / Purple bag 503-C2 * 120 pieces / Purple bag 503-3387-1 * 120 pieces / Purple bag 503-3391-1 * 120 pieces / Pink and white box 503-3387-1 * 30 pieces / Powder 100 boxes 503-3391-1 * 30 pieces; quantity: 3pcs</x:v>
      </x:c>
      <x:c r="E1527" s="25" t="str">
        <x:v>$5.00–$9.00</x:v>
      </x:c>
      <x:c r="F1527" s="19" t="str">
        <x:v>1</x:v>
      </x:c>
    </x:row>
    <x:row r="1528" ht="93" customHeight="1">
      <x:c r="A1528" s="19" t="n">
        <x:v>1525</x:v>
      </x:c>
      <x:c r="B1528" s="22" t="e">
        <x:f>HYPERLINK("https://cdn.shopify.com/s/files/1/0918/6066/4603/files/O1CN01csfANF1nYJPAIIUt0__2217958295101-0-cib.jpg?v=1766304068","Open")</x:f>
        <x:v>HYPERLINK is not implemented. linkLocation=https://cdn.shopify.com/s/files/1/0918/6066/4603/files/O1CN01csfANF1nYJPAIIUt0__2217958295101-0-cib.jpg?v=1766304068, friendlyName=Open</x:v>
      </x:c>
      <x:c r="C1528" s="24" t="e">
        <x:f>HYPERLINK("https://365nails.com/products/cute-cartoon-kids-press-on-nails-multi-style-collection","Cute Cartoon Kids Press On Nails Multi Style Collection")</x:f>
        <x:v>HYPERLINK is not implemented. linkLocation=https://365nails.com/products/cute-cartoon-kids-press-on-nails-multi-style-collection, friendlyName=Cute Cartoon Kids Press On Nails Multi Style Collection</x:v>
      </x:c>
      <x:c r="D1528" s="18" t="str">
        <x:v>Color: 035 balloon cat eye / 057 strawberry cat eye / 058 ocean cat eye / 059 flash K9 love diamond; Color classification: XS is suitable for 80% (2-3 years old) / S is suitable for 80% (3-4 years old) / M is suitable for 80% (4-7 years old) / L Suitable for 80% (7-10 years old)</x:v>
      </x:c>
      <x:c r="E1528" s="25" t="str">
        <x:v>$2.49</x:v>
      </x:c>
      <x:c r="F1528" s="19" t="str">
        <x:v>1</x:v>
      </x:c>
    </x:row>
    <x:row r="1529" ht="93" customHeight="1">
      <x:c r="A1529" s="19" t="n">
        <x:v>1526</x:v>
      </x:c>
      <x:c r="B1529" s="22" t="e">
        <x:f>HYPERLINK("https://cdn.shopify.com/s/files/1/0918/6066/4603/files/O1CN01ppJ8R01nYJNf0e3Ab__2217958295101-0-cib_1384b432-162d-426e-8f29-c58a85d8d44c.jpg?v=1766303995","Open")</x:f>
        <x:v>HYPERLINK is not implemented. linkLocation=https://cdn.shopify.com/s/files/1/0918/6066/4603/files/O1CN01ppJ8R01nYJNf0e3Ab__2217958295101-0-cib_1384b432-162d-426e-8f29-c58a85d8d44c.jpg?v=1766303995, friendlyName=Open</x:v>
      </x:c>
      <x:c r="C1529" s="24" t="e">
        <x:f>HYPERLINK("https://365nails.com/products/stella-lou-pastel-cute-kids-press-on-nails-with-hearts","Stella Lou Pastel Cute Kids Press On Nails with Hearts")</x:f>
        <x:v>HYPERLINK is not implemented. linkLocation=https://365nails.com/products/stella-lou-pastel-cute-kids-press-on-nails-with-hearts, friendlyName=Stella Lou Pastel Cute Kids Press On Nails with Hearts</x:v>
      </x:c>
      <x:c r="D1529" s="18" t="str">
        <x:v>Color: Xingdailu 003; Color classification: XS (2-3 years old) / S (4-6 years old) / M (7-8 years old) / L (9-12 years old)</x:v>
      </x:c>
      <x:c r="E1529" s="25" t="str">
        <x:v>$1.99</x:v>
      </x:c>
      <x:c r="F1529" s="19" t="str">
        <x:v>1</x:v>
      </x:c>
    </x:row>
    <x:row r="1530" ht="93" customHeight="1">
      <x:c r="A1530" s="19" t="n">
        <x:v>1527</x:v>
      </x:c>
      <x:c r="B1530" s="22" t="e">
        <x:f>HYPERLINK("https://cdn.shopify.com/s/files/1/0918/6066/4603/files/O1CN01ivpmkf1rlpRDM2sIL__2215158925672-0-cib.jpg?v=1754449692","Open")</x:f>
        <x:v>HYPERLINK is not implemented. linkLocation=https://cdn.shopify.com/s/files/1/0918/6066/4603/files/O1CN01ivpmkf1rlpRDM2sIL__2215158925672-0-cib.jpg?v=1754449692, friendlyName=Open</x:v>
      </x:c>
      <x:c r="C1530" s="24" t="e">
        <x:f>HYPERLINK("https://365nails.com/products/bursting-aurora-handmade-press-on-nails-unicorn-color-sweet-cool-hand-painted-almond-nail-patch-wearable-nail-patch-365nails","Unicorn Aurora Nails with Shimmering Sweet-Cool Glow")</x:f>
        <x:v>HYPERLINK is not implemented. linkLocation=https://365nails.com/products/bursting-aurora-handmade-press-on-nails-unicorn-color-sweet-cool-hand-painted-almond-nail-patch-wearable-nail-patch-365nails, friendlyName=Unicorn Aurora Nails with Shimmering Sweet-Cool Glow</x:v>
      </x:c>
      <x:c r="D1530" s="18" t="str">
        <x:v>shape: medium almond; size: XS / S / M / L</x:v>
      </x:c>
      <x:c r="E1530" s="25" t="str">
        <x:v>$3.49</x:v>
      </x:c>
      <x:c r="F1530" s="19" t="str">
        <x:v>30</x:v>
      </x:c>
    </x:row>
    <x:row r="1531" ht="93" customHeight="1">
      <x:c r="A1531" s="19" t="n">
        <x:v>1528</x:v>
      </x:c>
      <x:c r="B1531" s="22" t="e">
        <x:f>HYPERLINK("https://cdn.shopify.com/s/files/1/0918/6066/4603/files/O1CN01VFWJUF1nYJNftPRvZ__2217958295101-0-cib.jpg?v=1766297975","Open")</x:f>
        <x:v>HYPERLINK is not implemented. linkLocation=https://cdn.shopify.com/s/files/1/0918/6066/4603/files/O1CN01VFWJUF1nYJNftPRvZ__2217958295101-0-cib.jpg?v=1766297975, friendlyName=Open</x:v>
      </x:c>
      <x:c r="C1531" s="24" t="e">
        <x:f>HYPERLINK("https://365nails.com/products/kapibara-dessert-cute-kids-press-on-nails-set","Kapibara Dessert Cute Kids Press On Nails Set")</x:f>
        <x:v>HYPERLINK is not implemented. linkLocation=https://365nails.com/products/kapibara-dessert-cute-kids-press-on-nails-set, friendlyName=Kapibara Dessert Cute Kids Press On Nails Set</x:v>
      </x:c>
      <x:c r="D1531" s="18" t="str">
        <x:v>Color: 026 Kapibara; Color classification: Extra small XS (2-3 years old) / Small S (4-6 years old) / Medium M (7-8 years old) / Large L (9-12 years old)</x:v>
      </x:c>
      <x:c r="E1531" s="25" t="str">
        <x:v>$2.49</x:v>
      </x:c>
      <x:c r="F1531" s="19" t="str">
        <x:v>1</x:v>
      </x:c>
    </x:row>
    <x:row r="1532" ht="93" customHeight="1">
      <x:c r="A1532" s="19" t="n">
        <x:v>1529</x:v>
      </x:c>
      <x:c r="B1532" s="22" t="e">
        <x:f>HYPERLINK("https://cdn.shopify.com/s/files/1/0918/6066/4603/files/adf6e422031e131a724d5f912fc633b5.png?v=1755268855","Open")</x:f>
        <x:v>HYPERLINK is not implemented. linkLocation=https://cdn.shopify.com/s/files/1/0918/6066/4603/files/adf6e422031e131a724d5f912fc633b5.png?v=1755268855, friendlyName=Open</x:v>
      </x:c>
      <x:c r="C1532" s="24" t="e">
        <x:f>HYPERLINK("https://365nails.com/products/nail-tips-press-on-nails-24-palace-grid-solid-color-versatile-water-drop-nail-box-detachable-patch-fake-nail-prefabricated-nail-art-piece","Solid Color Press On Nail Art Set (MOQ=3)")</x:f>
        <x:v>HYPERLINK is not implemented. linkLocation=https://365nails.com/products/nail-tips-press-on-nails-24-palace-grid-solid-color-versatile-water-drop-nail-box-detachable-patch-fake-nail-prefabricated-nail-art-piece, friendlyName=Solid Color Press On Nail Art Set (MOQ=3)</x:v>
      </x:c>
      <x:c r="D1532" s="18" t="str">
        <x:v>Color: 24 palace grid wearing armor; Quantity: 3pcs</x:v>
      </x:c>
      <x:c r="E1532" s="25" t="str">
        <x:v>$6.51</x:v>
      </x:c>
      <x:c r="F1532" s="19" t="str">
        <x:v>1</x:v>
      </x:c>
    </x:row>
    <x:row r="1533" ht="93" customHeight="1">
      <x:c r="A1533" s="19" t="n">
        <x:v>1530</x:v>
      </x:c>
      <x:c r="B1533" s="22" t="e">
        <x:f>HYPERLINK("https://cdn.shopify.com/s/files/1/0918/6066/4603/files/O1CN01nwoF1T1rlpSRQy7bC__2215158925672-0-cib.jpg?v=1754450035","Open")</x:f>
        <x:v>HYPERLINK is not implemented. linkLocation=https://cdn.shopify.com/s/files/1/0918/6066/4603/files/O1CN01nwoF1T1rlpSRQy7bC__2215158925672-0-cib.jpg?v=1754450035, friendlyName=Open</x:v>
      </x:c>
      <x:c r="C1533" s="24" t="e">
        <x:f>HYPERLINK("https://365nails.com/products/handmade-press-on-nails-fluorescent-contrasting-color-hand-painted-relief-magic-mirror-powder-short-nail-art-finished-patch-fake-nails-365nails","Neon Color-Block Nails with Sculpted Chrome Accents")</x:f>
        <x:v>HYPERLINK is not implemented. linkLocation=https://365nails.com/products/handmade-press-on-nails-fluorescent-contrasting-color-hand-painted-relief-magic-mirror-powder-short-nail-art-finished-patch-fake-nails-365nails, friendlyName=Neon Color-Block Nails with Sculpted Chrome Accents</x:v>
      </x:c>
      <x:c r="D1533" s="18" t="str">
        <x:v>shape: Short almonds; size: S / M / L</x:v>
      </x:c>
      <x:c r="E1533" s="25" t="str">
        <x:v>$2.99</x:v>
      </x:c>
      <x:c r="F1533" s="19" t="str">
        <x:v>30</x:v>
      </x:c>
    </x:row>
    <x:row r="1534" ht="93" customHeight="1">
      <x:c r="A1534" s="19" t="n">
        <x:v>1531</x:v>
      </x:c>
      <x:c r="B1534" s="22" t="e">
        <x:f>HYPERLINK("https://cdn.shopify.com/s/files/1/0918/6066/4603/files/O1CN01QUfOSq1rlpNVnBQc4__2215158925672-0-cib.jpg?v=1754449783","Open")</x:f>
        <x:v>HYPERLINK is not implemented. linkLocation=https://cdn.shopify.com/s/files/1/0918/6066/4603/files/O1CN01QUfOSq1rlpNVnBQc4__2215158925672-0-cib.jpg?v=1754449783, friendlyName=Open</x:v>
      </x:c>
      <x:c r="C1534" s="24" t="e">
        <x:f>HYPERLINK("https://365nails.com/products/handmade-press-on-nails-spray-gun-hand-painted-xingmania-spice-girl-long-nail-patch-wearable-nail-sticker-yiwu-nail-art-365nails","Airbrushed Pink Nails with Hand-Painted Starburst Accents")</x:f>
        <x:v>HYPERLINK is not implemented. linkLocation=https://365nails.com/products/handmade-press-on-nails-spray-gun-hand-painted-xingmania-spice-girl-long-nail-patch-wearable-nail-sticker-yiwu-nail-art-365nails, friendlyName=Airbrushed Pink Nails with Hand-Painted Starburst Accents</x:v>
      </x:c>
      <x:c r="D1534" s="18" t="str">
        <x:v>shape: long tip; size: XS / S / M / L</x:v>
      </x:c>
      <x:c r="E1534" s="25" t="str">
        <x:v>$2.99</x:v>
      </x:c>
      <x:c r="F1534" s="19" t="str">
        <x:v>30</x:v>
      </x:c>
    </x:row>
    <x:row r="1535" ht="93" customHeight="1">
      <x:c r="A1535" s="19" t="n">
        <x:v>1532</x:v>
      </x:c>
      <x:c r="B1535" s="22" t="e">
        <x:f>HYPERLINK("https://cdn.shopify.com/s/files/1/0918/6066/4603/files/O1CN01fx3TaV1rlpRVGtMDm__2215158925672-0-cib.jpg?v=1754449717","Open")</x:f>
        <x:v>HYPERLINK is not implemented. linkLocation=https://cdn.shopify.com/s/files/1/0918/6066/4603/files/O1CN01fx3TaV1rlpRVGtMDm__2215158925672-0-cib.jpg?v=1754449717, friendlyName=Open</x:v>
      </x:c>
      <x:c r="C1535" s="24" t="e">
        <x:f>HYPERLINK("https://365nails.com/products/european-american-medium-and-long-square-nail-art-patch-colorful-color-changing-aurora-nail-sweet-cool-handmade-press-on-nails-wearable-nail-sticker-365nails","Color-Shift Aurora Nails with Glittering Star Accents")</x:f>
        <x:v>HYPERLINK is not implemented. linkLocation=https://365nails.com/products/european-american-medium-and-long-square-nail-art-patch-colorful-color-changing-aurora-nail-sweet-cool-handmade-press-on-nails-wearable-nail-sticker-365nails, friendlyName=Color-Shift Aurora Nails with Glittering Star Accents</x:v>
      </x:c>
      <x:c r="D1535" s="18" t="str">
        <x:v>shape: medium and long square; size: S / M / L</x:v>
      </x:c>
      <x:c r="E1535" s="25" t="str">
        <x:v>$3.49</x:v>
      </x:c>
      <x:c r="F1535" s="19" t="str">
        <x:v>30</x:v>
      </x:c>
    </x:row>
    <x:row r="1536" ht="93" customHeight="1">
      <x:c r="A1536" s="19" t="n">
        <x:v>1533</x:v>
      </x:c>
      <x:c r="B1536" s="22" t="e">
        <x:f>HYPERLINK("https://cdn.shopify.com/s/files/1/0918/6066/4603/files/O1CN01wKwKFR2NGHpnU6jzq__4234819935-0-cib.jpg?v=1753433550","Open")</x:f>
        <x:v>HYPERLINK is not implemented. linkLocation=https://cdn.shopify.com/s/files/1/0918/6066/4603/files/O1CN01wKwKFR2NGHpnU6jzq__4234819935-0-cib.jpg?v=1753433550, friendlyName=Open</x:v>
      </x:c>
      <x:c r="C1536" s="24" t="e">
        <x:f>HYPERLINK("https://365nails.com/products/cross-border-hot-selling-wearing-nail-pads-finished-products-wholesale-cool-color-3d-water-drop-shell-manicure-almond-fake-nails-365nails","hot-selling  pads finished products wholesale cool color 3D water drop shell manicure almond ｜365nails")</x:f>
        <x:v>HYPERLINK is not implemented. linkLocation=https://365nails.com/products/cross-border-hot-selling-wearing-nail-pads-finished-products-wholesale-cool-color-3d-water-drop-shell-manicure-almond-fake-nails-365nails, friendlyName=hot-selling  pads finished products wholesale cool color 3D water drop shell manicure almond ｜365nails</x:v>
      </x:c>
      <x:c r="D1536" s="18" t="str">
        <x:v>Color: JP2945</x:v>
      </x:c>
      <x:c r="E1536" s="25" t="str">
        <x:v>$1.54</x:v>
      </x:c>
      <x:c r="F1536" s="19" t="str">
        <x:v>1</x:v>
      </x:c>
    </x:row>
    <x:row r="1537" ht="93" customHeight="1">
      <x:c r="A1537" s="19" t="n">
        <x:v>1534</x:v>
      </x:c>
      <x:c r="B1537" s="22" t="e">
        <x:f>HYPERLINK("https://cdn.shopify.com/s/files/1/0918/6066/4603/files/O1CN010BvPDG2NGHuYpL00M__4234819935-0-cib.jpg?v=1753429150","Open")</x:f>
        <x:v>HYPERLINK is not implemented. linkLocation=https://cdn.shopify.com/s/files/1/0918/6066/4603/files/O1CN010BvPDG2NGHuYpL00M__4234819935-0-cib.jpg?v=1753429150, friendlyName=Open</x:v>
      </x:c>
      <x:c r="C1537" s="24" t="e">
        <x:f>HYPERLINK("https://365nails.com/products/simple-new-nail-art-fake-nail-gold-pulp-3d-wearable-nail-film-short-almond-wearable-nail-patch-365nails","Simple new nail art fake nail gold pulp 3D wearable nail film short almond wearable nail patch｜365nails")</x:f>
        <x:v>HYPERLINK is not implemented. linkLocation=https://365nails.com/products/simple-new-nail-art-fake-nail-gold-pulp-3d-wearable-nail-film-short-almond-wearable-nail-patch-365nails, friendlyName=Simple new nail art fake nail gold pulp 3D wearable nail film short almond wearable nail patch｜365nails</x:v>
      </x:c>
      <x:c r="D1537" s="18" t="str">
        <x:v>color: JP3484</x:v>
      </x:c>
      <x:c r="E1537" s="25" t="str">
        <x:v>$1.11</x:v>
      </x:c>
      <x:c r="F1537" s="19" t="str">
        <x:v>1</x:v>
      </x:c>
    </x:row>
    <x:row r="1538" ht="93" customHeight="1">
      <x:c r="A1538" s="19" t="n">
        <x:v>1535</x:v>
      </x:c>
      <x:c r="B1538" s="22" t="e">
        <x:f>HYPERLINK("https://cdn.shopify.com/s/files/1/0918/6066/4603/files/O1CN01qMTxvz1t6GoznZ8zp__2214583935852-0-cib.jpg?v=1767528502","Open")</x:f>
        <x:v>HYPERLINK is not implemented. linkLocation=https://cdn.shopify.com/s/files/1/0918/6066/4603/files/O1CN01qMTxvz1t6GoznZ8zp__2214583935852-0-cib.jpg?v=1767528502, friendlyName=Open</x:v>
      </x:c>
      <x:c r="C1538" s="24" t="e">
        <x:f>HYPERLINK("https://365nails.com/products/cute-mini-cartoon-kids-press-on-nails-variety-box","Cute Mini Cartoon Kids Press On Nails Variety Box")</x:f>
        <x:v>HYPERLINK is not implemented. linkLocation=https://365nails.com/products/cute-mini-cartoon-kids-press-on-nails-variety-box, friendlyName=Cute Mini Cartoon Kids Press On Nails Variety Box</x:v>
      </x:c>
      <x:c r="D1538" s="18" t="str">
        <x:v>Color: XS / S / M / L; Specification type: Rainbow baby nail / BD1908 #Aurora Strawberry Bear / AD2407b #Fantasy Mermaid / AD2404b #Haipai Sweet Star / AD2405b #dopamine / AD2402b #macaron / BD1904b #pudding dog / BD1603b #Color Bubble / BD1902b #melody / BD1903b #Butter Bear / AD2401b #jade cinnamon dog / BD1906b #Powder Kulomie / BD1604b #sequined bear / AD2406b #Frozen / AD2403b #SpongeBob SquarePants / BD1901b #bubble girl / BD1905b #Shining Star / BD1907b #blue sea bottom / BD1602b #gradual change love / 1912B #Mocha Star / 1916B ##small powder love bb / 1901B #smudged bear bb armor / 1903B #naked pink cat eye bb nail / 1905B #love dopamine bb A / 1906B #belle strawberry heart bb nail / 1923B #kulomie bb / 1925B #summer flower bb / 1931B #candy dopamine bb / 1938B #Small powder KTbb / 1945B #candy cat eye bb / 1947B #heart to heart bb / 1955B #kapibala bb / 2405B #spotted strawberry bear bb / 2406B #Huahua Strawberry Bear bb / 2414B #butterfly melody bb / 2422B #small shell bb / 2425B #piggy donut bb / 1946B #colorful cat eye bb / 2432B #Princess Elsa bb / BD1930b Rabub Green / BD1910b Loopy / BD1911b Spotted Loopy / BD1912b Star Kulomie / BD1913b Purple Loopy / BD1914b cherry donut / BD1915b Colorful Dopamine / BD1916b Frog Prince / BD1917b Dream Girl / BD1918b red heart / BD1919b Cherry / BD1920b Love Flower / BD1921b Nezha / BD1922b cat girl / BD1923b pink rabub / BD1924b colorful cat eye / BD1925b Rabub / BD1926b Bear Diary / BD1927b love bow / BD1928b sweetheart / BD1929b Diablo Rabbu / BD1930b Rabub / BD1931b cat paw donut / BD1932b hand-painted graffiti</x:v>
      </x:c>
      <x:c r="E1538" s="25" t="str">
        <x:v>$1.99–$3.49</x:v>
      </x:c>
      <x:c r="F1538" s="19" t="str">
        <x:v>1</x:v>
      </x:c>
    </x:row>
    <x:row r="1539" ht="93" customHeight="1">
      <x:c r="A1539" s="19" t="n">
        <x:v>1536</x:v>
      </x:c>
      <x:c r="B1539" s="22" t="e">
        <x:f>HYPERLINK("https://cdn.shopify.com/s/files/1/0918/6066/4603/files/O1CN01TEJfYg1CPwNFg4V0l__2213196780074-0-cib.jpg?v=1753688413","Open")</x:f>
        <x:v>HYPERLINK is not implemented. linkLocation=https://cdn.shopify.com/s/files/1/0918/6066/4603/files/O1CN01TEJfYg1CPwNFg4V0l__2213196780074-0-cib.jpg?v=1753688413, friendlyName=Open</x:v>
      </x:c>
      <x:c r="C1539" s="24" t="e">
        <x:f>HYPERLINK("https://365nails.com/products/passionate-samba-short-duck-bill-three-dimensional-carving-and-painting-european-and-american-style-flowers-handmade-nails-365nails","3D Hand Painted Nails with Pastel Florals and Star Accents")</x:f>
        <x:v>HYPERLINK is not implemented. linkLocation=https://365nails.com/products/passionate-samba-short-duck-bill-three-dimensional-carving-and-painting-european-and-american-style-flowers-handmade-nails-365nails, friendlyName=3D Hand Painted Nails with Pastel Florals and Star Accents</x:v>
      </x:c>
      <x:c r="D1539" s="18" t="str">
        <x:v>shape: 2839 - Short Duckbill; size: XS / S / M / L</x:v>
      </x:c>
      <x:c r="E1539" s="25" t="str">
        <x:v>$2.99</x:v>
      </x:c>
      <x:c r="F1539" s="19" t="str">
        <x:v>1</x:v>
      </x:c>
    </x:row>
    <x:row r="1540" ht="93" customHeight="1">
      <x:c r="A1540" s="19" t="n">
        <x:v>1537</x:v>
      </x:c>
      <x:c r="B1540" s="22" t="e">
        <x:f>HYPERLINK("https://cdn.shopify.com/s/files/1/0918/6066/4603/files/96406041e77c6370918eee9588eadc2a.png?v=1755269578","Open")</x:f>
        <x:v>HYPERLINK is not implemented. linkLocation=https://cdn.shopify.com/s/files/1/0918/6066/4603/files/96406041e77c6370918eee9588eadc2a.png?v=1755269578, friendlyName=Open</x:v>
      </x:c>
      <x:c r="C1540" s="24" t="e">
        <x:f>HYPERLINK("https://365nails.com/products/nail-tips-new-press-on-nails-french-love-long-square-fake-nail-120-pieces-detachable-finished-product-patch-manicure","Nail Tips new press on nails French love long square fake nail 120 pieces （MOQ=3）")</x:f>
        <x:v>HYPERLINK is not implemented. linkLocation=https://365nails.com/products/nail-tips-new-press-on-nails-french-love-long-square-fake-nail-120-pieces-detachable-finished-product-patch-manicure, friendlyName=Nail Tips new press on nails French love long square fake nail 120 pieces （MOQ=3）</x:v>
      </x:c>
      <x:c r="D1540" s="18" t="str">
        <x:v>Color: YS-411-3387-1 Love * 120 pieces bag / YS-411-3391-1 Love * 120 pieces bag; quantity: 3pcs</x:v>
      </x:c>
      <x:c r="E1540" s="25" t="str">
        <x:v>$9.00</x:v>
      </x:c>
      <x:c r="F1540" s="19" t="str">
        <x:v>1</x:v>
      </x:c>
    </x:row>
    <x:row r="1541" ht="93" customHeight="1">
      <x:c r="A1541" s="19" t="n">
        <x:v>1538</x:v>
      </x:c>
      <x:c r="B1541" s="22" t="e">
        <x:f>HYPERLINK("https://cdn.shopify.com/s/files/1/0918/6066/4603/files/O1CN01Zk1H0o1rlpQnbNpTp__2215158925672-0-cib.jpg?v=1754450249","Open")</x:f>
        <x:v>HYPERLINK is not implemented. linkLocation=https://cdn.shopify.com/s/files/1/0918/6066/4603/files/O1CN01Zk1H0o1rlpQnbNpTp__2215158925672-0-cib.jpg?v=1754450249, friendlyName=Open</x:v>
      </x:c>
      <x:c r="C1541" s="24" t="e">
        <x:f>HYPERLINK("https://365nails.com/products/sweet-airbrush-blush-handmade-press-on-nails-cute-short-nail-patch-fake-nail-wholesale-wearable-nail-sticker-365nails","Sweet Airbrushed Blush Nails with Glossy Bubble Accents")</x:f>
        <x:v>HYPERLINK is not implemented. linkLocation=https://365nails.com/products/sweet-airbrush-blush-handmade-press-on-nails-cute-short-nail-patch-fake-nail-wholesale-wearable-nail-sticker-365nails, friendlyName=Sweet Airbrushed Blush Nails with Glossy Bubble Accents</x:v>
      </x:c>
      <x:c r="D1541" s="18" t="str">
        <x:v>shape: medium square; size: XS / S / M</x:v>
      </x:c>
      <x:c r="E1541" s="25" t="str">
        <x:v>$2.49</x:v>
      </x:c>
      <x:c r="F1541" s="19" t="str">
        <x:v>30</x:v>
      </x:c>
    </x:row>
    <x:row r="1542" ht="93" customHeight="1">
      <x:c r="A1542" s="19" t="n">
        <x:v>1539</x:v>
      </x:c>
      <x:c r="B1542" s="22" t="e">
        <x:f>HYPERLINK("https://cdn.shopify.com/s/files/1/0918/6066/4603/files/O1CN01iXlZ762NGHk6xTKGm__4234819935-0-cib_ea71664e-79ea-4d8a-ae6b-0f1c7bc907b9.jpg?v=1753429215","Open")</x:f>
        <x:v>HYPERLINK is not implemented. linkLocation=https://cdn.shopify.com/s/files/1/0918/6066/4603/files/O1CN01iXlZ762NGHk6xTKGm__4234819935-0-cib_ea71664e-79ea-4d8a-ae6b-0f1c7bc907b9.jpg?v=1753429215, friendlyName=Open</x:v>
      </x:c>
      <x:c r="C1542" s="24" t="e">
        <x:f>HYPERLINK("https://365nails.com/products/wearing-nail-matte-pink-french-water-drop-snake-pattern-rhinestone-nail-patch-wearing-nail-art-finished-product-wholesale-365nails","matte pink French water drop snake pattern rhinestone nail patch  art finished product wholesale｜365nails")</x:f>
        <x:v>HYPERLINK is not implemented. linkLocation=https://365nails.com/products/wearing-nail-matte-pink-french-water-drop-snake-pattern-rhinestone-nail-patch-wearing-nail-art-finished-product-wholesale-365nails, friendlyName=matte pink French water drop snake pattern rhinestone nail patch  art finished product wholesale｜365nails</x:v>
      </x:c>
      <x:c r="D1542" s="18" t="str">
        <x:v>color: JP2282</x:v>
      </x:c>
      <x:c r="E1542" s="25" t="str">
        <x:v>$1.47</x:v>
      </x:c>
      <x:c r="F1542" s="19" t="str">
        <x:v>1</x:v>
      </x:c>
    </x:row>
    <x:row r="1543" ht="93" customHeight="1">
      <x:c r="A1543" s="19" t="n">
        <x:v>1540</x:v>
      </x:c>
      <x:c r="B1543" s="22" t="e">
        <x:f>HYPERLINK("https://cdn.shopify.com/s/files/1/0918/6066/4603/files/O1CN01tftwau2NGHr2pbfRy__4234819935-0-cib.jpg?v=1753429183","Open")</x:f>
        <x:v>HYPERLINK is not implemented. linkLocation=https://cdn.shopify.com/s/files/1/0918/6066/4603/files/O1CN01tftwau2NGHr2pbfRy__4234819935-0-cib.jpg?v=1753429183, friendlyName=Open</x:v>
      </x:c>
      <x:c r="C1543" s="24" t="e">
        <x:f>HYPERLINK("https://365nails.com/products/fake-nails-removable-nail-art-finished-product-naked-pink-girl-nail-art-piece-cat-eye-bright-color-european-and-american-wearing-nail-wholesale-365nails","removable nail art finished product naked pink girl nail art piece cat eye bright color   wholesale｜365nails")</x:f>
        <x:v>HYPERLINK is not implemented. linkLocation=https://365nails.com/products/fake-nails-removable-nail-art-finished-product-naked-pink-girl-nail-art-piece-cat-eye-bright-color-european-and-american-wearing-nail-wholesale-365nails, friendlyName=removable nail art finished product naked pink girl nail art piece cat eye bright color   wholesale｜365nails</x:v>
      </x:c>
      <x:c r="D1543" s="18" t="str">
        <x:v>Color: JP3249</x:v>
      </x:c>
      <x:c r="E1543" s="25" t="str">
        <x:v>$1.30</x:v>
      </x:c>
      <x:c r="F1543" s="19" t="str">
        <x:v>1</x:v>
      </x:c>
    </x:row>
    <x:row r="1544" ht="93" customHeight="1">
      <x:c r="A1544" s="19" t="n">
        <x:v>1541</x:v>
      </x:c>
      <x:c r="B1544" s="22" t="e">
        <x:f>HYPERLINK("https://cdn.shopify.com/s/files/1/0918/6066/4603/files/O1CN01vinNGv2NGI0r7rEuW__4234819935-0-cib.jpg?v=1764945928","Open")</x:f>
        <x:v>HYPERLINK is not implemented. linkLocation=https://cdn.shopify.com/s/files/1/0918/6066/4603/files/O1CN01vinNGv2NGI0r7rEuW__4234819935-0-cib.jpg?v=1764945928, friendlyName=Open</x:v>
      </x:c>
      <x:c r="C1544" s="24" t="e">
        <x:f>HYPERLINK("https://365nails.com/products/black-and-white-heart-bow-nails-with-pearl-accents","Black and White Heart Bow Nails with Pearl Accents")</x:f>
        <x:v>HYPERLINK is not implemented. linkLocation=https://365nails.com/products/black-and-white-heart-bow-nails-with-pearl-accents, friendlyName=Black and White Heart Bow Nails with Pearl Accents</x:v>
      </x:c>
      <x:c r="D1544" s="18" t="str">
        <x:v>Color: JP4163</x:v>
      </x:c>
      <x:c r="E1544" s="25" t="str">
        <x:v>$1.17</x:v>
      </x:c>
      <x:c r="F1544" s="19" t="str">
        <x:v>1</x:v>
      </x:c>
    </x:row>
    <x:row r="1545" ht="93" customHeight="1">
      <x:c r="A1545" s="19" t="n">
        <x:v>1542</x:v>
      </x:c>
      <x:c r="B1545" s="22" t="e">
        <x:f>HYPERLINK("https://cdn.shopify.com/s/files/1/0918/6066/4603/files/O1CN01kNYjL32NGI1FD5Ylz__4234819935-0-cib.jpg?v=1764945493","Open")</x:f>
        <x:v>HYPERLINK is not implemented. linkLocation=https://cdn.shopify.com/s/files/1/0918/6066/4603/files/O1CN01kNYjL32NGI1FD5Ylz__4234819935-0-cib.jpg?v=1764945493, friendlyName=Open</x:v>
      </x:c>
      <x:c r="C1545" s="24" t="e">
        <x:f>HYPERLINK("https://365nails.com/products/black-and-white-bow-accent-glossy-press-on-nails","Black and White Bow Accent Glossy Press-On Nails")</x:f>
        <x:v>HYPERLINK is not implemented. linkLocation=https://365nails.com/products/black-and-white-bow-accent-glossy-press-on-nails, friendlyName=Black and White Bow Accent Glossy Press-On Nails</x:v>
      </x:c>
      <x:c r="D1545" s="18" t="str">
        <x:v>Color: JP4196</x:v>
      </x:c>
      <x:c r="E1545" s="25" t="str">
        <x:v>$0.69</x:v>
      </x:c>
      <x:c r="F1545" s="19" t="str">
        <x:v>1</x:v>
      </x:c>
    </x:row>
    <x:row r="1546" ht="93" customHeight="1">
      <x:c r="A1546" s="19" t="n">
        <x:v>1543</x:v>
      </x:c>
      <x:c r="B1546" s="22" t="e">
        <x:f>HYPERLINK("https://cdn.shopify.com/s/files/1/0918/6066/4603/files/b29f27f637453dac07ae36dea91dfd60.png?v=1755270465","Open")</x:f>
        <x:v>HYPERLINK is not implemented. linkLocation=https://cdn.shopify.com/s/files/1/0918/6066/4603/files/b29f27f637453dac07ae36dea91dfd60.png?v=1755270465, friendlyName=Open</x:v>
      </x:c>
      <x:c r="C1546" s="24" t="e">
        <x:f>HYPERLINK("https://365nails.com/products/nail-tips-200-pieces-of-new-high-transparency-solid-plate-nail-pads-transparent-glazed-nail-art-swatch-for-nail-shop-plate-practice","Nail Tips 200 pieces of new high-transparency solid plate nail pads (MOQ=3)")</x:f>
        <x:v>HYPERLINK is not implemented. linkLocation=https://365nails.com/products/nail-tips-200-pieces-of-new-high-transparency-solid-plate-nail-pads-transparent-glazed-nail-art-swatch-for-nail-shop-plate-practice, friendlyName=Nail Tips 200 pieces of new high-transparency solid plate nail pads (MOQ=3)</x:v>
      </x:c>
      <x:c r="D1546" s="18" t="str">
        <x:v>Color: 71-PP bag; quantity: 3pcs</x:v>
      </x:c>
      <x:c r="E1546" s="25" t="str">
        <x:v>$5.00</x:v>
      </x:c>
      <x:c r="F1546" s="19" t="str">
        <x:v>1</x:v>
      </x:c>
    </x:row>
    <x:row r="1547" ht="93" customHeight="1">
      <x:c r="A1547" s="19" t="n">
        <x:v>1544</x:v>
      </x:c>
      <x:c r="B1547" s="22" t="e">
        <x:f>HYPERLINK("https://cdn.shopify.com/s/files/1/0918/6066/4603/files/O1CN01h3G9Ag1rlpR8hKrU5__2215158925672-0-cib.jpg?v=1754466421","Open")</x:f>
        <x:v>HYPERLINK is not implemented. linkLocation=https://cdn.shopify.com/s/files/1/0918/6066/4603/files/O1CN01h3G9Ag1rlpR8hKrU5__2215158925672-0-cib.jpg?v=1754466421, friendlyName=Open</x:v>
      </x:c>
      <x:c r="C1547" s="24" t="e">
        <x:f>HYPERLINK("https://365nails.com/products/ice-through-cats-eye-handmade-press-on-nails-ocean-blue-butterfly-irregular-relief-long-nail-patch-finished-fake-nail-365nails","Ocean-Blue Nails with Metallic Butterfly and Sculpted Details")</x:f>
        <x:v>HYPERLINK is not implemented. linkLocation=https://365nails.com/products/ice-through-cats-eye-handmade-press-on-nails-ocean-blue-butterfly-irregular-relief-long-nail-patch-finished-fake-nail-365nails, friendlyName=Ocean-Blue Nails with Metallic Butterfly and Sculpted Details</x:v>
      </x:c>
      <x:c r="D1547" s="18" t="str">
        <x:v>shape: lengthened T; size: XS / S / M / L</x:v>
      </x:c>
      <x:c r="E1547" s="25" t="str">
        <x:v>$2.99</x:v>
      </x:c>
      <x:c r="F1547" s="19" t="str">
        <x:v>30</x:v>
      </x:c>
    </x:row>
    <x:row r="1548" ht="93" customHeight="1">
      <x:c r="A1548" s="19" t="n">
        <x:v>1545</x:v>
      </x:c>
      <x:c r="B1548" s="22" t="e">
        <x:f>HYPERLINK("https://cdn.shopify.com/s/files/1/0918/6066/4603/files/O1CN01OXGP6y1rlpToTCvWz__2215158925672-0-cib.jpg?v=1754450276","Open")</x:f>
        <x:v>HYPERLINK is not implemented. linkLocation=https://cdn.shopify.com/s/files/1/0918/6066/4603/files/O1CN01OXGP6y1rlpToTCvWz__2215158925672-0-cib.jpg?v=1754450276, friendlyName=Open</x:v>
      </x:c>
      <x:c r="C1548" s="24" t="e">
        <x:f>HYPERLINK("https://365nails.com/products/handmade-wear-armor-blood-spirit-eye-dark-personality-creative-cool-spicy-style-almond-armor-wholesale-365nails","Dark Blood-Eye Nails with Bold Gothic Graphic Accents")</x:f>
        <x:v>HYPERLINK is not implemented. linkLocation=https://365nails.com/products/handmade-wear-armor-blood-spirit-eye-dark-personality-creative-cool-spicy-style-almond-armor-wholesale-365nails, friendlyName=Dark Blood-Eye Nails with Bold Gothic Graphic Accents</x:v>
      </x:c>
      <x:c r="D1548" s="18" t="str">
        <x:v>shape: medium almond; size: XS / S / M / L</x:v>
      </x:c>
      <x:c r="E1548" s="25" t="str">
        <x:v>$2.99</x:v>
      </x:c>
      <x:c r="F1548" s="19" t="str">
        <x:v>30</x:v>
      </x:c>
    </x:row>
    <x:row r="1549" ht="93" customHeight="1">
      <x:c r="A1549" s="19" t="n">
        <x:v>1546</x:v>
      </x:c>
      <x:c r="B1549" s="22" t="e">
        <x:f>HYPERLINK("https://cdn.shopify.com/s/files/1/0918/6066/4603/files/O1CN01P8U0G22NGI1GC0y20__4234819935-0-cib.jpg?v=1764945808","Open")</x:f>
        <x:v>HYPERLINK is not implemented. linkLocation=https://cdn.shopify.com/s/files/1/0918/6066/4603/files/O1CN01P8U0G22NGI1GC0y20__4234819935-0-cib.jpg?v=1764945808, friendlyName=Open</x:v>
      </x:c>
      <x:c r="C1549" s="24" t="e">
        <x:f>HYPERLINK("https://365nails.com/products/nude-polka-lace-bow-nails-with-crystal-accent","Nude Polka Lace Bow Nails with Crystal Accent")</x:f>
        <x:v>HYPERLINK is not implemented. linkLocation=https://365nails.com/products/nude-polka-lace-bow-nails-with-crystal-accent, friendlyName=Nude Polka Lace Bow Nails with Crystal Accent</x:v>
      </x:c>
      <x:c r="D1549" s="18" t="str">
        <x:v>Color: JL0686</x:v>
      </x:c>
      <x:c r="E1549" s="25" t="str">
        <x:v>$2.14</x:v>
      </x:c>
      <x:c r="F1549" s="19" t="str">
        <x:v>1</x:v>
      </x:c>
    </x:row>
    <x:row r="1550" ht="93" customHeight="1">
      <x:c r="A1550" s="19" t="n">
        <x:v>1547</x:v>
      </x:c>
      <x:c r="B1550" s="22" t="e">
        <x:f>HYPERLINK("https://cdn.shopify.com/s/files/1/0918/6066/4603/files/O1CN01RLgtoe2NGI1ENtlyz__4234819935-0-cib.jpg?v=1764945362","Open")</x:f>
        <x:v>HYPERLINK is not implemented. linkLocation=https://cdn.shopify.com/s/files/1/0918/6066/4603/files/O1CN01RLgtoe2NGI1ENtlyz__4234819935-0-cib.jpg?v=1764945362, friendlyName=Open</x:v>
      </x:c>
      <x:c r="C1550" s="24" t="e">
        <x:f>HYPERLINK("https://365nails.com/products/brown-marble-gold-accent-floral-press-on-nails","Brown Marble Gold-Accent Floral Press-On Nails")</x:f>
        <x:v>HYPERLINK is not implemented. linkLocation=https://365nails.com/products/brown-marble-gold-accent-floral-press-on-nails, friendlyName=Brown Marble Gold-Accent Floral Press-On Nails</x:v>
      </x:c>
      <x:c r="D1550" s="18" t="str">
        <x:v>Color: JP4085</x:v>
      </x:c>
      <x:c r="E1550" s="25" t="str">
        <x:v>$2.14</x:v>
      </x:c>
      <x:c r="F1550" s="19" t="str">
        <x:v>1</x:v>
      </x:c>
    </x:row>
    <x:row r="1551" ht="93" customHeight="1">
      <x:c r="A1551" s="19" t="n">
        <x:v>1548</x:v>
      </x:c>
      <x:c r="B1551" s="22" t="e">
        <x:f>HYPERLINK("https://cdn.shopify.com/s/files/1/0918/6066/4603/files/O1CN010xjMcv1rlpKYEVUJ7__2215158925672-0-cib.jpg?v=1754466516","Open")</x:f>
        <x:v>HYPERLINK is not implemented. linkLocation=https://cdn.shopify.com/s/files/1/0918/6066/4603/files/O1CN010xjMcv1rlpKYEVUJ7__2215158925672-0-cib.jpg?v=1754466516, friendlyName=Open</x:v>
      </x:c>
      <x:c r="C1551" s="24" t="e">
        <x:f>HYPERLINK("https://365nails.com/products/starry-sky-aurora-color-handmade-nail-internet-celebrity-queen-mother-saturn-short-nail-patch-wearable-nail-sticker-365nails","Aurora Galaxy Nails with Saturn-Inspired Celestial Accents")</x:f>
        <x:v>HYPERLINK is not implemented. linkLocation=https://365nails.com/products/starry-sky-aurora-color-handmade-nail-internet-celebrity-queen-mother-saturn-short-nail-patch-wearable-nail-sticker-365nails, friendlyName=Aurora Galaxy Nails with Saturn-Inspired Celestial Accents</x:v>
      </x:c>
      <x:c r="D1551" s="18" t="str">
        <x:v>shape: Short T; size: XS / S / M / L</x:v>
      </x:c>
      <x:c r="E1551" s="25" t="str">
        <x:v>$2.99</x:v>
      </x:c>
      <x:c r="F1551" s="19" t="str">
        <x:v>30</x:v>
      </x:c>
    </x:row>
    <x:row r="1552" ht="93" customHeight="1">
      <x:c r="A1552" s="19" t="n">
        <x:v>1549</x:v>
      </x:c>
      <x:c r="B1552" s="22" t="e">
        <x:f>HYPERLINK("https://cdn.shopify.com/s/files/1/0918/6066/4603/files/O1CN01aYOGVm1rlpRfNGv3F__2215158925672-0-cib.jpg?v=1754466462","Open")</x:f>
        <x:v>HYPERLINK is not implemented. linkLocation=https://cdn.shopify.com/s/files/1/0918/6066/4603/files/O1CN01aYOGVm1rlpRfNGv3F__2215158925672-0-cib.jpg?v=1754466462, friendlyName=Open</x:v>
      </x:c>
      <x:c r="C1552" s="24" t="e">
        <x:f>HYPERLINK("https://365nails.com/products/european-american-and-chinese-manicure-patch-personalized-relief-hand-painted-wearing-nail-sweet-cool-hot-girl-wearing-fake-nail-wholesale-365nails","Bold Sculpted Nails with Colorful Graphic Irregular Details")</x:f>
        <x:v>HYPERLINK is not implemented. linkLocation=https://365nails.com/products/european-american-and-chinese-manicure-patch-personalized-relief-hand-painted-wearing-nail-sweet-cool-hot-girl-wearing-fake-nail-wholesale-365nails, friendlyName=Bold Sculpted Nails with Colorful Graphic Irregular Details</x:v>
      </x:c>
      <x:c r="D1552" s="18" t="str">
        <x:v>shape: medium and long square; size: S / M / L</x:v>
      </x:c>
      <x:c r="E1552" s="25" t="str">
        <x:v>$4.99</x:v>
      </x:c>
      <x:c r="F1552" s="19" t="str">
        <x:v>30</x:v>
      </x:c>
    </x:row>
    <x:row r="1553" ht="93" customHeight="1">
      <x:c r="A1553" s="19" t="n">
        <x:v>1550</x:v>
      </x:c>
      <x:c r="B1553" s="22" t="e">
        <x:f>HYPERLINK("https://cdn.shopify.com/s/files/1/0918/6066/4603/files/O1CN01Z2FGHi1rlpQm5GUXG__2215158925672-0-cib.jpg?v=1754450296","Open")</x:f>
        <x:v>HYPERLINK is not implemented. linkLocation=https://cdn.shopify.com/s/files/1/0918/6066/4603/files/O1CN01Z2FGHi1rlpQm5GUXG__2215158925672-0-cib.jpg?v=1754450296, friendlyName=Open</x:v>
      </x:c>
      <x:c r="C1553" s="24" t="e">
        <x:f>HYPERLINK("https://365nails.com/products/cute-short-nail-patch-irregular-watercolor-pure-handmade-press-on-nails-wearable-nail-sticker-wholesale-365nails","Abstract Watercolor Nails with Soft Irregular Brush Swirls")</x:f>
        <x:v>HYPERLINK is not implemented. linkLocation=https://365nails.com/products/cute-short-nail-patch-irregular-watercolor-pure-handmade-press-on-nails-wearable-nail-sticker-wholesale-365nails, friendlyName=Abstract Watercolor Nails with Soft Irregular Brush Swirls</x:v>
      </x:c>
      <x:c r="D1553" s="18" t="str">
        <x:v>shape: short circle; size: XS / S / M / L</x:v>
      </x:c>
      <x:c r="E1553" s="25" t="str">
        <x:v>$2.99</x:v>
      </x:c>
      <x:c r="F1553" s="19" t="str">
        <x:v>30</x:v>
      </x:c>
    </x:row>
    <x:row r="1554" ht="93" customHeight="1">
      <x:c r="A1554" s="19" t="n">
        <x:v>1551</x:v>
      </x:c>
      <x:c r="B1554" s="22" t="e">
        <x:f>HYPERLINK("https://cdn.shopify.com/s/files/1/0918/6066/4603/files/O1CN01DbHcFV1rlpS1JMkck__2215158925672-0-cib.jpg?v=1754450180","Open")</x:f>
        <x:v>HYPERLINK is not implemented. linkLocation=https://cdn.shopify.com/s/files/1/0918/6066/4603/files/O1CN01DbHcFV1rlpS1JMkck__2215158925672-0-cib.jpg?v=1754450180, friendlyName=Open</x:v>
      </x:c>
      <x:c r="C1554" s="24" t="e">
        <x:f>HYPERLINK("https://365nails.com/products/sweet-and-cool-blush-nail-europe-america-medium-and-long-square-nail-patch-handmade-press-on-nails-wearable-nail-sticker-365nails","Soft Blush Green Nails with Metallic Crystal Accents")</x:f>
        <x:v>HYPERLINK is not implemented. linkLocation=https://365nails.com/products/sweet-and-cool-blush-nail-europe-america-medium-and-long-square-nail-patch-handmade-press-on-nails-wearable-nail-sticker-365nails, friendlyName=Soft Blush Green Nails with Metallic Crystal Accents</x:v>
      </x:c>
      <x:c r="D1554" s="18" t="str">
        <x:v>shape: medium and long square; size: S / M / L</x:v>
      </x:c>
      <x:c r="E1554" s="25" t="str">
        <x:v>$2.99</x:v>
      </x:c>
      <x:c r="F1554" s="19" t="str">
        <x:v>30</x:v>
      </x:c>
    </x:row>
    <x:row r="1555" ht="93" customHeight="1">
      <x:c r="A1555" s="19" t="n">
        <x:v>1552</x:v>
      </x:c>
      <x:c r="B1555" s="22" t="e">
        <x:f>HYPERLINK("https://cdn.shopify.com/s/files/1/0918/6066/4603/files/O1CN01yUFsE52NGHwsDzFuO__4234819935-0-cib.jpg?v=1753433572","Open")</x:f>
        <x:v>HYPERLINK is not implemented. linkLocation=https://cdn.shopify.com/s/files/1/0918/6066/4603/files/O1CN01yUFsE52NGHwsDzFuO__4234819935-0-cib.jpg?v=1753433572, friendlyName=Open</x:v>
      </x:c>
      <x:c r="C1555" s="24" t="e">
        <x:f>HYPERLINK("https://365nails.com/products/european-and-american-foreign-trade-short-round-manicure-flower-star-wearing-nail-press-on-nails-removable-nail-wholesale-365nails","short round manicure flower star  press on nails removable nail wholesale｜365nails")</x:f>
        <x:v>HYPERLINK is not implemented. linkLocation=https://365nails.com/products/european-and-american-foreign-trade-short-round-manicure-flower-star-wearing-nail-press-on-nails-removable-nail-wholesale-365nails, friendlyName=short round manicure flower star  press on nails removable nail wholesale｜365nails</x:v>
      </x:c>
      <x:c r="D1555" s="18" t="str">
        <x:v>color: JP3735</x:v>
      </x:c>
      <x:c r="E1555" s="25" t="str">
        <x:v>$1.30</x:v>
      </x:c>
      <x:c r="F1555" s="19" t="str">
        <x:v>1</x:v>
      </x:c>
    </x:row>
    <x:row r="1556" ht="93" customHeight="1">
      <x:c r="A1556" s="19" t="n">
        <x:v>1553</x:v>
      </x:c>
      <x:c r="B1556" s="22" t="e">
        <x:f>HYPERLINK("https://cdn.shopify.com/s/files/1/0918/6066/4603/files/O1CN01a5nuPB2NGHiAgbQ5N__4234819935-0-cib.jpg?v=1753432008","Open")</x:f>
        <x:v>HYPERLINK is not implemented. linkLocation=https://cdn.shopify.com/s/files/1/0918/6066/4603/files/O1CN01a5nuPB2NGHiAgbQ5N__4234819935-0-cib.jpg?v=1753432008, friendlyName=Open</x:v>
      </x:c>
      <x:c r="C1556" s="24" t="e">
        <x:f>HYPERLINK("https://365nails.com/products/wear-nail-art-purple-glitter-wear-nail-aurora-nail-patch-wear-nail-wholesale-nail-art-wear-nails-365nails","Wear nail art purple glitter wear nail, aurora nail patch wear nail wholesale nail art wear nails｜365nails")</x:f>
        <x:v>HYPERLINK is not implemented. linkLocation=https://365nails.com/products/wear-nail-art-purple-glitter-wear-nail-aurora-nail-patch-wear-nail-wholesale-nail-art-wear-nails-365nails, friendlyName=Wear nail art purple glitter wear nail, aurora nail patch wear nail wholesale nail art wear nails｜365nails</x:v>
      </x:c>
      <x:c r="D1556" s="18" t="str">
        <x:v>color: JP2064</x:v>
      </x:c>
      <x:c r="E1556" s="25" t="str">
        <x:v>$0.97</x:v>
      </x:c>
      <x:c r="F1556" s="19" t="str">
        <x:v>1</x:v>
      </x:c>
    </x:row>
    <x:row r="1557" ht="93" customHeight="1">
      <x:c r="A1557" s="19" t="n">
        <x:v>1554</x:v>
      </x:c>
      <x:c r="B1557" s="22" t="e">
        <x:f>HYPERLINK("https://cdn.shopify.com/s/files/1/0918/6066/4603/files/O1CN01t1XGMv2NGHoptUPOo__4234819935-0-cib.jpg?v=1753429218","Open")</x:f>
        <x:v>HYPERLINK is not implemented. linkLocation=https://cdn.shopify.com/s/files/1/0918/6066/4603/files/O1CN01t1XGMv2NGHoptUPOo__4234819935-0-cib.jpg?v=1753429218, friendlyName=Open</x:v>
      </x:c>
      <x:c r="C1557" s="24" t="e">
        <x:f>HYPERLINK("https://365nails.com/products/french-white-edge-long-ballet-wearing-nail-silver-glitter-nail-art-cross-border-explosion-autumn-and-winter-fake-nail-nail-piece-finished-product-365nails","French white edge long ballet  silver glitter nail art  explosion autumn and winter   finished product｜365nails")</x:f>
        <x:v>HYPERLINK is not implemented. linkLocation=https://365nails.com/products/french-white-edge-long-ballet-wearing-nail-silver-glitter-nail-art-cross-border-explosion-autumn-and-winter-fake-nail-nail-piece-finished-product-365nails, friendlyName=French white edge long ballet  silver glitter nail art  explosion autumn and winter   finished product｜365nails</x:v>
      </x:c>
      <x:c r="D1557" s="18" t="str">
        <x:v>Color: JP3078</x:v>
      </x:c>
      <x:c r="E1557" s="25" t="str">
        <x:v>$0.91</x:v>
      </x:c>
      <x:c r="F1557" s="19" t="str">
        <x:v>1</x:v>
      </x:c>
    </x:row>
    <x:row r="1558" ht="93" customHeight="1">
      <x:c r="A1558" s="19" t="n">
        <x:v>1555</x:v>
      </x:c>
      <x:c r="B1558" s="22" t="e">
        <x:f>HYPERLINK("https://cdn.shopify.com/s/files/1/0918/6066/4603/files/O1CN01mWGvp12NGI1HEHypK__4234819935-0-cib.jpg?v=1764946028","Open")</x:f>
        <x:v>HYPERLINK is not implemented. linkLocation=https://cdn.shopify.com/s/files/1/0918/6066/4603/files/O1CN01mWGvp12NGI1HEHypK__4234819935-0-cib.jpg?v=1764946028, friendlyName=Open</x:v>
      </x:c>
      <x:c r="C1558" s="24" t="e">
        <x:f>HYPERLINK("https://365nails.com/products/soft-pink-shimmer-gradient-glossy-press-on-nails","Soft Pink Shimmer Gradient Glossy Press-On Nails")</x:f>
        <x:v>HYPERLINK is not implemented. linkLocation=https://365nails.com/products/soft-pink-shimmer-gradient-glossy-press-on-nails, friendlyName=Soft Pink Shimmer Gradient Glossy Press-On Nails</x:v>
      </x:c>
      <x:c r="D1558" s="18" t="str">
        <x:v>Color: JP4114</x:v>
      </x:c>
      <x:c r="E1558" s="25" t="str">
        <x:v>$1.09</x:v>
      </x:c>
      <x:c r="F1558" s="19" t="str">
        <x:v>1</x:v>
      </x:c>
    </x:row>
    <x:row r="1559" ht="93" customHeight="1">
      <x:c r="A1559" s="19" t="n">
        <x:v>1556</x:v>
      </x:c>
      <x:c r="B1559" s="22" t="e">
        <x:f>HYPERLINK("https://cdn.shopify.com/s/files/1/0918/6066/4603/files/752618353c5d2bb80aaf61f71156c61c.png?v=1755270512","Open")</x:f>
        <x:v>HYPERLINK is not implemented. linkLocation=https://cdn.shopify.com/s/files/1/0918/6066/4603/files/752618353c5d2bb80aaf61f71156c61c.png?v=1755270512, friendlyName=Open</x:v>
      </x:c>
      <x:c r="C1559" s="24" t="e">
        <x:f>HYPERLINK("https://365nails.com/products/nail-tips-french-duckbill-nail-press-on-nails-piece-traceless-oil-spray-finished-product-removable-false-nail-glossy-prefabricated-nude-nail-art","Nail Tips French Duckbill Shape Nail press on nails Piece (MOQ=3)")</x:f>
        <x:v>HYPERLINK is not implemented. linkLocation=https://365nails.com/products/nail-tips-french-duckbill-nail-press-on-nails-piece-traceless-oil-spray-finished-product-removable-false-nail-glossy-prefabricated-nude-nail-art, friendlyName=Nail Tips French Duckbill Shape Nail press on nails Piece (MOQ=3)</x:v>
      </x:c>
      <x:c r="D1559" s="18" t="str">
        <x:v>Color: YS-279-61D-014 * 120 pieces / YS-279-359 * 120 pieces / YS-279-390-2 * 120 pieces / YS-279-442 * 120 pieces / YS-279-3391-1 * 120 tablets; quanlity: 3pcs</x:v>
      </x:c>
      <x:c r="E1559" s="25" t="str">
        <x:v>$9.00</x:v>
      </x:c>
      <x:c r="F1559" s="19" t="str">
        <x:v>1</x:v>
      </x:c>
    </x:row>
    <x:row r="1560" ht="93" customHeight="1">
      <x:c r="A1560" s="19" t="n">
        <x:v>1557</x:v>
      </x:c>
      <x:c r="B1560" s="22" t="e">
        <x:f>HYPERLINK("https://cdn.shopify.com/s/files/1/0918/6066/4603/files/O1CN01QOLNrP1rlpSNivijP__2215158925672-0-cib.jpg?v=1754468296","Open")</x:f>
        <x:v>HYPERLINK is not implemented. linkLocation=https://cdn.shopify.com/s/files/1/0918/6066/4603/files/O1CN01QOLNrP1rlpSNivijP__2215158925672-0-cib.jpg?v=1754468296, friendlyName=Open</x:v>
      </x:c>
      <x:c r="C1560" s="24" t="e">
        <x:f>HYPERLINK("https://365nails.com/products/handmade-press-on-nails-fluorescent-contrasting-spice-girl-short-nail-art-finished-patch-wearable-nail-sticker-365nails","Neon Gradient Nails with Chrome Line Art Accents")</x:f>
        <x:v>HYPERLINK is not implemented. linkLocation=https://365nails.com/products/handmade-press-on-nails-fluorescent-contrasting-spice-girl-short-nail-art-finished-patch-wearable-nail-sticker-365nails, friendlyName=Neon Gradient Nails with Chrome Line Art Accents</x:v>
      </x:c>
      <x:c r="D1560" s="18" t="str">
        <x:v>shape: Short almonds; size: S / M / L</x:v>
      </x:c>
      <x:c r="E1560" s="25" t="str">
        <x:v>$2.99</x:v>
      </x:c>
      <x:c r="F1560" s="19" t="str">
        <x:v>30</x:v>
      </x:c>
    </x:row>
    <x:row r="1561" ht="93" customHeight="1">
      <x:c r="A1561" s="19" t="n">
        <x:v>1558</x:v>
      </x:c>
      <x:c r="B1561" s="22" t="e">
        <x:f>HYPERLINK("https://cdn.shopify.com/s/files/1/0918/6066/4603/files/0c2ee4c2e671cafebc6c1b7026359a01.jpg?v=1755250731","Open")</x:f>
        <x:v>HYPERLINK is not implemented. linkLocation=https://cdn.shopify.com/s/files/1/0918/6066/4603/files/0c2ee4c2e671cafebc6c1b7026359a01.jpg?v=1755250731, friendlyName=Open</x:v>
      </x:c>
      <x:c r="C1561" s="24" t="e">
        <x:f>HYPERLINK("https://365nails.com/products/nail-tips-europe-and-the-united-states-gradual-change-press-on-nails-simple-water-drop-nail-spray-removable-fake-nail-150-pieces-prefabricated-nail","Nail Tips Classic French Tip Press-On Nails 150 pieces prefabricated nail (MOQ=3)")</x:f>
        <x:v>HYPERLINK is not implemented. linkLocation=https://365nails.com/products/nail-tips-europe-and-the-united-states-gradual-change-press-on-nails-simple-water-drop-nail-spray-removable-fake-nail-150-pieces-prefabricated-nail, friendlyName=Nail Tips Classic French Tip Press-On Nails 150 pieces prefabricated nail (MOQ=3)</x:v>
      </x:c>
      <x:c r="D1561" s="18" t="str">
        <x:v>Color: 425-61D-014 * 150 piece bag / 425-359 * 150 piece bag / 425-442 * 150 piece bag / 425-3387-1 * 150 piece bag / 425-3391-1 * 150 piece bag / 425-C2 * 150 piece bag / 428-61D-014 * 150 piece bag / 428-359 * 150 piece bag / 428-442 * 150 piece bag / 428-3387-1 * 150 piece bag / 428-3391-1 * 150 piece bag / 428-C2 * 150 piece bag / 424-61D-014 * 150 piece bag / 424-359 * 150 piece bag / 424-442 * 150 piece bag / 424-3387-1 * 150 piece bag / 424-3391-1 * 150 piece bag / 426-61D-014 * 150 piece bag / 426-442 * 150 piece bag / 426-3387-1 * 150 piece bag / 426-3391-1 * 150 piece bag / 426-C2 * 150 piece bag / 426-359 * 150 piece bag / 515-61D-014 * 160 piece bag / 515-359 * 160 piece bag / 515-3387-1 * 160 piece bag / 515-3391-1 * 160 piece bag / 515-C2 * 160 piece bag / 411-61D-014 * 150 piece bag / 411-359 * 150 piece bag / 411-442 * 150 piece bag / 411-3387-1 * 150 piece bag / 411-3391-1 * 150 piece bag / 411-C2 * 150 piece bag / 423-61D-014 * 150 piece bag / 423-359 * 150 piece bag / 423-442 * 150 piece bag / 423-3387-1 * 150 piece bag / 423-3391-1 * 150 piece bag / 423-C2 * 150 piece bag; quanlity: 3pcs</x:v>
      </x:c>
      <x:c r="E1561" s="25" t="str">
        <x:v>$8.00</x:v>
      </x:c>
      <x:c r="F1561" s="19" t="str">
        <x:v>1</x:v>
      </x:c>
    </x:row>
    <x:row r="1562" ht="93" customHeight="1">
      <x:c r="A1562" s="19" t="n">
        <x:v>1559</x:v>
      </x:c>
      <x:c r="B1562" s="22" t="e">
        <x:f>HYPERLINK("https://cdn.shopify.com/s/files/1/0918/6066/4603/files/O1CN01AT0K3I1rlpICmM7G9__2215158925672-0-cib.jpg?v=1754468309","Open")</x:f>
        <x:v>HYPERLINK is not implemented. linkLocation=https://cdn.shopify.com/s/files/1/0918/6066/4603/files/O1CN01AT0K3I1rlpICmM7G9__2215158925672-0-cib.jpg?v=1754468309, friendlyName=Open</x:v>
      </x:c>
      <x:c r="C1562" s="24" t="e">
        <x:f>HYPERLINK("https://365nails.com/products/aurora-bow-sparkle-fake-nail-patch-detachable-nail-art-nail-piece-finished-product-handmade-press-on-nails-365nails","Aurora Glitter Nails with Iridescent Bow Charms")</x:f>
        <x:v>HYPERLINK is not implemented. linkLocation=https://365nails.com/products/aurora-bow-sparkle-fake-nail-patch-detachable-nail-art-nail-piece-finished-product-handmade-press-on-nails-365nails, friendlyName=Aurora Glitter Nails with Iridescent Bow Charms</x:v>
      </x:c>
      <x:c r="D1562" s="18" t="str">
        <x:v>shape: Short T / Medium T; size: XS / S / M / L</x:v>
      </x:c>
      <x:c r="E1562" s="25" t="str">
        <x:v>$1.99</x:v>
      </x:c>
      <x:c r="F1562" s="19" t="str">
        <x:v>30</x:v>
      </x:c>
    </x:row>
    <x:row r="1563" ht="93" customHeight="1">
      <x:c r="A1563" s="19" t="n">
        <x:v>1560</x:v>
      </x:c>
      <x:c r="B1563" s="22" t="e">
        <x:f>HYPERLINK("https://cdn.shopify.com/s/files/1/0918/6066/4603/files/tufan_2F5aa4f324-c838-11f0-8369-00163e1f8035.jpg?v=1763880742","Open")</x:f>
        <x:v>HYPERLINK is not implemented. linkLocation=https://cdn.shopify.com/s/files/1/0918/6066/4603/files/tufan_2F5aa4f324-c838-11f0-8369-00163e1f8035.jpg?v=1763880742, friendlyName=Open</x:v>
      </x:c>
      <x:c r="C1563" s="24" t="e">
        <x:f>HYPERLINK("https://365nails.com/products/assorted-square-nail-art-display-cards-for-press-on-nails","Assorted Square Nail Art Display Cards for Press‑On Nails(MOQ=50pcs)")</x:f>
        <x:v>HYPERLINK is not implemented. linkLocation=https://365nails.com/products/assorted-square-nail-art-display-cards-for-press-on-nails, friendlyName=Assorted Square Nail Art Display Cards for Press‑On Nails(MOQ=50pcs)</x:v>
      </x:c>
      <x:c r="D1563" s="18" t="str">
        <x:v>Color: C01 / C02 / C03 / C04 / C05 / C06 / C07 / C08 / C09 / C10; Quantity: 50pcs</x:v>
      </x:c>
      <x:c r="E1563" s="25" t="str">
        <x:v>$1.50</x:v>
      </x:c>
      <x:c r="F1563" s="19" t="str">
        <x:v>1</x:v>
      </x:c>
    </x:row>
    <x:row r="1564" ht="93" customHeight="1">
      <x:c r="A1564" s="19" t="n">
        <x:v>1561</x:v>
      </x:c>
      <x:c r="B1564" s="22" t="e">
        <x:f>HYPERLINK("https://cdn.shopify.com/s/files/1/0918/6066/4603/files/O1CN010Gxu9323Ug4twoET0__2219058567259-0-cib.jpg?v=1763880395","Open")</x:f>
        <x:v>HYPERLINK is not implemented. linkLocation=https://cdn.shopify.com/s/files/1/0918/6066/4603/files/O1CN010Gxu9323Ug4twoET0__2219058567259-0-cib.jpg?v=1763880395, friendlyName=Open</x:v>
      </x:c>
      <x:c r="C1564" s="24" t="e">
        <x:f>HYPERLINK("https://365nails.com/products/colorful-nail-art-display-cards-for-press-on-nail-sets","Colorful Nail Art Display Cards for Press‑On Nail Sets")</x:f>
        <x:v>HYPERLINK is not implemented. linkLocation=https://365nails.com/products/colorful-nail-art-display-cards-for-press-on-nail-sets, friendlyName=Colorful Nail Art Display Cards for Press‑On Nail Sets</x:v>
      </x:c>
      <x:c r="D1564" s="18" t="str">
        <x:v>Color: B01-White Marble / B02-Sweetheart Bow / B03-Creative paper tearing wind / B04-Lucky Butterfly / B05-Sleepwalking in Wonderland / B06-Purple border / B07-Pink Quicksand / B08-Summer Sunset / B09-European border / B10-Simple Lily; Quantity: 10pcs</x:v>
      </x:c>
      <x:c r="E1564" s="25" t="str">
        <x:v>$0.20</x:v>
      </x:c>
      <x:c r="F1564" s="19" t="str">
        <x:v>1</x:v>
      </x:c>
    </x:row>
    <x:row r="1565" ht="93" customHeight="1">
      <x:c r="A1565" s="19" t="n">
        <x:v>1562</x:v>
      </x:c>
      <x:c r="B1565" s="22" t="e">
        <x:f>HYPERLINK("https://cdn.shopify.com/s/files/1/0918/6066/4603/files/tufan_2Ffaf83640-c835-11f0-bebd-00163e1f816f.jpg?v=1763879724","Open")</x:f>
        <x:v>HYPERLINK is not implemented. linkLocation=https://cdn.shopify.com/s/files/1/0918/6066/4603/files/tufan_2Ffaf83640-c835-11f0-bebd-00163e1f816f.jpg?v=1763879724, friendlyName=Open</x:v>
      </x:c>
      <x:c r="C1565" s="24" t="e">
        <x:f>HYPERLINK("https://365nails.com/products/assorted-elegant-nail-art-display-cards-for-press-on-nails","Assorted Elegant Nail Art Display Cards for Press‑On Nails(MOQ=20)")</x:f>
        <x:v>HYPERLINK is not implemented. linkLocation=https://365nails.com/products/assorted-elegant-nail-art-display-cards-for-press-on-nails, friendlyName=Assorted Elegant Nail Art Display Cards for Press‑On Nails(MOQ=20)</x:v>
      </x:c>
      <x:c r="D1565" s="18" t="str">
        <x:v>Color: A01 Lily line drawing / A03 white marble / A04 black marble / A06 Butterfly / A09 pink bow / A11 Gold Black / A12 Pink Barbie / A13 simple black / A14 magazine style / A16 pink black; Quantity: 20pcs</x:v>
      </x:c>
      <x:c r="E1565" s="25" t="str">
        <x:v>$0.40</x:v>
      </x:c>
      <x:c r="F1565" s="19" t="str">
        <x:v>1</x:v>
      </x:c>
    </x:row>
    <x:row r="1566" ht="93" customHeight="1">
      <x:c r="A1566" s="19" t="n">
        <x:v>1563</x:v>
      </x:c>
      <x:c r="B1566" s="22" t="e">
        <x:f>HYPERLINK("https://cdn.shopify.com/s/files/1/0918/6066/4603/files/O1CN01NnyKnX1rlpRXAmfTh__2215158925672-0-cib.jpg?v=1754468366","Open")</x:f>
        <x:v>HYPERLINK is not implemented. linkLocation=https://cdn.shopify.com/s/files/1/0918/6066/4603/files/O1CN01NnyKnX1rlpRXAmfTh__2215158925672-0-cib.jpg?v=1754468366, friendlyName=Open</x:v>
      </x:c>
      <x:c r="C1566" s="24" t="e">
        <x:f>HYPERLINK("https://365nails.com/products/hand-painted-manicure-patch-sweet-cool-babes-short-pure-handmade-press-on-nails-ultra-thin-seamless-fake-nail-wholesale-365nails","Sweet-Cool Nails with Hand-Painted Stripes and Chrome Accents")</x:f>
        <x:v>HYPERLINK is not implemented. linkLocation=https://365nails.com/products/hand-painted-manicure-patch-sweet-cool-babes-short-pure-handmade-press-on-nails-ultra-thin-seamless-fake-nail-wholesale-365nails, friendlyName=Sweet-Cool Nails with Hand-Painted Stripes and Chrome Accents</x:v>
      </x:c>
      <x:c r="D1566" s="18" t="str">
        <x:v>shape: short ellipse; size: XS / S / M / L</x:v>
      </x:c>
      <x:c r="E1566" s="25" t="str">
        <x:v>$3.99</x:v>
      </x:c>
      <x:c r="F1566" s="19" t="str">
        <x:v>30</x:v>
      </x:c>
    </x:row>
    <x:row r="1567" ht="93" customHeight="1">
      <x:c r="A1567" s="19" t="n">
        <x:v>1564</x:v>
      </x:c>
      <x:c r="B1567" s="22" t="e">
        <x:f>HYPERLINK("https://cdn.shopify.com/s/files/1/0918/6066/4603/files/O1CN011pwEvr1rlpacwWaDP__2215158925672-0-cib.jpg?v=1764568029","Open")</x:f>
        <x:v>HYPERLINK is not implemented. linkLocation=https://cdn.shopify.com/s/files/1/0918/6066/4603/files/O1CN011pwEvr1rlpacwWaDP__2215158925672-0-cib.jpg?v=1764568029, friendlyName=Open</x:v>
      </x:c>
      <x:c r="C1567" s="24" t="e">
        <x:f>HYPERLINK("https://365nails.com/products/elegant-maroon-pink-french-tip-3d-floral-gold-foil-press-on-nails","Elegant Maroon Pink French Tip 3D Floral Gold Foil Press-On Nails")</x:f>
        <x:v>HYPERLINK is not implemented. linkLocation=https://365nails.com/products/elegant-maroon-pink-french-tip-3d-floral-gold-foil-press-on-nails, friendlyName=Elegant Maroon Pink French Tip 3D Floral Gold Foil Press-On Nails</x:v>
      </x:c>
      <x:c r="D1567" s="18" t="str">
        <x:v>shape: medium and long square; size: S / M / L</x:v>
      </x:c>
      <x:c r="E1567" s="25" t="str">
        <x:v>$4.99</x:v>
      </x:c>
      <x:c r="F1567" s="19" t="str">
        <x:v>30</x:v>
      </x:c>
    </x:row>
    <x:row r="1568" ht="93" customHeight="1">
      <x:c r="A1568" s="19" t="n">
        <x:v>1565</x:v>
      </x:c>
      <x:c r="B1568" s="22" t="e">
        <x:f>HYPERLINK("https://cdn.shopify.com/s/files/1/0918/6066/4603/files/tufan_2F25cb9b6a-c83a-11f0-abbc-00163e19eec2.jpg?v=1763881652","Open")</x:f>
        <x:v>HYPERLINK is not implemented. linkLocation=https://cdn.shopify.com/s/files/1/0918/6066/4603/files/tufan_2F25cb9b6a-c83a-11f0-abbc-00163e19eec2.jpg?v=1763881652, friendlyName=Open</x:v>
      </x:c>
      <x:c r="C1568" s="24" t="e">
        <x:f>HYPERLINK("https://365nails.com/products/arch-shaped-nail-art-display-cards-for-press-on-nails","Arch‑Shaped Nail Art Display Cards for Press‑On Nails")</x:f>
        <x:v>HYPERLINK is not implemented. linkLocation=https://365nails.com/products/arch-shaped-nail-art-display-cards-for-press-on-nails, friendlyName=Arch‑Shaped Nail Art Display Cards for Press‑On Nails</x:v>
      </x:c>
      <x:c r="D1568" s="18" t="str">
        <x:v>Color: D01-Pink Small Fresh Lace / D02-Purple Small Fresh Lace / D04-ins dark brown retro model / D05-ins wind light brown retro model / D06-Simple Lily Line Drawing / D07-Black Light Luxury Streamer / E01-Black and Pink Retro Butterfly; Quantity: 20pcs</x:v>
      </x:c>
      <x:c r="E1568" s="25" t="str">
        <x:v>$1.20</x:v>
      </x:c>
      <x:c r="F1568" s="19" t="str">
        <x:v>1</x:v>
      </x:c>
    </x:row>
    <x:row r="1569" ht="93" customHeight="1">
      <x:c r="A1569" s="19" t="n">
        <x:v>1566</x:v>
      </x:c>
      <x:c r="B1569" s="22" t="e">
        <x:f>HYPERLINK("https://cdn.shopify.com/s/files/1/0918/6066/4603/files/f7daf6eeca8b9543e19b6ad010f6b5d0.png?v=1767802543","Open")</x:f>
        <x:v>HYPERLINK is not implemented. linkLocation=https://cdn.shopify.com/s/files/1/0918/6066/4603/files/f7daf6eeca8b9543e19b6ad010f6b5d0.png?v=1767802543, friendlyName=Open</x:v>
      </x:c>
      <x:c r="C1569" s="24" t="e">
        <x:f>HYPERLINK("https://365nails.com/products/start-your-nail-brand-500pcs-complete-custom-packaging-set-box-card-logo-sticker","Private Label Packaging Customization for Press-On Nails | Sticker + In-Stock Plastic Box | Paper Box Color/Logo Custom")</x:f>
        <x:v>HYPERLINK is not implemented. linkLocation=https://365nails.com/products/start-your-nail-brand-500pcs-complete-custom-packaging-set-box-card-logo-sticker, friendlyName=Private Label Packaging Customization for Press-On Nails | Sticker + In-Stock Plastic Box | Paper Box Color/Logo Custom</x:v>
      </x:c>
      <x:c r="D1569" s="18" t="str">
        <x:v>Quantity: 100 sets (8.5cm Blank Boxes + Logo Sticker Sheets) / 500 sets（8.5cm Blank Boxes + Logo Sticker Sheets） / 1000 sets (8.5cm Blank Boxes + Logo Sticker Sheets) / 100pcs (Display Cards) / 1000pcs (Customized Display Cards) / 100pcs (8.5cm box) / 100pcs-Logo Stickers / 500pcs-Logo Stickers / 1000pcs-Logo Stickers / Labor Service (Apply 100 Stickers to Boxes） / Labor Service (Apply 500 Stickers to Boxes） / Labor Service (Apply 1000 Stickers to Boxes）</x:v>
      </x:c>
      <x:c r="E1569" s="25" t="str">
        <x:v>$5.00–$400.00</x:v>
      </x:c>
      <x:c r="F1569" s="19" t="str">
        <x:v>1</x:v>
      </x:c>
    </x:row>
    <x:row r="1570" ht="93" customHeight="1">
      <x:c r="A1570" s="19" t="n">
        <x:v>1567</x:v>
      </x:c>
      <x:c r="B1570" s="22" t="e">
        <x:f>HYPERLINK("https://cdn.shopify.com/s/files/1/0918/6066/4603/files/O1CN01XMBEFj1rlpM1vZH8f__2215158925672-0-cib.jpg?v=1754468393","Open")</x:f>
        <x:v>HYPERLINK is not implemented. linkLocation=https://cdn.shopify.com/s/files/1/0918/6066/4603/files/O1CN01XMBEFj1rlpM1vZH8f__2215158925672-0-cib.jpg?v=1754468393, friendlyName=Open</x:v>
      </x:c>
      <x:c r="C1570" s="24" t="e">
        <x:f>HYPERLINK("https://365nails.com/products/heavy-industry-nail-patch-cats-eye-sapphire-blue-three-dimensional-metal-handmade-press-on-nails-transparent-blue-gradual-change-wearable-nail-sticker-365nails","Blue Gem Cat-Eye Nails with Sculpted Metallic Accents")</x:f>
        <x:v>HYPERLINK is not implemented. linkLocation=https://365nails.com/products/heavy-industry-nail-patch-cats-eye-sapphire-blue-three-dimensional-metal-handmade-press-on-nails-transparent-blue-gradual-change-wearable-nail-sticker-365nails, friendlyName=Blue Gem Cat-Eye Nails with Sculpted Metallic Accents</x:v>
      </x:c>
      <x:c r="D1570" s="18" t="str">
        <x:v>shape: lengthened T; size: XS / S / M</x:v>
      </x:c>
      <x:c r="E1570" s="25" t="str">
        <x:v>$4.99</x:v>
      </x:c>
      <x:c r="F1570" s="19" t="str">
        <x:v>30</x:v>
      </x:c>
    </x:row>
    <x:row r="1571" ht="93" customHeight="1">
      <x:c r="A1571" s="19" t="n">
        <x:v>1568</x:v>
      </x:c>
      <x:c r="B1571" s="22" t="e">
        <x:f>HYPERLINK("https://cdn.shopify.com/s/files/1/0918/6066/4603/files/O1CN01p1w6Rw1rlpQv88kgx__2215158925672-0-cib.jpg?v=1754468351","Open")</x:f>
        <x:v>HYPERLINK is not implemented. linkLocation=https://cdn.shopify.com/s/files/1/0918/6066/4603/files/O1CN01p1w6Rw1rlpQv88kgx__2215158925672-0-cib.jpg?v=1754468351, friendlyName=Open</x:v>
      </x:c>
      <x:c r="C1571" s="24" t="e">
        <x:f>HYPERLINK("https://365nails.com/products/spar-cats-eye-handmade-press-on-nails-spray-gun-blush-hand-painted-french-handmade-manicure-medium-and-long-fake-nails-wholesale-365nails","Airbrushed Blush French Nails with Crystal Cat-Eye Florals")</x:f>
        <x:v>HYPERLINK is not implemented. linkLocation=https://365nails.com/products/spar-cats-eye-handmade-press-on-nails-spray-gun-blush-hand-painted-french-handmade-manicure-medium-and-long-fake-nails-wholesale-365nails, friendlyName=Airbrushed Blush French Nails with Crystal Cat-Eye Florals</x:v>
      </x:c>
      <x:c r="D1571" s="18" t="str">
        <x:v>shape: Medium T; size: XS / S / M / L</x:v>
      </x:c>
      <x:c r="E1571" s="25" t="str">
        <x:v>$3.99</x:v>
      </x:c>
      <x:c r="F1571" s="19" t="str">
        <x:v>30</x:v>
      </x:c>
    </x:row>
    <x:row r="1572" ht="93" customHeight="1">
      <x:c r="A1572" s="19" t="n">
        <x:v>1569</x:v>
      </x:c>
      <x:c r="B1572" s="22" t="e">
        <x:f>HYPERLINK("https://cdn.shopify.com/s/files/1/0918/6066/4603/files/a6e89708103f77bfd2415ef85c6580f2.jpg?v=1755249129","Open")</x:f>
        <x:v>HYPERLINK is not implemented. linkLocation=https://cdn.shopify.com/s/files/1/0918/6066/4603/files/a6e89708103f77bfd2415ef85c6580f2.jpg?v=1755249129, friendlyName=Open</x:v>
      </x:c>
      <x:c r="C1572" s="24" t="e">
        <x:f>HYPERLINK("https://365nails.com/products/nail-tips-new-childrens-nail-art-nail-sticker-girl-cartoon-24-nail-art-sticker-cute-removable-press-on-nails-with-drill","Children's Nail Art Nail Sticker Girl Cartoon 24 Nail Art Sticker Cute Removable press on nails With Drill (MOQ=3)")</x:f>
        <x:v>HYPERLINK is not implemented. linkLocation=https://365nails.com/products/nail-tips-new-childrens-nail-art-nail-sticker-girl-cartoon-24-nail-art-sticker-cute-removable-press-on-nails-with-drill, friendlyName=Children's Nail Art Nail Sticker Girl Cartoon 24 Nail Art Sticker Cute Removable press on nails With Drill (MOQ=3)</x:v>
      </x:c>
      <x:c r="D1572" s="18" t="str">
        <x:v>Color: 117-001 / 117-002 / 117-003 / 117-004 / 117-005 / 117-006 / 117-007 / 117-008 / 117-009 / 117-010 / 117-011 / 117-012 / 117-014 / 117-016; Quantity: 3pcs</x:v>
      </x:c>
      <x:c r="E1572" s="25" t="str">
        <x:v>$2.73</x:v>
      </x:c>
      <x:c r="F1572" s="19" t="str">
        <x:v>1</x:v>
      </x:c>
    </x:row>
    <x:row r="1573" ht="93" customHeight="1">
      <x:c r="A1573" s="19" t="n">
        <x:v>1570</x:v>
      </x:c>
      <x:c r="B1573" s="22" t="e">
        <x:f>HYPERLINK("https://cdn.shopify.com/s/files/1/0918/6066/4603/files/O1CN01s7K9ua1rlpRZtgmv4__2215158925672-0-cib.jpg?v=1754468512","Open")</x:f>
        <x:v>HYPERLINK is not implemented. linkLocation=https://cdn.shopify.com/s/files/1/0918/6066/4603/files/O1CN01s7K9ua1rlpRZtgmv4__2215158925672-0-cib.jpg?v=1754468512, friendlyName=Open</x:v>
      </x:c>
      <x:c r="C1573" s="24" t="e">
        <x:f>HYPERLINK("https://365nails.com/products/almond-nail-sweet-and-cool-aurora-nail-metal-shape-small-and-fresh-nail-patch-pure-handmade-press-on-nails-365nails","Iridescent Aurora Nails with Metallic Hearts and Bows")</x:f>
        <x:v>HYPERLINK is not implemented. linkLocation=https://365nails.com/products/almond-nail-sweet-and-cool-aurora-nail-metal-shape-small-and-fresh-nail-patch-pure-handmade-press-on-nails-365nails, friendlyName=Iridescent Aurora Nails with Metallic Hearts and Bows</x:v>
      </x:c>
      <x:c r="D1573" s="18" t="str">
        <x:v>shape: medium almond; size: XS / S / M / L</x:v>
      </x:c>
      <x:c r="E1573" s="25" t="str">
        <x:v>$4.49</x:v>
      </x:c>
      <x:c r="F1573" s="19" t="str">
        <x:v>30</x:v>
      </x:c>
    </x:row>
    <x:row r="1574" ht="93" customHeight="1">
      <x:c r="A1574" s="19" t="n">
        <x:v>1571</x:v>
      </x:c>
      <x:c r="B1574" s="22" t="e">
        <x:f>HYPERLINK("https://cdn.shopify.com/s/files/1/0918/6066/4603/files/O1CN01EePRI01CPwCaTXmR3__2213196780074-0-cib.jpg?v=1763702988","Open")</x:f>
        <x:v>HYPERLINK is not implemented. linkLocation=https://cdn.shopify.com/s/files/1/0918/6066/4603/files/O1CN01EePRI01CPwCaTXmR3__2213196780074-0-cib.jpg?v=1763702988, friendlyName=Open</x:v>
      </x:c>
      <x:c r="C1574" s="24" t="e">
        <x:f>HYPERLINK("https://365nails.com/products/cute-red-christmas-press-on-nails-reindeer-santa-snowflake-design","Cute Red Christmas Press‑On Nails – Reindeer Santa Snowflake Design")</x:f>
        <x:v>HYPERLINK is not implemented. linkLocation=https://365nails.com/products/cute-red-christmas-press-on-nails-reindeer-santa-snowflake-design, friendlyName=Cute Red Christmas Press‑On Nails – Reindeer Santa Snowflake Design</x:v>
      </x:c>
      <x:c r="D1574" s="18" t="str">
        <x:v>Color: Christmas Elk; size: Extra small XS / S / M M / Large L</x:v>
      </x:c>
      <x:c r="E1574" s="25" t="str">
        <x:v>$3.49</x:v>
      </x:c>
      <x:c r="F1574" s="19" t="str">
        <x:v>1</x:v>
      </x:c>
    </x:row>
    <x:row r="1575" ht="93" customHeight="1">
      <x:c r="A1575" s="19" t="n">
        <x:v>1572</x:v>
      </x:c>
      <x:c r="B1575" s="22" t="e">
        <x:f>HYPERLINK("https://cdn.shopify.com/s/files/1/0918/6066/4603/files/O1CN013ICHPI247bZUM80bw__2209064737344-0-cib.jpg?v=1755240437","Open")</x:f>
        <x:v>HYPERLINK is not implemented. linkLocation=https://cdn.shopify.com/s/files/1/0918/6066/4603/files/O1CN013ICHPI247bZUM80bw__2209064737344-0-cib.jpg?v=1755240437, friendlyName=Open</x:v>
      </x:c>
      <x:c r="C1575" s="24" t="e">
        <x:f>HYPERLINK("https://365nails.com/products/nail-tips-lengthening-salon-art-nail-pads-12-pcs-bagged-pointed-performance-manicure-super-long-fake-nail-pads","Nail Tips length salon art nail pads 12 pcs bagged (MOQ=3)")</x:f>
        <x:v>HYPERLINK is not implemented. linkLocation=https://365nails.com/products/nail-tips-lengthening-salon-art-nail-pads-12-pcs-bagged-pointed-performance-manicure-super-long-fake-nail-pads, friendlyName=Nail Tips length salon art nail pads 12 pcs bagged (MOQ=3)</x:v>
      </x:c>
      <x:c r="D1575" s="18" t="str">
        <x:v>Color: Transparent pointed medium and long salon nail 12 pieces/bag / Natural pointed medium and long salon nail 12 pieces/bag / Transparent pointed extra long salon nail 12 pieces/bag / Natural pointed super long salon nail 12 pieces/bag / Transparent XXXL square 10 pieces/pack / Natural XXXL Square 10 pieces/pack; Quantity: 3pcs</x:v>
      </x:c>
      <x:c r="E1575" s="25" t="str">
        <x:v>$6.00</x:v>
      </x:c>
      <x:c r="F1575" s="19" t="str">
        <x:v>1</x:v>
      </x:c>
    </x:row>
    <x:row r="1576" ht="93" customHeight="1">
      <x:c r="A1576" s="19" t="n">
        <x:v>1573</x:v>
      </x:c>
      <x:c r="B1576" s="22" t="e">
        <x:f>HYPERLINK("https://cdn.shopify.com/s/files/1/0918/6066/4603/files/O1CN01xVoXZe1rlpQZdn6Gz__2215158925672-0-cib.jpg?v=1754470080","Open")</x:f>
        <x:v>HYPERLINK is not implemented. linkLocation=https://cdn.shopify.com/s/files/1/0918/6066/4603/files/O1CN01xVoXZe1rlpQZdn6Gz__2215158925672-0-cib.jpg?v=1754470080, friendlyName=Open</x:v>
      </x:c>
      <x:c r="C1576" s="24" t="e">
        <x:f>HYPERLINK("https://365nails.com/products/pure-desire-blush-handmade-press-on-nails-ice-through-spray-gun-blush-light-therapy-nail-patch-long-tip-oval-wear-nail-365nails","Airbrushed Pink Blush Nails with Sheer Icy Finish")</x:f>
        <x:v>HYPERLINK is not implemented. linkLocation=https://365nails.com/products/pure-desire-blush-handmade-press-on-nails-ice-through-spray-gun-blush-light-therapy-nail-patch-long-tip-oval-wear-nail-365nails, friendlyName=Airbrushed Pink Blush Nails with Sheer Icy Finish</x:v>
      </x:c>
      <x:c r="D1576" s="18" t="str">
        <x:v>shape: long pointed ellipse; size: XS / S / M / L</x:v>
      </x:c>
      <x:c r="E1576" s="25" t="str">
        <x:v>$2.49</x:v>
      </x:c>
      <x:c r="F1576" s="19" t="str">
        <x:v>30</x:v>
      </x:c>
    </x:row>
    <x:row r="1577" ht="93" customHeight="1">
      <x:c r="A1577" s="19" t="n">
        <x:v>1574</x:v>
      </x:c>
      <x:c r="B1577" s="22" t="e">
        <x:f>HYPERLINK("https://cdn.shopify.com/s/files/1/0918/6066/4603/files/O1CN01Yk7tDQ1CPwKEgbFCW__2213196780074-0-cib.jpg?v=1753688965","Open")</x:f>
        <x:v>HYPERLINK is not implemented. linkLocation=https://cdn.shopify.com/s/files/1/0918/6066/4603/files/O1CN01Yk7tDQ1CPwKEgbFCW__2213196780074-0-cib.jpg?v=1753688965, friendlyName=Open</x:v>
      </x:c>
      <x:c r="C1577" s="24" t="e">
        <x:f>HYPERLINK("https://365nails.com/products/tropical-flower-devils-flower-dopamine-three-dimensional-carving-handmade-press-on-nails-flower-gradient-long-365nails","Tropical Demon Flower Nails with Dopamine 3D Sculpted Art")</x:f>
        <x:v>HYPERLINK is not implemented. linkLocation=https://365nails.com/products/tropical-flower-devils-flower-dopamine-three-dimensional-carving-handmade-press-on-nails-flower-gradient-long-365nails, friendlyName=Tropical Demon Flower Nails with Dopamine 3D Sculpted Art</x:v>
      </x:c>
      <x:c r="D1577" s="18" t="str">
        <x:v>size: XS / S / M / L; shape: 2501 Ladder</x:v>
      </x:c>
      <x:c r="E1577" s="25" t="str">
        <x:v>$4.99</x:v>
      </x:c>
      <x:c r="F1577" s="19" t="str">
        <x:v>1</x:v>
      </x:c>
    </x:row>
    <x:row r="1578" ht="93" customHeight="1">
      <x:c r="A1578" s="19" t="n">
        <x:v>1575</x:v>
      </x:c>
      <x:c r="B1578" s="22" t="e">
        <x:f>HYPERLINK("https://cdn.shopify.com/s/files/1/0918/6066/4603/files/O1CN01mHv7KW1rlpUsJx6qi__2215158925672-0-cib.jpg?v=1754469124","Open")</x:f>
        <x:v>HYPERLINK is not implemented. linkLocation=https://cdn.shopify.com/s/files/1/0918/6066/4603/files/O1CN01mHv7KW1rlpUsJx6qi__2215158925672-0-cib.jpg?v=1754469124, friendlyName=Open</x:v>
      </x:c>
      <x:c r="C1578" s="24" t="e">
        <x:f>HYPERLINK("https://365nails.com/products/handemade-press-on-nails-3d-three-dimensional-carving-sweet-ice-through-french-nail-patch-almond-nail-365nails","Sweet 3D Floral Nails with Icy Gradient French Tips")</x:f>
        <x:v>HYPERLINK is not implemented. linkLocation=https://365nails.com/products/handemade-press-on-nails-3d-three-dimensional-carving-sweet-ice-through-french-nail-patch-almond-nail-365nails, friendlyName=Sweet 3D Floral Nails with Icy Gradient French Tips</x:v>
      </x:c>
      <x:c r="D1578" s="18" t="str">
        <x:v>shape: Almond nail; size: XS / S / M / L</x:v>
      </x:c>
      <x:c r="E1578" s="25" t="str">
        <x:v>$4.49</x:v>
      </x:c>
      <x:c r="F1578" s="19" t="str">
        <x:v>30</x:v>
      </x:c>
    </x:row>
    <x:row r="1579" ht="93" customHeight="1">
      <x:c r="A1579" s="19" t="n">
        <x:v>1576</x:v>
      </x:c>
      <x:c r="B1579" s="22" t="e">
        <x:f>HYPERLINK("https://cdn.shopify.com/s/files/1/0918/6066/4603/files/O1CN01Tmj7WO1rlpUA7felh__2215158925672-0-cib.jpg?v=1754469070","Open")</x:f>
        <x:v>HYPERLINK is not implemented. linkLocation=https://cdn.shopify.com/s/files/1/0918/6066/4603/files/O1CN01Tmj7WO1rlpUA7felh__2215158925672-0-cib.jpg?v=1754469070, friendlyName=Open</x:v>
      </x:c>
      <x:c r="C1579" s="24" t="e">
        <x:f>HYPERLINK("https://365nails.com/products/handmade-press-on-nails-duck-beak-nail-sweet-cool-spice-girl-cute-fluorescent-blush-nail-365nails","Candy Glow Nails with Playful Fluorescent Accents")</x:f>
        <x:v>HYPERLINK is not implemented. linkLocation=https://365nails.com/products/handmade-press-on-nails-duck-beak-nail-sweet-cool-spice-girl-cute-fluorescent-blush-nail-365nails, friendlyName=Candy Glow Nails with Playful Fluorescent Accents</x:v>
      </x:c>
      <x:c r="D1579" s="18" t="str">
        <x:v>shape: short bill; size: S / M / L</x:v>
      </x:c>
      <x:c r="E1579" s="25" t="str">
        <x:v>$4.49</x:v>
      </x:c>
      <x:c r="F1579" s="19" t="str">
        <x:v>30</x:v>
      </x:c>
    </x:row>
    <x:row r="1580" ht="93" customHeight="1">
      <x:c r="A1580" s="19" t="n">
        <x:v>1577</x:v>
      </x:c>
      <x:c r="B1580" s="22" t="e">
        <x:f>HYPERLINK("https://cdn.shopify.com/s/files/1/0918/6066/4603/files/O1CN019JgBN81rlpLUlOad1__2215158925672-0-cib.jpg?v=1754468967","Open")</x:f>
        <x:v>HYPERLINK is not implemented. linkLocation=https://cdn.shopify.com/s/files/1/0918/6066/4603/files/O1CN019JgBN81rlpLUlOad1__2215158925672-0-cib.jpg?v=1754468967, friendlyName=Open</x:v>
      </x:c>
      <x:c r="C1580" s="24" t="e">
        <x:f>HYPERLINK("https://365nails.com/products/sweet-cool-handmade-gypsum-glue-small-flower-pearl-nail-art-patch-sticker-handmade-press-on-nails-art-wholesale-365nails","Hand-Painted Floral Nails with Plaster-Gel Texture &amp; Pearl Accents")</x:f>
        <x:v>HYPERLINK is not implemented. linkLocation=https://365nails.com/products/sweet-cool-handmade-gypsum-glue-small-flower-pearl-nail-art-patch-sticker-handmade-press-on-nails-art-wholesale-365nails, friendlyName=Hand-Painted Floral Nails with Plaster-Gel Texture &amp; Pearl Accents</x:v>
      </x:c>
      <x:c r="D1580" s="18" t="str">
        <x:v>shape: medium almond; size: XS / S / M / L</x:v>
      </x:c>
      <x:c r="E1580" s="25" t="str">
        <x:v>$3.49</x:v>
      </x:c>
      <x:c r="F1580" s="19" t="str">
        <x:v>30</x:v>
      </x:c>
    </x:row>
    <x:row r="1581" ht="93" customHeight="1">
      <x:c r="A1581" s="19" t="n">
        <x:v>1578</x:v>
      </x:c>
      <x:c r="B1581" s="22" t="e">
        <x:f>HYPERLINK("https://cdn.shopify.com/s/files/1/0918/6066/4603/files/274ebbed8c90fc69969d3a825255f2ac.jpg?v=1755241302","Open")</x:f>
        <x:v>HYPERLINK is not implemented. linkLocation=https://cdn.shopify.com/s/files/1/0918/6066/4603/files/274ebbed8c90fc69969d3a825255f2ac.jpg?v=1755241302, friendlyName=Open</x:v>
      </x:c>
      <x:c r="C1581" s="24" t="e">
        <x:f>HYPERLINK("https://365nails.com/products/nail-tips-popular-3d-rhombus-nail-piece-almond-nail-ballet-nail-irregular-transparent-fake-nail-piece-nail-art-wholesale","Nail Tips popular 3D rhombus nail piece almond nail (MOQ=3)")</x:f>
        <x:v>HYPERLINK is not implemented. linkLocation=https://365nails.com/products/nail-tips-popular-3d-rhombus-nail-piece-almond-nail-ballet-nail-irregular-transparent-fake-nail-piece-nail-art-wholesale, friendlyName=Nail Tips popular 3D rhombus nail piece almond nail (MOQ=3)</x:v>
      </x:c>
      <x:c r="D1581" s="18" t="str">
        <x:v>Color: YS-441 * 150 pieces / YS-452 * 150 pieces / YS-454 * 150 pieces / YS-457 * 150 pieces / YS-468 * 150 pieces / YS-470 * 150 pieces; quantity: 3pcs</x:v>
      </x:c>
      <x:c r="E1581" s="25" t="str">
        <x:v>$6.00</x:v>
      </x:c>
      <x:c r="F1581" s="19" t="str">
        <x:v>1</x:v>
      </x:c>
    </x:row>
    <x:row r="1582" ht="93" customHeight="1">
      <x:c r="A1582" s="19" t="n">
        <x:v>1579</x:v>
      </x:c>
      <x:c r="B1582" s="22" t="e">
        <x:f>HYPERLINK("https://cdn.shopify.com/s/files/1/0918/6066/4603/files/O1CN01oIFnaK1rlpXT5UEQE__2215158925672-0-cib.jpg?v=1754470147","Open")</x:f>
        <x:v>HYPERLINK is not implemented. linkLocation=https://cdn.shopify.com/s/files/1/0918/6066/4603/files/O1CN01oIFnaK1rlpXT5UEQE__2215158925672-0-cib.jpg?v=1754470147, friendlyName=Open</x:v>
      </x:c>
      <x:c r="C1582" s="24" t="e">
        <x:f>HYPERLINK("https://365nails.com/products/duck-bill-nail-ice-transparent-pure-blush-nail-sweet-three-dimensional-carving-handmade-press-on-nails-wholesale-365nails","Icy Blush Nails with 3D Floral and Crystal Accents")</x:f>
        <x:v>HYPERLINK is not implemented. linkLocation=https://365nails.com/products/duck-bill-nail-ice-transparent-pure-blush-nail-sweet-three-dimensional-carving-handmade-press-on-nails-wholesale-365nails, friendlyName=Icy Blush Nails with 3D Floral and Crystal Accents</x:v>
      </x:c>
      <x:c r="D1582" s="18" t="str">
        <x:v>shape: short bill; size: S / M / L</x:v>
      </x:c>
      <x:c r="E1582" s="25" t="str">
        <x:v>$4.49</x:v>
      </x:c>
      <x:c r="F1582" s="19" t="str">
        <x:v>30</x:v>
      </x:c>
    </x:row>
    <x:row r="1583" ht="93" customHeight="1">
      <x:c r="A1583" s="19" t="n">
        <x:v>1580</x:v>
      </x:c>
      <x:c r="B1583" s="22" t="e">
        <x:f>HYPERLINK("https://cdn.shopify.com/s/files/1/0918/6066/4603/files/O1CN01IEK45L1CPwKCvarBk__2213196780074-0-cib.jpg?v=1763705319","Open")</x:f>
        <x:v>HYPERLINK is not implemented. linkLocation=https://cdn.shopify.com/s/files/1/0918/6066/4603/files/O1CN01IEK45L1CPwKCvarBk__2213196780074-0-cib.jpg?v=1763705319, friendlyName=Open</x:v>
      </x:c>
      <x:c r="C1583" s="24" t="e">
        <x:f>HYPERLINK("https://365nails.com/products/christmas-wreath-star-press-on-nails-green-and-gray-glitter-design","Christmas Wreath &amp; Star Press‑On Nails – Green and Gray Glitter Design")</x:f>
        <x:v>HYPERLINK is not implemented. linkLocation=https://365nails.com/products/christmas-wreath-star-press-on-nails-green-and-gray-glitter-design, friendlyName=Christmas Wreath &amp; Star Press‑On Nails – Green and Gray Glitter Design</x:v>
      </x:c>
      <x:c r="D1583" s="18" t="str">
        <x:v>size: Extra small XS / S / M M / Large L; Specification type: 2557 ultra-short ladder</x:v>
      </x:c>
      <x:c r="E1583" s="25" t="str">
        <x:v>$3.49</x:v>
      </x:c>
      <x:c r="F1583" s="19" t="str">
        <x:v>1</x:v>
      </x:c>
    </x:row>
    <x:row r="1584" ht="93" customHeight="1">
      <x:c r="A1584" s="19" t="n">
        <x:v>1581</x:v>
      </x:c>
      <x:c r="B1584" s="22" t="e">
        <x:f>HYPERLINK("https://cdn.shopify.com/s/files/1/0918/6066/4603/files/tufan_2Faafdc8ae-c69f-11f0-a6b3-00163e1989f2.jpg?v=1763705159","Open")</x:f>
        <x:v>HYPERLINK is not implemented. linkLocation=https://cdn.shopify.com/s/files/1/0918/6066/4603/files/tufan_2Faafdc8ae-c69f-11f0-a6b3-00163e1989f2.jpg?v=1763705159, friendlyName=Open</x:v>
      </x:c>
      <x:c r="C1584" s="24" t="e">
        <x:f>HYPERLINK("https://365nails.com/products/christmas-gradient-press-on-nails-red-snowflake-tree-design","Christmas Gradient Press‑On Nails – Red Snowflake &amp; Tree Design")</x:f>
        <x:v>HYPERLINK is not implemented. linkLocation=https://365nails.com/products/christmas-gradient-press-on-nails-red-snowflake-tree-design, friendlyName=Christmas Gradient Press‑On Nails – Red Snowflake &amp; Tree Design</x:v>
      </x:c>
      <x:c r="D1584" s="18" t="str">
        <x:v>Length: 1321 - Christmas Party Short Round / 1325 - Christmas Party Ladder; size: Extra small XS / S / M M / Large L</x:v>
      </x:c>
      <x:c r="E1584" s="25" t="str">
        <x:v>$2.99</x:v>
      </x:c>
      <x:c r="F1584" s="19" t="str">
        <x:v>1</x:v>
      </x:c>
    </x:row>
    <x:row r="1585" ht="93" customHeight="1">
      <x:c r="A1585" s="19" t="n">
        <x:v>1582</x:v>
      </x:c>
      <x:c r="B1585" s="22" t="e">
        <x:f>HYPERLINK("https://cdn.shopify.com/s/files/1/0918/6066/4603/files/O1CN01yJiLL21CPwDQWtMhj__2213196780074-0-cib_ffbec70c-73a1-4079-9871-b5ef7fa45d03.jpg?v=1763703951","Open")</x:f>
        <x:v>HYPERLINK is not implemented. linkLocation=https://cdn.shopify.com/s/files/1/0918/6066/4603/files/O1CN01yJiLL21CPwDQWtMhj__2213196780074-0-cib_ffbec70c-73a1-4079-9871-b5ef7fa45d03.jpg?v=1763703951, friendlyName=Open</x:v>
      </x:c>
      <x:c r="C1585" s="24" t="e">
        <x:f>HYPERLINK("https://365nails.com/products/porcelain-white-cat-eye-press-on-nails-christmas-tree-crystal-design","Porcelain White Cat‑Eye Press‑On Nails – Christmas Tree &amp; Crystal Design")</x:f>
        <x:v>HYPERLINK is not implemented. linkLocation=https://365nails.com/products/porcelain-white-cat-eye-press-on-nails-christmas-tree-crystal-design, friendlyName=Porcelain White Cat‑Eye Press‑On Nails – Christmas Tree &amp; Crystal Design</x:v>
      </x:c>
      <x:c r="D1585" s="18" t="str">
        <x:v>Color: Christmas porcelain white cat eye; Size: Extra small XS / S / M M / Large L</x:v>
      </x:c>
      <x:c r="E1585" s="25" t="str">
        <x:v>$3.99</x:v>
      </x:c>
      <x:c r="F1585" s="19" t="str">
        <x:v>1</x:v>
      </x:c>
    </x:row>
    <x:row r="1586" ht="93" customHeight="1">
      <x:c r="A1586" s="19" t="n">
        <x:v>1583</x:v>
      </x:c>
      <x:c r="B1586" s="22" t="e">
        <x:f>HYPERLINK("https://cdn.shopify.com/s/files/1/0918/6066/4603/files/O1CN01jhel4j1CPwCuF8szH__2213196780074-0-cib.jpg?v=1763703608","Open")</x:f>
        <x:v>HYPERLINK is not implemented. linkLocation=https://cdn.shopify.com/s/files/1/0918/6066/4603/files/O1CN01jhel4j1CPwCuF8szH__2213196780074-0-cib.jpg?v=1763703608, friendlyName=Open</x:v>
      </x:c>
      <x:c r="C1586" s="24" t="e">
        <x:f>HYPERLINK("https://365nails.com/products/christmas-starlight-press-on-nails-santa-reindeer-gift-design","Christmas Starlight Press‑On Nails – Santa Reindeer Gift Design")</x:f>
        <x:v>HYPERLINK is not implemented. linkLocation=https://365nails.com/products/christmas-starlight-press-on-nails-santa-reindeer-gift-design, friendlyName=Christmas Starlight Press‑On Nails – Santa Reindeer Gift Design</x:v>
      </x:c>
      <x:c r="D1586" s="18" t="str">
        <x:v>Color: Christmas gift; size: Extra small XS / S / M M / Large L</x:v>
      </x:c>
      <x:c r="E1586" s="25" t="str">
        <x:v>$3.49</x:v>
      </x:c>
      <x:c r="F1586" s="19" t="str">
        <x:v>1</x:v>
      </x:c>
    </x:row>
    <x:row r="1587" ht="93" customHeight="1">
      <x:c r="A1587" s="19" t="n">
        <x:v>1584</x:v>
      </x:c>
      <x:c r="B1587" s="22" t="e">
        <x:f>HYPERLINK("https://cdn.shopify.com/s/files/1/0918/6066/4603/files/O1CN01JNL8MT1CPwJrvKF4c__2213196780074-0-cib_b03ec380-ab72-41b4-9dc8-bfe51fcb0d8e.jpg?v=1763703687","Open")</x:f>
        <x:v>HYPERLINK is not implemented. linkLocation=https://cdn.shopify.com/s/files/1/0918/6066/4603/files/O1CN01JNL8MT1CPwJrvKF4c__2213196780074-0-cib_b03ec380-ab72-41b4-9dc8-bfe51fcb0d8e.jpg?v=1763703687, friendlyName=Open</x:v>
      </x:c>
      <x:c r="C1587" s="24" t="e">
        <x:f>HYPERLINK("https://365nails.com/products/christmas-tree-snowflake-press-on-nails-red-green-glitter-design","Christmas Tree &amp; Snowflake Press‑On Nails – Red Green Glitter Design")</x:f>
        <x:v>HYPERLINK is not implemented. linkLocation=https://365nails.com/products/christmas-tree-snowflake-press-on-nails-red-green-glitter-design, friendlyName=Christmas Tree &amp; Snowflake Press‑On Nails – Red Green Glitter Design</x:v>
      </x:c>
      <x:c r="D1587" s="18" t="str">
        <x:v>Size: Extra small XS / S / M M / Large L; Specification type: 2492 ultra short ladder</x:v>
      </x:c>
      <x:c r="E1587" s="25" t="str">
        <x:v>$2.99</x:v>
      </x:c>
      <x:c r="F1587" s="19" t="str">
        <x:v>1</x:v>
      </x:c>
    </x:row>
    <x:row r="1588" ht="93" customHeight="1">
      <x:c r="A1588" s="19" t="n">
        <x:v>1585</x:v>
      </x:c>
      <x:c r="B1588" s="22" t="e">
        <x:f>HYPERLINK("https://cdn.shopify.com/s/files/1/0918/6066/4603/files/O1CN0179ip6z1rlpTlNvsUI__2215158925672-0-cib.jpg?v=1754470354","Open")</x:f>
        <x:v>HYPERLINK is not implemented. linkLocation=https://cdn.shopify.com/s/files/1/0918/6066/4603/files/O1CN0179ip6z1rlpTlNvsUI__2215158925672-0-cib.jpg?v=1754470354, friendlyName=Open</x:v>
      </x:c>
      <x:c r="C1588" s="24" t="e">
        <x:f>HYPERLINK("https://365nails.com/products/handemade-press-on-nails-colored-stone-baroque-metal-blush-nail-creative-hand-painted-lines-sweet-cool-nail-art-365nails","Pink Blush Nails with Baroque Metallic Gem Accents")</x:f>
        <x:v>HYPERLINK is not implemented. linkLocation=https://365nails.com/products/handemade-press-on-nails-colored-stone-baroque-metal-blush-nail-creative-hand-painted-lines-sweet-cool-nail-art-365nails, friendlyName=Pink Blush Nails with Baroque Metallic Gem Accents</x:v>
      </x:c>
      <x:c r="D1588" s="18" t="str">
        <x:v>Color: long tip; Color classification: XS / S / M / L</x:v>
      </x:c>
      <x:c r="E1588" s="25" t="str">
        <x:v>$4.49</x:v>
      </x:c>
      <x:c r="F1588" s="19" t="str">
        <x:v>30</x:v>
      </x:c>
    </x:row>
    <x:row r="1589" ht="93" customHeight="1">
      <x:c r="A1589" s="19" t="n">
        <x:v>1586</x:v>
      </x:c>
      <x:c r="B1589" s="22" t="e">
        <x:f>HYPERLINK("https://cdn.shopify.com/s/files/1/0918/6066/4603/files/O1CN01JilwLa1rlpS8ywRac__2215158925672-0-cib.jpg?v=1754470247","Open")</x:f>
        <x:v>HYPERLINK is not implemented. linkLocation=https://cdn.shopify.com/s/files/1/0918/6066/4603/files/O1CN01JilwLa1rlpS8ywRac__2215158925672-0-cib.jpg?v=1754470247, friendlyName=Open</x:v>
      </x:c>
      <x:c r="C1589" s="24" t="e">
        <x:f>HYPERLINK("https://365nails.com/products/handmade-press-on-nails-two-color-gradual-change-ice-through-irregular-metal-relief-long-pointed-nail-art-wearable-fake-nails-365nails","Icy Two-Tone Gradient Nails with Sculpted Chrome Metal Accents")</x:f>
        <x:v>HYPERLINK is not implemented. linkLocation=https://365nails.com/products/handmade-press-on-nails-two-color-gradual-change-ice-through-irregular-metal-relief-long-pointed-nail-art-wearable-fake-nails-365nails, friendlyName=Icy Two-Tone Gradient Nails with Sculpted Chrome Metal Accents</x:v>
      </x:c>
      <x:c r="D1589" s="18" t="str">
        <x:v>shape: long tip; size: XS / S / M / L</x:v>
      </x:c>
      <x:c r="E1589" s="25" t="str">
        <x:v>$4.99</x:v>
      </x:c>
      <x:c r="F1589" s="19" t="str">
        <x:v>30</x:v>
      </x:c>
    </x:row>
    <x:row r="1590" ht="93" customHeight="1">
      <x:c r="A1590" s="19" t="n">
        <x:v>1587</x:v>
      </x:c>
      <x:c r="B1590" s="22" t="e">
        <x:f>HYPERLINK("https://cdn.shopify.com/s/files/1/0918/6066/4603/files/O1CN01vwAtY21rlpUq4utjp__2215158925672-0-cib.jpg?v=1754470099","Open")</x:f>
        <x:v>HYPERLINK is not implemented. linkLocation=https://cdn.shopify.com/s/files/1/0918/6066/4603/files/O1CN01vwAtY21rlpUq4utjp__2215158925672-0-cib.jpg?v=1754470099, friendlyName=Open</x:v>
      </x:c>
      <x:c r="C1590" s="24" t="e">
        <x:f>HYPERLINK("https://365nails.com/products/handemade-press-on-nails-sweet-cool-spice-girl-hand-painted-embossed-blush-nail-almond-nail-365nails","Hand-Painted Blue Gradient Nails with Sculpted Metallic Bow Accents")</x:f>
        <x:v>HYPERLINK is not implemented. linkLocation=https://365nails.com/products/handemade-press-on-nails-sweet-cool-spice-girl-hand-painted-embossed-blush-nail-almond-nail-365nails, friendlyName=Hand-Painted Blue Gradient Nails with Sculpted Metallic Bow Accents</x:v>
      </x:c>
      <x:c r="D1590" s="18" t="str">
        <x:v>shape: medium almond; size: XS / S / M / L</x:v>
      </x:c>
      <x:c r="E1590" s="25" t="str">
        <x:v>$2.99</x:v>
      </x:c>
      <x:c r="F1590" s="19" t="str">
        <x:v>30</x:v>
      </x:c>
    </x:row>
    <x:row r="1591" ht="93" customHeight="1">
      <x:c r="A1591" s="19" t="n">
        <x:v>1588</x:v>
      </x:c>
      <x:c r="B1591" s="22" t="e">
        <x:f>HYPERLINK("https://cdn.shopify.com/s/files/1/0918/6066/4603/files/O1CN01wm4IQ61CPwDLl2R8D__2213196780074-0-cib.jpg?v=1763705636","Open")</x:f>
        <x:v>HYPERLINK is not implemented. linkLocation=https://cdn.shopify.com/s/files/1/0918/6066/4603/files/O1CN01wm4IQ61CPwDLl2R8D__2213196780074-0-cib.jpg?v=1763705636, friendlyName=Open</x:v>
      </x:c>
      <x:c r="C1591" s="24" t="e">
        <x:f>HYPERLINK("https://365nails.com/products/wine-red-pearl-christmas-press-on-nails-snowflake-ribbon-design","Wine Red Pearl Christmas Press‑On Nails – Snowflake &amp; Ribbon Design")</x:f>
        <x:v>HYPERLINK is not implemented. linkLocation=https://365nails.com/products/wine-red-pearl-christmas-press-on-nails-snowflake-ribbon-design, friendlyName=Wine Red Pearl Christmas Press‑On Nails – Snowflake &amp; Ribbon Design</x:v>
      </x:c>
      <x:c r="D1591" s="18" t="str">
        <x:v>Color: Red Christmas; size: Extra small XS / S / M M / Large L</x:v>
      </x:c>
      <x:c r="E1591" s="25" t="str">
        <x:v>$3.49</x:v>
      </x:c>
      <x:c r="F1591" s="19" t="str">
        <x:v>1</x:v>
      </x:c>
    </x:row>
    <x:row r="1592" ht="93" customHeight="1">
      <x:c r="A1592" s="19" t="n">
        <x:v>1589</x:v>
      </x:c>
      <x:c r="B1592" s="22" t="e">
        <x:f>HYPERLINK("https://cdn.shopify.com/s/files/1/0918/6066/4603/files/O1CN01eRb6a61CPwCjtYOJi__2213196780074-0-cib_83d129b1-3767-4669-919b-0513bda74c0d.jpg?v=1763703754","Open")</x:f>
        <x:v>HYPERLINK is not implemented. linkLocation=https://cdn.shopify.com/s/files/1/0918/6066/4603/files/O1CN01eRb6a61CPwCjtYOJi__2213196780074-0-cib_83d129b1-3767-4669-919b-0513bda74c0d.jpg?v=1763703754, friendlyName=Open</x:v>
      </x:c>
      <x:c r="C1592" s="24" t="e">
        <x:f>HYPERLINK("https://365nails.com/products/cute-christmas-press-on-nails-snowman-tree-gingerbread-design","Cute Christmas Press‑On Nails – Snowman, Tree &amp; Gingerbread Design")</x:f>
        <x:v>HYPERLINK is not implemented. linkLocation=https://365nails.com/products/cute-christmas-press-on-nails-snowman-tree-gingerbread-design, friendlyName=Cute Christmas Press‑On Nails – Snowman, Tree &amp; Gingerbread Design</x:v>
      </x:c>
      <x:c r="D1592" s="18" t="str">
        <x:v>Color: Carved hand-painted Christmas; Size: Extra small XS / S / M M / Large L</x:v>
      </x:c>
      <x:c r="E1592" s="25" t="str">
        <x:v>$3.49</x:v>
      </x:c>
      <x:c r="F1592" s="19" t="str">
        <x:v>1</x:v>
      </x:c>
    </x:row>
    <x:row r="1593" ht="93" customHeight="1">
      <x:c r="A1593" s="19" t="n">
        <x:v>1590</x:v>
      </x:c>
      <x:c r="B1593" s="22" t="e">
        <x:f>HYPERLINK("https://cdn.shopify.com/s/files/1/0918/6066/4603/files/O1CN01VzLs1w1CPwJYo4f8f__2213196780074-0-cib_e919c6a9-cd1d-46f8-be5a-08c22b2d18d9.jpg?v=1763703710","Open")</x:f>
        <x:v>HYPERLINK is not implemented. linkLocation=https://cdn.shopify.com/s/files/1/0918/6066/4603/files/O1CN01VzLs1w1CPwJYo4f8f__2213196780074-0-cib_e919c6a9-cd1d-46f8-be5a-08c22b2d18d9.jpg?v=1763703710, friendlyName=Open</x:v>
      </x:c>
      <x:c r="C1593" s="24" t="e">
        <x:f>HYPERLINK("https://365nails.com/products/luxury-santa-christmas-press-on-nails-red-plaid-bow-design","Luxury Santa Christmas Press‑On Nails – Red Plaid &amp; Bow Design")</x:f>
        <x:v>HYPERLINK is not implemented. linkLocation=https://365nails.com/products/luxury-santa-christmas-press-on-nails-red-plaid-bow-design, friendlyName=Luxury Santa Christmas Press‑On Nails – Red Plaid &amp; Bow Design</x:v>
      </x:c>
      <x:c r="D1593" s="18" t="str">
        <x:v>Size: Extra small XS / S / M M / Large L; Specification type: 193 Super long ladder</x:v>
      </x:c>
      <x:c r="E1593" s="25" t="str">
        <x:v>$3.99</x:v>
      </x:c>
      <x:c r="F1593" s="19" t="str">
        <x:v>1</x:v>
      </x:c>
    </x:row>
    <x:row r="1594" ht="93" customHeight="1">
      <x:c r="A1594" s="19" t="n">
        <x:v>1591</x:v>
      </x:c>
      <x:c r="B1594" s="22" t="e">
        <x:f>HYPERLINK("https://cdn.shopify.com/s/files/1/0918/6066/4603/files/O1CN01uoNFY11rlpWshdVQD__2215158925672-0-cib.jpg?v=1754470380","Open")</x:f>
        <x:v>HYPERLINK is not implemented. linkLocation=https://cdn.shopify.com/s/files/1/0918/6066/4603/files/O1CN01uoNFY11rlpWshdVQD__2215158925672-0-cib.jpg?v=1754470380, friendlyName=Open</x:v>
      </x:c>
      <x:c r="C1594" s="24" t="e">
        <x:f>HYPERLINK("https://365nails.com/products/handmade-press-on-nails-jadeite-cat-eye-irregular-metal-shape-ice-penetrated-almond-nail-finished-product-wholesale-365nails","Emerald Cat-Eye Nails with Irregular Metallic Edges")</x:f>
        <x:v>HYPERLINK is not implemented. linkLocation=https://365nails.com/products/handmade-press-on-nails-jadeite-cat-eye-irregular-metal-shape-ice-penetrated-almond-nail-finished-product-wholesale-365nails, friendlyName=Emerald Cat-Eye Nails with Irregular Metallic Edges</x:v>
      </x:c>
      <x:c r="D1594" s="18" t="str">
        <x:v>shape: medium almond; size: XS / S / M / L</x:v>
      </x:c>
      <x:c r="E1594" s="25" t="str">
        <x:v>$2.99</x:v>
      </x:c>
      <x:c r="F1594" s="19" t="str">
        <x:v>30</x:v>
      </x:c>
    </x:row>
    <x:row r="1595" ht="93" customHeight="1">
      <x:c r="A1595" s="19" t="n">
        <x:v>1592</x:v>
      </x:c>
      <x:c r="B1595" s="22" t="e">
        <x:f>HYPERLINK("https://cdn.shopify.com/s/files/1/0918/6066/4603/files/O1CN01PYvXjZ1CPwDeQ8ETI__2213196780074-0-cib.jpg?v=1763707660","Open")</x:f>
        <x:v>HYPERLINK is not implemented. linkLocation=https://cdn.shopify.com/s/files/1/0918/6066/4603/files/O1CN01PYvXjZ1CPwDeQ8ETI__2213196780074-0-cib.jpg?v=1763707660, friendlyName=Open</x:v>
      </x:c>
      <x:c r="C1595" s="24" t="e">
        <x:f>HYPERLINK("https://365nails.com/products/gold-and-pink-gradient-christmas-press-on-nails-snowflake-tree-design","Gold and Pink Gradient Christmas Press‑On Nails – Snowflake &amp; Tree Design")</x:f>
        <x:v>HYPERLINK is not implemented. linkLocation=https://365nails.com/products/gold-and-pink-gradient-christmas-press-on-nails-snowflake-tree-design, friendlyName=Gold and Pink Gradient Christmas Press‑On Nails – Snowflake &amp; Tree Design</x:v>
      </x:c>
      <x:c r="D1595" s="18" t="str">
        <x:v>size: Extra small XS / S / M M / Large L; Specification type: Double light cat eye</x:v>
      </x:c>
      <x:c r="E1595" s="25" t="str">
        <x:v>$3.49</x:v>
      </x:c>
      <x:c r="F1595" s="19" t="str">
        <x:v>1</x:v>
      </x:c>
    </x:row>
    <x:row r="1596" ht="93" customHeight="1">
      <x:c r="A1596" s="19" t="n">
        <x:v>1593</x:v>
      </x:c>
      <x:c r="B1596" s="22" t="e">
        <x:f>HYPERLINK("https://cdn.shopify.com/s/files/1/0918/6066/4603/files/O1CN01m5cgd61CPw6s5xXBr__2213196780074-0-cib.jpg?v=1763707212","Open")</x:f>
        <x:v>HYPERLINK is not implemented. linkLocation=https://cdn.shopify.com/s/files/1/0918/6066/4603/files/O1CN01m5cgd61CPw6s5xXBr__2213196780074-0-cib.jpg?v=1763707212, friendlyName=Open</x:v>
      </x:c>
      <x:c r="C1596" s="24" t="e">
        <x:f>HYPERLINK("https://365nails.com/products/red-and-cream-christmas-press-on-nails-santa-hat-star-design","Red and Cream Christmas Press‑On Nails – Santa Hat &amp; Star Design")</x:f>
        <x:v>HYPERLINK is not implemented. linkLocation=https://365nails.com/products/red-and-cream-christmas-press-on-nails-santa-hat-star-design, friendlyName=Red and Cream Christmas Press‑On Nails – Santa Hat &amp; Star Design</x:v>
      </x:c>
      <x:c r="D1596" s="18" t="str">
        <x:v>size: Extra small XS / S / M M / Large L; Specification type: Christmas atmosphere wearing armor</x:v>
      </x:c>
      <x:c r="E1596" s="25" t="str">
        <x:v>$3.49</x:v>
      </x:c>
      <x:c r="F1596" s="19" t="str">
        <x:v>1</x:v>
      </x:c>
    </x:row>
    <x:row r="1597" ht="93" customHeight="1">
      <x:c r="A1597" s="19" t="n">
        <x:v>1594</x:v>
      </x:c>
      <x:c r="B1597" s="22" t="e">
        <x:f>HYPERLINK("https://cdn.shopify.com/s/files/1/0918/6066/4603/files/O1CN01Ehp4f01CPwJoHfayk__2213196780074-0-cib.jpg?v=1763706587","Open")</x:f>
        <x:v>HYPERLINK is not implemented. linkLocation=https://cdn.shopify.com/s/files/1/0918/6066/4603/files/O1CN01Ehp4f01CPwJoHfayk__2213196780074-0-cib.jpg?v=1763706587, friendlyName=Open</x:v>
      </x:c>
      <x:c r="C1597" s="24" t="e">
        <x:f>HYPERLINK("https://365nails.com/products/red-and-green-christmas-press-on-nails-santa-gingerbread-design","Red and Green Christmas Press‑On Nails – Santa &amp; Gingerbread Design")</x:f>
        <x:v>HYPERLINK is not implemented. linkLocation=https://365nails.com/products/red-and-green-christmas-press-on-nails-santa-gingerbread-design, friendlyName=Red and Green Christmas Press‑On Nails – Santa &amp; Gingerbread Design</x:v>
      </x:c>
      <x:c r="D1597" s="18" t="str">
        <x:v>size: Extra small XS / S / M M / Large L; Specification type: 2223 Ladder</x:v>
      </x:c>
      <x:c r="E1597" s="25" t="str">
        <x:v>$4.99</x:v>
      </x:c>
      <x:c r="F1597" s="19" t="str">
        <x:v>1</x:v>
      </x:c>
    </x:row>
    <x:row r="1598" ht="93" customHeight="1">
      <x:c r="A1598" s="19" t="n">
        <x:v>1595</x:v>
      </x:c>
      <x:c r="B1598" s="22" t="e">
        <x:f>HYPERLINK("https://cdn.shopify.com/s/files/1/0918/6066/4603/files/O1CN01UaCXrM1CPwJoUE1du__2213196780074-0-cib_75b5f336-e97a-47bc-bc9e-cf580d3f1ed9.jpg?v=1763708871","Open")</x:f>
        <x:v>HYPERLINK is not implemented. linkLocation=https://cdn.shopify.com/s/files/1/0918/6066/4603/files/O1CN01UaCXrM1CPwJoUE1du__2213196780074-0-cib_75b5f336-e97a-47bc-bc9e-cf580d3f1ed9.jpg?v=1763708871, friendlyName=Open</x:v>
      </x:c>
      <x:c r="C1598" s="24" t="e">
        <x:f>HYPERLINK("https://365nails.com/products/pink-and-white-glitter-press-on-nails-pearl-gold-accent-design","Pink and White Glitter Press‑On Nails – Pearl &amp; Gold Accent Design")</x:f>
        <x:v>HYPERLINK is not implemented. linkLocation=https://365nails.com/products/pink-and-white-glitter-press-on-nails-pearl-gold-accent-design, friendlyName=Pink and White Glitter Press‑On Nails – Pearl &amp; Gold Accent Design</x:v>
      </x:c>
      <x:c r="D1598" s="18" t="str">
        <x:v>Size: Extra small XS / S / M M / Large L; Specification type: 2487 medium ellipse</x:v>
      </x:c>
      <x:c r="E1598" s="25" t="str">
        <x:v>$3.49</x:v>
      </x:c>
      <x:c r="F1598" s="19" t="str">
        <x:v>1</x:v>
      </x:c>
    </x:row>
    <x:row r="1599" ht="93" customHeight="1">
      <x:c r="A1599" s="19" t="n">
        <x:v>1596</x:v>
      </x:c>
      <x:c r="B1599" s="22" t="e">
        <x:f>HYPERLINK("https://cdn.shopify.com/s/files/1/0918/6066/4603/files/O1CN012vXhJ91CPwEjQFewL__2213196780074-0-cib.jpg?v=1763708478","Open")</x:f>
        <x:v>HYPERLINK is not implemented. linkLocation=https://cdn.shopify.com/s/files/1/0918/6066/4603/files/O1CN012vXhJ91CPwEjQFewL__2213196780074-0-cib.jpg?v=1763708478, friendlyName=Open</x:v>
      </x:c>
      <x:c r="C1599" s="24" t="e">
        <x:f>HYPERLINK("https://365nails.com/products/silver-and-mocha-christmas-press-on-nails-snowflake-glitter-design","Silver and Mocha Christmas Press‑On Nails – Snowflake &amp; Glitter Design")</x:f>
        <x:v>HYPERLINK is not implemented. linkLocation=https://365nails.com/products/silver-and-mocha-christmas-press-on-nails-snowflake-glitter-design, friendlyName=Silver and Mocha Christmas Press‑On Nails – Snowflake &amp; Glitter Design</x:v>
      </x:c>
      <x:c r="D1599" s="18" t="str">
        <x:v>Color: 1415 Snow Christmas; size: Extra small XS / S / M M / Large L</x:v>
      </x:c>
      <x:c r="E1599" s="25" t="str">
        <x:v>$3.99</x:v>
      </x:c>
      <x:c r="F1599" s="19" t="str">
        <x:v>1</x:v>
      </x:c>
    </x:row>
    <x:row r="1600" ht="93" customHeight="1">
      <x:c r="A1600" s="19" t="n">
        <x:v>1597</x:v>
      </x:c>
      <x:c r="B1600" s="22" t="e">
        <x:f>HYPERLINK("https://cdn.shopify.com/s/files/1/0918/6066/4603/files/O1CN010G9Ezo1CPwJXMA9Dv__2213196780074-0-cib.jpg?v=1763707065","Open")</x:f>
        <x:v>HYPERLINK is not implemented. linkLocation=https://cdn.shopify.com/s/files/1/0918/6066/4603/files/O1CN010G9Ezo1CPwJXMA9Dv__2213196780074-0-cib.jpg?v=1763707065, friendlyName=Open</x:v>
      </x:c>
      <x:c r="C1600" s="24" t="e">
        <x:f>HYPERLINK("https://365nails.com/products/red-gradient-christmas-press-on-nails-snowflake-gem-bow-design","Red Gradient Christmas Press‑On Nails – Snowflake &amp; Gem Bow Design")</x:f>
        <x:v>HYPERLINK is not implemented. linkLocation=https://365nails.com/products/red-gradient-christmas-press-on-nails-snowflake-gem-bow-design, friendlyName=Red Gradient Christmas Press‑On Nails – Snowflake &amp; Gem Bow Design</x:v>
      </x:c>
      <x:c r="D1600" s="18" t="str">
        <x:v>size: Extra small XS / S / M M / Large L; Specification type: 2406 long water droplets</x:v>
      </x:c>
      <x:c r="E1600" s="25" t="str">
        <x:v>$3.99</x:v>
      </x:c>
      <x:c r="F1600" s="19" t="str">
        <x:v>1</x:v>
      </x:c>
    </x:row>
    <x:row r="1601" ht="93" customHeight="1">
      <x:c r="A1601" s="19" t="n">
        <x:v>1598</x:v>
      </x:c>
      <x:c r="B1601" s="22" t="e">
        <x:f>HYPERLINK("https://cdn.shopify.com/s/files/1/0918/6066/4603/files/O1CN01Op25R61CPwCiNTPMb__2213196780074-0-cib.jpg?v=1763705922","Open")</x:f>
        <x:v>HYPERLINK is not implemented. linkLocation=https://cdn.shopify.com/s/files/1/0918/6066/4603/files/O1CN01Op25R61CPwCiNTPMb__2213196780074-0-cib.jpg?v=1763705922, friendlyName=Open</x:v>
      </x:c>
      <x:c r="C1601" s="24" t="e">
        <x:f>HYPERLINK("https://365nails.com/products/red-and-white-christmas-press-on-nails-snowflake-bow-design","Red and White Christmas Press‑On Nails – Snowflake &amp; Bow Design")</x:f>
        <x:v>HYPERLINK is not implemented. linkLocation=https://365nails.com/products/red-and-white-christmas-press-on-nails-snowflake-bow-design, friendlyName=Red and White Christmas Press‑On Nails – Snowflake &amp; Bow Design</x:v>
      </x:c>
      <x:c r="D1601" s="18" t="str">
        <x:v>Color: Christmas Snowflake; Color classification: Extra small XS / S / M M / Large L</x:v>
      </x:c>
      <x:c r="E1601" s="25" t="str">
        <x:v>$3.49</x:v>
      </x:c>
      <x:c r="F1601" s="19" t="str">
        <x:v>1</x:v>
      </x:c>
    </x:row>
    <x:row r="1602" ht="93" customHeight="1">
      <x:c r="A1602" s="19" t="n">
        <x:v>1599</x:v>
      </x:c>
      <x:c r="B1602" s="22" t="e">
        <x:f>HYPERLINK("https://cdn.shopify.com/s/files/1/0918/6066/4603/files/O1CN01cBqbqr1rlpUB56T1q__2215158925672-0-cib.jpg?v=1754470579","Open")</x:f>
        <x:v>HYPERLINK is not implemented. linkLocation=https://cdn.shopify.com/s/files/1/0918/6066/4603/files/O1CN01cBqbqr1rlpUB56T1q__2215158925672-0-cib.jpg?v=1754470579, friendlyName=Open</x:v>
      </x:c>
      <x:c r="C1602" s="24" t="e">
        <x:f>HYPERLINK("https://365nails.com/products/handmade-press-on-nails-jasper-cat-eye-short-nail-patch-sweet-cool-spice-girl-fake-nails-365nails","Jade Cat-Eye Nails with Glossy Gemstone Accents")</x:f>
        <x:v>HYPERLINK is not implemented. linkLocation=https://365nails.com/products/handmade-press-on-nails-jasper-cat-eye-short-nail-patch-sweet-cool-spice-girl-fake-nails-365nails, friendlyName=Jade Cat-Eye Nails with Glossy Gemstone Accents</x:v>
      </x:c>
      <x:c r="D1602" s="18" t="str">
        <x:v>shape: New Medium Square; size: XS / S / M / L</x:v>
      </x:c>
      <x:c r="E1602" s="25" t="str">
        <x:v>$2.49</x:v>
      </x:c>
      <x:c r="F1602" s="19" t="str">
        <x:v>30</x:v>
      </x:c>
    </x:row>
    <x:row r="1603" ht="93" customHeight="1">
      <x:c r="A1603" s="19" t="n">
        <x:v>1600</x:v>
      </x:c>
      <x:c r="B1603" s="22" t="e">
        <x:f>HYPERLINK("https://cdn.shopify.com/s/files/1/0918/6066/4603/files/O1CN01NhQ3P31CPw6fEdFdu__2213196780074-0-cib.jpg?v=1763706456","Open")</x:f>
        <x:v>HYPERLINK is not implemented. linkLocation=https://cdn.shopify.com/s/files/1/0918/6066/4603/files/O1CN01NhQ3P31CPw6fEdFdu__2213196780074-0-cib.jpg?v=1763706456, friendlyName=Open</x:v>
      </x:c>
      <x:c r="C1603" s="24" t="e">
        <x:f>HYPERLINK("https://365nails.com/products/green-and-red-christmas-press-on-nails-reindeer-tree-design","Green and Red Christmas Press‑On Nails – Reindeer &amp; Tree Design")</x:f>
        <x:v>HYPERLINK is not implemented. linkLocation=https://365nails.com/products/green-and-red-christmas-press-on-nails-reindeer-tree-design, friendlyName=Green and Red Christmas Press‑On Nails – Reindeer &amp; Tree Design</x:v>
      </x:c>
      <x:c r="D1603" s="18" t="str">
        <x:v>size: Extra small XS / S / M M / Large L; Specification type: Christmas cute red</x:v>
      </x:c>
      <x:c r="E1603" s="25" t="str">
        <x:v>$3.49</x:v>
      </x:c>
      <x:c r="F1603" s="19" t="str">
        <x:v>1</x:v>
      </x:c>
    </x:row>
    <x:row r="1604" ht="93" customHeight="1">
      <x:c r="A1604" s="19" t="n">
        <x:v>1601</x:v>
      </x:c>
      <x:c r="B1604" s="22" t="e">
        <x:f>HYPERLINK("https://cdn.shopify.com/s/files/1/0918/6066/4603/files/O1CN01ak3nWZ1CPwKGA2xxi__2213196780074-0-cib.jpg?v=1763706296","Open")</x:f>
        <x:v>HYPERLINK is not implemented. linkLocation=https://cdn.shopify.com/s/files/1/0918/6066/4603/files/O1CN01ak3nWZ1CPwKGA2xxi__2213196780074-0-cib.jpg?v=1763706296, friendlyName=Open</x:v>
      </x:c>
      <x:c r="C1604" s="24" t="e">
        <x:f>HYPERLINK("https://365nails.com/products/pink-glitter-christmas-press-on-nails-santa-candy-ornament-design","Pink Glitter Christmas Press‑On Nails – Santa &amp; Candy Ornament Design")</x:f>
        <x:v>HYPERLINK is not implemented. linkLocation=https://365nails.com/products/pink-glitter-christmas-press-on-nails-santa-candy-ornament-design, friendlyName=Pink Glitter Christmas Press‑On Nails – Santa &amp; Candy Ornament Design</x:v>
      </x:c>
      <x:c r="D1604" s="18" t="str">
        <x:v>size: Extra small XS / S / M M / Large L; Specification type: 2665 thin dog tip</x:v>
      </x:c>
      <x:c r="E1604" s="25" t="str">
        <x:v>$4.49</x:v>
      </x:c>
      <x:c r="F1604" s="19" t="str">
        <x:v>1</x:v>
      </x:c>
    </x:row>
    <x:row r="1605" ht="93" customHeight="1">
      <x:c r="A1605" s="19" t="n">
        <x:v>1602</x:v>
      </x:c>
      <x:c r="B1605" s="22" t="e">
        <x:f>HYPERLINK("https://cdn.shopify.com/s/files/1/0918/6066/4603/files/O1CN01ttWSmQ1CPwJ2csA5D__2213196780074-0-cib_a1f9b004-c67c-413f-ae49-b9916e7b0208.jpg?v=1763705952","Open")</x:f>
        <x:v>HYPERLINK is not implemented. linkLocation=https://cdn.shopify.com/s/files/1/0918/6066/4603/files/O1CN01ttWSmQ1CPwJ2csA5D__2213196780074-0-cib_a1f9b004-c67c-413f-ae49-b9916e7b0208.jpg?v=1763705952, friendlyName=Open</x:v>
      </x:c>
      <x:c r="C1605" s="24" t="e">
        <x:f>HYPERLINK("https://365nails.com/products/red-christmas-press-on-nails-santa-bow-gift-ornament-design","Red Christmas Press‑On Nails – Santa Bow &amp; Gift Ornament Design")</x:f>
        <x:v>HYPERLINK is not implemented. linkLocation=https://365nails.com/products/red-christmas-press-on-nails-santa-bow-gift-ornament-design, friendlyName=Red Christmas Press‑On Nails – Santa Bow &amp; Gift Ornament Design</x:v>
      </x:c>
      <x:c r="D1605" s="18" t="str">
        <x:v>Color: 2234-Super long ladder; Size: Extra small XS / S / M M / Large L</x:v>
      </x:c>
      <x:c r="E1605" s="25" t="str">
        <x:v>$4.49</x:v>
      </x:c>
      <x:c r="F1605" s="19" t="str">
        <x:v>1</x:v>
      </x:c>
    </x:row>
    <x:row r="1606" ht="93" customHeight="1">
      <x:c r="A1606" s="19" t="n">
        <x:v>1603</x:v>
      </x:c>
      <x:c r="B1606" s="22" t="e">
        <x:f>HYPERLINK("https://cdn.shopify.com/s/files/1/0918/6066/4603/files/f8a17099884ff46c5c3be42f1d441337.jpg?v=1755243491","Open")</x:f>
        <x:v>HYPERLINK is not implemented. linkLocation=https://cdn.shopify.com/s/files/1/0918/6066/4603/files/f8a17099884ff46c5c3be42f1d441337.jpg?v=1755243491, friendlyName=Open</x:v>
      </x:c>
      <x:c r="C1606" s="24" t="e">
        <x:f>HYPERLINK("https://365nails.com/products/nail-tips-gradual-change-cat-eye-press-on-nails-wearable-fake-nail-removable-sub-code-bar-prefabricated-cat-eye-press-on-nails-piece","Nail Tips Gradual change cat eye press on nails, wearable fake nail removable sub-code bar prefabricated cat eye press on nails piece (MOQ=5)")</x:f>
        <x:v>HYPERLINK is not implemented. linkLocation=https://365nails.com/products/nail-tips-gradual-change-cat-eye-press-on-nails-wearable-fake-nail-removable-sub-code-bar-prefabricated-cat-eye-press-on-nails-piece, friendlyName=Nail Tips Gradual change cat eye press on nails, wearable fake nail removable sub-code bar prefabricated cat eye press on nails piece (MOQ=5)</x:v>
      </x:c>
      <x:c r="D1606" s="18" t="str">
        <x:v>Color: 192-01 / 192-02 / 192-04 / 192-05 / 192-06 / 192-07 / 192-08 / 192-09 / 192-10 / 192-11 / 192-12 / 193-01 / 193-02 / 193-03 / 193-04 / 193-05 / 193-06 / 193-07 / 193-08 / 193-09 / 193-10 / 193-11 / 193-12; Quantity: 5pcs</x:v>
      </x:c>
      <x:c r="E1606" s="25" t="str">
        <x:v>$2.99</x:v>
      </x:c>
      <x:c r="F1606" s="19" t="str">
        <x:v>1</x:v>
      </x:c>
    </x:row>
    <x:row r="1607" ht="93" customHeight="1">
      <x:c r="A1607" s="19" t="n">
        <x:v>1604</x:v>
      </x:c>
      <x:c r="B1607" s="22" t="e">
        <x:f>HYPERLINK("https://cdn.shopify.com/s/files/1/0918/6066/4603/files/O1CN01MEQ72n1CPw5qNwSrv__2213196780074-0-cib.jpg?v=1763710150","Open")</x:f>
        <x:v>HYPERLINK is not implemented. linkLocation=https://cdn.shopify.com/s/files/1/0918/6066/4603/files/O1CN01MEQ72n1CPw5qNwSrv__2213196780074-0-cib.jpg?v=1763710150, friendlyName=Open</x:v>
      </x:c>
      <x:c r="C1607" s="24" t="e">
        <x:f>HYPERLINK("https://365nails.com/products/cute-christmas-cartoon-press-on-nails-santa-reindeer-gingerbread-design","Cute Christmas Cartoon Press‑On Nails – Santa, Reindeer &amp; Gingerbread Design")</x:f>
        <x:v>HYPERLINK is not implemented. linkLocation=https://365nails.com/products/cute-christmas-cartoon-press-on-nails-santa-reindeer-gingerbread-design, friendlyName=Cute Christmas Cartoon Press‑On Nails – Santa, Reindeer &amp; Gingerbread Design</x:v>
      </x:c>
      <x:c r="D1607" s="18" t="str">
        <x:v>size: Extra small XS / S / M M / Large L; Specification type: Short Christmas Animals</x:v>
      </x:c>
      <x:c r="E1607" s="25" t="str">
        <x:v>$2.99</x:v>
      </x:c>
      <x:c r="F1607" s="19" t="str">
        <x:v>1</x:v>
      </x:c>
    </x:row>
    <x:row r="1608" ht="93" customHeight="1">
      <x:c r="A1608" s="19" t="n">
        <x:v>1605</x:v>
      </x:c>
      <x:c r="B1608" s="22" t="e">
        <x:f>HYPERLINK("https://cdn.shopify.com/s/files/1/0918/6066/4603/files/O1CN01ay7xSO1CPwDzvHFZ1__2213196780074-0-cib.jpg?v=1763710033","Open")</x:f>
        <x:v>HYPERLINK is not implemented. linkLocation=https://cdn.shopify.com/s/files/1/0918/6066/4603/files/O1CN01ay7xSO1CPwDzvHFZ1__2213196780074-0-cib.jpg?v=1763710033, friendlyName=Open</x:v>
      </x:c>
      <x:c r="C1608" s="24" t="e">
        <x:f>HYPERLINK("https://365nails.com/products/red-and-nude-christmas-press-on-nails-3d-snowman-bear-cute-winter-design","Red and Nude Christmas Press‑On Nails – 3D Snowman &amp; Bear Cute Winter Design")</x:f>
        <x:v>HYPERLINK is not implemented. linkLocation=https://365nails.com/products/red-and-nude-christmas-press-on-nails-3d-snowman-bear-cute-winter-design, friendlyName=Red and Nude Christmas Press‑On Nails – 3D Snowman &amp; Bear Cute Winter Design</x:v>
      </x:c>
      <x:c r="D1608" s="18" t="str">
        <x:v>size: Extra small XS / S / M M / Large L; Specification type: 1363-Pinch Snowman Winter</x:v>
      </x:c>
      <x:c r="E1608" s="25" t="str">
        <x:v>$3.49</x:v>
      </x:c>
      <x:c r="F1608" s="19" t="str">
        <x:v>1</x:v>
      </x:c>
    </x:row>
    <x:row r="1609" ht="93" customHeight="1">
      <x:c r="A1609" s="19" t="n">
        <x:v>1606</x:v>
      </x:c>
      <x:c r="B1609" s="22" t="e">
        <x:f>HYPERLINK("https://cdn.shopify.com/s/files/1/0918/6066/4603/files/O1CN01Aw7nFY1rlpRd4zExk__2215158925672-0-cib.jpg?v=1754470799","Open")</x:f>
        <x:v>HYPERLINK is not implemented. linkLocation=https://cdn.shopify.com/s/files/1/0918/6066/4603/files/O1CN01Aw7nFY1rlpRd4zExk__2215158925672-0-cib.jpg?v=1754470799, friendlyName=Open</x:v>
      </x:c>
      <x:c r="C1609" s="24" t="e">
        <x:f>HYPERLINK("https://365nails.com/products/airbrush-gradual-change-manicure-irregular-metal-modeling-spice-girls-long-manicure-patch-sticker-365nails","Airbrushed Gradient Nails with Irregular Metallic Edges")</x:f>
        <x:v>HYPERLINK is not implemented. linkLocation=https://365nails.com/products/airbrush-gradual-change-manicure-irregular-metal-modeling-spice-girls-long-manicure-patch-sticker-365nails, friendlyName=Airbrushed Gradient Nails with Irregular Metallic Edges</x:v>
      </x:c>
      <x:c r="D1609" s="18" t="str">
        <x:v>shape: long pointed ellipse; size: XS / S / M / L</x:v>
      </x:c>
      <x:c r="E1609" s="25" t="str">
        <x:v>$3.49</x:v>
      </x:c>
      <x:c r="F1609" s="19" t="str">
        <x:v>30</x:v>
      </x:c>
    </x:row>
    <x:row r="1610" ht="93" customHeight="1">
      <x:c r="A1610" s="19" t="n">
        <x:v>1607</x:v>
      </x:c>
      <x:c r="B1610" s="22" t="e">
        <x:f>HYPERLINK("https://cdn.shopify.com/s/files/1/0918/6066/4603/files/O1CN01trrn2e1rlpWkaLNjn__2215158925672-0-cib.jpg?v=1754470754","Open")</x:f>
        <x:v>HYPERLINK is not implemented. linkLocation=https://cdn.shopify.com/s/files/1/0918/6066/4603/files/O1CN01trrn2e1rlpWkaLNjn__2215158925672-0-cib.jpg?v=1754470754, friendlyName=Open</x:v>
      </x:c>
      <x:c r="C1610" s="24" t="e">
        <x:f>HYPERLINK("https://365nails.com/products/duckbill-armor-sweet-and-cute-leopard-print-ice-through-handmade-press-on-nails-factory-wholesale-365nails","Sweet Icy Nails with Cute Leopard and Bow Accents")</x:f>
        <x:v>HYPERLINK is not implemented. linkLocation=https://365nails.com/products/duckbill-armor-sweet-and-cute-leopard-print-ice-through-handmade-press-on-nails-factory-wholesale-365nails, friendlyName=Sweet Icy Nails with Cute Leopard and Bow Accents</x:v>
      </x:c>
      <x:c r="D1610" s="18" t="str">
        <x:v>shape: short bill; size: S / M / L</x:v>
      </x:c>
      <x:c r="E1610" s="25" t="str">
        <x:v>$4.99</x:v>
      </x:c>
      <x:c r="F1610" s="19" t="str">
        <x:v>30</x:v>
      </x:c>
    </x:row>
    <x:row r="1611" ht="93" customHeight="1">
      <x:c r="A1611" s="19" t="n">
        <x:v>1608</x:v>
      </x:c>
      <x:c r="B1611" s="22" t="e">
        <x:f>HYPERLINK("https://cdn.shopify.com/s/files/1/0918/6066/4603/files/O1CN01h1gZAt1CPwPamBNvx__2213196780074-0-cib.jpg?v=1764225591","Open")</x:f>
        <x:v>HYPERLINK is not implemented. linkLocation=https://cdn.shopify.com/s/files/1/0918/6066/4603/files/O1CN01h1gZAt1CPwPamBNvx__2213196780074-0-cib.jpg?v=1764225591, friendlyName=Open</x:v>
      </x:c>
      <x:c r="C1611" s="24" t="e">
        <x:f>HYPERLINK("https://365nails.com/products/soft-nude-french-petal-flower-glossy-press-on-tips","Soft Nude French Petal Flower Glossy Press On Tips")</x:f>
        <x:v>HYPERLINK is not implemented. linkLocation=https://365nails.com/products/soft-nude-french-petal-flower-glossy-press-on-tips, friendlyName=Soft Nude French Petal Flower Glossy Press On Tips</x:v>
      </x:c>
      <x:c r="D1611" s="18" t="str">
        <x:v>Size: Extra small XS / S / M M / Large L; Specification type: 556-Almond</x:v>
      </x:c>
      <x:c r="E1611" s="25" t="str">
        <x:v>$2.99</x:v>
      </x:c>
      <x:c r="F1611" s="19" t="str">
        <x:v>1</x:v>
      </x:c>
    </x:row>
    <x:row r="1612" ht="93" customHeight="1">
      <x:c r="A1612" s="19" t="n">
        <x:v>1609</x:v>
      </x:c>
      <x:c r="B1612" s="22" t="e">
        <x:f>HYPERLINK("https://cdn.shopify.com/s/files/1/0918/6066/4603/files/O1CN01GWdXCU1CPwKGGUHDH__2213196780074-0-cib.jpg?v=1763710641","Open")</x:f>
        <x:v>HYPERLINK is not implemented. linkLocation=https://cdn.shopify.com/s/files/1/0918/6066/4603/files/O1CN01GWdXCU1CPwKGGUHDH__2213196780074-0-cib.jpg?v=1763710641, friendlyName=Open</x:v>
      </x:c>
      <x:c r="C1612" s="24" t="e">
        <x:f>HYPERLINK("https://365nails.com/products/blue-and-red-snowflake-press-on-nails-winter-frost-short-design","Blue and Red Snowflake Press‑On Nails – Winter Frost Short Design")</x:f>
        <x:v>HYPERLINK is not implemented. linkLocation=https://365nails.com/products/blue-and-red-snowflake-press-on-nails-winter-frost-short-design, friendlyName=Blue and Red Snowflake Press‑On Nails – Winter Frost Short Design</x:v>
      </x:c>
      <x:c r="D1612" s="18" t="str">
        <x:v>size: Extra small XS / S / M M / Large L; Specification type: 2491 short ladder</x:v>
      </x:c>
      <x:c r="E1612" s="25" t="str">
        <x:v>$3.49</x:v>
      </x:c>
      <x:c r="F1612" s="19" t="str">
        <x:v>1</x:v>
      </x:c>
    </x:row>
    <x:row r="1613" ht="93" customHeight="1">
      <x:c r="A1613" s="19" t="n">
        <x:v>1610</x:v>
      </x:c>
      <x:c r="B1613" s="22" t="e">
        <x:f>HYPERLINK("https://cdn.shopify.com/s/files/1/0918/6066/4603/files/O1CN01StrXV81CPw6gSQzzE__2213196780074-0-cib.jpg?v=1763709893","Open")</x:f>
        <x:v>HYPERLINK is not implemented. linkLocation=https://cdn.shopify.com/s/files/1/0918/6066/4603/files/O1CN01StrXV81CPw6gSQzzE__2213196780074-0-cib.jpg?v=1763709893, friendlyName=Open</x:v>
      </x:c>
      <x:c r="C1613" s="24" t="e">
        <x:f>HYPERLINK("https://365nails.com/products/red-and-green-christmas-press-on-nails-gem-snowflake-luxury-design","Red and Green Christmas Press‑On Nails – Gem &amp; Snowflake Luxury Design")</x:f>
        <x:v>HYPERLINK is not implemented. linkLocation=https://365nails.com/products/red-and-green-christmas-press-on-nails-gem-snowflake-luxury-design, friendlyName=Red and Green Christmas Press‑On Nails – Gem &amp; Snowflake Luxury Design</x:v>
      </x:c>
      <x:c r="D1613" s="18" t="str">
        <x:v>size: Extra small XS / S / M M / Large L; Specification type: Christmas mandarin ducks wear armor</x:v>
      </x:c>
      <x:c r="E1613" s="25" t="str">
        <x:v>$4.49</x:v>
      </x:c>
      <x:c r="F1613" s="19" t="str">
        <x:v>1</x:v>
      </x:c>
    </x:row>
    <x:row r="1614" ht="93" customHeight="1">
      <x:c r="A1614" s="19" t="n">
        <x:v>1611</x:v>
      </x:c>
      <x:c r="B1614" s="22" t="e">
        <x:f>HYPERLINK("https://cdn.shopify.com/s/files/1/0918/6066/4603/files/O1CN01uNzjMH1CPwCqCcW23__2213196780074-0-cib.jpg?v=1763709175","Open")</x:f>
        <x:v>HYPERLINK is not implemented. linkLocation=https://cdn.shopify.com/s/files/1/0918/6066/4603/files/O1CN01uNzjMH1CPwCqCcW23__2213196780074-0-cib.jpg?v=1763709175, friendlyName=Open</x:v>
      </x:c>
      <x:c r="C1614" s="24" t="e">
        <x:f>HYPERLINK("https://365nails.com/products/red-and-nude-christmas-press-on-nails-3d-santa-pearl-bow-design","Red and Nude Christmas Press‑On Nails – 3D Santa &amp; Pearl Bow Design")</x:f>
        <x:v>HYPERLINK is not implemented. linkLocation=https://365nails.com/products/red-and-nude-christmas-press-on-nails-3d-santa-pearl-bow-design, friendlyName=Red and Nude Christmas Press‑On Nails – 3D Santa &amp; Pearl Bow Design</x:v>
      </x:c>
      <x:c r="D1614" s="18" t="str">
        <x:v>Color: Christmas limited; size: Extra small XS / S / M M / Large L</x:v>
      </x:c>
      <x:c r="E1614" s="25" t="str">
        <x:v>$4.99</x:v>
      </x:c>
      <x:c r="F1614" s="19" t="str">
        <x:v>1</x:v>
      </x:c>
    </x:row>
    <x:row r="1615" ht="93" customHeight="1">
      <x:c r="A1615" s="19" t="n">
        <x:v>1612</x:v>
      </x:c>
      <x:c r="B1615" s="22" t="e">
        <x:f>HYPERLINK("https://cdn.shopify.com/s/files/1/0918/6066/4603/files/O1CN01bhu8lH1rlpSQ8knGj__2215158925672-0-cib.jpg?v=1754470730","Open")</x:f>
        <x:v>HYPERLINK is not implemented. linkLocation=https://cdn.shopify.com/s/files/1/0918/6066/4603/files/O1CN01bhu8lH1rlpSQ8knGj__2215158925672-0-cib.jpg?v=1754470730, friendlyName=Open</x:v>
      </x:c>
      <x:c r="C1615" s="24" t="e">
        <x:f>HYPERLINK("https://365nails.com/products/simple-high-grade-velvet-cats-eye-wearing-nail-irregular-metal-shape-handmade-manicure-wearing-nail-sticker-365nails","Velvet Cat-Eye Nails with Minimal Irregular Metallic Accents")</x:f>
        <x:v>HYPERLINK is not implemented. linkLocation=https://365nails.com/products/simple-high-grade-velvet-cats-eye-wearing-nail-irregular-metal-shape-handmade-manicure-wearing-nail-sticker-365nails, friendlyName=Velvet Cat-Eye Nails with Minimal Irregular Metallic Accents</x:v>
      </x:c>
      <x:c r="D1615" s="18" t="str">
        <x:v>shape: medium almond; size: XS / S / M / L</x:v>
      </x:c>
      <x:c r="E1615" s="25" t="str">
        <x:v>$2.99</x:v>
      </x:c>
      <x:c r="F1615" s="19" t="str">
        <x:v>30</x:v>
      </x:c>
    </x:row>
    <x:row r="1616" ht="93" customHeight="1">
      <x:c r="A1616" s="19" t="n">
        <x:v>1613</x:v>
      </x:c>
      <x:c r="B1616" s="22" t="e">
        <x:f>HYPERLINK("https://cdn.shopify.com/s/files/1/0918/6066/4603/files/O1CN01iyAw751CPwCMbahgj__2213196780074-0-cib.jpg?v=1763710519","Open")</x:f>
        <x:v>HYPERLINK is not implemented. linkLocation=https://cdn.shopify.com/s/files/1/0918/6066/4603/files/O1CN01iyAw751CPwCMbahgj__2213196780074-0-cib.jpg?v=1763710519, friendlyName=Open</x:v>
      </x:c>
      <x:c r="C1616" s="24" t="e">
        <x:f>HYPERLINK("https://365nails.com/products/cute-santa-snowman-christmas-press-on-nails-red-and-nude-festive-design","Cute Santa &amp; Snowman Christmas Press‑On Nails – Red and Nude Festive Design")</x:f>
        <x:v>HYPERLINK is not implemented. linkLocation=https://365nails.com/products/cute-santa-snowman-christmas-press-on-nails-red-and-nude-festive-design, friendlyName=Cute Santa &amp; Snowman Christmas Press‑On Nails – Red and Nude Festive Design</x:v>
      </x:c>
      <x:c r="D1616" s="18" t="str">
        <x:v>size: Extra small XS / S / M M / Large L; Specification type: Elk snowman</x:v>
      </x:c>
      <x:c r="E1616" s="25" t="str">
        <x:v>$2.99</x:v>
      </x:c>
      <x:c r="F1616" s="19" t="str">
        <x:v>1</x:v>
      </x:c>
    </x:row>
    <x:row r="1617" ht="93" customHeight="1">
      <x:c r="A1617" s="19" t="n">
        <x:v>1614</x:v>
      </x:c>
      <x:c r="B1617" s="22" t="e">
        <x:f>HYPERLINK("https://cdn.shopify.com/s/files/1/0918/6066/4603/files/O1CN01hUS7OQ1CPwDDfveRK__2213196780074-0-cib.jpg?v=1763709617","Open")</x:f>
        <x:v>HYPERLINK is not implemented. linkLocation=https://cdn.shopify.com/s/files/1/0918/6066/4603/files/O1CN01hUS7OQ1CPwDDfveRK__2213196780074-0-cib.jpg?v=1763709617, friendlyName=Open</x:v>
      </x:c>
      <x:c r="C1617" s="24" t="e">
        <x:f>HYPERLINK("https://365nails.com/products/red-and-white-christmas-press-on-nails-snowflake-gift-ribbon-design","Red and White Christmas Press‑On Nails – Snowflake &amp; Gift Ribbon Design")</x:f>
        <x:v>HYPERLINK is not implemented. linkLocation=https://365nails.com/products/red-and-white-christmas-press-on-nails-snowflake-gift-ribbon-design, friendlyName=Red and White Christmas Press‑On Nails – Snowflake &amp; Gift Ribbon Design</x:v>
      </x:c>
      <x:c r="D1617" s="18" t="str">
        <x:v>Color: Christmas manicure; Color classification: Extra small XS / S / M M / Large L</x:v>
      </x:c>
      <x:c r="E1617" s="25" t="str">
        <x:v>$3.99</x:v>
      </x:c>
      <x:c r="F1617" s="19" t="str">
        <x:v>1</x:v>
      </x:c>
    </x:row>
    <x:row r="1618" ht="93" customHeight="1">
      <x:c r="A1618" s="19" t="n">
        <x:v>1615</x:v>
      </x:c>
      <x:c r="B1618" s="22" t="e">
        <x:f>HYPERLINK("https://cdn.shopify.com/s/files/1/0918/6066/4603/files/9e9f94ec516c2a590eb8dccae9d13df7.jpg?v=1755242328","Open")</x:f>
        <x:v>HYPERLINK is not implemented. linkLocation=https://cdn.shopify.com/s/files/1/0918/6066/4603/files/9e9f94ec516c2a590eb8dccae9d13df7.jpg?v=1755242328, friendlyName=Open</x:v>
      </x:c>
      <x:c r="C1618" s="24" t="e">
        <x:f>HYPERLINK("https://365nails.com/products/nail-tips-nail-pads-for-nail-salons-transparent-trapezoidal-nail-pads-ultra-thin-and-seamless-nails-240-boxed-nail-pads","Nail Tips Nail pads for nail salons, transparent trapezoidal nail pads, ultra-thin and seamless nails 240 boxed nail pads (MOQ=3)")</x:f>
        <x:v>HYPERLINK is not implemented. linkLocation=https://365nails.com/products/nail-tips-nail-pads-for-nail-salons-transparent-trapezoidal-nail-pads-ultra-thin-and-seamless-nails-240-boxed-nail-pads, friendlyName=Nail Tips Nail pads for nail salons, transparent trapezoidal nail pads, ultra-thin and seamless nails 240 boxed nail pads (MOQ=3)</x:v>
      </x:c>
      <x:c r="D1618" s="18" t="str">
        <x:v>Color: 176-Trapezoidal-Transparent and Traceless-120 Pieces Boxed / 176-Trapezoidal-Transparent and Traceless-240 Pieces Boxed / 177-Short Ladder-Transparent and Traceless-120 Pieces Boxed / 177-Short Ladder-Transparent and Traceless-240 Pieces Boxed; Quantity: 3pcs</x:v>
      </x:c>
      <x:c r="E1618" s="25" t="str">
        <x:v>$9.00–$18.00</x:v>
      </x:c>
      <x:c r="F1618" s="19" t="str">
        <x:v>1</x:v>
      </x:c>
    </x:row>
    <x:row r="1619" ht="93" customHeight="1">
      <x:c r="A1619" s="19" t="n">
        <x:v>1616</x:v>
      </x:c>
      <x:c r="B1619" s="22" t="e">
        <x:f>HYPERLINK("https://cdn.shopify.com/s/files/1/0918/6066/4603/files/O1CN01PpY7iz1CPwPh07GJP__2213196780074-0-cib.jpg?v=1764228705","Open")</x:f>
        <x:v>HYPERLINK is not implemented. linkLocation=https://cdn.shopify.com/s/files/1/0918/6066/4603/files/O1CN01PpY7iz1CPwPh07GJP__2213196780074-0-cib.jpg?v=1764228705, friendlyName=Open</x:v>
      </x:c>
      <x:c r="C1619" s="24" t="e">
        <x:f>HYPERLINK("https://365nails.com/products/pink-shimmer-pearl-crystal-cute-pastel-elegant-press-on-nails","Pink Shimmer Pearl Crystal Cute Pastel Elegant Press On Nails")</x:f>
        <x:v>HYPERLINK is not implemented. linkLocation=https://365nails.com/products/pink-shimmer-pearl-crystal-cute-pastel-elegant-press-on-nails, friendlyName=Pink Shimmer Pearl Crystal Cute Pastel Elegant Press On Nails</x:v>
      </x:c>
      <x:c r="D1619" s="18" t="str">
        <x:v>shape: W432-Short Ellipse; size: Extra small XS / S / M M / Large L</x:v>
      </x:c>
      <x:c r="E1619" s="25" t="str">
        <x:v>$2.49</x:v>
      </x:c>
      <x:c r="F1619" s="19" t="str">
        <x:v>1</x:v>
      </x:c>
    </x:row>
    <x:row r="1620" ht="93" customHeight="1">
      <x:c r="A1620" s="19" t="n">
        <x:v>1617</x:v>
      </x:c>
      <x:c r="B1620" s="22" t="e">
        <x:f>HYPERLINK("https://cdn.shopify.com/s/files/1/0918/6066/4603/files/O1CN01ilUaf11CPwPhHA6BI__2213196780074-0-cib.jpg?v=1764228837","Open")</x:f>
        <x:v>HYPERLINK is not implemented. linkLocation=https://cdn.shopify.com/s/files/1/0918/6066/4603/files/O1CN01ilUaf11CPwPhHA6BI__2213196780074-0-cib.jpg?v=1764228837, friendlyName=Open</x:v>
      </x:c>
      <x:c r="C1620" s="24" t="e">
        <x:f>HYPERLINK("https://365nails.com/products/gold-black-glitter-butterfly-elegant-luxury-press-on-nails","Gold Black Glitter Butterfly Elegant Luxury Press On Nails")</x:f>
        <x:v>HYPERLINK is not implemented. linkLocation=https://365nails.com/products/gold-black-glitter-butterfly-elegant-luxury-press-on-nails, friendlyName=Gold Black Glitter Butterfly Elegant Luxury Press On Nails</x:v>
      </x:c>
      <x:c r="D1620" s="18" t="str">
        <x:v>Color: W333-Short Ellipse / W334-Long Ellipse / W335-Thin Dog Tip; Color classification: Extra small XS / S / M M / Large L</x:v>
      </x:c>
      <x:c r="E1620" s="25" t="str">
        <x:v>$2.99</x:v>
      </x:c>
      <x:c r="F1620" s="19" t="str">
        <x:v>1</x:v>
      </x:c>
    </x:row>
    <x:row r="1621" ht="93" customHeight="1">
      <x:c r="A1621" s="19" t="n">
        <x:v>1618</x:v>
      </x:c>
      <x:c r="B1621" s="22" t="e">
        <x:f>HYPERLINK("https://cdn.shopify.com/s/files/1/0918/6066/4603/files/O1CN01A0Q3lM1CPwPcVBVn7__2213196780074-0-cib.jpg?v=1764225836","Open")</x:f>
        <x:v>HYPERLINK is not implemented. linkLocation=https://cdn.shopify.com/s/files/1/0918/6066/4603/files/O1CN01A0Q3lM1CPwPcVBVn7__2213196780074-0-cib.jpg?v=1764225836, friendlyName=Open</x:v>
      </x:c>
      <x:c r="C1621" s="24" t="e">
        <x:f>HYPERLINK("https://365nails.com/products/brown-gem-pearl-bow-luxury-short-nail-design","Brown Gem Pearl Bow Luxury Short Nail Design")</x:f>
        <x:v>HYPERLINK is not implemented. linkLocation=https://365nails.com/products/brown-gem-pearl-bow-luxury-short-nail-design, friendlyName=Brown Gem Pearl Bow Luxury Short Nail Design</x:v>
      </x:c>
      <x:c r="D1621" s="18" t="str">
        <x:v>Color: 275-Ultra short ladder; size: Extra small XS / S / M M / Large L</x:v>
      </x:c>
      <x:c r="E1621" s="25" t="str">
        <x:v>$3.49</x:v>
      </x:c>
      <x:c r="F1621" s="19" t="str">
        <x:v>1</x:v>
      </x:c>
    </x:row>
    <x:row r="1622" ht="93" customHeight="1">
      <x:c r="A1622" s="19" t="n">
        <x:v>1619</x:v>
      </x:c>
      <x:c r="B1622" s="22" t="e">
        <x:f>HYPERLINK("https://cdn.shopify.com/s/files/1/0918/6066/4603/files/O1CN01dJRpkH1CPwPiNzapz__2213196780074-0-cib.jpg?v=1764228503","Open")</x:f>
        <x:v>HYPERLINK is not implemented. linkLocation=https://cdn.shopify.com/s/files/1/0918/6066/4603/files/O1CN01dJRpkH1CPwPiNzapz__2213196780074-0-cib.jpg?v=1764228503, friendlyName=Open</x:v>
      </x:c>
      <x:c r="C1622" s="24" t="e">
        <x:f>HYPERLINK("https://365nails.com/products/nude-crystal-gem-elegant-shimmer-luxury-press-on-nails","Nude Crystal Gem Elegant Shimmer Luxury Press On Nails")</x:f>
        <x:v>HYPERLINK is not implemented. linkLocation=https://365nails.com/products/nude-crystal-gem-elegant-shimmer-luxury-press-on-nails, friendlyName=Nude Crystal Gem Elegant Shimmer Luxury Press On Nails</x:v>
      </x:c>
      <x:c r="D1622" s="18" t="str">
        <x:v>shape: W234-Long Ellipse; size: Extra small XS / S / M M / Large L</x:v>
      </x:c>
      <x:c r="E1622" s="25" t="str">
        <x:v>$2.49</x:v>
      </x:c>
      <x:c r="F1622" s="19" t="str">
        <x:v>1</x:v>
      </x:c>
    </x:row>
    <x:row r="1623" ht="93" customHeight="1">
      <x:c r="A1623" s="19" t="n">
        <x:v>1620</x:v>
      </x:c>
      <x:c r="B1623" s="22" t="e">
        <x:f>HYPERLINK("https://cdn.shopify.com/s/files/1/0918/6066/4603/files/O1CN01YF639I1CPwPhxwOuV__2213196780074-0-cib.jpg?v=1764226088","Open")</x:f>
        <x:v>HYPERLINK is not implemented. linkLocation=https://cdn.shopify.com/s/files/1/0918/6066/4603/files/O1CN01YF639I1CPwPhxwOuV__2213196780074-0-cib.jpg?v=1764226088, friendlyName=Open</x:v>
      </x:c>
      <x:c r="C1623" s="24" t="e">
        <x:f>HYPERLINK("https://365nails.com/products/cute-kitty-bow-leopard-burgundy-nude-art-nails-set","Cute Kitty Bow Leopard Burgundy Nude Art Nails Set")</x:f>
        <x:v>HYPERLINK is not implemented. linkLocation=https://365nails.com/products/cute-kitty-bow-leopard-burgundy-nude-art-nails-set, friendlyName=Cute Kitty Bow Leopard Burgundy Nude Art Nails Set</x:v>
      </x:c>
      <x:c r="D1623" s="18" t="str">
        <x:v>Color: W66-medium ellipse; size: Extra small XS / S / M M / Large L</x:v>
      </x:c>
      <x:c r="E1623" s="25" t="str">
        <x:v>$2.99</x:v>
      </x:c>
      <x:c r="F1623" s="19" t="str">
        <x:v>1</x:v>
      </x:c>
    </x:row>
    <x:row r="1624" ht="93" customHeight="1">
      <x:c r="A1624" s="19" t="n">
        <x:v>1621</x:v>
      </x:c>
      <x:c r="B1624" s="22" t="e">
        <x:f>HYPERLINK("https://cdn.shopify.com/s/files/1/0918/6066/4603/files/O1CN01dVygjr1CPwJtIQCaU__2213196780074-0-cib.jpg?v=1763711763","Open")</x:f>
        <x:v>HYPERLINK is not implemented. linkLocation=https://cdn.shopify.com/s/files/1/0918/6066/4603/files/O1CN01dVygjr1CPwJtIQCaU__2213196780074-0-cib.jpg?v=1763711763, friendlyName=Open</x:v>
      </x:c>
      <x:c r="C1624" s="24" t="e">
        <x:f>HYPERLINK("https://365nails.com/products/elegant-christmas-wreath-tree-press-on-nails-white-and-gold-medium-design","Elegant Christmas Wreath &amp; Tree Press‑On Nails – White and Gold Medium Design")</x:f>
        <x:v>HYPERLINK is not implemented. linkLocation=https://365nails.com/products/elegant-christmas-wreath-tree-press-on-nails-white-and-gold-medium-design, friendlyName=Elegant Christmas Wreath &amp; Tree Press‑On Nails – White and Gold Medium Design</x:v>
      </x:c>
      <x:c r="D1624" s="18" t="str">
        <x:v>Size: Extra small XS / S / M M / Large L; Specification type: 2486</x:v>
      </x:c>
      <x:c r="E1624" s="25" t="str">
        <x:v>$4.49</x:v>
      </x:c>
      <x:c r="F1624" s="19" t="str">
        <x:v>1</x:v>
      </x:c>
    </x:row>
    <x:row r="1625" ht="93" customHeight="1">
      <x:c r="A1625" s="19" t="n">
        <x:v>1622</x:v>
      </x:c>
      <x:c r="B1625" s="22" t="e">
        <x:f>HYPERLINK("https://cdn.shopify.com/s/files/1/0918/6066/4603/files/83a6731978369d7e5bf0780ebdd97a63.png?v=1762215906","Open")</x:f>
        <x:v>HYPERLINK is not implemented. linkLocation=https://cdn.shopify.com/s/files/1/0918/6066/4603/files/83a6731978369d7e5bf0780ebdd97a63.png?v=1762215906, friendlyName=Open</x:v>
      </x:c>
      <x:c r="C1625" s="24" t="e">
        <x:f>HYPERLINK("https://365nails.com/products/private-label-mini-uv-led-nail-lamp-for-gel-polish-curing","Custom Portable Nail LED Lamp | Foldable Stand | USB Powered | 30/60s Timer | Lightweight Quick Cure (Multi-Colors)")</x:f>
        <x:v>HYPERLINK is not implemented. linkLocation=https://365nails.com/products/private-label-mini-uv-led-nail-lamp-for-gel-polish-curing, friendlyName=Custom Portable Nail LED Lamp | Foldable Stand | USB Powered | 30/60s Timer | Lightweight Quick Cure (Multi-Colors)</x:v>
      </x:c>
      <x:c r="D1625" s="18" t="str">
        <x:v>Color: TYPE-C interface, pink/color box (line separation, two-speed timing) / TYPE-C interface, white/color box (line separation, two-speed timing) / Electroplating blue/color box (machine line separation, two gears timing) / Electroplated silver/color box (machine line separation, two gears timing) / Electroplating pink purple/color box (machine line separation, two gears timing) / Electroplated red/color box (machine line separation, two-speed timing); Quantity: 1000pcs</x:v>
      </x:c>
      <x:c r="E1625" s="25" t="str">
        <x:v>$852.00–$1260.00</x:v>
      </x:c>
      <x:c r="F1625" s="19" t="str">
        <x:v>3</x:v>
      </x:c>
    </x:row>
    <x:row r="1626" ht="93" customHeight="1">
      <x:c r="A1626" s="19" t="n">
        <x:v>1623</x:v>
      </x:c>
      <x:c r="B1626" s="22" t="e">
        <x:f>HYPERLINK("https://cdn.shopify.com/s/files/1/0918/6066/4603/files/O1CN01YjxHqY1CPw6aq6XBg__2213196780074-0-cib_744bc44b-e39b-4925-90b4-b79460d9a6cc.jpg?v=1763712067","Open")</x:f>
        <x:v>HYPERLINK is not implemented. linkLocation=https://cdn.shopify.com/s/files/1/0918/6066/4603/files/O1CN01YjxHqY1CPw6aq6XBg__2213196780074-0-cib_744bc44b-e39b-4925-90b4-b79460d9a6cc.jpg?v=1763712067, friendlyName=Open</x:v>
      </x:c>
      <x:c r="C1626" s="24" t="e">
        <x:f>HYPERLINK("https://365nails.com/products/santa-reindeer-christmas-press-on-nails-classic-red-short-design","Santa &amp; Reindeer Christmas Press‑On Nails – Classic Red Short Design")</x:f>
        <x:v>HYPERLINK is not implemented. linkLocation=https://365nails.com/products/santa-reindeer-christmas-press-on-nails-classic-red-short-design, friendlyName=Santa &amp; Reindeer Christmas Press‑On Nails – Classic Red Short Design</x:v>
      </x:c>
      <x:c r="D1626" s="18" t="str">
        <x:v>size: Extra small XS / S / M M / Large L; Specification type: Cute Elk Snowman</x:v>
      </x:c>
      <x:c r="E1626" s="25" t="str">
        <x:v>$3.49</x:v>
      </x:c>
      <x:c r="F1626" s="19" t="str">
        <x:v>1</x:v>
      </x:c>
    </x:row>
    <x:row r="1627" ht="93" customHeight="1">
      <x:c r="A1627" s="19" t="n">
        <x:v>1624</x:v>
      </x:c>
      <x:c r="B1627" s="22" t="e">
        <x:f>HYPERLINK("https://cdn.shopify.com/s/files/1/0918/6066/4603/files/O1CN0148NBqo1rlpTT2lvR2__2215158925672-0-cib.jpg?v=1754470943","Open")</x:f>
        <x:v>HYPERLINK is not implemented. linkLocation=https://cdn.shopify.com/s/files/1/0918/6066/4603/files/O1CN0148NBqo1rlpTT2lvR2__2215158925672-0-cib.jpg?v=1754470943, friendlyName=Open</x:v>
      </x:c>
      <x:c r="C1627" s="24" t="e">
        <x:f>HYPERLINK("https://365nails.com/products/short-handmade-press-on-nails-xinghai-story-creative-design-nail-product-patch-365nails","Starry Ocean Nails with Metallic Wave Accents")</x:f>
        <x:v>HYPERLINK is not implemented. linkLocation=https://365nails.com/products/short-handmade-press-on-nails-xinghai-story-creative-design-nail-product-patch-365nails, friendlyName=Starry Ocean Nails with Metallic Wave Accents</x:v>
      </x:c>
      <x:c r="D1627" s="18" t="str">
        <x:v>shape: Ultra short T; size: XS / S / M / L</x:v>
      </x:c>
      <x:c r="E1627" s="25" t="str">
        <x:v>$2.99</x:v>
      </x:c>
      <x:c r="F1627" s="19" t="str">
        <x:v>30</x:v>
      </x:c>
    </x:row>
    <x:row r="1628" ht="93" customHeight="1">
      <x:c r="A1628" s="19" t="n">
        <x:v>1625</x:v>
      </x:c>
      <x:c r="B1628" s="22" t="e">
        <x:f>HYPERLINK("https://cdn.shopify.com/s/files/1/0918/6066/4603/files/O1CN01Hx76eI1rlpRCiyfEv__2215158925672-0-cib.jpg?v=1754470933","Open")</x:f>
        <x:v>HYPERLINK is not implemented. linkLocation=https://cdn.shopify.com/s/files/1/0918/6066/4603/files/O1CN01Hx76eI1rlpRCiyfEv__2215158925672-0-cib.jpg?v=1754470933, friendlyName=Open</x:v>
      </x:c>
      <x:c r="C1628" s="24" t="e">
        <x:f>HYPERLINK("https://365nails.com/products/relief-handmade-press-on-nails-spray-gun-gradual-change-irregular-metal-shape-long-nail-patch-wholesale-365nails","Airbrushed Gradient Nails with Irregular Metallic Sculpting")</x:f>
        <x:v>HYPERLINK is not implemented. linkLocation=https://365nails.com/products/relief-handmade-press-on-nails-spray-gun-gradual-change-irregular-metal-shape-long-nail-patch-wholesale-365nails, friendlyName=Airbrushed Gradient Nails with Irregular Metallic Sculpting</x:v>
      </x:c>
      <x:c r="D1628" s="18" t="str">
        <x:v>shape: lengthened T; size: XS / S / M</x:v>
      </x:c>
      <x:c r="E1628" s="25" t="str">
        <x:v>$3.99</x:v>
      </x:c>
      <x:c r="F1628" s="19" t="str">
        <x:v>30</x:v>
      </x:c>
    </x:row>
    <x:row r="1629" ht="93" customHeight="1">
      <x:c r="A1629" s="19" t="n">
        <x:v>1626</x:v>
      </x:c>
      <x:c r="B1629" s="22" t="e">
        <x:f>HYPERLINK("https://cdn.shopify.com/s/files/1/0918/6066/4603/files/O1CN01StAZjG1eesJXo4tLj__2214273723897-0-cib.jpg?v=1755065263","Open")</x:f>
        <x:v>HYPERLINK is not implemented. linkLocation=https://cdn.shopify.com/s/files/1/0918/6066/4603/files/O1CN01StAZjG1eesJXo4tLj__2214273723897-0-cib.jpg?v=1755065263, friendlyName=Open</x:v>
      </x:c>
      <x:c r="C1629" s="24" t="e">
        <x:f>HYPERLINK("https://365nails.com/products/professional-led-uv-gel-nail-lamp-for-curing-gel-polish","Professional LED/UV Gel Nail Lamp for Curing Gel Polish Wholesale")</x:f>
        <x:v>HYPERLINK is not implemented. linkLocation=https://365nails.com/products/professional-led-uv-gel-nail-lamp-for-curing-gel-polish, friendlyName=Professional LED/UV Gel Nail Lamp for Curing Gel Polish Wholesale</x:v>
      </x:c>
      <x:c r="D1629" s="18" t="str">
        <x:v>Color: 36 lamp beads white light - white - European standard plug (suitable for Germany, France, Russia, South Korea and other countries) / 36 lamp beads white light - white - US standard plug (suitable for China, the United States, Japan and other countries) / British and Australian plugs Contact customer service</x:v>
      </x:c>
      <x:c r="E1629" s="25" t="str">
        <x:v>$4.13–$4.36</x:v>
      </x:c>
      <x:c r="F1629" s="19" t="str">
        <x:v>1</x:v>
      </x:c>
    </x:row>
    <x:row r="1630" ht="93" customHeight="1">
      <x:c r="A1630" s="19" t="n">
        <x:v>1627</x:v>
      </x:c>
      <x:c r="B1630" s="22" t="e">
        <x:f>HYPERLINK("https://cdn.shopify.com/s/files/1/0918/6066/4603/files/O1CN0111Cnnr1CPwPiMxpOn__2213196780074-0-cib.jpg?v=1764299525","Open")</x:f>
        <x:v>HYPERLINK is not implemented. linkLocation=https://cdn.shopify.com/s/files/1/0918/6066/4603/files/O1CN0111Cnnr1CPwPiMxpOn__2213196780074-0-cib.jpg?v=1764299525, friendlyName=Open</x:v>
      </x:c>
      <x:c r="C1630" s="24" t="e">
        <x:f>HYPERLINK("https://365nails.com/products/halloween-ghost-skull-orange-black-horror-press-on-nails","Halloween Ghost Skull Orange Black Horror Press On Nails")</x:f>
        <x:v>HYPERLINK is not implemented. linkLocation=https://365nails.com/products/halloween-ghost-skull-orange-black-horror-press-on-nails, friendlyName=Halloween Ghost Skull Orange Black Horror Press On Nails</x:v>
      </x:c>
      <x:c r="D1630" s="18" t="str">
        <x:v>shape: W386-Long Ellipse; size: Extra small XS / S / M M / Large L</x:v>
      </x:c>
      <x:c r="E1630" s="25" t="str">
        <x:v>$3.49</x:v>
      </x:c>
      <x:c r="F1630" s="19" t="str">
        <x:v>1</x:v>
      </x:c>
    </x:row>
    <x:row r="1631" ht="93" customHeight="1">
      <x:c r="A1631" s="19" t="n">
        <x:v>1628</x:v>
      </x:c>
      <x:c r="B1631" s="22" t="e">
        <x:f>HYPERLINK("https://cdn.shopify.com/s/files/1/0918/6066/4603/files/O1CN01WTn0Zi1CPwOfryQZW__2213196780074-0-cib.jpg?v=1764300838","Open")</x:f>
        <x:v>HYPERLINK is not implemented. linkLocation=https://cdn.shopify.com/s/files/1/0918/6066/4603/files/O1CN01WTn0Zi1CPwOfryQZW__2213196780074-0-cib.jpg?v=1764300838, friendlyName=Open</x:v>
      </x:c>
      <x:c r="C1631" s="24" t="e">
        <x:f>HYPERLINK("https://365nails.com/products/blue-ribbon-floral-sparkle-press-on-nails","Blue Ribbon Floral Sparkle Press On Nails")</x:f>
        <x:v>HYPERLINK is not implemented. linkLocation=https://365nails.com/products/blue-ribbon-floral-sparkle-press-on-nails, friendlyName=Blue Ribbon Floral Sparkle Press On Nails</x:v>
      </x:c>
      <x:c r="D1631" s="18" t="str">
        <x:v>shape: 3086-Medium almonds; size: XS / S / M / L</x:v>
      </x:c>
      <x:c r="E1631" s="25" t="str">
        <x:v>$4.49</x:v>
      </x:c>
      <x:c r="F1631" s="19" t="str">
        <x:v>1</x:v>
      </x:c>
    </x:row>
    <x:row r="1632" ht="93" customHeight="1">
      <x:c r="A1632" s="19" t="n">
        <x:v>1629</x:v>
      </x:c>
      <x:c r="B1632" s="22" t="e">
        <x:f>HYPERLINK("https://cdn.shopify.com/s/files/1/0918/6066/4603/files/O1CN01WfwcH31CPwPhcZlsB__2213196780074-0-cib.jpg?v=1764299723","Open")</x:f>
        <x:v>HYPERLINK is not implemented. linkLocation=https://cdn.shopify.com/s/files/1/0918/6066/4603/files/O1CN01WfwcH31CPwPhcZlsB__2213196780074-0-cib.jpg?v=1764299723, friendlyName=Open</x:v>
      </x:c>
      <x:c r="C1632" s="24" t="e">
        <x:f>HYPERLINK("https://365nails.com/products/elegant-pink-gradient-crystal-droplet-press-on-nails","Elegant Pink Gradient Crystal Droplet Press On Nails")</x:f>
        <x:v>HYPERLINK is not implemented. linkLocation=https://365nails.com/products/elegant-pink-gradient-crystal-droplet-press-on-nails, friendlyName=Elegant Pink Gradient Crystal Droplet Press On Nails</x:v>
      </x:c>
      <x:c r="D1632" s="18" t="str">
        <x:v>shape: W224-medium ellipse; size: Extra small XS / S / M M / Large L</x:v>
      </x:c>
      <x:c r="E1632" s="25" t="str">
        <x:v>$2.99</x:v>
      </x:c>
      <x:c r="F1632" s="19" t="str">
        <x:v>1</x:v>
      </x:c>
    </x:row>
    <x:row r="1633" ht="93" customHeight="1">
      <x:c r="A1633" s="19" t="n">
        <x:v>1630</x:v>
      </x:c>
      <x:c r="B1633" s="22" t="e">
        <x:f>HYPERLINK("https://cdn.shopify.com/s/files/1/0918/6066/4603/files/O1CN01u8qMuJ1CPwPaiZtS7__2213196780074-0-cib.jpg?v=1764299425","Open")</x:f>
        <x:v>HYPERLINK is not implemented. linkLocation=https://cdn.shopify.com/s/files/1/0918/6066/4603/files/O1CN01u8qMuJ1CPwPaiZtS7__2213196780074-0-cib.jpg?v=1764299425, friendlyName=Open</x:v>
      </x:c>
      <x:c r="C1633" s="24" t="e">
        <x:f>HYPERLINK("https://365nails.com/products/pearl-nude-animal-print-gold-glam-press-on-nails","Pearl Nude Animal Print Gold Glam Press On Nails")</x:f>
        <x:v>HYPERLINK is not implemented. linkLocation=https://365nails.com/products/pearl-nude-animal-print-gold-glam-press-on-nails, friendlyName=Pearl Nude Animal Print Gold Glam Press On Nails</x:v>
      </x:c>
      <x:c r="D1633" s="18" t="str">
        <x:v>size: Extra small XS / S / M M / Large L; shape: 560-Almond</x:v>
      </x:c>
      <x:c r="E1633" s="25" t="str">
        <x:v>$2.99</x:v>
      </x:c>
      <x:c r="F1633" s="19" t="str">
        <x:v>1</x:v>
      </x:c>
    </x:row>
    <x:row r="1634" ht="93" customHeight="1">
      <x:c r="A1634" s="19" t="n">
        <x:v>1631</x:v>
      </x:c>
      <x:c r="B1634" s="22" t="e">
        <x:f>HYPERLINK("https://cdn.shopify.com/s/files/1/0918/6066/4603/files/O1CN015mCwPB1CPwPingugp__2213196780074-0-cib.jpg?v=1764298531","Open")</x:f>
        <x:v>HYPERLINK is not implemented. linkLocation=https://cdn.shopify.com/s/files/1/0918/6066/4603/files/O1CN015mCwPB1CPwPingugp__2213196780074-0-cib.jpg?v=1764298531, friendlyName=Open</x:v>
      </x:c>
      <x:c r="C1634" s="24" t="e">
        <x:f>HYPERLINK("https://365nails.com/products/blue-glitter-butterfly-nude-sparkle-fresh-elegant-press-on-nails","Blue Glitter Butterfly Nude Sparkle Fresh Elegant Press On Nails")</x:f>
        <x:v>HYPERLINK is not implemented. linkLocation=https://365nails.com/products/blue-glitter-butterfly-nude-sparkle-fresh-elegant-press-on-nails, friendlyName=Blue Glitter Butterfly Nude Sparkle Fresh Elegant Press On Nails</x:v>
      </x:c>
      <x:c r="D1634" s="18" t="str">
        <x:v>shape: W316-Short Ellipse; size: Extra small XS / S / M M / Large L</x:v>
      </x:c>
      <x:c r="E1634" s="25" t="str">
        <x:v>$2.99</x:v>
      </x:c>
      <x:c r="F1634" s="19" t="str">
        <x:v>1</x:v>
      </x:c>
    </x:row>
    <x:row r="1635" ht="93" customHeight="1">
      <x:c r="A1635" s="19" t="n">
        <x:v>1632</x:v>
      </x:c>
      <x:c r="B1635" s="22" t="e">
        <x:f>HYPERLINK("https://cdn.shopify.com/s/files/1/0918/6066/4603/files/O1CN010LNfsr2Hxu2U5MEgT__2214169509218-0-cib.jpg?v=1764229139","Open")</x:f>
        <x:v>HYPERLINK is not implemented. linkLocation=https://cdn.shopify.com/s/files/1/0918/6066/4603/files/O1CN010LNfsr2Hxu2U5MEgT__2214169509218-0-cib.jpg?v=1764229139, friendlyName=Open</x:v>
      </x:c>
      <x:c r="C1635" s="24" t="e">
        <x:f>HYPERLINK("https://365nails.com/products/green-gold-vintage-gem-heart-baroque-luxury-press-on-nails","Green Gold Vintage Gem Heart Baroque Luxury Press On Nails")</x:f>
        <x:v>HYPERLINK is not implemented. linkLocation=https://365nails.com/products/green-gold-vintage-gem-heart-baroque-luxury-press-on-nails, friendlyName=Green Gold Vintage Gem Heart Baroque Luxury Press On Nails</x:v>
      </x:c>
      <x:c r="D1635" s="18" t="str">
        <x:v>shape: 946-Medium almonds; size: Extra small XS / S / M M / Large L</x:v>
      </x:c>
      <x:c r="E1635" s="25" t="str">
        <x:v>$5.49</x:v>
      </x:c>
      <x:c r="F1635" s="19" t="str">
        <x:v>1</x:v>
      </x:c>
    </x:row>
    <x:row r="1636" ht="93" customHeight="1">
      <x:c r="A1636" s="19" t="n">
        <x:v>1633</x:v>
      </x:c>
      <x:c r="B1636" s="22" t="e">
        <x:f>HYPERLINK("https://cdn.shopify.com/s/files/1/0918/6066/4603/files/O1CN01Tg876a1CPwPhde60T__2213196780074-0-cib.jpg?v=1764300470","Open")</x:f>
        <x:v>HYPERLINK is not implemented. linkLocation=https://cdn.shopify.com/s/files/1/0918/6066/4603/files/O1CN01Tg876a1CPwPhde60T__2213196780074-0-cib.jpg?v=1764300470, friendlyName=Open</x:v>
      </x:c>
      <x:c r="C1636" s="24" t="e">
        <x:f>HYPERLINK("https://365nails.com/products/iridescent-pearl-shell-gradient-press-on-nails","Iridescent Pearl Shell Gradient Press On Nails")</x:f>
        <x:v>HYPERLINK is not implemented. linkLocation=https://365nails.com/products/iridescent-pearl-shell-gradient-press-on-nails, friendlyName=Iridescent Pearl Shell Gradient Press On Nails</x:v>
      </x:c>
      <x:c r="D1636" s="18" t="str">
        <x:v>shape: W235-medium ellipse; size: Extra small XS / S / M M / Large L</x:v>
      </x:c>
      <x:c r="E1636" s="25" t="str">
        <x:v>$2.99</x:v>
      </x:c>
      <x:c r="F1636" s="19" t="str">
        <x:v>1</x:v>
      </x:c>
    </x:row>
    <x:row r="1637" ht="93" customHeight="1">
      <x:c r="A1637" s="19" t="n">
        <x:v>1634</x:v>
      </x:c>
      <x:c r="B1637" s="22" t="e">
        <x:f>HYPERLINK("https://cdn.shopify.com/s/files/1/0918/6066/4603/files/O1CN01e3p2MW1CPwOLQBA0h__2213196780074-0-cib_9bbd3422-d18f-4a79-900c-5b242546f5ae.jpg?v=1764323350","Open")</x:f>
        <x:v>HYPERLINK is not implemented. linkLocation=https://cdn.shopify.com/s/files/1/0918/6066/4603/files/O1CN01e3p2MW1CPwOLQBA0h__2213196780074-0-cib_9bbd3422-d18f-4a79-900c-5b242546f5ae.jpg?v=1764323350, friendlyName=Open</x:v>
      </x:c>
      <x:c r="C1637" s="24" t="e">
        <x:f>HYPERLINK("https://365nails.com/products/colorful-summer-fruit-jelly-gradient-press-on-nails","Colorful Summer Fruit Jelly Gradient Press On Nails")</x:f>
        <x:v>HYPERLINK is not implemented. linkLocation=https://365nails.com/products/colorful-summer-fruit-jelly-gradient-press-on-nails, friendlyName=Colorful Summer Fruit Jelly Gradient Press On Nails</x:v>
      </x:c>
      <x:c r="D1637" s="18" t="str">
        <x:v>shape: 3018-Medium almonds; Size: XS / S / M / L</x:v>
      </x:c>
      <x:c r="E1637" s="25" t="str">
        <x:v>$5.99</x:v>
      </x:c>
      <x:c r="F1637" s="19" t="str">
        <x:v>1</x:v>
      </x:c>
    </x:row>
    <x:row r="1638" ht="93" customHeight="1">
      <x:c r="A1638" s="19" t="n">
        <x:v>1635</x:v>
      </x:c>
      <x:c r="B1638" s="22" t="e">
        <x:f>HYPERLINK("https://cdn.shopify.com/s/files/1/0918/6066/4603/files/O1CN01lfNJa31CPw7ZMt193__2213196780074-0-cib.jpg?v=1764300199","Open")</x:f>
        <x:v>HYPERLINK is not implemented. linkLocation=https://cdn.shopify.com/s/files/1/0918/6066/4603/files/O1CN01lfNJa31CPw7ZMt193__2213196780074-0-cib.jpg?v=1764300199, friendlyName=Open</x:v>
      </x:c>
      <x:c r="C1638" s="24" t="e">
        <x:f>HYPERLINK("https://365nails.com/products/black-silver-butterfly-gothic-elegant-press-on-nails","Black Silver Butterfly Gothic Elegant Press On Nails")</x:f>
        <x:v>HYPERLINK is not implemented. linkLocation=https://365nails.com/products/black-silver-butterfly-gothic-elegant-press-on-nails, friendlyName=Black Silver Butterfly Gothic Elegant Press On Nails</x:v>
      </x:c>
      <x:c r="D1638" s="18" t="str">
        <x:v>size: Extra small XS / S / M M / Large L; shape: 606 spar butterfly ladder</x:v>
      </x:c>
      <x:c r="E1638" s="25" t="str">
        <x:v>$4.49</x:v>
      </x:c>
      <x:c r="F1638" s="19" t="str">
        <x:v>1</x:v>
      </x:c>
    </x:row>
    <x:row r="1639" ht="93" customHeight="1">
      <x:c r="A1639" s="19" t="n">
        <x:v>1636</x:v>
      </x:c>
      <x:c r="B1639" s="22" t="e">
        <x:f>HYPERLINK("https://cdn.shopify.com/s/files/1/0918/6066/4603/files/O1CN01vSaoSc1CPwPhH3igz__2213196780074-0-cib.jpg?v=1764299964","Open")</x:f>
        <x:v>HYPERLINK is not implemented. linkLocation=https://cdn.shopify.com/s/files/1/0918/6066/4603/files/O1CN01vSaoSc1CPwPhH3igz__2213196780074-0-cib.jpg?v=1764299964, friendlyName=Open</x:v>
      </x:c>
      <x:c r="C1639" s="24" t="e">
        <x:f>HYPERLINK("https://365nails.com/products/pastel-gradient-glitter-soft-shimmer-press-on-nails","Pastel Gradient Glitter Soft Shimmer Press On Nails")</x:f>
        <x:v>HYPERLINK is not implemented. linkLocation=https://365nails.com/products/pastel-gradient-glitter-soft-shimmer-press-on-nails, friendlyName=Pastel Gradient Glitter Soft Shimmer Press On Nails</x:v>
      </x:c>
      <x:c r="D1639" s="18" t="str">
        <x:v>shape: W317-short square; size: Extra small XS / S / M M / Large L</x:v>
      </x:c>
      <x:c r="E1639" s="25" t="str">
        <x:v>$2.99</x:v>
      </x:c>
      <x:c r="F1639" s="19" t="str">
        <x:v>1</x:v>
      </x:c>
    </x:row>
    <x:row r="1640" ht="93" customHeight="1">
      <x:c r="A1640" s="19" t="n">
        <x:v>1637</x:v>
      </x:c>
      <x:c r="B1640" s="22" t="e">
        <x:f>HYPERLINK("https://cdn.shopify.com/s/files/1/0918/6066/4603/files/O1CN01q0sDpN1CPwPiJ0Nuu__2213196780074-0-cib.jpg?v=1764229249","Open")</x:f>
        <x:v>HYPERLINK is not implemented. linkLocation=https://cdn.shopify.com/s/files/1/0918/6066/4603/files/O1CN01q0sDpN1CPwPiJ0Nuu__2213196780074-0-cib.jpg?v=1764229249, friendlyName=Open</x:v>
      </x:c>
      <x:c r="C1640" s="24" t="e">
        <x:f>HYPERLINK("https://365nails.com/products/yellow-crystal-glitter-silver-fresh-bright-press-on-nails","Yellow Crystal Glitter Silver Fresh Bright Press On Nails")</x:f>
        <x:v>HYPERLINK is not implemented. linkLocation=https://365nails.com/products/yellow-crystal-glitter-silver-fresh-bright-press-on-nails, friendlyName=Yellow Crystal Glitter Silver Fresh Bright Press On Nails</x:v>
      </x:c>
      <x:c r="D1640" s="18" t="str">
        <x:v>shape: W307-Super short ladder; size: Extra small XS / S / M M / Large L</x:v>
      </x:c>
      <x:c r="E1640" s="25" t="str">
        <x:v>$2.49</x:v>
      </x:c>
      <x:c r="F1640" s="19" t="str">
        <x:v>1</x:v>
      </x:c>
    </x:row>
    <x:row r="1641" ht="93" customHeight="1">
      <x:c r="A1641" s="19" t="n">
        <x:v>1638</x:v>
      </x:c>
      <x:c r="B1641" s="22" t="e">
        <x:f>HYPERLINK("https://cdn.shopify.com/s/files/1/0918/6066/4603/files/O1CN018mYTRS1CPwPhpqYjQ__2213196780074-0-cib.jpg?v=1764228946","Open")</x:f>
        <x:v>HYPERLINK is not implemented. linkLocation=https://cdn.shopify.com/s/files/1/0918/6066/4603/files/O1CN018mYTRS1CPwPhpqYjQ__2213196780074-0-cib.jpg?v=1764228946, friendlyName=Open</x:v>
      </x:c>
      <x:c r="C1641" s="24" t="e">
        <x:f>HYPERLINK("https://365nails.com/products/blue-pearl-glow-marble-elegant-fresh-press-on-nails","Blue Pearl Glow Marble Elegant Fresh Press On Nails")</x:f>
        <x:v>HYPERLINK is not implemented. linkLocation=https://365nails.com/products/blue-pearl-glow-marble-elegant-fresh-press-on-nails, friendlyName=Blue Pearl Glow Marble Elegant Fresh Press On Nails</x:v>
      </x:c>
      <x:c r="D1641" s="18" t="str">
        <x:v>shape: W430-short ellipse; size: Extra small XS / S / M M / Large L</x:v>
      </x:c>
      <x:c r="E1641" s="25" t="str">
        <x:v>$2.99</x:v>
      </x:c>
      <x:c r="F1641" s="19" t="str">
        <x:v>1</x:v>
      </x:c>
    </x:row>
    <x:row r="1642" ht="93" customHeight="1">
      <x:c r="A1642" s="19" t="n">
        <x:v>1639</x:v>
      </x:c>
      <x:c r="B1642" s="22" t="e">
        <x:f>HYPERLINK("https://cdn.shopify.com/s/files/1/0918/6066/4603/files/O1CN01s6318b1CPwDgBU5qr__2213196780074-0-cib.jpg?v=1764736055","Open")</x:f>
        <x:v>HYPERLINK is not implemented. linkLocation=https://cdn.shopify.com/s/files/1/0918/6066/4603/files/O1CN01s6318b1CPwDgBU5qr__2213196780074-0-cib.jpg?v=1764736055, friendlyName=Open</x:v>
      </x:c>
      <x:c r="C1642" s="24" t="e">
        <x:f>HYPERLINK("https://365nails.com/products/holiday-mix-sparkle-cute-glam-nails","Holiday Mix Sparkle Cute Glam Nails")</x:f>
        <x:v>HYPERLINK is not implemented. linkLocation=https://365nails.com/products/holiday-mix-sparkle-cute-glam-nails, friendlyName=Holiday Mix Sparkle Cute Glam Nails</x:v>
      </x:c>
      <x:c r="D1642" s="18" t="str">
        <x:v>shape: 1323-Lion Dance / 594-Almond Nail / 595-long ellipse / 596-Velvet Butterfly / 598-Checkerboard Bear / 599-Missing Cat's Eye / 600-long ellipse / 601-Full drilling cat's eye / 602-Full Diamond Cat's Eye / 603-Short Duckbill / 604-Short Duckbill; size: XS / S / M / L</x:v>
      </x:c>
      <x:c r="E1642" s="25" t="str">
        <x:v>$3.49–$4.49</x:v>
      </x:c>
      <x:c r="F1642" s="19" t="str">
        <x:v>1</x:v>
      </x:c>
    </x:row>
    <x:row r="1643" ht="93" customHeight="1">
      <x:c r="A1643" s="19" t="n">
        <x:v>1640</x:v>
      </x:c>
      <x:c r="B1643" s="22" t="e">
        <x:f>HYPERLINK("https://cdn.shopify.com/s/files/1/0918/6066/4603/files/O1CN01kCdyD51CPwOaGjUXT__2213196780074-0-cib.jpg?v=1764303474","Open")</x:f>
        <x:v>HYPERLINK is not implemented. linkLocation=https://cdn.shopify.com/s/files/1/0918/6066/4603/files/O1CN01kCdyD51CPwOaGjUXT__2213196780074-0-cib.jpg?v=1764303474, friendlyName=Open</x:v>
      </x:c>
      <x:c r="C1643" s="24" t="e">
        <x:f>HYPERLINK("https://365nails.com/products/green-floral-contrast-design-press-on-nails","Green Floral Contrast Design Press On Nails")</x:f>
        <x:v>HYPERLINK is not implemented. linkLocation=https://365nails.com/products/green-floral-contrast-design-press-on-nails, friendlyName=Green Floral Contrast Design Press On Nails</x:v>
      </x:c>
      <x:c r="D1643" s="18" t="str">
        <x:v>shape: 3084-Medium Almond; size: XS / S / M / L</x:v>
      </x:c>
      <x:c r="E1643" s="25" t="str">
        <x:v>$4.49</x:v>
      </x:c>
      <x:c r="F1643" s="19" t="str">
        <x:v>1</x:v>
      </x:c>
    </x:row>
    <x:row r="1644" ht="93" customHeight="1">
      <x:c r="A1644" s="19" t="n">
        <x:v>1641</x:v>
      </x:c>
      <x:c r="B1644" s="22" t="e">
        <x:f>HYPERLINK("https://cdn.shopify.com/s/files/1/0918/6066/4603/files/O1CN016YWx6m1CPwPhCRj58__2213196780074-0-cib.jpg?v=1764299619","Open")</x:f>
        <x:v>HYPERLINK is not implemented. linkLocation=https://cdn.shopify.com/s/files/1/0918/6066/4603/files/O1CN016YWx6m1CPwPhCRj58__2213196780074-0-cib.jpg?v=1764299619, friendlyName=Open</x:v>
      </x:c>
      <x:c r="C1644" s="24" t="e">
        <x:f>HYPERLINK("https://365nails.com/products/cute-kitty-brown-plaid-leopard-charm-press-on-nails","Cute Kitty Brown Plaid Leopard Charm Press On Nails")</x:f>
        <x:v>HYPERLINK is not implemented. linkLocation=https://365nails.com/products/cute-kitty-brown-plaid-leopard-charm-press-on-nails, friendlyName=Cute Kitty Brown Plaid Leopard Charm Press On Nails</x:v>
      </x:c>
      <x:c r="D1644" s="18" t="str">
        <x:v>shape: 491-Ultra short circle; size: Extra small XS / S / M M / Large L</x:v>
      </x:c>
      <x:c r="E1644" s="25" t="str">
        <x:v>$3.99</x:v>
      </x:c>
      <x:c r="F1644" s="19" t="str">
        <x:v>1</x:v>
      </x:c>
    </x:row>
    <x:row r="1645" ht="93" customHeight="1">
      <x:c r="A1645" s="19" t="n">
        <x:v>1642</x:v>
      </x:c>
      <x:c r="B1645" s="22" t="e">
        <x:f>HYPERLINK("https://cdn.shopify.com/s/files/1/0918/6066/4603/files/O1CN01xlUKmg1CPwPWUk5I7__2213196780074-0-cib.jpg?v=1764305592","Open")</x:f>
        <x:v>HYPERLINK is not implemented. linkLocation=https://cdn.shopify.com/s/files/1/0918/6066/4603/files/O1CN01xlUKmg1CPwPWUk5I7__2213196780074-0-cib.jpg?v=1764305592, friendlyName=Open</x:v>
      </x:c>
      <x:c r="C1645" s="24" t="e">
        <x:f>HYPERLINK("https://365nails.com/products/shiny-hot-pink-glitter-press-on-nails-mixed-shapes","Shiny Hot Pink Glitter Press On Nails Mixed Shapes")</x:f>
        <x:v>HYPERLINK is not implemented. linkLocation=https://365nails.com/products/shiny-hot-pink-glitter-press-on-nails-mixed-shapes, friendlyName=Shiny Hot Pink Glitter Press On Nails Mixed Shapes</x:v>
      </x:c>
      <x:c r="D1645" s="18" t="str">
        <x:v>shape: 564-Almond / 3123 - short square / 3125-short ellipse; size: XS extra small / S S / M medium / L large</x:v>
      </x:c>
      <x:c r="E1645" s="25" t="str">
        <x:v>$3.49</x:v>
      </x:c>
      <x:c r="F1645" s="19" t="str">
        <x:v>1</x:v>
      </x:c>
    </x:row>
    <x:row r="1646" ht="93" customHeight="1">
      <x:c r="A1646" s="19" t="n">
        <x:v>1643</x:v>
      </x:c>
      <x:c r="B1646" s="22" t="e">
        <x:f>HYPERLINK("https://cdn.shopify.com/s/files/1/0918/6066/4603/files/O1CN01gMirKJ1CPwPjKMoCd__2213196780074-0-cib.jpg?v=1764303799","Open")</x:f>
        <x:v>HYPERLINK is not implemented. linkLocation=https://cdn.shopify.com/s/files/1/0918/6066/4603/files/O1CN01gMirKJ1CPwPjKMoCd__2213196780074-0-cib.jpg?v=1764303799, friendlyName=Open</x:v>
      </x:c>
      <x:c r="C1646" s="24" t="e">
        <x:f>HYPERLINK("https://365nails.com/products/colorful-floral-pink-blue-gradient-press-on-nails","Colorful Floral Pink Blue Gradient Press On Nails")</x:f>
        <x:v>HYPERLINK is not implemented. linkLocation=https://365nails.com/products/colorful-floral-pink-blue-gradient-press-on-nails, friendlyName=Colorful Floral Pink Blue Gradient Press On Nails</x:v>
      </x:c>
      <x:c r="D1646" s="18" t="str">
        <x:v>size: Extra small XS / S / M M / Large L; shape: 750-Almond Nail</x:v>
      </x:c>
      <x:c r="E1646" s="25" t="str">
        <x:v>$3.99</x:v>
      </x:c>
      <x:c r="F1646" s="19" t="str">
        <x:v>1</x:v>
      </x:c>
    </x:row>
    <x:row r="1647" ht="93" customHeight="1">
      <x:c r="A1647" s="19" t="n">
        <x:v>1644</x:v>
      </x:c>
      <x:c r="B1647" s="22" t="e">
        <x:f>HYPERLINK("https://cdn.shopify.com/s/files/1/0918/6066/4603/files/O1CN013q7qbM1CPwPhZtLRe__2213196780074-0-cib.jpg?v=1764307573","Open")</x:f>
        <x:v>HYPERLINK is not implemented. linkLocation=https://cdn.shopify.com/s/files/1/0918/6066/4603/files/O1CN013q7qbM1CPwPhZtLRe__2213196780074-0-cib.jpg?v=1764307573, friendlyName=Open</x:v>
      </x:c>
      <x:c r="C1647" s="24" t="e">
        <x:f>HYPERLINK("https://365nails.com/products/pearl-sheer-polka-dot-press-on-nails","Pearl Sheer Polka Dot Press On Nails")</x:f>
        <x:v>HYPERLINK is not implemented. linkLocation=https://365nails.com/products/pearl-sheer-polka-dot-press-on-nails, friendlyName=Pearl Sheer Polka Dot Press On Nails</x:v>
      </x:c>
      <x:c r="D1647" s="18" t="str">
        <x:v>shape: 335-Medium almonds; size: Extra small XS / S / M M / Large L</x:v>
      </x:c>
      <x:c r="E1647" s="25" t="str">
        <x:v>$2.99</x:v>
      </x:c>
      <x:c r="F1647" s="19" t="str">
        <x:v>1</x:v>
      </x:c>
    </x:row>
    <x:row r="1648" ht="93" customHeight="1">
      <x:c r="A1648" s="19" t="n">
        <x:v>1645</x:v>
      </x:c>
      <x:c r="B1648" s="22" t="e">
        <x:f>HYPERLINK("https://cdn.shopify.com/s/files/1/0918/6066/4603/files/O1CN01CWrnAP1CPwPeez5Mx__2213196780074-0-cib.jpg?v=1764307331","Open")</x:f>
        <x:v>HYPERLINK is not implemented. linkLocation=https://cdn.shopify.com/s/files/1/0918/6066/4603/files/O1CN01CWrnAP1CPwPeez5Mx__2213196780074-0-cib.jpg?v=1764307331, friendlyName=Open</x:v>
      </x:c>
      <x:c r="C1648" s="24" t="e">
        <x:f>HYPERLINK("https://365nails.com/products/tropical-flower-pearl-accent-press-on-nails","Tropical Flower Pearl Accent Press On Nails")</x:f>
        <x:v>HYPERLINK is not implemented. linkLocation=https://365nails.com/products/tropical-flower-pearl-accent-press-on-nails, friendlyName=Tropical Flower Pearl Accent Press On Nails</x:v>
      </x:c>
      <x:c r="D1648" s="18" t="str">
        <x:v>shape: 835-Almond; size: Extra small XS / S / M M / Large L</x:v>
      </x:c>
      <x:c r="E1648" s="25" t="str">
        <x:v>$4.49</x:v>
      </x:c>
      <x:c r="F1648" s="19" t="str">
        <x:v>1</x:v>
      </x:c>
    </x:row>
    <x:row r="1649" ht="93" customHeight="1">
      <x:c r="A1649" s="19" t="n">
        <x:v>1646</x:v>
      </x:c>
      <x:c r="B1649" s="22" t="e">
        <x:f>HYPERLINK("https://cdn.shopify.com/s/files/1/0918/6066/4603/files/O1CN01PoD9jm1CPwPcgfOze__2213196780074-0-cib.jpg?v=1764306950","Open")</x:f>
        <x:v>HYPERLINK is not implemented. linkLocation=https://cdn.shopify.com/s/files/1/0918/6066/4603/files/O1CN01PoD9jm1CPwPcgfOze__2213196780074-0-cib.jpg?v=1764306950, friendlyName=Open</x:v>
      </x:c>
      <x:c r="C1649" s="24" t="e">
        <x:f>HYPERLINK("https://365nails.com/products/iridescent-silver-moon-star-press-on-nails","Iridescent Silver Moon Star Press On Nails")</x:f>
        <x:v>HYPERLINK is not implemented. linkLocation=https://365nails.com/products/iridescent-silver-moon-star-press-on-nails, friendlyName=Iridescent Silver Moon Star Press On Nails</x:v>
      </x:c>
      <x:c r="D1649" s="18" t="str">
        <x:v>shape: W433-short ellipse; size: Extra small XS / S / M M / Large L</x:v>
      </x:c>
      <x:c r="E1649" s="25" t="str">
        <x:v>$2.99</x:v>
      </x:c>
      <x:c r="F1649" s="19" t="str">
        <x:v>1</x:v>
      </x:c>
    </x:row>
    <x:row r="1650" ht="93" customHeight="1">
      <x:c r="A1650" s="19" t="n">
        <x:v>1647</x:v>
      </x:c>
      <x:c r="B1650" s="22" t="e">
        <x:f>HYPERLINK("https://cdn.shopify.com/s/files/1/0918/6066/4603/files/O1CN01WFfMLj1CPwOk9hSt9__2213196780074-0-cib.jpg?v=1764305392","Open")</x:f>
        <x:v>HYPERLINK is not implemented. linkLocation=https://cdn.shopify.com/s/files/1/0918/6066/4603/files/O1CN01WFfMLj1CPwOk9hSt9__2213196780074-0-cib.jpg?v=1764305392, friendlyName=Open</x:v>
      </x:c>
      <x:c r="C1650" s="24" t="e">
        <x:f>HYPERLINK("https://365nails.com/products/black-cat-moonlit-chic-minimalist-press-on-nails","Black Cat Moonlit Chic Minimalist Press On Nails")</x:f>
        <x:v>HYPERLINK is not implemented. linkLocation=https://365nails.com/products/black-cat-moonlit-chic-minimalist-press-on-nails, friendlyName=Black Cat Moonlit Chic Minimalist Press On Nails</x:v>
      </x:c>
      <x:c r="D1650" s="18" t="str">
        <x:v>shape: 3119 - medium almond; size: XS / S / M / L</x:v>
      </x:c>
      <x:c r="E1650" s="25" t="str">
        <x:v>$3.99</x:v>
      </x:c>
      <x:c r="F1650" s="19" t="str">
        <x:v>1</x:v>
      </x:c>
    </x:row>
    <x:row r="1651" ht="93" customHeight="1">
      <x:c r="A1651" s="19" t="n">
        <x:v>1648</x:v>
      </x:c>
      <x:c r="B1651" s="22" t="e">
        <x:f>HYPERLINK("https://cdn.shopify.com/s/files/1/0918/6066/4603/files/O1CN010RxDE11CPwOVtuXpU__2213196780074-0-cib.jpg?v=1764304859","Open")</x:f>
        <x:v>HYPERLINK is not implemented. linkLocation=https://cdn.shopify.com/s/files/1/0918/6066/4603/files/O1CN010RxDE11CPwOVtuXpU__2213196780074-0-cib.jpg?v=1764304859, friendlyName=Open</x:v>
      </x:c>
      <x:c r="C1651" s="24" t="e">
        <x:f>HYPERLINK("https://365nails.com/products/halloween-pumpkin-spider-black-orange-press-on-nails","Halloween Pumpkin Spider Black Orange Press On Nails")</x:f>
        <x:v>HYPERLINK is not implemented. linkLocation=https://365nails.com/products/halloween-pumpkin-spider-black-orange-press-on-nails, friendlyName=Halloween Pumpkin Spider Black Orange Press On Nails</x:v>
      </x:c>
      <x:c r="D1651" s="18" t="str">
        <x:v>shape: 3030-Super long ladder; size: XS / S / M / L</x:v>
      </x:c>
      <x:c r="E1651" s="25" t="str">
        <x:v>$4.99</x:v>
      </x:c>
      <x:c r="F1651" s="19" t="str">
        <x:v>1</x:v>
      </x:c>
    </x:row>
    <x:row r="1652" ht="93" customHeight="1">
      <x:c r="A1652" s="19" t="n">
        <x:v>1649</x:v>
      </x:c>
      <x:c r="B1652" s="22" t="e">
        <x:f>HYPERLINK("https://cdn.shopify.com/s/files/1/0918/6066/4603/files/a16a9c9da92c5cfb561127f5ff1749c0.png?v=1755067137","Open")</x:f>
        <x:v>HYPERLINK is not implemented. linkLocation=https://cdn.shopify.com/s/files/1/0918/6066/4603/files/a16a9c9da92c5cfb561127f5ff1749c0.png?v=1755067137, friendlyName=Open</x:v>
      </x:c>
      <x:c r="C1652" s="24" t="e">
        <x:f>HYPERLINK("https://365nails.com/products/mini-portable-handheld-flat-led-nail-lamp-for-gel-polish","Mini Portable Handheld Flat LED Nail Lamp for Gel Polish")</x:f>
        <x:v>HYPERLINK is not implemented. linkLocation=https://365nails.com/products/mini-portable-handheld-flat-led-nail-lamp-for-gel-polish, friendlyName=Mini Portable Handheld Flat LED Nail Lamp for Gel Polish</x:v>
      </x:c>
      <x:c r="D1652" s="18" t="str">
        <x:v>Color: BM-16 white [wired model] upgraded model, an imported big lamp bead. / BM-16 pink [wired model] upgraded model, an imported big lamp bead. / White [plug-in model] upgraded model, an imported big lamp bead. / Pink [plug-in model] upgraded model, an imported big lamp bead. / Green [plug-in model] upgraded model, an imported big lamp bead.</x:v>
      </x:c>
      <x:c r="E1652" s="25" t="str">
        <x:v>$0.68–$1.05</x:v>
      </x:c>
      <x:c r="F1652" s="19" t="str">
        <x:v>1</x:v>
      </x:c>
    </x:row>
    <x:row r="1653" ht="93" customHeight="1">
      <x:c r="A1653" s="19" t="n">
        <x:v>1650</x:v>
      </x:c>
      <x:c r="B1653" s="22" t="e">
        <x:f>HYPERLINK("https://cdn.shopify.com/s/files/1/0918/6066/4603/files/O1CN01M2Szl01CPwOLoKgQ2__2213196780074-0-cib.jpg?v=1764307449","Open")</x:f>
        <x:v>HYPERLINK is not implemented. linkLocation=https://cdn.shopify.com/s/files/1/0918/6066/4603/files/O1CN01M2Szl01CPwOLoKgQ2__2213196780074-0-cib.jpg?v=1764307449, friendlyName=Open</x:v>
      </x:c>
      <x:c r="C1653" s="24" t="e">
        <x:f>HYPERLINK("https://365nails.com/products/iridescent-blue-floral-gradient-press-on-nails","Iridescent Blue Floral Gradient Press On Nails")</x:f>
        <x:v>HYPERLINK is not implemented. linkLocation=https://365nails.com/products/iridescent-blue-floral-gradient-press-on-nails, friendlyName=Iridescent Blue Floral Gradient Press On Nails</x:v>
      </x:c>
      <x:c r="D1653" s="18" t="str">
        <x:v>shape: 2979-Medium almonds; size: XS / S / M / L</x:v>
      </x:c>
      <x:c r="E1653" s="25" t="str">
        <x:v>$4.49</x:v>
      </x:c>
      <x:c r="F1653" s="19" t="str">
        <x:v>1</x:v>
      </x:c>
    </x:row>
    <x:row r="1654" ht="93" customHeight="1">
      <x:c r="A1654" s="19" t="n">
        <x:v>1651</x:v>
      </x:c>
      <x:c r="B1654" s="22" t="e">
        <x:f>HYPERLINK("https://cdn.shopify.com/s/files/1/0918/6066/4603/files/O1CN01kwgs9E1CPwOLkwIoV__2213196780074-0-cib.jpg?v=1764305255","Open")</x:f>
        <x:v>HYPERLINK is not implemented. linkLocation=https://cdn.shopify.com/s/files/1/0918/6066/4603/files/O1CN01kwgs9E1CPwOLkwIoV__2213196780074-0-cib.jpg?v=1764305255, friendlyName=Open</x:v>
      </x:c>
      <x:c r="C1654" s="24" t="e">
        <x:f>HYPERLINK("https://365nails.com/products/blue-floral-gradient-chic-summer-press-on-nails","Blue Floral Gradient Chic Summer Press On Nails")</x:f>
        <x:v>HYPERLINK is not implemented. linkLocation=https://365nails.com/products/blue-floral-gradient-chic-summer-press-on-nails, friendlyName=Blue Floral Gradient Chic Summer Press On Nails</x:v>
      </x:c>
      <x:c r="D1654" s="18" t="str">
        <x:v>shape: 3012-Medium almonds; size: XS / S / M / L</x:v>
      </x:c>
      <x:c r="E1654" s="25" t="str">
        <x:v>$4.99</x:v>
      </x:c>
      <x:c r="F1654" s="19" t="str">
        <x:v>1</x:v>
      </x:c>
    </x:row>
    <x:row r="1655" ht="93" customHeight="1">
      <x:c r="A1655" s="19" t="n">
        <x:v>1652</x:v>
      </x:c>
      <x:c r="B1655" s="22" t="e">
        <x:f>HYPERLINK("https://cdn.shopify.com/s/files/1/0918/6066/4603/files/97526a77d755e48cd11b9705f152cc55.jpg?v=1755000311","Open")</x:f>
        <x:v>HYPERLINK is not implemented. linkLocation=https://cdn.shopify.com/s/files/1/0918/6066/4603/files/97526a77d755e48cd11b9705f152cc55.jpg?v=1755000311, friendlyName=Open</x:v>
      </x:c>
      <x:c r="C1655" s="24" t="e">
        <x:f>HYPERLINK("https://365nails.com/products/transparent-pe-film-suspension-box-press-on-nails-storage-box","Transparent PE film suspension box s storage box(MOQ=3)")</x:f>
        <x:v>HYPERLINK is not implemented. linkLocation=https://365nails.com/products/transparent-pe-film-suspension-box-press-on-nails-storage-box, friendlyName=Transparent PE film suspension box s storage box(MOQ=3)</x:v>
      </x:c>
      <x:c r="D1655" s="18" t="str">
        <x:v>Color: White PE film suspension box 9x9x2cm / Rose red PE film suspension box 9x9x2cm / Light powder PE film suspension box 9x9x2cm / Black PE film suspension box 9x9x2cm / Lake blue PE film suspension box 9x9x2cm; Quantity: 3pcs</x:v>
      </x:c>
      <x:c r="E1655" s="25" t="str">
        <x:v>$0.45</x:v>
      </x:c>
      <x:c r="F1655" s="19" t="str">
        <x:v>1</x:v>
      </x:c>
    </x:row>
    <x:row r="1656" ht="93" customHeight="1">
      <x:c r="A1656" s="19" t="n">
        <x:v>1653</x:v>
      </x:c>
      <x:c r="B1656" s="22" t="e">
        <x:f>HYPERLINK("https://cdn.shopify.com/s/files/1/0918/6066/4603/files/O1CN01th8CMy1CPwPiKWMoa__2213196780074-0-cib.jpg?v=1764309476","Open")</x:f>
        <x:v>HYPERLINK is not implemented. linkLocation=https://cdn.shopify.com/s/files/1/0918/6066/4603/files/O1CN01th8CMy1CPwPiKWMoa__2213196780074-0-cib.jpg?v=1764309476, friendlyName=Open</x:v>
      </x:c>
      <x:c r="C1656" s="24" t="e">
        <x:f>HYPERLINK("https://365nails.com/products/cute-glitter-bow-pink-press-on-nail-set","Cute Glitter Bow Pink Press On Nail Set")</x:f>
        <x:v>HYPERLINK is not implemented. linkLocation=https://365nails.com/products/cute-glitter-bow-pink-press-on-nail-set, friendlyName=Cute Glitter Bow Pink Press On Nail Set</x:v>
      </x:c>
      <x:c r="D1656" s="18" t="str">
        <x:v>shape: W223-medium ellipse; size: Extra small XS / S / M M / Large L</x:v>
      </x:c>
      <x:c r="E1656" s="25" t="str">
        <x:v>$2.49</x:v>
      </x:c>
      <x:c r="F1656" s="19" t="str">
        <x:v>1</x:v>
      </x:c>
    </x:row>
    <x:row r="1657" ht="93" customHeight="1">
      <x:c r="A1657" s="19" t="n">
        <x:v>1654</x:v>
      </x:c>
      <x:c r="B1657" s="22" t="e">
        <x:f>HYPERLINK("https://cdn.shopify.com/s/files/1/0918/6066/4603/files/O1CN01JmCxwP1CPwPcbrC75__2213196780074-0-cib.jpg?v=1764308961","Open")</x:f>
        <x:v>HYPERLINK is not implemented. linkLocation=https://cdn.shopify.com/s/files/1/0918/6066/4603/files/O1CN01JmCxwP1CPwPcbrC75__2213196780074-0-cib.jpg?v=1764308961, friendlyName=Open</x:v>
      </x:c>
      <x:c r="C1657" s="24" t="e">
        <x:f>HYPERLINK("https://365nails.com/products/cute-christmas-candy-gift-holiday-press-on-nails","Cute Christmas Candy Gift Holiday Press On Nails")</x:f>
        <x:v>HYPERLINK is not implemented. linkLocation=https://365nails.com/products/cute-christmas-candy-gift-holiday-press-on-nails, friendlyName=Cute Christmas Candy Gift Holiday Press On Nails</x:v>
      </x:c>
      <x:c r="D1657" s="18" t="str">
        <x:v>shape: W337-Short Ladder; size: Extra small XS / S / M M / Large L</x:v>
      </x:c>
      <x:c r="E1657" s="25" t="str">
        <x:v>$2.99</x:v>
      </x:c>
      <x:c r="F1657" s="19" t="str">
        <x:v>1</x:v>
      </x:c>
    </x:row>
    <x:row r="1658" ht="93" customHeight="1">
      <x:c r="A1658" s="19" t="n">
        <x:v>1655</x:v>
      </x:c>
      <x:c r="B1658" s="22" t="e">
        <x:f>HYPERLINK("https://cdn.shopify.com/s/files/1/0918/6066/4603/files/O1CN01vCttit1CPwPhGMkg2__2213196780074-0-cib.jpg?v=1764310018","Open")</x:f>
        <x:v>HYPERLINK is not implemented. linkLocation=https://cdn.shopify.com/s/files/1/0918/6066/4603/files/O1CN01vCttit1CPwPhGMkg2__2213196780074-0-cib.jpg?v=1764310018, friendlyName=Open</x:v>
      </x:c>
      <x:c r="C1658" s="24" t="e">
        <x:f>HYPERLINK("https://365nails.com/products/cute-christmas-festive-red-white-press-on-nails","Cute Christmas Festive Red White Press On Nails")</x:f>
        <x:v>HYPERLINK is not implemented. linkLocation=https://365nails.com/products/cute-christmas-festive-red-white-press-on-nails, friendlyName=Cute Christmas Festive Red White Press On Nails</x:v>
      </x:c>
      <x:c r="D1658" s="18" t="str">
        <x:v>shape: W248-short square; size: Extra small XS / S / M M / Large L</x:v>
      </x:c>
      <x:c r="E1658" s="25" t="str">
        <x:v>$2.49</x:v>
      </x:c>
      <x:c r="F1658" s="19" t="str">
        <x:v>1</x:v>
      </x:c>
    </x:row>
    <x:row r="1659" ht="93" customHeight="1">
      <x:c r="A1659" s="19" t="n">
        <x:v>1656</x:v>
      </x:c>
      <x:c r="B1659" s="22" t="e">
        <x:f>HYPERLINK("https://cdn.shopify.com/s/files/1/0918/6066/4603/files/O1CN01Hz3bAy1CPwOGvUcSv__2213196780074-0-cib.jpg?v=1764309754","Open")</x:f>
        <x:v>HYPERLINK is not implemented. linkLocation=https://cdn.shopify.com/s/files/1/0918/6066/4603/files/O1CN01Hz3bAy1CPwOGvUcSv__2213196780074-0-cib.jpg?v=1764309754, friendlyName=Open</x:v>
      </x:c>
      <x:c r="C1659" s="24" t="e">
        <x:f>HYPERLINK("https://365nails.com/products/solid-aqua-blue-glossy-press-on-nail-set","Solid Aqua Blue Glossy Press On Nail Set")</x:f>
        <x:v>HYPERLINK is not implemented. linkLocation=https://365nails.com/products/solid-aqua-blue-glossy-press-on-nail-set, friendlyName=Solid Aqua Blue Glossy Press On Nail Set</x:v>
      </x:c>
      <x:c r="D1659" s="18" t="str">
        <x:v>shape: 2988 - Short Almonds; size: XS / S / M / L</x:v>
      </x:c>
      <x:c r="E1659" s="25" t="str">
        <x:v>$2.99</x:v>
      </x:c>
      <x:c r="F1659" s="19" t="str">
        <x:v>1</x:v>
      </x:c>
    </x:row>
    <x:row r="1660" ht="93" customHeight="1">
      <x:c r="A1660" s="19" t="n">
        <x:v>1657</x:v>
      </x:c>
      <x:c r="B1660" s="22" t="e">
        <x:f>HYPERLINK("https://cdn.shopify.com/s/files/1/0918/6066/4603/files/O1CN019vDk4T1CPwPhDhbQG__2213196780074-0-cib.jpg?v=1764309599","Open")</x:f>
        <x:v>HYPERLINK is not implemented. linkLocation=https://cdn.shopify.com/s/files/1/0918/6066/4603/files/O1CN019vDk4T1CPwPhDhbQG__2213196780074-0-cib.jpg?v=1764309599, friendlyName=Open</x:v>
      </x:c>
      <x:c r="C1660" s="24" t="e">
        <x:f>HYPERLINK("https://365nails.com/products/icy-blue-starry-cute-press-on-nail-set","Icy Blue Starry Cute Press On Nail Set")</x:f>
        <x:v>HYPERLINK is not implemented. linkLocation=https://365nails.com/products/icy-blue-starry-cute-press-on-nail-set, friendlyName=Icy Blue Starry Cute Press On Nail Set</x:v>
      </x:c>
      <x:c r="D1660" s="18" t="str">
        <x:v>shape: W178-short ladder; size: Extra small XS / S / M M / Large L</x:v>
      </x:c>
      <x:c r="E1660" s="25" t="str">
        <x:v>$2.49</x:v>
      </x:c>
      <x:c r="F1660" s="19" t="str">
        <x:v>1</x:v>
      </x:c>
    </x:row>
    <x:row r="1661" ht="93" customHeight="1">
      <x:c r="A1661" s="19" t="n">
        <x:v>1658</x:v>
      </x:c>
      <x:c r="B1661" s="22" t="e">
        <x:f>HYPERLINK("https://cdn.shopify.com/s/files/1/0918/6066/4603/files/O1CN01q2pr3h1CPwPi1cdxi__2213196780074-0-cib.jpg?v=1764309352","Open")</x:f>
        <x:v>HYPERLINK is not implemented. linkLocation=https://cdn.shopify.com/s/files/1/0918/6066/4603/files/O1CN01q2pr3h1CPwPi1cdxi__2213196780074-0-cib.jpg?v=1764309352, friendlyName=Open</x:v>
      </x:c>
      <x:c r="C1661" s="24" t="e">
        <x:f>HYPERLINK("https://365nails.com/products/red-gold-phoenix-inspired-elegant-press-on-nails","Red Gold Phoenix Inspired Elegant Press On Nails")</x:f>
        <x:v>HYPERLINK is not implemented. linkLocation=https://365nails.com/products/red-gold-phoenix-inspired-elegant-press-on-nails, friendlyName=Red Gold Phoenix Inspired Elegant Press On Nails</x:v>
      </x:c>
      <x:c r="D1661" s="18" t="str">
        <x:v>shape: 258-short square; size: Extra small XS / S / M M / Large L</x:v>
      </x:c>
      <x:c r="E1661" s="25" t="str">
        <x:v>$3.49</x:v>
      </x:c>
      <x:c r="F1661" s="19" t="str">
        <x:v>1</x:v>
      </x:c>
    </x:row>
    <x:row r="1662" ht="93" customHeight="1">
      <x:c r="A1662" s="19" t="n">
        <x:v>1659</x:v>
      </x:c>
      <x:c r="B1662" s="22" t="e">
        <x:f>HYPERLINK("https://cdn.shopify.com/s/files/1/0918/6066/4603/files/O1CN014owInF1CPwPQ27jU8__2213196780074-0-cib.jpg?v=1764309210","Open")</x:f>
        <x:v>HYPERLINK is not implemented. linkLocation=https://cdn.shopify.com/s/files/1/0918/6066/4603/files/O1CN014owInF1CPwPQ27jU8__2213196780074-0-cib.jpg?v=1764309210, friendlyName=Open</x:v>
      </x:c>
      <x:c r="C1662" s="24" t="e">
        <x:f>HYPERLINK("https://365nails.com/products/colorful-geometric-floral-mixed-design-press-on-nails","Colorful Geometric Floral Mixed Design Press On Nails")</x:f>
        <x:v>HYPERLINK is not implemented. linkLocation=https://365nails.com/products/colorful-geometric-floral-mixed-design-press-on-nails, friendlyName=Colorful Geometric Floral Mixed Design Press On Nails</x:v>
      </x:c>
      <x:c r="D1662" s="18" t="str">
        <x:v>shape: 237-Almond; size: XS extra small / S S / M medium / L large</x:v>
      </x:c>
      <x:c r="E1662" s="25" t="str">
        <x:v>$3.99</x:v>
      </x:c>
      <x:c r="F1662" s="19" t="str">
        <x:v>1</x:v>
      </x:c>
    </x:row>
    <x:row r="1663" ht="93" customHeight="1">
      <x:c r="A1663" s="19" t="n">
        <x:v>1660</x:v>
      </x:c>
      <x:c r="B1663" s="22" t="e">
        <x:f>HYPERLINK("https://cdn.shopify.com/s/files/1/0918/6066/4603/files/O1CN01cMKZGF1CPwPhfaBx8__2213196780074-0-cib.jpg?v=1764308702","Open")</x:f>
        <x:v>HYPERLINK is not implemented. linkLocation=https://cdn.shopify.com/s/files/1/0918/6066/4603/files/O1CN01cMKZGF1CPwPhfaBx8__2213196780074-0-cib.jpg?v=1764308702, friendlyName=Open</x:v>
      </x:c>
      <x:c r="C1663" s="24" t="e">
        <x:f>HYPERLINK("https://365nails.com/products/red-polka-dot-cute-retro-press-on-nails","Red Polka Dot Cute Retro Press On Nails")</x:f>
        <x:v>HYPERLINK is not implemented. linkLocation=https://365nails.com/products/red-polka-dot-cute-retro-press-on-nails, friendlyName=Red Polka Dot Cute Retro Press On Nails</x:v>
      </x:c>
      <x:c r="D1663" s="18" t="str">
        <x:v>shape: 321-Medium almonds; size: Extra small XS / S / M M / Large L</x:v>
      </x:c>
      <x:c r="E1663" s="25" t="str">
        <x:v>$2.49</x:v>
      </x:c>
      <x:c r="F1663" s="19" t="str">
        <x:v>1</x:v>
      </x:c>
    </x:row>
    <x:row r="1664" ht="93" customHeight="1">
      <x:c r="A1664" s="19" t="n">
        <x:v>1661</x:v>
      </x:c>
      <x:c r="B1664" s="22" t="e">
        <x:f>HYPERLINK("https://cdn.shopify.com/s/files/1/0918/6066/4603/files/b63e9806ccc0243f3fd6422535c13099.jpg?v=1755245550","Open")</x:f>
        <x:v>HYPERLINK is not implemented. linkLocation=https://cdn.shopify.com/s/files/1/0918/6066/4603/files/b63e9806ccc0243f3fd6422535c13099.jpg?v=1755245550, friendlyName=Open</x:v>
      </x:c>
      <x:c r="C1664" s="24" t="e">
        <x:f>HYPERLINK("https://365nails.com/products/nail-tips-popular-cat-eye-press-on-nails-short-square-nail-matte-removable-fake-nails-120-pieces-boxed-nail-art-women","Nail Tips Popular cat eye press on nails, short square nail matte removable fake nails 120 pieces (MOQ=3)")</x:f>
        <x:v>HYPERLINK is not implemented. linkLocation=https://365nails.com/products/nail-tips-popular-cat-eye-press-on-nails-short-square-nail-matte-removable-fake-nails-120-pieces-boxed-nail-art-women, friendlyName=Nail Tips Popular cat eye press on nails, short square nail matte removable fake nails 120 pieces (MOQ=3)</x:v>
      </x:c>
      <x:c r="D1664" s="18" t="str">
        <x:v>Color: 425-107-043-Bag / 425-107-56-Bag / 425-0205-Bag / 425-2429-Bag / 425-107-043-Boxed / 425-107-56-Boxed / 425-0205-Boxed / 425-2429-Boxed; quantity: 3pcs</x:v>
      </x:c>
      <x:c r="E1664" s="25" t="str">
        <x:v>$9.00</x:v>
      </x:c>
      <x:c r="F1664" s="19" t="str">
        <x:v>1</x:v>
      </x:c>
    </x:row>
    <x:row r="1665" ht="93" customHeight="1">
      <x:c r="A1665" s="19" t="n">
        <x:v>1662</x:v>
      </x:c>
      <x:c r="B1665" s="22" t="e">
        <x:f>HYPERLINK("https://cdn.shopify.com/s/files/1/0918/6066/4603/files/efaf8638055a0637394328cdf51935a2_b75071d8-4025-4822-aeb7-611caa9d4e15.png?v=1755001007","Open")</x:f>
        <x:v>HYPERLINK is not implemented. linkLocation=https://cdn.shopify.com/s/files/1/0918/6066/4603/files/efaf8638055a0637394328cdf51935a2_b75071d8-4025-4822-aeb7-611caa9d4e15.png?v=1755001007, friendlyName=Open</x:v>
      </x:c>
      <x:c r="C1665" s="24" t="e">
        <x:f>HYPERLINK("https://365nails.com/products/press-on-nails-accessories-package-glue-rubbing-strips-crystal-rods-cleaning-cotton-jelly-glue","Accessories package: glue, rubbing strips, crystal rods, cleaning cotton, jelly glue Sold in packs of 3. Minimum order: 1 pack (3 pcs). Quantity = number of packs. Qty 1 = 3pcs, Qty 2 =6 pcs")</x:f>
        <x:v>HYPERLINK is not implemented. linkLocation=https://365nails.com/products/press-on-nails-accessories-package-glue-rubbing-strips-crystal-rods-cleaning-cotton-jelly-glue, friendlyName=Accessories package: glue, rubbing strips, crystal rods, cleaning cotton, jelly glue Sold in packs of 3. Minimum order: 1 pack (3 pcs). Quantity = number of packs. Qty 1 = 3pcs, Qty 2 =6 pcs</x:v>
      </x:c>
      <x:c r="D1665" s="18" t="str">
        <x:v>Color classification: OPP bag: wooden stick 3-piece set / OPP bag: crystal rod 3-piece set / OPP bag: wooden stick 4-piece set / OPP bag: crystal rod 4-piece set / OPP bag: 4-piece set of enlarged glue crystal stick / OPP Bag: Glue Crystal 5-piece Set / OPP bag: 6-piece set of glue crystal desiccant</x:v>
      </x:c>
      <x:c r="E1665" s="25" t="str">
        <x:v>$0.12–$0.36</x:v>
      </x:c>
      <x:c r="F1665" s="19" t="str">
        <x:v>1</x:v>
      </x:c>
    </x:row>
    <x:row r="1666" ht="93" customHeight="1">
      <x:c r="A1666" s="19" t="n">
        <x:v>1663</x:v>
      </x:c>
      <x:c r="B1666" s="22" t="e">
        <x:f>HYPERLINK("https://cdn.shopify.com/s/files/1/0918/6066/4603/files/O1CN01cL8pXD1rlpINqYJgX__2215158925672-0-cib.jpg?v=1754470964","Open")</x:f>
        <x:v>HYPERLINK is not implemented. linkLocation=https://cdn.shopify.com/s/files/1/0918/6066/4603/files/O1CN01cL8pXD1rlpINqYJgX__2215158925672-0-cib.jpg?v=1754470964, friendlyName=Open</x:v>
      </x:c>
      <x:c r="C1666" s="24" t="e">
        <x:f>HYPERLINK("https://365nails.com/products/full-diamond-flash-medium-and-long-spring-and-summer-manicure-detachable-handmade-manicure-bridal-manicure-365nails","Sparkling Crystal Nails with Full-Diamond Shine")</x:f>
        <x:v>HYPERLINK is not implemented. linkLocation=https://365nails.com/products/full-diamond-flash-medium-and-long-spring-and-summer-manicure-detachable-handmade-manicure-bridal-manicure-365nails, friendlyName=Sparkling Crystal Nails with Full-Diamond Shine</x:v>
      </x:c>
      <x:c r="D1666" s="18" t="str">
        <x:v>shape: Medium T; size: XS / S / M / L</x:v>
      </x:c>
      <x:c r="E1666" s="25" t="str">
        <x:v>$2.49</x:v>
      </x:c>
      <x:c r="F1666" s="19" t="str">
        <x:v>30</x:v>
      </x:c>
    </x:row>
    <x:row r="1667" ht="93" customHeight="1">
      <x:c r="A1667" s="19" t="n">
        <x:v>1664</x:v>
      </x:c>
      <x:c r="B1667" s="22" t="e">
        <x:f>HYPERLINK("https://cdn.shopify.com/s/files/1/0918/6066/4603/files/O1CN0107IpxY1CPwPcZPGiK__2213196780074-0-cib.jpg?v=1764310256","Open")</x:f>
        <x:v>HYPERLINK is not implemented. linkLocation=https://cdn.shopify.com/s/files/1/0918/6066/4603/files/O1CN0107IpxY1CPwPcZPGiK__2213196780074-0-cib.jpg?v=1764310256, friendlyName=Open</x:v>
      </x:c>
      <x:c r="C1667" s="24" t="e">
        <x:f>HYPERLINK("https://365nails.com/products/elegant-nude-crystal-butterfly-press-on-nails","Elegant Nude Crystal Butterfly Press On Nails")</x:f>
        <x:v>HYPERLINK is not implemented. linkLocation=https://365nails.com/products/elegant-nude-crystal-butterfly-press-on-nails, friendlyName=Elegant Nude Crystal Butterfly Press On Nails</x:v>
      </x:c>
      <x:c r="D1667" s="18" t="str">
        <x:v>shape: W230-Long Ellipse; size: Extra small XS / S / M M / Large L</x:v>
      </x:c>
      <x:c r="E1667" s="25" t="str">
        <x:v>$2.49</x:v>
      </x:c>
      <x:c r="F1667" s="19" t="str">
        <x:v>1</x:v>
      </x:c>
    </x:row>
    <x:row r="1668" ht="93" customHeight="1">
      <x:c r="A1668" s="19" t="n">
        <x:v>1665</x:v>
      </x:c>
      <x:c r="B1668" s="22" t="e">
        <x:f>HYPERLINK("https://cdn.shopify.com/s/files/1/0918/6066/4603/files/O1CN01CKCZLq1CPwNwdq17c__2213196780074-0-cib.jpg?v=1764307709","Open")</x:f>
        <x:v>HYPERLINK is not implemented. linkLocation=https://cdn.shopify.com/s/files/1/0918/6066/4603/files/O1CN01CKCZLq1CPwNwdq17c__2213196780074-0-cib.jpg?v=1764307709, friendlyName=Open</x:v>
      </x:c>
      <x:c r="C1668" s="24" t="e">
        <x:f>HYPERLINK("https://365nails.com/products/tropical-pink-flower-gradient-press-on-nails","Tropical Pink Flower Gradient Press On Nails")</x:f>
        <x:v>HYPERLINK is not implemented. linkLocation=https://365nails.com/products/tropical-pink-flower-gradient-press-on-nails, friendlyName=Tropical Pink Flower Gradient Press On Nails</x:v>
      </x:c>
      <x:c r="D1668" s="18" t="str">
        <x:v>shape: 2968 - Short Almonds; size: XS / S / M / L</x:v>
      </x:c>
      <x:c r="E1668" s="25" t="str">
        <x:v>$3.99</x:v>
      </x:c>
      <x:c r="F1668" s="19" t="str">
        <x:v>1</x:v>
      </x:c>
    </x:row>
    <x:row r="1669" ht="93" customHeight="1">
      <x:c r="A1669" s="19" t="n">
        <x:v>1666</x:v>
      </x:c>
      <x:c r="B1669" s="22" t="e">
        <x:f>HYPERLINK("https://cdn.shopify.com/s/files/1/0918/6066/4603/files/O1CN01J1ftRb1rlpSXVJGu9__2215158925672-0-cib.jpg?v=1754470989","Open")</x:f>
        <x:v>HYPERLINK is not implemented. linkLocation=https://cdn.shopify.com/s/files/1/0918/6066/4603/files/O1CN01J1ftRb1rlpSXVJGu9__2215158925672-0-cib.jpg?v=1754470989, friendlyName=Open</x:v>
      </x:c>
      <x:c r="C1669" s="24" t="e">
        <x:f>HYPERLINK("https://365nails.com/products/future-technology-metal-spice-girl-dream-colorful-handmade-press-on-nails-european-american-medium-and-long-nail-patch-365nails","Y2K Iridescent Nails with Futuristic Metallic Lines")</x:f>
        <x:v>HYPERLINK is not implemented. linkLocation=https://365nails.com/products/future-technology-metal-spice-girl-dream-colorful-handmade-press-on-nails-european-american-medium-and-long-nail-patch-365nails, friendlyName=Y2K Iridescent Nails with Futuristic Metallic Lines</x:v>
      </x:c>
      <x:c r="D1669" s="18" t="str">
        <x:v>shape: medium and long square; size: S / M / L</x:v>
      </x:c>
      <x:c r="E1669" s="25" t="str">
        <x:v>$3.99</x:v>
      </x:c>
      <x:c r="F1669" s="19" t="str">
        <x:v>30</x:v>
      </x:c>
    </x:row>
    <x:row r="1670" ht="93" customHeight="1">
      <x:c r="A1670" s="19" t="n">
        <x:v>1667</x:v>
      </x:c>
      <x:c r="B1670" s="22" t="e">
        <x:f>HYPERLINK("https://cdn.shopify.com/s/files/1/0918/6066/4603/files/O1CN01XoFSjT1CPwPisShuJ__2213196780074-0-cib.jpg?v=1764311614","Open")</x:f>
        <x:v>HYPERLINK is not implemented. linkLocation=https://cdn.shopify.com/s/files/1/0918/6066/4603/files/O1CN01XoFSjT1CPwPisShuJ__2213196780074-0-cib.jpg?v=1764311614, friendlyName=Open</x:v>
      </x:c>
      <x:c r="C1670" s="24" t="e">
        <x:f>HYPERLINK("https://365nails.com/products/yellow-plaid-flower-cute-press-on-nails","Yellow Plaid Flower Cute Press On Nails")</x:f>
        <x:v>HYPERLINK is not implemented. linkLocation=https://365nails.com/products/yellow-plaid-flower-cute-press-on-nails, friendlyName=Yellow Plaid Flower Cute Press On Nails</x:v>
      </x:c>
      <x:c r="D1670" s="18" t="str">
        <x:v>shape: W429-short ellipse; size: Extra small XS / S / M M / Large L</x:v>
      </x:c>
      <x:c r="E1670" s="25" t="str">
        <x:v>$2.99</x:v>
      </x:c>
      <x:c r="F1670" s="19" t="str">
        <x:v>1</x:v>
      </x:c>
    </x:row>
    <x:row r="1671" ht="93" customHeight="1">
      <x:c r="A1671" s="19" t="n">
        <x:v>1668</x:v>
      </x:c>
      <x:c r="B1671" s="22" t="e">
        <x:f>HYPERLINK("https://cdn.shopify.com/s/files/1/0918/6066/4603/files/O1CN01cOPOym1CPwPiprk8T__2213196780074-0-cib.jpg?v=1764315852","Open")</x:f>
        <x:v>HYPERLINK is not implemented. linkLocation=https://cdn.shopify.com/s/files/1/0918/6066/4603/files/O1CN01cOPOym1CPwPiprk8T__2213196780074-0-cib.jpg?v=1764315852, friendlyName=Open</x:v>
      </x:c>
      <x:c r="C1671" s="24" t="e">
        <x:f>HYPERLINK("https://365nails.com/products/soft-pink-glitter-short-nails-for-daily-wear","Soft Pink Glitter Short Nails for Daily Wear")</x:f>
        <x:v>HYPERLINK is not implemented. linkLocation=https://365nails.com/products/soft-pink-glitter-short-nails-for-daily-wear, friendlyName=Soft Pink Glitter Short Nails for Daily Wear</x:v>
      </x:c>
      <x:c r="D1671" s="18" t="str">
        <x:v>shape: W445 short square; size: Extra small XS / S / M M / Large L</x:v>
      </x:c>
      <x:c r="E1671" s="25" t="str">
        <x:v>$2.49</x:v>
      </x:c>
      <x:c r="F1671" s="19" t="str">
        <x:v>1</x:v>
      </x:c>
    </x:row>
    <x:row r="1672" ht="93" customHeight="1">
      <x:c r="A1672" s="19" t="n">
        <x:v>1669</x:v>
      </x:c>
      <x:c r="B1672" s="22" t="e">
        <x:f>HYPERLINK("https://cdn.shopify.com/s/files/1/0918/6066/4603/files/O1CN01rJKBH01CPwOSiGypK__2213196780074-0-cib.jpg?v=1764315974","Open")</x:f>
        <x:v>HYPERLINK is not implemented. linkLocation=https://cdn.shopify.com/s/files/1/0918/6066/4603/files/O1CN01rJKBH01CPwOSiGypK__2213196780074-0-cib.jpg?v=1764315974, friendlyName=Open</x:v>
      </x:c>
      <x:c r="C1672" s="24" t="e">
        <x:f>HYPERLINK("https://365nails.com/products/pink-floral-medium-nails-with-black-tips","Pink Floral Medium Nails with Black Tips")</x:f>
        <x:v>HYPERLINK is not implemented. linkLocation=https://365nails.com/products/pink-floral-medium-nails-with-black-tips, friendlyName=Pink Floral Medium Nails with Black Tips</x:v>
      </x:c>
      <x:c r="D1672" s="18" t="str">
        <x:v>shape: 3045-Rectangle; size: XS / S / M / L</x:v>
      </x:c>
      <x:c r="E1672" s="25" t="str">
        <x:v>$4.99</x:v>
      </x:c>
      <x:c r="F1672" s="19" t="str">
        <x:v>1</x:v>
      </x:c>
    </x:row>
    <x:row r="1673" ht="93" customHeight="1">
      <x:c r="A1673" s="19" t="n">
        <x:v>1670</x:v>
      </x:c>
      <x:c r="B1673" s="22" t="e">
        <x:f>HYPERLINK("https://cdn.shopify.com/s/files/1/0918/6066/4603/files/2048eec9ad4de529fc463d2e5d792b52.jpg?v=1755245578","Open")</x:f>
        <x:v>HYPERLINK is not implemented. linkLocation=https://cdn.shopify.com/s/files/1/0918/6066/4603/files/2048eec9ad4de529fc463d2e5d792b52.jpg?v=1755245578, friendlyName=Open</x:v>
      </x:c>
      <x:c r="C1673" s="24" t="e">
        <x:f>HYPERLINK("https://365nails.com/products/nail-tips-press-on-nails-advanced-sense-belt-drill-three-dimensional-detachable-nail-art-spice-girl-fake-nail-press-on-nails-wholesale","Press on nails advanced sense belt drill three-dimensional detachable nail art Spice girl fake nail press on nails wholesale (MOQ=3)")</x:f>
        <x:v>HYPERLINK is not implemented. linkLocation=https://365nails.com/products/nail-tips-press-on-nails-advanced-sense-belt-drill-three-dimensional-detachable-nail-art-spice-girl-fake-nail-press-on-nails-wholesale, friendlyName=Press on nails advanced sense belt drill three-dimensional detachable nail art Spice girl fake nail press on nails wholesale (MOQ=3)</x:v>
      </x:c>
      <x:c r="D1673" s="18" t="str">
        <x:v>Color: YS-411-01 / YS-411-02 / YS-411-03 / YS-411-04 / YS-411-05 / YS-411-06 / YS-411-07 / YS-411-08 / YS-411-10 / YS-411-11 / YS-411-16 / YS-411-23 / YS-411-24; Quantity: 3pcs</x:v>
      </x:c>
      <x:c r="E1673" s="25" t="str">
        <x:v>$3.81–$5.43</x:v>
      </x:c>
      <x:c r="F1673" s="19" t="str">
        <x:v>1</x:v>
      </x:c>
    </x:row>
    <x:row r="1674" ht="93" customHeight="1">
      <x:c r="A1674" s="19" t="n">
        <x:v>1671</x:v>
      </x:c>
      <x:c r="B1674" s="22" t="e">
        <x:f>HYPERLINK("https://cdn.shopify.com/s/files/1/0918/6066/4603/files/5e02baddb2b8d97c232c070e513c7673_def7f0dd-ca6f-4167-a153-662dd563aad0.jpg?v=1755001100","Open")</x:f>
        <x:v>HYPERLINK is not implemented. linkLocation=https://cdn.shopify.com/s/files/1/0918/6066/4603/files/5e02baddb2b8d97c232c070e513c7673_def7f0dd-ca6f-4167-a153-662dd563aad0.jpg?v=1755001100, friendlyName=Open</x:v>
      </x:c>
      <x:c r="C1674" s="24" t="e">
        <x:f>HYPERLINK("https://365nails.com/products/acrylic-press-on-nails-storage-box-wholesale","Acrylic s storage box Sold in packs of 3 (MOQ=3)")</x:f>
        <x:v>HYPERLINK is not implemented. linkLocation=https://365nails.com/products/acrylic-press-on-nails-storage-box-wholesale, friendlyName=Acrylic s storage box Sold in packs of 3 (MOQ=3)</x:v>
      </x:c>
      <x:c r="D1674" s="18" t="str">
        <x:v>Color classification: Foundation transparent cover 25g7.5 * 7.5 * 1.6cm / Transparent cover on black background 25g7.5 * 7.5 * 1.6cm / White transparent cover 25g7.5 * 7.5 * 1.6cm / Up and down transparent 25g7.5 * 7.5 * 1.6cm / 8.5CM high-end rounded corners (36g black) / 8.5CM high-end rounded corners (36g transparent) / 8.5CM high gear rounded corners (36g white background) / 8.5CM high-end rounded corners (36g pink); Quantity: 3pcs</x:v>
      </x:c>
      <x:c r="E1674" s="25" t="str">
        <x:v>$0.90–$1.10</x:v>
      </x:c>
      <x:c r="F1674" s="19" t="str">
        <x:v>1</x:v>
      </x:c>
    </x:row>
    <x:row r="1675" ht="93" customHeight="1">
      <x:c r="A1675" s="19" t="n">
        <x:v>1672</x:v>
      </x:c>
      <x:c r="B1675" s="22" t="e">
        <x:f>HYPERLINK("https://cdn.shopify.com/s/files/1/0918/6066/4603/files/O1CN01em7gwp1rlpST3kKTI__2215158925672-0-cib.jpg?v=1754471040","Open")</x:f>
        <x:v>HYPERLINK is not implemented. linkLocation=https://cdn.shopify.com/s/files/1/0918/6066/4603/files/O1CN01em7gwp1rlpST3kKTI__2215158925672-0-cib.jpg?v=1754471040, friendlyName=Open</x:v>
      </x:c>
      <x:c r="C1675" s="24" t="e">
        <x:f>HYPERLINK("https://365nails.com/products/handmade-press-on-nails-dream-purple-baroque-high-luxury-nail-art-finished-patch-watercolor-smudge-almond-nail-365nails","Baroque Dream Purple Nails with Gemstone Accents")</x:f>
        <x:v>HYPERLINK is not implemented. linkLocation=https://365nails.com/products/handmade-press-on-nails-dream-purple-baroque-high-luxury-nail-art-finished-patch-watercolor-smudge-almond-nail-365nails, friendlyName=Baroque Dream Purple Nails with Gemstone Accents</x:v>
      </x:c>
      <x:c r="D1675" s="18" t="str">
        <x:v>shape: medium almond; size: XS / S / M / L</x:v>
      </x:c>
      <x:c r="E1675" s="25" t="str">
        <x:v>$3.49</x:v>
      </x:c>
      <x:c r="F1675" s="19" t="str">
        <x:v>30</x:v>
      </x:c>
    </x:row>
    <x:row r="1676" ht="93" customHeight="1">
      <x:c r="A1676" s="19" t="n">
        <x:v>1673</x:v>
      </x:c>
      <x:c r="B1676" s="22" t="e">
        <x:f>HYPERLINK("https://cdn.shopify.com/s/files/1/0918/6066/4603/files/O1CN01nIIzlX1CPwOJ2oYbN__2213196780074-0-cib.jpg?v=1764391388","Open")</x:f>
        <x:v>HYPERLINK is not implemented. linkLocation=https://cdn.shopify.com/s/files/1/0918/6066/4603/files/O1CN01nIIzlX1CPwOJ2oYbN__2213196780074-0-cib.jpg?v=1764391388, friendlyName=Open</x:v>
      </x:c>
      <x:c r="C1676" s="24" t="e">
        <x:f>HYPERLINK("https://365nails.com/products/iridescent-sea-shell-starfish-press-on-nails","Iridescent Sea Shell &amp; Starfish Press-On Nails")</x:f>
        <x:v>HYPERLINK is not implemented. linkLocation=https://365nails.com/products/iridescent-sea-shell-starfish-press-on-nails, friendlyName=Iridescent Sea Shell &amp; Starfish Press-On Nails</x:v>
      </x:c>
      <x:c r="D1676" s="18" t="str">
        <x:v>shape: 3010-medium almond; size: XS / S / M / L</x:v>
      </x:c>
      <x:c r="E1676" s="25" t="str">
        <x:v>$4.49</x:v>
      </x:c>
      <x:c r="F1676" s="19" t="str">
        <x:v>1</x:v>
      </x:c>
    </x:row>
    <x:row r="1677" ht="93" customHeight="1">
      <x:c r="A1677" s="19" t="n">
        <x:v>1674</x:v>
      </x:c>
      <x:c r="B1677" s="22" t="e">
        <x:f>HYPERLINK("https://cdn.shopify.com/s/files/1/0918/6066/4603/files/O1CN01k4Ljv31CPwPeaBHcz__2213196780074-0-cib.jpg?v=1764311984","Open")</x:f>
        <x:v>HYPERLINK is not implemented. linkLocation=https://cdn.shopify.com/s/files/1/0918/6066/4603/files/O1CN01k4Ljv31CPwPeaBHcz__2213196780074-0-cib.jpg?v=1764311984, friendlyName=Open</x:v>
      </x:c>
      <x:c r="C1677" s="24" t="e">
        <x:f>HYPERLINK("https://365nails.com/products/red-pearl-nails-with-blue-floral-accents","Red Pearl Nails with Blue Floral Accents")</x:f>
        <x:v>HYPERLINK is not implemented. linkLocation=https://365nails.com/products/red-pearl-nails-with-blue-floral-accents, friendlyName=Red Pearl Nails with Blue Floral Accents</x:v>
      </x:c>
      <x:c r="D1677" s="18" t="str">
        <x:v>shape: 820-Long Almonds; size: Extra small XS / S / M M / Large L</x:v>
      </x:c>
      <x:c r="E1677" s="25" t="str">
        <x:v>$3.49</x:v>
      </x:c>
      <x:c r="F1677" s="19" t="str">
        <x:v>1</x:v>
      </x:c>
    </x:row>
    <x:row r="1678" ht="93" customHeight="1">
      <x:c r="A1678" s="19" t="n">
        <x:v>1675</x:v>
      </x:c>
      <x:c r="B1678" s="22" t="e">
        <x:f>HYPERLINK("https://cdn.shopify.com/s/files/1/0918/6066/4603/files/d43b939bbc34de054458681dcab3cd15.jpg?v=1755245770","Open")</x:f>
        <x:v>HYPERLINK is not implemented. linkLocation=https://cdn.shopify.com/s/files/1/0918/6066/4603/files/d43b939bbc34de054458681dcab3cd15.jpg?v=1755245770, friendlyName=Open</x:v>
      </x:c>
      <x:c r="C1678" s="24" t="e">
        <x:f>HYPERLINK("https://365nails.com/products/nail-tips-press-on-nails-pads-transparent-and-seamless-504-pcs-boxed-fake-nails-full-size-short-ballet-full-sticker-half-sticker-trapezoidal-nail-pads","Nail Tips Press on nails pads Transparent and seamless 504 pcs Boxed fake nails (MOQ=3)")</x:f>
        <x:v>HYPERLINK is not implemented. linkLocation=https://365nails.com/products/nail-tips-press-on-nails-pads-transparent-and-seamless-504-pcs-boxed-fake-nails-full-size-short-ballet-full-sticker-half-sticker-trapezoidal-nail-pads, friendlyName=Nail Tips Press on nails pads Transparent and seamless 504 pcs Boxed fake nails (MOQ=3)</x:v>
      </x:c>
      <x:c r="D1678" s="18" t="str">
        <x:v>Color: 62-Traceless transparent 240-piece box / 62-Traceless transparent 504-piece box / 63-Traceless transparent 240-piece box / 63-Traceless transparent 504-piece box / 66-Traceless transparent 240-piece box / 66-Traceless transparent 504-piece box / 67-Traceless transparent 240-piece box / 67-Traceless transparent 504-piece box / 69-Traceless transparent 240-piece box / 69-Traceless transparent 504-piece box / 73-Traceless transparent 240-piece box / 73-Traceless transparent 504 pieces boxed (broken pieces); quantity: 3pcs</x:v>
      </x:c>
      <x:c r="E1678" s="25" t="str">
        <x:v>$5.00–$9.00</x:v>
      </x:c>
      <x:c r="F1678" s="19" t="str">
        <x:v>1</x:v>
      </x:c>
    </x:row>
    <x:row r="1679" ht="93" customHeight="1">
      <x:c r="A1679" s="19" t="n">
        <x:v>1676</x:v>
      </x:c>
      <x:c r="B1679" s="22" t="e">
        <x:f>HYPERLINK("https://cdn.shopify.com/s/files/1/0918/6066/4603/files/O1CN01Ldl2g51CPwOMjKNhL__2213196780074-0-cib.jpg?v=1764399411","Open")</x:f>
        <x:v>HYPERLINK is not implemented. linkLocation=https://cdn.shopify.com/s/files/1/0918/6066/4603/files/O1CN01Ldl2g51CPwOMjKNhL__2213196780074-0-cib.jpg?v=1764399411, friendlyName=Open</x:v>
      </x:c>
      <x:c r="C1679" s="24" t="e">
        <x:f>HYPERLINK("https://365nails.com/products/color-mix-press-on-nail-set-with-3d-flower-design","Color Mix Press‑On Nail Set with 3D Flower Design")</x:f>
        <x:v>HYPERLINK is not implemented. linkLocation=https://365nails.com/products/color-mix-press-on-nail-set-with-3d-flower-design, friendlyName=Color Mix Press‑On Nail Set with 3D Flower Design</x:v>
      </x:c>
      <x:c r="D1679" s="18" t="str">
        <x:v>shape: 2977-Medium almonds; size: XS / S / M / L</x:v>
      </x:c>
      <x:c r="E1679" s="25" t="str">
        <x:v>$4.49</x:v>
      </x:c>
      <x:c r="F1679" s="19" t="str">
        <x:v>1</x:v>
      </x:c>
    </x:row>
    <x:row r="1680" ht="93" customHeight="1">
      <x:c r="A1680" s="19" t="n">
        <x:v>1677</x:v>
      </x:c>
      <x:c r="B1680" s="22" t="e">
        <x:f>HYPERLINK("https://cdn.shopify.com/s/files/1/0918/6066/4603/files/O1CN014p5Gbt1rlpWrwdcQk__2215158925672-0-cib.jpg?v=1754471049","Open")</x:f>
        <x:v>HYPERLINK is not implemented. linkLocation=https://cdn.shopify.com/s/files/1/0918/6066/4603/files/O1CN014p5Gbt1rlpWrwdcQk__2215158925672-0-cib.jpg?v=1754471049, friendlyName=Open</x:v>
      </x:c>
      <x:c r="C1680" s="24" t="e">
        <x:f>HYPERLINK("https://365nails.com/products/handmade-press-on-nails-pure-desire-small-fresh-short-nail-patch-simple-aurora-nail-almond-wholesale-365nails","Aurora Pink Nails with Soft Minimal Gradient")</x:f>
        <x:v>HYPERLINK is not implemented. linkLocation=https://365nails.com/products/handmade-press-on-nails-pure-desire-small-fresh-short-nail-patch-simple-aurora-nail-almond-wholesale-365nails, friendlyName=Aurora Pink Nails with Soft Minimal Gradient</x:v>
      </x:c>
      <x:c r="D1680" s="18" t="str">
        <x:v>shape: Short almonds; size: S / M / L</x:v>
      </x:c>
      <x:c r="E1680" s="25" t="str">
        <x:v>$2.49</x:v>
      </x:c>
      <x:c r="F1680" s="19" t="str">
        <x:v>30</x:v>
      </x:c>
    </x:row>
    <x:row r="1681" ht="93" customHeight="1">
      <x:c r="A1681" s="19" t="n">
        <x:v>1678</x:v>
      </x:c>
      <x:c r="B1681" s="22" t="e">
        <x:f>HYPERLINK("https://cdn.shopify.com/s/files/1/0918/6066/4603/files/2ef512bdb3c84a4865e78b893ab1ee69.jpg?v=1755245877","Open")</x:f>
        <x:v>HYPERLINK is not implemented. linkLocation=https://cdn.shopify.com/s/files/1/0918/6066/4603/files/2ef512bdb3c84a4865e78b893ab1ee69.jpg?v=1755245877, friendlyName=Open</x:v>
      </x:c>
      <x:c r="C1681" s="24" t="e">
        <x:f>HYPERLINK("https://365nails.com/products/nail-tips-nail-piece-transparent-360-pieces-boxed-seamless-lengthened-fake-nail-piece-c-arc-full-sticker-ballet-nail-patch-manicure","Nail Tips Nail piece Transparent  360 pieces Boxed (MOQ=3)")</x:f>
        <x:v>HYPERLINK is not implemented. linkLocation=https://365nails.com/products/nail-tips-nail-piece-transparent-360-pieces-boxed-seamless-lengthened-fake-nail-piece-c-arc-full-sticker-ballet-nail-patch-manicure, friendlyName=Nail Tips Nail piece Transparent  360 pieces Boxed (MOQ=3)</x:v>
      </x:c>
      <x:c r="D1681" s="18" t="str">
        <x:v>Color: Transparent color - 360 bags / Natural color - 360 bags / Transparent color - 300 boxes / Natural Color - 300 Boxes; Quantity: 3pcs</x:v>
      </x:c>
      <x:c r="E1681" s="25" t="str">
        <x:v>$8.00</x:v>
      </x:c>
      <x:c r="F1681" s="19" t="str">
        <x:v>1</x:v>
      </x:c>
    </x:row>
    <x:row r="1682" ht="93" customHeight="1">
      <x:c r="A1682" s="19" t="n">
        <x:v>1679</x:v>
      </x:c>
      <x:c r="B1682" s="22" t="e">
        <x:f>HYPERLINK("https://cdn.shopify.com/s/files/1/0918/6066/4603/files/99b7a0724243684f534410879bf68738.jpg?v=1754998571","Open")</x:f>
        <x:v>HYPERLINK is not implemented. linkLocation=https://cdn.shopify.com/s/files/1/0918/6066/4603/files/99b7a0724243684f534410879bf68738.jpg?v=1754998571, friendlyName=Open</x:v>
      </x:c>
      <x:c r="C1682" s="24" t="e">
        <x:f>HYPERLINK("https://365nails.com/products/double-layer-press-on-nails-storage-box-wholesale","Double-layer s storage box (MOQ=3)")</x:f>
        <x:v>HYPERLINK is not implemented. linkLocation=https://365nails.com/products/double-layer-press-on-nails-storage-box-wholesale, friendlyName=Double-layer s storage box (MOQ=3)</x:v>
      </x:c>
      <x:c r="D1682" s="18" t="str">
        <x:v>Color classification: Double acrylic black bottom box / Double layer acrylic white background box / Double-layer acrylic transparent bottom box / Double-layer box A card 6.6 * 6.6 / Double-layer box B card 6.6 * 6.6 / Double acrylic pink bottom box; Quantity: 3pcs</x:v>
      </x:c>
      <x:c r="E1682" s="25" t="str">
        <x:v>$0.15–$1.14</x:v>
      </x:c>
      <x:c r="F1682" s="19" t="str">
        <x:v>1</x:v>
      </x:c>
    </x:row>
    <x:row r="1683" ht="93" customHeight="1">
      <x:c r="A1683" s="19" t="n">
        <x:v>1680</x:v>
      </x:c>
      <x:c r="B1683" s="22" t="e">
        <x:f>HYPERLINK("https://cdn.shopify.com/s/files/1/0918/6066/4603/files/O1CN01bUMOze1rlpTR196x5__2215158925672-0-cib.jpg?v=1754471098","Open")</x:f>
        <x:v>HYPERLINK is not implemented. linkLocation=https://cdn.shopify.com/s/files/1/0918/6066/4603/files/O1CN01bUMOze1rlpTR196x5__2215158925672-0-cib.jpg?v=1754471098, friendlyName=Open</x:v>
      </x:c>
      <x:c r="C1683" s="24" t="e">
        <x:f>HYPERLINK("https://365nails.com/products/ice-crystal-strawberry-cute-fruit-wind-handemade-press-on-nails-3d-embossed-hand-painted-long-nail-patch-365nails","Icy Strawberry Nails with Cute 3D Fruit Sculpting")</x:f>
        <x:v>HYPERLINK is not implemented. linkLocation=https://365nails.com/products/ice-crystal-strawberry-cute-fruit-wind-handemade-press-on-nails-3d-embossed-hand-painted-long-nail-patch-365nails, friendlyName=Icy Strawberry Nails with Cute 3D Fruit Sculpting</x:v>
      </x:c>
      <x:c r="D1683" s="18" t="str">
        <x:v>shape: long tip; size: XS / S / M / L</x:v>
      </x:c>
      <x:c r="E1683" s="25" t="str">
        <x:v>$3.99</x:v>
      </x:c>
      <x:c r="F1683" s="19" t="str">
        <x:v>30</x:v>
      </x:c>
    </x:row>
    <x:row r="1684" ht="93" customHeight="1">
      <x:c r="A1684" s="19" t="n">
        <x:v>1681</x:v>
      </x:c>
      <x:c r="B1684" s="22" t="e">
        <x:f>HYPERLINK("https://cdn.shopify.com/s/files/1/0918/6066/4603/files/0f25873b2e681fdf9ab3f5874486e2be.jpg?v=1754998661","Open")</x:f>
        <x:v>HYPERLINK is not implemented. linkLocation=https://cdn.shopify.com/s/files/1/0918/6066/4603/files/0f25873b2e681fdf9ab3f5874486e2be.jpg?v=1754998661, friendlyName=Open</x:v>
      </x:c>
      <x:c r="C1684" s="24" t="e">
        <x:f>HYPERLINK("https://365nails.com/products/suspendable-octagonal-press-on-nails-storage-box-wholesale","Suspendable octagonal s storage box (MOQ=3)")</x:f>
        <x:v>HYPERLINK is not implemented. linkLocation=https://365nails.com/products/suspendable-octagonal-press-on-nails-storage-box-wholesale, friendlyName=Suspendable octagonal s storage box (MOQ=3)</x:v>
      </x:c>
      <x:c r="D1684" s="18" t="str">
        <x:v>Color: Octagonal box (foundation) / Octagonal box (white background) / Octagonal box bottom card type A; Quantity: 3pcs</x:v>
      </x:c>
      <x:c r="E1684" s="25" t="str">
        <x:v>$0.15–$0.63</x:v>
      </x:c>
      <x:c r="F1684" s="19" t="str">
        <x:v>1</x:v>
      </x:c>
    </x:row>
    <x:row r="1685" ht="93" customHeight="1">
      <x:c r="A1685" s="19" t="n">
        <x:v>1682</x:v>
      </x:c>
      <x:c r="B1685" s="22" t="e">
        <x:f>HYPERLINK("https://cdn.shopify.com/s/files/1/0918/6066/4603/files/O1CN01tCjXzn1CPwPVizxkO__2213196780074-0-cib.jpg?v=1764401822","Open")</x:f>
        <x:v>HYPERLINK is not implemented. linkLocation=https://cdn.shopify.com/s/files/1/0918/6066/4603/files/O1CN01tCjXzn1CPwPVizxkO__2213196780074-0-cib.jpg?v=1764401822, friendlyName=Open</x:v>
      </x:c>
      <x:c r="C1685" s="24" t="e">
        <x:f>HYPERLINK("https://365nails.com/products/crystal-coral-duckbill-press-on-nails","Crystal Coral Duckbill Press On Nails")</x:f>
        <x:v>HYPERLINK is not implemented. linkLocation=https://365nails.com/products/crystal-coral-duckbill-press-on-nails, friendlyName=Crystal Coral Duckbill Press On Nails</x:v>
      </x:c>
      <x:c r="D1685" s="18" t="str">
        <x:v>shape: 604-Short Duckbill; size: XS extra small / S S / M medium / L large</x:v>
      </x:c>
      <x:c r="E1685" s="25" t="str">
        <x:v>$3.49</x:v>
      </x:c>
      <x:c r="F1685" s="19" t="str">
        <x:v>1</x:v>
      </x:c>
    </x:row>
    <x:row r="1686" ht="93" customHeight="1">
      <x:c r="A1686" s="19" t="n">
        <x:v>1683</x:v>
      </x:c>
      <x:c r="B1686" s="22" t="e">
        <x:f>HYPERLINK("https://cdn.shopify.com/s/files/1/0918/6066/4603/files/78af581f649407b4ff2d7ba049fed110.jpg?v=1755001154","Open")</x:f>
        <x:v>HYPERLINK is not implemented. linkLocation=https://cdn.shopify.com/s/files/1/0918/6066/4603/files/78af581f649407b4ff2d7ba049fed110.jpg?v=1755001154, friendlyName=Open</x:v>
      </x:c>
      <x:c r="C1686" s="24" t="e">
        <x:f>HYPERLINK("https://365nails.com/products/wholesale-wear-nail-art-display-box-transparent-height-jewelry-nail-piece-box-small-gift-necklace-storage-box","Square s storage box (MOQ=3)")</x:f>
        <x:v>HYPERLINK is not implemented. linkLocation=https://365nails.com/products/wholesale-wear-nail-art-display-box-transparent-height-jewelry-nail-piece-box-small-gift-necklace-storage-box, friendlyName=Square s storage box (MOQ=3)</x:v>
      </x:c>
      <x:c r="D1686" s="18" t="str">
        <x:v>Color: Transparent storage box / White background storage box / Black background storage box / 800G cotton paper wearing armor display card (62 * 107mm) / 800G cotton paper wearing armor display card (62 * 120mm) transparent; qunlity: 3pcs</x:v>
      </x:c>
      <x:c r="E1686" s="25" t="str">
        <x:v>$0.20–$0.80</x:v>
      </x:c>
      <x:c r="F1686" s="19" t="str">
        <x:v>1</x:v>
      </x:c>
    </x:row>
    <x:row r="1687" ht="93" customHeight="1">
      <x:c r="A1687" s="19" t="n">
        <x:v>1684</x:v>
      </x:c>
      <x:c r="B1687" s="22" t="e">
        <x:f>HYPERLINK("https://cdn.shopify.com/s/files/1/0918/6066/4603/files/O1CN01OIhGKj1CPwPVibFsD__2213196780074-0-cib.jpg?v=1764402361","Open")</x:f>
        <x:v>HYPERLINK is not implemented. linkLocation=https://cdn.shopify.com/s/files/1/0918/6066/4603/files/O1CN01OIhGKj1CPwPVibFsD__2213196780074-0-cib.jpg?v=1764402361, friendlyName=Open</x:v>
      </x:c>
      <x:c r="C1687" s="24" t="e">
        <x:f>HYPERLINK("https://365nails.com/products/pink-floral-leopard-accent-press-on-nails","Pink Floral Leopard Accent Press On Nails")</x:f>
        <x:v>HYPERLINK is not implemented. linkLocation=https://365nails.com/products/pink-floral-leopard-accent-press-on-nails, friendlyName=Pink Floral Leopard Accent Press On Nails</x:v>
      </x:c>
      <x:c r="D1687" s="18" t="str">
        <x:v>shape: 605-Short Duckbill; size: XS extra small / S S / M medium / L large</x:v>
      </x:c>
      <x:c r="E1687" s="25" t="str">
        <x:v>$3.49</x:v>
      </x:c>
      <x:c r="F1687" s="19" t="str">
        <x:v>1</x:v>
      </x:c>
    </x:row>
    <x:row r="1688" ht="93" customHeight="1">
      <x:c r="A1688" s="19" t="n">
        <x:v>1685</x:v>
      </x:c>
      <x:c r="B1688" s="22" t="e">
        <x:f>HYPERLINK("https://cdn.shopify.com/s/files/1/0918/6066/4603/files/O1CN01zK3WRB1rlpStDj2rU__2215158925672-0-cib.jpg?v=1754471142","Open")</x:f>
        <x:v>HYPERLINK is not implemented. linkLocation=https://cdn.shopify.com/s/files/1/0918/6066/4603/files/O1CN01zK3WRB1rlpStDj2rU__2215158925672-0-cib.jpg?v=1754471142, friendlyName=Open</x:v>
      </x:c>
      <x:c r="C1688" s="24" t="e">
        <x:f>HYPERLINK("https://365nails.com/products/ballet-shoes-pure-desire-sweet-embossed-hand-painted-bow-handmade-wearing-false-nail-patch-365nails","Ballet Ribbon Nails with Sculpted Bow Embellishments")</x:f>
        <x:v>HYPERLINK is not implemented. linkLocation=https://365nails.com/products/ballet-shoes-pure-desire-sweet-embossed-hand-painted-bow-handmade-wearing-false-nail-patch-365nails, friendlyName=Ballet Ribbon Nails with Sculpted Bow Embellishments</x:v>
      </x:c>
      <x:c r="D1688" s="18" t="str">
        <x:v>shape: medium almond; size: XS / S / M / L</x:v>
      </x:c>
      <x:c r="E1688" s="25" t="str">
        <x:v>$3.49</x:v>
      </x:c>
      <x:c r="F1688" s="19" t="str">
        <x:v>30</x:v>
      </x:c>
    </x:row>
    <x:row r="1689" ht="93" customHeight="1">
      <x:c r="A1689" s="19" t="n">
        <x:v>1686</x:v>
      </x:c>
      <x:c r="B1689" s="22" t="e">
        <x:f>HYPERLINK("https://cdn.shopify.com/s/files/1/0918/6066/4603/files/O1CN01Wa4rLr1rlpSIlbarj__2215158925672-0-cib.jpg?v=1754471114","Open")</x:f>
        <x:v>HYPERLINK is not implemented. linkLocation=https://cdn.shopify.com/s/files/1/0918/6066/4603/files/O1CN01Wa4rLr1rlpSIlbarj__2215158925672-0-cib.jpg?v=1754471114, friendlyName=Open</x:v>
      </x:c>
      <x:c r="C1689" s="24" t="e">
        <x:f>HYPERLINK("https://365nails.com/products/sea-salt-gilt-manicure-is-simple-fresh-and-elegant-short-handmade-sticker-365nails","Fresh Gold-Fleck Nails with Soft Elegant Tones")</x:f>
        <x:v>HYPERLINK is not implemented. linkLocation=https://365nails.com/products/sea-salt-gilt-manicure-is-simple-fresh-and-elegant-short-handmade-sticker-365nails, friendlyName=Fresh Gold-Fleck Nails with Soft Elegant Tones</x:v>
      </x:c>
      <x:c r="D1689" s="18" t="str">
        <x:v>shape: short ellipse; size: XS / S / M / L</x:v>
      </x:c>
      <x:c r="E1689" s="25" t="str">
        <x:v>$2.49</x:v>
      </x:c>
      <x:c r="F1689" s="19" t="str">
        <x:v>30</x:v>
      </x:c>
    </x:row>
    <x:row r="1690" ht="93" customHeight="1">
      <x:c r="A1690" s="19" t="n">
        <x:v>1687</x:v>
      </x:c>
      <x:c r="B1690" s="22" t="e">
        <x:f>HYPERLINK("https://cdn.shopify.com/s/files/1/0918/6066/4603/files/O1CN01PWuRbk1rlpNcPPq6b__2215158925672-0-cib.jpg?v=1754471152","Open")</x:f>
        <x:v>HYPERLINK is not implemented. linkLocation=https://cdn.shopify.com/s/files/1/0918/6066/4603/files/O1CN01PWuRbk1rlpNcPPq6b__2215158925672-0-cib.jpg?v=1754471152, friendlyName=Open</x:v>
      </x:c>
      <x:c r="C1690" s="24" t="e">
        <x:f>HYPERLINK("https://365nails.com/products/buccellati-nail-art-spar-cats-eye-magic-mirror-powder-premium-whitening-short-handemade-press-on-nails-sticker-365nails","Bucellati Pink Cat-Eye Nails with Crystal-Stone Frames")</x:f>
        <x:v>HYPERLINK is not implemented. linkLocation=https://365nails.com/products/buccellati-nail-art-spar-cats-eye-magic-mirror-powder-premium-whitening-short-handemade-press-on-nails-sticker-365nails, friendlyName=Bucellati Pink Cat-Eye Nails with Crystal-Stone Frames</x:v>
      </x:c>
      <x:c r="D1690" s="18" t="str">
        <x:v>shape: new short square; size: XS / S / M / L</x:v>
      </x:c>
      <x:c r="E1690" s="25" t="str">
        <x:v>$2.99</x:v>
      </x:c>
      <x:c r="F1690" s="19" t="str">
        <x:v>30</x:v>
      </x:c>
    </x:row>
    <x:row r="1691" ht="93" customHeight="1">
      <x:c r="A1691" s="19" t="n">
        <x:v>1688</x:v>
      </x:c>
      <x:c r="B1691" s="22" t="e">
        <x:f>HYPERLINK("https://cdn.shopify.com/s/files/1/0918/6066/4603/files/O1CN01GTIvUL1CPwPViryAp__2213196780074-0-cib.jpg?v=1764470986","Open")</x:f>
        <x:v>HYPERLINK is not implemented. linkLocation=https://cdn.shopify.com/s/files/1/0918/6066/4603/files/O1CN01GTIvUL1CPwPViryAp__2213196780074-0-cib.jpg?v=1764470986, friendlyName=Open</x:v>
      </x:c>
      <x:c r="C1691" s="24" t="e">
        <x:f>HYPERLINK("https://365nails.com/products/golden-cross-floral-glam-coral-duckbill-press-on-nails","Golden Cross Floral Glam Coral Duckbill Press On Nails")</x:f>
        <x:v>HYPERLINK is not implemented. linkLocation=https://365nails.com/products/golden-cross-floral-glam-coral-duckbill-press-on-nails, friendlyName=Golden Cross Floral Glam Coral Duckbill Press On Nails</x:v>
      </x:c>
      <x:c r="D1691" s="18" t="str">
        <x:v>shape: 646-Short Duckbill; size: XS / S / M / L</x:v>
      </x:c>
      <x:c r="E1691" s="25" t="str">
        <x:v>$4.49</x:v>
      </x:c>
      <x:c r="F1691" s="19" t="str">
        <x:v>1</x:v>
      </x:c>
    </x:row>
    <x:row r="1692" ht="93" customHeight="1">
      <x:c r="A1692" s="19" t="n">
        <x:v>1689</x:v>
      </x:c>
      <x:c r="B1692" s="22" t="e">
        <x:f>HYPERLINK("https://cdn.shopify.com/s/files/1/0918/6066/4603/files/O1CN01BKD1qG1rlpMcsh6LG__2215158925672-0-cib.jpg?v=1754471204","Open")</x:f>
        <x:v>HYPERLINK is not implemented. linkLocation=https://cdn.shopify.com/s/files/1/0918/6066/4603/files/O1CN01BKD1qG1rlpMcsh6LG__2215158925672-0-cib.jpg?v=1754471204, friendlyName=Open</x:v>
      </x:c>
      <x:c r="C1692" s="24" t="e">
        <x:f>HYPERLINK("https://365nails.com/products/handmade-press-on-nails-airbrush-black-gills-spice-girl-nail-patch-perforated-ring-personalized-patch-365nails","Smoky Nude Nails with Metallic Broken Heart Charms")</x:f>
        <x:v>HYPERLINK is not implemented. linkLocation=https://365nails.com/products/handmade-press-on-nails-airbrush-black-gills-spice-girl-nail-patch-perforated-ring-personalized-patch-365nails, friendlyName=Smoky Nude Nails with Metallic Broken Heart Charms</x:v>
      </x:c>
      <x:c r="D1692" s="18" t="str">
        <x:v>shape: Medium T; size: XS / S / M / L</x:v>
      </x:c>
      <x:c r="E1692" s="25" t="str">
        <x:v>$2.99</x:v>
      </x:c>
      <x:c r="F1692" s="19" t="str">
        <x:v>30</x:v>
      </x:c>
    </x:row>
    <x:row r="1693" ht="93" customHeight="1">
      <x:c r="A1693" s="19" t="n">
        <x:v>1690</x:v>
      </x:c>
      <x:c r="B1693" s="22" t="e">
        <x:f>HYPERLINK("https://cdn.shopify.com/s/files/1/0918/6066/4603/files/O1CN01xBz2ri1CPwOLttorb__2213196780074-0-cib.jpg?v=1764557103","Open")</x:f>
        <x:v>HYPERLINK is not implemented. linkLocation=https://cdn.shopify.com/s/files/1/0918/6066/4603/files/O1CN01xBz2ri1CPwOLttorb__2213196780074-0-cib.jpg?v=1764557103, friendlyName=Open</x:v>
      </x:c>
      <x:c r="C1693" s="24" t="e">
        <x:f>HYPERLINK("https://365nails.com/products/elegant-plum-nude-3d-floral-gold-accent-medium-press-on-nails","Elegant Plum Nude 3D Floral Gold Accent Medium Press-On Nails")</x:f>
        <x:v>HYPERLINK is not implemented. linkLocation=https://365nails.com/products/elegant-plum-nude-3d-floral-gold-accent-medium-press-on-nails, friendlyName=Elegant Plum Nude 3D Floral Gold Accent Medium Press-On Nails</x:v>
      </x:c>
      <x:c r="D1693" s="18" t="str">
        <x:v>shape: 3015-Medium Almond; size: XS / S / M / L</x:v>
      </x:c>
      <x:c r="E1693" s="25" t="str">
        <x:v>$4.99</x:v>
      </x:c>
      <x:c r="F1693" s="19" t="str">
        <x:v>1</x:v>
      </x:c>
    </x:row>
    <x:row r="1694" ht="93" customHeight="1">
      <x:c r="A1694" s="19" t="n">
        <x:v>1691</x:v>
      </x:c>
      <x:c r="B1694" s="22" t="e">
        <x:f>HYPERLINK("https://cdn.shopify.com/s/files/1/0918/6066/4603/files/O1CN017x2jcp1rlpJi3L6Sb__2215158925672-0-cib.jpg?v=1754471212","Open")</x:f>
        <x:v>HYPERLINK is not implemented. linkLocation=https://cdn.shopify.com/s/files/1/0918/6066/4603/files/O1CN017x2jcp1rlpJi3L6Sb__2215158925672-0-cib.jpg?v=1754471212, friendlyName=Open</x:v>
      </x:c>
      <x:c r="C1694" s="24" t="e">
        <x:f>HYPERLINK("https://365nails.com/products/pure-handmade-press-on-nails-metal-three-dimensional-magic-mirror-powder-hand-painted-nail-art-finished-nail-piece-style-fake-nails-365nails","Black and Silver Nails with Sculpted Chrome Details")</x:f>
        <x:v>HYPERLINK is not implemented. linkLocation=https://365nails.com/products/pure-handmade-press-on-nails-metal-three-dimensional-magic-mirror-powder-hand-painted-nail-art-finished-nail-piece-style-fake-nails-365nails, friendlyName=Black and Silver Nails with Sculpted Chrome Details</x:v>
      </x:c>
      <x:c r="D1694" s="18" t="str">
        <x:v>shape: Medium T; size: XS / S / M / L</x:v>
      </x:c>
      <x:c r="E1694" s="25" t="str">
        <x:v>$4.99</x:v>
      </x:c>
      <x:c r="F1694" s="19" t="str">
        <x:v>30</x:v>
      </x:c>
    </x:row>
    <x:row r="1695" ht="93" customHeight="1">
      <x:c r="A1695" s="19" t="n">
        <x:v>1692</x:v>
      </x:c>
      <x:c r="B1695" s="22" t="e">
        <x:f>HYPERLINK("https://cdn.shopify.com/s/files/1/0918/6066/4603/files/O1CN01RrDYYG1rlpUh5XVnB__2215158925672-0-cib.jpg?v=1754471281","Open")</x:f>
        <x:v>HYPERLINK is not implemented. linkLocation=https://cdn.shopify.com/s/files/1/0918/6066/4603/files/O1CN01RrDYYG1rlpUh5XVnB__2215158925672-0-cib.jpg?v=1754471281, friendlyName=Open</x:v>
      </x:c>
      <x:c r="C1695" s="24" t="e">
        <x:f>HYPERLINK("https://365nails.com/products/handmade-press-on-nails-autumn-and-winter-sweet-and-cool-spice-girl-black-light-chasing-cat-star-almond-nail-365nails","Black Galaxy Nails with Sparkling Star Charms")</x:f>
        <x:v>HYPERLINK is not implemented. linkLocation=https://365nails.com/products/handmade-press-on-nails-autumn-and-winter-sweet-and-cool-spice-girl-black-light-chasing-cat-star-almond-nail-365nails, friendlyName=Black Galaxy Nails with Sparkling Star Charms</x:v>
      </x:c>
      <x:c r="D1695" s="18" t="str">
        <x:v>shape: medium almond; size: XS / S / M / L</x:v>
      </x:c>
      <x:c r="E1695" s="25" t="str">
        <x:v>$2.99</x:v>
      </x:c>
      <x:c r="F1695" s="19" t="str">
        <x:v>30</x:v>
      </x:c>
    </x:row>
    <x:row r="1696" ht="93" customHeight="1">
      <x:c r="A1696" s="19" t="n">
        <x:v>1693</x:v>
      </x:c>
      <x:c r="B1696" s="22" t="e">
        <x:f>HYPERLINK("https://cdn.shopify.com/s/files/1/0918/6066/4603/files/O1CN01J42yVe1rlpUrm5L94__2215158925672-0-cib.jpg?v=1754471346","Open")</x:f>
        <x:v>HYPERLINK is not implemented. linkLocation=https://cdn.shopify.com/s/files/1/0918/6066/4603/files/O1CN01J42yVe1rlpUrm5L94__2215158925672-0-cib.jpg?v=1754471346, friendlyName=Open</x:v>
      </x:c>
      <x:c r="C1696" s="24" t="e">
        <x:f>HYPERLINK("https://365nails.com/products/handemade-press-on-nails-3d-three-dimensional-carving-ice-transparent-blush-nail-sweet-cool-spice-girl-almond-nail-365nails","Enchanted Garden Pearl Nail Set")</x:f>
        <x:v>HYPERLINK is not implemented. linkLocation=https://365nails.com/products/handemade-press-on-nails-3d-three-dimensional-carving-ice-transparent-blush-nail-sweet-cool-spice-girl-almond-nail-365nails, friendlyName=Enchanted Garden Pearl Nail Set</x:v>
      </x:c>
      <x:c r="D1696" s="18" t="str">
        <x:v>shape: medium almond; size: XS / S / M / L</x:v>
      </x:c>
      <x:c r="E1696" s="25" t="str">
        <x:v>$4.49</x:v>
      </x:c>
      <x:c r="F1696" s="19" t="str">
        <x:v>30</x:v>
      </x:c>
    </x:row>
    <x:row r="1697" ht="93" customHeight="1">
      <x:c r="A1697" s="19" t="n">
        <x:v>1694</x:v>
      </x:c>
      <x:c r="B1697" s="22" t="e">
        <x:f>HYPERLINK("https://cdn.shopify.com/s/files/1/0918/6066/4603/files/O1CN01kYe5CH1rlpM6Et67Q__2215158925672-0-cib.jpg?v=1754471333","Open")</x:f>
        <x:v>HYPERLINK is not implemented. linkLocation=https://cdn.shopify.com/s/files/1/0918/6066/4603/files/O1CN01kYe5CH1rlpM6Et67Q__2215158925672-0-cib.jpg?v=1754471333, friendlyName=Open</x:v>
      </x:c>
      <x:c r="C1697" s="24" t="e">
        <x:f>HYPERLINK("https://365nails.com/products/simple-and-pure-desire-wind-handmade-press-on-nails-crooked-heart-matte-texture-advanced-nail-patch-sticker-365nails","Blush Cloud Heart Nail Set")</x:f>
        <x:v>HYPERLINK is not implemented. linkLocation=https://365nails.com/products/simple-and-pure-desire-wind-handmade-press-on-nails-crooked-heart-matte-texture-advanced-nail-patch-sticker-365nails, friendlyName=Blush Cloud Heart Nail Set</x:v>
      </x:c>
      <x:c r="D1697" s="18" t="str">
        <x:v>shape: Medium T; size: XS / S / M / L</x:v>
      </x:c>
      <x:c r="E1697" s="25" t="str">
        <x:v>$2.49</x:v>
      </x:c>
      <x:c r="F1697" s="19" t="str">
        <x:v>30</x:v>
      </x:c>
    </x:row>
    <x:row r="1698" ht="93" customHeight="1">
      <x:c r="A1698" s="19" t="n">
        <x:v>1695</x:v>
      </x:c>
      <x:c r="B1698" s="22" t="e">
        <x:f>HYPERLINK("https://cdn.shopify.com/s/files/1/0918/6066/4603/files/O1CN01fQVJAV1rlpK2bhxWm__2215158925672-0-cib.jpg?v=1754471355","Open")</x:f>
        <x:v>HYPERLINK is not implemented. linkLocation=https://cdn.shopify.com/s/files/1/0918/6066/4603/files/O1CN01fQVJAV1rlpK2bhxWm__2215158925672-0-cib.jpg?v=1754471355, friendlyName=Open</x:v>
      </x:c>
      <x:c r="C1698" s="24" t="e">
        <x:f>HYPERLINK("https://365nails.com/products/pure-handmade-press-on-nails-simple-black-powder-gradual-change-medium-and-long-nail-patch-sticker-fake-nail-wholesale-365nails","Rosewood Velvet Ombre Nail Set")</x:f>
        <x:v>HYPERLINK is not implemented. linkLocation=https://365nails.com/products/pure-handmade-press-on-nails-simple-black-powder-gradual-change-medium-and-long-nail-patch-sticker-fake-nail-wholesale-365nails, friendlyName=Rosewood Velvet Ombre Nail Set</x:v>
      </x:c>
      <x:c r="D1698" s="18" t="str">
        <x:v>length: Medium T; size: XS / S / M / L</x:v>
      </x:c>
      <x:c r="E1698" s="25" t="str">
        <x:v>$2.99</x:v>
      </x:c>
      <x:c r="F1698" s="19" t="str">
        <x:v>30</x:v>
      </x:c>
    </x:row>
    <x:row r="1699" ht="93" customHeight="1">
      <x:c r="A1699" s="19" t="n">
        <x:v>1696</x:v>
      </x:c>
      <x:c r="B1699" s="22" t="e">
        <x:f>HYPERLINK("https://cdn.shopify.com/s/files/1/0918/6066/4603/files/6d51d79f4183b0958ca31800a0adb1de.jpg?v=1755246797","Open")</x:f>
        <x:v>HYPERLINK is not implemented. linkLocation=https://cdn.shopify.com/s/files/1/0918/6066/4603/files/6d51d79f4183b0958ca31800a0adb1de.jpg?v=1755246797, friendlyName=Open</x:v>
      </x:c>
      <x:c r="C1699" s="24" t="e">
        <x:f>HYPERLINK("https://365nails.com/products/nail-tips-cats-eye-press-on-nails-flash-spice-girl-patch-manicure-removable-trapezoidal-nail-120-pieces-boxed-fake-nails","Cat eye press on nails, flash Spice Girl patch manicure removable trapezoidal nail 120 pieces boxed fake nails (MOQ=3)")</x:f>
        <x:v>HYPERLINK is not implemented. linkLocation=https://365nails.com/products/nail-tips-cats-eye-press-on-nails-flash-spice-girl-patch-manicure-removable-trapezoidal-nail-120-pieces-boxed-fake-nails, friendlyName=Cat eye press on nails, flash Spice Girl patch manicure removable trapezoidal nail 120 pieces boxed fake nails (MOQ=3)</x:v>
      </x:c>
      <x:c r="D1699" s="18" t="str">
        <x:v>Color: 69-321648 * 120 piece box / 69-321652 * 120 piece box / 69-321656 * 120 piece box / 69-321648 * 120 piece bag / 69-321652 * 120 piece bag / 69-321656 * 120 piece bag; Quantity: 3pcs</x:v>
      </x:c>
      <x:c r="E1699" s="25" t="str">
        <x:v>$6.51–$6.78</x:v>
      </x:c>
      <x:c r="F1699" s="19" t="str">
        <x:v>1</x:v>
      </x:c>
    </x:row>
    <x:row r="1700" ht="93" customHeight="1">
      <x:c r="A1700" s="19" t="n">
        <x:v>1697</x:v>
      </x:c>
      <x:c r="B1700" s="22" t="e">
        <x:f>HYPERLINK("https://cdn.shopify.com/s/files/1/0918/6066/4603/files/19e7300a8d28d.png?v=1780045971","Open")</x:f>
        <x:v>HYPERLINK is not implemented. linkLocation=https://cdn.shopify.com/s/files/1/0918/6066/4603/files/19e7300a8d28d.png?v=1780045971, friendlyName=Open</x:v>
      </x:c>
      <x:c r="C1700" s="24" t="e">
        <x:f>HYPERLINK("https://365nails.com/products/discount-press-on-nails-mystery-box-wholesale-24-piece-machine-made-from-0-25-set","Leftover Stock and Minor-defect Items｜Discount Press-On Nails Mystery Box Wholesale | 24-Piece Machine-Made | From $0.25/Set (100 Sets MOQ, No Returns)")</x:f>
        <x:v>HYPERLINK is not implemented. linkLocation=https://365nails.com/products/discount-press-on-nails-mystery-box-wholesale-24-piece-machine-made-from-0-25-set, friendlyName=Leftover Stock and Minor-defect Items｜Discount Press-On Nails Mystery Box Wholesale | 24-Piece Machine-Made | From $0.25/Set (100 Sets MOQ, No Returns)</x:v>
      </x:c>
      <x:c r="D1700" s="18" t="str">
        <x:v>quantity: 100pcs(0.35/pcs) / 500pcs(0.3/pcs) / 1000pcs(0.25/pcs)</x:v>
      </x:c>
      <x:c r="E1700" s="25" t="str">
        <x:v>$35.00–$250.00</x:v>
      </x:c>
      <x:c r="F1700" s="19" t="str">
        <x:v>1</x:v>
      </x:c>
    </x:row>
    <x:row r="1701" ht="93" customHeight="1">
      <x:c r="A1701" s="19" t="n">
        <x:v>1698</x:v>
      </x:c>
      <x:c r="B1701" s="22" t="e">
        <x:f>HYPERLINK("https://cdn.shopify.com/s/files/1/0918/6066/4603/files/O1CN01IaXrbk1xxB0F3w8kX__2212202186509-0-cib.jpg?v=1763616860","Open")</x:f>
        <x:v>HYPERLINK is not implemented. linkLocation=https://cdn.shopify.com/s/files/1/0918/6066/4603/files/O1CN01IaXrbk1xxB0F3w8kX__2212202186509-0-cib.jpg?v=1763616860, friendlyName=Open</x:v>
      </x:c>
      <x:c r="C1701" s="24" t="e">
        <x:f>HYPERLINK("https://365nails.com/products/double-layer-arch-nail-display-card-premium-ins-style-background-card-for-press-on-nails","Double‑Layer Arch Nail Display Card – Premium INS‑Style Background Card for Press‑On Nails")</x:f>
        <x:v>HYPERLINK is not implemented. linkLocation=https://365nails.com/products/double-layer-arch-nail-display-card-premium-ins-style-background-card-for-press-on-nails, friendlyName=Double‑Layer Arch Nail Display Card – Premium INS‑Style Background Card for Press‑On Nails</x:v>
      </x:c>
      <x:c r="D1701" s="18" t="str">
        <x:v>Specifications and models: 01 models are sold directly in stock (card + dust bag + chain). / 02 models are sold directly in stock (card + dust bag + chain). / 03 models are sold directly in stock (card + dust bag + chain). / 04 models are sold directly in stock (card + dust bag + chain). / 05 models are sold directly in stock (card + dust bag + chain). / Embossed double-layer spot 01 models / Embossed double-layer spot 02 models; Quantity: 50pcs</x:v>
      </x:c>
      <x:c r="E1701" s="25" t="str">
        <x:v>$13.00</x:v>
      </x:c>
      <x:c r="F1701" s="19" t="str">
        <x:v>1</x:v>
      </x:c>
    </x:row>
    <x:row r="1702" ht="93" customHeight="1">
      <x:c r="A1702" s="19" t="n">
        <x:v>1699</x:v>
      </x:c>
      <x:c r="B1702" s="22" t="e">
        <x:f>HYPERLINK("https://cdn.shopify.com/s/files/1/0918/6066/4603/files/O1CN01dAGYUz1xxAqaWTLFU__2212202186509-0-cib_f412dda4-4008-4656-9637-2fa1a73420e1.jpg?v=1763611550","Open")</x:f>
        <x:v>HYPERLINK is not implemented. linkLocation=https://cdn.shopify.com/s/files/1/0918/6066/4603/files/O1CN01dAGYUz1xxAqaWTLFU__2212202186509-0-cib_f412dda4-4008-4656-9637-2fa1a73420e1.jpg?v=1763611550, friendlyName=Open</x:v>
      </x:c>
      <x:c r="C1702" s="24" t="e">
        <x:f>HYPERLINK("https://365nails.com/products/elegant-gold-wave-nail-display-card-for-press-on-nails","Elegant Gold Wave Nail Display Card for Press-On Nails")</x:f>
        <x:v>HYPERLINK is not implemented. linkLocation=https://365nails.com/products/elegant-gold-wave-nail-display-card-for-press-on-nails, friendlyName=Elegant Gold Wave Nail Display Card for Press-On Nails</x:v>
      </x:c>
      <x:c r="D1702" s="18" t="str">
        <x:v>Specifications and models: Spot direct auction (card + chain + dust bag) / Coated paper double layer (card + chain + dust bag) / 01 Single pearlescent paper card + dust bag + chain / 02 single pearlescent paper card + dust bag + chain / 03 Single pearlescent paper card + dust bag + chain; Quantity: 50pcs</x:v>
      </x:c>
      <x:c r="E1702" s="25" t="str">
        <x:v>$12.50</x:v>
      </x:c>
      <x:c r="F1702" s="19" t="str">
        <x:v>1</x:v>
      </x:c>
    </x:row>
    <x:row r="1703" ht="93" customHeight="1">
      <x:c r="A1703" s="19" t="n">
        <x:v>1700</x:v>
      </x:c>
      <x:c r="B1703" s="22" t="e">
        <x:f>HYPERLINK("https://cdn.shopify.com/s/files/1/0918/6066/4603/files/O1CN01AH3rEr1rlpTOPumOk__2215158925672-0-cib.jpg?v=1754375621","Open")</x:f>
        <x:v>HYPERLINK is not implemented. linkLocation=https://cdn.shopify.com/s/files/1/0918/6066/4603/files/O1CN01AH3rEr1rlpTOPumOk__2215158925672-0-cib.jpg?v=1754375621, friendlyName=Open</x:v>
      </x:c>
      <x:c r="C1703" s="24" t="e">
        <x:f>HYPERLINK("https://365nails.com/products/blue-star-attractive-force-creative-hand-painted-pure-handmade-press-on-nails-cat-eye-irregular-metal-wind-manicure-365nails","Midnight Chrome Wave Nail Set")</x:f>
        <x:v>HYPERLINK is not implemented. linkLocation=https://365nails.com/products/blue-star-attractive-force-creative-hand-painted-pure-handmade-press-on-nails-cat-eye-irregular-metal-wind-manicure-365nails, friendlyName=Midnight Chrome Wave Nail Set</x:v>
      </x:c>
      <x:c r="D1703" s="18" t="str">
        <x:v>shape: long tip; size: XS / S / M / L</x:v>
      </x:c>
      <x:c r="E1703" s="25" t="str">
        <x:v>$2.99</x:v>
      </x:c>
      <x:c r="F1703" s="19" t="str">
        <x:v>30</x:v>
      </x:c>
    </x:row>
    <x:row r="1704" ht="93" customHeight="1">
      <x:c r="A1704" s="19" t="n">
        <x:v>1701</x:v>
      </x:c>
      <x:c r="B1704" s="22" t="e">
        <x:f>HYPERLINK("https://cdn.shopify.com/s/files/1/0918/6066/4603/files/O1CN01plEmcP1rlpMTvrCI1__2215158925672-0-cib.jpg?v=1754375582","Open")</x:f>
        <x:v>HYPERLINK is not implemented. linkLocation=https://cdn.shopify.com/s/files/1/0918/6066/4603/files/O1CN01plEmcP1rlpMTvrCI1__2215158925672-0-cib.jpg?v=1754375582, friendlyName=Open</x:v>
      </x:c>
      <x:c r="C1704" s="24" t="e">
        <x:f>HYPERLINK("https://365nails.com/products/autumn-and-winter-new-handmade-worn-nail-sweet-cool-spice-girl-contrasting-color-handmade-press-on-nails-art-finished-patch-sticker-365nails","Holographic Galaxy Dream Nail Set")</x:f>
        <x:v>HYPERLINK is not implemented. linkLocation=https://365nails.com/products/autumn-and-winter-new-handmade-worn-nail-sweet-cool-spice-girl-contrasting-color-handmade-press-on-nails-art-finished-patch-sticker-365nails, friendlyName=Holographic Galaxy Dream Nail Set</x:v>
      </x:c>
      <x:c r="D1704" s="18" t="str">
        <x:v>Color: medium ellipse; Color classification: XS / S / M</x:v>
      </x:c>
      <x:c r="E1704" s="25" t="str">
        <x:v>$2.99</x:v>
      </x:c>
      <x:c r="F1704" s="19" t="str">
        <x:v>30</x:v>
      </x:c>
    </x:row>
    <x:row r="1705" ht="93" customHeight="1">
      <x:c r="A1705" s="19" t="n">
        <x:v>1702</x:v>
      </x:c>
      <x:c r="B1705" s="22" t="e">
        <x:f>HYPERLINK("https://cdn.shopify.com/s/files/1/0918/6066/4603/files/O1CN01It3ueZ1CPwH3Yb59C__2213196780074-0-cib.jpg?v=1753689594","Open")</x:f>
        <x:v>HYPERLINK is not implemented. linkLocation=https://cdn.shopify.com/s/files/1/0918/6066/4603/files/O1CN01It3ueZ1CPwH3Yb59C__2213196780074-0-cib.jpg?v=1753689594, friendlyName=Open</x:v>
      </x:c>
      <x:c r="C1705" s="24" t="e">
        <x:f>HYPERLINK("https://365nails.com/products/purely-handmade-nails-in-europe-america-full-of-diamonds-and-flash-cleopatra-finished-nail-art-365nails","Cleopatra Crystal Explosion Luxury Press On Nails")</x:f>
        <x:v>HYPERLINK is not implemented. linkLocation=https://365nails.com/products/purely-handmade-nails-in-europe-america-full-of-diamonds-and-flash-cleopatra-finished-nail-art-365nails, friendlyName=Cleopatra Crystal Explosion Luxury Press On Nails</x:v>
      </x:c>
      <x:c r="D1705" s="18" t="str">
        <x:v>shape: 1986 Longdrop; Size: XS / S / M / L</x:v>
      </x:c>
      <x:c r="E1705" s="25" t="str">
        <x:v>$2.99</x:v>
      </x:c>
      <x:c r="F1705" s="19" t="str">
        <x:v>1</x:v>
      </x:c>
    </x:row>
    <x:row r="1706" ht="93" customHeight="1">
      <x:c r="A1706" s="19" t="n">
        <x:v>1703</x:v>
      </x:c>
      <x:c r="B1706" s="22" t="e">
        <x:f>HYPERLINK("https://cdn.shopify.com/s/files/1/0918/6066/4603/files/O1CN01XWNuDE1CPwLEnrvER__2213196780074-0-cib.jpg?v=1753689958","Open")</x:f>
        <x:v>HYPERLINK is not implemented. linkLocation=https://cdn.shopify.com/s/files/1/0918/6066/4603/files/O1CN01XWNuDE1CPwLEnrvER__2213196780074-0-cib.jpg?v=1753689958, friendlyName=Open</x:v>
      </x:c>
      <x:c r="C1706" s="24" t="e">
        <x:f>HYPERLINK("https://365nails.com/products/nail-art-island-vacation-style-wearing-three-dimensional-starfish-fake-nailss-epoxy-shell-hand-pinching-flowers-365nails","Island Vacation Tropical Summer Press On Nails")</x:f>
        <x:v>HYPERLINK is not implemented. linkLocation=https://365nails.com/products/nail-art-island-vacation-style-wearing-three-dimensional-starfish-fake-nailss-epoxy-shell-hand-pinching-flowers-365nails, friendlyName=Island Vacation Tropical Summer Press On Nails</x:v>
      </x:c>
      <x:c r="D1706" s="18" t="str">
        <x:v>shape: 2670-Long pointed circle; size: XS / S / M / L</x:v>
      </x:c>
      <x:c r="E1706" s="25" t="str">
        <x:v>$3.49</x:v>
      </x:c>
      <x:c r="F1706" s="19" t="str">
        <x:v>1</x:v>
      </x:c>
    </x:row>
    <x:row r="1707" ht="93" customHeight="1">
      <x:c r="A1707" s="19" t="n">
        <x:v>1704</x:v>
      </x:c>
      <x:c r="B1707" s="22" t="e">
        <x:f>HYPERLINK("https://cdn.shopify.com/s/files/1/0918/6066/4603/files/e61de0500901d7c48fcbc649adbd84c1.jpg?v=1772707511","Open")</x:f>
        <x:v>HYPERLINK is not implemented. linkLocation=https://cdn.shopify.com/s/files/1/0918/6066/4603/files/e61de0500901d7c48fcbc649adbd84c1.jpg?v=1772707511, friendlyName=Open</x:v>
      </x:c>
      <x:c r="C1707" s="24" t="e">
        <x:f>HYPERLINK("https://365nails.com/products/vip-exclusive-custom-link-special-order-price-adjustment-365nails-official","VIP Exclusive Custom Link | Special Order &amp; Price Adjustment | 365nails Official")</x:f>
        <x:v>HYPERLINK is not implemented. linkLocation=https://365nails.com/products/vip-exclusive-custom-link-special-order-price-adjustment-365nails-official, friendlyName=VIP Exclusive Custom Link | Special Order &amp; Price Adjustment | 365nails Official</x:v>
      </x:c>
      <x:c r="D1707" s="18" t="str">
        <x:v>quanlity: $1 link / Esin-10x30 sets / 100set / Devon-3x30 sets / 150set / $1000</x:v>
      </x:c>
      <x:c r="E1707" s="25" t="str">
        <x:v>$1.00–$1000.00</x:v>
      </x:c>
      <x:c r="F1707" s="19" t="str">
        <x:v>Contact us</x:v>
      </x:c>
    </x:row>
    <x:row r="1708" ht="93" customHeight="1">
      <x:c r="A1708" s="19" t="n">
        <x:v>1705</x:v>
      </x:c>
      <x:c r="B1708" s="22" t="e">
        <x:f>HYPERLINK("https://cdn.shopify.com/s/files/1/0918/6066/4603/files/3960ffb61b50760f6f6fc6bd1b2a5f13.jpg?v=1770276313","Open")</x:f>
        <x:v>HYPERLINK is not implemented. linkLocation=https://cdn.shopify.com/s/files/1/0918/6066/4603/files/3960ffb61b50760f6f6fc6bd1b2a5f13.jpg?v=1770276313, friendlyName=Open</x:v>
      </x:c>
      <x:c r="C1708" s="24" t="e">
        <x:f>HYPERLINK("https://365nails.com/products/handmade-sakura-pink-3d-floral-press-on-nails-gold-accents-water-drops-almond-10pcs-set","Handmade ""Sakura Pink"" 3D Floral Press-on Nails | Gold Accents &amp; Water Drops | Almond")</x:f>
        <x:v>HYPERLINK is not implemented. linkLocation=https://365nails.com/products/handmade-sakura-pink-3d-floral-press-on-nails-gold-accents-water-drops-almond-10pcs-set, friendlyName=Handmade "Sakura Pink" 3D Floral Press-on Nails | Gold Accents &amp; Water Drops | Almond</x:v>
      </x:c>
      <x:c r="D1708" s="18" t="str">
        <x:v>Size: XS / S / M / L</x:v>
      </x:c>
      <x:c r="E1708" s="25" t="str">
        <x:v>$3.99</x:v>
      </x:c>
      <x:c r="F1708" s="19" t="str">
        <x:v>5</x:v>
      </x:c>
    </x:row>
    <x:row r="1709" ht="93" customHeight="1">
      <x:c r="A1709" s="19" t="n">
        <x:v>1706</x:v>
      </x:c>
      <x:c r="B1709" s="22" t="e">
        <x:f>HYPERLINK("https://cdn.shopify.com/s/files/1/0918/6066/4603/files/72560d6289a8480a356015f38ad50fd7.jpg?v=1773806229","Open")</x:f>
        <x:v>HYPERLINK is not implemented. linkLocation=https://cdn.shopify.com/s/files/1/0918/6066/4603/files/72560d6289a8480a356015f38ad50fd7.jpg?v=1773806229, friendlyName=Open</x:v>
      </x:c>
      <x:c r="C1709" s="24" t="e">
        <x:f>HYPERLINK("https://365nails.com/products/365nails-nude-pink-gold-sand-cat-eye-handmade-press-on-pedicure","365nails: ""nude pink gold sand cat-eye"" – handmade press-on pedicure")</x:f>
        <x:v>HYPERLINK is not implemented. linkLocation=https://365nails.com/products/365nails-nude-pink-gold-sand-cat-eye-handmade-press-on-pedicure, friendlyName=365nails: "nude pink gold sand cat-eye" – handmade press-on pedicure</x:v>
      </x:c>
      <x:c r="D1709" s="18" t="str">
        <x:v>Size: S / M / L</x:v>
      </x:c>
      <x:c r="E1709" s="25" t="str">
        <x:v>$2.99</x:v>
      </x:c>
      <x:c r="F1709" s="19" t="str">
        <x:v>3</x:v>
      </x:c>
    </x:row>
    <x:row r="1710" ht="93" customHeight="1">
      <x:c r="A1710" s="19" t="n">
        <x:v>1707</x:v>
      </x:c>
      <x:c r="B1710" s="22" t="e">
        <x:f>HYPERLINK("https://cdn.shopify.com/s/files/1/0918/6066/4603/files/537fffbf600be6ff101f1f5a3d1fc615_462cfa76-d2d1-434a-8955-497037a67f6a.jpg?v=1780103198","Open")</x:f>
        <x:v>HYPERLINK is not implemented. linkLocation=https://cdn.shopify.com/s/files/1/0918/6066/4603/files/537fffbf600be6ff101f1f5a3d1fc615_462cfa76-d2d1-434a-8955-497037a67f6a.jpg?v=1780103198, friendlyName=Open</x:v>
      </x:c>
      <x:c r="C1710" s="24" t="e">
        <x:f>HYPERLINK("https://365nails.com/products/20-colors-mega-palette-premium-solid-handmade-nails-8-shapes-available-5","""20 Colors Mega Palette"" - Premium Solid Handmade Nails (8 Shapes Available)")</x:f>
        <x:v>HYPERLINK is not implemented. linkLocation=https://365nails.com/products/20-colors-mega-palette-premium-solid-handmade-nails-8-shapes-available-5, friendlyName="20 Colors Mega Palette" - Premium Solid Handmade Nails (8 Shapes Available)</x:v>
      </x:c>
      <x:c r="D1710" s="18" t="str">
        <x:v>Color: Pure Black / Pure White / Jasmine Yellow / Wine Red / Chili Red / Cherry Red / Milk Coffee / Milky White / Glacier Blue / Green Grape Green / Avocado Green / Orange Yellow / Cherry Blossom Pink / Navy Blue / Dark Green / Lilac Purple; Type: Short Almond / Medium Almond / Short Oval / Medium Oval / Short Coffin / Medium Coffin / Short Square / Medium Square; Size: XS / S / M / L</x:v>
      </x:c>
      <x:c r="E1710" s="25" t="str">
        <x:v>$1.49</x:v>
      </x:c>
      <x:c r="F1710" s="19" t="str">
        <x:v>10</x:v>
      </x:c>
    </x:row>
    <x:row r="1711" ht="93" customHeight="1">
      <x:c r="A1711" s="19" t="n">
        <x:v>1708</x:v>
      </x:c>
      <x:c r="B1711" s="22" t="e">
        <x:f>HYPERLINK("https://cdn.shopify.com/s/files/1/0918/6066/4603/files/a28575fa5d850ba9abda965ccfcaf1a9.jpg?v=1777009948","Open")</x:f>
        <x:v>HYPERLINK is not implemented. linkLocation=https://cdn.shopify.com/s/files/1/0918/6066/4603/files/a28575fa5d850ba9abda965ccfcaf1a9.jpg?v=1777009948, friendlyName=Open</x:v>
      </x:c>
      <x:c r="C1711" s="24" t="e">
        <x:f>HYPERLINK("https://365nails.com/products/365nails-handmade-sheer-peach-base-bright-white-french-tip-press-on-nails-solid-color-custom-almond","Handmade Sheer Peach Base Bright White French Tip Press-On Nails (Solid Color/Custom/Almond)")</x:f>
        <x:v>HYPERLINK is not implemented. linkLocation=https://365nails.com/products/365nails-handmade-sheer-peach-base-bright-white-french-tip-press-on-nails-solid-color-custom-almond, friendlyName=Handmade Sheer Peach Base Bright White French Tip Press-On Nails (Solid Color/Custom/Almond)</x:v>
      </x:c>
      <x:c r="D1711" s="18" t="str">
        <x:v>Size: XS / S / M / L</x:v>
      </x:c>
      <x:c r="E1711" s="25" t="str">
        <x:v>$2.49</x:v>
      </x:c>
      <x:c r="F1711" s="19" t="str">
        <x:v>5</x:v>
      </x:c>
    </x:row>
    <x:row r="1712" ht="93" customHeight="1">
      <x:c r="A1712" s="19" t="n">
        <x:v>1709</x:v>
      </x:c>
      <x:c r="B1712" s="22" t="e">
        <x:f>HYPERLINK("https://cdn.shopify.com/s/files/1/0918/6066/4603/files/O1CN01gd0ZQO247bkXsVJk4__2209064737344-0-cib_25648a07-4e5c-4d65-8796-30ccff4395d2.jpg?v=1772707661","Open")</x:f>
        <x:v>HYPERLINK is not implemented. linkLocation=https://cdn.shopify.com/s/files/1/0918/6066/4603/files/O1CN01gd0ZQO247bkXsVJk4__2209064737344-0-cib_25648a07-4e5c-4d65-8796-30ccff4395d2.jpg?v=1772707661, friendlyName=Open</x:v>
      </x:c>
      <x:c r="C1712" s="24" t="e">
        <x:f>HYPERLINK("https://365nails.com/products/365nails-french-manicure-duo-hand-toe-press-on-nails-set","365nails: ""French Manicure Duo"" – Hand &amp; Toe Press-On Nails Set")</x:f>
        <x:v>HYPERLINK is not implemented. linkLocation=https://365nails.com/products/365nails-french-manicure-duo-hand-toe-press-on-nails-set, friendlyName=365nails: "French Manicure Duo" – Hand &amp; Toe Press-On Nails Set</x:v>
      </x:c>
      <x:c r="D1712" s="18" t="str">
        <x:v>Color: Hands + feet white french style * 60 pieces bag / Hands + feet black french *60 pieces in bag / Hands + feet blue french style * 60 pieces bag / Hands + feet pink french style * 60 pieces bag</x:v>
      </x:c>
      <x:c r="E1712" s="25" t="str">
        <x:v>$1.12</x:v>
      </x:c>
      <x:c r="F1712" s="19" t="str">
        <x:v>3</x:v>
      </x:c>
    </x:row>
    <x:row r="1713" ht="93" customHeight="1">
      <x:c r="A1713" s="19" t="n">
        <x:v>1710</x:v>
      </x:c>
      <x:c r="B1713" s="22" t="e">
        <x:f>HYPERLINK("https://cdn.shopify.com/s/files/1/0918/6066/4603/files/c0e1c309b21afe33ffba1f2c8db41029.jpg?v=1775563111","Open")</x:f>
        <x:v>HYPERLINK is not implemented. linkLocation=https://cdn.shopify.com/s/files/1/0918/6066/4603/files/c0e1c309b21afe33ffba1f2c8db41029.jpg?v=1775563111, friendlyName=Open</x:v>
      </x:c>
      <x:c r="C1713" s="24" t="e">
        <x:f>HYPERLINK("https://365nails.com/products/365nails-gilded-opulence-3d-baroque-pearl-handmade-press-on-nails-medium-almond-nails","365nails: ""Gilded Opulence"" – 3D Baroque &amp; Pearl Handmade Press on Nails Medium Almond Nails")</x:f>
        <x:v>HYPERLINK is not implemented. linkLocation=https://365nails.com/products/365nails-gilded-opulence-3d-baroque-pearl-handmade-press-on-nails-medium-almond-nails, friendlyName=365nails: "Gilded Opulence" – 3D Baroque &amp; Pearl Handmade Press on Nails Medium Almond Nails</x:v>
      </x:c>
      <x:c r="D1713" s="18" t="str">
        <x:v>Size: XS / S / M / L</x:v>
      </x:c>
      <x:c r="E1713" s="25" t="str">
        <x:v>$3.49</x:v>
      </x:c>
      <x:c r="F1713" s="19" t="str">
        <x:v>5</x:v>
      </x:c>
    </x:row>
    <x:row r="1714" ht="93" customHeight="1">
      <x:c r="A1714" s="19" t="n">
        <x:v>1711</x:v>
      </x:c>
      <x:c r="B1714" s="22" t="e">
        <x:f>HYPERLINK("https://cdn.shopify.com/s/files/1/0918/6066/4603/files/fbfb9daeb65ac8a4b32405ebc109744e.jpg?v=1757668892","Open")</x:f>
        <x:v>HYPERLINK is not implemented. linkLocation=https://cdn.shopify.com/s/files/1/0918/6066/4603/files/fbfb9daeb65ac8a4b32405ebc109744e.jpg?v=1757668892, friendlyName=Open</x:v>
      </x:c>
      <x:c r="C1714" s="24" t="e">
        <x:f>HYPERLINK("https://365nails.com/products/365nails-icy-blue-french-with-crystal-florals-long-square-press-ons","Crystal Bloom Series Press-On Nails ( MOQ=5pcs )")</x:f>
        <x:v>HYPERLINK is not implemented. linkLocation=https://365nails.com/products/365nails-icy-blue-french-with-crystal-florals-long-square-press-ons, friendlyName=Crystal Bloom Series Press-On Nails ( MOQ=5pcs )</x:v>
      </x:c>
      <x:c r="D1714" s="18" t="str">
        <x:v>Size: XS / S / M / L; Quantity: 5 pcs</x:v>
      </x:c>
      <x:c r="E1714" s="25" t="str">
        <x:v>$5.39</x:v>
      </x:c>
      <x:c r="F1714" s="19" t="str">
        <x:v>30</x:v>
      </x:c>
    </x:row>
    <x:row r="1715" ht="93" customHeight="1">
      <x:c r="A1715" s="19" t="n">
        <x:v>1712</x:v>
      </x:c>
      <x:c r="B1715" s="22" t="e">
        <x:f>HYPERLINK("https://cdn.shopify.com/s/files/1/0918/6066/4603/files/O1CN01FtUT6y1rlpXBOIK8o__2215158925672-0-cib.jpg?v=1754378267","Open")</x:f>
        <x:v>HYPERLINK is not implemented. linkLocation=https://cdn.shopify.com/s/files/1/0918/6066/4603/files/O1CN01FtUT6y1rlpXBOIK8o__2215158925672-0-cib.jpg?v=1754378267, friendlyName=Open</x:v>
      </x:c>
      <x:c r="C1715" s="24" t="e">
        <x:f>HYPERLINK("https://365nails.com/products/handmade-press-on-nails-summer-aurora-french-almond-turtle-tail-pearl-relief-nail-art-finished-products-factory-wholesale-365nails","Pearl Aurora Wave Series Press-On Nails")</x:f>
        <x:v>HYPERLINK is not implemented. linkLocation=https://365nails.com/products/handmade-press-on-nails-summer-aurora-french-almond-turtle-tail-pearl-relief-nail-art-finished-products-factory-wholesale-365nails, friendlyName=Pearl Aurora Wave Series Press-On Nails</x:v>
      </x:c>
      <x:c r="D1715" s="18" t="str">
        <x:v>Color: medium almond; Color classification: XS / S / M / L</x:v>
      </x:c>
      <x:c r="E1715" s="25" t="str">
        <x:v>$2.99</x:v>
      </x:c>
      <x:c r="F1715" s="19" t="str">
        <x:v>30</x:v>
      </x:c>
    </x:row>
    <x:row r="1716" ht="93" customHeight="1">
      <x:c r="A1716" s="19" t="n">
        <x:v>1713</x:v>
      </x:c>
      <x:c r="B1716" s="22" t="e">
        <x:f>HYPERLINK("https://cdn.shopify.com/s/files/1/0918/6066/4603/files/O1CN01OqACrn1oiDauWfADM__6000000005258-0-cib.jpg?v=1774521120","Open")</x:f>
        <x:v>HYPERLINK is not implemented. linkLocation=https://cdn.shopify.com/s/files/1/0918/6066/4603/files/O1CN01OqACrn1oiDauWfADM__6000000005258-0-cib.jpg?v=1774521120, friendlyName=Open</x:v>
      </x:c>
      <x:c r="C1716" s="24" t="e">
        <x:f>HYPERLINK("https://365nails.com/products/blueberry-breeze-azure-berry-bloom-almond-press-on-nails","Blueberry Breeze: ""Azure Berry Bloom"" – Almond Press-On Nails")</x:f>
        <x:v>HYPERLINK is not implemented. linkLocation=https://365nails.com/products/blueberry-breeze-azure-berry-bloom-almond-press-on-nails, friendlyName=Blueberry Breeze: "Azure Berry Bloom" – Almond Press-On Nails</x:v>
      </x:c>
      <x:c r="D1716" s="18" t="str">
        <x:v>Color: D478; Color classification: Xs / S / M / L</x:v>
      </x:c>
      <x:c r="E1716" s="25" t="str">
        <x:v>$2.99</x:v>
      </x:c>
      <x:c r="F1716" s="19" t="str">
        <x:v>1</x:v>
      </x:c>
    </x:row>
    <x:row r="1717" ht="93" customHeight="1">
      <x:c r="A1717" s="19" t="n">
        <x:v>1714</x:v>
      </x:c>
      <x:c r="B1717" s="22" t="e">
        <x:f>HYPERLINK("https://cdn.shopify.com/s/files/1/0918/6066/4603/files/5cd60403024a6461a268ba811f13fd2b.jpg?v=1779284254","Open")</x:f>
        <x:v>HYPERLINK is not implemented. linkLocation=https://cdn.shopify.com/s/files/1/0918/6066/4603/files/5cd60403024a6461a268ba811f13fd2b.jpg?v=1779284254, friendlyName=Open</x:v>
      </x:c>
      <x:c r="C1717" s="24" t="e">
        <x:f>HYPERLINK("https://365nails.com/products/365nails-peach-cow-print-starlight-handmade-medium-square-press-on-nails","365nails: ""Peach Cow Print &amp; Starlight"" – Handmade Medium Square Press-On Nails")</x:f>
        <x:v>HYPERLINK is not implemented. linkLocation=https://365nails.com/products/365nails-peach-cow-print-starlight-handmade-medium-square-press-on-nails, friendlyName=365nails: "Peach Cow Print &amp; Starlight" – Handmade Medium Square Press-On Nails</x:v>
      </x:c>
      <x:c r="D1717" s="18" t="str">
        <x:v>Size: XS / S / M / L</x:v>
      </x:c>
      <x:c r="E1717" s="25" t="str">
        <x:v>$3.99</x:v>
      </x:c>
      <x:c r="F1717" s="19" t="str">
        <x:v>5</x:v>
      </x:c>
    </x:row>
    <x:row r="1718" ht="93" customHeight="1">
      <x:c r="A1718" s="19" t="n">
        <x:v>1715</x:v>
      </x:c>
      <x:c r="B1718" s="22" t="e">
        <x:f>HYPERLINK("https://cdn.shopify.com/s/files/1/0918/6066/4603/files/0a94bda4a77fe384f6b1568df78341e6.jpg?v=1779204173","Open")</x:f>
        <x:v>HYPERLINK is not implemented. linkLocation=https://cdn.shopify.com/s/files/1/0918/6066/4603/files/0a94bda4a77fe384f6b1568df78341e6.jpg?v=1779204173, friendlyName=Open</x:v>
      </x:c>
      <x:c r="C1718" s="24" t="e">
        <x:f>HYPERLINK("https://365nails.com/products/365nails-blush-cherry-bow-handmade-medium-square-press-on-nails","365nails: ""Blush Cherry &amp; Bow"" – Handmade Medium Square Press-On Nails")</x:f>
        <x:v>HYPERLINK is not implemented. linkLocation=https://365nails.com/products/365nails-blush-cherry-bow-handmade-medium-square-press-on-nails, friendlyName=365nails: "Blush Cherry &amp; Bow" – Handmade Medium Square Press-On Nails</x:v>
      </x:c>
      <x:c r="D1718" s="18" t="str">
        <x:v>Size: XS / S / M / L</x:v>
      </x:c>
      <x:c r="E1718" s="25" t="str">
        <x:v>$3.99</x:v>
      </x:c>
      <x:c r="F1718" s="19" t="str">
        <x:v>5</x:v>
      </x:c>
    </x:row>
    <x:row r="1719" ht="93" customHeight="1">
      <x:c r="A1719" s="19" t="n">
        <x:v>1716</x:v>
      </x:c>
      <x:c r="B1719" s="22" t="e">
        <x:f>HYPERLINK("https://cdn.shopify.com/s/files/1/0918/6066/4603/files/dfb063e540aa21be13c16e929f573698.jpg?v=1781018104","Open")</x:f>
        <x:v>HYPERLINK is not implemented. linkLocation=https://cdn.shopify.com/s/files/1/0918/6066/4603/files/dfb063e540aa21be13c16e929f573698.jpg?v=1781018104, friendlyName=Open</x:v>
      </x:c>
      <x:c r="C1719" s="24" t="e">
        <x:f>HYPERLINK("https://365nails.com/products/365nails-pink-blue-gradient-floral-star-heart-rhinestone-kawaii-3d-charm-handmade-medium-square-nails","365nails: ""Pink Blue Gradient Floral Star Heart Rhinestone"" – Kawaii 3D Charm Handmade Medium Square Nails")</x:f>
        <x:v>HYPERLINK is not implemented. linkLocation=https://365nails.com/products/365nails-pink-blue-gradient-floral-star-heart-rhinestone-kawaii-3d-charm-handmade-medium-square-nails, friendlyName=365nails: "Pink Blue Gradient Floral Star Heart Rhinestone" – Kawaii 3D Charm Handmade Medium Square Nails</x:v>
      </x:c>
      <x:c r="D1719" s="18" t="str">
        <x:v>Size: XS / S / M / L</x:v>
      </x:c>
      <x:c r="E1719" s="25" t="str">
        <x:v>$4.29</x:v>
      </x:c>
      <x:c r="F1719" s="19" t="str">
        <x:v>3</x:v>
      </x:c>
    </x:row>
    <x:row r="1720" ht="93" customHeight="1">
      <x:c r="A1720" s="19" t="n">
        <x:v>1717</x:v>
      </x:c>
      <x:c r="B1720" s="22" t="e">
        <x:f>HYPERLINK("https://cdn.shopify.com/s/files/1/0918/6066/4603/files/e2e0147f363f1e98711c165f04e4d374.jpg?v=1779284036","Open")</x:f>
        <x:v>HYPERLINK is not implemented. linkLocation=https://cdn.shopify.com/s/files/1/0918/6066/4603/files/e2e0147f363f1e98711c165f04e4d374.jpg?v=1779284036, friendlyName=Open</x:v>
      </x:c>
      <x:c r="C1720" s="24" t="e">
        <x:f>HYPERLINK("https://365nails.com/products/365nails-blush-leopard-sparkle-handmade-medium-square-press-on-nails","365nails: ""Blush Leopard &amp; Sparkle"" – Handmade Medium Square Press-On Nails")</x:f>
        <x:v>HYPERLINK is not implemented. linkLocation=https://365nails.com/products/365nails-blush-leopard-sparkle-handmade-medium-square-press-on-nails, friendlyName=365nails: "Blush Leopard &amp; Sparkle" – Handmade Medium Square Press-On Nails</x:v>
      </x:c>
      <x:c r="D1720" s="18" t="str">
        <x:v>Size: XS / S / M / L</x:v>
      </x:c>
      <x:c r="E1720" s="25" t="str">
        <x:v>$3.99</x:v>
      </x:c>
      <x:c r="F1720" s="19" t="str">
        <x:v>5</x:v>
      </x:c>
    </x:row>
    <x:row r="1721" ht="93" customHeight="1">
      <x:c r="A1721" s="19" t="n">
        <x:v>1718</x:v>
      </x:c>
      <x:c r="B1721" s="22" t="e">
        <x:f>HYPERLINK("https://cdn.shopify.com/s/files/1/0918/6066/4603/files/42cfd5dd6fa80b9403f11b903c486fae.jpg?v=1775307302","Open")</x:f>
        <x:v>HYPERLINK is not implemented. linkLocation=https://cdn.shopify.com/s/files/1/0918/6066/4603/files/42cfd5dd6fa80b9403f11b903c486fae.jpg?v=1775307302, friendlyName=Open</x:v>
      </x:c>
      <x:c r="C1721" s="24" t="e">
        <x:f>HYPERLINK("https://365nails.com/products/365nails-starry-safari-3d-star-animal-print-handmade-short-nails","365nails: ""Starry Safari"" – 3D Star &amp; Animal Print Handmade Short Nails")</x:f>
        <x:v>HYPERLINK is not implemented. linkLocation=https://365nails.com/products/365nails-starry-safari-3d-star-animal-print-handmade-short-nails, friendlyName=365nails: "Starry Safari" – 3D Star &amp; Animal Print Handmade Short Nails</x:v>
      </x:c>
      <x:c r="D1721" s="18" t="str">
        <x:v>Size: XS / S / M / L</x:v>
      </x:c>
      <x:c r="E1721" s="25" t="str">
        <x:v>$2.99</x:v>
      </x:c>
      <x:c r="F1721" s="19" t="str">
        <x:v>3</x:v>
      </x:c>
    </x:row>
    <x:row r="1722" ht="93" customHeight="1">
      <x:c r="A1722" s="19" t="n">
        <x:v>1719</x:v>
      </x:c>
      <x:c r="B1722" s="22" t="e">
        <x:f>HYPERLINK("https://cdn.shopify.com/s/files/1/0918/6066/4603/files/O1CN01Cdq65t1rlpaU1JCun__2215158925672-0-cib.jpg?v=1763102673","Open")</x:f>
        <x:v>HYPERLINK is not implemented. linkLocation=https://cdn.shopify.com/s/files/1/0918/6066/4603/files/O1CN01Cdq65t1rlpaU1JCun__2215158925672-0-cib.jpg?v=1763102673, friendlyName=Open</x:v>
      </x:c>
      <x:c r="C1722" s="24" t="e">
        <x:f>HYPERLINK("https://365nails.com/products/blush-petal-charm-series-press-on-nails","Blush Petal Charm Series Press-On Nails")</x:f>
        <x:v>HYPERLINK is not implemented. linkLocation=https://365nails.com/products/blush-petal-charm-series-press-on-nails, friendlyName=Blush Petal Charm Series Press-On Nails</x:v>
      </x:c>
      <x:c r="D1722" s="18" t="str">
        <x:v>Size: S / M / L</x:v>
      </x:c>
      <x:c r="E1722" s="25" t="str">
        <x:v>$4.99</x:v>
      </x:c>
      <x:c r="F1722" s="19" t="str">
        <x:v>30</x:v>
      </x:c>
    </x:row>
    <x:row r="1723" ht="93" customHeight="1">
      <x:c r="A1723" s="19" t="n">
        <x:v>1720</x:v>
      </x:c>
      <x:c r="B1723" s="22" t="e">
        <x:f>HYPERLINK("https://cdn.shopify.com/s/files/1/0918/6066/4603/files/abe14dfecb921901548a0e2a200ac852.jpg?v=1777540477","Open")</x:f>
        <x:v>HYPERLINK is not implemented. linkLocation=https://cdn.shopify.com/s/files/1/0918/6066/4603/files/abe14dfecb921901548a0e2a200ac852.jpg?v=1777540477, friendlyName=Open</x:v>
      </x:c>
      <x:c r="C1723" s="24" t="e">
        <x:f>HYPERLINK("https://365nails.com/products/365nails-pink-french-tip-floral-handmade-medium-stiletto-press-on-nails","365nails: ""Pink French Tip Floral"" – Handmade Medium Stiletto Press-On Nails")</x:f>
        <x:v>HYPERLINK is not implemented. linkLocation=https://365nails.com/products/365nails-pink-french-tip-floral-handmade-medium-stiletto-press-on-nails, friendlyName=365nails: "Pink French Tip Floral" – Handmade Medium Stiletto Press-On Nails</x:v>
      </x:c>
      <x:c r="D1723" s="18" t="str">
        <x:v>Size: XS / S / M / L</x:v>
      </x:c>
      <x:c r="E1723" s="25" t="str">
        <x:v>$2.99</x:v>
      </x:c>
      <x:c r="F1723" s="19" t="str">
        <x:v>5</x:v>
      </x:c>
    </x:row>
    <x:row r="1724" ht="93" customHeight="1">
      <x:c r="A1724" s="19" t="n">
        <x:v>1721</x:v>
      </x:c>
      <x:c r="B1724" s="22" t="e">
        <x:f>HYPERLINK("https://cdn.shopify.com/s/files/1/0918/6066/4603/files/6c79d6d623011684b1bf4f31837d5ea6.jpg?v=1777729386","Open")</x:f>
        <x:v>HYPERLINK is not implemented. linkLocation=https://cdn.shopify.com/s/files/1/0918/6066/4603/files/6c79d6d623011684b1bf4f31837d5ea6.jpg?v=1777729386, friendlyName=Open</x:v>
      </x:c>
      <x:c r="C1724" s="24" t="e">
        <x:f>HYPERLINK("https://365nails.com/products/365nails-bridal-whisper-3d-floral-french-handmade-press-on-nails-long-square-nails","365nails: ""Bridal Whisper"" – 3D Floral French Handmade Press on Nails Long Square Nails")</x:f>
        <x:v>HYPERLINK is not implemented. linkLocation=https://365nails.com/products/365nails-bridal-whisper-3d-floral-french-handmade-press-on-nails-long-square-nails, friendlyName=365nails: "Bridal Whisper" – 3D Floral French Handmade Press on Nails Long Square Nails</x:v>
      </x:c>
      <x:c r="D1724" s="18" t="str">
        <x:v>Size: XS / S / M / L</x:v>
      </x:c>
      <x:c r="E1724" s="25" t="str">
        <x:v>$3.99</x:v>
      </x:c>
      <x:c r="F1724" s="19" t="str">
        <x:v>5</x:v>
      </x:c>
    </x:row>
    <x:row r="1725" ht="93" customHeight="1">
      <x:c r="A1725" s="19" t="n">
        <x:v>1722</x:v>
      </x:c>
      <x:c r="B1725" s="22" t="e">
        <x:f>HYPERLINK("https://cdn.shopify.com/s/files/1/0918/6066/4603/files/97aae630c3e26ee0aa643148e5d2683e.jpg?v=1775195472","Open")</x:f>
        <x:v>HYPERLINK is not implemented. linkLocation=https://cdn.shopify.com/s/files/1/0918/6066/4603/files/97aae630c3e26ee0aa643148e5d2683e.jpg?v=1775195472, friendlyName=Open</x:v>
      </x:c>
      <x:c r="C1725" s="24" t="e">
        <x:f>HYPERLINK("https://365nails.com/products/365nails-pastel-aura-blush-gradient-colorful-french-handmade-short-oval-nails","365nails: ""Pastel Aura"" – Blush Gradient &amp; Colorful French Handmade Short Oval Nails")</x:f>
        <x:v>HYPERLINK is not implemented. linkLocation=https://365nails.com/products/365nails-pastel-aura-blush-gradient-colorful-french-handmade-short-oval-nails, friendlyName=365nails: "Pastel Aura" – Blush Gradient &amp; Colorful French Handmade Short Oval Nails</x:v>
      </x:c>
      <x:c r="D1725" s="18" t="str">
        <x:v>Size: XS / S / M / L</x:v>
      </x:c>
      <x:c r="E1725" s="25" t="str">
        <x:v>$4.99</x:v>
      </x:c>
      <x:c r="F1725" s="19" t="str">
        <x:v>3</x:v>
      </x:c>
    </x:row>
    <x:row r="1726" ht="93" customHeight="1">
      <x:c r="A1726" s="19" t="n">
        <x:v>1723</x:v>
      </x:c>
      <x:c r="B1726" s="22" t="e">
        <x:f>HYPERLINK("https://cdn.shopify.com/s/files/1/0918/6066/4603/files/6ebec25b4a211ca6ff404bac37233790.jpg?v=1775195772","Open")</x:f>
        <x:v>HYPERLINK is not implemented. linkLocation=https://cdn.shopify.com/s/files/1/0918/6066/4603/files/6ebec25b4a211ca6ff404bac37233790.jpg?v=1775195772, friendlyName=Open</x:v>
      </x:c>
      <x:c r="C1726" s="24" t="e">
        <x:f>HYPERLINK("https://365nails.com/products/365nails-crystal-fairy-pink-cat-eye-colorful-rhinestone-handmade-short-oval-nails","365nails: ""Crystal Fairy"" – Pink Cat-Eye &amp; Colorful Rhinestone Handmade Short Oval Nails")</x:f>
        <x:v>HYPERLINK is not implemented. linkLocation=https://365nails.com/products/365nails-crystal-fairy-pink-cat-eye-colorful-rhinestone-handmade-short-oval-nails, friendlyName=365nails: "Crystal Fairy" – Pink Cat-Eye &amp; Colorful Rhinestone Handmade Short Oval Nails</x:v>
      </x:c>
      <x:c r="D1726" s="18" t="str">
        <x:v>Size: XS / S / M / L</x:v>
      </x:c>
      <x:c r="E1726" s="25" t="str">
        <x:v>$4.99</x:v>
      </x:c>
      <x:c r="F1726" s="19" t="str">
        <x:v>3</x:v>
      </x:c>
    </x:row>
    <x:row r="1727" ht="93" customHeight="1">
      <x:c r="A1727" s="19" t="n">
        <x:v>1724</x:v>
      </x:c>
      <x:c r="B1727" s="22" t="e">
        <x:f>HYPERLINK("https://cdn.shopify.com/s/files/1/0918/6066/4603/files/e8707fdc219ef997b755ba3e113bab7f.jpg?v=1775195838","Open")</x:f>
        <x:v>HYPERLINK is not implemented. linkLocation=https://cdn.shopify.com/s/files/1/0918/6066/4603/files/e8707fdc219ef997b755ba3e113bab7f.jpg?v=1775195838, friendlyName=Open</x:v>
      </x:c>
      <x:c r="C1727" s="24" t="e">
        <x:f>HYPERLINK("https://365nails.com/products/365nails-golden-retro-nude-cat-eye-polka-dot-chrome-handmade-short-squoval-nails","365nails: ""Golden Retro"" – Nude Cat-Eye Polka Dot &amp; Chrome Handmade Short Squoval Nails")</x:f>
        <x:v>HYPERLINK is not implemented. linkLocation=https://365nails.com/products/365nails-golden-retro-nude-cat-eye-polka-dot-chrome-handmade-short-squoval-nails, friendlyName=365nails: "Golden Retro" – Nude Cat-Eye Polka Dot &amp; Chrome Handmade Short Squoval Nails</x:v>
      </x:c>
      <x:c r="D1727" s="18" t="str">
        <x:v>Size: XS / S / M / L</x:v>
      </x:c>
      <x:c r="E1727" s="25" t="str">
        <x:v>$4.99</x:v>
      </x:c>
      <x:c r="F1727" s="19" t="str">
        <x:v>3</x:v>
      </x:c>
    </x:row>
    <x:row r="1728" ht="93" customHeight="1">
      <x:c r="A1728" s="19" t="n">
        <x:v>1725</x:v>
      </x:c>
      <x:c r="B1728" s="22" t="e">
        <x:f>HYPERLINK("https://cdn.shopify.com/s/files/1/0918/6066/4603/files/9a0c1a9a929449068a9f3574e67ba97e.jpg?v=1775195553","Open")</x:f>
        <x:v>HYPERLINK is not implemented. linkLocation=https://cdn.shopify.com/s/files/1/0918/6066/4603/files/9a0c1a9a929449068a9f3574e67ba97e.jpg?v=1775195553, friendlyName=Open</x:v>
      </x:c>
      <x:c r="C1728" s="24" t="e">
        <x:f>HYPERLINK("https://365nails.com/products/365nails-vintage-caramel-brown-cat-eye-tweed-pattern-handmade-short-oval-nails","365nails: ""Vintage Caramel"" – Brown Cat-Eye &amp; Tweed Pattern Handmade Short Oval Nails")</x:f>
        <x:v>HYPERLINK is not implemented. linkLocation=https://365nails.com/products/365nails-vintage-caramel-brown-cat-eye-tweed-pattern-handmade-short-oval-nails, friendlyName=365nails: "Vintage Caramel" – Brown Cat-Eye &amp; Tweed Pattern Handmade Short Oval Nails</x:v>
      </x:c>
      <x:c r="D1728" s="18" t="str">
        <x:v>Size: XS / S / M / L</x:v>
      </x:c>
      <x:c r="E1728" s="25" t="str">
        <x:v>$4.99</x:v>
      </x:c>
      <x:c r="F1728" s="19" t="str">
        <x:v>3</x:v>
      </x:c>
    </x:row>
    <x:row r="1729" ht="93" customHeight="1">
      <x:c r="A1729" s="19" t="n">
        <x:v>1726</x:v>
      </x:c>
      <x:c r="B1729" s="22" t="e">
        <x:f>HYPERLINK("https://cdn.shopify.com/s/files/1/0918/6066/4603/files/b94ff4c840bb94311129d810aa5058d5.jpg?v=1775526649","Open")</x:f>
        <x:v>HYPERLINK is not implemented. linkLocation=https://cdn.shopify.com/s/files/1/0918/6066/4603/files/b94ff4c840bb94311129d810aa5058d5.jpg?v=1775526649, friendlyName=Open</x:v>
      </x:c>
      <x:c r="C1729" s="24" t="e">
        <x:f>HYPERLINK("https://365nails.com/products/365nails-cherry-heart-leopard-hand-painted-animal-print-handmade-square-nails","365nails: ""Cherry Heart Leopard"" – Hand-painted Animal Print Handmade Square Nails")</x:f>
        <x:v>HYPERLINK is not implemented. linkLocation=https://365nails.com/products/365nails-cherry-heart-leopard-hand-painted-animal-print-handmade-square-nails, friendlyName=365nails: "Cherry Heart Leopard" – Hand-painted Animal Print Handmade Square Nails</x:v>
      </x:c>
      <x:c r="D1729" s="18" t="str">
        <x:v>Size: XS / S / M / L</x:v>
      </x:c>
      <x:c r="E1729" s="25" t="str">
        <x:v>$4.99</x:v>
      </x:c>
      <x:c r="F1729" s="19" t="str">
        <x:v>3</x:v>
      </x:c>
    </x:row>
    <x:row r="1730" ht="93" customHeight="1">
      <x:c r="A1730" s="19" t="n">
        <x:v>1727</x:v>
      </x:c>
      <x:c r="B1730" s="22" t="e">
        <x:f>HYPERLINK("https://cdn.shopify.com/s/files/1/0918/6066/4603/files/4c1a010c37598f3cfb07db62e76056dc.jpg?v=1775526690","Open")</x:f>
        <x:v>HYPERLINK is not implemented. linkLocation=https://cdn.shopify.com/s/files/1/0918/6066/4603/files/4c1a010c37598f3cfb07db62e76056dc.jpg?v=1775526690, friendlyName=Open</x:v>
      </x:c>
      <x:c r="C1730" s="24" t="e">
        <x:f>HYPERLINK("https://365nails.com/products/365nails-matte-safari-leopard-print-silver-chain-stone-handmade-squoval-nails","365nails: ""Matte Safari"" – Leopard Print &amp; Silver Chain Stone Handmade Squoval Nails")</x:f>
        <x:v>HYPERLINK is not implemented. linkLocation=https://365nails.com/products/365nails-matte-safari-leopard-print-silver-chain-stone-handmade-squoval-nails, friendlyName=365nails: "Matte Safari" – Leopard Print &amp; Silver Chain Stone Handmade Squoval Nails</x:v>
      </x:c>
      <x:c r="D1730" s="18" t="str">
        <x:v>Size: XS / S / M / L</x:v>
      </x:c>
      <x:c r="E1730" s="25" t="str">
        <x:v>$4.99</x:v>
      </x:c>
      <x:c r="F1730" s="19" t="str">
        <x:v>3</x:v>
      </x:c>
    </x:row>
    <x:row r="1731" ht="93" customHeight="1">
      <x:c r="A1731" s="19" t="n">
        <x:v>1728</x:v>
      </x:c>
      <x:c r="B1731" s="22" t="e">
        <x:f>HYPERLINK("https://cdn.shopify.com/s/files/1/0918/6066/4603/files/e158a29ba23d4dc7696f40b036cc0703.jpg?v=1775526790","Open")</x:f>
        <x:v>HYPERLINK is not implemented. linkLocation=https://cdn.shopify.com/s/files/1/0918/6066/4603/files/e158a29ba23d4dc7696f40b036cc0703.jpg?v=1775526790, friendlyName=Open</x:v>
      </x:c>
      <x:c r="C1731" s="24" t="e">
        <x:f>HYPERLINK("https://365nails.com/products/365nails-crimson-harlequin-red-black-argyle-butterfly-handmade-oval-nails","365nails: ""Crimson Harlequin"" – Red Black Argyle &amp; Butterfly Handmade Oval Nails")</x:f>
        <x:v>HYPERLINK is not implemented. linkLocation=https://365nails.com/products/365nails-crimson-harlequin-red-black-argyle-butterfly-handmade-oval-nails, friendlyName=365nails: "Crimson Harlequin" – Red Black Argyle &amp; Butterfly Handmade Oval Nails</x:v>
      </x:c>
      <x:c r="D1731" s="18" t="str">
        <x:v>Size: XS / S / M / L</x:v>
      </x:c>
      <x:c r="E1731" s="25" t="str">
        <x:v>$4.99</x:v>
      </x:c>
      <x:c r="F1731" s="19" t="str">
        <x:v>3</x:v>
      </x:c>
    </x:row>
    <x:row r="1732" ht="93" customHeight="1">
      <x:c r="A1732" s="19" t="n">
        <x:v>1729</x:v>
      </x:c>
      <x:c r="B1732" s="22" t="e">
        <x:f>HYPERLINK("https://cdn.shopify.com/s/files/1/0918/6066/4603/files/64070092a2e3386c8b03af83b50fd3ae.jpg?v=1775199370","Open")</x:f>
        <x:v>HYPERLINK is not implemented. linkLocation=https://cdn.shopify.com/s/files/1/0918/6066/4603/files/64070092a2e3386c8b03af83b50fd3ae.jpg?v=1775199370, friendlyName=Open</x:v>
      </x:c>
      <x:c r="C1732" s="24" t="e">
        <x:f>HYPERLINK("https://365nails.com/products/365nails-bohemian-berry-3d-gold-flower-turquoise-stone-handmade-oval-nails","365nails: ""Bohemian Berry"" – 3D Gold Flower &amp; Turquoise Stone Handmade Oval Nails")</x:f>
        <x:v>HYPERLINK is not implemented. linkLocation=https://365nails.com/products/365nails-bohemian-berry-3d-gold-flower-turquoise-stone-handmade-oval-nails, friendlyName=365nails: "Bohemian Berry" – 3D Gold Flower &amp; Turquoise Stone Handmade Oval Nails</x:v>
      </x:c>
      <x:c r="D1732" s="18" t="str">
        <x:v>Size: XS / S / M / L</x:v>
      </x:c>
      <x:c r="E1732" s="25" t="str">
        <x:v>$4.99</x:v>
      </x:c>
      <x:c r="F1732" s="19" t="str">
        <x:v>3</x:v>
      </x:c>
    </x:row>
    <x:row r="1733" ht="93" customHeight="1">
      <x:c r="A1733" s="19" t="n">
        <x:v>1730</x:v>
      </x:c>
      <x:c r="B1733" s="22" t="e">
        <x:f>HYPERLINK("https://cdn.shopify.com/s/files/1/0918/6066/4603/files/405adad27984ce966e4ba24f23768081.jpg?v=1777727814","Open")</x:f>
        <x:v>HYPERLINK is not implemented. linkLocation=https://cdn.shopify.com/s/files/1/0918/6066/4603/files/405adad27984ce966e4ba24f23768081.jpg?v=1777727814, friendlyName=Open</x:v>
      </x:c>
      <x:c r="C1733" s="24" t="e">
        <x:f>HYPERLINK("https://365nails.com/products/365nails-crimson-obsession-3d-heart-rhinestone-handmade-coffin-nails","365nails: ""Crimson Obsession"" – 3D Heart &amp; Rhinestone Handmade Coffin Nails")</x:f>
        <x:v>HYPERLINK is not implemented. linkLocation=https://365nails.com/products/365nails-crimson-obsession-3d-heart-rhinestone-handmade-coffin-nails, friendlyName=365nails: "Crimson Obsession" – 3D Heart &amp; Rhinestone Handmade Coffin Nails</x:v>
      </x:c>
      <x:c r="D1733" s="18" t="str">
        <x:v>Size: XS / S / M / L</x:v>
      </x:c>
      <x:c r="E1733" s="25" t="str">
        <x:v>$4.49</x:v>
      </x:c>
      <x:c r="F1733" s="19" t="str">
        <x:v>5</x:v>
      </x:c>
    </x:row>
    <x:row r="1734" ht="93" customHeight="1">
      <x:c r="A1734" s="19" t="n">
        <x:v>1731</x:v>
      </x:c>
      <x:c r="B1734" s="22" t="e">
        <x:f>HYPERLINK("https://cdn.shopify.com/s/files/1/0918/6066/4603/files/listing-1_a594ffcc-539f-459c-ad26-babb6e47e84b.jpg?v=1783598232","Open")</x:f>
        <x:v>HYPERLINK is not implemented. linkLocation=https://cdn.shopify.com/s/files/1/0918/6066/4603/files/listing-1_a594ffcc-539f-459c-ad26-babb6e47e84b.jpg?v=1783598232, friendlyName=Open</x:v>
      </x:c>
      <x:c r="C1734" s="24" t="e">
        <x:f>HYPERLINK("https://365nails.com/products/y2k-blue-french-stiletto-press-on-nails-butterfly-3d-flow","Y2K Blue Jelly French Stiletto Press-On Nails with Silver Butterflies &amp; 3D Flowers")</x:f>
        <x:v>HYPERLINK is not implemented. linkLocation=https://365nails.com/products/y2k-blue-french-stiletto-press-on-nails-butterfly-3d-flow, friendlyName=Y2K Blue Jelly French Stiletto Press-On Nails with Silver Butterflies &amp; 3D Flowers</x:v>
      </x:c>
      <x:c r="D1734" s="18" t="str">
        <x:v>Size: XS / S / M / L</x:v>
      </x:c>
      <x:c r="E1734" s="25" t="str">
        <x:v>$0.39</x:v>
      </x:c>
      <x:c r="F1734" s="19" t="str">
        <x:v>Contact us</x:v>
      </x:c>
    </x:row>
    <x:row r="1735" ht="93" customHeight="1">
      <x:c r="A1735" s="19" t="n">
        <x:v>1732</x:v>
      </x:c>
      <x:c r="B1735" s="22" t="e">
        <x:f>HYPERLINK("https://cdn.shopify.com/s/files/1/0918/6066/4603/files/e33c4a5ae03c7287da378dbcb58bc6b6.jpg?v=1777560694","Open")</x:f>
        <x:v>HYPERLINK is not implemented. linkLocation=https://cdn.shopify.com/s/files/1/0918/6066/4603/files/e33c4a5ae03c7287da378dbcb58bc6b6.jpg?v=1777560694, friendlyName=Open</x:v>
      </x:c>
      <x:c r="C1735" s="24" t="e">
        <x:f>HYPERLINK("https://365nails.com/products/365nails-pink-floral-leopard-handmade-medium-square-press-on-nails","365nails: ""Pink Floral Leopard"" – Handmade Medium Square Press-On Nails")</x:f>
        <x:v>HYPERLINK is not implemented. linkLocation=https://365nails.com/products/365nails-pink-floral-leopard-handmade-medium-square-press-on-nails, friendlyName=365nails: "Pink Floral Leopard" – Handmade Medium Square Press-On Nails</x:v>
      </x:c>
      <x:c r="D1735" s="18" t="str">
        <x:v>Size: XS / S / M / L</x:v>
      </x:c>
      <x:c r="E1735" s="25" t="str">
        <x:v>$4.99</x:v>
      </x:c>
      <x:c r="F1735" s="19" t="str">
        <x:v>5</x:v>
      </x:c>
    </x:row>
    <x:row r="1736" ht="93" customHeight="1">
      <x:c r="A1736" s="19" t="n">
        <x:v>1733</x:v>
      </x:c>
      <x:c r="B1736" s="22" t="e">
        <x:f>HYPERLINK("https://cdn.shopify.com/s/files/1/0918/6066/4603/files/O1CN018sWPNs2NGHmcK2T59__4234819935-0-cib_86a674e4-9e84-4f87-bbfc-8baf0ffdeecb.jpg?v=1761288375","Open")</x:f>
        <x:v>HYPERLINK is not implemented. linkLocation=https://cdn.shopify.com/s/files/1/0918/6066/4603/files/O1CN018sWPNs2NGHmcK2T59__4234819935-0-cib_86a674e4-9e84-4f87-bbfc-8baf0ffdeecb.jpg?v=1761288375, friendlyName=Open</x:v>
      </x:c>
      <x:c r="C1736" s="24" t="e">
        <x:f>HYPERLINK("https://365nails.com/products/wear-nail-wholesale-naked-skin-tone-square-simple-ins-wind-white-edge-french-nail-piece-wear-nail-piece-fake-nail","Wear nail wholesale naked skin tone square simple ins wind white edge French nail piece wear nail piece fake nail")</x:f>
        <x:v>HYPERLINK is not implemented. linkLocation=https://365nails.com/products/wear-nail-wholesale-naked-skin-tone-square-simple-ins-wind-white-edge-french-nail-piece-wear-nail-piece-fake-nail, friendlyName=Wear nail wholesale naked skin tone square simple ins wind white edge French nail piece wear nail piece fake nail</x:v>
      </x:c>
      <x:c r="D1736" s="18" t="str">
        <x:v>Color: JP2490</x:v>
      </x:c>
      <x:c r="E1736" s="25" t="str">
        <x:v>$1.01</x:v>
      </x:c>
      <x:c r="F1736" s="19" t="str">
        <x:v>1</x:v>
      </x:c>
    </x:row>
    <x:row r="1737" ht="93" customHeight="1">
      <x:c r="A1737" s="19" t="n">
        <x:v>1734</x:v>
      </x:c>
      <x:c r="B1737" s="22" t="e">
        <x:f>HYPERLINK("https://cdn.shopify.com/s/files/1/0918/6066/4603/files/O1CN01rVvDPZ1CPwPlEHFgY__2213196780074-0-cib.jpg?v=1774679240","Open")</x:f>
        <x:v>HYPERLINK is not implemented. linkLocation=https://cdn.shopify.com/s/files/1/0918/6066/4603/files/O1CN01rVvDPZ1CPwPlEHFgY__2213196780074-0-cib.jpg?v=1774679240, friendlyName=Open</x:v>
      </x:c>
      <x:c r="C1737" s="24" t="e">
        <x:f>HYPERLINK("https://365nails.com/products/365nails-pink-paradise-3d-floral-handmade-almond-nails","365nails ""Pink Paradise"" – 3D Floral Handmade Almond Nails")</x:f>
        <x:v>HYPERLINK is not implemented. linkLocation=https://365nails.com/products/365nails-pink-paradise-3d-floral-handmade-almond-nails, friendlyName=365nails "Pink Paradise" – 3D Floral Handmade Almond Nails</x:v>
      </x:c>
      <x:c r="D1737" s="18" t="str">
        <x:v>Color: 3036-long tip; Color classification: Extra small size xs / Small s / Medium m / Large l</x:v>
      </x:c>
      <x:c r="E1737" s="25" t="str">
        <x:v>$3.99</x:v>
      </x:c>
      <x:c r="F1737" s="19" t="str">
        <x:v>1</x:v>
      </x:c>
    </x:row>
    <x:row r="1738" ht="93" customHeight="1">
      <x:c r="A1738" s="19" t="n">
        <x:v>1735</x:v>
      </x:c>
      <x:c r="B1738" s="22" t="e">
        <x:f>HYPERLINK("https://cdn.shopify.com/s/files/1/0918/6066/4603/files/O1CN01X2B5i02NGHpfmpkbp__4234819935-0-cib.jpg?v=1753429100","Open")</x:f>
        <x:v>HYPERLINK is not implemented. linkLocation=https://cdn.shopify.com/s/files/1/0918/6066/4603/files/O1CN01X2B5i02NGHpfmpkbp__4234819935-0-cib.jpg?v=1753429100, friendlyName=Open</x:v>
      </x:c>
      <x:c r="C1738" s="24" t="e">
        <x:f>HYPERLINK("https://365nails.com/products/europe-and-the-united-states-cross-border-toenail-wearable-toenail-sheet-finished-champagne-glitter-full-powder-whitening-nail-patch-wholesale-365nails","Europe and the United States  toenail wearable toenail sheet finished champagne glitter full powder whitening nail patch wholesale｜365nails")</x:f>
        <x:v>HYPERLINK is not implemented. linkLocation=https://365nails.com/products/europe-and-the-united-states-cross-border-toenail-wearable-toenail-sheet-finished-champagne-glitter-full-powder-whitening-nail-patch-wholesale-365nails, friendlyName=Europe and the United States  toenail wearable toenail sheet finished champagne glitter full powder whitening nail patch wholesale｜365nails</x:v>
      </x:c>
      <x:c r="D1738" s="18" t="str">
        <x:v>color: JP3217 [Glue model] / JP3217 [including wearable kit]</x:v>
      </x:c>
      <x:c r="E1738" s="25" t="str">
        <x:v>$0.71–$0.88</x:v>
      </x:c>
      <x:c r="F1738" s="19" t="str">
        <x:v>1</x:v>
      </x:c>
    </x:row>
    <x:row r="1739" ht="93" customHeight="1">
      <x:c r="A1739" s="19" t="n">
        <x:v>1736</x:v>
      </x:c>
      <x:c r="B1739" s="22" t="e">
        <x:f>HYPERLINK("https://cdn.shopify.com/s/files/1/0918/6066/4603/files/O1CN01P3zJJF1nRtus0NwS5__3334755087-0-cib.jpg?v=1779177646","Open")</x:f>
        <x:v>HYPERLINK is not implemented. linkLocation=https://cdn.shopify.com/s/files/1/0918/6066/4603/files/O1CN01P3zJJF1nRtus0NwS5__3334755087-0-cib.jpg?v=1779177646, friendlyName=Open</x:v>
      </x:c>
      <x:c r="C1739" s="24" t="e">
        <x:f>HYPERLINK("https://365nails.com/products/world-cup-enthusiastic-red-green-football-pattern-press-on-nails-glossy-24pcs-coffin","World Cup Enthusiastic Red Green Football Pattern Press-On Nails (Glossy/24pcs/Coffin)")</x:f>
        <x:v>HYPERLINK is not implemented. linkLocation=https://365nails.com/products/world-cup-enthusiastic-red-green-football-pattern-press-on-nails-glossy-24pcs-coffin, friendlyName=World Cup Enthusiastic Red Green Football Pattern Press-On Nails (Glossy/24pcs/Coffin)</x:v>
      </x:c>
      <x:c r="D1739" s="18" t="str">
        <x:v>Color: 24 pieces of opp bag strips (without jelly glue and rubbing strips)</x:v>
      </x:c>
      <x:c r="E1739" s="25" t="str">
        <x:v>$0.99</x:v>
      </x:c>
      <x:c r="F1739" s="19" t="str">
        <x:v>10</x:v>
      </x:c>
    </x:row>
    <x:row r="1740" ht="93" customHeight="1">
      <x:c r="A1740" s="19" t="n">
        <x:v>1737</x:v>
      </x:c>
      <x:c r="B1740" s="22" t="e">
        <x:f>HYPERLINK("https://cdn.shopify.com/s/files/1/0918/6066/4603/files/5e70b187f13115e41eb7bda35ec549d4.jpg?v=1777562008","Open")</x:f>
        <x:v>HYPERLINK is not implemented. linkLocation=https://cdn.shopify.com/s/files/1/0918/6066/4603/files/5e70b187f13115e41eb7bda35ec549d4.jpg?v=1777562008, friendlyName=Open</x:v>
      </x:c>
      <x:c r="C1740" s="24" t="e">
        <x:f>HYPERLINK("https://365nails.com/products/365nails-purple-gradient-floral-handmade-medium-almond-press-on-nails","365nails: ""Purple Gradient Floral"" – Handmade Medium Almond Press-On Nails")</x:f>
        <x:v>HYPERLINK is not implemented. linkLocation=https://365nails.com/products/365nails-purple-gradient-floral-handmade-medium-almond-press-on-nails, friendlyName=365nails: "Purple Gradient Floral" – Handmade Medium Almond Press-On Nails</x:v>
      </x:c>
      <x:c r="D1740" s="18" t="str">
        <x:v>Size: XS / S / M / L</x:v>
      </x:c>
      <x:c r="E1740" s="25" t="str">
        <x:v>$4.99</x:v>
      </x:c>
      <x:c r="F1740" s="19" t="str">
        <x:v>5</x:v>
      </x:c>
    </x:row>
    <x:row r="1741" ht="93" customHeight="1">
      <x:c r="A1741" s="19" t="n">
        <x:v>1738</x:v>
      </x:c>
      <x:c r="B1741" s="22" t="e">
        <x:f>HYPERLINK("https://cdn.shopify.com/s/files/1/0918/6066/4603/files/eeec1d8072eb49a52295b2485e764f05.jpg?v=1757581215","Open")</x:f>
        <x:v>HYPERLINK is not implemented. linkLocation=https://cdn.shopify.com/s/files/1/0918/6066/4603/files/eeec1d8072eb49a52295b2485e764f05.jpg?v=1757581215, friendlyName=Open</x:v>
      </x:c>
      <x:c r="C1741" s="24" t="e">
        <x:f>HYPERLINK("https://365nails.com/products/365nails-icy-milky-white-with-silver-luxe-metal-shards-crystal-rhinestones-and-glitter-lattice-glam-medium-long-coffin-press-on-nails","Crystal Veil Series Press-On Nails ( MOQ=5pcs )")</x:f>
        <x:v>HYPERLINK is not implemented. linkLocation=https://365nails.com/products/365nails-icy-milky-white-with-silver-luxe-metal-shards-crystal-rhinestones-and-glitter-lattice-glam-medium-long-coffin-press-on-nails, friendlyName=Crystal Veil Series Press-On Nails ( MOQ=5pcs )</x:v>
      </x:c>
      <x:c r="D1741" s="18" t="str">
        <x:v>Size: XS / S / M / L; Quantity: 5 pcs</x:v>
      </x:c>
      <x:c r="E1741" s="25" t="str">
        <x:v>$5.99</x:v>
      </x:c>
      <x:c r="F1741" s="19" t="str">
        <x:v>30</x:v>
      </x:c>
    </x:row>
    <x:row r="1742" ht="93" customHeight="1">
      <x:c r="A1742" s="19" t="n">
        <x:v>1739</x:v>
      </x:c>
      <x:c r="B1742" s="22" t="e">
        <x:f>HYPERLINK("https://cdn.shopify.com/s/files/1/0918/6066/4603/files/ea18175525b5cb28eb1e7d67112310d8.jpg?v=1757581537","Open")</x:f>
        <x:v>HYPERLINK is not implemented. linkLocation=https://cdn.shopify.com/s/files/1/0918/6066/4603/files/ea18175525b5cb28eb1e7d67112310d8.jpg?v=1757581537, friendlyName=Open</x:v>
      </x:c>
      <x:c r="C1742" s="24" t="e">
        <x:f>HYPERLINK("https://365nails.com/products/365nails-sheer-peachy-pink-with-black-french-accents-3d-florals-and-crystal-pearls-soft-elegant-medium-almond-press-on-nails","Blossom Noir Series Press-On Nails ( MOQ=5pcs )")</x:f>
        <x:v>HYPERLINK is not implemented. linkLocation=https://365nails.com/products/365nails-sheer-peachy-pink-with-black-french-accents-3d-florals-and-crystal-pearls-soft-elegant-medium-almond-press-on-nails, friendlyName=Blossom Noir Series Press-On Nails ( MOQ=5pcs )</x:v>
      </x:c>
      <x:c r="D1742" s="18" t="str">
        <x:v>Size: XS / S / M / L; Quantity: 5 pcs</x:v>
      </x:c>
      <x:c r="E1742" s="25" t="str">
        <x:v>$5.99</x:v>
      </x:c>
      <x:c r="F1742" s="19" t="str">
        <x:v>30</x:v>
      </x:c>
    </x:row>
    <x:row r="1743" ht="93" customHeight="1">
      <x:c r="A1743" s="19" t="n">
        <x:v>1740</x:v>
      </x:c>
      <x:c r="B1743" s="22" t="e">
        <x:f>HYPERLINK("https://cdn.shopify.com/s/files/1/0918/6066/4603/files/02915d33154d042f9c7621605526bbe7.jpg?v=1757581762","Open")</x:f>
        <x:v>HYPERLINK is not implemented. linkLocation=https://cdn.shopify.com/s/files/1/0918/6066/4603/files/02915d33154d042f9c7621605526bbe7.jpg?v=1757581762, friendlyName=Open</x:v>
      </x:c>
      <x:c r="C1743" s="24" t="e">
        <x:f>HYPERLINK("https://365nails.com/products/365nails-mirror-silver-with-full-ab-crystal-ice-bricks-ultra-bling-medium-long-coffin-press-on-nails","Diamond Prism Series Press-On Nails ( MOQ=5pcs )")</x:f>
        <x:v>HYPERLINK is not implemented. linkLocation=https://365nails.com/products/365nails-mirror-silver-with-full-ab-crystal-ice-bricks-ultra-bling-medium-long-coffin-press-on-nails, friendlyName=Diamond Prism Series Press-On Nails ( MOQ=5pcs )</x:v>
      </x:c>
      <x:c r="D1743" s="18" t="str">
        <x:v>Size: XS / S / M / L; Quantity: 5 pcs</x:v>
      </x:c>
      <x:c r="E1743" s="25" t="str">
        <x:v>$5.99</x:v>
      </x:c>
      <x:c r="F1743" s="19" t="str">
        <x:v>30</x:v>
      </x:c>
    </x:row>
    <x:row r="1744" ht="93" customHeight="1">
      <x:c r="A1744" s="19" t="n">
        <x:v>1741</x:v>
      </x:c>
      <x:c r="B1744" s="22" t="e">
        <x:f>HYPERLINK("https://cdn.shopify.com/s/files/1/0918/6066/4603/files/2596355bf47d5565f9a350525fe142ef.jpg?v=1757581997","Open")</x:f>
        <x:v>HYPERLINK is not implemented. linkLocation=https://cdn.shopify.com/s/files/1/0918/6066/4603/files/2596355bf47d5565f9a350525fe142ef.jpg?v=1757581997, friendlyName=Open</x:v>
      </x:c>
      <x:c r="C1744" s="24" t="e">
        <x:f>HYPERLINK("https://365nails.com/products/365nails-butter-yellow-floral-carving-with-blue-white-porcelain-patterns-jelly-beads-french-mix-fresh-medium-almond-press-on-nails","Porcelain Bloom Series Press-On Nails ( MOQ=5pcs )")</x:f>
        <x:v>HYPERLINK is not implemented. linkLocation=https://365nails.com/products/365nails-butter-yellow-floral-carving-with-blue-white-porcelain-patterns-jelly-beads-french-mix-fresh-medium-almond-press-on-nails, friendlyName=Porcelain Bloom Series Press-On Nails ( MOQ=5pcs )</x:v>
      </x:c>
      <x:c r="D1744" s="18" t="str">
        <x:v>Size: XS / S / M / L; Quantity: 5 pcs</x:v>
      </x:c>
      <x:c r="E1744" s="25" t="str">
        <x:v>$5.99</x:v>
      </x:c>
      <x:c r="F1744" s="19" t="str">
        <x:v>30</x:v>
      </x:c>
    </x:row>
    <x:row r="1745" ht="93" customHeight="1">
      <x:c r="A1745" s="19" t="n">
        <x:v>1742</x:v>
      </x:c>
      <x:c r="B1745" s="22" t="e">
        <x:f>HYPERLINK("https://cdn.shopify.com/s/files/1/0918/6066/4603/files/44a9a0e211c3b0f66cd7b5de39722d48.jpg?v=1757582202","Open")</x:f>
        <x:v>HYPERLINK is not implemented. linkLocation=https://cdn.shopify.com/s/files/1/0918/6066/4603/files/44a9a0e211c3b0f66cd7b5de39722d48.jpg?v=1757582202, friendlyName=Open</x:v>
      </x:c>
      <x:c r="C1745" s="24" t="e">
        <x:f>HYPERLINK("https://365nails.com/products/365nails-sheer-nude-pink-with-champagne-glitter-half-moon-french-elegant-short-squoval-press-on-nails","Champagne Glow Series Press-On Nails ( MOQ=5pcs )")</x:f>
        <x:v>HYPERLINK is not implemented. linkLocation=https://365nails.com/products/365nails-sheer-nude-pink-with-champagne-glitter-half-moon-french-elegant-short-squoval-press-on-nails, friendlyName=Champagne Glow Series Press-On Nails ( MOQ=5pcs )</x:v>
      </x:c>
      <x:c r="D1745" s="18" t="str">
        <x:v>Size: XS / S / M / L; Quantity: 5 pcs</x:v>
      </x:c>
      <x:c r="E1745" s="25" t="str">
        <x:v>$4.79</x:v>
      </x:c>
      <x:c r="F1745" s="19" t="str">
        <x:v>30</x:v>
      </x:c>
    </x:row>
    <x:row r="1746" ht="93" customHeight="1">
      <x:c r="A1746" s="19" t="n">
        <x:v>1743</x:v>
      </x:c>
      <x:c r="B1746" s="22" t="e">
        <x:f>HYPERLINK("https://cdn.shopify.com/s/files/1/0918/6066/4603/files/55a3e7352cc4793fae1f8a532ac37161.jpg?v=1757582519","Open")</x:f>
        <x:v>HYPERLINK is not implemented. linkLocation=https://cdn.shopify.com/s/files/1/0918/6066/4603/files/55a3e7352cc4793fae1f8a532ac37161.jpg?v=1757582519, friendlyName=Open</x:v>
      </x:c>
      <x:c r="C1746" s="24" t="e">
        <x:f>HYPERLINK("https://365nails.com/products/365nails-nude-french-silver-half-moon-elegant-short-press-ons","Crystal French Series Press-On Nails ( MOQ=5pcs )")</x:f>
        <x:v>HYPERLINK is not implemented. linkLocation=https://365nails.com/products/365nails-nude-french-silver-half-moon-elegant-short-press-ons, friendlyName=Crystal French Series Press-On Nails ( MOQ=5pcs )</x:v>
      </x:c>
      <x:c r="D1746" s="18" t="str">
        <x:v>Size: XS / S / M / L; Quantity: 5 pcs</x:v>
      </x:c>
      <x:c r="E1746" s="25" t="str">
        <x:v>$4.79</x:v>
      </x:c>
      <x:c r="F1746" s="19" t="str">
        <x:v>30</x:v>
      </x:c>
    </x:row>
    <x:row r="1747" ht="93" customHeight="1">
      <x:c r="A1747" s="19" t="n">
        <x:v>1744</x:v>
      </x:c>
      <x:c r="B1747" s="22" t="e">
        <x:f>HYPERLINK("https://cdn.shopify.com/s/files/1/0918/6066/4603/files/064f1dad69673f3992f7d7668ee92154.jpg?v=1757582758","Open")</x:f>
        <x:v>HYPERLINK is not implemented. linkLocation=https://cdn.shopify.com/s/files/1/0918/6066/4603/files/064f1dad69673f3992f7d7668ee92154.jpg?v=1757582758, friendlyName=Open</x:v>
      </x:c>
      <x:c r="C1747" s="24" t="e">
        <x:f>HYPERLINK("https://365nails.com/products/365nails-nude-pink-bows-with-dangling-rhinestones-soft-medium-short-almond-press-on-nails","Butterfly Veil Series Press-On Nails ( MOQ=5pcs )")</x:f>
        <x:v>HYPERLINK is not implemented. linkLocation=https://365nails.com/products/365nails-nude-pink-bows-with-dangling-rhinestones-soft-medium-short-almond-press-on-nails, friendlyName=Butterfly Veil Series Press-On Nails ( MOQ=5pcs )</x:v>
      </x:c>
      <x:c r="D1747" s="18" t="str">
        <x:v>Size: XS / S / M / L; Quantity: 5 pcs</x:v>
      </x:c>
      <x:c r="E1747" s="25" t="str">
        <x:v>$5.39</x:v>
      </x:c>
      <x:c r="F1747" s="19" t="str">
        <x:v>30</x:v>
      </x:c>
    </x:row>
    <x:row r="1748" ht="93" customHeight="1">
      <x:c r="A1748" s="19" t="n">
        <x:v>1745</x:v>
      </x:c>
      <x:c r="B1748" s="22" t="e">
        <x:f>HYPERLINK("https://cdn.shopify.com/s/files/1/0918/6066/4603/files/2834e0247c55e039cd0a14be287a1fb3.jpg?v=1757583186","Open")</x:f>
        <x:v>HYPERLINK is not implemented. linkLocation=https://cdn.shopify.com/s/files/1/0918/6066/4603/files/2834e0247c55e039cd0a14be287a1fb3.jpg?v=1757583186, friendlyName=Open</x:v>
      </x:c>
      <x:c r="C1748" s="24" t="e">
        <x:f>HYPERLINK("https://365nails.com/products/365nails-apricot-to-pink-gradient-with-jelly-petals-sugar-dots-sweet-medium-almond-press-ons","Petal Glow Series Press-On Nails ( MOQ=5pcs )")</x:f>
        <x:v>HYPERLINK is not implemented. linkLocation=https://365nails.com/products/365nails-apricot-to-pink-gradient-with-jelly-petals-sugar-dots-sweet-medium-almond-press-ons, friendlyName=Petal Glow Series Press-On Nails ( MOQ=5pcs )</x:v>
      </x:c>
      <x:c r="D1748" s="18" t="str">
        <x:v>Size: XS / S / M / L; Quantity: 5 pcs</x:v>
      </x:c>
      <x:c r="E1748" s="25" t="str">
        <x:v>$5.39</x:v>
      </x:c>
      <x:c r="F1748" s="19" t="str">
        <x:v>30</x:v>
      </x:c>
    </x:row>
    <x:row r="1749" ht="93" customHeight="1">
      <x:c r="A1749" s="19" t="n">
        <x:v>1746</x:v>
      </x:c>
      <x:c r="B1749" s="22" t="e">
        <x:f>HYPERLINK("https://cdn.shopify.com/s/files/1/0918/6066/4603/files/4c38704c3e1a9f763435589ee95d5b50.jpg?v=1757583373","Open")</x:f>
        <x:v>HYPERLINK is not implemented. linkLocation=https://cdn.shopify.com/s/files/1/0918/6066/4603/files/4c38704c3e1a9f763435589ee95d5b50.jpg?v=1757583373, friendlyName=Open</x:v>
      </x:c>
      <x:c r="C1749" s="24" t="e">
        <x:f>HYPERLINK("https://365nails.com/products/365nails-gold-textured-base-with-full-crystal-shards-lux-bling-short-medium-squoval-press-ons","Golden Prism Series Press-On Nails ( MOQ=5pcs )")</x:f>
        <x:v>HYPERLINK is not implemented. linkLocation=https://365nails.com/products/365nails-gold-textured-base-with-full-crystal-shards-lux-bling-short-medium-squoval-press-ons, friendlyName=Golden Prism Series Press-On Nails ( MOQ=5pcs )</x:v>
      </x:c>
      <x:c r="D1749" s="18" t="str">
        <x:v>Size: XS / S / M / L; Quantity: 5 pcs</x:v>
      </x:c>
      <x:c r="E1749" s="25" t="str">
        <x:v>$5.39</x:v>
      </x:c>
      <x:c r="F1749" s="19" t="str">
        <x:v>30</x:v>
      </x:c>
    </x:row>
    <x:row r="1750" ht="93" customHeight="1">
      <x:c r="A1750" s="19" t="n">
        <x:v>1747</x:v>
      </x:c>
      <x:c r="B1750" s="22" t="e">
        <x:f>HYPERLINK("https://cdn.shopify.com/s/files/1/0918/6066/4603/files/06dab68a9fb0a521c07fc81a8c8fceed.jpg?v=1757583779","Open")</x:f>
        <x:v>HYPERLINK is not implemented. linkLocation=https://cdn.shopify.com/s/files/1/0918/6066/4603/files/06dab68a9fb0a521c07fc81a8c8fceed.jpg?v=1757583779, friendlyName=Open</x:v>
      </x:c>
      <x:c r="C1750" s="24" t="e">
        <x:f>HYPERLINK("https://365nails.com/products/365nails-milky-white-pink-with-jelly-blossoms-and-bows-sweet-medium-almond-press-ons","Blossom Ballet Series Press-On Nails ( MOQ=5pcs )")</x:f>
        <x:v>HYPERLINK is not implemented. linkLocation=https://365nails.com/products/365nails-milky-white-pink-with-jelly-blossoms-and-bows-sweet-medium-almond-press-ons, friendlyName=Blossom Ballet Series Press-On Nails ( MOQ=5pcs )</x:v>
      </x:c>
      <x:c r="D1750" s="18" t="str">
        <x:v>Size: XS / S / M / L; Quantity: 5 pcs</x:v>
      </x:c>
      <x:c r="E1750" s="25" t="str">
        <x:v>$5.39</x:v>
      </x:c>
      <x:c r="F1750" s="19" t="str">
        <x:v>30</x:v>
      </x:c>
    </x:row>
    <x:row r="1751" ht="93" customHeight="1">
      <x:c r="A1751" s="19" t="n">
        <x:v>1748</x:v>
      </x:c>
      <x:c r="B1751" s="22" t="e">
        <x:f>HYPERLINK("https://cdn.shopify.com/s/files/1/0918/6066/4603/files/bd84a4d0527338089910999cb88b8cf4.jpg?v=1757646388","Open")</x:f>
        <x:v>HYPERLINK is not implemented. linkLocation=https://cdn.shopify.com/s/files/1/0918/6066/4603/files/bd84a4d0527338089910999cb88b8cf4.jpg?v=1757646388, friendlyName=Open</x:v>
      </x:c>
      <x:c r="C1751" s="24" t="e">
        <x:f>HYPERLINK("https://365nails.com/products/365nails-mirror-crystal-rhinestone-press-on-set","Hologram Glow Series Press-On Nails ( MOQ=5pcs )")</x:f>
        <x:v>HYPERLINK is not implemented. linkLocation=https://365nails.com/products/365nails-mirror-crystal-rhinestone-press-on-set, friendlyName=Hologram Glow Series Press-On Nails ( MOQ=5pcs )</x:v>
      </x:c>
      <x:c r="D1751" s="18" t="str">
        <x:v>Size: XS / S / M / L; Quantity: 5 pcs</x:v>
      </x:c>
      <x:c r="E1751" s="25" t="str">
        <x:v>$5.39</x:v>
      </x:c>
      <x:c r="F1751" s="19" t="str">
        <x:v>30</x:v>
      </x:c>
    </x:row>
    <x:row r="1752" ht="93" customHeight="1">
      <x:c r="A1752" s="19" t="n">
        <x:v>1749</x:v>
      </x:c>
      <x:c r="B1752" s="22" t="e">
        <x:f>HYPERLINK("https://cdn.shopify.com/s/files/1/0918/6066/4603/files/331ed01bf8baa9ae36914a8bf8c77617.jpg?v=1757646599","Open")</x:f>
        <x:v>HYPERLINK is not implemented. linkLocation=https://cdn.shopify.com/s/files/1/0918/6066/4603/files/331ed01bf8baa9ae36914a8bf8c77617.jpg?v=1757646599, friendlyName=Open</x:v>
      </x:c>
      <x:c r="C1752" s="24" t="e">
        <x:f>HYPERLINK("https://365nails.com/products/365nails-icy-blue-seashell-rhinestone-mixed-press-ons","Celestial Frost Series Press-On Nails ( MOQ=5pcs )")</x:f>
        <x:v>HYPERLINK is not implemented. linkLocation=https://365nails.com/products/365nails-icy-blue-seashell-rhinestone-mixed-press-ons, friendlyName=Celestial Frost Series Press-On Nails ( MOQ=5pcs )</x:v>
      </x:c>
      <x:c r="D1752" s="18" t="str">
        <x:v>Size: XS / S / M / L; Quantity: 5 pcs</x:v>
      </x:c>
      <x:c r="E1752" s="25" t="str">
        <x:v>$5.39</x:v>
      </x:c>
      <x:c r="F1752" s="19" t="str">
        <x:v>30</x:v>
      </x:c>
    </x:row>
    <x:row r="1753" ht="93" customHeight="1">
      <x:c r="A1753" s="19" t="n">
        <x:v>1750</x:v>
      </x:c>
      <x:c r="B1753" s="22" t="e">
        <x:f>HYPERLINK("https://cdn.shopify.com/s/files/1/0918/6066/4603/files/fca32b70ed1bb2cf9ad32d088caddf49.jpg?v=1757648696","Open")</x:f>
        <x:v>HYPERLINK is not implemented. linkLocation=https://cdn.shopify.com/s/files/1/0918/6066/4603/files/fca32b70ed1bb2cf9ad32d088caddf49.jpg?v=1757648696, friendlyName=Open</x:v>
      </x:c>
      <x:c r="C1753" s="24" t="e">
        <x:f>HYPERLINK("https://365nails.com/products/365nails-nude-mauve-sculpted-floral-french-square-press-ons","Petal Grace Series Press-On Nails ( MOQ=5pcs )")</x:f>
        <x:v>HYPERLINK is not implemented. linkLocation=https://365nails.com/products/365nails-nude-mauve-sculpted-floral-french-square-press-ons, friendlyName=Petal Grace Series Press-On Nails ( MOQ=5pcs )</x:v>
      </x:c>
      <x:c r="D1753" s="18" t="str">
        <x:v>Size: XS / S / M / L; Quantity: 5 pcs</x:v>
      </x:c>
      <x:c r="E1753" s="25" t="str">
        <x:v>$5.39</x:v>
      </x:c>
      <x:c r="F1753" s="19" t="str">
        <x:v>30</x:v>
      </x:c>
    </x:row>
    <x:row r="1754" ht="93" customHeight="1">
      <x:c r="A1754" s="19" t="n">
        <x:v>1751</x:v>
      </x:c>
      <x:c r="B1754" s="22" t="e">
        <x:f>HYPERLINK("https://cdn.shopify.com/s/files/1/0918/6066/4603/files/8ca838a165badd44a684bba397366002.jpg?v=1757921591","Open")</x:f>
        <x:v>HYPERLINK is not implemented. linkLocation=https://cdn.shopify.com/s/files/1/0918/6066/4603/files/8ca838a165badd44a684bba397366002.jpg?v=1757921591, friendlyName=Open</x:v>
      </x:c>
      <x:c r="C1754" s="24" t="e">
        <x:f>HYPERLINK("https://365nails.com/products/365nails-nude-almond-leopard-french-rhinestone-press-ons","Wild Luxe Series Press-On Nails ( MOQ=5pcs )")</x:f>
        <x:v>HYPERLINK is not implemented. linkLocation=https://365nails.com/products/365nails-nude-almond-leopard-french-rhinestone-press-ons, friendlyName=Wild Luxe Series Press-On Nails ( MOQ=5pcs )</x:v>
      </x:c>
      <x:c r="D1754" s="18" t="str">
        <x:v>Size: XS / S / M / L; Quantity: 5 pcs</x:v>
      </x:c>
      <x:c r="E1754" s="25" t="str">
        <x:v>$5.39</x:v>
      </x:c>
      <x:c r="F1754" s="19" t="str">
        <x:v>30</x:v>
      </x:c>
    </x:row>
    <x:row r="1755" ht="93" customHeight="1">
      <x:c r="A1755" s="19" t="n">
        <x:v>1752</x:v>
      </x:c>
      <x:c r="B1755" s="22" t="e">
        <x:f>HYPERLINK("https://cdn.shopify.com/s/files/1/0918/6066/4603/files/8e5af9ed17c29b87be66cf0d4cf83218.jpg?v=1757646908","Open")</x:f>
        <x:v>HYPERLINK is not implemented. linkLocation=https://cdn.shopify.com/s/files/1/0918/6066/4603/files/8e5af9ed17c29b87be66cf0d4cf83218.jpg?v=1757646908, friendlyName=Open</x:v>
      </x:c>
      <x:c r="C1755" s="24" t="e">
        <x:f>HYPERLINK("https://365nails.com/products/365nails-nude-pink-pearl-carved-rhinestone-press-ons","Rosy Pearl Series Press-On Nails ( MOQ=5pcs )")</x:f>
        <x:v>HYPERLINK is not implemented. linkLocation=https://365nails.com/products/365nails-nude-pink-pearl-carved-rhinestone-press-ons, friendlyName=Rosy Pearl Series Press-On Nails ( MOQ=5pcs )</x:v>
      </x:c>
      <x:c r="D1755" s="18" t="str">
        <x:v>Size: XS / S / M / L; Quantity: 5 pcs</x:v>
      </x:c>
      <x:c r="E1755" s="25" t="str">
        <x:v>$5.39</x:v>
      </x:c>
      <x:c r="F1755" s="19" t="str">
        <x:v>30</x:v>
      </x:c>
    </x:row>
    <x:row r="1756" ht="93" customHeight="1">
      <x:c r="A1756" s="19" t="n">
        <x:v>1753</x:v>
      </x:c>
      <x:c r="B1756" s="22" t="e">
        <x:f>HYPERLINK("https://cdn.shopify.com/s/files/1/0918/6066/4603/files/b64f7a3f8b6605ab175e823761a49795.jpg?v=1757649073","Open")</x:f>
        <x:v>HYPERLINK is not implemented. linkLocation=https://cdn.shopify.com/s/files/1/0918/6066/4603/files/b64f7a3f8b6605ab175e823761a49795.jpg?v=1757649073, friendlyName=Open</x:v>
      </x:c>
      <x:c r="C1756" s="24" t="e">
        <x:f>HYPERLINK("https://365nails.com/products/365nails-emerald-heart-floral-split-long-square-press-ons","Emerald Garden Series Press-On Nails ( MOQ=5pcs )")</x:f>
        <x:v>HYPERLINK is not implemented. linkLocation=https://365nails.com/products/365nails-emerald-heart-floral-split-long-square-press-ons, friendlyName=Emerald Garden Series Press-On Nails ( MOQ=5pcs )</x:v>
      </x:c>
      <x:c r="D1756" s="18" t="str">
        <x:v>Size: XS / S / M / L; Quantity: 5 pcs</x:v>
      </x:c>
      <x:c r="E1756" s="25" t="str">
        <x:v>$5.99</x:v>
      </x:c>
      <x:c r="F1756" s="19" t="str">
        <x:v>30</x:v>
      </x:c>
    </x:row>
    <x:row r="1757" ht="93" customHeight="1">
      <x:c r="A1757" s="19" t="n">
        <x:v>1754</x:v>
      </x:c>
      <x:c r="B1757" s="22" t="e">
        <x:f>HYPERLINK("https://cdn.shopify.com/s/files/1/0918/6066/4603/files/bbab18468b36f970ac1ff3cfb0e377c5.jpg?v=1757647791","Open")</x:f>
        <x:v>HYPERLINK is not implemented. linkLocation=https://cdn.shopify.com/s/files/1/0918/6066/4603/files/bbab18468b36f970ac1ff3cfb0e377c5.jpg?v=1757647791, friendlyName=Open</x:v>
      </x:c>
      <x:c r="C1757" s="24" t="e">
        <x:f>HYPERLINK("https://365nails.com/products/365nails-aurora-crystal-encrusted-long-stiletto-press-ons","Crystal Aurora Series Press-On Nails ( MOQ=5pcs )")</x:f>
        <x:v>HYPERLINK is not implemented. linkLocation=https://365nails.com/products/365nails-aurora-crystal-encrusted-long-stiletto-press-ons, friendlyName=Crystal Aurora Series Press-On Nails ( MOQ=5pcs )</x:v>
      </x:c>
      <x:c r="D1757" s="18" t="str">
        <x:v>Size: XS / S / M / L</x:v>
      </x:c>
      <x:c r="E1757" s="25" t="str">
        <x:v>$5.99</x:v>
      </x:c>
      <x:c r="F1757" s="19" t="str">
        <x:v>30</x:v>
      </x:c>
    </x:row>
    <x:row r="1758" ht="93" customHeight="1">
      <x:c r="A1758" s="19" t="n">
        <x:v>1755</x:v>
      </x:c>
      <x:c r="B1758" s="22" t="e">
        <x:f>HYPERLINK("https://cdn.shopify.com/s/files/1/0918/6066/4603/files/5b890b53a4026f3ac4245ed3bee6eadd.jpg?v=1757648910","Open")</x:f>
        <x:v>HYPERLINK is not implemented. linkLocation=https://cdn.shopify.com/s/files/1/0918/6066/4603/files/5b890b53a4026f3ac4245ed3bee6eadd.jpg?v=1757648910, friendlyName=Open</x:v>
      </x:c>
      <x:c r="C1758" s="24" t="e">
        <x:f>HYPERLINK("https://365nails.com/products/365nails-nude-pink-floral-french-pearl-toe-press-ons","Rose Whisper Series Press-On Nails ( MOQ=5pcs )")</x:f>
        <x:v>HYPERLINK is not implemented. linkLocation=https://365nails.com/products/365nails-nude-pink-floral-french-pearl-toe-press-ons, friendlyName=Rose Whisper Series Press-On Nails ( MOQ=5pcs )</x:v>
      </x:c>
      <x:c r="D1758" s="18" t="str">
        <x:v>Size: XS / S / M / L; Quantity: 5 pcs</x:v>
      </x:c>
      <x:c r="E1758" s="25" t="str">
        <x:v>$5.39</x:v>
      </x:c>
      <x:c r="F1758" s="19" t="str">
        <x:v>30</x:v>
      </x:c>
    </x:row>
    <x:row r="1759" ht="93" customHeight="1">
      <x:c r="A1759" s="19" t="n">
        <x:v>1756</x:v>
      </x:c>
      <x:c r="B1759" s="22" t="e">
        <x:f>HYPERLINK("https://cdn.shopify.com/s/files/1/0918/6066/4603/files/10b5b8b29002e338cc1aa6bdb52cd889.jpg?v=1757649337","Open")</x:f>
        <x:v>HYPERLINK is not implemented. linkLocation=https://cdn.shopify.com/s/files/1/0918/6066/4603/files/10b5b8b29002e338cc1aa6bdb52cd889.jpg?v=1757649337, friendlyName=Open</x:v>
      </x:c>
      <x:c r="C1759" s="24" t="e">
        <x:f>HYPERLINK("https://365nails.com/products/365nails-icy-crushed-sugar-cutout-bow-press-ons","Iridescent Coral Series Press-On Nails ( MOQ=5pcs )")</x:f>
        <x:v>HYPERLINK is not implemented. linkLocation=https://365nails.com/products/365nails-icy-crushed-sugar-cutout-bow-press-ons, friendlyName=Iridescent Coral Series Press-On Nails ( MOQ=5pcs )</x:v>
      </x:c>
      <x:c r="D1759" s="18" t="str">
        <x:v>Size: XS / S / M / L; Quantity: 5 pcs</x:v>
      </x:c>
      <x:c r="E1759" s="25" t="str">
        <x:v>$5.39</x:v>
      </x:c>
      <x:c r="F1759" s="19" t="str">
        <x:v>30</x:v>
      </x:c>
    </x:row>
    <x:row r="1760" ht="93" customHeight="1">
      <x:c r="A1760" s="19" t="n">
        <x:v>1757</x:v>
      </x:c>
      <x:c r="B1760" s="22" t="e">
        <x:f>HYPERLINK("https://cdn.shopify.com/s/files/1/0918/6066/4603/files/45ac91d9b4253dfd5fcd4d7754360079.jpg?v=1757649468","Open")</x:f>
        <x:v>HYPERLINK is not implemented. linkLocation=https://cdn.shopify.com/s/files/1/0918/6066/4603/files/45ac91d9b4253dfd5fcd4d7754360079.jpg?v=1757649468, friendlyName=Open</x:v>
      </x:c>
      <x:c r="C1760" s="24" t="e">
        <x:f>HYPERLINK("https://365nails.com/products/365nails-nude-pink-half-moon-french-almond-press-ons","Classic Blush French Series Press-On Nails ( MOQ=5pcs )")</x:f>
        <x:v>HYPERLINK is not implemented. linkLocation=https://365nails.com/products/365nails-nude-pink-half-moon-french-almond-press-ons, friendlyName=Classic Blush French Series Press-On Nails ( MOQ=5pcs )</x:v>
      </x:c>
      <x:c r="D1760" s="18" t="str">
        <x:v>Size: XS / S / M / L; Quantity: 5 pcs</x:v>
      </x:c>
      <x:c r="E1760" s="25" t="str">
        <x:v>$3.59</x:v>
      </x:c>
      <x:c r="F1760" s="19" t="str">
        <x:v>30</x:v>
      </x:c>
    </x:row>
    <x:row r="1761" ht="93" customHeight="1">
      <x:c r="A1761" s="19" t="n">
        <x:v>1758</x:v>
      </x:c>
      <x:c r="B1761" s="22" t="e">
        <x:f>HYPERLINK("https://cdn.shopify.com/s/files/1/0918/6066/4603/files/31f8d414fcdfb3b027efabfb6ea5fad1_a12a98c2-042a-4bb2-9ebf-831b7517f9e8.jpg?v=1757656884","Open")</x:f>
        <x:v>HYPERLINK is not implemented. linkLocation=https://cdn.shopify.com/s/files/1/0918/6066/4603/files/31f8d414fcdfb3b027efabfb6ea5fad1_a12a98c2-042a-4bb2-9ebf-831b7517f9e8.jpg?v=1757656884, friendlyName=Open</x:v>
      </x:c>
      <x:c r="C1761" s="24" t="e">
        <x:f>HYPERLINK("https://365nails.com/products/365nails-nude-apricot-sharp-french-almond-press-ons","Soft Peach French Series Press-On Nails ( MOQ=5pcs )")</x:f>
        <x:v>HYPERLINK is not implemented. linkLocation=https://365nails.com/products/365nails-nude-apricot-sharp-french-almond-press-ons, friendlyName=Soft Peach French Series Press-On Nails ( MOQ=5pcs )</x:v>
      </x:c>
      <x:c r="D1761" s="18" t="str">
        <x:v>Size: XS / S / M / L; Quantity: 5 pcs</x:v>
      </x:c>
      <x:c r="E1761" s="25" t="str">
        <x:v>$3.59</x:v>
      </x:c>
      <x:c r="F1761" s="19" t="str">
        <x:v>30</x:v>
      </x:c>
    </x:row>
    <x:row r="1762" ht="93" customHeight="1">
      <x:c r="A1762" s="19" t="n">
        <x:v>1759</x:v>
      </x:c>
      <x:c r="B1762" s="22" t="e">
        <x:f>HYPERLINK("https://cdn.shopify.com/s/files/1/0918/6066/4603/files/f6694f5f4f9769abfaf8133dadd44bec.jpg?v=1757655808","Open")</x:f>
        <x:v>HYPERLINK is not implemented. linkLocation=https://cdn.shopify.com/s/files/1/0918/6066/4603/files/f6694f5f4f9769abfaf8133dadd44bec.jpg?v=1757655808, friendlyName=Open</x:v>
      </x:c>
      <x:c r="C1762" s="24" t="e">
        <x:f>HYPERLINK("https://365nails.com/products/365nails-nude-pink-asymmetric-french-almond-with-rhinestones-press-ons","Crystal French Glow Series Press-On Nails ( MOQ=5pcs )")</x:f>
        <x:v>HYPERLINK is not implemented. linkLocation=https://365nails.com/products/365nails-nude-pink-asymmetric-french-almond-with-rhinestones-press-ons, friendlyName=Crystal French Glow Series Press-On Nails ( MOQ=5pcs )</x:v>
      </x:c>
      <x:c r="D1762" s="18" t="str">
        <x:v>Size: XS / S / M / L; Quantity: 5 pcs</x:v>
      </x:c>
      <x:c r="E1762" s="25" t="str">
        <x:v>$4.19</x:v>
      </x:c>
      <x:c r="F1762" s="19" t="str">
        <x:v>30</x:v>
      </x:c>
    </x:row>
    <x:row r="1763" ht="93" customHeight="1">
      <x:c r="A1763" s="19" t="n">
        <x:v>1760</x:v>
      </x:c>
      <x:c r="B1763" s="22" t="e">
        <x:f>HYPERLINK("https://cdn.shopify.com/s/files/1/0918/6066/4603/files/1d07c086bdc7a525f346d51c649fb9bd_f4567bf5-7fc9-484a-82e6-37fbfc4bad5f.jpg?v=1757655656","Open")</x:f>
        <x:v>HYPERLINK is not implemented. linkLocation=https://cdn.shopify.com/s/files/1/0918/6066/4603/files/1d07c086bdc7a525f346d51c649fb9bd_f4567bf5-7fc9-484a-82e6-37fbfc4bad5f.jpg?v=1757655656, friendlyName=Open</x:v>
      </x:c>
      <x:c r="C1763" s="24" t="e">
        <x:f>HYPERLINK("https://365nails.com/products/365nails-wine-jelly-petal-dew-almond-press-ons","Orchid Wine Series Press-On Nails ( MOQ=5pcs )")</x:f>
        <x:v>HYPERLINK is not implemented. linkLocation=https://365nails.com/products/365nails-wine-jelly-petal-dew-almond-press-ons, friendlyName=Orchid Wine Series Press-On Nails ( MOQ=5pcs )</x:v>
      </x:c>
      <x:c r="D1763" s="18" t="str">
        <x:v>Size: XS / S / M / L; Quantity: 5 pcs</x:v>
      </x:c>
      <x:c r="E1763" s="25" t="str">
        <x:v>$5.99</x:v>
      </x:c>
      <x:c r="F1763" s="19" t="str">
        <x:v>30</x:v>
      </x:c>
    </x:row>
    <x:row r="1764" ht="93" customHeight="1">
      <x:c r="A1764" s="19" t="n">
        <x:v>1761</x:v>
      </x:c>
      <x:c r="B1764" s="22" t="e">
        <x:f>HYPERLINK("https://cdn.shopify.com/s/files/1/0918/6066/4603/files/b9aad4053821fc0508126ca51d0eafae.jpg?v=1757655958","Open")</x:f>
        <x:v>HYPERLINK is not implemented. linkLocation=https://cdn.shopify.com/s/files/1/0918/6066/4603/files/b9aad4053821fc0508126ca51d0eafae.jpg?v=1757655958, friendlyName=Open</x:v>
      </x:c>
      <x:c r="C1764" s="24" t="e">
        <x:f>HYPERLINK("https://365nails.com/products/365nails-ice-blue-pearl-shell-3d-sea-star-gel-press-ons","Arctic Pearl Series Press-On Nails ( MOQ=5pcs )")</x:f>
        <x:v>HYPERLINK is not implemented. linkLocation=https://365nails.com/products/365nails-ice-blue-pearl-shell-3d-sea-star-gel-press-ons, friendlyName=Arctic Pearl Series Press-On Nails ( MOQ=5pcs )</x:v>
      </x:c>
      <x:c r="D1764" s="18" t="str">
        <x:v>Size: XS / S / M / L; Quantity: 5 pcs</x:v>
      </x:c>
      <x:c r="E1764" s="25" t="str">
        <x:v>$5.39</x:v>
      </x:c>
      <x:c r="F1764" s="19" t="str">
        <x:v>30</x:v>
      </x:c>
    </x:row>
    <x:row r="1765" ht="93" customHeight="1">
      <x:c r="A1765" s="19" t="n">
        <x:v>1762</x:v>
      </x:c>
      <x:c r="B1765" s="22" t="e">
        <x:f>HYPERLINK("https://cdn.shopify.com/s/files/1/0918/6066/4603/files/5738067b3bd71c09086a12cade31d99b.jpg?v=1757656331","Open")</x:f>
        <x:v>HYPERLINK is not implemented. linkLocation=https://cdn.shopify.com/s/files/1/0918/6066/4603/files/5738067b3bd71c09086a12cade31d99b.jpg?v=1757656331, friendlyName=Open</x:v>
      </x:c>
      <x:c r="C1765" s="24" t="e">
        <x:f>HYPERLINK("https://365nails.com/products/365nails-sugary-pink-blue-jelly-butterfly-blossom-3d-press-ons","Spring Dream Series Press-On Nails ( MOQ=5pcs )")</x:f>
        <x:v>HYPERLINK is not implemented. linkLocation=https://365nails.com/products/365nails-sugary-pink-blue-jelly-butterfly-blossom-3d-press-ons, friendlyName=Spring Dream Series Press-On Nails ( MOQ=5pcs )</x:v>
      </x:c>
      <x:c r="D1765" s="18" t="str">
        <x:v>Size: XS / S / M / L; Quantity: 5 pcs</x:v>
      </x:c>
      <x:c r="E1765" s="25" t="str">
        <x:v>$5.39</x:v>
      </x:c>
      <x:c r="F1765" s="19" t="str">
        <x:v>30</x:v>
      </x:c>
    </x:row>
    <x:row r="1766" ht="93" customHeight="1">
      <x:c r="A1766" s="19" t="n">
        <x:v>1763</x:v>
      </x:c>
      <x:c r="B1766" s="22" t="e">
        <x:f>HYPERLINK("https://cdn.shopify.com/s/files/1/0918/6066/4603/files/53dc20f99efdb0a2c0428f70d14b3df1.jpg?v=1757657300","Open")</x:f>
        <x:v>HYPERLINK is not implemented. linkLocation=https://cdn.shopify.com/s/files/1/0918/6066/4603/files/53dc20f99efdb0a2c0428f70d14b3df1.jpg?v=1757657300, friendlyName=Open</x:v>
      </x:c>
      <x:c r="C1766" s="24" t="e">
        <x:f>HYPERLINK("https://365nails.com/products/365nails-creamy-pink-jelly-petals-pearl-shell-mixed-press-ons","Blooming Petal Series Press-On Nails ( MOQ=5pcs )")</x:f>
        <x:v>HYPERLINK is not implemented. linkLocation=https://365nails.com/products/365nails-creamy-pink-jelly-petals-pearl-shell-mixed-press-ons, friendlyName=Blooming Petal Series Press-On Nails ( MOQ=5pcs )</x:v>
      </x:c>
      <x:c r="D1766" s="18" t="str">
        <x:v>Size: XS / S / M / L; Quantity: 5 pcs</x:v>
      </x:c>
      <x:c r="E1766" s="25" t="str">
        <x:v>$5.39</x:v>
      </x:c>
      <x:c r="F1766" s="19" t="str">
        <x:v>30</x:v>
      </x:c>
    </x:row>
    <x:row r="1767" ht="93" customHeight="1">
      <x:c r="A1767" s="19" t="n">
        <x:v>1764</x:v>
      </x:c>
      <x:c r="B1767" s="22" t="e">
        <x:f>HYPERLINK("https://cdn.shopify.com/s/files/1/0918/6066/4603/files/ed3aff89656d3aadbbb05acdac65aa9b.jpg?v=1757657442","Open")</x:f>
        <x:v>HYPERLINK is not implemented. linkLocation=https://cdn.shopify.com/s/files/1/0918/6066/4603/files/ed3aff89656d3aadbbb05acdac65aa9b.jpg?v=1757657442, friendlyName=Open</x:v>
      </x:c>
      <x:c r="C1767" s="24" t="e">
        <x:f>HYPERLINK("https://365nails.com/products/365nails-ruby-sparkle-ombre-full-rhinestone-long-coffin-press-ons","Ruby Glam Series Press-On Nails ( MOQ=5pcs )")</x:f>
        <x:v>HYPERLINK is not implemented. linkLocation=https://365nails.com/products/365nails-ruby-sparkle-ombre-full-rhinestone-long-coffin-press-ons, friendlyName=Ruby Glam Series Press-On Nails ( MOQ=5pcs )</x:v>
      </x:c>
      <x:c r="D1767" s="18" t="str">
        <x:v>Size: XS / S / M / L; Quantity: 5 pcs</x:v>
      </x:c>
      <x:c r="E1767" s="25" t="str">
        <x:v>$5.99</x:v>
      </x:c>
      <x:c r="F1767" s="19" t="str">
        <x:v>30</x:v>
      </x:c>
    </x:row>
    <x:row r="1768" ht="93" customHeight="1">
      <x:c r="A1768" s="19" t="n">
        <x:v>1765</x:v>
      </x:c>
      <x:c r="B1768" s="22" t="e">
        <x:f>HYPERLINK("https://cdn.shopify.com/s/files/1/0918/6066/4603/files/1b4f2bbaf36a37e7994796820a07f8a6.jpg?v=1757657603","Open")</x:f>
        <x:v>HYPERLINK is not implemented. linkLocation=https://cdn.shopify.com/s/files/1/0918/6066/4603/files/1b4f2bbaf36a37e7994796820a07f8a6.jpg?v=1757657603, friendlyName=Open</x:v>
      </x:c>
      <x:c r="C1768" s="24" t="e">
        <x:f>HYPERLINK("https://365nails.com/products/365nails-matte-black-brushstroke-coffin-with-3d-bow-rose-pearls","Midnight Elegance Series Press-On Nails ( MOQ=5pcs )")</x:f>
        <x:v>HYPERLINK is not implemented. linkLocation=https://365nails.com/products/365nails-matte-black-brushstroke-coffin-with-3d-bow-rose-pearls, friendlyName=Midnight Elegance Series Press-On Nails ( MOQ=5pcs )</x:v>
      </x:c>
      <x:c r="D1768" s="18" t="str">
        <x:v>Size: XS / S / M / L; Quantity: 5 pcs</x:v>
      </x:c>
      <x:c r="E1768" s="25" t="str">
        <x:v>$5.39</x:v>
      </x:c>
      <x:c r="F1768" s="19" t="str">
        <x:v>30</x:v>
      </x:c>
    </x:row>
    <x:row r="1769" ht="93" customHeight="1">
      <x:c r="A1769" s="19" t="n">
        <x:v>1766</x:v>
      </x:c>
      <x:c r="B1769" s="22" t="e">
        <x:f>HYPERLINK("https://cdn.shopify.com/s/files/1/0918/6066/4603/files/cf8c4c8100613db3a68f7f72e47fcd75.jpg?v=1757657764","Open")</x:f>
        <x:v>HYPERLINK is not implemented. linkLocation=https://cdn.shopify.com/s/files/1/0918/6066/4603/files/cf8c4c8100613db3a68f7f72e47fcd75.jpg?v=1757657764, friendlyName=Open</x:v>
      </x:c>
      <x:c r="C1769" s="24" t="e">
        <x:f>HYPERLINK("https://365nails.com/products/365nails-creamy-pink-mix-with-cross-bow-chains-jelly-sculpt-press-ons","Cherry Blossom Charm Series Press-On Nails ( MOQ=5pcs )")</x:f>
        <x:v>HYPERLINK is not implemented. linkLocation=https://365nails.com/products/365nails-creamy-pink-mix-with-cross-bow-chains-jelly-sculpt-press-ons, friendlyName=Cherry Blossom Charm Series Press-On Nails ( MOQ=5pcs )</x:v>
      </x:c>
      <x:c r="D1769" s="18" t="str">
        <x:v>Size: XS / S / M / L; Quantity: 5 pcs</x:v>
      </x:c>
      <x:c r="E1769" s="25" t="str">
        <x:v>$5.39</x:v>
      </x:c>
      <x:c r="F1769" s="19" t="str">
        <x:v>30</x:v>
      </x:c>
    </x:row>
    <x:row r="1770" ht="93" customHeight="1">
      <x:c r="A1770" s="19" t="n">
        <x:v>1767</x:v>
      </x:c>
      <x:c r="B1770" s="22" t="e">
        <x:f>HYPERLINK("https://cdn.shopify.com/s/files/1/0918/6066/4603/files/9904e683a0f0c0165c6aeb4b2ead675b.jpg?v=1757657929","Open")</x:f>
        <x:v>HYPERLINK is not implemented. linkLocation=https://cdn.shopify.com/s/files/1/0918/6066/4603/files/9904e683a0f0c0165c6aeb4b2ead675b.jpg?v=1757657929, friendlyName=Open</x:v>
      </x:c>
      <x:c r="C1770" s="24" t="e">
        <x:f>HYPERLINK("https://365nails.com/products/365nails-rose-nude-french-red-tip-almond-press-ons","Rosy Flame Series Press-On Nails ( MOQ=5pcs )")</x:f>
        <x:v>HYPERLINK is not implemented. linkLocation=https://365nails.com/products/365nails-rose-nude-french-red-tip-almond-press-ons, friendlyName=Rosy Flame Series Press-On Nails ( MOQ=5pcs )</x:v>
      </x:c>
      <x:c r="D1770" s="18" t="str">
        <x:v>Size: XS / S / M / L; Quantity: 5 pcs</x:v>
      </x:c>
      <x:c r="E1770" s="25" t="str">
        <x:v>$4.19</x:v>
      </x:c>
      <x:c r="F1770" s="19" t="str">
        <x:v>30</x:v>
      </x:c>
    </x:row>
    <x:row r="1771" ht="93" customHeight="1">
      <x:c r="A1771" s="19" t="n">
        <x:v>1768</x:v>
      </x:c>
      <x:c r="B1771" s="22" t="e">
        <x:f>HYPERLINK("https://cdn.shopify.com/s/files/1/0918/6066/4603/files/6328723d8e6ca0fadf01c0e81885ceb4_9dcdfac3-252c-4be5-ad75-ab186bd6b3da.jpg?v=1757659550","Open")</x:f>
        <x:v>HYPERLINK is not implemented. linkLocation=https://cdn.shopify.com/s/files/1/0918/6066/4603/files/6328723d8e6ca0fadf01c0e81885ceb4_9dcdfac3-252c-4be5-ad75-ab186bd6b3da.jpg?v=1757659550, friendlyName=Open</x:v>
      </x:c>
      <x:c r="C1771" s="24" t="e">
        <x:f>HYPERLINK("https://365nails.com/products/365nails-creamy-nude-pink-jelly-gloss-almond-press-ons","Silky Nude Glow Series Press-On Nails ( MOQ=5pcs )")</x:f>
        <x:v>HYPERLINK is not implemented. linkLocation=https://365nails.com/products/365nails-creamy-nude-pink-jelly-gloss-almond-press-ons, friendlyName=Silky Nude Glow Series Press-On Nails ( MOQ=5pcs )</x:v>
      </x:c>
      <x:c r="D1771" s="18" t="str">
        <x:v>Size: XS / S / M / L; Quantity: 5 pcs</x:v>
      </x:c>
      <x:c r="E1771" s="25" t="str">
        <x:v>$4.19</x:v>
      </x:c>
      <x:c r="F1771" s="19" t="str">
        <x:v>30</x:v>
      </x:c>
    </x:row>
    <x:row r="1772" ht="93" customHeight="1">
      <x:c r="A1772" s="19" t="n">
        <x:v>1769</x:v>
      </x:c>
      <x:c r="B1772" s="22" t="e">
        <x:f>HYPERLINK("https://cdn.shopify.com/s/files/1/0918/6066/4603/files/2bc7642928cf3ef092d7e800db886086.jpg?v=1757658303","Open")</x:f>
        <x:v>HYPERLINK is not implemented. linkLocation=https://cdn.shopify.com/s/files/1/0918/6066/4603/files/2bc7642928cf3ef092d7e800db886086.jpg?v=1757658303, friendlyName=Open</x:v>
      </x:c>
      <x:c r="C1772" s="24" t="e">
        <x:f>HYPERLINK("https://365nails.com/products/365nails-wine-jelly-ombre-with-gold-frames-ripple-sculpt-almond-press-ons","365Nails Wine Jelly Ombre with Gold Frames &amp; Ripple Sculpt Almond Press-Ons")</x:f>
        <x:v>HYPERLINK is not implemented. linkLocation=https://365nails.com/products/365nails-wine-jelly-ombre-with-gold-frames-ripple-sculpt-almond-press-ons, friendlyName=365Nails Wine Jelly Ombre with Gold Frames &amp; Ripple Sculpt Almond Press-Ons</x:v>
      </x:c>
      <x:c r="D1772" s="18" t="str">
        <x:v>Size: XS / S / M / L</x:v>
      </x:c>
      <x:c r="E1772" s="25" t="str">
        <x:v>$4.49</x:v>
      </x:c>
      <x:c r="F1772" s="19" t="str">
        <x:v>30</x:v>
      </x:c>
    </x:row>
    <x:row r="1773" ht="93" customHeight="1">
      <x:c r="A1773" s="19" t="n">
        <x:v>1770</x:v>
      </x:c>
      <x:c r="B1773" s="22" t="e">
        <x:f>HYPERLINK("https://cdn.shopify.com/s/files/1/0918/6066/4603/files/2895a59f65c9bf2ae9532d29e99d529d.jpg?v=1757658490","Open")</x:f>
        <x:v>HYPERLINK is not implemented. linkLocation=https://cdn.shopify.com/s/files/1/0918/6066/4603/files/2895a59f65c9bf2ae9532d29e99d529d.jpg?v=1757658490, friendlyName=Open</x:v>
      </x:c>
      <x:c r="C1773" s="24" t="e">
        <x:f>HYPERLINK("https://365nails.com/products/365nails-nude-almond-mix-with-leopard-3d-floral-gold-chain-french-tips","Wild Bloom Charm Series Press-On Nails ( MOQ=5pcs )")</x:f>
        <x:v>HYPERLINK is not implemented. linkLocation=https://365nails.com/products/365nails-nude-almond-mix-with-leopard-3d-floral-gold-chain-french-tips, friendlyName=Wild Bloom Charm Series Press-On Nails ( MOQ=5pcs )</x:v>
      </x:c>
      <x:c r="D1773" s="18" t="str">
        <x:v>Size: XS / S / M / L; Quantity: 5 pcs</x:v>
      </x:c>
      <x:c r="E1773" s="25" t="str">
        <x:v>$5.99</x:v>
      </x:c>
      <x:c r="F1773" s="19" t="str">
        <x:v>30</x:v>
      </x:c>
    </x:row>
    <x:row r="1774" ht="93" customHeight="1">
      <x:c r="A1774" s="19" t="n">
        <x:v>1771</x:v>
      </x:c>
      <x:c r="B1774" s="22" t="e">
        <x:f>HYPERLINK("https://cdn.shopify.com/s/files/1/0918/6066/4603/files/c6ac7e16ac7c95dccc5eaac5d1a65221.jpg?v=1757658689","Open")</x:f>
        <x:v>HYPERLINK is not implemented. linkLocation=https://cdn.shopify.com/s/files/1/0918/6066/4603/files/c6ac7e16ac7c95dccc5eaac5d1a65221.jpg?v=1757658689, friendlyName=Open</x:v>
      </x:c>
      <x:c r="C1774" s="24" t="e">
        <x:f>HYPERLINK("https://365nails.com/products/365nails-moonlight-grey-almond-with-silver-stars","Celestial Glow Series Press-On Nails ( MOQ=5pcs )")</x:f>
        <x:v>HYPERLINK is not implemented. linkLocation=https://365nails.com/products/365nails-moonlight-grey-almond-with-silver-stars, friendlyName=Celestial Glow Series Press-On Nails ( MOQ=5pcs )</x:v>
      </x:c>
      <x:c r="D1774" s="18" t="str">
        <x:v>Size: XS / S / M / L; Quantity: 5 pcs</x:v>
      </x:c>
      <x:c r="E1774" s="25" t="str">
        <x:v>$4.19</x:v>
      </x:c>
      <x:c r="F1774" s="19" t="str">
        <x:v>30</x:v>
      </x:c>
    </x:row>
    <x:row r="1775" ht="93" customHeight="1">
      <x:c r="A1775" s="19" t="n">
        <x:v>1772</x:v>
      </x:c>
      <x:c r="B1775" s="22" t="e">
        <x:f>HYPERLINK("https://cdn.shopify.com/s/files/1/0918/6066/4603/files/dbe1120f66d885ce742042cb946f5501.jpg?v=1757921482","Open")</x:f>
        <x:v>HYPERLINK is not implemented. linkLocation=https://cdn.shopify.com/s/files/1/0918/6066/4603/files/dbe1120f66d885ce742042cb946f5501.jpg?v=1757921482, friendlyName=Open</x:v>
      </x:c>
      <x:c r="C1775" s="24" t="e">
        <x:f>HYPERLINK("https://365nails.com/products/365nails-nude-base-mix-with-blue-red-gold-stars-gems-almond-press-ons","Royal Enchant Series Press-On Nails ( MOQ=5pcs )")</x:f>
        <x:v>HYPERLINK is not implemented. linkLocation=https://365nails.com/products/365nails-nude-base-mix-with-blue-red-gold-stars-gems-almond-press-ons, friendlyName=Royal Enchant Series Press-On Nails ( MOQ=5pcs )</x:v>
      </x:c>
      <x:c r="D1775" s="18" t="str">
        <x:v>Size: XS / S / M / L; Quantity: 5 pcs</x:v>
      </x:c>
      <x:c r="E1775" s="25" t="str">
        <x:v>$5.99</x:v>
      </x:c>
      <x:c r="F1775" s="19" t="str">
        <x:v>30</x:v>
      </x:c>
    </x:row>
    <x:row r="1776" ht="93" customHeight="1">
      <x:c r="A1776" s="19" t="n">
        <x:v>1773</x:v>
      </x:c>
      <x:c r="B1776" s="22" t="e">
        <x:f>HYPERLINK("https://cdn.shopify.com/s/files/1/0918/6066/4603/files/038f474e9ff8d192116d6414d9aecc14.jpg?v=1757659031","Open")</x:f>
        <x:v>HYPERLINK is not implemented. linkLocation=https://cdn.shopify.com/s/files/1/0918/6066/4603/files/038f474e9ff8d192116d6414d9aecc14.jpg?v=1757659031, friendlyName=Open</x:v>
      </x:c>
      <x:c r="C1776" s="24" t="e">
        <x:f>HYPERLINK("https://365nails.com/products/365nails-nude-base-butter-yellow-french-with-hand-painted-florals-almond-press-ons","Soft Bloom Series Press-On Nails ( MOQ=5pcs )")</x:f>
        <x:v>HYPERLINK is not implemented. linkLocation=https://365nails.com/products/365nails-nude-base-butter-yellow-french-with-hand-painted-florals-almond-press-ons, friendlyName=Soft Bloom Series Press-On Nails ( MOQ=5pcs )</x:v>
      </x:c>
      <x:c r="D1776" s="18" t="str">
        <x:v>Size: XS / S / M / L; Quantity: 5 pcs</x:v>
      </x:c>
      <x:c r="E1776" s="25" t="str">
        <x:v>$5.39</x:v>
      </x:c>
      <x:c r="F1776" s="19" t="str">
        <x:v>30</x:v>
      </x:c>
    </x:row>
    <x:row r="1777" ht="93" customHeight="1">
      <x:c r="A1777" s="19" t="n">
        <x:v>1774</x:v>
      </x:c>
      <x:c r="B1777" s="22" t="e">
        <x:f>HYPERLINK("https://cdn.shopify.com/s/files/1/0918/6066/4603/files/fd1ccec2f1e94e7c1b33c78cdfe87a48_42b1985f-948b-47ee-9ccc-4e19a91d5fdc.jpg?v=1757659521","Open")</x:f>
        <x:v>HYPERLINK is not implemented. linkLocation=https://cdn.shopify.com/s/files/1/0918/6066/4603/files/fd1ccec2f1e94e7c1b33c78cdfe87a48_42b1985f-948b-47ee-9ccc-4e19a91d5fdc.jpg?v=1757659521, friendlyName=Open</x:v>
      </x:c>
      <x:c r="C1777" s="24" t="e">
        <x:f>HYPERLINK("https://365nails.com/products/365nails-wine-red-glossy-short-square-press-ons","Crimson Charm Series Press-On Nails ( MOQ=5pcs )")</x:f>
        <x:v>HYPERLINK is not implemented. linkLocation=https://365nails.com/products/365nails-wine-red-glossy-short-square-press-ons, friendlyName=Crimson Charm Series Press-On Nails ( MOQ=5pcs )</x:v>
      </x:c>
      <x:c r="D1777" s="18" t="str">
        <x:v>Size: XS / S / M / L; Quantity: 5 pcs</x:v>
      </x:c>
      <x:c r="E1777" s="25" t="str">
        <x:v>$3.59</x:v>
      </x:c>
      <x:c r="F1777" s="19" t="str">
        <x:v>30</x:v>
      </x:c>
    </x:row>
    <x:row r="1778" ht="93" customHeight="1">
      <x:c r="A1778" s="19" t="n">
        <x:v>1775</x:v>
      </x:c>
      <x:c r="B1778" s="22" t="e">
        <x:f>HYPERLINK("https://cdn.shopify.com/s/files/1/0918/6066/4603/files/0b944f04caf7ad2313fabe1390803b59.jpg?v=1757659752","Open")</x:f>
        <x:v>HYPERLINK is not implemented. linkLocation=https://cdn.shopify.com/s/files/1/0918/6066/4603/files/0b944f04caf7ad2313fabe1390803b59.jpg?v=1757659752, friendlyName=Open</x:v>
      </x:c>
      <x:c r="C1778" s="24" t="e">
        <x:f>HYPERLINK("https://365nails.com/products/365nails-nude-base-green-brown-mix-leopard-floral-almond-press-ons","Autumn Muse Series Press-On Nails ( MOQ=5pcs )")</x:f>
        <x:v>HYPERLINK is not implemented. linkLocation=https://365nails.com/products/365nails-nude-base-green-brown-mix-leopard-floral-almond-press-ons, friendlyName=Autumn Muse Series Press-On Nails ( MOQ=5pcs )</x:v>
      </x:c>
      <x:c r="D1778" s="18" t="str">
        <x:v>Size: XS / S / M / L; Quantity: 5 pcs</x:v>
      </x:c>
      <x:c r="E1778" s="25" t="str">
        <x:v>$5.99</x:v>
      </x:c>
      <x:c r="F1778" s="19" t="str">
        <x:v>30</x:v>
      </x:c>
    </x:row>
    <x:row r="1779" ht="93" customHeight="1">
      <x:c r="A1779" s="19" t="n">
        <x:v>1776</x:v>
      </x:c>
      <x:c r="B1779" s="22" t="e">
        <x:f>HYPERLINK("https://cdn.shopify.com/s/files/1/0918/6066/4603/files/00c8410ec9e59b48b1c733e201a216f8.jpg?v=1757660208","Open")</x:f>
        <x:v>HYPERLINK is not implemented. linkLocation=https://cdn.shopify.com/s/files/1/0918/6066/4603/files/00c8410ec9e59b48b1c733e201a216f8.jpg?v=1757660208, friendlyName=Open</x:v>
      </x:c>
      <x:c r="C1779" s="24" t="e">
        <x:f>HYPERLINK("https://365nails.com/products/365nails-nude-base-red-gradient-with-tortoiseshell-cherry-and-floral-stiletto-almond-press-ons","Cherry Bloom Series Press-On Nails ( MOQ=5pcs )")</x:f>
        <x:v>HYPERLINK is not implemented. linkLocation=https://365nails.com/products/365nails-nude-base-red-gradient-with-tortoiseshell-cherry-and-floral-stiletto-almond-press-ons, friendlyName=Cherry Bloom Series Press-On Nails ( MOQ=5pcs )</x:v>
      </x:c>
      <x:c r="D1779" s="18" t="str">
        <x:v>Size: XS / S / M / L; Quantity: 5 pcs</x:v>
      </x:c>
      <x:c r="E1779" s="25" t="str">
        <x:v>$5.99</x:v>
      </x:c>
      <x:c r="F1779" s="19" t="str">
        <x:v>30</x:v>
      </x:c>
    </x:row>
    <x:row r="1780" ht="93" customHeight="1">
      <x:c r="A1780" s="19" t="n">
        <x:v>1777</x:v>
      </x:c>
      <x:c r="B1780" s="22" t="e">
        <x:f>HYPERLINK("https://cdn.shopify.com/s/files/1/0918/6066/4603/files/f782cf789be991ef6a05a58ff2a41546.jpg?v=1757659926","Open")</x:f>
        <x:v>HYPERLINK is not implemented. linkLocation=https://cdn.shopify.com/s/files/1/0918/6066/4603/files/f782cf789be991ef6a05a58ff2a41546.jpg?v=1757659926, friendlyName=Open</x:v>
      </x:c>
      <x:c r="C1780" s="24" t="e">
        <x:f>HYPERLINK("https://365nails.com/products/365nails-nude-base-color-block-candy-florals-square-press-ons","Candy Bear Series Press-On Nails ( MOQ=5pcs )")</x:f>
        <x:v>HYPERLINK is not implemented. linkLocation=https://365nails.com/products/365nails-nude-base-color-block-candy-florals-square-press-ons, friendlyName=Candy Bear Series Press-On Nails ( MOQ=5pcs )</x:v>
      </x:c>
      <x:c r="D1780" s="18" t="str">
        <x:v>Size: XS / S / M / L; Quantity: 5 pcs</x:v>
      </x:c>
      <x:c r="E1780" s="25" t="str">
        <x:v>$5.99</x:v>
      </x:c>
      <x:c r="F1780" s="19" t="str">
        <x:v>30</x:v>
      </x:c>
    </x:row>
    <x:row r="1781" ht="93" customHeight="1">
      <x:c r="A1781" s="19" t="n">
        <x:v>1778</x:v>
      </x:c>
      <x:c r="B1781" s="22" t="e">
        <x:f>HYPERLINK("https://cdn.shopify.com/s/files/1/0918/6066/4603/files/e5f0bc5d60989876908a857fb7f25c96.jpg?v=1757660382","Open")</x:f>
        <x:v>HYPERLINK is not implemented. linkLocation=https://cdn.shopify.com/s/files/1/0918/6066/4603/files/e5f0bc5d60989876908a857fb7f25c96.jpg?v=1757660382, friendlyName=Open</x:v>
      </x:c>
      <x:c r="C1781" s="24" t="e">
        <x:f>HYPERLINK("https://365nails.com/products/365nails-nude-pink-shimmer-with-shell-carving-gold-edging-and-pearls-almond-press-ons","Golden Petal Series Press-On Nails ( MOQ=5pcs )")</x:f>
        <x:v>HYPERLINK is not implemented. linkLocation=https://365nails.com/products/365nails-nude-pink-shimmer-with-shell-carving-gold-edging-and-pearls-almond-press-ons, friendlyName=Golden Petal Series Press-On Nails ( MOQ=5pcs )</x:v>
      </x:c>
      <x:c r="D1781" s="18" t="str">
        <x:v>Size: XS / S / M / L; Quantity: 5 pcs</x:v>
      </x:c>
      <x:c r="E1781" s="25" t="str">
        <x:v>$5.39</x:v>
      </x:c>
      <x:c r="F1781" s="19" t="str">
        <x:v>30</x:v>
      </x:c>
    </x:row>
    <x:row r="1782" ht="93" customHeight="1">
      <x:c r="A1782" s="19" t="n">
        <x:v>1779</x:v>
      </x:c>
      <x:c r="B1782" s="22" t="e">
        <x:f>HYPERLINK("https://cdn.shopify.com/s/files/1/0918/6066/4603/files/7bc3edf849e690f3e8f4a6f3c9b0e901.jpg?v=1757660525","Open")</x:f>
        <x:v>HYPERLINK is not implemented. linkLocation=https://cdn.shopify.com/s/files/1/0918/6066/4603/files/7bc3edf849e690f3e8f4a6f3c9b0e901.jpg?v=1757660525, friendlyName=Open</x:v>
      </x:c>
      <x:c r="C1782" s="24" t="e">
        <x:f>HYPERLINK("https://365nails.com/products/365nails-rosy-nude-base-with-silver-mirror-french-almond-press-ons","Pearl Mist Series Press-On Nails ( MOQ=5pcs )")</x:f>
        <x:v>HYPERLINK is not implemented. linkLocation=https://365nails.com/products/365nails-rosy-nude-base-with-silver-mirror-french-almond-press-ons, friendlyName=Pearl Mist Series Press-On Nails ( MOQ=5pcs )</x:v>
      </x:c>
      <x:c r="D1782" s="18" t="str">
        <x:v>Size: XS / S / M / L; Quantity: 5 pcs</x:v>
      </x:c>
      <x:c r="E1782" s="25" t="str">
        <x:v>$5.39</x:v>
      </x:c>
      <x:c r="F1782" s="19" t="str">
        <x:v>30</x:v>
      </x:c>
    </x:row>
    <x:row r="1783" ht="93" customHeight="1">
      <x:c r="A1783" s="19" t="n">
        <x:v>1780</x:v>
      </x:c>
      <x:c r="B1783" s="22" t="e">
        <x:f>HYPERLINK("https://cdn.shopify.com/s/files/1/0918/6066/4603/files/aace96d38912caff2b7d5ecf479bff8d.jpg?v=1757662007","Open")</x:f>
        <x:v>HYPERLINK is not implemented. linkLocation=https://cdn.shopify.com/s/files/1/0918/6066/4603/files/aace96d38912caff2b7d5ecf479bff8d.jpg?v=1757662007, friendlyName=Open</x:v>
      </x:c>
      <x:c r="C1783" s="24" t="e">
        <x:f>HYPERLINK("https://365nails.com/products/365nails-candy-macaron-multicolor-jelly-floral-sculpted-press-ons","Tropical Bloom Series Press-On Nails ( MOQ=5pcs )")</x:f>
        <x:v>HYPERLINK is not implemented. linkLocation=https://365nails.com/products/365nails-candy-macaron-multicolor-jelly-floral-sculpted-press-ons, friendlyName=Tropical Bloom Series Press-On Nails ( MOQ=5pcs )</x:v>
      </x:c>
      <x:c r="D1783" s="18" t="str">
        <x:v>Size: XS / S / M / L; Quantity: 5 pcs</x:v>
      </x:c>
      <x:c r="E1783" s="25" t="str">
        <x:v>$5.39</x:v>
      </x:c>
      <x:c r="F1783" s="19" t="str">
        <x:v>30</x:v>
      </x:c>
    </x:row>
    <x:row r="1784" ht="93" customHeight="1">
      <x:c r="A1784" s="19" t="n">
        <x:v>1781</x:v>
      </x:c>
      <x:c r="B1784" s="22" t="e">
        <x:f>HYPERLINK("https://cdn.shopify.com/s/files/1/0918/6066/4603/files/3b695931e5d78b56a63cae9a45d40f63.jpg?v=1757662209","Open")</x:f>
        <x:v>HYPERLINK is not implemented. linkLocation=https://cdn.shopify.com/s/files/1/0918/6066/4603/files/3b695931e5d78b56a63cae9a45d40f63.jpg?v=1757662209, friendlyName=Open</x:v>
      </x:c>
      <x:c r="C1784" s="24" t="e">
        <x:f>HYPERLINK("https://365nails.com/products/365nails-autumn-mixed-jelly-finish-with-3d-florals-and-dew-drops-press-ons","Dream Garden Series Press-On Nails ( MOQ=5pcs )")</x:f>
        <x:v>HYPERLINK is not implemented. linkLocation=https://365nails.com/products/365nails-autumn-mixed-jelly-finish-with-3d-florals-and-dew-drops-press-ons, friendlyName=Dream Garden Series Press-On Nails ( MOQ=5pcs )</x:v>
      </x:c>
      <x:c r="D1784" s="18" t="str">
        <x:v>Size: XS / S / M / L; Quantity: 5 pcs</x:v>
      </x:c>
      <x:c r="E1784" s="25" t="str">
        <x:v>$5.39</x:v>
      </x:c>
      <x:c r="F1784" s="19" t="str">
        <x:v>30</x:v>
      </x:c>
    </x:row>
    <x:row r="1785" ht="93" customHeight="1">
      <x:c r="A1785" s="19" t="n">
        <x:v>1782</x:v>
      </x:c>
      <x:c r="B1785" s="22" t="e">
        <x:f>HYPERLINK("https://cdn.shopify.com/s/files/1/0918/6066/4603/files/1e99b30daaa52d89d28cd0ae25091c69.jpg?v=1757662439","Open")</x:f>
        <x:v>HYPERLINK is not implemented. linkLocation=https://cdn.shopify.com/s/files/1/0918/6066/4603/files/1e99b30daaa52d89d28cd0ae25091c69.jpg?v=1757662439, friendlyName=Open</x:v>
      </x:c>
      <x:c r="C1785" s="24" t="e">
        <x:f>HYPERLINK("https://365nails.com/products/365nails-night-graffiti-black-base-with-ripple-rhinestones-press-ons","Midnight Graffiti Series Press-On Nails ( MOQ=5pcs )")</x:f>
        <x:v>HYPERLINK is not implemented. linkLocation=https://365nails.com/products/365nails-night-graffiti-black-base-with-ripple-rhinestones-press-ons, friendlyName=Midnight Graffiti Series Press-On Nails ( MOQ=5pcs )</x:v>
      </x:c>
      <x:c r="D1785" s="18" t="str">
        <x:v>Size: XS / S / M / L; Quantity: 5 pcs</x:v>
      </x:c>
      <x:c r="E1785" s="25" t="str">
        <x:v>$5.39</x:v>
      </x:c>
      <x:c r="F1785" s="19" t="str">
        <x:v>30</x:v>
      </x:c>
    </x:row>
    <x:row r="1786" ht="93" customHeight="1">
      <x:c r="A1786" s="19" t="n">
        <x:v>1783</x:v>
      </x:c>
      <x:c r="B1786" s="22" t="e">
        <x:f>HYPERLINK("https://cdn.shopify.com/s/files/1/0918/6066/4603/files/dbf683f9978aa6c15af93cc072e91fe0.jpg?v=1757662642","Open")</x:f>
        <x:v>HYPERLINK is not implemented. linkLocation=https://cdn.shopify.com/s/files/1/0918/6066/4603/files/dbf683f9978aa6c15af93cc072e91fe0.jpg?v=1757662642, friendlyName=Open</x:v>
      </x:c>
      <x:c r="C1786" s="24" t="e">
        <x:f>HYPERLINK("https://365nails.com/products/365nails-rose-gold-chrome-with-heart-rhinestones-luxury-long-press-ons","Crystal Desire Series Press-On Nails ( MOQ=5pcs )")</x:f>
        <x:v>HYPERLINK is not implemented. linkLocation=https://365nails.com/products/365nails-rose-gold-chrome-with-heart-rhinestones-luxury-long-press-ons, friendlyName=Crystal Desire Series Press-On Nails ( MOQ=5pcs )</x:v>
      </x:c>
      <x:c r="D1786" s="18" t="str">
        <x:v>Size: XS / S / M / L; Quantity: 5 pcs</x:v>
      </x:c>
      <x:c r="E1786" s="25" t="str">
        <x:v>$5.39</x:v>
      </x:c>
      <x:c r="F1786" s="19" t="str">
        <x:v>30</x:v>
      </x:c>
    </x:row>
    <x:row r="1787" ht="93" customHeight="1">
      <x:c r="A1787" s="19" t="n">
        <x:v>1784</x:v>
      </x:c>
      <x:c r="B1787" s="22" t="e">
        <x:f>HYPERLINK("https://cdn.shopify.com/s/files/1/0918/6066/4603/files/cc4db9a7dc91b22c740ea50c91679cac.jpg?v=1757662866","Open")</x:f>
        <x:v>HYPERLINK is not implemented. linkLocation=https://cdn.shopify.com/s/files/1/0918/6066/4603/files/cc4db9a7dc91b22c740ea50c91679cac.jpg?v=1757662866, friendlyName=Open</x:v>
      </x:c>
      <x:c r="C1787" s="24" t="e">
        <x:f>HYPERLINK("https://365nails.com/products/365nails-icy-blue-jelly-with-metal-bubble-accents-press-ons","Futuristic Gem Series Press-On Nails ( MOQ=5pcs )")</x:f>
        <x:v>HYPERLINK is not implemented. linkLocation=https://365nails.com/products/365nails-icy-blue-jelly-with-metal-bubble-accents-press-ons, friendlyName=Futuristic Gem Series Press-On Nails ( MOQ=5pcs )</x:v>
      </x:c>
      <x:c r="D1787" s="18" t="str">
        <x:v>Size: XS / S / M / L; Quantity: 5 pcs</x:v>
      </x:c>
      <x:c r="E1787" s="25" t="str">
        <x:v>$5.39</x:v>
      </x:c>
      <x:c r="F1787" s="19" t="str">
        <x:v>30</x:v>
      </x:c>
    </x:row>
    <x:row r="1788" ht="93" customHeight="1">
      <x:c r="A1788" s="19" t="n">
        <x:v>1785</x:v>
      </x:c>
      <x:c r="B1788" s="22" t="e">
        <x:f>HYPERLINK("https://cdn.shopify.com/s/files/1/0918/6066/4603/files/1cbf027cc7e91af74d8c83a08cfbe703.jpg?v=1757663081","Open")</x:f>
        <x:v>HYPERLINK is not implemented. linkLocation=https://cdn.shopify.com/s/files/1/0918/6066/4603/files/1cbf027cc7e91af74d8c83a08cfbe703.jpg?v=1757663081, friendlyName=Open</x:v>
      </x:c>
      <x:c r="C1788" s="24" t="e">
        <x:f>HYPERLINK("https://365nails.com/products/365nails-latte-nude-and-gold-luxury-gemstone-press-ons","Golden Noir Series Press-On Nails ( MOQ=5pcs )")</x:f>
        <x:v>HYPERLINK is not implemented. linkLocation=https://365nails.com/products/365nails-latte-nude-and-gold-luxury-gemstone-press-ons, friendlyName=Golden Noir Series Press-On Nails ( MOQ=5pcs )</x:v>
      </x:c>
      <x:c r="D1788" s="18" t="str">
        <x:v>Size: XS / S / M / L; Quantity: 5 pcs</x:v>
      </x:c>
      <x:c r="E1788" s="25" t="str">
        <x:v>$5.39</x:v>
      </x:c>
      <x:c r="F1788" s="19" t="str">
        <x:v>30</x:v>
      </x:c>
    </x:row>
    <x:row r="1789" ht="93" customHeight="1">
      <x:c r="A1789" s="19" t="n">
        <x:v>1786</x:v>
      </x:c>
      <x:c r="B1789" s="22" t="e">
        <x:f>HYPERLINK("https://cdn.shopify.com/s/files/1/0918/6066/4603/files/10f6951ed6148cc46639d9b05af4c622.jpg?v=1757663336","Open")</x:f>
        <x:v>HYPERLINK is not implemented. linkLocation=https://cdn.shopify.com/s/files/1/0918/6066/4603/files/10f6951ed6148cc46639d9b05af4c622.jpg?v=1757663336, friendlyName=Open</x:v>
      </x:c>
      <x:c r="C1789" s="24" t="e">
        <x:f>HYPERLINK("https://365nails.com/products/365nails-cool-grey-ombre-with-metallic-chain-futuristic-press-ons","Galactic Chrome Series Press-On Nails ( MOQ=5pcs )")</x:f>
        <x:v>HYPERLINK is not implemented. linkLocation=https://365nails.com/products/365nails-cool-grey-ombre-with-metallic-chain-futuristic-press-ons, friendlyName=Galactic Chrome Series Press-On Nails ( MOQ=5pcs )</x:v>
      </x:c>
      <x:c r="D1789" s="18" t="str">
        <x:v>Size: XS / S / M / L; Quantity: 5 pcs</x:v>
      </x:c>
      <x:c r="E1789" s="25" t="str">
        <x:v>$5.39</x:v>
      </x:c>
      <x:c r="F1789" s="19" t="str">
        <x:v>30</x:v>
      </x:c>
    </x:row>
    <x:row r="1790" ht="93" customHeight="1">
      <x:c r="A1790" s="19" t="n">
        <x:v>1787</x:v>
      </x:c>
      <x:c r="B1790" s="22" t="e">
        <x:f>HYPERLINK("https://cdn.shopify.com/s/files/1/0918/6066/4603/files/c794f17fa71d47afeade6428c3d4e929.jpg?v=1757664008","Open")</x:f>
        <x:v>HYPERLINK is not implemented. linkLocation=https://cdn.shopify.com/s/files/1/0918/6066/4603/files/c794f17fa71d47afeade6428c3d4e929.jpg?v=1757664008, friendlyName=Open</x:v>
      </x:c>
      <x:c r="C1790" s="24" t="e">
        <x:f>HYPERLINK("https://365nails.com/products/365nails-milky-apricot-jelly-with-shell-carving-and-mini-rhinestones-press-ons","Seashell Whisper Series Press-On Nails ( MOQ=5pcs )")</x:f>
        <x:v>HYPERLINK is not implemented. linkLocation=https://365nails.com/products/365nails-milky-apricot-jelly-with-shell-carving-and-mini-rhinestones-press-ons, friendlyName=Seashell Whisper Series Press-On Nails ( MOQ=5pcs )</x:v>
      </x:c>
      <x:c r="D1790" s="18" t="str">
        <x:v>Size: XS / S / M / L; Quantity: 5 pcs</x:v>
      </x:c>
      <x:c r="E1790" s="25" t="str">
        <x:v>$5.39</x:v>
      </x:c>
      <x:c r="F1790" s="19" t="str">
        <x:v>30</x:v>
      </x:c>
    </x:row>
    <x:row r="1791" ht="93" customHeight="1">
      <x:c r="A1791" s="19" t="n">
        <x:v>1788</x:v>
      </x:c>
      <x:c r="B1791" s="22" t="e">
        <x:f>HYPERLINK("https://cdn.shopify.com/s/files/1/0918/6066/4603/files/d72f3883af20a2872e8f02b2275c772d.jpg?v=1757664148","Open")</x:f>
        <x:v>HYPERLINK is not implemented. linkLocation=https://cdn.shopify.com/s/files/1/0918/6066/4603/files/d72f3883af20a2872e8f02b2275c772d.jpg?v=1757664148, friendlyName=Open</x:v>
      </x:c>
      <x:c r="C1791" s="24" t="e">
        <x:f>HYPERLINK("https://365nails.com/products/365nails-latte-leopard-with-metallic-swirl-french-press-ons","Golden Sandwave Series Press-On Nails ( MOQ=5pcs )")</x:f>
        <x:v>HYPERLINK is not implemented. linkLocation=https://365nails.com/products/365nails-latte-leopard-with-metallic-swirl-french-press-ons, friendlyName=Golden Sandwave Series Press-On Nails ( MOQ=5pcs )</x:v>
      </x:c>
      <x:c r="D1791" s="18" t="str">
        <x:v>Size: XS / S / M / L; Quantity: 5 pcs</x:v>
      </x:c>
      <x:c r="E1791" s="25" t="str">
        <x:v>$5.39</x:v>
      </x:c>
      <x:c r="F1791" s="19" t="str">
        <x:v>30</x:v>
      </x:c>
    </x:row>
    <x:row r="1792" ht="93" customHeight="1">
      <x:c r="A1792" s="19" t="n">
        <x:v>1789</x:v>
      </x:c>
      <x:c r="B1792" s="22" t="e">
        <x:f>HYPERLINK("https://cdn.shopify.com/s/files/1/0918/6066/4603/files/c5f1d0efafd0bf92367b1f94976c45da.jpg?v=1757664434","Open")</x:f>
        <x:v>HYPERLINK is not implemented. linkLocation=https://cdn.shopify.com/s/files/1/0918/6066/4603/files/c5f1d0efafd0bf92367b1f94976c45da.jpg?v=1757664434, friendlyName=Open</x:v>
      </x:c>
      <x:c r="C1792" s="24" t="e">
        <x:f>HYPERLINK("https://365nails.com/products/365nails-full-crystal-rhinestone-bling-long-press-ons","Diamond Galaxy Series Press-On Nails ( MOQ=5pcs )")</x:f>
        <x:v>HYPERLINK is not implemented. linkLocation=https://365nails.com/products/365nails-full-crystal-rhinestone-bling-long-press-ons, friendlyName=Diamond Galaxy Series Press-On Nails ( MOQ=5pcs )</x:v>
      </x:c>
      <x:c r="D1792" s="18" t="str">
        <x:v>Size: XS / S / M / L; Quantity: 5 pcs</x:v>
      </x:c>
      <x:c r="E1792" s="25" t="str">
        <x:v>$5.39</x:v>
      </x:c>
      <x:c r="F1792" s="19" t="str">
        <x:v>30</x:v>
      </x:c>
    </x:row>
    <x:row r="1793" ht="93" customHeight="1">
      <x:c r="A1793" s="19" t="n">
        <x:v>1790</x:v>
      </x:c>
      <x:c r="B1793" s="22" t="e">
        <x:f>HYPERLINK("https://cdn.shopify.com/s/files/1/0918/6066/4603/files/8fc802080dfc40e1cc90721326f3c9b2.jpg?v=1757664714","Open")</x:f>
        <x:v>HYPERLINK is not implemented. linkLocation=https://cdn.shopify.com/s/files/1/0918/6066/4603/files/8fc802080dfc40e1cc90721326f3c9b2.jpg?v=1757664714, friendlyName=Open</x:v>
      </x:c>
      <x:c r="C1793" s="24" t="e">
        <x:f>HYPERLINK("https://365nails.com/products/365nails-icy-blue-french-with-jelly-blossom-and-rhinestones-press-ons","Blossom Dream Series Press-On Nails ( MOQ=5pcs )")</x:f>
        <x:v>HYPERLINK is not implemented. linkLocation=https://365nails.com/products/365nails-icy-blue-french-with-jelly-blossom-and-rhinestones-press-ons, friendlyName=Blossom Dream Series Press-On Nails ( MOQ=5pcs )</x:v>
      </x:c>
      <x:c r="D1793" s="18" t="str">
        <x:v>Size: XS / S / M / L; Quantity: 5 pcs</x:v>
      </x:c>
      <x:c r="E1793" s="25" t="str">
        <x:v>$5.39</x:v>
      </x:c>
      <x:c r="F1793" s="19" t="str">
        <x:v>30</x:v>
      </x:c>
    </x:row>
    <x:row r="1794" ht="93" customHeight="1">
      <x:c r="A1794" s="19" t="n">
        <x:v>1791</x:v>
      </x:c>
      <x:c r="B1794" s="22" t="e">
        <x:f>HYPERLINK("https://cdn.shopify.com/s/files/1/0918/6066/4603/files/4ee4ce1bcf2990fb6ca133583ce36682.jpg?v=1757664953","Open")</x:f>
        <x:v>HYPERLINK is not implemented. linkLocation=https://cdn.shopify.com/s/files/1/0918/6066/4603/files/4ee4ce1bcf2990fb6ca133583ce36682.jpg?v=1757664953, friendlyName=Open</x:v>
      </x:c>
      <x:c r="C1794" s="24" t="e">
        <x:f>HYPERLINK("https://365nails.com/products/365nails-smoky-pink-with-black-tulle-fan-and-v-french-rhinestone-press-ons","Midnight Veil Series Press-On Nails ( MOQ=5pcs )")</x:f>
        <x:v>HYPERLINK is not implemented. linkLocation=https://365nails.com/products/365nails-smoky-pink-with-black-tulle-fan-and-v-french-rhinestone-press-ons, friendlyName=Midnight Veil Series Press-On Nails ( MOQ=5pcs )</x:v>
      </x:c>
      <x:c r="D1794" s="18" t="str">
        <x:v>Size: XS / S / M / L; Quantity: 5 pcs</x:v>
      </x:c>
      <x:c r="E1794" s="25" t="str">
        <x:v>$4.79</x:v>
      </x:c>
      <x:c r="F1794" s="19" t="str">
        <x:v>30</x:v>
      </x:c>
    </x:row>
    <x:row r="1795" ht="93" customHeight="1">
      <x:c r="A1795" s="19" t="n">
        <x:v>1792</x:v>
      </x:c>
      <x:c r="B1795" s="22" t="e">
        <x:f>HYPERLINK("https://cdn.shopify.com/s/files/1/0918/6066/4603/files/efdb5223470886ce260e20de754355f2_1a9b30c5-52f5-4cfa-82db-57b07e7ad815.jpg?v=1758007124","Open")</x:f>
        <x:v>HYPERLINK is not implemented. linkLocation=https://cdn.shopify.com/s/files/1/0918/6066/4603/files/efdb5223470886ce260e20de754355f2_1a9b30c5-52f5-4cfa-82db-57b07e7ad815.jpg?v=1758007124, friendlyName=Open</x:v>
      </x:c>
      <x:c r="C1795" s="24" t="e">
        <x:f>HYPERLINK("https://365nails.com/products/365nails-ruby-full-rhinestone-bouquet-long-press-ons","Crimson Queen Series Press-On Nails ( MOQ=5pcs )")</x:f>
        <x:v>HYPERLINK is not implemented. linkLocation=https://365nails.com/products/365nails-ruby-full-rhinestone-bouquet-long-press-ons, friendlyName=Crimson Queen Series Press-On Nails ( MOQ=5pcs )</x:v>
      </x:c>
      <x:c r="D1795" s="18" t="str">
        <x:v>Size: XS / S / M / L; Quantity: 5 pcs</x:v>
      </x:c>
      <x:c r="E1795" s="25" t="str">
        <x:v>$5.39</x:v>
      </x:c>
      <x:c r="F1795" s="19" t="str">
        <x:v>30</x:v>
      </x:c>
    </x:row>
    <x:row r="1796" ht="93" customHeight="1">
      <x:c r="A1796" s="19" t="n">
        <x:v>1793</x:v>
      </x:c>
      <x:c r="B1796" s="22" t="e">
        <x:f>HYPERLINK("https://cdn.shopify.com/s/files/1/0918/6066/4603/files/f2f28da75bf85c8b8f8fb62e07778912.jpg?v=1757665819","Open")</x:f>
        <x:v>HYPERLINK is not implemented. linkLocation=https://cdn.shopify.com/s/files/1/0918/6066/4603/files/f2f28da75bf85c8b8f8fb62e07778912.jpg?v=1757665819, friendlyName=Open</x:v>
      </x:c>
      <x:c r="C1796" s="24" t="e">
        <x:f>HYPERLINK("https://365nails.com/products/365nails-mixed-animal-print-with-metal-rings-wild-chic-press-ons","Wild Ecstasy Series Press-On Nails ( MOQ=5pcs )")</x:f>
        <x:v>HYPERLINK is not implemented. linkLocation=https://365nails.com/products/365nails-mixed-animal-print-with-metal-rings-wild-chic-press-ons, friendlyName=Wild Ecstasy Series Press-On Nails ( MOQ=5pcs )</x:v>
      </x:c>
      <x:c r="D1796" s="18" t="str">
        <x:v>Size: XS / S / M / L; Quantity: 5 pcs</x:v>
      </x:c>
      <x:c r="E1796" s="25" t="str">
        <x:v>$5.39</x:v>
      </x:c>
      <x:c r="F1796" s="19" t="str">
        <x:v>30</x:v>
      </x:c>
    </x:row>
    <x:row r="1797" ht="93" customHeight="1">
      <x:c r="A1797" s="19" t="n">
        <x:v>1794</x:v>
      </x:c>
      <x:c r="B1797" s="22" t="e">
        <x:f>HYPERLINK("https://cdn.shopify.com/s/files/1/0918/6066/4603/files/cbe33ae38849406a8e99a84db285054f.jpg?v=1757666036","Open")</x:f>
        <x:v>HYPERLINK is not implemented. linkLocation=https://cdn.shopify.com/s/files/1/0918/6066/4603/files/cbe33ae38849406a8e99a84db285054f.jpg?v=1757666036, friendlyName=Open</x:v>
      </x:c>
      <x:c r="C1797" s="24" t="e">
        <x:f>HYPERLINK("https://365nails.com/products/365nails-nude-pink-jelly-with-pearl-scallop-sweet-press-ons","Pearl Blossom Series Press-On Nails ( MOQ=5pcs )")</x:f>
        <x:v>HYPERLINK is not implemented. linkLocation=https://365nails.com/products/365nails-nude-pink-jelly-with-pearl-scallop-sweet-press-ons, friendlyName=Pearl Blossom Series Press-On Nails ( MOQ=5pcs )</x:v>
      </x:c>
      <x:c r="D1797" s="18" t="str">
        <x:v>Size: XS / S / M / L; Quantity: 5 pcs</x:v>
      </x:c>
      <x:c r="E1797" s="25" t="str">
        <x:v>$5.39</x:v>
      </x:c>
      <x:c r="F1797" s="19" t="str">
        <x:v>30</x:v>
      </x:c>
    </x:row>
    <x:row r="1798" ht="93" customHeight="1">
      <x:c r="A1798" s="19" t="n">
        <x:v>1795</x:v>
      </x:c>
      <x:c r="B1798" s="22" t="e">
        <x:f>HYPERLINK("https://cdn.shopify.com/s/files/1/0918/6066/4603/files/0d4272d392aae3964a6dad0e86f49f8e.jpg?v=1757666443","Open")</x:f>
        <x:v>HYPERLINK is not implemented. linkLocation=https://cdn.shopify.com/s/files/1/0918/6066/4603/files/0d4272d392aae3964a6dad0e86f49f8e.jpg?v=1757666443, friendlyName=Open</x:v>
      </x:c>
      <x:c r="C1798" s="24" t="e">
        <x:f>HYPERLINK("https://365nails.com/products/365nails-baby-pink-leopard-with-cherry-and-bow-press-ons","Sweet Charm Series Press-On Nails ( MOQ=5pcs )")</x:f>
        <x:v>HYPERLINK is not implemented. linkLocation=https://365nails.com/products/365nails-baby-pink-leopard-with-cherry-and-bow-press-ons, friendlyName=Sweet Charm Series Press-On Nails ( MOQ=5pcs )</x:v>
      </x:c>
      <x:c r="D1798" s="18" t="str">
        <x:v>Size: XS / S / M / L; Quantity: 5 pcs</x:v>
      </x:c>
      <x:c r="E1798" s="25" t="str">
        <x:v>$5.39</x:v>
      </x:c>
      <x:c r="F1798" s="19" t="str">
        <x:v>30</x:v>
      </x:c>
    </x:row>
    <x:row r="1799" ht="93" customHeight="1">
      <x:c r="A1799" s="19" t="n">
        <x:v>1796</x:v>
      </x:c>
      <x:c r="B1799" s="22" t="e">
        <x:f>HYPERLINK("https://cdn.shopify.com/s/files/1/0918/6066/4603/files/94efe7813d157fdeb2da149005dadb2b_5d723c32-f8a2-4c69-b352-483ee48ea2ba.jpg?v=1757666769","Open")</x:f>
        <x:v>HYPERLINK is not implemented. linkLocation=https://cdn.shopify.com/s/files/1/0918/6066/4603/files/94efe7813d157fdeb2da149005dadb2b_5d723c32-f8a2-4c69-b352-483ee48ea2ba.jpg?v=1757666769, friendlyName=Open</x:v>
      </x:c>
      <x:c r="C1799" s="24" t="e">
        <x:f>HYPERLINK("https://365nails.com/products/365nails-black-french-with-cherry-leopard-and-mini-pearls-press-ons","Cherry Bloom Series Press-On Nails ( MOQ=5pcs )")</x:f>
        <x:v>HYPERLINK is not implemented. linkLocation=https://365nails.com/products/365nails-black-french-with-cherry-leopard-and-mini-pearls-press-ons, friendlyName=Cherry Bloom Series Press-On Nails ( MOQ=5pcs )</x:v>
      </x:c>
      <x:c r="D1799" s="18" t="str">
        <x:v>Size: XS / S / M / L; Quantity: 5 pcs</x:v>
      </x:c>
      <x:c r="E1799" s="25" t="str">
        <x:v>$5.39</x:v>
      </x:c>
      <x:c r="F1799" s="19" t="str">
        <x:v>30</x:v>
      </x:c>
    </x:row>
    <x:row r="1800" ht="93" customHeight="1">
      <x:c r="A1800" s="19" t="n">
        <x:v>1797</x:v>
      </x:c>
      <x:c r="B1800" s="22" t="e">
        <x:f>HYPERLINK("https://cdn.shopify.com/s/files/1/0918/6066/4603/files/f3f3d092c3934b9b1a35e24a4eca6b12_fa9a963f-d57b-4353-9c58-042674a0b22e.jpg?v=1758007097","Open")</x:f>
        <x:v>HYPERLINK is not implemented. linkLocation=https://cdn.shopify.com/s/files/1/0918/6066/4603/files/f3f3d092c3934b9b1a35e24a4eca6b12_fa9a963f-d57b-4353-9c58-042674a0b22e.jpg?v=1758007097, friendlyName=Open</x:v>
      </x:c>
      <x:c r="C1800" s="24" t="e">
        <x:f>HYPERLINK("https://365nails.com/products/365nails-molten-silver-amber-orange-abstract-edgy-press-ons","Galaxy Ember Series Press-On Nails ( MOQ=5pcs )")</x:f>
        <x:v>HYPERLINK is not implemented. linkLocation=https://365nails.com/products/365nails-molten-silver-amber-orange-abstract-edgy-press-ons, friendlyName=Galaxy Ember Series Press-On Nails ( MOQ=5pcs )</x:v>
      </x:c>
      <x:c r="D1800" s="18" t="str">
        <x:v>Size: XS / S / M / L; Quantity: 5 pcs</x:v>
      </x:c>
      <x:c r="E1800" s="25" t="str">
        <x:v>$5.39</x:v>
      </x:c>
      <x:c r="F1800" s="19" t="str">
        <x:v>30</x:v>
      </x:c>
    </x:row>
    <x:row r="1801" ht="93" customHeight="1">
      <x:c r="A1801" s="19" t="n">
        <x:v>1798</x:v>
      </x:c>
      <x:c r="B1801" s="22" t="e">
        <x:f>HYPERLINK("https://cdn.shopify.com/s/files/1/0918/6066/4603/files/1fb6cc9af36e8afcd3902d95ad009ff3.jpg?v=1757668259","Open")</x:f>
        <x:v>HYPERLINK is not implemented. linkLocation=https://cdn.shopify.com/s/files/1/0918/6066/4603/files/1fb6cc9af36e8afcd3902d95ad009ff3.jpg?v=1757668259, friendlyName=Open</x:v>
      </x:c>
      <x:c r="C1801" s="24" t="e">
        <x:f>HYPERLINK("https://365nails.com/products/365nails-butter-yellow-3d-bow-french-press-ons","Lemon Cream Series Press-On Nails ( MOQ=5pcs )")</x:f>
        <x:v>HYPERLINK is not implemented. linkLocation=https://365nails.com/products/365nails-butter-yellow-3d-bow-french-press-ons, friendlyName=Lemon Cream Series Press-On Nails ( MOQ=5pcs )</x:v>
      </x:c>
      <x:c r="D1801" s="18" t="str">
        <x:v>Size: XS / S / M / L; Quantity: 5 pcs</x:v>
      </x:c>
      <x:c r="E1801" s="25" t="str">
        <x:v>$4.79</x:v>
      </x:c>
      <x:c r="F1801" s="19" t="str">
        <x:v>30</x:v>
      </x:c>
    </x:row>
    <x:row r="1802" ht="93" customHeight="1">
      <x:c r="A1802" s="19" t="n">
        <x:v>1799</x:v>
      </x:c>
      <x:c r="B1802" s="22" t="e">
        <x:f>HYPERLINK("https://cdn.shopify.com/s/files/1/0918/6066/4603/files/0d53d5aea93b17209e5bc599c6d9bce3.jpg?v=1757668429","Open")</x:f>
        <x:v>HYPERLINK is not implemented. linkLocation=https://cdn.shopify.com/s/files/1/0918/6066/4603/files/0d53d5aea93b17209e5bc599c6d9bce3.jpg?v=1757668429, friendlyName=Open</x:v>
      </x:c>
      <x:c r="C1802" s="24" t="e">
        <x:f>HYPERLINK("https://365nails.com/products/365nails-sunset-jelly-florals-feather-ombre-with-pearls-press-ons","Sunset Petal Series Press-On Nails ( MOQ=5pcs )")</x:f>
        <x:v>HYPERLINK is not implemented. linkLocation=https://365nails.com/products/365nails-sunset-jelly-florals-feather-ombre-with-pearls-press-ons, friendlyName=Sunset Petal Series Press-On Nails ( MOQ=5pcs )</x:v>
      </x:c>
      <x:c r="D1802" s="18" t="str">
        <x:v>Size: XS / S / M / L; Quantity: 5 pcs</x:v>
      </x:c>
      <x:c r="E1802" s="25" t="str">
        <x:v>$5.39</x:v>
      </x:c>
      <x:c r="F1802" s="19" t="str">
        <x:v>30</x:v>
      </x:c>
    </x:row>
    <x:row r="1803" ht="93" customHeight="1">
      <x:c r="A1803" s="19" t="n">
        <x:v>1800</x:v>
      </x:c>
      <x:c r="B1803" s="22" t="e">
        <x:f>HYPERLINK("https://cdn.shopify.com/s/files/1/0918/6066/4603/files/0f7fb5aeb6bb1182db896c53055380d6.jpg?v=1757669370","Open")</x:f>
        <x:v>HYPERLINK is not implemented. linkLocation=https://cdn.shopify.com/s/files/1/0918/6066/4603/files/0f7fb5aeb6bb1182db896c53055380d6.jpg?v=1757669370, friendlyName=Open</x:v>
      </x:c>
      <x:c r="C1803" s="24" t="e">
        <x:f>HYPERLINK("https://365nails.com/products/365nails-summer-jelly-petals-ombre-with-tiny-crystals-press-ons","Sunrise Bloom Series Press-On Nails ( MOQ=5pcs )")</x:f>
        <x:v>HYPERLINK is not implemented. linkLocation=https://365nails.com/products/365nails-summer-jelly-petals-ombre-with-tiny-crystals-press-ons, friendlyName=Sunrise Bloom Series Press-On Nails ( MOQ=5pcs )</x:v>
      </x:c>
      <x:c r="D1803" s="18" t="str">
        <x:v>Size: XS / S / M / L; Quantity: 5 pcs</x:v>
      </x:c>
      <x:c r="E1803" s="25" t="str">
        <x:v>$5.39</x:v>
      </x:c>
      <x:c r="F1803" s="19" t="str">
        <x:v>30</x:v>
      </x:c>
    </x:row>
    <x:row r="1804" ht="93" customHeight="1">
      <x:c r="A1804" s="19" t="n">
        <x:v>1801</x:v>
      </x:c>
      <x:c r="B1804" s="22" t="e">
        <x:f>HYPERLINK("https://cdn.shopify.com/s/files/1/0918/6066/4603/files/adcec700a9a93261858e525ee7c5c63d.jpg?v=1757669594","Open")</x:f>
        <x:v>HYPERLINK is not implemented. linkLocation=https://cdn.shopify.com/s/files/1/0918/6066/4603/files/adcec700a9a93261858e525ee7c5c63d.jpg?v=1757669594, friendlyName=Open</x:v>
      </x:c>
      <x:c r="C1804" s="24" t="e">
        <x:f>HYPERLINK("https://365nails.com/products/365nails-blush-pink-french-with-pearl-bows-long-square-press-ons","Blushing Pearl Series Press-On Nails ( MOQ=5pcs )")</x:f>
        <x:v>HYPERLINK is not implemented. linkLocation=https://365nails.com/products/365nails-blush-pink-french-with-pearl-bows-long-square-press-ons, friendlyName=Blushing Pearl Series Press-On Nails ( MOQ=5pcs )</x:v>
      </x:c>
      <x:c r="D1804" s="18" t="str">
        <x:v>Size: XS / S / M / L; Quantity: 5 pcs</x:v>
      </x:c>
      <x:c r="E1804" s="25" t="str">
        <x:v>$5.99</x:v>
      </x:c>
      <x:c r="F1804" s="19" t="str">
        <x:v>30</x:v>
      </x:c>
    </x:row>
    <x:row r="1805" ht="93" customHeight="1">
      <x:c r="A1805" s="19" t="n">
        <x:v>1802</x:v>
      </x:c>
      <x:c r="B1805" s="22" t="e">
        <x:f>HYPERLINK("https://cdn.shopify.com/s/files/1/0918/6066/4603/files/30a7f0d9278669b8c9d357f486f04b1e_c2abbfc2-ad34-4c23-a2d8-00f9d88fde68.jpg?v=1758007071","Open")</x:f>
        <x:v>HYPERLINK is not implemented. linkLocation=https://cdn.shopify.com/s/files/1/0918/6066/4603/files/30a7f0d9278669b8c9d357f486f04b1e_c2abbfc2-ad34-4c23-a2d8-00f9d88fde68.jpg?v=1758007071, friendlyName=Open</x:v>
      </x:c>
      <x:c r="C1805" s="24" t="e">
        <x:f>HYPERLINK("https://365nails.com/products/365nails-midsummer-florals-butterflies-sprinkle-mix-press-ons","Tropical Bloom Series Press-On Nails ( MOQ=5pcs )")</x:f>
        <x:v>HYPERLINK is not implemented. linkLocation=https://365nails.com/products/365nails-midsummer-florals-butterflies-sprinkle-mix-press-ons, friendlyName=Tropical Bloom Series Press-On Nails ( MOQ=5pcs )</x:v>
      </x:c>
      <x:c r="D1805" s="18" t="str">
        <x:v>Size: XS / S / M / L; Quantity: 5 pcs</x:v>
      </x:c>
      <x:c r="E1805" s="25" t="str">
        <x:v>$5.39</x:v>
      </x:c>
      <x:c r="F1805" s="19" t="str">
        <x:v>30</x:v>
      </x:c>
    </x:row>
    <x:row r="1806" ht="93" customHeight="1">
      <x:c r="A1806" s="19" t="n">
        <x:v>1803</x:v>
      </x:c>
      <x:c r="B1806" s="22" t="e">
        <x:f>HYPERLINK("https://cdn.shopify.com/s/files/1/0918/6066/4603/files/46026a434960aac01349995fdeae8edd.jpg?v=1757670421","Open")</x:f>
        <x:v>HYPERLINK is not implemented. linkLocation=https://cdn.shopify.com/s/files/1/0918/6066/4603/files/46026a434960aac01349995fdeae8edd.jpg?v=1757670421, friendlyName=Open</x:v>
      </x:c>
      <x:c r="C1806" s="24" t="e">
        <x:f>HYPERLINK("https://365nails.com/products/365nails-sea-salt-blue-water-ripple-with-shell-pearls-press-ons","Ocean Veil Series Press-On Nails ( MOQ=5pcs )")</x:f>
        <x:v>HYPERLINK is not implemented. linkLocation=https://365nails.com/products/365nails-sea-salt-blue-water-ripple-with-shell-pearls-press-ons, friendlyName=Ocean Veil Series Press-On Nails ( MOQ=5pcs )</x:v>
      </x:c>
      <x:c r="D1806" s="18" t="str">
        <x:v>Size: XS / S / M / L; Quantity: 5 pcs</x:v>
      </x:c>
      <x:c r="E1806" s="25" t="str">
        <x:v>$4.79</x:v>
      </x:c>
      <x:c r="F1806" s="19" t="str">
        <x:v>30</x:v>
      </x:c>
    </x:row>
    <x:row r="1807" ht="93" customHeight="1">
      <x:c r="A1807" s="19" t="n">
        <x:v>1804</x:v>
      </x:c>
      <x:c r="B1807" s="22" t="e">
        <x:f>HYPERLINK("https://cdn.shopify.com/s/files/1/0918/6066/4603/files/9aca013cc79268b2c635b43a068b946b_a1215027-4bb5-458b-82a4-f796329d2390.jpg?v=1757670816","Open")</x:f>
        <x:v>HYPERLINK is not implemented. linkLocation=https://cdn.shopify.com/s/files/1/0918/6066/4603/files/9aca013cc79268b2c635b43a068b946b_a1215027-4bb5-458b-82a4-f796329d2390.jpg?v=1757670816, friendlyName=Open</x:v>
      </x:c>
      <x:c r="C1807" s="24" t="e">
        <x:f>HYPERLINK("https://365nails.com/products/365nails-forest-jelly-florals-with-leaf-sculpt-press-ons","Spring Garden Series Press-On Nails ( MOQ=5pcs )")</x:f>
        <x:v>HYPERLINK is not implemented. linkLocation=https://365nails.com/products/365nails-forest-jelly-florals-with-leaf-sculpt-press-ons, friendlyName=Spring Garden Series Press-On Nails ( MOQ=5pcs )</x:v>
      </x:c>
      <x:c r="D1807" s="18" t="str">
        <x:v>Size: XS / S / M / L; Quantity: 5 pcs</x:v>
      </x:c>
      <x:c r="E1807" s="25" t="str">
        <x:v>$5.39</x:v>
      </x:c>
      <x:c r="F1807" s="19" t="str">
        <x:v>30</x:v>
      </x:c>
    </x:row>
    <x:row r="1808" ht="93" customHeight="1">
      <x:c r="A1808" s="19" t="n">
        <x:v>1805</x:v>
      </x:c>
      <x:c r="B1808" s="22" t="e">
        <x:f>HYPERLINK("https://cdn.shopify.com/s/files/1/0918/6066/4603/files/d34dc5ac45001b31277022e95752db37.jpg?v=1757900626","Open")</x:f>
        <x:v>HYPERLINK is not implemented. linkLocation=https://cdn.shopify.com/s/files/1/0918/6066/4603/files/d34dc5ac45001b31277022e95752db37.jpg?v=1757900626, friendlyName=Open</x:v>
      </x:c>
      <x:c r="C1808" s="24" t="e">
        <x:f>HYPERLINK("https://365nails.com/products/365nails-black-white-marble-stiletto-press-on-nails-with-rhinestone-charms","Midnight Edge Series Press-On Nails ( MOQ=5pcs )")</x:f>
        <x:v>HYPERLINK is not implemented. linkLocation=https://365nails.com/products/365nails-black-white-marble-stiletto-press-on-nails-with-rhinestone-charms, friendlyName=Midnight Edge Series Press-On Nails ( MOQ=5pcs )</x:v>
      </x:c>
      <x:c r="D1808" s="18" t="str">
        <x:v>Size: XS / S / M / L; Quantity: 5 pcs</x:v>
      </x:c>
      <x:c r="E1808" s="25" t="str">
        <x:v>$5.39</x:v>
      </x:c>
      <x:c r="F1808" s="19" t="str">
        <x:v>30</x:v>
      </x:c>
    </x:row>
    <x:row r="1809" ht="93" customHeight="1">
      <x:c r="A1809" s="19" t="n">
        <x:v>1806</x:v>
      </x:c>
      <x:c r="B1809" s="22" t="e">
        <x:f>HYPERLINK("https://cdn.shopify.com/s/files/1/0918/6066/4603/files/34b7363bed57494d3da7592dd5d8df21.jpg?v=1757903981","Open")</x:f>
        <x:v>HYPERLINK is not implemented. linkLocation=https://cdn.shopify.com/s/files/1/0918/6066/4603/files/34b7363bed57494d3da7592dd5d8df21.jpg?v=1757903981, friendlyName=Open</x:v>
      </x:c>
      <x:c r="C1809" s="24" t="e">
        <x:f>HYPERLINK("https://365nails.com/products/365nails-pastel-bow-long-coffin-press-on-nails-with-pearls-and-3d-charms","Dreamy Cloud Series Press-On Nails ( MOQ=5pcs )")</x:f>
        <x:v>HYPERLINK is not implemented. linkLocation=https://365nails.com/products/365nails-pastel-bow-long-coffin-press-on-nails-with-pearls-and-3d-charms, friendlyName=Dreamy Cloud Series Press-On Nails ( MOQ=5pcs )</x:v>
      </x:c>
      <x:c r="D1809" s="18" t="str">
        <x:v>Size: XS / S / M / L; Quantity: 5 pcs</x:v>
      </x:c>
      <x:c r="E1809" s="25" t="str">
        <x:v>$5.99</x:v>
      </x:c>
      <x:c r="F1809" s="19" t="str">
        <x:v>30</x:v>
      </x:c>
    </x:row>
    <x:row r="1810" ht="93" customHeight="1">
      <x:c r="A1810" s="19" t="n">
        <x:v>1807</x:v>
      </x:c>
      <x:c r="B1810" s="22" t="e">
        <x:f>HYPERLINK("https://cdn.shopify.com/s/files/1/0918/6066/4603/files/54536d4bf893f789142f9f5be0de7ac6.jpg?v=1757904120","Open")</x:f>
        <x:v>HYPERLINK is not implemented. linkLocation=https://cdn.shopify.com/s/files/1/0918/6066/4603/files/54536d4bf893f789142f9f5be0de7ac6.jpg?v=1757904120, friendlyName=Open</x:v>
      </x:c>
      <x:c r="C1810" s="24" t="e">
        <x:f>HYPERLINK("https://365nails.com/products/365nails-iridescent-jelly-long-coffin-press-on-nails-with-3d-stars-bows-and-pearls","Starlight Dream Series Press-On Nails ( MOQ=5pcs )")</x:f>
        <x:v>HYPERLINK is not implemented. linkLocation=https://365nails.com/products/365nails-iridescent-jelly-long-coffin-press-on-nails-with-3d-stars-bows-and-pearls, friendlyName=Starlight Dream Series Press-On Nails ( MOQ=5pcs )</x:v>
      </x:c>
      <x:c r="D1810" s="18" t="str">
        <x:v>Size: XS / S / M / L; Quantity: 5 pcs</x:v>
      </x:c>
      <x:c r="E1810" s="25" t="str">
        <x:v>$5.99</x:v>
      </x:c>
      <x:c r="F1810" s="19" t="str">
        <x:v>30</x:v>
      </x:c>
    </x:row>
    <x:row r="1811" ht="93" customHeight="1">
      <x:c r="A1811" s="19" t="n">
        <x:v>1808</x:v>
      </x:c>
      <x:c r="B1811" s="22" t="e">
        <x:f>HYPERLINK("https://cdn.shopify.com/s/files/1/0918/6066/4603/files/e1ba1811b3ed1724153de7e0f099575e.jpg?v=1757904258","Open")</x:f>
        <x:v>HYPERLINK is not implemented. linkLocation=https://cdn.shopify.com/s/files/1/0918/6066/4603/files/e1ba1811b3ed1724153de7e0f099575e.jpg?v=1757904258, friendlyName=Open</x:v>
      </x:c>
      <x:c r="C1811" s="24" t="e">
        <x:f>HYPERLINK("https://365nails.com/products/365nails-denim-blue-long-coffin-press-on-nails-with-skull-charms-and-fuzzy-fringe","Denim Rebel Punk Series Press-On Nails ( MOQ=5pcs )")</x:f>
        <x:v>HYPERLINK is not implemented. linkLocation=https://365nails.com/products/365nails-denim-blue-long-coffin-press-on-nails-with-skull-charms-and-fuzzy-fringe, friendlyName=Denim Rebel Punk Series Press-On Nails ( MOQ=5pcs )</x:v>
      </x:c>
      <x:c r="D1811" s="18" t="str">
        <x:v>Size: XS / S / M / L; Quantity: 5 pcs</x:v>
      </x:c>
      <x:c r="E1811" s="25" t="str">
        <x:v>$5.99</x:v>
      </x:c>
      <x:c r="F1811" s="19" t="str">
        <x:v>30</x:v>
      </x:c>
    </x:row>
    <x:row r="1812" ht="93" customHeight="1">
      <x:c r="A1812" s="19" t="n">
        <x:v>1809</x:v>
      </x:c>
      <x:c r="B1812" s="22" t="e">
        <x:f>HYPERLINK("https://cdn.shopify.com/s/files/1/0918/6066/4603/files/ca0f0538c5021d67cf3476ab408b68e6.jpg?v=1757904450","Open")</x:f>
        <x:v>HYPERLINK is not implemented. linkLocation=https://cdn.shopify.com/s/files/1/0918/6066/4603/files/ca0f0538c5021d67cf3476ab408b68e6.jpg?v=1757904450, friendlyName=Open</x:v>
      </x:c>
      <x:c r="C1812" s="24" t="e">
        <x:f>HYPERLINK("https://365nails.com/products/365nails-galaxy-chrome-long-coffin-press-on-nails-in-black-silver","Midnight Marble Galaxy Series Press-On Nails ( MOQ=5pcs )")</x:f>
        <x:v>HYPERLINK is not implemented. linkLocation=https://365nails.com/products/365nails-galaxy-chrome-long-coffin-press-on-nails-in-black-silver, friendlyName=Midnight Marble Galaxy Series Press-On Nails ( MOQ=5pcs )</x:v>
      </x:c>
      <x:c r="D1812" s="18" t="str">
        <x:v>Size: XS / S / M / L; Quantity: 5 pcs</x:v>
      </x:c>
      <x:c r="E1812" s="25" t="str">
        <x:v>$4.19</x:v>
      </x:c>
      <x:c r="F1812" s="19" t="str">
        <x:v>30</x:v>
      </x:c>
    </x:row>
    <x:row r="1813" ht="93" customHeight="1">
      <x:c r="A1813" s="19" t="n">
        <x:v>1810</x:v>
      </x:c>
      <x:c r="B1813" s="22" t="e">
        <x:f>HYPERLINK("https://cdn.shopify.com/s/files/1/0918/6066/4603/files/ce3e2bd3282caa41118c1120e3ebe05b.jpg?v=1757904600","Open")</x:f>
        <x:v>HYPERLINK is not implemented. linkLocation=https://cdn.shopify.com/s/files/1/0918/6066/4603/files/ce3e2bd3282caa41118c1120e3ebe05b.jpg?v=1757904600, friendlyName=Open</x:v>
      </x:c>
      <x:c r="C1813" s="24" t="e">
        <x:f>HYPERLINK("https://365nails.com/products/365nails-crystal-jelly-long-stiletto-press-on-nails-in-silver-with-chains-and-gems","Frosted Chrome Galaxy Chain Series Press-On Nails ( MOQ=5pcs )")</x:f>
        <x:v>HYPERLINK is not implemented. linkLocation=https://365nails.com/products/365nails-crystal-jelly-long-stiletto-press-on-nails-in-silver-with-chains-and-gems, friendlyName=Frosted Chrome Galaxy Chain Series Press-On Nails ( MOQ=5pcs )</x:v>
      </x:c>
      <x:c r="D1813" s="18" t="str">
        <x:v>Size: XS / S / M / L; Quantity: 5 pcs</x:v>
      </x:c>
      <x:c r="E1813" s="25" t="str">
        <x:v>$5.99</x:v>
      </x:c>
      <x:c r="F1813" s="19" t="str">
        <x:v>30</x:v>
      </x:c>
    </x:row>
    <x:row r="1814" ht="93" customHeight="1">
      <x:c r="A1814" s="19" t="n">
        <x:v>1811</x:v>
      </x:c>
      <x:c r="B1814" s="22" t="e">
        <x:f>HYPERLINK("https://cdn.shopify.com/s/files/1/0918/6066/4603/files/5fe2c58210b5525a9385b891d2b4915e.jpg?v=1757904882","Open")</x:f>
        <x:v>HYPERLINK is not implemented. linkLocation=https://cdn.shopify.com/s/files/1/0918/6066/4603/files/5fe2c58210b5525a9385b891d2b4915e.jpg?v=1757904882, friendlyName=Open</x:v>
      </x:c>
      <x:c r="C1814" s="24" t="e">
        <x:f>HYPERLINK("https://365nails.com/products/365nails-sunset-ombre-long-coffin-press-on-nails-with-jelly-stars-and-dew-drops","Dreamscape Aurora Pastel Series Press-On Nails ( MOQ=5pcs )")</x:f>
        <x:v>HYPERLINK is not implemented. linkLocation=https://365nails.com/products/365nails-sunset-ombre-long-coffin-press-on-nails-with-jelly-stars-and-dew-drops, friendlyName=Dreamscape Aurora Pastel Series Press-On Nails ( MOQ=5pcs )</x:v>
      </x:c>
      <x:c r="D1814" s="18" t="str">
        <x:v>Size: XS / S / M / L; Quantity: 5 pcs</x:v>
      </x:c>
      <x:c r="E1814" s="25" t="str">
        <x:v>$4.79</x:v>
      </x:c>
      <x:c r="F1814" s="19" t="str">
        <x:v>30</x:v>
      </x:c>
    </x:row>
    <x:row r="1815" ht="93" customHeight="1">
      <x:c r="A1815" s="19" t="n">
        <x:v>1812</x:v>
      </x:c>
      <x:c r="B1815" s="22" t="e">
        <x:f>HYPERLINK("https://cdn.shopify.com/s/files/1/0918/6066/4603/files/a9dfe5cf89c2f11d451c59eb03feff7e.jpg?v=1757905093","Open")</x:f>
        <x:v>HYPERLINK is not implemented. linkLocation=https://cdn.shopify.com/s/files/1/0918/6066/4603/files/a9dfe5cf89c2f11d451c59eb03feff7e.jpg?v=1757905093, friendlyName=Open</x:v>
      </x:c>
      <x:c r="C1815" s="24" t="e">
        <x:f>HYPERLINK("https://365nails.com/products/365nails-blush-ombre-long-coffin-press-on-nails-with-pearls-and-sparkle-cuticles","Rosy Veil Crystal Lace Series Press-On Nails ( MOQ=5pcs )")</x:f>
        <x:v>HYPERLINK is not implemented. linkLocation=https://365nails.com/products/365nails-blush-ombre-long-coffin-press-on-nails-with-pearls-and-sparkle-cuticles, friendlyName=Rosy Veil Crystal Lace Series Press-On Nails ( MOQ=5pcs )</x:v>
      </x:c>
      <x:c r="D1815" s="18" t="str">
        <x:v>Size: XS / S / M / L; Quantity: 5 pcs</x:v>
      </x:c>
      <x:c r="E1815" s="25" t="str">
        <x:v>$4.19</x:v>
      </x:c>
      <x:c r="F1815" s="19" t="str">
        <x:v>30</x:v>
      </x:c>
    </x:row>
    <x:row r="1816" ht="93" customHeight="1">
      <x:c r="A1816" s="19" t="n">
        <x:v>1813</x:v>
      </x:c>
      <x:c r="B1816" s="22" t="e">
        <x:f>HYPERLINK("https://cdn.shopify.com/s/files/1/0918/6066/4603/files/213510063751576c1212150a88e51111.jpg?v=1757905225","Open")</x:f>
        <x:v>HYPERLINK is not implemented. linkLocation=https://cdn.shopify.com/s/files/1/0918/6066/4603/files/213510063751576c1212150a88e51111.jpg?v=1757905225, friendlyName=Open</x:v>
      </x:c>
      <x:c r="C1816" s="24" t="e">
        <x:f>HYPERLINK("https://365nails.com/products/365nails-neon-pop-long-almond-press-on-nails-with-star-decals-and-studs","Pop Star Galaxy Neon Series Press-On Nails ( MOQ=5pcs )")</x:f>
        <x:v>HYPERLINK is not implemented. linkLocation=https://365nails.com/products/365nails-neon-pop-long-almond-press-on-nails-with-star-decals-and-studs, friendlyName=Pop Star Galaxy Neon Series Press-On Nails ( MOQ=5pcs )</x:v>
      </x:c>
      <x:c r="D1816" s="18" t="str">
        <x:v>Size: XS / S / M / L; Quantity: 5 pcs</x:v>
      </x:c>
      <x:c r="E1816" s="25" t="str">
        <x:v>$4.79</x:v>
      </x:c>
      <x:c r="F1816" s="19" t="str">
        <x:v>30</x:v>
      </x:c>
    </x:row>
    <x:row r="1817" ht="93" customHeight="1">
      <x:c r="A1817" s="19" t="n">
        <x:v>1814</x:v>
      </x:c>
      <x:c r="B1817" s="22" t="e">
        <x:f>HYPERLINK("https://cdn.shopify.com/s/files/1/0918/6066/4603/files/8e3dcb59a963784d31e0f966ce7781a0.jpg?v=1757905359","Open")</x:f>
        <x:v>HYPERLINK is not implemented. linkLocation=https://cdn.shopify.com/s/files/1/0918/6066/4603/files/8e3dcb59a963784d31e0f966ce7781a0.jpg?v=1757905359, friendlyName=Open</x:v>
      </x:c>
      <x:c r="C1817" s="24" t="e">
        <x:f>HYPERLINK("https://365nails.com/products/365nails-honey-amber-long-coffin-press-on-nails-with-3d-dew-drops-and-mini-bottle-charms","Whiskey Amber Swirl Series Press-On Nails ( MOQ=5pcs )")</x:f>
        <x:v>HYPERLINK is not implemented. linkLocation=https://365nails.com/products/365nails-honey-amber-long-coffin-press-on-nails-with-3d-dew-drops-and-mini-bottle-charms, friendlyName=Whiskey Amber Swirl Series Press-On Nails ( MOQ=5pcs )</x:v>
      </x:c>
      <x:c r="D1817" s="18" t="str">
        <x:v>Size: XS / S / M / L; Quantity: 5 pcs</x:v>
      </x:c>
      <x:c r="E1817" s="25" t="str">
        <x:v>$5.39</x:v>
      </x:c>
      <x:c r="F1817" s="19" t="str">
        <x:v>30</x:v>
      </x:c>
    </x:row>
    <x:row r="1818" ht="93" customHeight="1">
      <x:c r="A1818" s="19" t="n">
        <x:v>1815</x:v>
      </x:c>
      <x:c r="B1818" s="22" t="e">
        <x:f>HYPERLINK("https://cdn.shopify.com/s/files/1/0918/6066/4603/files/6b6bcbc710148f93d9e41b0f78c54a09_0e6bec0f-5a01-4e3e-8c78-bb43b9aa1603.jpg?v=1758007020","Open")</x:f>
        <x:v>HYPERLINK is not implemented. linkLocation=https://cdn.shopify.com/s/files/1/0918/6066/4603/files/6b6bcbc710148f93d9e41b0f78c54a09_0e6bec0f-5a01-4e3e-8c78-bb43b9aa1603.jpg?v=1758007020, friendlyName=Open</x:v>
      </x:c>
      <x:c r="C1818" s="24" t="e">
        <x:f>HYPERLINK("https://365nails.com/products/365nails-rose-jelly-short-square-press-on-nails-with-minimal-crystals","Rose Quartz Chrome Sheen Series Press-On Nails ( MOQ=5pcs )")</x:f>
        <x:v>HYPERLINK is not implemented. linkLocation=https://365nails.com/products/365nails-rose-jelly-short-square-press-on-nails-with-minimal-crystals, friendlyName=Rose Quartz Chrome Sheen Series Press-On Nails ( MOQ=5pcs )</x:v>
      </x:c>
      <x:c r="D1818" s="18" t="str">
        <x:v>Size: XS / S / M / L; Quantity: 5 pcs</x:v>
      </x:c>
      <x:c r="E1818" s="25" t="str">
        <x:v>$4.19</x:v>
      </x:c>
      <x:c r="F1818" s="19" t="str">
        <x:v>30</x:v>
      </x:c>
    </x:row>
    <x:row r="1819" ht="93" customHeight="1">
      <x:c r="A1819" s="19" t="n">
        <x:v>1816</x:v>
      </x:c>
      <x:c r="B1819" s="22" t="e">
        <x:f>HYPERLINK("https://cdn.shopify.com/s/files/1/0918/6066/4603/files/55ddd00eeb3327f27aea243b646ca9c9.jpg?v=1757905720","Open")</x:f>
        <x:v>HYPERLINK is not implemented. linkLocation=https://cdn.shopify.com/s/files/1/0918/6066/4603/files/55ddd00eeb3327f27aea243b646ca9c9.jpg?v=1757905720, friendlyName=Open</x:v>
      </x:c>
      <x:c r="C1819" s="24" t="e">
        <x:f>HYPERLINK("https://365nails.com/products/365nails-midnight-galaxy-long-almond-press-on-nails-with-star-glitter-and-crystal-bows","Midnight Aurora Sapphire Bow Series Press-On Nails ( MOQ=5pcs )")</x:f>
        <x:v>HYPERLINK is not implemented. linkLocation=https://365nails.com/products/365nails-midnight-galaxy-long-almond-press-on-nails-with-star-glitter-and-crystal-bows, friendlyName=Midnight Aurora Sapphire Bow Series Press-On Nails ( MOQ=5pcs )</x:v>
      </x:c>
      <x:c r="D1819" s="18" t="str">
        <x:v>Size: XS / S / M / L; Quantity: 5 pcs</x:v>
      </x:c>
      <x:c r="E1819" s="25" t="str">
        <x:v>$4.79</x:v>
      </x:c>
      <x:c r="F1819" s="19" t="str">
        <x:v>30</x:v>
      </x:c>
    </x:row>
    <x:row r="1820" ht="93" customHeight="1">
      <x:c r="A1820" s="19" t="n">
        <x:v>1817</x:v>
      </x:c>
      <x:c r="B1820" s="22" t="e">
        <x:f>HYPERLINK("https://cdn.shopify.com/s/files/1/0918/6066/4603/files/bb0128f8579d21802e0c7a9351b56cec.jpg?v=1757905873","Open")</x:f>
        <x:v>HYPERLINK is not implemented. linkLocation=https://cdn.shopify.com/s/files/1/0918/6066/4603/files/bb0128f8579d21802e0c7a9351b56cec.jpg?v=1757905873, friendlyName=Open</x:v>
      </x:c>
      <x:c r="C1820" s="24" t="e">
        <x:f>HYPERLINK("https://365nails.com/products/365nails-honey-tea-long-almond-press-on-nails-with-hand-painted-blossoms-and-gold-flecks","Golden Blossom Amber Petal Series Press-On Nails ( MOQ=5pcs )")</x:f>
        <x:v>HYPERLINK is not implemented. linkLocation=https://365nails.com/products/365nails-honey-tea-long-almond-press-on-nails-with-hand-painted-blossoms-and-gold-flecks, friendlyName=Golden Blossom Amber Petal Series Press-On Nails ( MOQ=5pcs )</x:v>
      </x:c>
      <x:c r="D1820" s="18" t="str">
        <x:v>Size: XS / S / M / L; Quantity: 5 pcs</x:v>
      </x:c>
      <x:c r="E1820" s="25" t="str">
        <x:v>$4.79</x:v>
      </x:c>
      <x:c r="F1820" s="19" t="str">
        <x:v>30</x:v>
      </x:c>
    </x:row>
    <x:row r="1821" ht="93" customHeight="1">
      <x:c r="A1821" s="19" t="n">
        <x:v>1818</x:v>
      </x:c>
      <x:c r="B1821" s="22" t="e">
        <x:f>HYPERLINK("https://cdn.shopify.com/s/files/1/0918/6066/4603/files/6b4aefabfeea7ffe7f38c6b2f78ed404.jpg?v=1757906015","Open")</x:f>
        <x:v>HYPERLINK is not implemented. linkLocation=https://cdn.shopify.com/s/files/1/0918/6066/4603/files/6b4aefabfeea7ffe7f38c6b2f78ed404.jpg?v=1757906015, friendlyName=Open</x:v>
      </x:c>
      <x:c r="C1821" s="24" t="e">
        <x:f>HYPERLINK("https://365nails.com/products/365nails-nude-caramel-long-almond-press-on-nails-with-chrome-accents-and-pearl-charms","Amber Muse Pearl Gemstone Series Press-On Nails ( MOQ=5pcs )")</x:f>
        <x:v>HYPERLINK is not implemented. linkLocation=https://365nails.com/products/365nails-nude-caramel-long-almond-press-on-nails-with-chrome-accents-and-pearl-charms, friendlyName=Amber Muse Pearl Gemstone Series Press-On Nails ( MOQ=5pcs )</x:v>
      </x:c>
      <x:c r="D1821" s="18" t="str">
        <x:v>Size: XS / S / M / L; Quantity: 5 pcs</x:v>
      </x:c>
      <x:c r="E1821" s="25" t="str">
        <x:v>$5.39</x:v>
      </x:c>
      <x:c r="F1821" s="19" t="str">
        <x:v>30</x:v>
      </x:c>
    </x:row>
    <x:row r="1822" ht="93" customHeight="1">
      <x:c r="A1822" s="19" t="n">
        <x:v>1819</x:v>
      </x:c>
      <x:c r="B1822" s="22" t="e">
        <x:f>HYPERLINK("https://cdn.shopify.com/s/files/1/0918/6066/4603/files/cbfda404d396cd49fe5b6668a6adea27.jpg?v=1757906326","Open")</x:f>
        <x:v>HYPERLINK is not implemented. linkLocation=https://cdn.shopify.com/s/files/1/0918/6066/4603/files/cbfda404d396cd49fe5b6668a6adea27.jpg?v=1757906326, friendlyName=Open</x:v>
      </x:c>
      <x:c r="C1822" s="24" t="e">
        <x:f>HYPERLINK("https://365nails.com/products/365nails-crystal-frost-short-square-press-on-nails-with-silver-glitter-and-pearls","Crystal Veil Diamond Dust Series Press-On Nails ( MOQ=5pcs )")</x:f>
        <x:v>HYPERLINK is not implemented. linkLocation=https://365nails.com/products/365nails-crystal-frost-short-square-press-on-nails-with-silver-glitter-and-pearls, friendlyName=Crystal Veil Diamond Dust Series Press-On Nails ( MOQ=5pcs )</x:v>
      </x:c>
      <x:c r="D1822" s="18" t="str">
        <x:v>Size: XS / S / M / L; Quantity: 5 pcs</x:v>
      </x:c>
      <x:c r="E1822" s="25" t="str">
        <x:v>$4.79</x:v>
      </x:c>
      <x:c r="F1822" s="19" t="str">
        <x:v>30</x:v>
      </x:c>
    </x:row>
    <x:row r="1823" ht="93" customHeight="1">
      <x:c r="A1823" s="19" t="n">
        <x:v>1820</x:v>
      </x:c>
      <x:c r="B1823" s="22" t="e">
        <x:f>HYPERLINK("https://cdn.shopify.com/s/files/1/0918/6066/4603/files/572f0e96abb3e5820722845b3bf389f3.jpg?v=1757906449","Open")</x:f>
        <x:v>HYPERLINK is not implemented. linkLocation=https://cdn.shopify.com/s/files/1/0918/6066/4603/files/572f0e96abb3e5820722845b3bf389f3.jpg?v=1757906449, friendlyName=Open</x:v>
      </x:c>
      <x:c r="C1823" s="24" t="e">
        <x:f>HYPERLINK("https://365nails.com/products/365nails-blush-petal-long-almond-press-on-nails-with-3d-flowers-and-sugar-glitter","Blossom Veil 3D Sakura Petal Series Press-On Nails ( MOQ=5pcs )")</x:f>
        <x:v>HYPERLINK is not implemented. linkLocation=https://365nails.com/products/365nails-blush-petal-long-almond-press-on-nails-with-3d-flowers-and-sugar-glitter, friendlyName=Blossom Veil 3D Sakura Petal Series Press-On Nails ( MOQ=5pcs )</x:v>
      </x:c>
      <x:c r="D1823" s="18" t="str">
        <x:v>Size: XS / S / M / L; Quantity: 5 pcs</x:v>
      </x:c>
      <x:c r="E1823" s="25" t="str">
        <x:v>$5.39</x:v>
      </x:c>
      <x:c r="F1823" s="19" t="str">
        <x:v>30</x:v>
      </x:c>
    </x:row>
    <x:row r="1824" ht="93" customHeight="1">
      <x:c r="A1824" s="19" t="n">
        <x:v>1821</x:v>
      </x:c>
      <x:c r="B1824" s="22" t="e">
        <x:f>HYPERLINK("https://cdn.shopify.com/s/files/1/0918/6066/4603/files/328e300e4810ae7d599600851f929ce9.jpg?v=1758694509","Open")</x:f>
        <x:v>HYPERLINK is not implemented. linkLocation=https://cdn.shopify.com/s/files/1/0918/6066/4603/files/328e300e4810ae7d599600851f929ce9.jpg?v=1758694509, friendlyName=Open</x:v>
      </x:c>
      <x:c r="C1824" s="24" t="e">
        <x:f>HYPERLINK("https://365nails.com/products/365nails-red-gradient-almond-press-on-nails-with-gold-accents","Crimson Aura Molten Gold Gradient Series Press-On Nails ( MOQ=5pcs )")</x:f>
        <x:v>HYPERLINK is not implemented. linkLocation=https://365nails.com/products/365nails-red-gradient-almond-press-on-nails-with-gold-accents, friendlyName=Crimson Aura Molten Gold Gradient Series Press-On Nails ( MOQ=5pcs )</x:v>
      </x:c>
      <x:c r="D1824" s="18" t="str">
        <x:v>Size: XS / S / M / L; Quantity: 5 pcs</x:v>
      </x:c>
      <x:c r="E1824" s="25" t="str">
        <x:v>$5.99</x:v>
      </x:c>
      <x:c r="F1824" s="19" t="str">
        <x:v>30</x:v>
      </x:c>
    </x:row>
    <x:row r="1825" ht="93" customHeight="1">
      <x:c r="A1825" s="19" t="n">
        <x:v>1822</x:v>
      </x:c>
      <x:c r="B1825" s="22" t="e">
        <x:f>HYPERLINK("https://cdn.shopify.com/s/files/1/0918/6066/4603/files/719dec02452fdce60480efb1ea048fd5.jpg?v=1762768245","Open")</x:f>
        <x:v>HYPERLINK is not implemented. linkLocation=https://cdn.shopify.com/s/files/1/0918/6066/4603/files/719dec02452fdce60480efb1ea048fd5.jpg?v=1762768245, friendlyName=Open</x:v>
      </x:c>
      <x:c r="C1825" s="24" t="e">
        <x:f>HYPERLINK("https://365nails.com/products/nude-pink-caramel-leopard-print-3d-flowers-press-on-nail","Nude pink caramel leopard print 3D flowers press on nail")</x:f>
        <x:v>HYPERLINK is not implemented. linkLocation=https://365nails.com/products/nude-pink-caramel-leopard-print-3d-flowers-press-on-nail, friendlyName=Nude pink caramel leopard print 3D flowers press on nail</x:v>
      </x:c>
      <x:c r="D1825" s="18" t="str">
        <x:v>Size: XS / S / M / L</x:v>
      </x:c>
      <x:c r="E1825" s="25" t="str">
        <x:v>$4.49</x:v>
      </x:c>
      <x:c r="F1825" s="19" t="str">
        <x:v>30</x:v>
      </x:c>
    </x:row>
    <x:row r="1826" ht="93" customHeight="1">
      <x:c r="A1826" s="19" t="n">
        <x:v>1823</x:v>
      </x:c>
      <x:c r="B1826" s="22" t="e">
        <x:f>HYPERLINK("https://cdn.shopify.com/s/files/1/0918/6066/4603/files/ce4b02d7b7a18c67fd4f778d70ca3ba5.jpg?v=1762831683","Open")</x:f>
        <x:v>HYPERLINK is not implemented. linkLocation=https://cdn.shopify.com/s/files/1/0918/6066/4603/files/ce4b02d7b7a18c67fd4f778d70ca3ba5.jpg?v=1762831683, friendlyName=Open</x:v>
      </x:c>
      <x:c r="C1826" s="24" t="e">
        <x:f>HYPERLINK("https://365nails.com/products/nude-and-leopard-press-on-nails-with-3d-flower-and-gold-beads","Nude and Leopard Press-On Nails with 3D Flower and Gold Beads ( MOQ=5pcs )")</x:f>
        <x:v>HYPERLINK is not implemented. linkLocation=https://365nails.com/products/nude-and-leopard-press-on-nails-with-3d-flower-and-gold-beads, friendlyName=Nude and Leopard Press-On Nails with 3D Flower and Gold Beads ( MOQ=5pcs )</x:v>
      </x:c>
      <x:c r="D1826" s="18" t="str">
        <x:v>Size: XS / S / M / L; Quantity: 5pcs</x:v>
      </x:c>
      <x:c r="E1826" s="25" t="str">
        <x:v>$4.99</x:v>
      </x:c>
      <x:c r="F1826" s="19" t="str">
        <x:v>30</x:v>
      </x:c>
    </x:row>
    <x:row r="1827" ht="93" customHeight="1">
      <x:c r="A1827" s="19" t="n">
        <x:v>1824</x:v>
      </x:c>
      <x:c r="B1827" s="22" t="e">
        <x:f>HYPERLINK("https://cdn.shopify.com/s/files/1/0918/6066/4603/files/906eb45fed0430ad54bd7a4c24f5355b_3371de5f-8a18-471e-bbf3-84319473f49e.jpg?v=1762835439","Open")</x:f>
        <x:v>HYPERLINK is not implemented. linkLocation=https://cdn.shopify.com/s/files/1/0918/6066/4603/files/906eb45fed0430ad54bd7a4c24f5355b_3371de5f-8a18-471e-bbf3-84319473f49e.jpg?v=1762835439, friendlyName=Open</x:v>
      </x:c>
      <x:c r="C1827" s="24" t="e">
        <x:f>HYPERLINK("https://365nails.com/products/nude-and-blue-wave-press-on-nails-with-gold-bead-accents","Nude and Blue Wave Press-On Nails with Gold Bead Accents ( MOQ=5pcs )")</x:f>
        <x:v>HYPERLINK is not implemented. linkLocation=https://365nails.com/products/nude-and-blue-wave-press-on-nails-with-gold-bead-accents, friendlyName=Nude and Blue Wave Press-On Nails with Gold Bead Accents ( MOQ=5pcs )</x:v>
      </x:c>
      <x:c r="D1827" s="18" t="str">
        <x:v>Size: XS / S / M / L; Quantity: 5pcs</x:v>
      </x:c>
      <x:c r="E1827" s="25" t="str">
        <x:v>$4.49</x:v>
      </x:c>
      <x:c r="F1827" s="19" t="str">
        <x:v>30</x:v>
      </x:c>
    </x:row>
    <x:row r="1828" ht="93" customHeight="1">
      <x:c r="A1828" s="19" t="n">
        <x:v>1825</x:v>
      </x:c>
      <x:c r="B1828" s="22" t="e">
        <x:f>HYPERLINK("https://cdn.shopify.com/s/files/1/0918/6066/4603/files/931dc05a6c638edd4d7c065279106830_8571f4db-4634-489e-831c-8bb0ffa498e9.jpg?v=1762840024","Open")</x:f>
        <x:v>HYPERLINK is not implemented. linkLocation=https://cdn.shopify.com/s/files/1/0918/6066/4603/files/931dc05a6c638edd4d7c065279106830_8571f4db-4634-489e-831c-8bb0ffa498e9.jpg?v=1762840024, friendlyName=Open</x:v>
      </x:c>
      <x:c r="C1828" s="24" t="e">
        <x:f>HYPERLINK("https://365nails.com/products/pink-pearl-press-on-nails-with-heart-and-bow-3d-decorations","Pink Pearl Press-On Nails with Heart and Bow 3D Decorations ( MOQ=5pcs )")</x:f>
        <x:v>HYPERLINK is not implemented. linkLocation=https://365nails.com/products/pink-pearl-press-on-nails-with-heart-and-bow-3d-decorations, friendlyName=Pink Pearl Press-On Nails with Heart and Bow 3D Decorations ( MOQ=5pcs )</x:v>
      </x:c>
      <x:c r="D1828" s="18" t="str">
        <x:v>Size: XS / S / M / L; Quantity: 5pcs</x:v>
      </x:c>
      <x:c r="E1828" s="25" t="str">
        <x:v>$4.99</x:v>
      </x:c>
      <x:c r="F1828" s="19" t="str">
        <x:v>30</x:v>
      </x:c>
    </x:row>
    <x:row r="1829" ht="93" customHeight="1">
      <x:c r="A1829" s="19" t="n">
        <x:v>1826</x:v>
      </x:c>
      <x:c r="B1829" s="22" t="e">
        <x:f>HYPERLINK("https://cdn.shopify.com/s/files/1/0918/6066/4603/files/fcca5bf8660ccc14bbc1c227fcda22ad.jpg?v=1762838489","Open")</x:f>
        <x:v>HYPERLINK is not implemented. linkLocation=https://cdn.shopify.com/s/files/1/0918/6066/4603/files/fcca5bf8660ccc14bbc1c227fcda22ad.jpg?v=1762838489, friendlyName=Open</x:v>
      </x:c>
      <x:c r="C1829" s="24" t="e">
        <x:f>HYPERLINK("https://365nails.com/products/nude-and-navy-metallic-press-on-nails-with-silver-lines-and-rhinestones","Nude and Navy Metallic Press-On Nails with Silver Lines and Rhinestones ( MOQ=5pcs )")</x:f>
        <x:v>HYPERLINK is not implemented. linkLocation=https://365nails.com/products/nude-and-navy-metallic-press-on-nails-with-silver-lines-and-rhinestones, friendlyName=Nude and Navy Metallic Press-On Nails with Silver Lines and Rhinestones ( MOQ=5pcs )</x:v>
      </x:c>
      <x:c r="D1829" s="18" t="str">
        <x:v>Size: XS / S / M / L; Quantity: 5pcs</x:v>
      </x:c>
      <x:c r="E1829" s="25" t="str">
        <x:v>$4.49</x:v>
      </x:c>
      <x:c r="F1829" s="19" t="str">
        <x:v>30</x:v>
      </x:c>
    </x:row>
    <x:row r="1830" ht="93" customHeight="1">
      <x:c r="A1830" s="19" t="n">
        <x:v>1827</x:v>
      </x:c>
      <x:c r="B1830" s="22" t="e">
        <x:f>HYPERLINK("https://cdn.shopify.com/s/files/1/0918/6066/4603/files/bf8b83839fda34d29d21e9a15cec7ae4_1c3facab-b2b3-442d-bbd1-2bc5ccd0e6d1.jpg?v=1762839057","Open")</x:f>
        <x:v>HYPERLINK is not implemented. linkLocation=https://cdn.shopify.com/s/files/1/0918/6066/4603/files/bf8b83839fda34d29d21e9a15cec7ae4_1c3facab-b2b3-442d-bbd1-2bc5ccd0e6d1.jpg?v=1762839057, friendlyName=Open</x:v>
      </x:c>
      <x:c r="C1830" s="24" t="e">
        <x:f>HYPERLINK("https://365nails.com/products/pink-glitter-press-on-nails-with-silver-flames-and-star-designs","Pink Glitter Press-On Nails with Silver Flames and Star Designs ( MOQ=5pcs )")</x:f>
        <x:v>HYPERLINK is not implemented. linkLocation=https://365nails.com/products/pink-glitter-press-on-nails-with-silver-flames-and-star-designs, friendlyName=Pink Glitter Press-On Nails with Silver Flames and Star Designs ( MOQ=5pcs )</x:v>
      </x:c>
      <x:c r="D1830" s="18" t="str">
        <x:v>Size: XS / S / M / L; Quantity: 5pcs</x:v>
      </x:c>
      <x:c r="E1830" s="25" t="str">
        <x:v>$4.49</x:v>
      </x:c>
      <x:c r="F1830" s="19" t="str">
        <x:v>30</x:v>
      </x:c>
    </x:row>
    <x:row r="1831" ht="93" customHeight="1">
      <x:c r="A1831" s="19" t="n">
        <x:v>1828</x:v>
      </x:c>
      <x:c r="B1831" s="22" t="e">
        <x:f>HYPERLINK("https://cdn.shopify.com/s/files/1/0918/6066/4603/files/596f0029806d3b3f13014aeb3bf6f3f6.jpg?v=1762840297","Open")</x:f>
        <x:v>HYPERLINK is not implemented. linkLocation=https://cdn.shopify.com/s/files/1/0918/6066/4603/files/596f0029806d3b3f13014aeb3bf6f3f6.jpg?v=1762840297, friendlyName=Open</x:v>
      </x:c>
      <x:c r="C1831" s="24" t="e">
        <x:f>HYPERLINK("https://365nails.com/products/halloween-ghost-and-bat-press-on-nails","Halloween Ghost and Bat Press-On Nails ( MOQ=5pcs )")</x:f>
        <x:v>HYPERLINK is not implemented. linkLocation=https://365nails.com/products/halloween-ghost-and-bat-press-on-nails, friendlyName=Halloween Ghost and Bat Press-On Nails ( MOQ=5pcs )</x:v>
      </x:c>
      <x:c r="D1831" s="18" t="str">
        <x:v>Size: XS / S / M / L; Quantity: 5pcs</x:v>
      </x:c>
      <x:c r="E1831" s="25" t="str">
        <x:v>$4.99</x:v>
      </x:c>
      <x:c r="F1831" s="19" t="str">
        <x:v>30</x:v>
      </x:c>
    </x:row>
    <x:row r="1832" ht="93" customHeight="1">
      <x:c r="A1832" s="19" t="n">
        <x:v>1829</x:v>
      </x:c>
      <x:c r="B1832" s="22" t="e">
        <x:f>HYPERLINK("https://cdn.shopify.com/s/files/1/0918/6066/4603/files/b37461fb83cd9f4c469293664c61b226.jpg?v=1762839569","Open")</x:f>
        <x:v>HYPERLINK is not implemented. linkLocation=https://cdn.shopify.com/s/files/1/0918/6066/4603/files/b37461fb83cd9f4c469293664c61b226.jpg?v=1762839569, friendlyName=Open</x:v>
      </x:c>
      <x:c r="C1832" s="24" t="e">
        <x:f>HYPERLINK("https://365nails.com/products/nude-and-blue-3d-floral-press-on-nails-with-gold-accents","Nude and Blue 3D Floral Press-On Nails with Gold Accents ( MOQ=5pcs )")</x:f>
        <x:v>HYPERLINK is not implemented. linkLocation=https://365nails.com/products/nude-and-blue-3d-floral-press-on-nails-with-gold-accents, friendlyName=Nude and Blue 3D Floral Press-On Nails with Gold Accents ( MOQ=5pcs )</x:v>
      </x:c>
      <x:c r="D1832" s="18" t="str">
        <x:v>Size: XS / S / M / L; Quantity: 5pcs</x:v>
      </x:c>
      <x:c r="E1832" s="25" t="str">
        <x:v>$4.99</x:v>
      </x:c>
      <x:c r="F1832" s="19" t="str">
        <x:v>30</x:v>
      </x:c>
    </x:row>
    <x:row r="1833" ht="93" customHeight="1">
      <x:c r="A1833" s="19" t="n">
        <x:v>1830</x:v>
      </x:c>
      <x:c r="B1833" s="22" t="e">
        <x:f>HYPERLINK("https://cdn.shopify.com/s/files/1/0918/6066/4603/files/fa5c3917255a384425e77c01562cee6c.jpg?v=1762839924","Open")</x:f>
        <x:v>HYPERLINK is not implemented. linkLocation=https://cdn.shopify.com/s/files/1/0918/6066/4603/files/fa5c3917255a384425e77c01562cee6c.jpg?v=1762839924, friendlyName=Open</x:v>
      </x:c>
      <x:c r="C1833" s="24" t="e">
        <x:f>HYPERLINK("https://365nails.com/products/white-silver-and-brown-metallic-art-press-on-nails","White, Silver, and Brown Metallic Art Press-On Nails ( MOQ=5pcs )")</x:f>
        <x:v>HYPERLINK is not implemented. linkLocation=https://365nails.com/products/white-silver-and-brown-metallic-art-press-on-nails, friendlyName=White, Silver, and Brown Metallic Art Press-On Nails ( MOQ=5pcs )</x:v>
      </x:c>
      <x:c r="D1833" s="18" t="str">
        <x:v>Size: XS / S / M / L; Quantity: 5pcs</x:v>
      </x:c>
      <x:c r="E1833" s="25" t="str">
        <x:v>$4.49</x:v>
      </x:c>
      <x:c r="F1833" s="19" t="str">
        <x:v>30</x:v>
      </x:c>
    </x:row>
    <x:row r="1834" ht="93" customHeight="1">
      <x:c r="A1834" s="19" t="n">
        <x:v>1831</x:v>
      </x:c>
      <x:c r="B1834" s="22" t="e">
        <x:f>HYPERLINK("https://cdn.shopify.com/s/files/1/0918/6066/4603/files/736010260a17104bec6e84e41ea9836a_47b207ae-16ba-40d0-857e-3e039dadbedf.jpg?v=1762840584","Open")</x:f>
        <x:v>HYPERLINK is not implemented. linkLocation=https://cdn.shopify.com/s/files/1/0918/6066/4603/files/736010260a17104bec6e84e41ea9836a_47b207ae-16ba-40d0-857e-3e039dadbedf.jpg?v=1762840584, friendlyName=Open</x:v>
      </x:c>
      <x:c r="C1834" s="24" t="e">
        <x:f>HYPERLINK("https://365nails.com/products/colorful-3d-flower-and-doll-face-press-on-nails","Colorful 3D Flower and Doll Face Press-On Nails ( MOQ=5pcs )")</x:f>
        <x:v>HYPERLINK is not implemented. linkLocation=https://365nails.com/products/colorful-3d-flower-and-doll-face-press-on-nails, friendlyName=Colorful 3D Flower and Doll Face Press-On Nails ( MOQ=5pcs )</x:v>
      </x:c>
      <x:c r="D1834" s="18" t="str">
        <x:v>Size: XS / S / M / L; Quantity: 5pcs</x:v>
      </x:c>
      <x:c r="E1834" s="25" t="str">
        <x:v>$4.99</x:v>
      </x:c>
      <x:c r="F1834" s="19" t="str">
        <x:v>30</x:v>
      </x:c>
    </x:row>
    <x:row r="1835" ht="93" customHeight="1">
      <x:c r="A1835" s="19" t="n">
        <x:v>1832</x:v>
      </x:c>
      <x:c r="B1835" s="22" t="e">
        <x:f>HYPERLINK("https://cdn.shopify.com/s/files/1/0918/6066/4603/files/879e914f3b0228adaf138e9a9f1116d2.jpg?v=1762841044","Open")</x:f>
        <x:v>HYPERLINK is not implemented. linkLocation=https://cdn.shopify.com/s/files/1/0918/6066/4603/files/879e914f3b0228adaf138e9a9f1116d2.jpg?v=1762841044, friendlyName=Open</x:v>
      </x:c>
      <x:c r="C1835" s="24" t="e">
        <x:f>HYPERLINK("https://365nails.com/products/zebra-and-leopard-print-press-on-nails-with-gold-chains-and-3d-flowers","Zebra and Leopard Print Press-On Nails with Gold Chains and 3D Flowers ( MOQ=5pcs )")</x:f>
        <x:v>HYPERLINK is not implemented. linkLocation=https://365nails.com/products/zebra-and-leopard-print-press-on-nails-with-gold-chains-and-3d-flowers, friendlyName=Zebra and Leopard Print Press-On Nails with Gold Chains and 3D Flowers ( MOQ=5pcs )</x:v>
      </x:c>
      <x:c r="D1835" s="18" t="str">
        <x:v>Size: XS / S / M / L; Quantity: 5pcs</x:v>
      </x:c>
      <x:c r="E1835" s="25" t="str">
        <x:v>$4.99</x:v>
      </x:c>
      <x:c r="F1835" s="19" t="str">
        <x:v>30</x:v>
      </x:c>
    </x:row>
    <x:row r="1836" ht="93" customHeight="1">
      <x:c r="A1836" s="19" t="n">
        <x:v>1833</x:v>
      </x:c>
      <x:c r="B1836" s="22" t="e">
        <x:f>HYPERLINK("https://cdn.shopify.com/s/files/1/0918/6066/4603/files/49faf852279605522b9dfbdc5d59af20.jpg?v=1762841876","Open")</x:f>
        <x:v>HYPERLINK is not implemented. linkLocation=https://cdn.shopify.com/s/files/1/0918/6066/4603/files/49faf852279605522b9dfbdc5d59af20.jpg?v=1762841876, friendlyName=Open</x:v>
      </x:c>
      <x:c r="C1836" s="24" t="e">
        <x:f>HYPERLINK("https://365nails.com/products/pink-chrome-press-on-nails-with-silver-studs","Pink Chrome Press-On Nails with Silver Studs ( MOQ=5pcs )")</x:f>
        <x:v>HYPERLINK is not implemented. linkLocation=https://365nails.com/products/pink-chrome-press-on-nails-with-silver-studs, friendlyName=Pink Chrome Press-On Nails with Silver Studs ( MOQ=5pcs )</x:v>
      </x:c>
      <x:c r="D1836" s="18" t="str">
        <x:v>Size: XS / S / M / L; Quantity: 5pcs</x:v>
      </x:c>
      <x:c r="E1836" s="25" t="str">
        <x:v>$3.99</x:v>
      </x:c>
      <x:c r="F1836" s="19" t="str">
        <x:v>30</x:v>
      </x:c>
    </x:row>
    <x:row r="1837" ht="93" customHeight="1">
      <x:c r="A1837" s="19" t="n">
        <x:v>1834</x:v>
      </x:c>
      <x:c r="B1837" s="22" t="e">
        <x:f>HYPERLINK("https://cdn.shopify.com/s/files/1/0918/6066/4603/files/addf7e20748908108ab0319b0e3196cd.jpg?v=1762842149","Open")</x:f>
        <x:v>HYPERLINK is not implemented. linkLocation=https://cdn.shopify.com/s/files/1/0918/6066/4603/files/addf7e20748908108ab0319b0e3196cd.jpg?v=1762842149, friendlyName=Open</x:v>
      </x:c>
      <x:c r="C1837" s="24" t="e">
        <x:f>HYPERLINK("https://365nails.com/products/blue-and-pearl-white-press-on-nails-with-gold-accents-and-3d-wave-design","Blue and Pearl White Press-On Nails with Gold Accents and 3D Wave Design ( MOQ=5pcs )")</x:f>
        <x:v>HYPERLINK is not implemented. linkLocation=https://365nails.com/products/blue-and-pearl-white-press-on-nails-with-gold-accents-and-3d-wave-design, friendlyName=Blue and Pearl White Press-On Nails with Gold Accents and 3D Wave Design ( MOQ=5pcs )</x:v>
      </x:c>
      <x:c r="D1837" s="18" t="str">
        <x:v>Size: XS / S / M / L; Quantity: 5pcs</x:v>
      </x:c>
      <x:c r="E1837" s="25" t="str">
        <x:v>$4.99</x:v>
      </x:c>
      <x:c r="F1837" s="19" t="str">
        <x:v>30</x:v>
      </x:c>
    </x:row>
    <x:row r="1838" ht="93" customHeight="1">
      <x:c r="A1838" s="19" t="n">
        <x:v>1835</x:v>
      </x:c>
      <x:c r="B1838" s="22" t="e">
        <x:f>HYPERLINK("https://cdn.shopify.com/s/files/1/0918/6066/4603/files/6d3df35b9130927969e7dac0cd57e7e4.jpg?v=1763032226","Open")</x:f>
        <x:v>HYPERLINK is not implemented. linkLocation=https://cdn.shopify.com/s/files/1/0918/6066/4603/files/6d3df35b9130927969e7dac0cd57e7e4.jpg?v=1763032226, friendlyName=Open</x:v>
      </x:c>
      <x:c r="C1838" s="24" t="e">
        <x:f>HYPERLINK("https://365nails.com/products/nude-and-gold-cross-press-on-nails-with-3d-carved-details","Nude and Gold Cross Press-On Nails with 3D Carved Details ( MOQ=5pcs )")</x:f>
        <x:v>HYPERLINK is not implemented. linkLocation=https://365nails.com/products/nude-and-gold-cross-press-on-nails-with-3d-carved-details, friendlyName=Nude and Gold Cross Press-On Nails with 3D Carved Details ( MOQ=5pcs )</x:v>
      </x:c>
      <x:c r="D1838" s="18" t="str">
        <x:v>Size: XS / S / M / L; Quantity: 5pcs</x:v>
      </x:c>
      <x:c r="E1838" s="25" t="str">
        <x:v>$4.99</x:v>
      </x:c>
      <x:c r="F1838" s="19" t="str">
        <x:v>30</x:v>
      </x:c>
    </x:row>
    <x:row r="1839" ht="93" customHeight="1">
      <x:c r="A1839" s="19" t="n">
        <x:v>1836</x:v>
      </x:c>
      <x:c r="B1839" s="22" t="e">
        <x:f>HYPERLINK("https://cdn.shopify.com/s/files/1/0918/6066/4603/files/5b92f74c305c855c07722e63aeb9924d.jpg?v=1762842801","Open")</x:f>
        <x:v>HYPERLINK is not implemented. linkLocation=https://cdn.shopify.com/s/files/1/0918/6066/4603/files/5b92f74c305c855c07722e63aeb9924d.jpg?v=1762842801, friendlyName=Open</x:v>
      </x:c>
      <x:c r="C1839" s="24" t="e">
        <x:f>HYPERLINK("https://365nails.com/products/colorful-candy-inspired-press-on-nails-with-dots-and-fun-details","Colorful Candy-Inspired Press-On Nails with Dots and Fun Details ( MOQ=5pcs )")</x:f>
        <x:v>HYPERLINK is not implemented. linkLocation=https://365nails.com/products/colorful-candy-inspired-press-on-nails-with-dots-and-fun-details, friendlyName=Colorful Candy-Inspired Press-On Nails with Dots and Fun Details ( MOQ=5pcs )</x:v>
      </x:c>
      <x:c r="D1839" s="18" t="str">
        <x:v>Size: XS / S / M / L; Quantity: 5pcs</x:v>
      </x:c>
      <x:c r="E1839" s="25" t="str">
        <x:v>$4.49</x:v>
      </x:c>
      <x:c r="F1839" s="19" t="str">
        <x:v>30</x:v>
      </x:c>
    </x:row>
    <x:row r="1840" ht="93" customHeight="1">
      <x:c r="A1840" s="19" t="n">
        <x:v>1837</x:v>
      </x:c>
      <x:c r="B1840" s="22" t="e">
        <x:f>HYPERLINK("https://cdn.shopify.com/s/files/1/0918/6066/4603/files/26f424be8f97456804b3246df44f41fb.jpg?v=1762843115","Open")</x:f>
        <x:v>HYPERLINK is not implemented. linkLocation=https://cdn.shopify.com/s/files/1/0918/6066/4603/files/26f424be8f97456804b3246df44f41fb.jpg?v=1762843115, friendlyName=Open</x:v>
      </x:c>
      <x:c r="C1840" s="24" t="e">
        <x:f>HYPERLINK("https://365nails.com/products/pastel-pearl-and-flower-press-on-nails-with-3d-wave-design","Pastel Pearl and Flower Press-On Nails with 3D Wave Design ( MOQ=5pcs )")</x:f>
        <x:v>HYPERLINK is not implemented. linkLocation=https://365nails.com/products/pastel-pearl-and-flower-press-on-nails-with-3d-wave-design, friendlyName=Pastel Pearl and Flower Press-On Nails with 3D Wave Design ( MOQ=5pcs )</x:v>
      </x:c>
      <x:c r="D1840" s="18" t="str">
        <x:v>Size: XS / S / M / L; Quantity: 5pcs</x:v>
      </x:c>
      <x:c r="E1840" s="25" t="str">
        <x:v>$4.99</x:v>
      </x:c>
      <x:c r="F1840" s="19" t="str">
        <x:v>30</x:v>
      </x:c>
    </x:row>
    <x:row r="1841" ht="93" customHeight="1">
      <x:c r="A1841" s="19" t="n">
        <x:v>1838</x:v>
      </x:c>
      <x:c r="B1841" s="22" t="e">
        <x:f>HYPERLINK("https://cdn.shopify.com/s/files/1/0918/6066/4603/files/6d206ed9b1078e3806504164360348c9.jpg?v=1762843396","Open")</x:f>
        <x:v>HYPERLINK is not implemented. linkLocation=https://cdn.shopify.com/s/files/1/0918/6066/4603/files/6d206ed9b1078e3806504164360348c9.jpg?v=1762843396, friendlyName=Open</x:v>
      </x:c>
      <x:c r="C1841" s="24" t="e">
        <x:f>HYPERLINK("https://365nails.com/products/seashell-and-starfish-press-on-nails-with-3d-ocean-design","Seashell and Starfish Press-On Nails with 3D Ocean Design ( MOQ=5pcs )")</x:f>
        <x:v>HYPERLINK is not implemented. linkLocation=https://365nails.com/products/seashell-and-starfish-press-on-nails-with-3d-ocean-design, friendlyName=Seashell and Starfish Press-On Nails with 3D Ocean Design ( MOQ=5pcs )</x:v>
      </x:c>
      <x:c r="D1841" s="18" t="str">
        <x:v>Size: XS / S / M / L; Quantity: 5pcs</x:v>
      </x:c>
      <x:c r="E1841" s="25" t="str">
        <x:v>$4.99</x:v>
      </x:c>
      <x:c r="F1841" s="19" t="str">
        <x:v>30</x:v>
      </x:c>
    </x:row>
    <x:row r="1842" ht="93" customHeight="1">
      <x:c r="A1842" s="19" t="n">
        <x:v>1839</x:v>
      </x:c>
      <x:c r="B1842" s="22" t="e">
        <x:f>HYPERLINK("https://cdn.shopify.com/s/files/1/0918/6066/4603/files/945155eafb112a1bf39b81c0077dc3e5.jpg?v=1762843816","Open")</x:f>
        <x:v>HYPERLINK is not implemented. linkLocation=https://cdn.shopify.com/s/files/1/0918/6066/4603/files/945155eafb112a1bf39b81c0077dc3e5.jpg?v=1762843816, friendlyName=Open</x:v>
      </x:c>
      <x:c r="C1842" s="24" t="e">
        <x:f>HYPERLINK("https://365nails.com/products/pink-tentacle-and-blue-gradient-press-on-nails-with-3d-pearl-design","Pink Tentacle and Blue Gradient Press-On Nails with 3D Pearl Design ( MOQ=5pcs )")</x:f>
        <x:v>HYPERLINK is not implemented. linkLocation=https://365nails.com/products/pink-tentacle-and-blue-gradient-press-on-nails-with-3d-pearl-design, friendlyName=Pink Tentacle and Blue Gradient Press-On Nails with 3D Pearl Design ( MOQ=5pcs )</x:v>
      </x:c>
      <x:c r="D1842" s="18" t="str">
        <x:v>Size: XS / S / M / L; Quantity: 5pcs</x:v>
      </x:c>
      <x:c r="E1842" s="25" t="str">
        <x:v>$4.99</x:v>
      </x:c>
      <x:c r="F1842" s="19" t="str">
        <x:v>30</x:v>
      </x:c>
    </x:row>
    <x:row r="1843" ht="93" customHeight="1">
      <x:c r="A1843" s="19" t="n">
        <x:v>1840</x:v>
      </x:c>
      <x:c r="B1843" s="22" t="e">
        <x:f>HYPERLINK("https://cdn.shopify.com/s/files/1/0918/6066/4603/files/cf68a987bf4da17b679780c84b45e905.jpg?v=1762844659","Open")</x:f>
        <x:v>HYPERLINK is not implemented. linkLocation=https://cdn.shopify.com/s/files/1/0918/6066/4603/files/cf68a987bf4da17b679780c84b45e905.jpg?v=1762844659, friendlyName=Open</x:v>
      </x:c>
      <x:c r="C1843" s="24" t="e">
        <x:f>HYPERLINK("https://365nails.com/products/pink-gradient-3d-flower-press-on-nails-with-crystal-rhinestones","Pink Gradient 3D Flower Press-On Nails with Crystal Rhinestones ( MOQ=5pcs )")</x:f>
        <x:v>HYPERLINK is not implemented. linkLocation=https://365nails.com/products/pink-gradient-3d-flower-press-on-nails-with-crystal-rhinestones, friendlyName=Pink Gradient 3D Flower Press-On Nails with Crystal Rhinestones ( MOQ=5pcs )</x:v>
      </x:c>
      <x:c r="D1843" s="18" t="str">
        <x:v>Size: XS / S / M / L; Quantity: 5pcs</x:v>
      </x:c>
      <x:c r="E1843" s="25" t="str">
        <x:v>$4.99</x:v>
      </x:c>
      <x:c r="F1843" s="19" t="str">
        <x:v>30</x:v>
      </x:c>
    </x:row>
    <x:row r="1844" ht="93" customHeight="1">
      <x:c r="A1844" s="19" t="n">
        <x:v>1841</x:v>
      </x:c>
      <x:c r="B1844" s="22" t="e">
        <x:f>HYPERLINK("https://cdn.shopify.com/s/files/1/0918/6066/4603/files/cccdb9ef64ef15ccea415e77c53fb0c8.jpg?v=1762844900","Open")</x:f>
        <x:v>HYPERLINK is not implemented. linkLocation=https://cdn.shopify.com/s/files/1/0918/6066/4603/files/cccdb9ef64ef15ccea415e77c53fb0c8.jpg?v=1762844900, friendlyName=Open</x:v>
      </x:c>
      <x:c r="C1844" s="24" t="e">
        <x:f>HYPERLINK("https://365nails.com/products/galaxy-blue-press-on-nails-with-star-accents-and-3d-cosmic-design","Galaxy Blue Press-On Nails with Star Accents and 3D Cosmic Design ( MOQ=5pcs )")</x:f>
        <x:v>HYPERLINK is not implemented. linkLocation=https://365nails.com/products/galaxy-blue-press-on-nails-with-star-accents-and-3d-cosmic-design, friendlyName=Galaxy Blue Press-On Nails with Star Accents and 3D Cosmic Design ( MOQ=5pcs )</x:v>
      </x:c>
      <x:c r="D1844" s="18" t="str">
        <x:v>Size: XS / S / M / L; Quantity: 5pcs</x:v>
      </x:c>
      <x:c r="E1844" s="25" t="str">
        <x:v>$4.99</x:v>
      </x:c>
      <x:c r="F1844" s="19" t="str">
        <x:v>30</x:v>
      </x:c>
    </x:row>
    <x:row r="1845" ht="93" customHeight="1">
      <x:c r="A1845" s="19" t="n">
        <x:v>1842</x:v>
      </x:c>
      <x:c r="B1845" s="22" t="e">
        <x:f>HYPERLINK("https://cdn.shopify.com/s/files/1/0918/6066/4603/files/5473f63b5cb5bb7e2a88759055a8282d.jpg?v=1762845126","Open")</x:f>
        <x:v>HYPERLINK is not implemented. linkLocation=https://cdn.shopify.com/s/files/1/0918/6066/4603/files/5473f63b5cb5bb7e2a88759055a8282d.jpg?v=1762845126, friendlyName=Open</x:v>
      </x:c>
      <x:c r="C1845" s="24" t="e">
        <x:f>HYPERLINK("https://365nails.com/products/pink-gradient-press-on-nails-with-3d-flowers-starfish-and-pearls","Pink Gradient Press-On Nails with 3D Flowers, Starfish, and Pearls ( MOQ=5pcs )")</x:f>
        <x:v>HYPERLINK is not implemented. linkLocation=https://365nails.com/products/pink-gradient-press-on-nails-with-3d-flowers-starfish-and-pearls, friendlyName=Pink Gradient Press-On Nails with 3D Flowers, Starfish, and Pearls ( MOQ=5pcs )</x:v>
      </x:c>
      <x:c r="D1845" s="18" t="str">
        <x:v>Size: XS / S / M / L; Quantity: 5pcs</x:v>
      </x:c>
      <x:c r="E1845" s="25" t="str">
        <x:v>$4.99</x:v>
      </x:c>
      <x:c r="F1845" s="19" t="str">
        <x:v>30</x:v>
      </x:c>
    </x:row>
    <x:row r="1846" ht="93" customHeight="1">
      <x:c r="A1846" s="19" t="n">
        <x:v>1843</x:v>
      </x:c>
      <x:c r="B1846" s="22" t="e">
        <x:f>HYPERLINK("https://cdn.shopify.com/s/files/1/0918/6066/4603/files/38f7c03ca347b3b2bf42bbe6f75cf902.jpg?v=1762845483","Open")</x:f>
        <x:v>HYPERLINK is not implemented. linkLocation=https://cdn.shopify.com/s/files/1/0918/6066/4603/files/38f7c03ca347b3b2bf42bbe6f75cf902.jpg?v=1762845483, friendlyName=Open</x:v>
      </x:c>
      <x:c r="C1846" s="24" t="e">
        <x:f>HYPERLINK("https://365nails.com/products/purple-flame-gradient-press-on-nails-with-cross-heart-and-planet-charms","Purple Flame Gradient Press-On Nails with Cross, Heart, and Planet Charms ( MOQ=5pcs )")</x:f>
        <x:v>HYPERLINK is not implemented. linkLocation=https://365nails.com/products/purple-flame-gradient-press-on-nails-with-cross-heart-and-planet-charms, friendlyName=Purple Flame Gradient Press-On Nails with Cross, Heart, and Planet Charms ( MOQ=5pcs )</x:v>
      </x:c>
      <x:c r="D1846" s="18" t="str">
        <x:v>Size: XS / S / M / L; Quantity: 5pcs</x:v>
      </x:c>
      <x:c r="E1846" s="25" t="str">
        <x:v>$4.99</x:v>
      </x:c>
      <x:c r="F1846" s="19" t="str">
        <x:v>30</x:v>
      </x:c>
    </x:row>
    <x:row r="1847" ht="93" customHeight="1">
      <x:c r="A1847" s="19" t="n">
        <x:v>1844</x:v>
      </x:c>
      <x:c r="B1847" s="22" t="e">
        <x:f>HYPERLINK("https://cdn.shopify.com/s/files/1/0918/6066/4603/files/5d5761f4ccfb296c6f9034e9d089d2d4.jpg?v=1762845674","Open")</x:f>
        <x:v>HYPERLINK is not implemented. linkLocation=https://cdn.shopify.com/s/files/1/0918/6066/4603/files/5d5761f4ccfb296c6f9034e9d089d2d4.jpg?v=1762845674, friendlyName=Open</x:v>
      </x:c>
      <x:c r="C1847" s="24" t="e">
        <x:f>HYPERLINK("https://365nails.com/products/blue-gemstone-metal-frame-press-on-nails-with-3d-crystal-texture","Blue Gemstone Metal Frame Press-On Nails with 3D Crystal Texture ( MOQ=5pcs )")</x:f>
        <x:v>HYPERLINK is not implemented. linkLocation=https://365nails.com/products/blue-gemstone-metal-frame-press-on-nails-with-3d-crystal-texture, friendlyName=Blue Gemstone Metal Frame Press-On Nails with 3D Crystal Texture ( MOQ=5pcs )</x:v>
      </x:c>
      <x:c r="D1847" s="18" t="str">
        <x:v>Size: XS / S / M / L; Quantity: 5pcs</x:v>
      </x:c>
      <x:c r="E1847" s="25" t="str">
        <x:v>$4.99</x:v>
      </x:c>
      <x:c r="F1847" s="19" t="str">
        <x:v>30</x:v>
      </x:c>
    </x:row>
    <x:row r="1848" ht="93" customHeight="1">
      <x:c r="A1848" s="19" t="n">
        <x:v>1845</x:v>
      </x:c>
      <x:c r="B1848" s="22" t="e">
        <x:f>HYPERLINK("https://cdn.shopify.com/s/files/1/0918/6066/4603/files/19555b37ff3334f00085f6876184d8c8_1a6f82b2-eabb-4ff4-9ad8-4c9c1815fad7.jpg?v=1762846387","Open")</x:f>
        <x:v>HYPERLINK is not implemented. linkLocation=https://cdn.shopify.com/s/files/1/0918/6066/4603/files/19555b37ff3334f00085f6876184d8c8_1a6f82b2-eabb-4ff4-9ad8-4c9c1815fad7.jpg?v=1762846387, friendlyName=Open</x:v>
      </x:c>
      <x:c r="C1848" s="24" t="e">
        <x:f>HYPERLINK("https://365nails.com/products/blue-star-and-cross-press-on-nails-with-metallic-heart-accents","Blue Star and Cross Press-On Nails with Metallic Heart Accents ( MOQ=5pcs )")</x:f>
        <x:v>HYPERLINK is not implemented. linkLocation=https://365nails.com/products/blue-star-and-cross-press-on-nails-with-metallic-heart-accents, friendlyName=Blue Star and Cross Press-On Nails with Metallic Heart Accents ( MOQ=5pcs )</x:v>
      </x:c>
      <x:c r="D1848" s="18" t="str">
        <x:v>Size: XS / S / M / L; Quantity: 5pcs</x:v>
      </x:c>
      <x:c r="E1848" s="25" t="str">
        <x:v>$4.49</x:v>
      </x:c>
      <x:c r="F1848" s="19" t="str">
        <x:v>30</x:v>
      </x:c>
    </x:row>
    <x:row r="1849" ht="93" customHeight="1">
      <x:c r="A1849" s="19" t="n">
        <x:v>1846</x:v>
      </x:c>
      <x:c r="B1849" s="22" t="e">
        <x:f>HYPERLINK("https://cdn.shopify.com/s/files/1/0918/6066/4603/files/99738643ae17fb2dfe4f68accaaf62f0.jpg?v=1762846449","Open")</x:f>
        <x:v>HYPERLINK is not implemented. linkLocation=https://cdn.shopify.com/s/files/1/0918/6066/4603/files/99738643ae17fb2dfe4f68accaaf62f0.jpg?v=1762846449, friendlyName=Open</x:v>
      </x:c>
      <x:c r="C1849" s="24" t="e">
        <x:f>HYPERLINK("https://365nails.com/products/pink-and-green-floral-press-on-nails-with-3d-blossom-design","Pink and Green Floral Press-On Nails with 3D Blossom Design ( MOQ=5pcs )")</x:f>
        <x:v>HYPERLINK is not implemented. linkLocation=https://365nails.com/products/pink-and-green-floral-press-on-nails-with-3d-blossom-design, friendlyName=Pink and Green Floral Press-On Nails with 3D Blossom Design ( MOQ=5pcs )</x:v>
      </x:c>
      <x:c r="D1849" s="18" t="str">
        <x:v>Size: XS / S / M / L; Quantity: 5pcs</x:v>
      </x:c>
      <x:c r="E1849" s="25" t="str">
        <x:v>$4.99</x:v>
      </x:c>
      <x:c r="F1849" s="19" t="str">
        <x:v>30</x:v>
      </x:c>
    </x:row>
    <x:row r="1850" ht="93" customHeight="1">
      <x:c r="A1850" s="19" t="n">
        <x:v>1847</x:v>
      </x:c>
      <x:c r="B1850" s="22" t="e">
        <x:f>HYPERLINK("https://cdn.shopify.com/s/files/1/0918/6066/4603/files/420f70642ee0902f693d9c9730b8c0d6.jpg?v=1762847098","Open")</x:f>
        <x:v>HYPERLINK is not implemented. linkLocation=https://cdn.shopify.com/s/files/1/0918/6066/4603/files/420f70642ee0902f693d9c9730b8c0d6.jpg?v=1762847098, friendlyName=Open</x:v>
      </x:c>
      <x:c r="C1850" s="24" t="e">
        <x:f>HYPERLINK("https://365nails.com/products/cherry-and-leopard-accent-press-on-nails-with-pearl-details","Cherry and Leopard Accent Press-On Nails with Pearl Details ( MOQ=5pcs )")</x:f>
        <x:v>HYPERLINK is not implemented. linkLocation=https://365nails.com/products/cherry-and-leopard-accent-press-on-nails-with-pearl-details, friendlyName=Cherry and Leopard Accent Press-On Nails with Pearl Details ( MOQ=5pcs )</x:v>
      </x:c>
      <x:c r="D1850" s="18" t="str">
        <x:v>Size: XS / S / M / L; Quantity: 5pcs</x:v>
      </x:c>
      <x:c r="E1850" s="25" t="str">
        <x:v>$4.99</x:v>
      </x:c>
      <x:c r="F1850" s="19" t="str">
        <x:v>30</x:v>
      </x:c>
    </x:row>
    <x:row r="1851" ht="93" customHeight="1">
      <x:c r="A1851" s="19" t="n">
        <x:v>1848</x:v>
      </x:c>
      <x:c r="B1851" s="22" t="e">
        <x:f>HYPERLINK("https://cdn.shopify.com/s/files/1/0918/6066/4603/files/985940d588526edae7e96d333565ed67.jpg?v=1762847375","Open")</x:f>
        <x:v>HYPERLINK is not implemented. linkLocation=https://cdn.shopify.com/s/files/1/0918/6066/4603/files/985940d588526edae7e96d333565ed67.jpg?v=1762847375, friendlyName=Open</x:v>
      </x:c>
      <x:c r="C1851" s="24" t="e">
        <x:f>HYPERLINK("https://365nails.com/products/blue-and-white-floral-press-on-nails-with-3d-blossom-design","Blue and White Floral Press-On Nails with 3D Blossom Design ( MOQ=5pcs )")</x:f>
        <x:v>HYPERLINK is not implemented. linkLocation=https://365nails.com/products/blue-and-white-floral-press-on-nails-with-3d-blossom-design, friendlyName=Blue and White Floral Press-On Nails with 3D Blossom Design ( MOQ=5pcs )</x:v>
      </x:c>
      <x:c r="D1851" s="18" t="str">
        <x:v>Size: XS / S / M / L; Quantity: 5pcs</x:v>
      </x:c>
      <x:c r="E1851" s="25" t="str">
        <x:v>$4.99</x:v>
      </x:c>
      <x:c r="F1851" s="19" t="str">
        <x:v>30</x:v>
      </x:c>
    </x:row>
    <x:row r="1852" ht="93" customHeight="1">
      <x:c r="A1852" s="19" t="n">
        <x:v>1849</x:v>
      </x:c>
      <x:c r="B1852" s="22" t="e">
        <x:f>HYPERLINK("https://cdn.shopify.com/s/files/1/0918/6066/4603/files/6475ff17804b88dd4489ea7c413c14d6.jpg?v=1762847820","Open")</x:f>
        <x:v>HYPERLINK is not implemented. linkLocation=https://cdn.shopify.com/s/files/1/0918/6066/4603/files/6475ff17804b88dd4489ea7c413c14d6.jpg?v=1762847820, friendlyName=Open</x:v>
      </x:c>
      <x:c r="C1852" s="24" t="e">
        <x:f>HYPERLINK("https://365nails.com/products/leopard-print-press-on-nails-with-crystal-rhinestones-and-nude-gradient","Leopard Print Press-On Nails with Crystal Rhinestones and Nude Gradient ( MOQ=5pcs )")</x:f>
        <x:v>HYPERLINK is not implemented. linkLocation=https://365nails.com/products/leopard-print-press-on-nails-with-crystal-rhinestones-and-nude-gradient, friendlyName=Leopard Print Press-On Nails with Crystal Rhinestones and Nude Gradient ( MOQ=5pcs )</x:v>
      </x:c>
      <x:c r="D1852" s="18" t="str">
        <x:v>Size: XS / S / M / L; Quantity: 5pcs</x:v>
      </x:c>
      <x:c r="E1852" s="25" t="str">
        <x:v>$4.99</x:v>
      </x:c>
      <x:c r="F1852" s="19" t="str">
        <x:v>30</x:v>
      </x:c>
    </x:row>
    <x:row r="1853" ht="93" customHeight="1">
      <x:c r="A1853" s="19" t="n">
        <x:v>1850</x:v>
      </x:c>
      <x:c r="B1853" s="22" t="e">
        <x:f>HYPERLINK("https://cdn.shopify.com/s/files/1/0918/6066/4603/files/82070cf6723e3af785c70c5f8c7d7f68.jpg?v=1762848123","Open")</x:f>
        <x:v>HYPERLINK is not implemented. linkLocation=https://cdn.shopify.com/s/files/1/0918/6066/4603/files/82070cf6723e3af785c70c5f8c7d7f68.jpg?v=1762848123, friendlyName=Open</x:v>
      </x:c>
      <x:c r="C1853" s="24" t="e">
        <x:f>HYPERLINK("https://365nails.com/products/pink-floral-press-on-nails-with-crystal-and-pearl-embellishments","Pink Floral Press-On Nails with Crystal and Pearl Embellishments ( MOQ=5pcs )")</x:f>
        <x:v>HYPERLINK is not implemented. linkLocation=https://365nails.com/products/pink-floral-press-on-nails-with-crystal-and-pearl-embellishments, friendlyName=Pink Floral Press-On Nails with Crystal and Pearl Embellishments ( MOQ=5pcs )</x:v>
      </x:c>
      <x:c r="D1853" s="18" t="str">
        <x:v>Size: XS / S / M / L; Quantity: 5pcs</x:v>
      </x:c>
      <x:c r="E1853" s="25" t="str">
        <x:v>$4.99</x:v>
      </x:c>
      <x:c r="F1853" s="19" t="str">
        <x:v>30</x:v>
      </x:c>
    </x:row>
    <x:row r="1854" ht="93" customHeight="1">
      <x:c r="A1854" s="19" t="n">
        <x:v>1851</x:v>
      </x:c>
      <x:c r="B1854" s="22" t="e">
        <x:f>HYPERLINK("https://cdn.shopify.com/s/files/1/0918/6066/4603/files/1de133e11e3d4d0f248fbe163d0411d2.jpg?v=1762848395","Open")</x:f>
        <x:v>HYPERLINK is not implemented. linkLocation=https://cdn.shopify.com/s/files/1/0918/6066/4603/files/1de133e11e3d4d0f248fbe163d0411d2.jpg?v=1762848395, friendlyName=Open</x:v>
      </x:c>
      <x:c r="C1854" s="24" t="e">
        <x:f>HYPERLINK("https://365nails.com/products/pink-leopard-french-press-on-nails-with-3d-flower-accents","Pink Leopard French Press-On Nails with 3D Flower Accents ( MOQ=5pcs )")</x:f>
        <x:v>HYPERLINK is not implemented. linkLocation=https://365nails.com/products/pink-leopard-french-press-on-nails-with-3d-flower-accents, friendlyName=Pink Leopard French Press-On Nails with 3D Flower Accents ( MOQ=5pcs )</x:v>
      </x:c>
      <x:c r="D1854" s="18" t="str">
        <x:v>Size: XS / S / M / L; Quantity: 5pcs</x:v>
      </x:c>
      <x:c r="E1854" s="25" t="str">
        <x:v>$4.49</x:v>
      </x:c>
      <x:c r="F1854" s="19" t="str">
        <x:v>30</x:v>
      </x:c>
    </x:row>
    <x:row r="1855" ht="93" customHeight="1">
      <x:c r="A1855" s="19" t="n">
        <x:v>1852</x:v>
      </x:c>
      <x:c r="B1855" s="22" t="e">
        <x:f>HYPERLINK("https://cdn.shopify.com/s/files/1/0918/6066/4603/files/6b74d61c203066ccda314c6ec5106843.jpg?v=1762848597","Open")</x:f>
        <x:v>HYPERLINK is not implemented. linkLocation=https://cdn.shopify.com/s/files/1/0918/6066/4603/files/6b74d61c203066ccda314c6ec5106843.jpg?v=1762848597, friendlyName=Open</x:v>
      </x:c>
      <x:c r="C1855" s="24" t="e">
        <x:f>HYPERLINK("https://365nails.com/products/blue-and-gold-geometric-press-on-nails-with-metallic-flower-details","Blue and Gold Geometric Press-On Nails with Metallic Flower Details ( MOQ=5pcs )")</x:f>
        <x:v>HYPERLINK is not implemented. linkLocation=https://365nails.com/products/blue-and-gold-geometric-press-on-nails-with-metallic-flower-details, friendlyName=Blue and Gold Geometric Press-On Nails with Metallic Flower Details ( MOQ=5pcs )</x:v>
      </x:c>
      <x:c r="D1855" s="18" t="str">
        <x:v>Size: XS / S / M / L; Quantity: 5pcs</x:v>
      </x:c>
      <x:c r="E1855" s="25" t="str">
        <x:v>$4.49</x:v>
      </x:c>
      <x:c r="F1855" s="19" t="str">
        <x:v>30</x:v>
      </x:c>
    </x:row>
    <x:row r="1856" ht="93" customHeight="1">
      <x:c r="A1856" s="19" t="n">
        <x:v>1853</x:v>
      </x:c>
      <x:c r="B1856" s="22" t="e">
        <x:f>HYPERLINK("https://cdn.shopify.com/s/files/1/0918/6066/4603/files/a6871d4dcda46e5cf742594864260864.jpg?v=1762849102","Open")</x:f>
        <x:v>HYPERLINK is not implemented. linkLocation=https://cdn.shopify.com/s/files/1/0918/6066/4603/files/a6871d4dcda46e5cf742594864260864.jpg?v=1762849102, friendlyName=Open</x:v>
      </x:c>
      <x:c r="C1856" s="24" t="e">
        <x:f>HYPERLINK("https://365nails.com/products/pink-bow-press-on-nails-with-3d-flower-and-gold-bead-accents","Pink Bow Press-On Nails with 3D Flower and Gold Bead Accents ( MOQ=5pcs )")</x:f>
        <x:v>HYPERLINK is not implemented. linkLocation=https://365nails.com/products/pink-bow-press-on-nails-with-3d-flower-and-gold-bead-accents, friendlyName=Pink Bow Press-On Nails with 3D Flower and Gold Bead Accents ( MOQ=5pcs )</x:v>
      </x:c>
      <x:c r="D1856" s="18" t="str">
        <x:v>Size: XS / S / M / L; Quantity: 5pcs</x:v>
      </x:c>
      <x:c r="E1856" s="25" t="str">
        <x:v>$4.49</x:v>
      </x:c>
      <x:c r="F1856" s="19" t="str">
        <x:v>30</x:v>
      </x:c>
    </x:row>
    <x:row r="1857" ht="93" customHeight="1">
      <x:c r="A1857" s="19" t="n">
        <x:v>1854</x:v>
      </x:c>
      <x:c r="B1857" s="22" t="e">
        <x:f>HYPERLINK("https://cdn.shopify.com/s/files/1/0918/6066/4603/files/1478398a6a6d1aa5b42f3f27488e7c11.jpg?v=1762849331","Open")</x:f>
        <x:v>HYPERLINK is not implemented. linkLocation=https://cdn.shopify.com/s/files/1/0918/6066/4603/files/1478398a6a6d1aa5b42f3f27488e7c11.jpg?v=1762849331, friendlyName=Open</x:v>
      </x:c>
      <x:c r="C1857" s="24" t="e">
        <x:f>HYPERLINK("https://365nails.com/products/abstract-art-press-on-nails-with-hand-painted-and-3d-sculpted-details","Abstract Art Press-On Nails with Hand-Painted and 3D Sculpted Details ( MOQ=5pcs )")</x:f>
        <x:v>HYPERLINK is not implemented. linkLocation=https://365nails.com/products/abstract-art-press-on-nails-with-hand-painted-and-3d-sculpted-details, friendlyName=Abstract Art Press-On Nails with Hand-Painted and 3D Sculpted Details ( MOQ=5pcs )</x:v>
      </x:c>
      <x:c r="D1857" s="18" t="str">
        <x:v>Size: XS / S / M / L; Quantity: 5pcs</x:v>
      </x:c>
      <x:c r="E1857" s="25" t="str">
        <x:v>$4.99</x:v>
      </x:c>
      <x:c r="F1857" s="19" t="str">
        <x:v>30</x:v>
      </x:c>
    </x:row>
    <x:row r="1858" ht="93" customHeight="1">
      <x:c r="A1858" s="19" t="n">
        <x:v>1855</x:v>
      </x:c>
      <x:c r="B1858" s="22" t="e">
        <x:f>HYPERLINK("https://cdn.shopify.com/s/files/1/0918/6066/4603/files/3263964eccad61f9519a80d70dff4027.jpg?v=1762850015","Open")</x:f>
        <x:v>HYPERLINK is not implemented. linkLocation=https://cdn.shopify.com/s/files/1/0918/6066/4603/files/3263964eccad61f9519a80d70dff4027.jpg?v=1762850015, friendlyName=Open</x:v>
      </x:c>
      <x:c r="C1858" s="24" t="e">
        <x:f>HYPERLINK("https://365nails.com/products/dark-red-floral-press-on-nails-with-3d-sculpted-flowers-and-pearl-accents","Dark Red Floral Press-On Nails with 3D Sculpted Flowers and Pearl Accents ( MOQ=5pcs )")</x:f>
        <x:v>HYPERLINK is not implemented. linkLocation=https://365nails.com/products/dark-red-floral-press-on-nails-with-3d-sculpted-flowers-and-pearl-accents, friendlyName=Dark Red Floral Press-On Nails with 3D Sculpted Flowers and Pearl Accents ( MOQ=5pcs )</x:v>
      </x:c>
      <x:c r="D1858" s="18" t="str">
        <x:v>Size: XS / S / M / L; Quantity: 5pcs</x:v>
      </x:c>
      <x:c r="E1858" s="25" t="str">
        <x:v>$4.99</x:v>
      </x:c>
      <x:c r="F1858" s="19" t="str">
        <x:v>30</x:v>
      </x:c>
    </x:row>
    <x:row r="1859" ht="93" customHeight="1">
      <x:c r="A1859" s="19" t="n">
        <x:v>1856</x:v>
      </x:c>
      <x:c r="B1859" s="22" t="e">
        <x:f>HYPERLINK("https://cdn.shopify.com/s/files/1/0918/6066/4603/files/eb5ffeb64ec2691576bb514f76286723.jpg?v=1762916107","Open")</x:f>
        <x:v>HYPERLINK is not implemented. linkLocation=https://cdn.shopify.com/s/files/1/0918/6066/4603/files/eb5ffeb64ec2691576bb514f76286723.jpg?v=1762916107, friendlyName=Open</x:v>
      </x:c>
      <x:c r="C1859" s="24" t="e">
        <x:f>HYPERLINK("https://365nails.com/products/red-and-nude-press-on-nails-with-3d-white-floral-and-gold-bead-details","Red and Nude Press-On Nails with 3D White Floral and Gold Bead Details ( MOQ=5pcs )")</x:f>
        <x:v>HYPERLINK is not implemented. linkLocation=https://365nails.com/products/red-and-nude-press-on-nails-with-3d-white-floral-and-gold-bead-details, friendlyName=Red and Nude Press-On Nails with 3D White Floral and Gold Bead Details ( MOQ=5pcs )</x:v>
      </x:c>
      <x:c r="D1859" s="18" t="str">
        <x:v>Size: XS / S / M / L; Quantity: 5pcs</x:v>
      </x:c>
      <x:c r="E1859" s="25" t="str">
        <x:v>$4.99</x:v>
      </x:c>
      <x:c r="F1859" s="19" t="str">
        <x:v>30</x:v>
      </x:c>
    </x:row>
    <x:row r="1860" ht="93" customHeight="1">
      <x:c r="A1860" s="19" t="n">
        <x:v>1857</x:v>
      </x:c>
      <x:c r="B1860" s="22" t="e">
        <x:f>HYPERLINK("https://cdn.shopify.com/s/files/1/0918/6066/4603/files/e3e9f303c714fd111098701c59bacf81.jpg?v=1762916525","Open")</x:f>
        <x:v>HYPERLINK is not implemented. linkLocation=https://cdn.shopify.com/s/files/1/0918/6066/4603/files/e3e9f303c714fd111098701c59bacf81.jpg?v=1762916525, friendlyName=Open</x:v>
      </x:c>
      <x:c r="C1860" s="24" t="e">
        <x:f>HYPERLINK("https://365nails.com/products/short-red-and-nude-press-on-nails-with-3d-white-flowers-and-gold-accents","Short Red and Nude Press-On Nails with 3D White Flowers and Gold Accents ( MOQ=5pcs )")</x:f>
        <x:v>HYPERLINK is not implemented. linkLocation=https://365nails.com/products/short-red-and-nude-press-on-nails-with-3d-white-flowers-and-gold-accents, friendlyName=Short Red and Nude Press-On Nails with 3D White Flowers and Gold Accents ( MOQ=5pcs )</x:v>
      </x:c>
      <x:c r="D1860" s="18" t="str">
        <x:v>Size: XS / S / M / L; Quantity: 5pcs</x:v>
      </x:c>
      <x:c r="E1860" s="25" t="str">
        <x:v>$4.49</x:v>
      </x:c>
      <x:c r="F1860" s="19" t="str">
        <x:v>30</x:v>
      </x:c>
    </x:row>
    <x:row r="1861" ht="93" customHeight="1">
      <x:c r="A1861" s="19" t="n">
        <x:v>1858</x:v>
      </x:c>
      <x:c r="B1861" s="22" t="e">
        <x:f>HYPERLINK("https://cdn.shopify.com/s/files/1/0918/6066/4603/files/69cd6769ee136b58abc2bf7c1fbe9c50.jpg?v=1762916907","Open")</x:f>
        <x:v>HYPERLINK is not implemented. linkLocation=https://cdn.shopify.com/s/files/1/0918/6066/4603/files/69cd6769ee136b58abc2bf7c1fbe9c50.jpg?v=1762916907, friendlyName=Open</x:v>
      </x:c>
      <x:c r="C1861" s="24" t="e">
        <x:f>HYPERLINK("https://365nails.com/products/pop-graphic-press-on-nails-with-checker-zebra-star-and-wavy-designs","Pop Graphic Press-On Nails with Checker, Zebra, Star, and Wavy Designs ( MOQ=5pcs )")</x:f>
        <x:v>HYPERLINK is not implemented. linkLocation=https://365nails.com/products/pop-graphic-press-on-nails-with-checker-zebra-star-and-wavy-designs, friendlyName=Pop Graphic Press-On Nails with Checker, Zebra, Star, and Wavy Designs ( MOQ=5pcs )</x:v>
      </x:c>
      <x:c r="D1861" s="18" t="str">
        <x:v>Size: XS / S / M / L; Quantity: 5pcs</x:v>
      </x:c>
      <x:c r="E1861" s="25" t="str">
        <x:v>$4.49</x:v>
      </x:c>
      <x:c r="F1861" s="19" t="str">
        <x:v>30</x:v>
      </x:c>
    </x:row>
    <x:row r="1862" ht="93" customHeight="1">
      <x:c r="A1862" s="19" t="n">
        <x:v>1859</x:v>
      </x:c>
      <x:c r="B1862" s="22" t="e">
        <x:f>HYPERLINK("https://cdn.shopify.com/s/files/1/0918/6066/4603/files/0c6d26a5364f1c8de981ba6e23ec7607_3eab6e8c-91f9-4a81-a81f-957021ac1612.jpg?v=1762917652","Open")</x:f>
        <x:v>HYPERLINK is not implemented. linkLocation=https://cdn.shopify.com/s/files/1/0918/6066/4603/files/0c6d26a5364f1c8de981ba6e23ec7607_3eab6e8c-91f9-4a81-a81f-957021ac1612.jpg?v=1762917652, friendlyName=Open</x:v>
      </x:c>
      <x:c r="C1862" s="24" t="e">
        <x:f>HYPERLINK("https://365nails.com/products/pink-black-press-on-nails-with-3d-floral-design","Pink Black Press-On Nails with 3D Floral Design ( MOQ=5pcs )")</x:f>
        <x:v>HYPERLINK is not implemented. linkLocation=https://365nails.com/products/pink-black-press-on-nails-with-3d-floral-design, friendlyName=Pink Black Press-On Nails with 3D Floral Design ( MOQ=5pcs )</x:v>
      </x:c>
      <x:c r="D1862" s="18" t="str">
        <x:v>Size: XS / S / M / L; Quantity: 5pcs</x:v>
      </x:c>
      <x:c r="E1862" s="25" t="str">
        <x:v>$4.99</x:v>
      </x:c>
      <x:c r="F1862" s="19" t="str">
        <x:v>30</x:v>
      </x:c>
    </x:row>
    <x:row r="1863" ht="93" customHeight="1">
      <x:c r="A1863" s="19" t="n">
        <x:v>1860</x:v>
      </x:c>
      <x:c r="B1863" s="22" t="e">
        <x:f>HYPERLINK("https://cdn.shopify.com/s/files/1/0918/6066/4603/files/439bf15a6583c7b5e5cbc3cc24b99877.jpg?v=1762917712","Open")</x:f>
        <x:v>HYPERLINK is not implemented. linkLocation=https://cdn.shopify.com/s/files/1/0918/6066/4603/files/439bf15a6583c7b5e5cbc3cc24b99877.jpg?v=1762917712, friendlyName=Open</x:v>
      </x:c>
      <x:c r="C1863" s="24" t="e">
        <x:f>HYPERLINK("https://365nails.com/products/black-silver-pink-press-on-nails-with-star-and-grid-design","Black Silver Pink Press-On Nails with Star and Grid Design ( MOQ=5pcs )")</x:f>
        <x:v>HYPERLINK is not implemented. linkLocation=https://365nails.com/products/black-silver-pink-press-on-nails-with-star-and-grid-design, friendlyName=Black Silver Pink Press-On Nails with Star and Grid Design ( MOQ=5pcs )</x:v>
      </x:c>
      <x:c r="D1863" s="18" t="str">
        <x:v>Size: XS / S / M / L; Quantity: 5pcs</x:v>
      </x:c>
      <x:c r="E1863" s="25" t="str">
        <x:v>$4.49</x:v>
      </x:c>
      <x:c r="F1863" s="19" t="str">
        <x:v>30</x:v>
      </x:c>
    </x:row>
    <x:row r="1864" ht="93" customHeight="1">
      <x:c r="A1864" s="19" t="n">
        <x:v>1861</x:v>
      </x:c>
      <x:c r="B1864" s="22" t="e">
        <x:f>HYPERLINK("https://cdn.shopify.com/s/files/1/0918/6066/4603/files/a4268a38ac7641cc96be1ffc6ed7a821.jpg?v=1762917907","Open")</x:f>
        <x:v>HYPERLINK is not implemented. linkLocation=https://cdn.shopify.com/s/files/1/0918/6066/4603/files/a4268a38ac7641cc96be1ffc6ed7a821.jpg?v=1762917907, friendlyName=Open</x:v>
      </x:c>
      <x:c r="C1864" s="24" t="e">
        <x:f>HYPERLINK("https://365nails.com/products/black-white-blue-peach-press-on-nails-with-abstract-wavy-design","Black White Blue Peach Press-On Nails with Abstract Wavy Design ( MOQ=5pcs )")</x:f>
        <x:v>HYPERLINK is not implemented. linkLocation=https://365nails.com/products/black-white-blue-peach-press-on-nails-with-abstract-wavy-design, friendlyName=Black White Blue Peach Press-On Nails with Abstract Wavy Design ( MOQ=5pcs )</x:v>
      </x:c>
      <x:c r="D1864" s="18" t="str">
        <x:v>Size: XS / S / M / L; Quantity: 5pcs</x:v>
      </x:c>
      <x:c r="E1864" s="25" t="str">
        <x:v>$4.49</x:v>
      </x:c>
      <x:c r="F1864" s="19" t="str">
        <x:v>30</x:v>
      </x:c>
    </x:row>
    <x:row r="1865" ht="93" customHeight="1">
      <x:c r="A1865" s="19" t="n">
        <x:v>1862</x:v>
      </x:c>
      <x:c r="B1865" s="22" t="e">
        <x:f>HYPERLINK("https://cdn.shopify.com/s/files/1/0918/6066/4603/files/f054bbe09a34b9511f05c95c66207d4f.jpg?v=1762918135","Open")</x:f>
        <x:v>HYPERLINK is not implemented. linkLocation=https://cdn.shopify.com/s/files/1/0918/6066/4603/files/f054bbe09a34b9511f05c95c66207d4f.jpg?v=1762918135, friendlyName=Open</x:v>
      </x:c>
      <x:c r="C1865" s="24" t="e">
        <x:f>HYPERLINK("https://365nails.com/products/pink-white-black-yellow-press-on-nails-with-floral-and-dot-design","Pink White Black Yellow Press-On Nails with Floral and Dot Design ( MOQ=5pcs )")</x:f>
        <x:v>HYPERLINK is not implemented. linkLocation=https://365nails.com/products/pink-white-black-yellow-press-on-nails-with-floral-and-dot-design, friendlyName=Pink White Black Yellow Press-On Nails with Floral and Dot Design ( MOQ=5pcs )</x:v>
      </x:c>
      <x:c r="D1865" s="18" t="str">
        <x:v>Size: XS / S / M / L; Quantity: 5pcs</x:v>
      </x:c>
      <x:c r="E1865" s="25" t="str">
        <x:v>$4.99</x:v>
      </x:c>
      <x:c r="F1865" s="19" t="str">
        <x:v>30</x:v>
      </x:c>
    </x:row>
    <x:row r="1866" ht="93" customHeight="1">
      <x:c r="A1866" s="19" t="n">
        <x:v>1863</x:v>
      </x:c>
      <x:c r="B1866" s="22" t="e">
        <x:f>HYPERLINK("https://cdn.shopify.com/s/files/1/0918/6066/4603/files/0c2ea2286a14973bbdd29d285fa30d62.jpg?v=1762937026","Open")</x:f>
        <x:v>HYPERLINK is not implemented. linkLocation=https://cdn.shopify.com/s/files/1/0918/6066/4603/files/0c2ea2286a14973bbdd29d285fa30d62.jpg?v=1762937026, friendlyName=Open</x:v>
      </x:c>
      <x:c r="C1866" s="24" t="e">
        <x:f>HYPERLINK("https://365nails.com/products/nude-blue-pink-yellow-press-on-nails-with-flower-and-butterfly-design","Nude Blue Pink Yellow Press-On Nails with Flower and Butterfly Design ( MOQ=5pcs )")</x:f>
        <x:v>HYPERLINK is not implemented. linkLocation=https://365nails.com/products/nude-blue-pink-yellow-press-on-nails-with-flower-and-butterfly-design, friendlyName=Nude Blue Pink Yellow Press-On Nails with Flower and Butterfly Design ( MOQ=5pcs )</x:v>
      </x:c>
      <x:c r="D1866" s="18" t="str">
        <x:v>Size: XS / S / M / L; Quantity: 5pcs</x:v>
      </x:c>
      <x:c r="E1866" s="25" t="str">
        <x:v>$4.99</x:v>
      </x:c>
      <x:c r="F1866" s="19" t="str">
        <x:v>30</x:v>
      </x:c>
    </x:row>
    <x:row r="1867" ht="93" customHeight="1">
      <x:c r="A1867" s="19" t="n">
        <x:v>1864</x:v>
      </x:c>
      <x:c r="B1867" s="22" t="e">
        <x:f>HYPERLINK("https://cdn.shopify.com/s/files/1/0918/6066/4603/files/3011c959e5fec2491b1d53b00226c7ee.jpg?v=1781051621","Open")</x:f>
        <x:v>HYPERLINK is not implemented. linkLocation=https://cdn.shopify.com/s/files/1/0918/6066/4603/files/3011c959e5fec2491b1d53b00226c7ee.jpg?v=1781051621, friendlyName=Open</x:v>
      </x:c>
      <x:c r="C1867" s="24" t="e">
        <x:f>HYPERLINK("https://365nails.com/products/365nails-pink-blush-gradient-silver-irregular-metal-line-gold-stone-minimal-luxury-handmade-medium-almond-nails","365nails: ""Pink Blush Gradient Silver Irregular Metal Line Gold Stone"" – Minimal Luxury Handmade Medium Almond Nails")</x:f>
        <x:v>HYPERLINK is not implemented. linkLocation=https://365nails.com/products/365nails-pink-blush-gradient-silver-irregular-metal-line-gold-stone-minimal-luxury-handmade-medium-almond-nails, friendlyName=365nails: "Pink Blush Gradient Silver Irregular Metal Line Gold Stone" – Minimal Luxury Handmade Medium Almond Nails</x:v>
      </x:c>
      <x:c r="D1867" s="18" t="str">
        <x:v>Size: XS / S / M / L</x:v>
      </x:c>
      <x:c r="E1867" s="25" t="str">
        <x:v>$4.99</x:v>
      </x:c>
      <x:c r="F1867" s="19" t="str">
        <x:v>3</x:v>
      </x:c>
    </x:row>
    <x:row r="1868" ht="93" customHeight="1">
      <x:c r="A1868" s="19" t="n">
        <x:v>1865</x:v>
      </x:c>
      <x:c r="B1868" s="22" t="e">
        <x:f>HYPERLINK("https://cdn.shopify.com/s/files/1/0918/6066/4603/files/4cfd25a7136a37629546216e72055464.jpg?v=1781051312","Open")</x:f>
        <x:v>HYPERLINK is not implemented. linkLocation=https://cdn.shopify.com/s/files/1/0918/6066/4603/files/4cfd25a7136a37629546216e72055464.jpg?v=1781051312, friendlyName=Open</x:v>
      </x:c>
      <x:c r="C1868" s="24" t="e">
        <x:f>HYPERLINK("https://365nails.com/products/365nails-tropical-neon-pink-blue-3d-floral-bubble-watercolor-summer-handmade-long-stiletto-nails","365nails: ""Tropical Neon Pink Blue 3D Floral Bubble Watercolor"" – Summer Handmade Long Stiletto Nails")</x:f>
        <x:v>HYPERLINK is not implemented. linkLocation=https://365nails.com/products/365nails-tropical-neon-pink-blue-3d-floral-bubble-watercolor-summer-handmade-long-stiletto-nails, friendlyName=365nails: "Tropical Neon Pink Blue 3D Floral Bubble Watercolor" – Summer Handmade Long Stiletto Nails</x:v>
      </x:c>
      <x:c r="D1868" s="18" t="str">
        <x:v>Size: XS / S / M / L</x:v>
      </x:c>
      <x:c r="E1868" s="25" t="str">
        <x:v>$4.99</x:v>
      </x:c>
      <x:c r="F1868" s="19" t="str">
        <x:v>3</x:v>
      </x:c>
    </x:row>
    <x:row r="1869" ht="93" customHeight="1">
      <x:c r="A1869" s="19" t="n">
        <x:v>1866</x:v>
      </x:c>
      <x:c r="B1869" s="22" t="e">
        <x:f>HYPERLINK("https://cdn.shopify.com/s/files/1/0918/6066/4603/files/O1CN01e6FTpC23Ug4kicmot__2219058567259-0-cib.jpg?v=1763881111","Open")</x:f>
        <x:v>HYPERLINK is not implemented. linkLocation=https://cdn.shopify.com/s/files/1/0918/6066/4603/files/O1CN01e6FTpC23Ug4kicmot__2219058567259-0-cib.jpg?v=1763881111, friendlyName=Open</x:v>
      </x:c>
      <x:c r="C1869" s="24" t="e">
        <x:f>HYPERLINK("https://365nails.com/products/embossed-handmade-nail-display-cards-with-gold-lettering","Embossed Handmade Nail Display Cards with Gold Lettering")</x:f>
        <x:v>HYPERLINK is not implemented. linkLocation=https://365nails.com/products/embossed-handmade-nail-display-cards-with-gold-lettering, friendlyName=Embossed Handmade Nail Display Cards with Gold Lettering</x:v>
      </x:c>
      <x:c r="D1869" s="18" t="str">
        <x:v>Color: 75×75mm  Rose embossed paper card; Quantity: 20pcs</x:v>
      </x:c>
      <x:c r="E1869" s="25" t="str">
        <x:v>$1.00</x:v>
      </x:c>
      <x:c r="F1869" s="19" t="str">
        <x:v>1</x:v>
      </x:c>
    </x:row>
    <x:row r="1870" ht="93" customHeight="1">
      <x:c r="A1870" s="19" t="n">
        <x:v>1867</x:v>
      </x:c>
      <x:c r="B1870" s="22" t="e">
        <x:f>HYPERLINK("https://cdn.shopify.com/s/files/1/0918/6066/4603/files/19e72dff0ff57.png?v=1780043872","Open")</x:f>
        <x:v>HYPERLINK is not implemented. linkLocation=https://cdn.shopify.com/s/files/1/0918/6066/4603/files/19e72dff0ff57.png?v=1780043872, friendlyName=Open</x:v>
      </x:c>
      <x:c r="C1870" s="24" t="e">
        <x:f>HYPERLINK("https://365nails.com/products/high-margin-mystery-grab-bag-10-sets-pure-handmade-press-on-nails","High-Margin Mystery Grab Bag: 10 Sets Pure Handmade Press-On Nails")</x:f>
        <x:v>HYPERLINK is not implemented. linkLocation=https://365nails.com/products/high-margin-mystery-grab-bag-10-sets-pure-handmade-press-on-nails, friendlyName=High-Margin Mystery Grab Bag: 10 Sets Pure Handmade Press-On Nails</x:v>
      </x:c>
      <x:c r="D1870" s="18" t="str">
        <x:v>quantity: 10 Sets ($1/set) / 10 Sets ($2/set) / 10 Sets ($3/set)</x:v>
      </x:c>
      <x:c r="E1870" s="25" t="str">
        <x:v>$10.00–$30.00</x:v>
      </x:c>
      <x:c r="F1870" s="19" t="str">
        <x:v>1</x:v>
      </x:c>
    </x:row>
    <x:row r="1871" ht="93" customHeight="1">
      <x:c r="A1871" s="19" t="n">
        <x:v>1868</x:v>
      </x:c>
      <x:c r="B1871" s="22" t="e">
        <x:f>HYPERLINK("https://cdn.shopify.com/s/files/1/0918/6066/4603/files/1db5bb7eb68ca6bb66c10bf7b9b8e9a4.jpg?v=1781018984","Open")</x:f>
        <x:v>HYPERLINK is not implemented. linkLocation=https://cdn.shopify.com/s/files/1/0918/6066/4603/files/1db5bb7eb68ca6bb66c10bf7b9b8e9a4.jpg?v=1781018984, friendlyName=Open</x:v>
      </x:c>
      <x:c r="C1871" s="24" t="e">
        <x:f>HYPERLINK("https://365nails.com/products/365nails-lavender-purple-3d-bear-pill-star-rose-cross-resin-charms-y2k-kawaii-handmade-long-coffin-nails","365nails: ""Lavender Purple 3D Bear Pill Star Rose Cross Resin Charms"" – Y2K Kawaii Handmade Long Coffin Nails")</x:f>
        <x:v>HYPERLINK is not implemented. linkLocation=https://365nails.com/products/365nails-lavender-purple-3d-bear-pill-star-rose-cross-resin-charms-y2k-kawaii-handmade-long-coffin-nails, friendlyName=365nails: "Lavender Purple 3D Bear Pill Star Rose Cross Resin Charms" – Y2K Kawaii Handmade Long Coffin Nails</x:v>
      </x:c>
      <x:c r="D1871" s="18" t="str">
        <x:v>Size: XS / S / M / L</x:v>
      </x:c>
      <x:c r="E1871" s="25" t="str">
        <x:v>$4.29</x:v>
      </x:c>
      <x:c r="F1871" s="19" t="str">
        <x:v>3</x:v>
      </x:c>
    </x:row>
    <x:row r="1872" ht="93" customHeight="1">
      <x:c r="A1872" s="19" t="n">
        <x:v>1869</x:v>
      </x:c>
      <x:c r="B1872" s="22" t="e">
        <x:f>HYPERLINK("https://cdn.shopify.com/s/files/1/0918/6066/4603/files/759d3b3ef23f16c2d1e689aae3e27ca1.jpg?v=1781013322","Open")</x:f>
        <x:v>HYPERLINK is not implemented. linkLocation=https://cdn.shopify.com/s/files/1/0918/6066/4603/files/759d3b3ef23f16c2d1e689aae3e27ca1.jpg?v=1781013322, friendlyName=Open</x:v>
      </x:c>
      <x:c r="C1872" s="24" t="e">
        <x:f>HYPERLINK("https://365nails.com/products/365nails-pastel-3d-floral-wave-gold-bead-v-french-hand-sculpted-flower-handmade-medium-square-nails","365nails: ""Pastel 3D Floral Wave Gold Bead V French"" – Hand Sculpted Flower Handmade Medium Square Nails")</x:f>
        <x:v>HYPERLINK is not implemented. linkLocation=https://365nails.com/products/365nails-pastel-3d-floral-wave-gold-bead-v-french-hand-sculpted-flower-handmade-medium-square-nails, friendlyName=365nails: "Pastel 3D Floral Wave Gold Bead V French" – Hand Sculpted Flower Handmade Medium Square Nails</x:v>
      </x:c>
      <x:c r="D1872" s="18" t="str">
        <x:v>Size: XS / S / M / L</x:v>
      </x:c>
      <x:c r="E1872" s="25" t="str">
        <x:v>$4.29</x:v>
      </x:c>
      <x:c r="F1872" s="19" t="str">
        <x:v>3</x:v>
      </x:c>
    </x:row>
    <x:row r="1873" ht="93" customHeight="1">
      <x:c r="A1873" s="19" t="n">
        <x:v>1870</x:v>
      </x:c>
      <x:c r="B1873" s="22" t="e">
        <x:f>HYPERLINK("https://cdn.shopify.com/s/files/1/0918/6066/4603/files/bb7f7ec2194cd34ebbd48418612d55c1.jpg?v=1781013113","Open")</x:f>
        <x:v>HYPERLINK is not implemented. linkLocation=https://cdn.shopify.com/s/files/1/0918/6066/4603/files/bb7f7ec2194cd34ebbd48418612d55c1.jpg?v=1781013113, friendlyName=Open</x:v>
      </x:c>
      <x:c r="C1873" s="24" t="e">
        <x:f>HYPERLINK("https://365nails.com/products/365nails-gothic-black-bow-heart-cross-rhinestone-metal-dark-sweet-3d-charm-handmade-long-stiletto","365nails: ""Gothic Black Bow Heart Cross Rhinestone Metal"" – Dark Sweet 3D Charm Handmade Long Stiletto")</x:f>
        <x:v>HYPERLINK is not implemented. linkLocation=https://365nails.com/products/365nails-gothic-black-bow-heart-cross-rhinestone-metal-dark-sweet-3d-charm-handmade-long-stiletto, friendlyName=365nails: "Gothic Black Bow Heart Cross Rhinestone Metal" – Dark Sweet 3D Charm Handmade Long Stiletto</x:v>
      </x:c>
      <x:c r="D1873" s="18" t="str">
        <x:v>Size: XS / S / M / L</x:v>
      </x:c>
      <x:c r="E1873" s="25" t="str">
        <x:v>$3.99</x:v>
      </x:c>
      <x:c r="F1873" s="19" t="str">
        <x:v>3</x:v>
      </x:c>
    </x:row>
    <x:row r="1874" ht="93" customHeight="1">
      <x:c r="A1874" s="19" t="n">
        <x:v>1871</x:v>
      </x:c>
      <x:c r="B1874" s="22" t="e">
        <x:f>HYPERLINK("https://cdn.shopify.com/s/files/1/0918/6066/4603/files/b5b83c9afa695e1091733dec52a80ff5.jpg?v=1781012749","Open")</x:f>
        <x:v>HYPERLINK is not implemented. linkLocation=https://cdn.shopify.com/s/files/1/0918/6066/4603/files/b5b83c9afa695e1091733dec52a80ff5.jpg?v=1781012749, friendlyName=Open</x:v>
      </x:c>
      <x:c r="C1874" s="24" t="e">
        <x:f>HYPERLINK("https://365nails.com/products/365nails-vintage-marble-cameo-sculpted-rose-3d-relief-handmade-long-coffin-nails","365nails: ""Vintage Marble Cameo Sculpted Rose"" – 3D Relief Handmade Long Coffin Nails")</x:f>
        <x:v>HYPERLINK is not implemented. linkLocation=https://365nails.com/products/365nails-vintage-marble-cameo-sculpted-rose-3d-relief-handmade-long-coffin-nails, friendlyName=365nails: "Vintage Marble Cameo Sculpted Rose" – 3D Relief Handmade Long Coffin Nails</x:v>
      </x:c>
      <x:c r="D1874" s="18" t="str">
        <x:v>Size: XS / S / M / L</x:v>
      </x:c>
      <x:c r="E1874" s="25" t="str">
        <x:v>$3.99</x:v>
      </x:c>
      <x:c r="F1874" s="19" t="str">
        <x:v>3</x:v>
      </x:c>
    </x:row>
    <x:row r="1875" ht="93" customHeight="1">
      <x:c r="A1875" s="19" t="n">
        <x:v>1872</x:v>
      </x:c>
      <x:c r="B1875" s="22" t="e">
        <x:f>HYPERLINK("https://cdn.shopify.com/s/files/1/0918/6066/4603/files/e8cc6cb14470d6ffd4f5d60555b2799e.jpg?v=1781012494","Open")</x:f>
        <x:v>HYPERLINK is not implemented. linkLocation=https://cdn.shopify.com/s/files/1/0918/6066/4603/files/e8cc6cb14470d6ffd4f5d60555b2799e.jpg?v=1781012494, friendlyName=Open</x:v>
      </x:c>
      <x:c r="C1875" s="24" t="e">
        <x:f>HYPERLINK("https://365nails.com/products/365nails-gothic-bear-bow-rose-heart-rhinestone-cross-metal-3d-ornament-handmade-long-stiletto-nails","365nails: ""Gothic Bear Bow Rose Heart Rhinestone Cross Metal"" – 3D Ornament Handmade Long Stiletto Nails")</x:f>
        <x:v>HYPERLINK is not implemented. linkLocation=https://365nails.com/products/365nails-gothic-bear-bow-rose-heart-rhinestone-cross-metal-3d-ornament-handmade-long-stiletto-nails, friendlyName=365nails: "Gothic Bear Bow Rose Heart Rhinestone Cross Metal" – 3D Ornament Handmade Long Stiletto Nails</x:v>
      </x:c>
      <x:c r="D1875" s="18" t="str">
        <x:v>Size: XS / S / M / L</x:v>
      </x:c>
      <x:c r="E1875" s="25" t="str">
        <x:v>$3.99</x:v>
      </x:c>
      <x:c r="F1875" s="19" t="str">
        <x:v>3</x:v>
      </x:c>
    </x:row>
    <x:row r="1876" ht="93" customHeight="1">
      <x:c r="A1876" s="19" t="n">
        <x:v>1873</x:v>
      </x:c>
      <x:c r="B1876" s="22" t="e">
        <x:f>HYPERLINK("https://cdn.shopify.com/s/files/1/0918/6066/4603/files/4d62d451f5fa2ab0e90b352091c28abd.jpg?v=1781012303","Open")</x:f>
        <x:v>HYPERLINK is not implemented. linkLocation=https://cdn.shopify.com/s/files/1/0918/6066/4603/files/4d62d451f5fa2ab0e90b352091c28abd.jpg?v=1781012303, friendlyName=Open</x:v>
      </x:c>
      <x:c r="C1876" s="24" t="e">
        <x:f>HYPERLINK("https://365nails.com/products/365nails-pink-ombre-dragon-heart-chain-metal-line-3d-metal-charm-handmade-long-coffin-nails","365nails: ""Pink Ombre Dragon Heart Chain Metal Line"" – 3D Metal Charm Handmade Long Coffin Nails")</x:f>
        <x:v>HYPERLINK is not implemented. linkLocation=https://365nails.com/products/365nails-pink-ombre-dragon-heart-chain-metal-line-3d-metal-charm-handmade-long-coffin-nails, friendlyName=365nails: "Pink Ombre Dragon Heart Chain Metal Line" – 3D Metal Charm Handmade Long Coffin Nails</x:v>
      </x:c>
      <x:c r="D1876" s="18" t="str">
        <x:v>Size: XS / S / M / L</x:v>
      </x:c>
      <x:c r="E1876" s="25" t="str">
        <x:v>$3.99</x:v>
      </x:c>
      <x:c r="F1876" s="19" t="str">
        <x:v>3</x:v>
      </x:c>
    </x:row>
    <x:row r="1877" ht="93" customHeight="1">
      <x:c r="A1877" s="19" t="n">
        <x:v>1874</x:v>
      </x:c>
      <x:c r="B1877" s="22" t="e">
        <x:f>HYPERLINK("https://cdn.shopify.com/s/files/1/0918/6066/4603/files/895a7675937998b509cd42f4b018553c.jpg?v=1781012200","Open")</x:f>
        <x:v>HYPERLINK is not implemented. linkLocation=https://cdn.shopify.com/s/files/1/0918/6066/4603/files/895a7675937998b509cd42f4b018553c.jpg?v=1781012200, friendlyName=Open</x:v>
      </x:c>
      <x:c r="C1877" s="24" t="e">
        <x:f>HYPERLINK("https://365nails.com/products/365nails-pink-jelly-cherry-floral-rhinestone-edge-3d-fruit-flower-handmade-medium-square-nails","365nails: ""Pink Jelly Cherry Floral Rhinestone Edge"" – 3D Fruit Flower Handmade Medium Square Nails")</x:f>
        <x:v>HYPERLINK is not implemented. linkLocation=https://365nails.com/products/365nails-pink-jelly-cherry-floral-rhinestone-edge-3d-fruit-flower-handmade-medium-square-nails, friendlyName=365nails: "Pink Jelly Cherry Floral Rhinestone Edge" – 3D Fruit Flower Handmade Medium Square Nails</x:v>
      </x:c>
      <x:c r="D1877" s="18" t="str">
        <x:v>Size: XS / S / M / L</x:v>
      </x:c>
      <x:c r="E1877" s="25" t="str">
        <x:v>$3.99</x:v>
      </x:c>
      <x:c r="F1877" s="19" t="str">
        <x:v>3</x:v>
      </x:c>
    </x:row>
    <x:row r="1878" ht="93" customHeight="1">
      <x:c r="A1878" s="19" t="n">
        <x:v>1875</x:v>
      </x:c>
      <x:c r="B1878" s="22" t="e">
        <x:f>HYPERLINK("https://cdn.shopify.com/s/files/1/0918/6066/4603/files/944a8b69ca7b10c4cb2205b0de6b7a84.jpg?v=1775886672","Open")</x:f>
        <x:v>HYPERLINK is not implemented. linkLocation=https://cdn.shopify.com/s/files/1/0918/6066/4603/files/944a8b69ca7b10c4cb2205b0de6b7a84.jpg?v=1775886672, friendlyName=Open</x:v>
      </x:c>
      <x:c r="C1878" s="24" t="e">
        <x:f>HYPERLINK("https://365nails.com/products/365nails-kitten-love-stiletto-handmade-long-sharp-stiletto-nails","365nails: ""Kitten Love Stiletto"" – Handmade Long Sharp Stiletto Nails")</x:f>
        <x:v>HYPERLINK is not implemented. linkLocation=https://365nails.com/products/365nails-kitten-love-stiletto-handmade-long-sharp-stiletto-nails, friendlyName=365nails: "Kitten Love Stiletto" – Handmade Long Sharp Stiletto Nails</x:v>
      </x:c>
      <x:c r="D1878" s="18" t="str">
        <x:v>Size: XS / S / M / L</x:v>
      </x:c>
      <x:c r="E1878" s="25" t="str">
        <x:v>$3.99</x:v>
      </x:c>
      <x:c r="F1878" s="19" t="str">
        <x:v>3</x:v>
      </x:c>
    </x:row>
    <x:row r="1879" ht="93" customHeight="1">
      <x:c r="A1879" s="19" t="n">
        <x:v>1876</x:v>
      </x:c>
      <x:c r="B1879" s="22" t="e">
        <x:f>HYPERLINK("https://cdn.shopify.com/s/files/1/0918/6066/4603/files/041e7b82608c90855456a2e918c4568d.jpg?v=1781011770","Open")</x:f>
        <x:v>HYPERLINK is not implemented. linkLocation=https://cdn.shopify.com/s/files/1/0918/6066/4603/files/041e7b82608c90855456a2e918c4568d.jpg?v=1781011770, friendlyName=Open</x:v>
      </x:c>
      <x:c r="C1879" s="24" t="e">
        <x:f>HYPERLINK("https://365nails.com/products/365nails-3d-white-floral-rhinestone-french-hand-sculpted-flower-handmade-medium-square-nails","365nails: ""3D White Floral Rhinestone French"" – Hand Sculpted Flower Handmade Medium Square Nails")</x:f>
        <x:v>HYPERLINK is not implemented. linkLocation=https://365nails.com/products/365nails-3d-white-floral-rhinestone-french-hand-sculpted-flower-handmade-medium-square-nails, friendlyName=365nails: "3D White Floral Rhinestone French" – Hand Sculpted Flower Handmade Medium Square Nails</x:v>
      </x:c>
      <x:c r="D1879" s="18" t="str">
        <x:v>Size: XS / S / M / L</x:v>
      </x:c>
      <x:c r="E1879" s="25" t="str">
        <x:v>$3.49</x:v>
      </x:c>
      <x:c r="F1879" s="19" t="str">
        <x:v>3</x:v>
      </x:c>
    </x:row>
    <x:row r="1880" ht="93" customHeight="1">
      <x:c r="A1880" s="19" t="n">
        <x:v>1877</x:v>
      </x:c>
      <x:c r="B1880" s="22" t="e">
        <x:f>HYPERLINK("https://cdn.shopify.com/s/files/1/0918/6066/4603/files/1cdb483525355c0d245c7a70a15a38c4_515009bc-2b14-4736-b7f9-660b988e6818.jpg?v=1783502969","Open")</x:f>
        <x:v>HYPERLINK is not implemented. linkLocation=https://cdn.shopify.com/s/files/1/0918/6066/4603/files/1cdb483525355c0d245c7a70a15a38c4_515009bc-2b14-4736-b7f9-660b988e6818.jpg?v=1783502969, friendlyName=Open</x:v>
      </x:c>
      <x:c r="C1880" s="24" t="e">
        <x:f>HYPERLINK("https://365nails.com/products/remover-essentials-clean-release-salon-grade-nail-glue-remover-for-press-on-nails","Remover Essentials: ""Clean Release"" – Salon-Grade Nail Glue Remover for Press On Nails")</x:f>
        <x:v>HYPERLINK is not implemented. linkLocation=https://365nails.com/products/remover-essentials-clean-release-salon-grade-nail-glue-remover-for-press-on-nails, friendlyName=Remover Essentials: "Clean Release" – Salon-Grade Nail Glue Remover for Press On Nails</x:v>
      </x:c>
      <x:c r="D1880" s="18" t="str">
        <x:v>Color: New 7g powder glue with brush (english label)  moq10 / 10ml glue remover with brush (english label)  moq10</x:v>
      </x:c>
      <x:c r="E1880" s="25" t="str">
        <x:v>$0.30</x:v>
      </x:c>
      <x:c r="F1880" s="19" t="str">
        <x:v>10</x:v>
      </x:c>
    </x:row>
    <x:row r="1881" ht="93" customHeight="1">
      <x:c r="A1881" s="19" t="n">
        <x:v>1878</x:v>
      </x:c>
      <x:c r="B1881" s="22" t="e">
        <x:f>HYPERLINK("https://cdn.shopify.com/s/files/1/0918/6066/4603/files/a13d493839fdc97ec787c69b14a2a23b.jpg?v=1783496836","Open")</x:f>
        <x:v>HYPERLINK is not implemented. linkLocation=https://cdn.shopify.com/s/files/1/0918/6066/4603/files/a13d493839fdc97ec787c69b14a2a23b.jpg?v=1783496836, friendlyName=Open</x:v>
      </x:c>
      <x:c r="C1881" s="24" t="e">
        <x:f>HYPERLINK("https://365nails.com/products/handmade-french-tips-press-nails-multi-colour-multi-shape-reusable-full-coverage-fake-nails-nail-art-set","Handmade French patch manicure, multi-color and multi-reusable full coverage fake nail set")</x:f>
        <x:v>HYPERLINK is not implemented. linkLocation=https://365nails.com/products/handmade-french-tips-press-nails-multi-colour-multi-shape-reusable-full-coverage-fake-nails-nail-art-set, friendlyName=Handmade French patch manicure, multi-color and multi-reusable full coverage fake nail set</x:v>
      </x:c>
      <x:c r="D1881" s="18" t="str">
        <x:v>type: Short almonds / Medium almonds / duck bill / short coffin / Medium coffin / Short Ballet; size: XS / S / M / L; color: Red / Black / White / Blue / Green / Orange / Beige / Pink</x:v>
      </x:c>
      <x:c r="E1881" s="25" t="str">
        <x:v>$2.49</x:v>
      </x:c>
      <x:c r="F1881" s="19" t="str">
        <x:v>Contact us</x:v>
      </x:c>
    </x:row>
    <x:row r="1882" ht="93" customHeight="1">
      <x:c r="A1882" s="19" t="n">
        <x:v>1879</x:v>
      </x:c>
      <x:c r="B1882" s="22" t="e">
        <x:f>HYPERLINK("https://cdn.shopify.com/s/files/1/0918/6066/4603/files/19e72d383de16_ab1f6486-c193-4ab3-9217-cda839519eb7.png?v=1780043085","Open")</x:f>
        <x:v>HYPERLINK is not implemented. linkLocation=https://cdn.shopify.com/s/files/1/0918/6066/4603/files/19e72d383de16_ab1f6486-c193-4ab3-9217-cda839519eb7.png?v=1780043085, friendlyName=Open</x:v>
      </x:c>
      <x:c r="C1882" s="24" t="e">
        <x:f>HYPERLINK("https://365nails.com/products/semi-handmade-press-on-nails-wholesale-1-per-set-live-video-style-selection","Semi-Handmade Press-On Nail Wholesale | $1 Per Set | 1V1 - Live Video Selection (MOQ=100 SIZE：XS，S，M）")</x:f>
        <x:v>HYPERLINK is not implemented. linkLocation=https://365nails.com/products/semi-handmade-press-on-nails-wholesale-1-per-set-live-video-style-selection, friendlyName=Semi-Handmade Press-On Nail Wholesale | $1 Per Set | 1V1 - Live Video Selection (MOQ=100 SIZE：XS，S，M）</x:v>
      </x:c>
      <x:c r="D1882" s="18" t="str">
        <x:v>quanlity: 100pcs(1.2/set) / 300pcs(1.1/set) / 500pcs(1.05/set) / 1000pcs(1/set)</x:v>
      </x:c>
      <x:c r="E1882" s="25" t="str">
        <x:v>$120.00–$1000.00</x:v>
      </x:c>
      <x:c r="F1882" s="19" t="str">
        <x:v>1</x:v>
      </x:c>
    </x:row>
    <x:row r="1883" ht="93" customHeight="1">
      <x:c r="A1883" s="19" t="n">
        <x:v>1880</x:v>
      </x:c>
      <x:c r="B1883" s="22" t="e">
        <x:f>HYPERLINK("https://cdn.shopify.com/s/files/1/0918/6066/4603/files/19e72712e13fd.jpg?v=1780036620","Open")</x:f>
        <x:v>HYPERLINK is not implemented. linkLocation=https://cdn.shopify.com/s/files/1/0918/6066/4603/files/19e72712e13fd.jpg?v=1780036620, friendlyName=Open</x:v>
      </x:c>
      <x:c r="C1883" s="24" t="e">
        <x:f>HYPERLINK("https://365nails.com/products/wholesale-handmade-press-on-nails-live-video-selection-100-1000-units","[Wholesale] Handmade Press-on Nails - Live Video Selection (100-1000 Units) | $2 Per Set | 1V1 - Live Video Selection (MOQ=100 SIZE：XS，S，M，L）")</x:f>
        <x:v>HYPERLINK is not implemented. linkLocation=https://365nails.com/products/wholesale-handmade-press-on-nails-live-video-selection-100-1000-units, friendlyName=[Wholesale] Handmade Press-on Nails - Live Video Selection (100-1000 Units) | $2 Per Set | 1V1 - Live Video Selection (MOQ=100 SIZE：XS，S，M，L）</x:v>
      </x:c>
      <x:c r="D1883" s="18" t="str">
        <x:v>quanlity: 100pcs(2.3/set) / 300pcs(2.2/set) / 500pcs(2.1/set) / 1000pcs(2/set)</x:v>
      </x:c>
      <x:c r="E1883" s="25" t="str">
        <x:v>$230.00–$2000.00</x:v>
      </x:c>
      <x:c r="F1883" s="19" t="str">
        <x:v>1</x:v>
      </x:c>
    </x:row>
    <x:row r="1884" ht="93" customHeight="1">
      <x:c r="A1884" s="19" t="n">
        <x:v>1881</x:v>
      </x:c>
      <x:c r="B1884" s="22" t="e">
        <x:f>HYPERLINK("https://cdn.shopify.com/s/files/1/0918/6066/4603/files/O1CN01Rli8Ic2NGHvst4pRO__4234819935-0-cib_f43e1929-3d3f-4ff0-a9c0-09c5286fa803.jpg?v=1780903013","Open")</x:f>
        <x:v>HYPERLINK is not implemented. linkLocation=https://cdn.shopify.com/s/files/1/0918/6066/4603/files/O1CN01Rli8Ic2NGHvst4pRO__4234819935-0-cib_f43e1929-3d3f-4ff0-a9c0-09c5286fa803.jpg?v=1780903013, friendlyName=Open</x:v>
      </x:c>
      <x:c r="C1884" s="24" t="e">
        <x:f>HYPERLINK("https://365nails.com/products/white-french-burgundy-bow-precision-crafted-press-on-nails","""White French &amp; Burgundy Bow"" - Precision Crafted Press-On Nails")</x:f>
        <x:v>HYPERLINK is not implemented. linkLocation=https://365nails.com/products/white-french-burgundy-bow-precision-crafted-press-on-nails, friendlyName="White French &amp; Burgundy Bow" - Precision Crafted Press-On Nails</x:v>
      </x:c>
      <x:c r="D1884" s="18" t="str">
        <x:v>Color: Jp 3637</x:v>
      </x:c>
      <x:c r="E1884" s="25" t="str">
        <x:v>$0.99</x:v>
      </x:c>
      <x:c r="F1884" s="19" t="str">
        <x:v>1</x:v>
      </x:c>
    </x:row>
    <x:row r="1885" ht="93" customHeight="1">
      <x:c r="A1885" s="19" t="n">
        <x:v>1882</x:v>
      </x:c>
      <x:c r="B1885" s="22" t="e">
        <x:f>HYPERLINK("https://cdn.shopify.com/s/files/1/0918/6066/4603/files/O1CN01hRtBpJ2NGI3GUfHMO__4234819935-0-cib_55371004-2e9c-45b6-9219-40da90467d35.jpg?v=1780901321","Open")</x:f>
        <x:v>HYPERLINK is not implemented. linkLocation=https://cdn.shopify.com/s/files/1/0918/6066/4603/files/O1CN01hRtBpJ2NGI3GUfHMO__4234819935-0-cib_55371004-2e9c-45b6-9219-40da90467d35.jpg?v=1780901321, friendlyName=Open</x:v>
      </x:c>
      <x:c r="C1885" s="24" t="e">
        <x:f>HYPERLINK("https://365nails.com/products/spring-daisy-honey-bee-precision-crafted-press-on-nails","""Spring Daisy &amp; Honey Bee"" - Precision Crafted Press-On Nails")</x:f>
        <x:v>HYPERLINK is not implemented. linkLocation=https://365nails.com/products/spring-daisy-honey-bee-precision-crafted-press-on-nails, friendlyName="Spring Daisy &amp; Honey Bee" - Precision Crafted Press-On Nails</x:v>
      </x:c>
      <x:c r="D1885" s="18" t="str">
        <x:v>Color: Jp 4422</x:v>
      </x:c>
      <x:c r="E1885" s="25" t="str">
        <x:v>$0.99</x:v>
      </x:c>
      <x:c r="F1885" s="19" t="str">
        <x:v>1</x:v>
      </x:c>
    </x:row>
    <x:row r="1886" ht="93" customHeight="1">
      <x:c r="A1886" s="19" t="n">
        <x:v>1883</x:v>
      </x:c>
      <x:c r="B1886" s="22" t="e">
        <x:f>HYPERLINK("https://cdn.shopify.com/s/files/1/0918/6066/4603/files/O1CN014Kvpwh2NGI2joscF6__4234819935-0-cib.jpg?v=1780901226","Open")</x:f>
        <x:v>HYPERLINK is not implemented. linkLocation=https://cdn.shopify.com/s/files/1/0918/6066/4603/files/O1CN014Kvpwh2NGI2joscF6__4234819935-0-cib.jpg?v=1780901226, friendlyName=Open</x:v>
      </x:c>
      <x:c r="C1886" s="24" t="e">
        <x:f>HYPERLINK("https://365nails.com/products/classic-milky-french-precision-crafted-press-on-nails","""Classic Milky French"" - Precision Crafted Press-On Nails")</x:f>
        <x:v>HYPERLINK is not implemented. linkLocation=https://365nails.com/products/classic-milky-french-precision-crafted-press-on-nails, friendlyName="Classic Milky French" - Precision Crafted Press-On Nails</x:v>
      </x:c>
      <x:c r="D1886" s="18" t="str">
        <x:v>Color: Q4056</x:v>
      </x:c>
      <x:c r="E1886" s="25" t="str">
        <x:v>$0.79</x:v>
      </x:c>
      <x:c r="F1886" s="19" t="str">
        <x:v>1</x:v>
      </x:c>
    </x:row>
    <x:row r="1887" ht="93" customHeight="1">
      <x:c r="A1887" s="19" t="n">
        <x:v>1884</x:v>
      </x:c>
      <x:c r="B1887" s="22" t="e">
        <x:f>HYPERLINK("https://cdn.shopify.com/s/files/1/0918/6066/4603/files/O1CN01eGP85O2NGHhNoec4x__4234819935-0-cib_8a7f67c6-8e67-486c-97ea-6686cccc8e69.jpg?v=1780901158","Open")</x:f>
        <x:v>HYPERLINK is not implemented. linkLocation=https://cdn.shopify.com/s/files/1/0918/6066/4603/files/O1CN01eGP85O2NGHhNoec4x__4234819935-0-cib_8a7f67c6-8e67-486c-97ea-6686cccc8e69.jpg?v=1780901158, friendlyName=Open</x:v>
      </x:c>
      <x:c r="C1887" s="24" t="e">
        <x:f>HYPERLINK("https://365nails.com/products/pink-swirls-red-hearts-precision-crafted-press-on-nails","""Pink Swirls &amp; Red Hearts"" - Precision Crafted Press-On Nails")</x:f>
        <x:v>HYPERLINK is not implemented. linkLocation=https://365nails.com/products/pink-swirls-red-hearts-precision-crafted-press-on-nails, friendlyName="Pink Swirls &amp; Red Hearts" - Precision Crafted Press-On Nails</x:v>
      </x:c>
      <x:c r="D1887" s="18" t="str">
        <x:v>Color: Jp 1784</x:v>
      </x:c>
      <x:c r="E1887" s="25" t="str">
        <x:v>$0.99</x:v>
      </x:c>
      <x:c r="F1887" s="19" t="str">
        <x:v>1</x:v>
      </x:c>
    </x:row>
    <x:row r="1888" ht="93" customHeight="1">
      <x:c r="A1888" s="19" t="n">
        <x:v>1885</x:v>
      </x:c>
      <x:c r="B1888" s="22" t="e">
        <x:f>HYPERLINK("https://cdn.shopify.com/s/files/1/0918/6066/4603/files/15072527900_2037667256_4be23377-4438-42ae-a1c2-50afc3aefb8e.jpg?v=1780901063","Open")</x:f>
        <x:v>HYPERLINK is not implemented. linkLocation=https://cdn.shopify.com/s/files/1/0918/6066/4603/files/15072527900_2037667256_4be23377-4438-42ae-a1c2-50afc3aefb8e.jpg?v=1780901063, friendlyName=Open</x:v>
      </x:c>
      <x:c r="C1888" s="24" t="e">
        <x:f>HYPERLINK("https://365nails.com/products/citrus-color-block-french-precision-crafted-press-on-nails","""Citrus Color Block French"" - Precision Crafted Press-On Nails")</x:f>
        <x:v>HYPERLINK is not implemented. linkLocation=https://365nails.com/products/citrus-color-block-french-precision-crafted-press-on-nails, friendlyName="Citrus Color Block French" - Precision Crafted Press-On Nails</x:v>
      </x:c>
      <x:c r="D1888" s="18" t="str">
        <x:v>Color: Jp748 [glue type] / Jp748 [wearable style]</x:v>
      </x:c>
      <x:c r="E1888" s="25" t="str">
        <x:v>$1.19–$1.29</x:v>
      </x:c>
      <x:c r="F1888" s="19" t="str">
        <x:v>1</x:v>
      </x:c>
    </x:row>
    <x:row r="1889" ht="93" customHeight="1">
      <x:c r="A1889" s="19" t="n">
        <x:v>1886</x:v>
      </x:c>
      <x:c r="B1889" s="22" t="e">
        <x:f>HYPERLINK("https://cdn.shopify.com/s/files/1/0918/6066/4603/files/O1CN01bTEte22NGHlEoKygg__4234819935-0-cib_6336a331-8e6a-41b1-afba-a0c1e7f8ead1.jpg?v=1780901023","Open")</x:f>
        <x:v>HYPERLINK is not implemented. linkLocation=https://cdn.shopify.com/s/files/1/0918/6066/4603/files/O1CN01bTEte22NGHlEoKygg__4234819935-0-cib_6336a331-8e6a-41b1-afba-a0c1e7f8ead1.jpg?v=1780901023, friendlyName=Open</x:v>
      </x:c>
      <x:c r="C1889" s="24" t="e">
        <x:f>HYPERLINK("https://365nails.com/products/baby-blue-blush-blossom-precision-crafted-press-on-nails","""Baby Blue Blush &amp; Blossom"" - Precision Crafted Press-On Nails")</x:f>
        <x:v>HYPERLINK is not implemented. linkLocation=https://365nails.com/products/baby-blue-blush-blossom-precision-crafted-press-on-nails, friendlyName="Baby Blue Blush &amp; Blossom" - Precision Crafted Press-On Nails</x:v>
      </x:c>
      <x:c r="D1889" s="18" t="str">
        <x:v>Color: Jp 2559</x:v>
      </x:c>
      <x:c r="E1889" s="25" t="str">
        <x:v>$0.99</x:v>
      </x:c>
      <x:c r="F1889" s="19" t="str">
        <x:v>1</x:v>
      </x:c>
    </x:row>
    <x:row r="1890" ht="93" customHeight="1">
      <x:c r="A1890" s="19" t="n">
        <x:v>1887</x:v>
      </x:c>
      <x:c r="B1890" s="22" t="e">
        <x:f>HYPERLINK("https://cdn.shopify.com/s/files/1/0918/6066/4603/files/O1CN01fCB0bn2NGHon4Q9m0__4234819935-0-cib_a077938a-0c4a-4e02-aaa6-44719016de7e.jpg?v=1780900981","Open")</x:f>
        <x:v>HYPERLINK is not implemented. linkLocation=https://cdn.shopify.com/s/files/1/0918/6066/4603/files/O1CN01fCB0bn2NGHon4Q9m0__4234819935-0-cib_a077938a-0c4a-4e02-aaa6-44719016de7e.jpg?v=1780900981, friendlyName=Open</x:v>
      </x:c>
      <x:c r="C1890" s="24" t="e">
        <x:f>HYPERLINK("https://365nails.com/products/red-outline-tiny-heart-precision-crafted-press-on-nails","""Red Outline &amp; Tiny Heart"" - Precision Crafted Press-On Nails")</x:f>
        <x:v>HYPERLINK is not implemented. linkLocation=https://365nails.com/products/red-outline-tiny-heart-precision-crafted-press-on-nails, friendlyName="Red Outline &amp; Tiny Heart" - Precision Crafted Press-On Nails</x:v>
      </x:c>
      <x:c r="D1890" s="18" t="str">
        <x:v>Color: Jp3139 [glue type] / Jp3139 [including wearing tool kit]</x:v>
      </x:c>
      <x:c r="E1890" s="25" t="str">
        <x:v>$0.79–$0.99</x:v>
      </x:c>
      <x:c r="F1890" s="19" t="str">
        <x:v>1</x:v>
      </x:c>
    </x:row>
    <x:row r="1891" ht="93" customHeight="1">
      <x:c r="A1891" s="19" t="n">
        <x:v>1888</x:v>
      </x:c>
      <x:c r="B1891" s="22" t="e">
        <x:f>HYPERLINK("https://cdn.shopify.com/s/files/1/0918/6066/4603/files/O1CN0122tr8V2NGHrblUbqk__4234819935-0-cib_94429bc3-4a5a-4d2c-bdde-c5edfe5c878b.jpg?v=1780900950","Open")</x:f>
        <x:v>HYPERLINK is not implemented. linkLocation=https://cdn.shopify.com/s/files/1/0918/6066/4603/files/O1CN0122tr8V2NGHrblUbqk__4234819935-0-cib_94429bc3-4a5a-4d2c-bdde-c5edfe5c878b.jpg?v=1780900950, friendlyName=Open</x:v>
      </x:c>
      <x:c r="C1891" s="24" t="e">
        <x:f>HYPERLINK("https://365nails.com/products/glitter-pink-red-bow-precision-crafted-press-on-nails","""Glitter Pink &amp; Red Bow"" - Precision Crafted Press-On Nails")</x:f>
        <x:v>HYPERLINK is not implemented. linkLocation=https://365nails.com/products/glitter-pink-red-bow-precision-crafted-press-on-nails, friendlyName="Glitter Pink &amp; Red Bow" - Precision Crafted Press-On Nails</x:v>
      </x:c>
      <x:c r="D1891" s="18" t="str">
        <x:v>Color: Jp3309 [glue type] / Jp3309 [including wearing tool kit]</x:v>
      </x:c>
      <x:c r="E1891" s="25" t="str">
        <x:v>$1.29–$1.49</x:v>
      </x:c>
      <x:c r="F1891" s="19" t="str">
        <x:v>1</x:v>
      </x:c>
    </x:row>
    <x:row r="1892" ht="93" customHeight="1">
      <x:c r="A1892" s="19" t="n">
        <x:v>1889</x:v>
      </x:c>
      <x:c r="B1892" s="22" t="e">
        <x:f>HYPERLINK("https://cdn.shopify.com/s/files/1/0918/6066/4603/files/O1CN01Bwnru62NGHyfkXwhH__4234819935-0-cib_f375b788-c2ed-46b8-b52b-3022b859a23c.jpg?v=1780900902","Open")</x:f>
        <x:v>HYPERLINK is not implemented. linkLocation=https://cdn.shopify.com/s/files/1/0918/6066/4603/files/O1CN01Bwnru62NGHyfkXwhH__4234819935-0-cib_f375b788-c2ed-46b8-b52b-3022b859a23c.jpg?v=1780900902, friendlyName=Open</x:v>
      </x:c>
      <x:c r="C1892" s="24" t="e">
        <x:f>HYPERLINK("https://365nails.com/products/classic-french-3d-blossom-precision-crafted-press-on-nails","""Classic French &amp; 3D Blossom"" - Precision Crafted Press-On Nails")</x:f>
        <x:v>HYPERLINK is not implemented. linkLocation=https://365nails.com/products/classic-french-3d-blossom-precision-crafted-press-on-nails, friendlyName="Classic French &amp; 3D Blossom" - Precision Crafted Press-On Nails</x:v>
      </x:c>
      <x:c r="D1892" s="18" t="str">
        <x:v>Color: Jp 3896</x:v>
      </x:c>
      <x:c r="E1892" s="25" t="str">
        <x:v>$1.49</x:v>
      </x:c>
      <x:c r="F1892" s="19" t="str">
        <x:v>1</x:v>
      </x:c>
    </x:row>
    <x:row r="1893" ht="93" customHeight="1">
      <x:c r="A1893" s="19" t="n">
        <x:v>1890</x:v>
      </x:c>
      <x:c r="B1893" s="22" t="e">
        <x:f>HYPERLINK("https://cdn.shopify.com/s/files/1/0918/6066/4603/files/14402928493_2037667256_53c5fc17-0cba-4f10-8faa-a7b899423fa9.jpg?v=1780900865","Open")</x:f>
        <x:v>HYPERLINK is not implemented. linkLocation=https://cdn.shopify.com/s/files/1/0918/6066/4603/files/14402928493_2037667256_53c5fc17-0cba-4f10-8faa-a7b899423fa9.jpg?v=1780900865, friendlyName=Open</x:v>
      </x:c>
      <x:c r="C1893" s="24" t="e">
        <x:f>HYPERLINK("https://365nails.com/products/pastel-rainbow-french-precision-crafted-press-on-nails","""Pastel Rainbow French"" - Precision Crafted Press-On Nails")</x:f>
        <x:v>HYPERLINK is not implemented. linkLocation=https://365nails.com/products/pastel-rainbow-french-precision-crafted-press-on-nails, friendlyName="Pastel Rainbow French" - Precision Crafted Press-On Nails</x:v>
      </x:c>
      <x:c r="D1893" s="18" t="str">
        <x:v>Color: Jp749 [glue type] / Jp749 [wearable style]</x:v>
      </x:c>
      <x:c r="E1893" s="25" t="str">
        <x:v>$0.99–$1.29</x:v>
      </x:c>
      <x:c r="F1893" s="19" t="str">
        <x:v>1</x:v>
      </x:c>
    </x:row>
    <x:row r="1894" ht="93" customHeight="1">
      <x:c r="A1894" s="19" t="n">
        <x:v>1891</x:v>
      </x:c>
      <x:c r="B1894" s="22" t="e">
        <x:f>HYPERLINK("https://cdn.shopify.com/s/files/1/0918/6066/4603/files/O1CN01qVDOyF2NGI05wcfxl__4234819935-0-cib_d0b5934c-1a64-49ce-81e6-d47cecd3bd27.jpg?v=1780900705","Open")</x:f>
        <x:v>HYPERLINK is not implemented. linkLocation=https://cdn.shopify.com/s/files/1/0918/6066/4603/files/O1CN01qVDOyF2NGI05wcfxl__4234819935-0-cib_d0b5934c-1a64-49ce-81e6-d47cecd3bd27.jpg?v=1780900705, friendlyName=Open</x:v>
      </x:c>
      <x:c r="C1894" s="24" t="e">
        <x:f>HYPERLINK("https://365nails.com/products/pearl-chrome-white-ribbon-precision-crafted-press-on-nails","""Pearl Chrome &amp; White Ribbon"" - Precision Crafted Press-On Nails")</x:f>
        <x:v>HYPERLINK is not implemented. linkLocation=https://365nails.com/products/pearl-chrome-white-ribbon-precision-crafted-press-on-nails, friendlyName="Pearl Chrome &amp; White Ribbon" - Precision Crafted Press-On Nails</x:v>
      </x:c>
      <x:c r="D1894" s="18" t="str">
        <x:v>Color: Jl 0669</x:v>
      </x:c>
      <x:c r="E1894" s="25" t="str">
        <x:v>$1.49</x:v>
      </x:c>
      <x:c r="F1894" s="19" t="str">
        <x:v>1</x:v>
      </x:c>
    </x:row>
    <x:row r="1895" ht="93" customHeight="1">
      <x:c r="A1895" s="19" t="n">
        <x:v>1892</x:v>
      </x:c>
      <x:c r="B1895" s="22" t="e">
        <x:f>HYPERLINK("https://cdn.shopify.com/s/files/1/0918/6066/4603/files/71ffb7f27e803d31f278537c6d857df0.jpg?v=1783409652","Open")</x:f>
        <x:v>HYPERLINK is not implemented. linkLocation=https://cdn.shopify.com/s/files/1/0918/6066/4603/files/71ffb7f27e803d31f278537c6d857df0.jpg?v=1783409652, friendlyName=Open</x:v>
      </x:c>
      <x:c r="C1895" s="24" t="e">
        <x:f>HYPERLINK("https://365nails.com/products/365nails-pink-mist-mint-flower-morning-3d-three-dimensional-floral-gradual-change-patch-manicure-water-drop-nail","365Nails: ""Pink Mist Mint Flower Morning"" - 3D three-dimensional floral gradual change patch manicure, water drop nail")</x:f>
        <x:v>HYPERLINK is not implemented. linkLocation=https://365nails.com/products/365nails-pink-mist-mint-flower-morning-3d-three-dimensional-floral-gradual-change-patch-manicure-water-drop-nail, friendlyName=365Nails: "Pink Mist Mint Flower Morning" - 3D three-dimensional floral gradual change patch manicure, water drop nail</x:v>
      </x:c>
      <x:c r="D1895" s="18" t="str">
        <x:v>Size: XS / S / M / L</x:v>
      </x:c>
      <x:c r="E1895" s="25" t="str">
        <x:v>$2.49</x:v>
      </x:c>
      <x:c r="F1895" s="19" t="str">
        <x:v>5</x:v>
      </x:c>
    </x:row>
    <x:row r="1896" ht="93" customHeight="1">
      <x:c r="A1896" s="19" t="n">
        <x:v>1893</x:v>
      </x:c>
      <x:c r="B1896" s="22" t="e">
        <x:f>HYPERLINK("https://cdn.shopify.com/s/files/1/0918/6066/4603/files/e2ebc387b05af784e8e9afc82735034c.png?v=1769504543","Open")</x:f>
        <x:v>HYPERLINK is not implemented. linkLocation=https://cdn.shopify.com/s/files/1/0918/6066/4603/files/e2ebc387b05af784e8e9afc82735034c.png?v=1769504543, friendlyName=Open</x:v>
      </x:c>
      <x:c r="C1896" s="24" t="e">
        <x:f>HYPERLINK("https://365nails.com/products/classic-cat-eye-french-tip-press-on-nails-collection-multi-color-glitter-options","Classic &amp; Cat Eye French Tip Press-On Nails Collection | Multi-Color &amp; Glitter Options")</x:f>
        <x:v>HYPERLINK is not implemented. linkLocation=https://365nails.com/products/classic-cat-eye-french-tip-press-on-nails-collection-multi-color-glitter-options, friendlyName=Classic &amp; Cat Eye French Tip Press-On Nails Collection | Multi-Color &amp; Glitter Options</x:v>
      </x:c>
      <x:c r="D1896" s="18" t="str">
        <x:v>Color: Frech1 / Frech2 / Frech3 / Frech4 / Frech5 / Frech6 / Frech7 / Frech8 / Frech9 / Frech10 / Frech11 / Frech12 / Frech13 / Frech16 / Frech17 / Frech19 / Frech20 / Frech21 / Frech22 / Frech23 / Frech24 / Frech25; Size: XS / S / M / L</x:v>
      </x:c>
      <x:c r="E1896" s="25" t="str">
        <x:v>$2.49</x:v>
      </x:c>
      <x:c r="F1896" s="19" t="str">
        <x:v>30</x:v>
      </x:c>
    </x:row>
    <x:row r="1897" ht="93" customHeight="1">
      <x:c r="A1897" s="19" t="n">
        <x:v>1894</x:v>
      </x:c>
      <x:c r="B1897" s="22" t="e">
        <x:f>HYPERLINK("https://cdn.shopify.com/s/files/1/0918/6066/4603/files/d680d145d6eb28e4ea80027011206245.png?v=1771988786","Open")</x:f>
        <x:v>HYPERLINK is not implemented. linkLocation=https://cdn.shopify.com/s/files/1/0918/6066/4603/files/d680d145d6eb28e4ea80027011206245.png?v=1771988786, friendlyName=Open</x:v>
      </x:c>
      <x:c r="C1897" s="24" t="e">
        <x:f>HYPERLINK("https://365nails.com/products/premium-done-for-you-shopify-store-setup-dropshipping-turnkey-solution","Premium ""Done-For-You"" Shopify Store Setup | Dropshipping Turnkey Solution")</x:f>
        <x:v>HYPERLINK is not implemented. linkLocation=https://365nails.com/products/premium-done-for-you-shopify-store-setup-dropshipping-turnkey-solution, friendlyName=Premium "Done-For-You" Shopify Store Setup | Dropshipping Turnkey Solution</x:v>
      </x:c>
      <x:c r="D1897" s="18" t="str">
        <x:v>Photo Type: Product Upload Only / Standard Store Design / Advanced Customization / Need a Custom Logo / 40handmade+10machine</x:v>
      </x:c>
      <x:c r="E1897" s="25" t="str">
        <x:v>$30.00–$299.00</x:v>
      </x:c>
      <x:c r="F1897" s="19" t="str">
        <x:v>1</x:v>
      </x:c>
    </x:row>
    <x:row r="1898" ht="93" customHeight="1">
      <x:c r="A1898" s="19" t="n">
        <x:v>1895</x:v>
      </x:c>
      <x:c r="B1898" s="22" t="e">
        <x:f>HYPERLINK("https://cdn.shopify.com/s/files/1/0918/6066/4603/files/b4d621485c25c5148dc758d610be48ea.jpg?v=1777645012","Open")</x:f>
        <x:v>HYPERLINK is not implemented. linkLocation=https://cdn.shopify.com/s/files/1/0918/6066/4603/files/b4d621485c25c5148dc758d610be48ea.jpg?v=1777645012, friendlyName=Open</x:v>
      </x:c>
      <x:c r="C1898" s="24" t="e">
        <x:f>HYPERLINK("https://365nails.com/products/365nails-sunny-strawberry-3d-floral-gem-handmade-long-square-press-on-nails","365nails: ""Sunny Strawberry"" – 3D Floral &amp; Gem Handmade Long Square Press On Nails")</x:f>
        <x:v>HYPERLINK is not implemented. linkLocation=https://365nails.com/products/365nails-sunny-strawberry-3d-floral-gem-handmade-long-square-press-on-nails, friendlyName=365nails: "Sunny Strawberry" – 3D Floral &amp; Gem Handmade Long Square Press On Nails</x:v>
      </x:c>
      <x:c r="D1898" s="18" t="str">
        <x:v>Size: XS / S / M / L</x:v>
      </x:c>
      <x:c r="E1898" s="25" t="str">
        <x:v>$4.99</x:v>
      </x:c>
      <x:c r="F1898" s="19" t="str">
        <x:v>5</x:v>
      </x:c>
    </x:row>
    <x:row r="1899" ht="93" customHeight="1">
      <x:c r="A1899" s="19" t="n">
        <x:v>1896</x:v>
      </x:c>
      <x:c r="B1899" s="22" t="e">
        <x:f>HYPERLINK("https://cdn.shopify.com/s/files/1/0918/6066/4603/files/13fb3b6e2da92a27fc7dadfc8d0cb5be.jpg?v=1777562140","Open")</x:f>
        <x:v>HYPERLINK is not implemented. linkLocation=https://cdn.shopify.com/s/files/1/0918/6066/4603/files/13fb3b6e2da92a27fc7dadfc8d0cb5be.jpg?v=1777562140, friendlyName=Open</x:v>
      </x:c>
      <x:c r="C1899" s="24" t="e">
        <x:f>HYPERLINK("https://365nails.com/products/365nails-red-gothic-cross-handmade-medium-stiletto-press-on-nails","365nails: ""Red Gothic Cross"" – Handmade Medium Stiletto Press-On Nails")</x:f>
        <x:v>HYPERLINK is not implemented. linkLocation=https://365nails.com/products/365nails-red-gothic-cross-handmade-medium-stiletto-press-on-nails, friendlyName=365nails: "Red Gothic Cross" – Handmade Medium Stiletto Press-On Nails</x:v>
      </x:c>
      <x:c r="D1899" s="18" t="str">
        <x:v>Size: XS / S / M / L</x:v>
      </x:c>
      <x:c r="E1899" s="25" t="str">
        <x:v>$4.99</x:v>
      </x:c>
      <x:c r="F1899" s="19" t="str">
        <x:v>5</x:v>
      </x:c>
    </x:row>
    <x:row r="1900" ht="93" customHeight="1">
      <x:c r="A1900" s="19" t="n">
        <x:v>1897</x:v>
      </x:c>
      <x:c r="B1900" s="22" t="e">
        <x:f>HYPERLINK("https://cdn.shopify.com/s/files/1/0918/6066/4603/files/07d7fef698bf9399fda4a7ab738dbdc9.jpg?v=1777562432","Open")</x:f>
        <x:v>HYPERLINK is not implemented. linkLocation=https://cdn.shopify.com/s/files/1/0918/6066/4603/files/07d7fef698bf9399fda4a7ab738dbdc9.jpg?v=1777562432, friendlyName=Open</x:v>
      </x:c>
      <x:c r="C1900" s="24" t="e">
        <x:f>HYPERLINK("https://365nails.com/products/365nails-purple-pink-ornate-handmade-medium-stiletto-press-on-nails","365nails: ""Purple &amp; Pink Ornate"" – Handmade Medium Stiletto Press-On Nails")</x:f>
        <x:v>HYPERLINK is not implemented. linkLocation=https://365nails.com/products/365nails-purple-pink-ornate-handmade-medium-stiletto-press-on-nails, friendlyName=365nails: "Purple &amp; Pink Ornate" – Handmade Medium Stiletto Press-On Nails</x:v>
      </x:c>
      <x:c r="D1900" s="18" t="str">
        <x:v>Size: XS / S / M / L</x:v>
      </x:c>
      <x:c r="E1900" s="25" t="str">
        <x:v>$4.99</x:v>
      </x:c>
      <x:c r="F1900" s="19" t="str">
        <x:v>5</x:v>
      </x:c>
    </x:row>
    <x:row r="1901" ht="93" customHeight="1">
      <x:c r="A1901" s="19" t="n">
        <x:v>1898</x:v>
      </x:c>
      <x:c r="B1901" s="22" t="e">
        <x:f>HYPERLINK("https://cdn.shopify.com/s/files/1/0918/6066/4603/files/f6edd6f8badfae890dd116802a0ca3e7.jpg?v=1777562499","Open")</x:f>
        <x:v>HYPERLINK is not implemented. linkLocation=https://cdn.shopify.com/s/files/1/0918/6066/4603/files/f6edd6f8badfae890dd116802a0ca3e7.jpg?v=1777562499, friendlyName=Open</x:v>
      </x:c>
      <x:c r="C1901" s="24" t="e">
        <x:f>HYPERLINK("https://365nails.com/products/365nails-gothic-ankh-dragonfly-handmade-medium-almond-press-on-nails","365nails: ""Gothic Ankh Dragonfly"" – Handmade Medium Almond Press-On Nails")</x:f>
        <x:v>HYPERLINK is not implemented. linkLocation=https://365nails.com/products/365nails-gothic-ankh-dragonfly-handmade-medium-almond-press-on-nails, friendlyName=365nails: "Gothic Ankh Dragonfly" – Handmade Medium Almond Press-On Nails</x:v>
      </x:c>
      <x:c r="D1901" s="18" t="str">
        <x:v>Size: XS / S / M / L</x:v>
      </x:c>
      <x:c r="E1901" s="25" t="str">
        <x:v>$4.99</x:v>
      </x:c>
      <x:c r="F1901" s="19" t="str">
        <x:v>5</x:v>
      </x:c>
    </x:row>
    <x:row r="1902" ht="93" customHeight="1">
      <x:c r="A1902" s="19" t="n">
        <x:v>1899</x:v>
      </x:c>
      <x:c r="B1902" s="22" t="e">
        <x:f>HYPERLINK("https://cdn.shopify.com/s/files/1/0918/6066/4603/files/52fd47a2be0ff85a6d51a09f57c51006.jpg?v=1783086032","Open")</x:f>
        <x:v>HYPERLINK is not implemented. linkLocation=https://cdn.shopify.com/s/files/1/0918/6066/4603/files/52fd47a2be0ff85a6d51a09f57c51006.jpg?v=1783086032, friendlyName=Open</x:v>
      </x:c>
      <x:c r="C1902" s="24" t="e">
        <x:f>HYPERLINK("https://365nails.com/products/365nails-blush-floral-butterfly-script-silver-glitter-handmade-long-stiletto-nails","365nails: ""Blush Floral Butterfly Script"" – Silver Glitter Handmade Long Stiletto Nails")</x:f>
        <x:v>HYPERLINK is not implemented. linkLocation=https://365nails.com/products/365nails-blush-floral-butterfly-script-silver-glitter-handmade-long-stiletto-nails, friendlyName=365nails: "Blush Floral Butterfly Script" – Silver Glitter Handmade Long Stiletto Nails</x:v>
      </x:c>
      <x:c r="D1902" s="18" t="str">
        <x:v>Size: XS / S / M / L</x:v>
      </x:c>
      <x:c r="E1902" s="25" t="str">
        <x:v>$19.90</x:v>
      </x:c>
      <x:c r="F1902" s="19" t="str">
        <x:v>3</x:v>
      </x:c>
    </x:row>
    <x:row r="1903" ht="93" customHeight="1">
      <x:c r="A1903" s="19" t="n">
        <x:v>1900</x:v>
      </x:c>
      <x:c r="B1903" s="22" t="e">
        <x:f>HYPERLINK("https://cdn.shopify.com/s/files/1/0918/6066/4603/files/9c91da254f2f007c540a0746a9377b4c.jpg?v=1775907573","Open")</x:f>
        <x:v>HYPERLINK is not implemented. linkLocation=https://cdn.shopify.com/s/files/1/0918/6066/4603/files/9c91da254f2f007c540a0746a9377b4c.jpg?v=1775907573, friendlyName=Open</x:v>
      </x:c>
      <x:c r="C1903" s="24" t="e">
        <x:f>HYPERLINK("https://365nails.com/products/365nails-ethereal-garden-3d-floral-handmade-stiletto-nails","365nails: ""Ethereal Garden"" – 3D Floral Handmade Stiletto Nails")</x:f>
        <x:v>HYPERLINK is not implemented. linkLocation=https://365nails.com/products/365nails-ethereal-garden-3d-floral-handmade-stiletto-nails, friendlyName=365nails: "Ethereal Garden" – 3D Floral Handmade Stiletto Nails</x:v>
      </x:c>
      <x:c r="D1903" s="18" t="str">
        <x:v>Size: XS / S / M / L</x:v>
      </x:c>
      <x:c r="E1903" s="25" t="str">
        <x:v>$3.99</x:v>
      </x:c>
      <x:c r="F1903" s="19" t="str">
        <x:v>5</x:v>
      </x:c>
    </x:row>
    <x:row r="1904" ht="93" customHeight="1">
      <x:c r="A1904" s="19" t="n">
        <x:v>1901</x:v>
      </x:c>
      <x:c r="B1904" s="22" t="e">
        <x:f>HYPERLINK("https://cdn.shopify.com/s/files/1/0918/6066/4603/files/1830ad7e921be25baf55c454f00a5f07.jpg?v=1776416690","Open")</x:f>
        <x:v>HYPERLINK is not implemented. linkLocation=https://cdn.shopify.com/s/files/1/0918/6066/4603/files/1830ad7e921be25baf55c454f00a5f07.jpg?v=1776416690, friendlyName=Open</x:v>
      </x:c>
      <x:c r="C1904" s="24" t="e">
        <x:f>HYPERLINK("https://365nails.com/products/365nails-crimson-bloom-3d-floral-handmade-medium-almond-nails","365nails: ""Crimson Bloom"" – 3D Floral Handmade Medium Almond Nails")</x:f>
        <x:v>HYPERLINK is not implemented. linkLocation=https://365nails.com/products/365nails-crimson-bloom-3d-floral-handmade-medium-almond-nails, friendlyName=365nails: "Crimson Bloom" – 3D Floral Handmade Medium Almond Nails</x:v>
      </x:c>
      <x:c r="D1904" s="18" t="str">
        <x:v>Size: XS / S / M / L</x:v>
      </x:c>
      <x:c r="E1904" s="25" t="str">
        <x:v>$3.99</x:v>
      </x:c>
      <x:c r="F1904" s="19" t="str">
        <x:v>5</x:v>
      </x:c>
    </x:row>
    <x:row r="1905" ht="93" customHeight="1">
      <x:c r="A1905" s="19" t="n">
        <x:v>1902</x:v>
      </x:c>
      <x:c r="B1905" s="22" t="e">
        <x:f>HYPERLINK("https://cdn.shopify.com/s/files/1/0918/6066/4603/files/c5e6cc856c72fe2a00d0c766f7241f27.jpg?v=1777802106","Open")</x:f>
        <x:v>HYPERLINK is not implemented. linkLocation=https://cdn.shopify.com/s/files/1/0918/6066/4603/files/c5e6cc856c72fe2a00d0c766f7241f27.jpg?v=1777802106, friendlyName=Open</x:v>
      </x:c>
      <x:c r="C1905" s="24" t="e">
        <x:f>HYPERLINK("https://365nails.com/products/365nails-pale-pink-yellow-cherry-blossom-mix-handmade-medium-stiletto-press-on-nails","365nails: ""Pale Pink Yellow Cherry Blossom Mix"" – Handmade Medium Stiletto Press-On Nails")</x:f>
        <x:v>HYPERLINK is not implemented. linkLocation=https://365nails.com/products/365nails-pale-pink-yellow-cherry-blossom-mix-handmade-medium-stiletto-press-on-nails, friendlyName=365nails: "Pale Pink Yellow Cherry Blossom Mix" – Handmade Medium Stiletto Press-On Nails</x:v>
      </x:c>
      <x:c r="D1905" s="18" t="str">
        <x:v>Size: XS / S / M / L</x:v>
      </x:c>
      <x:c r="E1905" s="25" t="str">
        <x:v>$3.49</x:v>
      </x:c>
      <x:c r="F1905" s="19" t="str">
        <x:v>5</x:v>
      </x:c>
    </x:row>
    <x:row r="1906" ht="93" customHeight="1">
      <x:c r="A1906" s="19" t="n">
        <x:v>1903</x:v>
      </x:c>
      <x:c r="B1906" s="22" t="e">
        <x:f>HYPERLINK("https://cdn.shopify.com/s/files/1/0918/6066/4603/files/60fd7c31e8a350f1aa395af3b2b9f5b2.jpg?v=1774271313","Open")</x:f>
        <x:v>HYPERLINK is not implemented. linkLocation=https://cdn.shopify.com/s/files/1/0918/6066/4603/files/60fd7c31e8a350f1aa395af3b2b9f5b2.jpg?v=1774271313, friendlyName=Open</x:v>
      </x:c>
      <x:c r="C1906" s="24" t="e">
        <x:f>HYPERLINK("https://365nails.com/products/cosmic-fatale-blush-pink-lily-glow-long-sharp-stiletto-handmade-press-on-nails","Cosmic Fatale: ""Blush Pink Lily Glow"" – Long Sharp Stiletto Handmade Press On Nails")</x:f>
        <x:v>HYPERLINK is not implemented. linkLocation=https://365nails.com/products/cosmic-fatale-blush-pink-lily-glow-long-sharp-stiletto-handmade-press-on-nails, friendlyName=Cosmic Fatale: "Blush Pink Lily Glow" – Long Sharp Stiletto Handmade Press On Nails</x:v>
      </x:c>
      <x:c r="D1906" s="18" t="str">
        <x:v>Size: XS / S / M / L</x:v>
      </x:c>
      <x:c r="E1906" s="25" t="str">
        <x:v>$3.99</x:v>
      </x:c>
      <x:c r="F1906" s="19" t="str">
        <x:v>5</x:v>
      </x:c>
    </x:row>
    <x:row r="1907" ht="93" customHeight="1">
      <x:c r="A1907" s="19" t="n">
        <x:v>1904</x:v>
      </x:c>
      <x:c r="B1907" s="22" t="e">
        <x:f>HYPERLINK("https://cdn.shopify.com/s/files/1/0918/6066/4603/files/5c7f35b5b7d06a819e3a885f2ee212cf.jpg?v=1771480859","Open")</x:f>
        <x:v>HYPERLINK is not implemented. linkLocation=https://cdn.shopify.com/s/files/1/0918/6066/4603/files/5c7f35b5b7d06a819e3a885f2ee212cf.jpg?v=1771480859, friendlyName=Open</x:v>
      </x:c>
      <x:c r="C1907" s="24" t="e">
        <x:f>HYPERLINK("https://365nails.com/products/lavender-dewdrop-sculpted-flora-series","Sculpted Flora: ""Lavender Dewdrop"" – 3D Translucent Purple Flowers &amp; Wet Look Water Droplets on Stiletto Nails")</x:f>
        <x:v>HYPERLINK is not implemented. linkLocation=https://365nails.com/products/lavender-dewdrop-sculpted-flora-series, friendlyName=Sculpted Flora: "Lavender Dewdrop" – 3D Translucent Purple Flowers &amp; Wet Look Water Droplets on Stiletto Nails</x:v>
      </x:c>
      <x:c r="D1907" s="18" t="str">
        <x:v>Size: XS / S / M / L</x:v>
      </x:c>
      <x:c r="E1907" s="25" t="str">
        <x:v>$3.99</x:v>
      </x:c>
      <x:c r="F1907" s="19" t="str">
        <x:v>5</x:v>
      </x:c>
    </x:row>
    <x:row r="1908" ht="93" customHeight="1">
      <x:c r="A1908" s="19" t="n">
        <x:v>1905</x:v>
      </x:c>
      <x:c r="B1908" s="22" t="e">
        <x:f>HYPERLINK("https://cdn.shopify.com/s/files/1/0918/6066/4603/files/cb9cfcaf174a3a672ab408dad093c44a_eb238084-6bbf-4339-8be7-015b72079237.jpg?v=1771463274","Open")</x:f>
        <x:v>HYPERLINK is not implemented. linkLocation=https://cdn.shopify.com/s/files/1/0918/6066/4603/files/cb9cfcaf174a3a672ab408dad093c44a_eb238084-6bbf-4339-8be7-015b72079237.jpg?v=1771463274, friendlyName=Open</x:v>
      </x:c>
      <x:c r="C1908" s="24" t="e">
        <x:f>HYPERLINK("https://365nails.com/products/juicy-watermelon-sculpted-flora-series","Sculpted Flora: ""Juicy Watermelon"" – 3D Red Hibiscus &amp; Wet Look Droplets Stiletto Nails")</x:f>
        <x:v>HYPERLINK is not implemented. linkLocation=https://365nails.com/products/juicy-watermelon-sculpted-flora-series, friendlyName=Sculpted Flora: "Juicy Watermelon" – 3D Red Hibiscus &amp; Wet Look Droplets Stiletto Nails</x:v>
      </x:c>
      <x:c r="D1908" s="18" t="str">
        <x:v>Size: XS / S / M / L</x:v>
      </x:c>
      <x:c r="E1908" s="25" t="str">
        <x:v>$3.99</x:v>
      </x:c>
      <x:c r="F1908" s="19" t="str">
        <x:v>5</x:v>
      </x:c>
    </x:row>
    <x:row r="1909" ht="93" customHeight="1">
      <x:c r="A1909" s="19" t="n">
        <x:v>1906</x:v>
      </x:c>
      <x:c r="B1909" s="22" t="e">
        <x:f>HYPERLINK("https://cdn.shopify.com/s/files/1/0918/6066/4603/files/c267a9cc12001d1bdf7737ab1d49ee29.jpg?v=1770276294","Open")</x:f>
        <x:v>HYPERLINK is not implemented. linkLocation=https://cdn.shopify.com/s/files/1/0918/6066/4603/files/c267a9cc12001d1bdf7737ab1d49ee29.jpg?v=1770276294, friendlyName=Open</x:v>
      </x:c>
      <x:c r="C1909" s="24" t="e">
        <x:f>HYPERLINK("https://365nails.com/products/handmade-raspberry-romance-3d-floral-press-on-nails-crystal-butterfly-pearl-accents-almond-10pcs-set","Handmade ""Raspberry Romance"" 3D Floral Press-on Nails | Crystal Butterfly &amp; Pearl Accents | Almond")</x:f>
        <x:v>HYPERLINK is not implemented. linkLocation=https://365nails.com/products/handmade-raspberry-romance-3d-floral-press-on-nails-crystal-butterfly-pearl-accents-almond-10pcs-set, friendlyName=Handmade "Raspberry Romance" 3D Floral Press-on Nails | Crystal Butterfly &amp; Pearl Accents | Almond</x:v>
      </x:c>
      <x:c r="D1909" s="18" t="str">
        <x:v>Size: XS / S / M / L</x:v>
      </x:c>
      <x:c r="E1909" s="25" t="str">
        <x:v>$4.49</x:v>
      </x:c>
      <x:c r="F1909" s="19" t="str">
        <x:v>5</x:v>
      </x:c>
    </x:row>
    <x:row r="1910" ht="93" customHeight="1">
      <x:c r="A1910" s="19" t="n">
        <x:v>1907</x:v>
      </x:c>
      <x:c r="B1910" s="22" t="e">
        <x:f>HYPERLINK("https://cdn.shopify.com/s/files/1/0918/6066/4603/files/f06b8bdde9fafb24ddede98fa632cf26.jpg?v=1770276277","Open")</x:f>
        <x:v>HYPERLINK is not implemented. linkLocation=https://cdn.shopify.com/s/files/1/0918/6066/4603/files/f06b8bdde9fafb24ddede98fa632cf26.jpg?v=1770276277, friendlyName=Open</x:v>
      </x:c>
      <x:c r="C1910" s="24" t="e">
        <x:f>HYPERLINK("https://365nails.com/products/handmade-cherry-blossom-pop-3d-floral-press-on-nails-hot-pink-textured-ribbons-long-coffin-10pcs-set","Handmade ""Cherry Blossom Pop"" 3D Floral Press-on Nails | Hot Pink &amp; Textured Ribbons | Long Coffin")</x:f>
        <x:v>HYPERLINK is not implemented. linkLocation=https://365nails.com/products/handmade-cherry-blossom-pop-3d-floral-press-on-nails-hot-pink-textured-ribbons-long-coffin-10pcs-set, friendlyName=Handmade "Cherry Blossom Pop" 3D Floral Press-on Nails | Hot Pink &amp; Textured Ribbons | Long Coffin</x:v>
      </x:c>
      <x:c r="D1910" s="18" t="str">
        <x:v>Size: XS / S / M / L</x:v>
      </x:c>
      <x:c r="E1910" s="25" t="str">
        <x:v>$4.99</x:v>
      </x:c>
      <x:c r="F1910" s="19" t="str">
        <x:v>5</x:v>
      </x:c>
    </x:row>
    <x:row r="1911" ht="93" customHeight="1">
      <x:c r="A1911" s="19" t="n">
        <x:v>1908</x:v>
      </x:c>
      <x:c r="B1911" s="22" t="e">
        <x:f>HYPERLINK("https://cdn.shopify.com/s/files/1/0918/6066/4603/files/841c4da9626c5e0db3aa94adf51f7554.jpg?v=1782366735","Open")</x:f>
        <x:v>HYPERLINK is not implemented. linkLocation=https://cdn.shopify.com/s/files/1/0918/6066/4603/files/841c4da9626c5e0db3aa94adf51f7554.jpg?v=1782366735, friendlyName=Open</x:v>
      </x:c>
      <x:c r="C1911" s="24" t="e">
        <x:f>HYPERLINK("https://365nails.com/products/classic-white-french-timeless-32pcs-press-on-nails-set","""Classic White French"" - Timeless 32Pcs Press-On Nails Set")</x:f>
        <x:v>HYPERLINK is not implemented. linkLocation=https://365nails.com/products/classic-white-french-timeless-32pcs-press-on-nails-set, friendlyName="Classic White French" - Timeless 32Pcs Press-On Nails Set</x:v>
      </x:c>
      <x:c r="D1911" s="18" t="str">
        <x:v>Color: Ys–515-61d-014 / Ys–515–359 / Ys–515–442 / Ys–515–514–13 / Ys–515–3387–1 / Ys–515-3391-1 / Ys–516-61d-014 / Ys–516–359 / Ys–516–442 / Ys–516–514–13 / Ys–516–3387–1 / Ys–516–3391–1 / Ys-515-61d-014 (pvc box) / Ys-515-359 (pvc box) / Ys-515-442 (pvc box) / Ys-515-514-13 (pvc box) / Ys-515-3387-1 (pvc box) / Ys-515-3391-1 (pvc box) / Ys-516-61d-014 (pvc box) / Ys-516-359 (pvc box) / Ys-516-442 (pvc box) / Ys-516-514-13 (pvc box) / Ys-516-3387-1 (pvc box) / Ys-516-3391-1 (pvc box)</x:v>
      </x:c>
      <x:c r="E1911" s="25" t="str">
        <x:v>$1.29</x:v>
      </x:c>
      <x:c r="F1911" s="19" t="str">
        <x:v>1</x:v>
      </x:c>
    </x:row>
    <x:row r="1912" ht="93" customHeight="1">
      <x:c r="A1912" s="19" t="n">
        <x:v>1909</x:v>
      </x:c>
      <x:c r="B1912" s="22" t="e">
        <x:f>HYPERLINK("https://cdn.shopify.com/s/files/1/0918/6066/4603/files/36ce718ca347d52f4db640f582985e59_1b9b8737-0a17-4764-ad60-e0b440d5e53a.jpg?v=1766740105","Open")</x:f>
        <x:v>HYPERLINK is not implemented. linkLocation=https://cdn.shopify.com/s/files/1/0918/6066/4603/files/36ce718ca347d52f4db640f582985e59_1b9b8737-0a17-4764-ad60-e0b440d5e53a.jpg?v=1766740105, friendlyName=Open</x:v>
      </x:c>
      <x:c r="C1912" s="24" t="e">
        <x:f>HYPERLINK("https://365nails.com/products/moonlit-unicorn-shell-press-on-nails-sheer-pink","Moonlit Unicorn Shell Press On Nails｜Sheer Pink")</x:f>
        <x:v>HYPERLINK is not implemented. linkLocation=https://365nails.com/products/moonlit-unicorn-shell-press-on-nails-sheer-pink, friendlyName=Moonlit Unicorn Shell Press On Nails｜Sheer Pink</x:v>
      </x:c>
      <x:c r="D1912" s="18" t="str">
        <x:v>Size: XS / S / M / L; Length: 25mm</x:v>
      </x:c>
      <x:c r="E1912" s="25" t="str">
        <x:v>$19.90</x:v>
      </x:c>
      <x:c r="F1912" s="19" t="str">
        <x:v>3</x:v>
      </x:c>
    </x:row>
    <x:row r="1913" ht="93" customHeight="1">
      <x:c r="A1913" s="19" t="n">
        <x:v>1910</x:v>
      </x:c>
      <x:c r="B1913" s="22" t="e">
        <x:f>HYPERLINK("https://cdn.shopify.com/s/files/1/0918/6066/4603/files/dd6614f0c72ee61e74a5f115136d4edb.jpg?v=1766739719","Open")</x:f>
        <x:v>HYPERLINK is not implemented. linkLocation=https://cdn.shopify.com/s/files/1/0918/6066/4603/files/dd6614f0c72ee61e74a5f115136d4edb.jpg?v=1766739719, friendlyName=Open</x:v>
      </x:c>
      <x:c r="C1913" s="24" t="e">
        <x:f>HYPERLINK("https://365nails.com/products/bloody-mist-alien-claw-press-on-nails-mint-green-stiletto-with-silver-charms","Bloody Mist Alien Claw Press On Nails｜Mint Green  Stiletto with Silver Charms")</x:f>
        <x:v>HYPERLINK is not implemented. linkLocation=https://365nails.com/products/bloody-mist-alien-claw-press-on-nails-mint-green-stiletto-with-silver-charms, friendlyName=Bloody Mist Alien Claw Press On Nails｜Mint Green  Stiletto with Silver Charms</x:v>
      </x:c>
      <x:c r="D1913" s="18" t="str">
        <x:v>Size: XS / S / M / L; Length: 25mm</x:v>
      </x:c>
      <x:c r="E1913" s="25" t="str">
        <x:v>$19.90</x:v>
      </x:c>
      <x:c r="F1913" s="19" t="str">
        <x:v>3</x:v>
      </x:c>
    </x:row>
    <x:row r="1914" ht="93" customHeight="1">
      <x:c r="A1914" s="19" t="n">
        <x:v>1911</x:v>
      </x:c>
      <x:c r="B1914" s="22" t="e">
        <x:f>HYPERLINK("https://cdn.shopify.com/s/files/1/0918/6066/4603/files/4e760e5142a3f3153b0d8daa14b82d33.jpg?v=1766739963","Open")</x:f>
        <x:v>HYPERLINK is not implemented. linkLocation=https://cdn.shopify.com/s/files/1/0918/6066/4603/files/4e760e5142a3f3153b0d8daa14b82d33.jpg?v=1766739963, friendlyName=Open</x:v>
      </x:c>
      <x:c r="C1914" s="24" t="e">
        <x:f>HYPERLINK("https://365nails.com/products/midnight-chrome-armor-press-on-nails-black-silver-ombre-stiletto","Midnight Chrome Armor Press On Nails｜Black–Silver Ombre Stiletto")</x:f>
        <x:v>HYPERLINK is not implemented. linkLocation=https://365nails.com/products/midnight-chrome-armor-press-on-nails-black-silver-ombre-stiletto, friendlyName=Midnight Chrome Armor Press On Nails｜Black–Silver Ombre Stiletto</x:v>
      </x:c>
      <x:c r="D1914" s="18" t="str">
        <x:v>Size: XS / S / M / L; Length: 25mm</x:v>
      </x:c>
      <x:c r="E1914" s="25" t="str">
        <x:v>$19.90</x:v>
      </x:c>
      <x:c r="F1914" s="19" t="str">
        <x:v>3</x:v>
      </x:c>
    </x:row>
    <x:row r="1915" ht="93" customHeight="1">
      <x:c r="A1915" s="19" t="n">
        <x:v>1912</x:v>
      </x:c>
      <x:c r="B1915" s="22" t="e">
        <x:f>HYPERLINK("https://cdn.shopify.com/s/files/1/0918/6066/4603/files/f97d85f1bee522fb1491b2aad9921fd9_b5770f26-a5ef-4265-898b-b6ca6c9c3e2b.jpg?v=1766740179","Open")</x:f>
        <x:v>HYPERLINK is not implemented. linkLocation=https://cdn.shopify.com/s/files/1/0918/6066/4603/files/f97d85f1bee522fb1491b2aad9921fd9_b5770f26-a5ef-4265-898b-b6ca6c9c3e2b.jpg?v=1766740179, friendlyName=Open</x:v>
      </x:c>
      <x:c r="C1915" s="24" t="e">
        <x:f>HYPERLINK("https://365nails.com/products/sakura-milky-claw-press-on-nails-pink-white-stiletto","Sakura Milky Claw Press On Nails｜Pink–White Stiletto")</x:f>
        <x:v>HYPERLINK is not implemented. linkLocation=https://365nails.com/products/sakura-milky-claw-press-on-nails-pink-white-stiletto, friendlyName=Sakura Milky Claw Press On Nails｜Pink–White Stiletto</x:v>
      </x:c>
      <x:c r="D1915" s="18" t="str">
        <x:v>Size: XS / S / M / L; Length: 25mm</x:v>
      </x:c>
      <x:c r="E1915" s="25" t="str">
        <x:v>$19.90</x:v>
      </x:c>
      <x:c r="F1915" s="19" t="str">
        <x:v>3</x:v>
      </x:c>
    </x:row>
    <x:row r="1916" ht="93" customHeight="1">
      <x:c r="A1916" s="19" t="n">
        <x:v>1913</x:v>
      </x:c>
      <x:c r="B1916" s="22" t="e">
        <x:f>HYPERLINK("https://cdn.shopify.com/s/files/1/0918/6066/4603/files/b0d7d13f3ebad000494b030c39d0cdec.jpg?v=1766740861","Open")</x:f>
        <x:v>HYPERLINK is not implemented. linkLocation=https://cdn.shopify.com/s/files/1/0918/6066/4603/files/b0d7d13f3ebad000494b030c39d0cdec.jpg?v=1766740861, friendlyName=Open</x:v>
      </x:c>
      <x:c r="C1916" s="24" t="e">
        <x:f>HYPERLINK("https://365nails.com/products/pink-crystal-bow-press-on-nails-sweet-stiletto","Pink Crystal Bow Press On Nails｜Sweet  Stiletto")</x:f>
        <x:v>HYPERLINK is not implemented. linkLocation=https://365nails.com/products/pink-crystal-bow-press-on-nails-sweet-stiletto, friendlyName=Pink Crystal Bow Press On Nails｜Sweet  Stiletto</x:v>
      </x:c>
      <x:c r="D1916" s="18" t="str">
        <x:v>Size: XS / S / M / L; Length: 25mm</x:v>
      </x:c>
      <x:c r="E1916" s="25" t="str">
        <x:v>$19.90</x:v>
      </x:c>
      <x:c r="F1916" s="19" t="str">
        <x:v>3</x:v>
      </x:c>
    </x:row>
    <x:row r="1917" ht="93" customHeight="1">
      <x:c r="A1917" s="19" t="n">
        <x:v>1914</x:v>
      </x:c>
      <x:c r="B1917" s="22" t="e">
        <x:f>HYPERLINK("https://cdn.shopify.com/s/files/1/0918/6066/4603/files/287bf9c22b32fb6633b6bbe579a09e5b.jpg?v=1766740444","Open")</x:f>
        <x:v>HYPERLINK is not implemented. linkLocation=https://cdn.shopify.com/s/files/1/0918/6066/4603/files/287bf9c22b32fb6633b6bbe579a09e5b.jpg?v=1766740444, friendlyName=Open</x:v>
      </x:c>
      <x:c r="C1917" s="24" t="e">
        <x:f>HYPERLINK("https://365nails.com/products/dark-sweetheart-chain-press-on-nails-burgundy-stiletto-with-hearts-piercings","Dark Sweetheart Chain Press On Nails｜Burgundy  Stiletto with Hearts &amp; Piercings")</x:f>
        <x:v>HYPERLINK is not implemented. linkLocation=https://365nails.com/products/dark-sweetheart-chain-press-on-nails-burgundy-stiletto-with-hearts-piercings, friendlyName=Dark Sweetheart Chain Press On Nails｜Burgundy  Stiletto with Hearts &amp; Piercings</x:v>
      </x:c>
      <x:c r="D1917" s="18" t="str">
        <x:v>Size: XS / S / M / L; Length: 25mm</x:v>
      </x:c>
      <x:c r="E1917" s="25" t="str">
        <x:v>$19.90</x:v>
      </x:c>
      <x:c r="F1917" s="19" t="str">
        <x:v>3</x:v>
      </x:c>
    </x:row>
    <x:row r="1918" ht="93" customHeight="1">
      <x:c r="A1918" s="19" t="n">
        <x:v>1915</x:v>
      </x:c>
      <x:c r="B1918" s="22" t="e">
        <x:f>HYPERLINK("https://cdn.shopify.com/s/files/1/0918/6066/4603/files/7b576d8662e30cdcb127d5d88567b1bd.jpg?v=1766740840","Open")</x:f>
        <x:v>HYPERLINK is not implemented. linkLocation=https://cdn.shopify.com/s/files/1/0918/6066/4603/files/7b576d8662e30cdcb127d5d88567b1bd.jpg?v=1766740840, friendlyName=Open</x:v>
      </x:c>
      <x:c r="C1918" s="24" t="e">
        <x:f>HYPERLINK("https://365nails.com/products/glacier-mermaid-tears-press-on-nails-icy-blue-water-ripple-long-stiletto","Glacier Mermaid Tears Press On Nails｜Icy Blue Water Ripple Long Stiletto")</x:f>
        <x:v>HYPERLINK is not implemented. linkLocation=https://365nails.com/products/glacier-mermaid-tears-press-on-nails-icy-blue-water-ripple-long-stiletto, friendlyName=Glacier Mermaid Tears Press On Nails｜Icy Blue Water Ripple Long Stiletto</x:v>
      </x:c>
      <x:c r="D1918" s="18" t="str">
        <x:v>Size: XS / S / M / L; Length: 40mm</x:v>
      </x:c>
      <x:c r="E1918" s="25" t="str">
        <x:v>$19.90</x:v>
      </x:c>
      <x:c r="F1918" s="19" t="str">
        <x:v>3</x:v>
      </x:c>
    </x:row>
    <x:row r="1919" ht="93" customHeight="1">
      <x:c r="A1919" s="19" t="n">
        <x:v>1916</x:v>
      </x:c>
      <x:c r="B1919" s="22" t="e">
        <x:f>HYPERLINK("https://cdn.shopify.com/s/files/1/0918/6066/4603/files/03dda641ecc4fcff91049a39e1c57e78_36f46716-042e-4114-880b-ddb418b7436d.jpg?v=1766740838","Open")</x:f>
        <x:v>HYPERLINK is not implemented. linkLocation=https://cdn.shopify.com/s/files/1/0918/6066/4603/files/03dda641ecc4fcff91049a39e1c57e78_36f46716-042e-4114-880b-ddb418b7436d.jpg?v=1766740838, friendlyName=Open</x:v>
      </x:c>
      <x:c r="C1919" s="24" t="e">
        <x:f>HYPERLINK("https://365nails.com/products/aurora-ice-slush-press-on-nails-clear-blue-crystal-long-stiletto","Aurora Ice Slush Press On Nails｜Clear Blue Crystal Long Stiletto")</x:f>
        <x:v>HYPERLINK is not implemented. linkLocation=https://365nails.com/products/aurora-ice-slush-press-on-nails-clear-blue-crystal-long-stiletto, friendlyName=Aurora Ice Slush Press On Nails｜Clear Blue Crystal Long Stiletto</x:v>
      </x:c>
      <x:c r="D1919" s="18" t="str">
        <x:v>Size: XS / S / M / L; Length: 40mm</x:v>
      </x:c>
      <x:c r="E1919" s="25" t="str">
        <x:v>$19.90</x:v>
      </x:c>
      <x:c r="F1919" s="19" t="str">
        <x:v>3</x:v>
      </x:c>
    </x:row>
    <x:row r="1920" ht="93" customHeight="1">
      <x:c r="A1920" s="19" t="n">
        <x:v>1917</x:v>
      </x:c>
      <x:c r="B1920" s="22" t="e">
        <x:f>HYPERLINK("https://cdn.shopify.com/s/files/1/0918/6066/4603/files/26b522097d0b5f5e31e64e76bb3cbb5b.jpg?v=1766740873","Open")</x:f>
        <x:v>HYPERLINK is not implemented. linkLocation=https://cdn.shopify.com/s/files/1/0918/6066/4603/files/26b522097d0b5f5e31e64e76bb3cbb5b.jpg?v=1766740873, friendlyName=Open</x:v>
      </x:c>
      <x:c r="C1920" s="24" t="e">
        <x:f>HYPERLINK("https://365nails.com/products/midnight-vortex-gothic-claw-press-on-nails-red-black-clear-stiletto-with-silver-charms","Midnight Vortex Gothic Claw Press On Nails｜Red‑Black Clear Stiletto with Silver Charms")</x:f>
        <x:v>HYPERLINK is not implemented. linkLocation=https://365nails.com/products/midnight-vortex-gothic-claw-press-on-nails-red-black-clear-stiletto-with-silver-charms, friendlyName=Midnight Vortex Gothic Claw Press On Nails｜Red‑Black Clear Stiletto with Silver Charms</x:v>
      </x:c>
      <x:c r="D1920" s="18" t="str">
        <x:v>Size: XS / S / M / L; Length: 25mm</x:v>
      </x:c>
      <x:c r="E1920" s="25" t="str">
        <x:v>$19.90</x:v>
      </x:c>
      <x:c r="F1920" s="19" t="str">
        <x:v>3</x:v>
      </x:c>
    </x:row>
    <x:row r="1921" ht="93" customHeight="1">
      <x:c r="A1921" s="19" t="n">
        <x:v>1918</x:v>
      </x:c>
      <x:c r="B1921" s="22" t="e">
        <x:f>HYPERLINK("https://cdn.shopify.com/s/files/1/0918/6066/4603/files/727f7bb02d68eedd2d0342975de4600f_71fcb93a-2b20-44b1-a6a8-45f9854edef9.jpg?v=1766741022","Open")</x:f>
        <x:v>HYPERLINK is not implemented. linkLocation=https://cdn.shopify.com/s/files/1/0918/6066/4603/files/727f7bb02d68eedd2d0342975de4600f_71fcb93a-2b20-44b1-a6a8-45f9854edef9.jpg?v=1766741022, friendlyName=Open</x:v>
      </x:c>
      <x:c r="C1921" s="24" t="e">
        <x:f>HYPERLINK("https://365nails.com/products/peach-cloud-marble-press-on-nails-pink-white-stiletto","Peach Cloud Marble Press On Nails｜Pink &amp; White  Stiletto")</x:f>
        <x:v>HYPERLINK is not implemented. linkLocation=https://365nails.com/products/peach-cloud-marble-press-on-nails-pink-white-stiletto, friendlyName=Peach Cloud Marble Press On Nails｜Pink &amp; White  Stiletto</x:v>
      </x:c>
      <x:c r="D1921" s="18" t="str">
        <x:v>Size: XS / S / M / L; Length: 25mm</x:v>
      </x:c>
      <x:c r="E1921" s="25" t="str">
        <x:v>$19.90</x:v>
      </x:c>
      <x:c r="F1921" s="19" t="str">
        <x:v>3</x:v>
      </x:c>
    </x:row>
    <x:row r="1922" ht="93" customHeight="1">
      <x:c r="A1922" s="19" t="n">
        <x:v>1919</x:v>
      </x:c>
      <x:c r="B1922" s="22" t="e">
        <x:f>HYPERLINK("https://cdn.shopify.com/s/files/1/0918/6066/4603/files/NSX20155-detail-1.jpg?v=1781163778","Open")</x:f>
        <x:v>HYPERLINK is not implemented. linkLocation=https://cdn.shopify.com/s/files/1/0918/6066/4603/files/NSX20155-detail-1.jpg?v=1781163778, friendlyName=Open</x:v>
      </x:c>
      <x:c r="C1922" s="24" t="e">
        <x:f>HYPERLINK("https://365nails.com/products/dragon-armor-machine-made-press-on-nails","""Magenta Ombre &amp; 3D Bow"" - Precision Crafted Press-On Nails")</x:f>
        <x:v>HYPERLINK is not implemented. linkLocation=https://365nails.com/products/dragon-armor-machine-made-press-on-nails, friendlyName="Magenta Ombre &amp; 3D Bow" - Precision Crafted Press-On Nails</x:v>
      </x:c>
      <x:c r="D1922" s="18" t="str">
        <x:v>Size: XS / S / M / L</x:v>
      </x:c>
      <x:c r="E1922" s="25" t="str">
        <x:v>$19.90</x:v>
      </x:c>
      <x:c r="F1922" s="19" t="str">
        <x:v>3</x:v>
      </x:c>
    </x:row>
    <x:row r="1923" ht="93" customHeight="1">
      <x:c r="A1923" s="19" t="n">
        <x:v>1920</x:v>
      </x:c>
      <x:c r="B1923" s="22" t="e">
        <x:f>HYPERLINK("https://cdn.shopify.com/s/files/1/0918/6066/4603/files/NSX20156-detail-1.jpg?v=1781163969","Open")</x:f>
        <x:v>HYPERLINK is not implemented. linkLocation=https://cdn.shopify.com/s/files/1/0918/6066/4603/files/NSX20156-detail-1.jpg?v=1781163969, friendlyName=Open</x:v>
      </x:c>
      <x:c r="C1923" s="24" t="e">
        <x:f>HYPERLINK("https://365nails.com/products/dragon-armor-machine-made-press-on-nails-1","""Gothic Purple Cross &amp; Gem"" - Precision Crafted Press-On Nails")</x:f>
        <x:v>HYPERLINK is not implemented. linkLocation=https://365nails.com/products/dragon-armor-machine-made-press-on-nails-1, friendlyName="Gothic Purple Cross &amp; Gem" - Precision Crafted Press-On Nails</x:v>
      </x:c>
      <x:c r="D1923" s="18" t="str">
        <x:v>Size: XS / S / M / L</x:v>
      </x:c>
      <x:c r="E1923" s="25" t="str">
        <x:v>$19.90</x:v>
      </x:c>
      <x:c r="F1923" s="19" t="str">
        <x:v>3</x:v>
      </x:c>
    </x:row>
    <x:row r="1924" ht="93" customHeight="1">
      <x:c r="A1924" s="19" t="n">
        <x:v>1921</x:v>
      </x:c>
      <x:c r="B1924" s="22" t="e">
        <x:f>HYPERLINK("https://cdn.shopify.com/s/files/1/0918/6066/4603/files/NSX20157-main.jpg?v=1781163986","Open")</x:f>
        <x:v>HYPERLINK is not implemented. linkLocation=https://cdn.shopify.com/s/files/1/0918/6066/4603/files/NSX20157-main.jpg?v=1781163986, friendlyName=Open</x:v>
      </x:c>
      <x:c r="C1924" s="24" t="e">
        <x:f>HYPERLINK("https://365nails.com/products/crimson-eye-silver-spikes-precision-crafted-press-on-nails","""Crimson Eye &amp; Silver Spikes"" - Precision Crafted Press-On Nails")</x:f>
        <x:v>HYPERLINK is not implemented. linkLocation=https://365nails.com/products/crimson-eye-silver-spikes-precision-crafted-press-on-nails, friendlyName="Crimson Eye &amp; Silver Spikes" - Precision Crafted Press-On Nails</x:v>
      </x:c>
      <x:c r="D1924" s="18" t="str">
        <x:v>Size: XS / S / M / L</x:v>
      </x:c>
      <x:c r="E1924" s="25" t="str">
        <x:v>$19.90</x:v>
      </x:c>
      <x:c r="F1924" s="19" t="str">
        <x:v>3</x:v>
      </x:c>
    </x:row>
    <x:row r="1925" ht="93" customHeight="1">
      <x:c r="A1925" s="19" t="n">
        <x:v>1922</x:v>
      </x:c>
      <x:c r="B1925" s="22" t="e">
        <x:f>HYPERLINK("https://cdn.shopify.com/s/files/1/0918/6066/4603/files/NSX20158-main.jpg?v=1781164019","Open")</x:f>
        <x:v>HYPERLINK is not implemented. linkLocation=https://cdn.shopify.com/s/files/1/0918/6066/4603/files/NSX20158-main.jpg?v=1781164019, friendlyName=Open</x:v>
      </x:c>
      <x:c r="C1925" s="24" t="e">
        <x:f>HYPERLINK("https://365nails.com/products/blood-swirl-white-web-precision-crafted-press-on-nails","""Blood Swirl &amp; White Web"" - Precision Crafted Press-On Nails")</x:f>
        <x:v>HYPERLINK is not implemented. linkLocation=https://365nails.com/products/blood-swirl-white-web-precision-crafted-press-on-nails, friendlyName="Blood Swirl &amp; White Web" - Precision Crafted Press-On Nails</x:v>
      </x:c>
      <x:c r="D1925" s="18" t="str">
        <x:v>Size: XS / S / M / L</x:v>
      </x:c>
      <x:c r="E1925" s="25" t="str">
        <x:v>$19.90</x:v>
      </x:c>
      <x:c r="F1925" s="19" t="str">
        <x:v>3</x:v>
      </x:c>
    </x:row>
    <x:row r="1926" ht="93" customHeight="1">
      <x:c r="A1926" s="19" t="n">
        <x:v>1923</x:v>
      </x:c>
      <x:c r="B1926" s="22" t="e">
        <x:f>HYPERLINK("https://cdn.shopify.com/s/files/1/0918/6066/4603/files/NSX20159-main.jpg?v=1781164067","Open")</x:f>
        <x:v>HYPERLINK is not implemented. linkLocation=https://cdn.shopify.com/s/files/1/0918/6066/4603/files/NSX20159-main.jpg?v=1781164067, friendlyName=Open</x:v>
      </x:c>
      <x:c r="C1926" s="24" t="e">
        <x:f>HYPERLINK("https://365nails.com/products/abyssal-aqua-dark-serpent-precision-crafted-press-on-nails","""Abyssal Aqua &amp; Dark Serpent"" - Precision Crafted Press-On Nails")</x:f>
        <x:v>HYPERLINK is not implemented. linkLocation=https://365nails.com/products/abyssal-aqua-dark-serpent-precision-crafted-press-on-nails, friendlyName="Abyssal Aqua &amp; Dark Serpent" - Precision Crafted Press-On Nails</x:v>
      </x:c>
      <x:c r="D1926" s="18" t="str">
        <x:v>Size: XS / S / M / L</x:v>
      </x:c>
      <x:c r="E1926" s="25" t="str">
        <x:v>$19.90</x:v>
      </x:c>
      <x:c r="F1926" s="19" t="str">
        <x:v>3</x:v>
      </x:c>
    </x:row>
    <x:row r="1927" ht="93" customHeight="1">
      <x:c r="A1927" s="19" t="n">
        <x:v>1924</x:v>
      </x:c>
      <x:c r="B1927" s="22" t="e">
        <x:f>HYPERLINK("https://cdn.shopify.com/s/files/1/0918/6066/4603/files/NSX20160-main.jpg?v=1781164249","Open")</x:f>
        <x:v>HYPERLINK is not implemented. linkLocation=https://cdn.shopify.com/s/files/1/0918/6066/4603/files/NSX20160-main.jpg?v=1781164249, friendlyName=Open</x:v>
      </x:c>
      <x:c r="C1927" s="24" t="e">
        <x:f>HYPERLINK("https://365nails.com/products/bloody-graffiti-edgy-pierced-grunge-mismatched-press-on-nails","""Bloody Graffiti"" - Edgy Pierced Grunge Mismatched Press-On Nails")</x:f>
        <x:v>HYPERLINK is not implemented. linkLocation=https://365nails.com/products/bloody-graffiti-edgy-pierced-grunge-mismatched-press-on-nails, friendlyName="Bloody Graffiti" - Edgy Pierced Grunge Mismatched Press-On Nails</x:v>
      </x:c>
      <x:c r="D1927" s="18" t="str">
        <x:v>Size: XS / S / M / L</x:v>
      </x:c>
      <x:c r="E1927" s="25" t="str">
        <x:v>$19.90</x:v>
      </x:c>
      <x:c r="F1927" s="19" t="str">
        <x:v>3</x:v>
      </x:c>
    </x:row>
    <x:row r="1928" ht="93" customHeight="1">
      <x:c r="A1928" s="19" t="n">
        <x:v>1925</x:v>
      </x:c>
      <x:c r="B1928" s="22" t="e">
        <x:f>HYPERLINK("https://cdn.shopify.com/s/files/1/0918/6066/4603/files/NSX20161-main.jpg?v=1781164293","Open")</x:f>
        <x:v>HYPERLINK is not implemented. linkLocation=https://cdn.shopify.com/s/files/1/0918/6066/4603/files/NSX20161-main.jpg?v=1781164293, friendlyName=Open</x:v>
      </x:c>
      <x:c r="C1928" s="24" t="e">
        <x:f>HYPERLINK("https://365nails.com/products/nude-gothic-cross-matte-3d-embossed-press-on-nails","""Nude Gothic Cross"" - Matte 3D Embossed Press-On Nails")</x:f>
        <x:v>HYPERLINK is not implemented. linkLocation=https://365nails.com/products/nude-gothic-cross-matte-3d-embossed-press-on-nails, friendlyName="Nude Gothic Cross" - Matte 3D Embossed Press-On Nails</x:v>
      </x:c>
      <x:c r="D1928" s="18" t="str">
        <x:v>Size: XS / S / M / L</x:v>
      </x:c>
      <x:c r="E1928" s="25" t="str">
        <x:v>$19.90</x:v>
      </x:c>
      <x:c r="F1928" s="19" t="str">
        <x:v>3</x:v>
      </x:c>
    </x:row>
    <x:row r="1929" ht="93" customHeight="1">
      <x:c r="A1929" s="19" t="n">
        <x:v>1926</x:v>
      </x:c>
      <x:c r="B1929" s="22" t="e">
        <x:f>HYPERLINK("https://cdn.shopify.com/s/files/1/0918/6066/4603/files/NSX20162-main.jpg?v=1781164325","Open")</x:f>
        <x:v>HYPERLINK is not implemented. linkLocation=https://cdn.shopify.com/s/files/1/0918/6066/4603/files/NSX20162-main.jpg?v=1781164325, friendlyName=Open</x:v>
      </x:c>
      <x:c r="C1929" s="24" t="e">
        <x:f>HYPERLINK("https://365nails.com/products/cyberpunk-venom-red-and-black-pierced-grunge-nails","""Cyberpunk Venom"" - Red and Black Pierced Grunge Nails")</x:f>
        <x:v>HYPERLINK is not implemented. linkLocation=https://365nails.com/products/cyberpunk-venom-red-and-black-pierced-grunge-nails, friendlyName="Cyberpunk Venom" - Red and Black Pierced Grunge Nails</x:v>
      </x:c>
      <x:c r="D1929" s="18" t="str">
        <x:v>Size: XS / S / M / L</x:v>
      </x:c>
      <x:c r="E1929" s="25" t="str">
        <x:v>$19.90</x:v>
      </x:c>
      <x:c r="F1929" s="19" t="str">
        <x:v>3</x:v>
      </x:c>
    </x:row>
    <x:row r="1930" ht="93" customHeight="1">
      <x:c r="A1930" s="19" t="n">
        <x:v>1927</x:v>
      </x:c>
      <x:c r="B1930" s="22" t="e">
        <x:f>HYPERLINK("https://cdn.shopify.com/s/files/1/0918/6066/4603/files/NSX20163-main.jpg?v=1781164357","Open")</x:f>
        <x:v>HYPERLINK is not implemented. linkLocation=https://cdn.shopify.com/s/files/1/0918/6066/4603/files/NSX20163-main.jpg?v=1781164357, friendlyName=Open</x:v>
      </x:c>
      <x:c r="C1930" s="24" t="e">
        <x:f>HYPERLINK("https://365nails.com/products/angelic-cyber-armor-white-y2k-pierced-press-on-nails","""Angelic Cyber Armor"" - White Y2K Pierced Press-On Nails")</x:f>
        <x:v>HYPERLINK is not implemented. linkLocation=https://365nails.com/products/angelic-cyber-armor-white-y2k-pierced-press-on-nails, friendlyName="Angelic Cyber Armor" - White Y2K Pierced Press-On Nails</x:v>
      </x:c>
      <x:c r="D1930" s="18" t="str">
        <x:v>Size: XS / S / M / L</x:v>
      </x:c>
      <x:c r="E1930" s="25" t="str">
        <x:v>$19.90</x:v>
      </x:c>
      <x:c r="F1930" s="19" t="str">
        <x:v>3</x:v>
      </x:c>
    </x:row>
    <x:row r="1931" ht="93" customHeight="1">
      <x:c r="A1931" s="19" t="n">
        <x:v>1928</x:v>
      </x:c>
      <x:c r="B1931" s="22" t="e">
        <x:f>HYPERLINK("https://cdn.shopify.com/s/files/1/0918/6066/4603/files/NSX20164-main.jpg?v=1781164374","Open")</x:f>
        <x:v>HYPERLINK is not implemented. linkLocation=https://cdn.shopify.com/s/files/1/0918/6066/4603/files/NSX20164-main.jpg?v=1781164374, friendlyName=Open</x:v>
      </x:c>
      <x:c r="C1931" s="24" t="e">
        <x:f>HYPERLINK("https://365nails.com/products/chrome-serpent-armor-heavy-metal-gothic-press-on-nails","""Chrome Serpent Armor"" - Heavy Metal Gothic Press-On Nails")</x:f>
        <x:v>HYPERLINK is not implemented. linkLocation=https://365nails.com/products/chrome-serpent-armor-heavy-metal-gothic-press-on-nails, friendlyName="Chrome Serpent Armor" - Heavy Metal Gothic Press-On Nails</x:v>
      </x:c>
      <x:c r="D1931" s="18" t="str">
        <x:v>Size: XS / S / M / L</x:v>
      </x:c>
      <x:c r="E1931" s="25" t="str">
        <x:v>$19.90</x:v>
      </x:c>
      <x:c r="F1931" s="19" t="str">
        <x:v>3</x:v>
      </x:c>
    </x:row>
    <x:row r="1932" ht="93" customHeight="1">
      <x:c r="A1932" s="19" t="n">
        <x:v>1929</x:v>
      </x:c>
      <x:c r="B1932" s="22" t="e">
        <x:f>HYPERLINK("https://cdn.shopify.com/s/files/1/0918/6066/4603/files/NSX20165-main.jpg?v=1781164396","Open")</x:f>
        <x:v>HYPERLINK is not implemented. linkLocation=https://cdn.shopify.com/s/files/1/0918/6066/4603/files/NSX20165-main.jpg?v=1781164396, friendlyName=Open</x:v>
      </x:c>
      <x:c r="C1932" s="24" t="e">
        <x:f>HYPERLINK("https://365nails.com/products/ice-blue-ink-grunge-y2k-pierced-marble-press-on-nails","""Ice Blue Ink Grunge"" - Y2K Pierced Marble Press-On Nails")</x:f>
        <x:v>HYPERLINK is not implemented. linkLocation=https://365nails.com/products/ice-blue-ink-grunge-y2k-pierced-marble-press-on-nails, friendlyName="Ice Blue Ink Grunge" - Y2K Pierced Marble Press-On Nails</x:v>
      </x:c>
      <x:c r="D1932" s="18" t="str">
        <x:v>Size: XS / S / M / L</x:v>
      </x:c>
      <x:c r="E1932" s="25" t="str">
        <x:v>$19.90</x:v>
      </x:c>
      <x:c r="F1932" s="19" t="str">
        <x:v>3</x:v>
      </x:c>
    </x:row>
    <x:row r="1933" ht="93" customHeight="1">
      <x:c r="A1933" s="19" t="n">
        <x:v>1930</x:v>
      </x:c>
      <x:c r="B1933" s="22" t="e">
        <x:f>HYPERLINK("https://cdn.shopify.com/s/files/1/0918/6066/4603/files/NSX20166-main.jpg?v=1781164412","Open")</x:f>
        <x:v>HYPERLINK is not implemented. linkLocation=https://cdn.shopify.com/s/files/1/0918/6066/4603/files/NSX20166-main.jpg?v=1781164412, friendlyName=Open</x:v>
      </x:c>
      <x:c r="C1933" s="24" t="e">
        <x:f>HYPERLINK("https://365nails.com/products/liquid-metal-fairy-3d-chrome-cyber-y2k-press-on-nails","""Liquid Metal Fairy"" - 3D Chrome Cyber Y2K Press-On Nails")</x:f>
        <x:v>HYPERLINK is not implemented. linkLocation=https://365nails.com/products/liquid-metal-fairy-3d-chrome-cyber-y2k-press-on-nails, friendlyName="Liquid Metal Fairy" - 3D Chrome Cyber Y2K Press-On Nails</x:v>
      </x:c>
      <x:c r="D1933" s="18" t="str">
        <x:v>Size: XS / S / M / L</x:v>
      </x:c>
      <x:c r="E1933" s="25" t="str">
        <x:v>$19.90</x:v>
      </x:c>
      <x:c r="F1933" s="19" t="str">
        <x:v>3</x:v>
      </x:c>
    </x:row>
    <x:row r="1934" ht="93" customHeight="1">
      <x:c r="A1934" s="19" t="n">
        <x:v>1931</x:v>
      </x:c>
      <x:c r="B1934" s="22" t="e">
        <x:f>HYPERLINK("https://cdn.shopify.com/s/files/1/0918/6066/4603/files/NSX20167-main.jpg?v=1781165130","Open")</x:f>
        <x:v>HYPERLINK is not implemented. linkLocation=https://cdn.shopify.com/s/files/1/0918/6066/4603/files/NSX20167-main.jpg?v=1781165130, friendlyName=Open</x:v>
      </x:c>
      <x:c r="C1934" s="24" t="e">
        <x:f>HYPERLINK("https://365nails.com/products/monochrome-studded-punk-heavy-metal-gothic-press-on-nails","""Monochrome Studded Punk"" - Heavy Metal Gothic Press-On Nails")</x:f>
        <x:v>HYPERLINK is not implemented. linkLocation=https://365nails.com/products/monochrome-studded-punk-heavy-metal-gothic-press-on-nails, friendlyName="Monochrome Studded Punk" - Heavy Metal Gothic Press-On Nails</x:v>
      </x:c>
      <x:c r="D1934" s="18" t="str">
        <x:v>Size: XS / S / M / L</x:v>
      </x:c>
      <x:c r="E1934" s="25" t="str">
        <x:v>$19.90</x:v>
      </x:c>
      <x:c r="F1934" s="19" t="str">
        <x:v>3</x:v>
      </x:c>
    </x:row>
    <x:row r="1935" ht="93" customHeight="1">
      <x:c r="A1935" s="19" t="n">
        <x:v>1932</x:v>
      </x:c>
      <x:c r="B1935" s="22" t="e">
        <x:f>HYPERLINK("https://cdn.shopify.com/s/files/1/0918/6066/4603/files/NSX20168-main.jpg?v=1781165148","Open")</x:f>
        <x:v>HYPERLINK is not implemented. linkLocation=https://cdn.shopify.com/s/files/1/0918/6066/4603/files/NSX20168-main.jpg?v=1781165148, friendlyName=Open</x:v>
      </x:c>
      <x:c r="C1935" s="24" t="e">
        <x:f>HYPERLINK("https://365nails.com/products/gothic-dragon-script-y2k-tattoo-art-pierced-press-on-nails","""Gothic Dragon Script"" - Y2K Tattoo Art Pierced Press-On Nails")</x:f>
        <x:v>HYPERLINK is not implemented. linkLocation=https://365nails.com/products/gothic-dragon-script-y2k-tattoo-art-pierced-press-on-nails, friendlyName="Gothic Dragon Script" - Y2K Tattoo Art Pierced Press-On Nails</x:v>
      </x:c>
      <x:c r="D1935" s="18" t="str">
        <x:v>Size: XS / S / M / L</x:v>
      </x:c>
      <x:c r="E1935" s="25" t="str">
        <x:v>$19.90</x:v>
      </x:c>
      <x:c r="F1935" s="19" t="str">
        <x:v>3</x:v>
      </x:c>
    </x:row>
    <x:row r="1936" ht="93" customHeight="1">
      <x:c r="A1936" s="19" t="n">
        <x:v>1933</x:v>
      </x:c>
      <x:c r="B1936" s="22" t="e">
        <x:f>HYPERLINK("https://cdn.shopify.com/s/files/1/0918/6066/4603/files/NSX20169-main.jpg?v=1781165161","Open")</x:f>
        <x:v>HYPERLINK is not implemented. linkLocation=https://cdn.shopify.com/s/files/1/0918/6066/4603/files/NSX20169-main.jpg?v=1781165161, friendlyName=Open</x:v>
      </x:c>
      <x:c r="C1936" s="24" t="e">
        <x:f>HYPERLINK("https://365nails.com/products/neon-angel-graffiti-3d-winged-cyberpunk-press-on-nails","""Neon Angel Graffiti"" - 3D Winged Cyberpunk Press-On Nails")</x:f>
        <x:v>HYPERLINK is not implemented. linkLocation=https://365nails.com/products/neon-angel-graffiti-3d-winged-cyberpunk-press-on-nails, friendlyName="Neon Angel Graffiti" - 3D Winged Cyberpunk Press-On Nails</x:v>
      </x:c>
      <x:c r="D1936" s="18" t="str">
        <x:v>Size: XS / S / M / L</x:v>
      </x:c>
      <x:c r="E1936" s="25" t="str">
        <x:v>$19.90</x:v>
      </x:c>
      <x:c r="F1936" s="19" t="str">
        <x:v>3</x:v>
      </x:c>
    </x:row>
    <x:row r="1937" ht="93" customHeight="1">
      <x:c r="A1937" s="19" t="n">
        <x:v>1934</x:v>
      </x:c>
      <x:c r="B1937" s="22" t="e">
        <x:f>HYPERLINK("https://cdn.shopify.com/s/files/1/0918/6066/4603/files/NSX20170-main.jpg?v=1781165182","Open")</x:f>
        <x:v>HYPERLINK is not implemented. linkLocation=https://cdn.shopify.com/s/files/1/0918/6066/4603/files/NSX20170-main.jpg?v=1781165182, friendlyName=Open</x:v>
      </x:c>
      <x:c r="C1937" s="24" t="e">
        <x:f>HYPERLINK("https://365nails.com/products/bloody-cross-grunge-3d-pierced-y2k-press-on-nails","""Bloody Cross Grunge"" - 3D Pierced Y2K Press-On Nails")</x:f>
        <x:v>HYPERLINK is not implemented. linkLocation=https://365nails.com/products/bloody-cross-grunge-3d-pierced-y2k-press-on-nails, friendlyName="Bloody Cross Grunge" - 3D Pierced Y2K Press-On Nails</x:v>
      </x:c>
      <x:c r="D1937" s="18" t="str">
        <x:v>Size: XS / S / M / L</x:v>
      </x:c>
      <x:c r="E1937" s="25" t="str">
        <x:v>$19.90</x:v>
      </x:c>
      <x:c r="F1937" s="19" t="str">
        <x:v>3</x:v>
      </x:c>
    </x:row>
    <x:row r="1938" ht="93" customHeight="1">
      <x:c r="A1938" s="19" t="n">
        <x:v>1935</x:v>
      </x:c>
      <x:c r="B1938" s="22" t="e">
        <x:f>HYPERLINK("https://cdn.shopify.com/s/files/1/0918/6066/4603/files/NSX20171-main.jpg?v=1781165197","Open")</x:f>
        <x:v>HYPERLINK is not implemented. linkLocation=https://cdn.shopify.com/s/files/1/0918/6066/4603/files/NSX20171-main.jpg?v=1781165197, friendlyName=Open</x:v>
      </x:c>
      <x:c r="C1938" s="24" t="e">
        <x:f>HYPERLINK("https://365nails.com/products/matte-gothic-calligraphy-pierced-streetwear-press-on-nails","""Matte Gothic Calligraphy"" - Pierced Streetwear Press-On Nails")</x:f>
        <x:v>HYPERLINK is not implemented. linkLocation=https://365nails.com/products/matte-gothic-calligraphy-pierced-streetwear-press-on-nails, friendlyName="Matte Gothic Calligraphy" - Pierced Streetwear Press-On Nails</x:v>
      </x:c>
      <x:c r="D1938" s="18" t="str">
        <x:v>Size: XS / S / M / L</x:v>
      </x:c>
      <x:c r="E1938" s="25" t="str">
        <x:v>$19.90</x:v>
      </x:c>
      <x:c r="F1938" s="19" t="str">
        <x:v>3</x:v>
      </x:c>
    </x:row>
    <x:row r="1939" ht="93" customHeight="1">
      <x:c r="A1939" s="19" t="n">
        <x:v>1936</x:v>
      </x:c>
      <x:c r="B1939" s="22" t="e">
        <x:f>HYPERLINK("https://cdn.shopify.com/s/files/1/0918/6066/4603/files/NSX20172-main.jpg?v=1781165212","Open")</x:f>
        <x:v>HYPERLINK is not implemented. linkLocation=https://cdn.shopify.com/s/files/1/0918/6066/4603/files/NSX20172-main.jpg?v=1781165212, friendlyName=Open</x:v>
      </x:c>
      <x:c r="C1939" s="24" t="e">
        <x:f>HYPERLINK("https://365nails.com/products/dark-chrome-mask-3d-heavy-metal-pierced-nails","""Dark Chrome Mask"" - 3D Heavy Metal Pierced Nails")</x:f>
        <x:v>HYPERLINK is not implemented. linkLocation=https://365nails.com/products/dark-chrome-mask-3d-heavy-metal-pierced-nails, friendlyName="Dark Chrome Mask" - 3D Heavy Metal Pierced Nails</x:v>
      </x:c>
      <x:c r="D1939" s="18" t="str">
        <x:v>Size: XS / S / M / L</x:v>
      </x:c>
      <x:c r="E1939" s="25" t="str">
        <x:v>$19.90</x:v>
      </x:c>
      <x:c r="F1939" s="19" t="str">
        <x:v>3</x:v>
      </x:c>
    </x:row>
    <x:row r="1940" ht="93" customHeight="1">
      <x:c r="A1940" s="19" t="n">
        <x:v>1937</x:v>
      </x:c>
      <x:c r="B1940" s="22" t="e">
        <x:f>HYPERLINK("https://cdn.shopify.com/s/files/1/0918/6066/4603/files/NSX20173-main.jpg?v=1781165227","Open")</x:f>
        <x:v>HYPERLINK is not implemented. linkLocation=https://cdn.shopify.com/s/files/1/0918/6066/4603/files/NSX20173-main.jpg?v=1781165227, friendlyName=Open</x:v>
      </x:c>
      <x:c r="C1940" s="24" t="e">
        <x:f>HYPERLINK("https://365nails.com/products/holographic-cyber-star-neon-y2k-pierced-press-on-nails","""Holographic Cyber Star"" - Neon Y2K Pierced Press-On Nails")</x:f>
        <x:v>HYPERLINK is not implemented. linkLocation=https://365nails.com/products/holographic-cyber-star-neon-y2k-pierced-press-on-nails, friendlyName="Holographic Cyber Star" - Neon Y2K Pierced Press-On Nails</x:v>
      </x:c>
      <x:c r="D1940" s="18" t="str">
        <x:v>Size: XS / S / M / L</x:v>
      </x:c>
      <x:c r="E1940" s="25" t="str">
        <x:v>$19.90</x:v>
      </x:c>
      <x:c r="F1940" s="19" t="str">
        <x:v>3</x:v>
      </x:c>
    </x:row>
    <x:row r="1941" ht="93" customHeight="1">
      <x:c r="A1941" s="19" t="n">
        <x:v>1938</x:v>
      </x:c>
      <x:c r="B1941" s="22" t="e">
        <x:f>HYPERLINK("https://cdn.shopify.com/s/files/1/0918/6066/4603/files/NSX20174-main.jpg?v=1781165238","Open")</x:f>
        <x:v>HYPERLINK is not implemented. linkLocation=https://cdn.shopify.com/s/files/1/0918/6066/4603/files/NSX20174-main.jpg?v=1781165238, friendlyName=Open</x:v>
      </x:c>
      <x:c r="C1941" s="24" t="e">
        <x:f>HYPERLINK("https://365nails.com/products/burnt-bone-splatter-matte-horror-grunge-press-on-nails","""Burnt Bone Splatter"" - Matte Horror Grunge Press-On Nails")</x:f>
        <x:v>HYPERLINK is not implemented. linkLocation=https://365nails.com/products/burnt-bone-splatter-matte-horror-grunge-press-on-nails, friendlyName="Burnt Bone Splatter" - Matte Horror Grunge Press-On Nails</x:v>
      </x:c>
      <x:c r="D1941" s="18" t="str">
        <x:v>Size: XS / S / M / L</x:v>
      </x:c>
      <x:c r="E1941" s="25" t="str">
        <x:v>$19.90</x:v>
      </x:c>
      <x:c r="F1941" s="19" t="str">
        <x:v>3</x:v>
      </x:c>
    </x:row>
    <x:row r="1942" ht="93" customHeight="1">
      <x:c r="A1942" s="19" t="n">
        <x:v>1939</x:v>
      </x:c>
      <x:c r="B1942" s="22" t="e">
        <x:f>HYPERLINK("https://cdn.shopify.com/s/files/1/0918/6066/4603/files/3f696ad612c941aaa0ac0b57caa1c2e2.jpg?v=1783081358","Open")</x:f>
        <x:v>HYPERLINK is not implemented. linkLocation=https://cdn.shopify.com/s/files/1/0918/6066/4603/files/3f696ad612c941aaa0ac0b57caa1c2e2.jpg?v=1783081358, friendlyName=Open</x:v>
      </x:c>
      <x:c r="C1942" s="24" t="e">
        <x:f>HYPERLINK("https://365nails.com/products/365nails-gothic-skeleton-lace-3d-metal-charm-handmade-stiletto-press-on-nails","365nails: ""Gothic Skeleton Lace"" – 3D Metal Charm Handmade Stiletto Press On Nails")</x:f>
        <x:v>HYPERLINK is not implemented. linkLocation=https://365nails.com/products/365nails-gothic-skeleton-lace-3d-metal-charm-handmade-stiletto-press-on-nails, friendlyName=365nails: "Gothic Skeleton Lace" – 3D Metal Charm Handmade Stiletto Press On Nails</x:v>
      </x:c>
      <x:c r="D1942" s="18" t="str">
        <x:v>Size: XS / S / M / L</x:v>
      </x:c>
      <x:c r="E1942" s="25" t="str">
        <x:v>$19.90</x:v>
      </x:c>
      <x:c r="F1942" s="19" t="str">
        <x:v>3</x:v>
      </x:c>
    </x:row>
    <x:row r="1943" ht="93" customHeight="1">
      <x:c r="A1943" s="19" t="n">
        <x:v>1940</x:v>
      </x:c>
      <x:c r="B1943" s="22" t="e">
        <x:f>HYPERLINK("https://cdn.shopify.com/s/files/1/0918/6066/4603/files/b30acf9a4228bf2b0ed14171bacbdb02.jpg?v=1783081503","Open")</x:f>
        <x:v>HYPERLINK is not implemented. linkLocation=https://cdn.shopify.com/s/files/1/0918/6066/4603/files/b30acf9a4228bf2b0ed14171bacbdb02.jpg?v=1783081503, friendlyName=Open</x:v>
      </x:c>
      <x:c r="C1943" s="24" t="e">
        <x:f>HYPERLINK("https://365nails.com/products/365nails-neon-cat-paw-cross-y2k-3d-colorful-chain-spike-handmade-stiletto-nails","365nails: ""Neon Cat Paw Cross Y2K"" – 3D Colorful Chain Spike Handmade Stiletto Nails")</x:f>
        <x:v>HYPERLINK is not implemented. linkLocation=https://365nails.com/products/365nails-neon-cat-paw-cross-y2k-3d-colorful-chain-spike-handmade-stiletto-nails, friendlyName=365nails: "Neon Cat Paw Cross Y2K" – 3D Colorful Chain Spike Handmade Stiletto Nails</x:v>
      </x:c>
      <x:c r="D1943" s="18" t="str">
        <x:v>Size: XS / S / M / L</x:v>
      </x:c>
      <x:c r="E1943" s="25" t="str">
        <x:v>$19.90</x:v>
      </x:c>
      <x:c r="F1943" s="19" t="str">
        <x:v>3</x:v>
      </x:c>
    </x:row>
    <x:row r="1944" ht="93" customHeight="1">
      <x:c r="A1944" s="19" t="n">
        <x:v>1941</x:v>
      </x:c>
      <x:c r="B1944" s="22" t="e">
        <x:f>HYPERLINK("https://cdn.shopify.com/s/files/1/0918/6066/4603/files/35ee29231144b53420bae5dc457dc65f.jpg?v=1783081589","Open")</x:f>
        <x:v>HYPERLINK is not implemented. linkLocation=https://cdn.shopify.com/s/files/1/0918/6066/4603/files/35ee29231144b53420bae5dc457dc65f.jpg?v=1783081589, friendlyName=Open</x:v>
      </x:c>
      <x:c r="C1944" s="24" t="e">
        <x:f>HYPERLINK("https://365nails.com/products/365nails-rainbow-glitter-fruit-heart-3d-mini-fruit-letter-charm-handmade-stiletto-nails","365nails: ""Rainbow Glitter Fruit Heart"" – 3D Mini Fruit Letter Charm Handmade Stiletto Nails")</x:f>
        <x:v>HYPERLINK is not implemented. linkLocation=https://365nails.com/products/365nails-rainbow-glitter-fruit-heart-3d-mini-fruit-letter-charm-handmade-stiletto-nails, friendlyName=365nails: "Rainbow Glitter Fruit Heart" – 3D Mini Fruit Letter Charm Handmade Stiletto Nails</x:v>
      </x:c>
      <x:c r="D1944" s="18" t="str">
        <x:v>Size: XS / S / M / L</x:v>
      </x:c>
      <x:c r="E1944" s="25" t="str">
        <x:v>$19.90</x:v>
      </x:c>
      <x:c r="F1944" s="19" t="str">
        <x:v>3</x:v>
      </x:c>
    </x:row>
    <x:row r="1945" ht="93" customHeight="1">
      <x:c r="A1945" s="19" t="n">
        <x:v>1942</x:v>
      </x:c>
      <x:c r="B1945" s="22" t="e">
        <x:f>HYPERLINK("https://cdn.shopify.com/s/files/1/0918/6066/4603/files/5ece262d24836baa028b91ef285544eb.jpg?v=1783081709","Open")</x:f>
        <x:v>HYPERLINK is not implemented. linkLocation=https://cdn.shopify.com/s/files/1/0918/6066/4603/files/5ece262d24836baa028b91ef285544eb.jpg?v=1783081709, friendlyName=Open</x:v>
      </x:c>
      <x:c r="C1945" s="24" t="e">
        <x:f>HYPERLINK("https://365nails.com/products/365nails-gothic-newspaper-spike-3d-metal-charm-handmade-short-almond-nails","365nails: ""Gothic Newspaper Spike"" – 3D Metal Charm Handmade Short Almond Nails")</x:f>
        <x:v>HYPERLINK is not implemented. linkLocation=https://365nails.com/products/365nails-gothic-newspaper-spike-3d-metal-charm-handmade-short-almond-nails, friendlyName=365nails: "Gothic Newspaper Spike" – 3D Metal Charm Handmade Short Almond Nails</x:v>
      </x:c>
      <x:c r="D1945" s="18" t="str">
        <x:v>Size: XS / S / M / L</x:v>
      </x:c>
      <x:c r="E1945" s="25" t="str">
        <x:v>$19.90</x:v>
      </x:c>
      <x:c r="F1945" s="19" t="str">
        <x:v>3</x:v>
      </x:c>
    </x:row>
    <x:row r="1946" ht="93" customHeight="1">
      <x:c r="A1946" s="19" t="n">
        <x:v>1943</x:v>
      </x:c>
      <x:c r="B1946" s="22" t="e">
        <x:f>HYPERLINK("https://cdn.shopify.com/s/files/1/0918/6066/4603/files/e06df6ad3e9aac8f02f8caaf4b5025cc.jpg?v=1783082007","Open")</x:f>
        <x:v>HYPERLINK is not implemented. linkLocation=https://cdn.shopify.com/s/files/1/0918/6066/4603/files/e06df6ad3e9aac8f02f8caaf4b5025cc.jpg?v=1783082007, friendlyName=Open</x:v>
      </x:c>
      <x:c r="C1946" s="24" t="e">
        <x:f>HYPERLINK("https://365nails.com/products/365nails-dark-vine-cross-piercing-punk-3d-metal-piercing-charm-handmade-medium-stiletto-nails","365nails: ""Dark Vine Cross Piercing Punk"" – 3D Metal Piercing Charm Handmade Medium Stiletto Nails")</x:f>
        <x:v>HYPERLINK is not implemented. linkLocation=https://365nails.com/products/365nails-dark-vine-cross-piercing-punk-3d-metal-piercing-charm-handmade-medium-stiletto-nails, friendlyName=365nails: "Dark Vine Cross Piercing Punk" – 3D Metal Piercing Charm Handmade Medium Stiletto Nails</x:v>
      </x:c>
      <x:c r="D1946" s="18" t="str">
        <x:v>Size: XS / S / M / L</x:v>
      </x:c>
      <x:c r="E1946" s="25" t="str">
        <x:v>$19.90</x:v>
      </x:c>
      <x:c r="F1946" s="19" t="str">
        <x:v>3</x:v>
      </x:c>
    </x:row>
    <x:row r="1947" ht="93" customHeight="1">
      <x:c r="A1947" s="19" t="n">
        <x:v>1944</x:v>
      </x:c>
      <x:c r="B1947" s="22" t="e">
        <x:f>HYPERLINK("https://cdn.shopify.com/s/files/1/0918/6066/4603/files/fe9dc7afd3c9bb0504dce137373eb6e9.jpg?v=1783082083","Open")</x:f>
        <x:v>HYPERLINK is not implemented. linkLocation=https://cdn.shopify.com/s/files/1/0918/6066/4603/files/fe9dc7afd3c9bb0504dce137373eb6e9.jpg?v=1783082083, friendlyName=Open</x:v>
      </x:c>
      <x:c r="C1947" s="24" t="e">
        <x:f>HYPERLINK("https://365nails.com/products/365nails-pink-angel-pearl-glitter-rhinestone-pearl-handmade-medium-stiletto-nails","365nails: ""Pink Angel Pearl Glitter"" – Rhinestone &amp; Pearl Handmade Medium Stiletto Nails")</x:f>
        <x:v>HYPERLINK is not implemented. linkLocation=https://365nails.com/products/365nails-pink-angel-pearl-glitter-rhinestone-pearl-handmade-medium-stiletto-nails, friendlyName=365nails: "Pink Angel Pearl Glitter" – Rhinestone &amp; Pearl Handmade Medium Stiletto Nails</x:v>
      </x:c>
      <x:c r="D1947" s="18" t="str">
        <x:v>Size: XS / S / M / L</x:v>
      </x:c>
      <x:c r="E1947" s="25" t="str">
        <x:v>$19.90</x:v>
      </x:c>
      <x:c r="F1947" s="19" t="str">
        <x:v>3</x:v>
      </x:c>
    </x:row>
    <x:row r="1948" ht="93" customHeight="1">
      <x:c r="A1948" s="19" t="n">
        <x:v>1945</x:v>
      </x:c>
      <x:c r="B1948" s="22" t="e">
        <x:f>HYPERLINK("https://cdn.shopify.com/s/files/1/0918/6066/4603/files/4d7ed1b7d1797fec770f5ccccd492565.jpg?v=1783082174","Open")</x:f>
        <x:v>HYPERLINK is not implemented. linkLocation=https://cdn.shopify.com/s/files/1/0918/6066/4603/files/4d7ed1b7d1797fec770f5ccccd492565.jpg?v=1783082174, friendlyName=Open</x:v>
      </x:c>
      <x:c r="C1948" s="24" t="e">
        <x:f>HYPERLINK("https://365nails.com/products/365nails-lavender-gothic-star-spike-3d-metal-cross-star-handmade-long-stiletto-nails","365nails: ""Lavender Gothic Star Spike"" – 3D Metal Cross Star Handmade Long Stiletto Nails")</x:f>
        <x:v>HYPERLINK is not implemented. linkLocation=https://365nails.com/products/365nails-lavender-gothic-star-spike-3d-metal-cross-star-handmade-long-stiletto-nails, friendlyName=365nails: "Lavender Gothic Star Spike" – 3D Metal Cross Star Handmade Long Stiletto Nails</x:v>
      </x:c>
      <x:c r="D1948" s="18" t="str">
        <x:v>Size: XS / S / M / L</x:v>
      </x:c>
      <x:c r="E1948" s="25" t="str">
        <x:v>$19.90</x:v>
      </x:c>
      <x:c r="F1948" s="19" t="str">
        <x:v>3</x:v>
      </x:c>
    </x:row>
    <x:row r="1949" ht="93" customHeight="1">
      <x:c r="A1949" s="19" t="n">
        <x:v>1946</x:v>
      </x:c>
      <x:c r="B1949" s="22" t="e">
        <x:f>HYPERLINK("https://cdn.shopify.com/s/files/1/0918/6066/4603/files/a5809279dce2fde1f73749dc4322e3dc.jpg?v=1783082247","Open")</x:f>
        <x:v>HYPERLINK is not implemented. linkLocation=https://cdn.shopify.com/s/files/1/0918/6066/4603/files/a5809279dce2fde1f73749dc4322e3dc.jpg?v=1783082247, friendlyName=Open</x:v>
      </x:c>
      <x:c r="C1949" s="24" t="e">
        <x:f>HYPERLINK("https://365nails.com/products/365nails-ocean-mermaid-starfish-shell-3d-sea-metal-charm-handmade-long-stiletto-nails","365nails: ""Ocean Mermaid Starfish Shell"" – 3D Sea Metal Charm Handmade Long Stiletto Nails")</x:f>
        <x:v>HYPERLINK is not implemented. linkLocation=https://365nails.com/products/365nails-ocean-mermaid-starfish-shell-3d-sea-metal-charm-handmade-long-stiletto-nails, friendlyName=365nails: "Ocean Mermaid Starfish Shell" – 3D Sea Metal Charm Handmade Long Stiletto Nails</x:v>
      </x:c>
      <x:c r="D1949" s="18" t="str">
        <x:v>Size: XS / S / M / L</x:v>
      </x:c>
      <x:c r="E1949" s="25" t="str">
        <x:v>$19.90</x:v>
      </x:c>
      <x:c r="F1949" s="19" t="str">
        <x:v>3</x:v>
      </x:c>
    </x:row>
    <x:row r="1950" ht="93" customHeight="1">
      <x:c r="A1950" s="19" t="n">
        <x:v>1947</x:v>
      </x:c>
      <x:c r="B1950" s="22" t="e">
        <x:f>HYPERLINK("https://cdn.shopify.com/s/files/1/0918/6066/4603/files/6a922e8b68e844d4fce9f3c6a7934e8a.jpg?v=1783082332","Open")</x:f>
        <x:v>HYPERLINK is not implemented. linkLocation=https://cdn.shopify.com/s/files/1/0918/6066/4603/files/6a922e8b68e844d4fce9f3c6a7934e8a.jpg?v=1783082332, friendlyName=Open</x:v>
      </x:c>
      <x:c r="C1950" s="24" t="e">
        <x:f>HYPERLINK("https://365nails.com/products/365nails-bloody-mesh-bow-grunge-3d-gauze-bow-handmade-long-stiletto-nails","365nails: ""Bloody Mesh Bow Grunge"" – 3D Gauze Bow Handmade Long Stiletto Nails")</x:f>
        <x:v>HYPERLINK is not implemented. linkLocation=https://365nails.com/products/365nails-bloody-mesh-bow-grunge-3d-gauze-bow-handmade-long-stiletto-nails, friendlyName=365nails: "Bloody Mesh Bow Grunge" – 3D Gauze Bow Handmade Long Stiletto Nails</x:v>
      </x:c>
      <x:c r="D1950" s="18" t="str">
        <x:v>Size: XS / S / M / L</x:v>
      </x:c>
      <x:c r="E1950" s="25" t="str">
        <x:v>$19.90</x:v>
      </x:c>
      <x:c r="F1950" s="19" t="str">
        <x:v>3</x:v>
      </x:c>
    </x:row>
    <x:row r="1951" ht="93" customHeight="1">
      <x:c r="A1951" s="19" t="n">
        <x:v>1948</x:v>
      </x:c>
      <x:c r="B1951" s="22" t="e">
        <x:f>HYPERLINK("https://cdn.shopify.com/s/files/1/0918/6066/4603/files/90f4d7e705d8f4ed2fa93411cd8f2727.jpg?v=1783082414","Open")</x:f>
        <x:v>HYPERLINK is not implemented. linkLocation=https://cdn.shopify.com/s/files/1/0918/6066/4603/files/90f4d7e705d8f4ed2fa93411cd8f2727.jpg?v=1783082414, friendlyName=Open</x:v>
      </x:c>
      <x:c r="C1951" s="24" t="e">
        <x:f>HYPERLINK("https://365nails.com/products/365nails-smoke-script-piercing-cross-star-metal-piercing-charm-handmade-long-stiletto-nails","365nails: ""Smoke Script Piercing Cross Star"" – Metal Piercing Charm Handmade Long Stiletto Nails")</x:f>
        <x:v>HYPERLINK is not implemented. linkLocation=https://365nails.com/products/365nails-smoke-script-piercing-cross-star-metal-piercing-charm-handmade-long-stiletto-nails, friendlyName=365nails: "Smoke Script Piercing Cross Star" – Metal Piercing Charm Handmade Long Stiletto Nails</x:v>
      </x:c>
      <x:c r="D1951" s="18" t="str">
        <x:v>Size: XS / S / M / L</x:v>
      </x:c>
      <x:c r="E1951" s="25" t="str">
        <x:v>$19.90</x:v>
      </x:c>
      <x:c r="F1951" s="19" t="str">
        <x:v>3</x:v>
      </x:c>
    </x:row>
    <x:row r="1952" ht="93" customHeight="1">
      <x:c r="A1952" s="19" t="n">
        <x:v>1949</x:v>
      </x:c>
      <x:c r="B1952" s="22" t="e">
        <x:f>HYPERLINK("https://cdn.shopify.com/s/files/1/0918/6066/4603/files/28cba0d574f972eae318d061a410eb72.jpg?v=1783082516","Open")</x:f>
        <x:v>HYPERLINK is not implemented. linkLocation=https://cdn.shopify.com/s/files/1/0918/6066/4603/files/28cba0d574f972eae318d061a410eb72.jpg?v=1783082516, friendlyName=Open</x:v>
      </x:c>
      <x:c r="C1952" s="24" t="e">
        <x:f>HYPERLINK("https://365nails.com/products/365nails-pink-silver-glitter-heart-filigree-foil-flake-metal-heart-handmade-long-stiletto-nails","365nails: ""Pink Silver Glitter Heart Filigree"" – Foil Flake &amp; Metal Heart Handmade Long Stiletto Nails")</x:f>
        <x:v>HYPERLINK is not implemented. linkLocation=https://365nails.com/products/365nails-pink-silver-glitter-heart-filigree-foil-flake-metal-heart-handmade-long-stiletto-nails, friendlyName=365nails: "Pink Silver Glitter Heart Filigree" – Foil Flake &amp; Metal Heart Handmade Long Stiletto Nails</x:v>
      </x:c>
      <x:c r="D1952" s="18" t="str">
        <x:v>Size: XS / S / M / L</x:v>
      </x:c>
      <x:c r="E1952" s="25" t="str">
        <x:v>$19.90</x:v>
      </x:c>
      <x:c r="F1952" s="19" t="str">
        <x:v>3</x:v>
      </x:c>
    </x:row>
    <x:row r="1953" ht="93" customHeight="1">
      <x:c r="A1953" s="19" t="n">
        <x:v>1950</x:v>
      </x:c>
      <x:c r="B1953" s="22" t="e">
        <x:f>HYPERLINK("https://cdn.shopify.com/s/files/1/0918/6066/4603/files/0fd57a5ac9f5630b0f504b43b7ce44f7.jpg?v=1783082734","Open")</x:f>
        <x:v>HYPERLINK is not implemented. linkLocation=https://cdn.shopify.com/s/files/1/0918/6066/4603/files/0fd57a5ac9f5630b0f504b43b7ce44f7.jpg?v=1783082734, friendlyName=Open</x:v>
      </x:c>
      <x:c r="C1953" s="24" t="e">
        <x:f>HYPERLINK("https://365nails.com/products/365nails-aqua-mist-cross-star-filigree-3d-silver-metal-charm-handmade-long-stiletto-nails","365nails: ""Aqua Mist Cross Star Filigree"" – 3D Silver Metal Charm Handmade Long Stiletto Nails")</x:f>
        <x:v>HYPERLINK is not implemented. linkLocation=https://365nails.com/products/365nails-aqua-mist-cross-star-filigree-3d-silver-metal-charm-handmade-long-stiletto-nails, friendlyName=365nails: "Aqua Mist Cross Star Filigree" – 3D Silver Metal Charm Handmade Long Stiletto Nails</x:v>
      </x:c>
      <x:c r="D1953" s="18" t="str">
        <x:v>Size: XS / S / M / L</x:v>
      </x:c>
      <x:c r="E1953" s="25" t="str">
        <x:v>$19.90</x:v>
      </x:c>
      <x:c r="F1953" s="19" t="str">
        <x:v>3</x:v>
      </x:c>
    </x:row>
    <x:row r="1954" ht="93" customHeight="1">
      <x:c r="A1954" s="19" t="n">
        <x:v>1951</x:v>
      </x:c>
      <x:c r="B1954" s="22" t="e">
        <x:f>HYPERLINK("https://cdn.shopify.com/s/files/1/0918/6066/4603/files/85d1db58f70b45574323250f8cfab63c.jpg?v=1783082834","Open")</x:f>
        <x:v>HYPERLINK is not implemented. linkLocation=https://cdn.shopify.com/s/files/1/0918/6066/4603/files/85d1db58f70b45574323250f8cfab63c.jpg?v=1783082834, friendlyName=Open</x:v>
      </x:c>
      <x:c r="C1954" s="24" t="e">
        <x:f>HYPERLINK("https://365nails.com/products/365nails-purple-gothic-lace-moon-skull-3d-red-heart-metal-charm-handmade-long-stiletto-nails","365nails: ""Purple Gothic Lace Moon Skull"" – 3D Red Heart Metal Charm Handmade Long Stiletto Nails")</x:f>
        <x:v>HYPERLINK is not implemented. linkLocation=https://365nails.com/products/365nails-purple-gothic-lace-moon-skull-3d-red-heart-metal-charm-handmade-long-stiletto-nails, friendlyName=365nails: "Purple Gothic Lace Moon Skull" – 3D Red Heart Metal Charm Handmade Long Stiletto Nails</x:v>
      </x:c>
      <x:c r="D1954" s="18" t="str">
        <x:v>Size: XS / S / M / L</x:v>
      </x:c>
      <x:c r="E1954" s="25" t="str">
        <x:v>$19.90</x:v>
      </x:c>
      <x:c r="F1954" s="19" t="str">
        <x:v>3</x:v>
      </x:c>
    </x:row>
    <x:row r="1955" ht="93" customHeight="1">
      <x:c r="A1955" s="19" t="n">
        <x:v>1952</x:v>
      </x:c>
      <x:c r="B1955" s="22" t="e">
        <x:f>HYPERLINK("https://cdn.shopify.com/s/files/1/0918/6066/4603/files/bed1d4791436e55d0793fc89506f83f3.jpg?v=1783082906","Open")</x:f>
        <x:v>HYPERLINK is not implemented. linkLocation=https://cdn.shopify.com/s/files/1/0918/6066/4603/files/bed1d4791436e55d0793fc89506f83f3.jpg?v=1783082906, friendlyName=Open</x:v>
      </x:c>
      <x:c r="C1955" s="24" t="e">
        <x:f>HYPERLINK("https://365nails.com/products/365nails-pastel-cracked-vein-jelly-mini-metal-charm-handmade-medium-stiletto-nails","365nails: ""Pastel Cracked Vein Jelly"" – Mini Metal Charm Handmade Medium Stiletto Nails")</x:f>
        <x:v>HYPERLINK is not implemented. linkLocation=https://365nails.com/products/365nails-pastel-cracked-vein-jelly-mini-metal-charm-handmade-medium-stiletto-nails, friendlyName=365nails: "Pastel Cracked Vein Jelly" – Mini Metal Charm Handmade Medium Stiletto Nails</x:v>
      </x:c>
      <x:c r="D1955" s="18" t="str">
        <x:v>Size: XS / S / M / L</x:v>
      </x:c>
      <x:c r="E1955" s="25" t="str">
        <x:v>$19.90</x:v>
      </x:c>
      <x:c r="F1955" s="19" t="str">
        <x:v>3</x:v>
      </x:c>
    </x:row>
    <x:row r="1956" ht="93" customHeight="1">
      <x:c r="A1956" s="19" t="n">
        <x:v>1953</x:v>
      </x:c>
      <x:c r="B1956" s="22" t="e">
        <x:f>HYPERLINK("https://cdn.shopify.com/s/files/1/0918/6066/4603/files/b427d2a7d510a06b36ca8dd6bfa7c8bc.jpg?v=1783084877","Open")</x:f>
        <x:v>HYPERLINK is not implemented. linkLocation=https://cdn.shopify.com/s/files/1/0918/6066/4603/files/b427d2a7d510a06b36ca8dd6bfa7c8bc.jpg?v=1783084877, friendlyName=Open</x:v>
      </x:c>
      <x:c r="C1956" s="24" t="e">
        <x:f>HYPERLINK("https://365nails.com/products/365nails-crimson-cracked-rose-punk-3d-white-rose-metal-spike-safety-pin-handmade-long-stiletto","365nails: ""Crimson Cracked Rose Punk"" – 3D White Rose &amp; Metal Spike Safety Pin Handmade Long Stiletto")</x:f>
        <x:v>HYPERLINK is not implemented. linkLocation=https://365nails.com/products/365nails-crimson-cracked-rose-punk-3d-white-rose-metal-spike-safety-pin-handmade-long-stiletto, friendlyName=365nails: "Crimson Cracked Rose Punk" – 3D White Rose &amp; Metal Spike Safety Pin Handmade Long Stiletto</x:v>
      </x:c>
      <x:c r="D1956" s="18" t="str">
        <x:v>Size: XS / S / M / L</x:v>
      </x:c>
      <x:c r="E1956" s="25" t="str">
        <x:v>$19.90</x:v>
      </x:c>
      <x:c r="F1956" s="19" t="str">
        <x:v>3</x:v>
      </x:c>
    </x:row>
    <x:row r="1957" ht="93" customHeight="1">
      <x:c r="A1957" s="19" t="n">
        <x:v>1954</x:v>
      </x:c>
      <x:c r="B1957" s="22" t="e">
        <x:f>HYPERLINK("https://cdn.shopify.com/s/files/1/0918/6066/4603/files/d363b8a615f56d51ed97037e2edcd6fe.jpg?v=1783085562","Open")</x:f>
        <x:v>HYPERLINK is not implemented. linkLocation=https://cdn.shopify.com/s/files/1/0918/6066/4603/files/d363b8a615f56d51ed97037e2edcd6fe.jpg?v=1783085562, friendlyName=Open</x:v>
      </x:c>
      <x:c r="C1957" s="24" t="e">
        <x:f>HYPERLINK("https://365nails.com/products/365nails-lavender-silver-star-script-silver-foil-handmade-long-stiletto-nails","365nails: ""Lavender Silver Star Script"" – Silver Foil Handmade Long Stiletto Nails")</x:f>
        <x:v>HYPERLINK is not implemented. linkLocation=https://365nails.com/products/365nails-lavender-silver-star-script-silver-foil-handmade-long-stiletto-nails, friendlyName=365nails: "Lavender Silver Star Script" – Silver Foil Handmade Long Stiletto Nails</x:v>
      </x:c>
      <x:c r="D1957" s="18" t="str">
        <x:v>Size: XS / S / M / L</x:v>
      </x:c>
      <x:c r="E1957" s="25" t="str">
        <x:v>$19.90</x:v>
      </x:c>
      <x:c r="F1957" s="19" t="str">
        <x:v>3</x:v>
      </x:c>
    </x:row>
    <x:row r="1958" ht="93" customHeight="1">
      <x:c r="A1958" s="19" t="n">
        <x:v>1955</x:v>
      </x:c>
      <x:c r="B1958" s="22" t="e">
        <x:f>HYPERLINK("https://cdn.shopify.com/s/files/1/0918/6066/4603/files/c8876029c69cada5850ead268636517d.jpg?v=1783085788","Open")</x:f>
        <x:v>HYPERLINK is not implemented. linkLocation=https://cdn.shopify.com/s/files/1/0918/6066/4603/files/c8876029c69cada5850ead268636517d.jpg?v=1783085788, friendlyName=Open</x:v>
      </x:c>
      <x:c r="C1958" s="24" t="e">
        <x:f>HYPERLINK("https://365nails.com/products/365nails-monochrome-polka-dot-cross-lace-vintage-script-handmade-long-stiletto-nails","365nails: ""Monochrome Polka Dot Cross Lace"" – Vintage Script Handmade Long Stiletto Nails")</x:f>
        <x:v>HYPERLINK is not implemented. linkLocation=https://365nails.com/products/365nails-monochrome-polka-dot-cross-lace-vintage-script-handmade-long-stiletto-nails, friendlyName=365nails: "Monochrome Polka Dot Cross Lace" – Vintage Script Handmade Long Stiletto Nails</x:v>
      </x:c>
      <x:c r="D1958" s="18" t="str">
        <x:v>Size: XS / S / M / L</x:v>
      </x:c>
      <x:c r="E1958" s="25" t="str">
        <x:v>$19.90</x:v>
      </x:c>
      <x:c r="F1958" s="19" t="str">
        <x:v>3</x:v>
      </x:c>
    </x:row>
    <x:row r="1959" ht="93" customHeight="1">
      <x:c r="A1959" s="19" t="n">
        <x:v>1956</x:v>
      </x:c>
      <x:c r="B1959" s="22" t="e">
        <x:f>HYPERLINK("https://cdn.shopify.com/s/files/1/0918/6066/4603/files/0c77039856df69924dd9b97a38a4246d.jpg?v=1783085858","Open")</x:f>
        <x:v>HYPERLINK is not implemented. linkLocation=https://cdn.shopify.com/s/files/1/0918/6066/4603/files/0c77039856df69924dd9b97a38a4246d.jpg?v=1783085858, friendlyName=Open</x:v>
      </x:c>
      <x:c r="C1959" s="24" t="e">
        <x:f>HYPERLINK("https://365nails.com/products/365nails-pink-leopard-cross-piercing-chain-3d-resin-flower-metal-charm-handmade-long-stiletto-nails","365nails: ""Pink Leopard Cross Piercing Chain"" – 3D Resin Flower Metal Charm Handmade Long Stiletto Nails")</x:f>
        <x:v>HYPERLINK is not implemented. linkLocation=https://365nails.com/products/365nails-pink-leopard-cross-piercing-chain-3d-resin-flower-metal-charm-handmade-long-stiletto-nails, friendlyName=365nails: "Pink Leopard Cross Piercing Chain" – 3D Resin Flower Metal Charm Handmade Long Stiletto Nails</x:v>
      </x:c>
      <x:c r="D1959" s="18" t="str">
        <x:v>Size: XS / S / M / L</x:v>
      </x:c>
      <x:c r="E1959" s="25" t="str">
        <x:v>$19.90</x:v>
      </x:c>
      <x:c r="F1959" s="19" t="str">
        <x:v>3</x:v>
      </x:c>
    </x:row>
    <x:row r="1960" ht="93" customHeight="1">
      <x:c r="A1960" s="19" t="n">
        <x:v>1957</x:v>
      </x:c>
      <x:c r="B1960" s="22" t="e">
        <x:f>HYPERLINK("https://cdn.shopify.com/s/files/1/0918/6066/4603/files/a1c81692327aef6d5e3ef5b923558cf0.jpg?v=1783085954","Open")</x:f>
        <x:v>HYPERLINK is not implemented. linkLocation=https://cdn.shopify.com/s/files/1/0918/6066/4603/files/a1c81692327aef6d5e3ef5b923558cf0.jpg?v=1783085954, friendlyName=Open</x:v>
      </x:c>
      <x:c r="C1960" s="24" t="e">
        <x:f>HYPERLINK("https://365nails.com/products/365nails-cyan-devil-eye-bat-wing-punk-3d-skeleton-piercing-cross-handmade-long-stiletto-nails","365nails: ""Cyan Devil Eye Bat Wing Punk"" – 3D Skeleton Piercing Cross Handmade Long Stiletto Nails")</x:f>
        <x:v>HYPERLINK is not implemented. linkLocation=https://365nails.com/products/365nails-cyan-devil-eye-bat-wing-punk-3d-skeleton-piercing-cross-handmade-long-stiletto-nails, friendlyName=365nails: "Cyan Devil Eye Bat Wing Punk" – 3D Skeleton Piercing Cross Handmade Long Stiletto Nails</x:v>
      </x:c>
      <x:c r="D1960" s="18" t="str">
        <x:v>Size: XS / S / M / L</x:v>
      </x:c>
      <x:c r="E1960" s="25" t="str">
        <x:v>$19.90</x:v>
      </x:c>
      <x:c r="F1960" s="19" t="str">
        <x:v>3</x:v>
      </x:c>
    </x:row>
    <x:row r="1961" ht="93" customHeight="1">
      <x:c r="A1961" s="19" t="n">
        <x:v>1958</x:v>
      </x:c>
      <x:c r="B1961" s="22" t="e">
        <x:f>HYPERLINK("https://cdn.shopify.com/s/files/1/0918/6066/4603/files/O1CN015vdhDX2NGI0PLZEiZ__4234819935-0-cib.jpg?v=1763451318","Open")</x:f>
        <x:v>HYPERLINK is not implemented. linkLocation=https://cdn.shopify.com/s/files/1/0918/6066/4603/files/O1CN015vdhDX2NGI0PLZEiZ__4234819935-0-cib.jpg?v=1763451318, friendlyName=Open</x:v>
      </x:c>
      <x:c r="C1961" s="24" t="e">
        <x:f>HYPERLINK("https://365nails.com/products/peach-nude-almond-nails-with-warm-soft-tone","Peach Nude Almond Nails with Warm Soft Tone")</x:f>
        <x:v>HYPERLINK is not implemented. linkLocation=https://365nails.com/products/peach-nude-almond-nails-with-warm-soft-tone, friendlyName=Peach Nude Almond Nails with Warm Soft Tone</x:v>
      </x:c>
      <x:c r="D1961" s="18" t="str">
        <x:v>color: JP4077</x:v>
      </x:c>
      <x:c r="E1961" s="25" t="str">
        <x:v>$1.12</x:v>
      </x:c>
      <x:c r="F1961" s="19" t="str">
        <x:v>1</x:v>
      </x:c>
    </x:row>
    <x:row r="1962" ht="93" customHeight="1">
      <x:c r="A1962" s="19" t="n">
        <x:v>1959</x:v>
      </x:c>
      <x:c r="B1962" s="22" t="e">
        <x:f>HYPERLINK("https://cdn.shopify.com/s/files/1/0918/6066/4603/files/2392cbe9163c09e28cb656ca9f497b77.jpg?v=1779284152","Open")</x:f>
        <x:v>HYPERLINK is not implemented. linkLocation=https://cdn.shopify.com/s/files/1/0918/6066/4603/files/2392cbe9163c09e28cb656ca9f497b77.jpg?v=1779284152, friendlyName=Open</x:v>
      </x:c>
      <x:c r="C1962" s="24" t="e">
        <x:f>HYPERLINK("https://365nails.com/products/365nails-knitted-winter-bloom-handmade-medium-square-press-on-nails","365nails: ""Knitted Winter Bloom"" – Handmade Medium Square Press-On Nails")</x:f>
        <x:v>HYPERLINK is not implemented. linkLocation=https://365nails.com/products/365nails-knitted-winter-bloom-handmade-medium-square-press-on-nails, friendlyName=365nails: "Knitted Winter Bloom" – Handmade Medium Square Press-On Nails</x:v>
      </x:c>
      <x:c r="D1962" s="18" t="str">
        <x:v>Size: XS / S / M / L</x:v>
      </x:c>
      <x:c r="E1962" s="25" t="str">
        <x:v>$3.99</x:v>
      </x:c>
      <x:c r="F1962" s="19" t="str">
        <x:v>5</x:v>
      </x:c>
    </x:row>
    <x:row r="1963" ht="93" customHeight="1">
      <x:c r="A1963" s="19" t="n">
        <x:v>1960</x:v>
      </x:c>
      <x:c r="B1963" s="22" t="e">
        <x:f>HYPERLINK("https://cdn.shopify.com/s/files/1/0918/6066/4603/files/0b149722161c92feb135b6af6e67aa8c.jpg?v=1779282648","Open")</x:f>
        <x:v>HYPERLINK is not implemented. linkLocation=https://cdn.shopify.com/s/files/1/0918/6066/4603/files/0b149722161c92feb135b6af6e67aa8c.jpg?v=1779282648, friendlyName=Open</x:v>
      </x:c>
      <x:c r="C1963" s="24" t="e">
        <x:f>HYPERLINK("https://365nails.com/products/365nails-pink-turquoise-gem-bloom-handmade-long-square-press-on-nails","365nails: ""Pink &amp; Turquoise Gem Bloom"" – Handmade Long Square Press-On Nails")</x:f>
        <x:v>HYPERLINK is not implemented. linkLocation=https://365nails.com/products/365nails-pink-turquoise-gem-bloom-handmade-long-square-press-on-nails, friendlyName=365nails: "Pink &amp; Turquoise Gem Bloom" – Handmade Long Square Press-On Nails</x:v>
      </x:c>
      <x:c r="D1963" s="18" t="str">
        <x:v>Size: XS / S / M / L</x:v>
      </x:c>
      <x:c r="E1963" s="25" t="str">
        <x:v>$3.99</x:v>
      </x:c>
      <x:c r="F1963" s="19" t="str">
        <x:v>5</x:v>
      </x:c>
    </x:row>
    <x:row r="1964" ht="93" customHeight="1">
      <x:c r="A1964" s="19" t="n">
        <x:v>1961</x:v>
      </x:c>
      <x:c r="B1964" s="22" t="e">
        <x:f>HYPERLINK("https://cdn.shopify.com/s/files/1/0918/6066/4603/files/b64c05a4f5886d04821262a4264a6cbb.jpg?v=1777643004","Open")</x:f>
        <x:v>HYPERLINK is not implemented. linkLocation=https://cdn.shopify.com/s/files/1/0918/6066/4603/files/b64c05a4f5886d04821262a4264a6cbb.jpg?v=1777643004, friendlyName=Open</x:v>
      </x:c>
      <x:c r="C1964" s="24" t="e">
        <x:f>HYPERLINK("https://365nails.com/products/365nails-blueberry-citrus-3d-sculpted-handmade-medium-almond-press-on-nails","365nails: ""Blueberry Citrus"" – 3D Sculpted Handmade Medium Almond Press On Nails")</x:f>
        <x:v>HYPERLINK is not implemented. linkLocation=https://365nails.com/products/365nails-blueberry-citrus-3d-sculpted-handmade-medium-almond-press-on-nails, friendlyName=365nails: "Blueberry Citrus" – 3D Sculpted Handmade Medium Almond Press On Nails</x:v>
      </x:c>
      <x:c r="D1964" s="18" t="str">
        <x:v>Size: XS / S / M / L</x:v>
      </x:c>
      <x:c r="E1964" s="25" t="str">
        <x:v>$4.99</x:v>
      </x:c>
      <x:c r="F1964" s="19" t="str">
        <x:v>5</x:v>
      </x:c>
    </x:row>
    <x:row r="1965" ht="93" customHeight="1">
      <x:c r="A1965" s="19" t="n">
        <x:v>1962</x:v>
      </x:c>
      <x:c r="B1965" s="22" t="e">
        <x:f>HYPERLINK("https://cdn.shopify.com/s/files/1/0918/6066/4603/files/b33236040d0e5d25753524d92d1c596a.jpg?v=1777540329","Open")</x:f>
        <x:v>HYPERLINK is not implemented. linkLocation=https://cdn.shopify.com/s/files/1/0918/6066/4603/files/b33236040d0e5d25753524d92d1c596a.jpg?v=1777540329, friendlyName=Open</x:v>
      </x:c>
      <x:c r="C1965" s="24" t="e">
        <x:f>HYPERLINK("https://365nails.com/products/365nails-tropical-plumeria-handmade-short-almond-press-on-nails","365nails: ""Tropical Plumeria"" – Handmade Short Almond Press-On Nails")</x:f>
        <x:v>HYPERLINK is not implemented. linkLocation=https://365nails.com/products/365nails-tropical-plumeria-handmade-short-almond-press-on-nails, friendlyName=365nails: "Tropical Plumeria" – Handmade Short Almond Press-On Nails</x:v>
      </x:c>
      <x:c r="D1965" s="18" t="str">
        <x:v>Size: XS / S / M / L</x:v>
      </x:c>
      <x:c r="E1965" s="25" t="str">
        <x:v>$2.99</x:v>
      </x:c>
      <x:c r="F1965" s="19" t="str">
        <x:v>5</x:v>
      </x:c>
    </x:row>
    <x:row r="1966" ht="93" customHeight="1">
      <x:c r="A1966" s="19" t="n">
        <x:v>1963</x:v>
      </x:c>
      <x:c r="B1966" s="22" t="e">
        <x:f>HYPERLINK("https://cdn.shopify.com/s/files/1/0918/6066/4603/files/af72cbd460646a45a04ead6fd414fb7d.jpg?v=1777727640","Open")</x:f>
        <x:v>HYPERLINK is not implemented. linkLocation=https://cdn.shopify.com/s/files/1/0918/6066/4603/files/af72cbd460646a45a04ead6fd414fb7d.jpg?v=1777727640, friendlyName=Open</x:v>
      </x:c>
      <x:c r="C1966" s="24" t="e">
        <x:f>HYPERLINK("https://365nails.com/products/365nails-pink-bow-fantasy-3d-bow-rhinestone-handmade-coffin-nails","365nails: ""Pink Bow Fantasy"" – 3D Bow &amp; Rhinestone Handmade Coffin Nails")</x:f>
        <x:v>HYPERLINK is not implemented. linkLocation=https://365nails.com/products/365nails-pink-bow-fantasy-3d-bow-rhinestone-handmade-coffin-nails, friendlyName=365nails: "Pink Bow Fantasy" – 3D Bow &amp; Rhinestone Handmade Coffin Nails</x:v>
      </x:c>
      <x:c r="D1966" s="18" t="str">
        <x:v>Size: XS / S / M / L</x:v>
      </x:c>
      <x:c r="E1966" s="25" t="str">
        <x:v>$4.49</x:v>
      </x:c>
      <x:c r="F1966" s="19" t="str">
        <x:v>5</x:v>
      </x:c>
    </x:row>
    <x:row r="1967" ht="93" customHeight="1">
      <x:c r="A1967" s="19" t="n">
        <x:v>1964</x:v>
      </x:c>
      <x:c r="B1967" s="22" t="e">
        <x:f>HYPERLINK("https://cdn.shopify.com/s/files/1/0918/6066/4603/files/44ad42c6e741527c46077bf2c7f80606.jpg?v=1777792697","Open")</x:f>
        <x:v>HYPERLINK is not implemented. linkLocation=https://cdn.shopify.com/s/files/1/0918/6066/4603/files/44ad42c6e741527c46077bf2c7f80606.jpg?v=1777792697, friendlyName=Open</x:v>
      </x:c>
      <x:c r="C1967" s="24" t="e">
        <x:f>HYPERLINK("https://365nails.com/products/365nails-nude-blue-flower-wave-mix-handmade-medium-stiletto-press-on-nails","365nails: ""Nude Blue Flower Wave Mix"" – Handmade Medium Stiletto Press-On Nails")</x:f>
        <x:v>HYPERLINK is not implemented. linkLocation=https://365nails.com/products/365nails-nude-blue-flower-wave-mix-handmade-medium-stiletto-press-on-nails, friendlyName=365nails: "Nude Blue Flower Wave Mix" – Handmade Medium Stiletto Press-On Nails</x:v>
      </x:c>
      <x:c r="D1967" s="18" t="str">
        <x:v>Size: XS / S / M / L</x:v>
      </x:c>
      <x:c r="E1967" s="25" t="str">
        <x:v>$3.49</x:v>
      </x:c>
      <x:c r="F1967" s="19" t="str">
        <x:v>5</x:v>
      </x:c>
    </x:row>
    <x:row r="1968" ht="93" customHeight="1">
      <x:c r="A1968" s="19" t="n">
        <x:v>1965</x:v>
      </x:c>
      <x:c r="B1968" s="22" t="e">
        <x:f>HYPERLINK("https://cdn.shopify.com/s/files/1/0918/6066/4603/files/80a3fd22c936272f5a6d13a91a85c099.jpg?v=1777802876","Open")</x:f>
        <x:v>HYPERLINK is not implemented. linkLocation=https://cdn.shopify.com/s/files/1/0918/6066/4603/files/80a3fd22c936272f5a6d13a91a85c099.jpg?v=1777802876, friendlyName=Open</x:v>
      </x:c>
      <x:c r="C1968" s="24" t="e">
        <x:f>HYPERLINK("https://365nails.com/products/365nails-nude-blue-black-gold-flower-mix-handmade-medium-stiletto-press-on-nails","365nails: ""Nude Blue Black Gold Flower Mix"" – Handmade Medium Stiletto Press-On Nails")</x:f>
        <x:v>HYPERLINK is not implemented. linkLocation=https://365nails.com/products/365nails-nude-blue-black-gold-flower-mix-handmade-medium-stiletto-press-on-nails, friendlyName=365nails: "Nude Blue Black Gold Flower Mix" – Handmade Medium Stiletto Press-On Nails</x:v>
      </x:c>
      <x:c r="D1968" s="18" t="str">
        <x:v>Size: XS / S / M / L</x:v>
      </x:c>
      <x:c r="E1968" s="25" t="str">
        <x:v>$3.49</x:v>
      </x:c>
      <x:c r="F1968" s="19" t="str">
        <x:v>5</x:v>
      </x:c>
    </x:row>
    <x:row r="1969" ht="93" customHeight="1">
      <x:c r="A1969" s="19" t="n">
        <x:v>1966</x:v>
      </x:c>
      <x:c r="B1969" s="22" t="e">
        <x:f>HYPERLINK("https://cdn.shopify.com/s/files/1/0918/6066/4603/files/39d4568649a6e93b202fd21c64aa4bc9.jpg?v=1777101912","Open")</x:f>
        <x:v>HYPERLINK is not implemented. linkLocation=https://cdn.shopify.com/s/files/1/0918/6066/4603/files/39d4568649a6e93b202fd21c64aa4bc9.jpg?v=1777101912, friendlyName=Open</x:v>
      </x:c>
      <x:c r="C1969" s="24" t="e">
        <x:f>HYPERLINK("https://365nails.com/products/handmade-pearl-pink-base-white-french-press-on-pearl-custom-almond","Handmade Pearl Pink Base White French Press-On (Pearl/Custom/Almond)")</x:f>
        <x:v>HYPERLINK is not implemented. linkLocation=https://365nails.com/products/handmade-pearl-pink-base-white-french-press-on-pearl-custom-almond, friendlyName=Handmade Pearl Pink Base White French Press-On (Pearl/Custom/Almond)</x:v>
      </x:c>
      <x:c r="D1969" s="18" t="str">
        <x:v>Size: XS / S / M / L</x:v>
      </x:c>
      <x:c r="E1969" s="25" t="str">
        <x:v>$2.49</x:v>
      </x:c>
      <x:c r="F1969" s="19" t="str">
        <x:v>5</x:v>
      </x:c>
    </x:row>
    <x:row r="1970" ht="93" customHeight="1">
      <x:c r="A1970" s="19" t="n">
        <x:v>1967</x:v>
      </x:c>
      <x:c r="B1970" s="22" t="e">
        <x:f>HYPERLINK("https://cdn.shopify.com/s/files/1/0918/6066/4603/files/4d01e09e44099da2d8f0585d19e81899.jpg?v=1775891531","Open")</x:f>
        <x:v>HYPERLINK is not implemented. linkLocation=https://cdn.shopify.com/s/files/1/0918/6066/4603/files/4d01e09e44099da2d8f0585d19e81899.jpg?v=1775891531, friendlyName=Open</x:v>
      </x:c>
      <x:c r="C1970" s="24" t="e">
        <x:f>HYPERLINK("https://365nails.com/products/365nails-gothic-lace-cross-stiletto-handmade-long-sharp-stiletto-nails","365nails: ""Gothic Lace Cross Stiletto"" – Handmade Long Sharp Stiletto Nails")</x:f>
        <x:v>HYPERLINK is not implemented. linkLocation=https://365nails.com/products/365nails-gothic-lace-cross-stiletto-handmade-long-sharp-stiletto-nails, friendlyName=365nails: "Gothic Lace Cross Stiletto" – Handmade Long Sharp Stiletto Nails</x:v>
      </x:c>
      <x:c r="D1970" s="18" t="str">
        <x:v>Size: XS / S / M / L</x:v>
      </x:c>
      <x:c r="E1970" s="25" t="str">
        <x:v>$3.99</x:v>
      </x:c>
      <x:c r="F1970" s="19" t="str">
        <x:v>3</x:v>
      </x:c>
    </x:row>
    <x:row r="1971" ht="93" customHeight="1">
      <x:c r="A1971" s="19" t="n">
        <x:v>1968</x:v>
      </x:c>
      <x:c r="B1971" s="22" t="e">
        <x:f>HYPERLINK("https://cdn.shopify.com/s/files/1/0918/6066/4603/files/2770e8cd5d49fed4546bfb7ee5efc2e4.jpg?v=1778244633","Open")</x:f>
        <x:v>HYPERLINK is not implemented. linkLocation=https://cdn.shopify.com/s/files/1/0918/6066/4603/files/2770e8cd5d49fed4546bfb7ee5efc2e4.jpg?v=1778244633, friendlyName=Open</x:v>
      </x:c>
      <x:c r="C1971" s="24" t="e">
        <x:f>HYPERLINK("https://365nails.com/products/365nails-ghostly-glamour-3d-spider-skull-handmade-almond-nails","365nails: ""Ghostly Glamour"" – 3D Spider &amp; Skull Handmade Almond Nails")</x:f>
        <x:v>HYPERLINK is not implemented. linkLocation=https://365nails.com/products/365nails-ghostly-glamour-3d-spider-skull-handmade-almond-nails, friendlyName=365nails: "Ghostly Glamour" – 3D Spider &amp; Skull Handmade Almond Nails</x:v>
      </x:c>
      <x:c r="D1971" s="18" t="str">
        <x:v>Size: XS / S / M / L</x:v>
      </x:c>
      <x:c r="E1971" s="25" t="str">
        <x:v>$3.99</x:v>
      </x:c>
      <x:c r="F1971" s="19" t="str">
        <x:v>5</x:v>
      </x:c>
    </x:row>
    <x:row r="1972" ht="93" customHeight="1">
      <x:c r="A1972" s="19" t="n">
        <x:v>1969</x:v>
      </x:c>
      <x:c r="B1972" s="22" t="e">
        <x:f>HYPERLINK("https://cdn.shopify.com/s/files/1/0918/6066/4603/files/1c19b74fc3d3eaf0864416ad0a86a131.jpg?v=1775393492","Open")</x:f>
        <x:v>HYPERLINK is not implemented. linkLocation=https://cdn.shopify.com/s/files/1/0918/6066/4603/files/1c19b74fc3d3eaf0864416ad0a86a131.jpg?v=1775393492, friendlyName=Open</x:v>
      </x:c>
      <x:c r="C1972" s="24" t="e">
        <x:f>HYPERLINK("https://365nails.com/products/365nails-celestial-rebel-3d-silver-cross-stud-handmade-coffin-nails","365nails: ""Celestial Rebel"" – 3D Silver Cross &amp; Stud Handmade Coffin Nails")</x:f>
        <x:v>HYPERLINK is not implemented. linkLocation=https://365nails.com/products/365nails-celestial-rebel-3d-silver-cross-stud-handmade-coffin-nails, friendlyName=365nails: "Celestial Rebel" – 3D Silver Cross &amp; Stud Handmade Coffin Nails</x:v>
      </x:c>
      <x:c r="D1972" s="18" t="str">
        <x:v>Size: XS / S / M / L</x:v>
      </x:c>
      <x:c r="E1972" s="25" t="str">
        <x:v>$3.99</x:v>
      </x:c>
      <x:c r="F1972" s="19" t="str">
        <x:v>3</x:v>
      </x:c>
    </x:row>
    <x:row r="1973" ht="93" customHeight="1">
      <x:c r="A1973" s="19" t="n">
        <x:v>1970</x:v>
      </x:c>
      <x:c r="B1973" s="22" t="e">
        <x:f>HYPERLINK("https://cdn.shopify.com/s/files/1/0918/6066/4603/files/da0203797839e032b5e58c318e0708ba_063e2ac1-b97c-4009-8814-98cbbb475cb1.jpg?v=1775391039","Open")</x:f>
        <x:v>HYPERLINK is not implemented. linkLocation=https://cdn.shopify.com/s/files/1/0918/6066/4603/files/da0203797839e032b5e58c318e0708ba_063e2ac1-b97c-4009-8814-98cbbb475cb1.jpg?v=1775391039, friendlyName=Open</x:v>
      </x:c>
      <x:c r="C1973" s="24" t="e">
        <x:f>HYPERLINK("https://365nails.com/products/365nails-gothic-lolita-3d-bear-star-handmade-almond-nails","365nails: ""Gothic Lolita"" – 3D Bear &amp; Star Handmade Almond Nails")</x:f>
        <x:v>HYPERLINK is not implemented. linkLocation=https://365nails.com/products/365nails-gothic-lolita-3d-bear-star-handmade-almond-nails, friendlyName=365nails: "Gothic Lolita" – 3D Bear &amp; Star Handmade Almond Nails</x:v>
      </x:c>
      <x:c r="D1973" s="18" t="str">
        <x:v>Size: XS / S / M / L</x:v>
      </x:c>
      <x:c r="E1973" s="25" t="str">
        <x:v>$3.99</x:v>
      </x:c>
      <x:c r="F1973" s="19" t="str">
        <x:v>3</x:v>
      </x:c>
    </x:row>
    <x:row r="1974" ht="93" customHeight="1">
      <x:c r="A1974" s="19" t="n">
        <x:v>1971</x:v>
      </x:c>
      <x:c r="B1974" s="22" t="e">
        <x:f>HYPERLINK("https://cdn.shopify.com/s/files/1/0918/6066/4603/files/ddec6d75f364520c91e798b05e077f98.jpg?v=1775389923","Open")</x:f>
        <x:v>HYPERLINK is not implemented. linkLocation=https://cdn.shopify.com/s/files/1/0918/6066/4603/files/ddec6d75f364520c91e798b05e077f98.jpg?v=1775389923, friendlyName=Open</x:v>
      </x:c>
      <x:c r="C1974" s="24" t="e">
        <x:f>HYPERLINK("https://365nails.com/products/365nails-midnight-macabre-3d-horror-art-handmade-stiletto-nails","365nails: ""Midnight Macabre"" – 3D Horror Art Handmade Stiletto Nails")</x:f>
        <x:v>HYPERLINK is not implemented. linkLocation=https://365nails.com/products/365nails-midnight-macabre-3d-horror-art-handmade-stiletto-nails, friendlyName=365nails: "Midnight Macabre" – 3D Horror Art Handmade Stiletto Nails</x:v>
      </x:c>
      <x:c r="D1974" s="18" t="str">
        <x:v>Size: XS / S / M / L</x:v>
      </x:c>
      <x:c r="E1974" s="25" t="str">
        <x:v>$3.99</x:v>
      </x:c>
      <x:c r="F1974" s="19" t="str">
        <x:v>3</x:v>
      </x:c>
    </x:row>
    <x:row r="1975" ht="93" customHeight="1">
      <x:c r="A1975" s="19" t="n">
        <x:v>1972</x:v>
      </x:c>
      <x:c r="B1975" s="22" t="e">
        <x:f>HYPERLINK("https://cdn.shopify.com/s/files/1/0918/6066/4603/files/43620a1b02b76294be492c755ea7095e.jpg?v=1775389573","Open")</x:f>
        <x:v>HYPERLINK is not implemented. linkLocation=https://cdn.shopify.com/s/files/1/0918/6066/4603/files/43620a1b02b76294be492c755ea7095e.jpg?v=1775389573, friendlyName=Open</x:v>
      </x:c>
      <x:c r="C1975" s="24" t="e">
        <x:f>HYPERLINK("https://365nails.com/products/365nails-gothic-frost-3d-metal-spikes-handmade-stiletto-nails","365nails: ""Gothic Frost"" – 3D Metal &amp; Spikes Handmade Stiletto Nails")</x:f>
        <x:v>HYPERLINK is not implemented. linkLocation=https://365nails.com/products/365nails-gothic-frost-3d-metal-spikes-handmade-stiletto-nails, friendlyName=365nails: "Gothic Frost" – 3D Metal &amp; Spikes Handmade Stiletto Nails</x:v>
      </x:c>
      <x:c r="D1975" s="18" t="str">
        <x:v>Size: XS / S / M / L</x:v>
      </x:c>
      <x:c r="E1975" s="25" t="str">
        <x:v>$3.99</x:v>
      </x:c>
      <x:c r="F1975" s="19" t="str">
        <x:v>3</x:v>
      </x:c>
    </x:row>
    <x:row r="1976" ht="93" customHeight="1">
      <x:c r="A1976" s="19" t="n">
        <x:v>1973</x:v>
      </x:c>
      <x:c r="B1976" s="22" t="e">
        <x:f>HYPERLINK("https://cdn.shopify.com/s/files/1/0918/6066/4603/files/826be8a2ea1d57ceaf7d30d996b77e02.jpg?v=1771394025","Open")</x:f>
        <x:v>HYPERLINK is not implemented. linkLocation=https://cdn.shopify.com/s/files/1/0918/6066/4603/files/826be8a2ea1d57ceaf7d30d996b77e02.jpg?v=1771394025, friendlyName=Open</x:v>
      </x:c>
      <x:c r="C1976" s="24" t="e">
        <x:f>HYPERLINK("https://365nails.com/products/femme-fatale-web-of-romance-milky-white-base-with-red-spiderwebs-gothic-calligraphy-silver-cross-charms-long-stiletto-nails","Femme Fatale: ""Web of Romance"" – Milky White Base with Red Spiderwebs, Gothic Calligraphy &amp; Silver Cross Charms Long Stiletto Nails")</x:f>
        <x:v>HYPERLINK is not implemented. linkLocation=https://365nails.com/products/femme-fatale-web-of-romance-milky-white-base-with-red-spiderwebs-gothic-calligraphy-silver-cross-charms-long-stiletto-nails, friendlyName=Femme Fatale: "Web of Romance" – Milky White Base with Red Spiderwebs, Gothic Calligraphy &amp; Silver Cross Charms Long Stiletto Nails</x:v>
      </x:c>
      <x:c r="D1976" s="18" t="str">
        <x:v>Size: XS / S / M / L</x:v>
      </x:c>
      <x:c r="E1976" s="25" t="str">
        <x:v>$3.99</x:v>
      </x:c>
      <x:c r="F1976" s="19" t="str">
        <x:v>5</x:v>
      </x:c>
    </x:row>
    <x:row r="1977" ht="93" customHeight="1">
      <x:c r="A1977" s="19" t="n">
        <x:v>1974</x:v>
      </x:c>
      <x:c r="B1977" s="22" t="e">
        <x:f>HYPERLINK("https://cdn.shopify.com/s/files/1/0918/6066/4603/files/fa3c098c2b39d3f8482e043f1503e90e.jpg?v=1775392501","Open")</x:f>
        <x:v>HYPERLINK is not implemented. linkLocation=https://cdn.shopify.com/s/files/1/0918/6066/4603/files/fa3c098c2b39d3f8482e043f1503e90e.jpg?v=1775392501, friendlyName=Open</x:v>
      </x:c>
      <x:c r="C1977" s="24" t="e">
        <x:f>HYPERLINK("https://365nails.com/products/365nails-midnight-soiree-mixed-media-glitter-handmade-short-square-nails","365nails: ""Midnight Soirée"" – Mixed Media Glitter Handmade Short Square Nails")</x:f>
        <x:v>HYPERLINK is not implemented. linkLocation=https://365nails.com/products/365nails-midnight-soiree-mixed-media-glitter-handmade-short-square-nails, friendlyName=365nails: "Midnight Soirée" – Mixed Media Glitter Handmade Short Square Nails</x:v>
      </x:c>
      <x:c r="D1977" s="18" t="str">
        <x:v>Size: XS / S / M / L</x:v>
      </x:c>
      <x:c r="E1977" s="25" t="str">
        <x:v>$3.99</x:v>
      </x:c>
      <x:c r="F1977" s="19" t="str">
        <x:v>5</x:v>
      </x:c>
    </x:row>
    <x:row r="1978" ht="93" customHeight="1">
      <x:c r="A1978" s="19" t="n">
        <x:v>1975</x:v>
      </x:c>
      <x:c r="B1978" s="22" t="e">
        <x:f>HYPERLINK("https://cdn.shopify.com/s/files/1/0918/6066/4603/files/a597aa44f6aafc994bb4efc6e97868fe.jpg?v=1777724813","Open")</x:f>
        <x:v>HYPERLINK is not implemented. linkLocation=https://cdn.shopify.com/s/files/1/0918/6066/4603/files/a597aa44f6aafc994bb4efc6e97868fe.jpg?v=1777724813, friendlyName=Open</x:v>
      </x:c>
      <x:c r="C1978" s="24" t="e">
        <x:f>HYPERLINK("https://365nails.com/products/365nails-bronze-floral-lace-matte-bronze-silver-lace-print-handmade-coffin-nails","365nails: ""Bronze Floral Lace"" – Matte Bronze &amp; Silver Lace Print Handmade Coffin Nails")</x:f>
        <x:v>HYPERLINK is not implemented. linkLocation=https://365nails.com/products/365nails-bronze-floral-lace-matte-bronze-silver-lace-print-handmade-coffin-nails, friendlyName=365nails: "Bronze Floral Lace" – Matte Bronze &amp; Silver Lace Print Handmade Coffin Nails</x:v>
      </x:c>
      <x:c r="D1978" s="18" t="str">
        <x:v>Size: XS / S / M / L</x:v>
      </x:c>
      <x:c r="E1978" s="25" t="str">
        <x:v>$3.99</x:v>
      </x:c>
      <x:c r="F1978" s="19" t="str">
        <x:v>5</x:v>
      </x:c>
    </x:row>
    <x:row r="1979" ht="93" customHeight="1">
      <x:c r="A1979" s="19" t="n">
        <x:v>1976</x:v>
      </x:c>
      <x:c r="B1979" s="22" t="e">
        <x:f>HYPERLINK("https://cdn.shopify.com/s/files/1/0918/6066/4603/files/O1CN016sd3I11hWaBmExrzE__2215857104285-0-cib.jpg?v=1764240365","Open")</x:f>
        <x:v>HYPERLINK is not implemented. linkLocation=https://cdn.shopify.com/s/files/1/0918/6066/4603/files/O1CN016sd3I11hWaBmExrzE__2215857104285-0-cib.jpg?v=1764240365, friendlyName=Open</x:v>
      </x:c>
      <x:c r="C1979" s="24" t="e">
        <x:f>HYPERLINK("https://365nails.com/products/press-on-nails-gift-box-packaging-handmade-nails-premium-box-multi-color-custom-logo-available","Press-On Nails Gift Box Packaging | HANDMADE NAILS Premium Box | Multi-Color &amp; Custom Logo Available（MOQ=10PCS）")</x:f>
        <x:v>HYPERLINK is not implemented. linkLocation=https://365nails.com/products/press-on-nails-gift-box-packaging-handmade-nails-premium-box-multi-color-custom-logo-available, friendlyName=Press-On Nails Gift Box Packaging | HANDMADE NAILS Premium Box | Multi-Color &amp; Custom Logo Available（MOQ=10PCS）</x:v>
      </x:c>
      <x:c r="D1979" s="18" t="str">
        <x:v>type: Orange / Pink / Golden / Black / Orange gift bag / Pink gift bag; quanlity: 10pcs</x:v>
      </x:c>
      <x:c r="E1979" s="25" t="str">
        <x:v>$3.00–$6.00</x:v>
      </x:c>
      <x:c r="F1979" s="19" t="str">
        <x:v>1</x:v>
      </x:c>
    </x:row>
    <x:row r="1980" ht="93" customHeight="1">
      <x:c r="A1980" s="19" t="n">
        <x:v>1977</x:v>
      </x:c>
      <x:c r="B1980" s="22" t="e">
        <x:f>HYPERLINK("https://cdn.shopify.com/s/files/1/0918/6066/4603/files/O1CN01E8ZAN11xxAzFluDON__2212202186509-0-cib.jpg?v=1763698839","Open")</x:f>
        <x:v>HYPERLINK is not implemented. linkLocation=https://cdn.shopify.com/s/files/1/0918/6066/4603/files/O1CN01E8ZAN11xxAzFluDON__2212202186509-0-cib.jpg?v=1763698839, friendlyName=Open</x:v>
      </x:c>
      <x:c r="C1980" s="24" t="e">
        <x:f>HYPERLINK("https://365nails.com/products/frosted-translucent-envelope-sulphate-paper-packaging-bag-for-press-on-nails-and-gifts","Frosted Translucent Envelope – Sulphate Paper Packaging Bag for Press‑On Nails and Gifts")</x:f>
        <x:v>HYPERLINK is not implemented. linkLocation=https://365nails.com/products/frosted-translucent-envelope-sulphate-paper-packaging-bag-for-press-on-nails-and-gifts, friendlyName=Frosted Translucent Envelope – Sulphate Paper Packaging Bag for Press‑On Nails and Gifts</x:v>
      </x:c>
      <x:c r="D1980" s="18" t="str">
        <x:v>Color: Spot blank envelope 10.6x17cm; Quantity: 50pcs</x:v>
      </x:c>
      <x:c r="E1980" s="25" t="str">
        <x:v>$8.50</x:v>
      </x:c>
      <x:c r="F1980" s="19" t="str">
        <x:v>1</x:v>
      </x:c>
    </x:row>
    <x:row r="1981" ht="93" customHeight="1">
      <x:c r="A1981" s="19" t="n">
        <x:v>1978</x:v>
      </x:c>
      <x:c r="B1981" s="22" t="e">
        <x:f>HYPERLINK("https://cdn.shopify.com/s/files/1/0918/6066/4603/files/67b7c0fb4b93f41777a824396ecb66fe.png?v=1767703765","Open")</x:f>
        <x:v>HYPERLINK is not implemented. linkLocation=https://cdn.shopify.com/s/files/1/0918/6066/4603/files/67b7c0fb4b93f41777a824396ecb66fe.png?v=1767703765, friendlyName=Open</x:v>
      </x:c>
      <x:c r="C1981" s="24" t="e">
        <x:f>HYPERLINK("https://365nails.com/products/custom-brand-logo-design-service-start-your-own-nail-business-ai-pro-designer-options","Custom Brand Logo Design Service - Start Your Own Nail Business (AI &amp; Pro Designer Options)")</x:f>
        <x:v>HYPERLINK is not implemented. linkLocation=https://365nails.com/products/custom-brand-logo-design-service-start-your-own-nail-business-ai-pro-designer-options, friendlyName=Custom Brand Logo Design Service - Start Your Own Nail Business (AI &amp; Pro Designer Options)</x:v>
      </x:c>
      <x:c r="D1981" s="18" t="str">
        <x:v>Type: AI-Powered Fast Design / Premium Pro Designer</x:v>
      </x:c>
      <x:c r="E1981" s="25" t="str">
        <x:v>$100.00–$1000.00</x:v>
      </x:c>
      <x:c r="F1981" s="19" t="str">
        <x:v>1</x:v>
      </x:c>
    </x:row>
    <x:row r="1982" ht="93" customHeight="1">
      <x:c r="A1982" s="19" t="n">
        <x:v>1979</x:v>
      </x:c>
      <x:c r="B1982" s="22" t="e">
        <x:f>HYPERLINK("https://cdn.shopify.com/s/files/1/0918/6066/4603/files/O1CN017tV3zJ2NGHs9GgP0j__4234819935-0-cib_be313eab-32fd-481a-ae25-c2d37c206f19.jpg?v=1761291179","Open")</x:f>
        <x:v>HYPERLINK is not implemented. linkLocation=https://cdn.shopify.com/s/files/1/0918/6066/4603/files/O1CN017tV3zJ2NGHs9GgP0j__4234819935-0-cib_be313eab-32fd-481a-ae25-c2d37c206f19.jpg?v=1761291179, friendlyName=Open</x:v>
      </x:c>
      <x:c r="C1982" s="24" t="e">
        <x:f>HYPERLINK("https://365nails.com/products/nail-piece-finished-product-wholesale-classic-solid-color-monochrome-manicure-fake-nail-rectangular-nail-nail-nail-type-wearing-nail-patch-1","Nail piece finished product wholesale classic solid color monochrome manicure fake nail rectangular nail nail nail type wearing nail patch")</x:f>
        <x:v>HYPERLINK is not implemented. linkLocation=https://365nails.com/products/nail-piece-finished-product-wholesale-classic-solid-color-monochrome-manicure-fake-nail-rectangular-nail-nail-nail-type-wearing-nail-patch-1, friendlyName=Nail piece finished product wholesale classic solid color monochrome manicure fake nail rectangular nail nail nail type wearing nail patch</x:v>
      </x:c>
      <x:c r="D1982" s="18" t="str">
        <x:v>Color: JP3362 / JP3363 / JP3364 / JP3365 / JP3367 / JP3366; Color classification: Wearing kit</x:v>
      </x:c>
      <x:c r="E1982" s="25" t="str">
        <x:v>$1.07</x:v>
      </x:c>
      <x:c r="F1982" s="19" t="str">
        <x:v>1</x:v>
      </x:c>
    </x:row>
    <x:row r="1983" ht="93" customHeight="1">
      <x:c r="A1983" s="19" t="n">
        <x:v>1980</x:v>
      </x:c>
      <x:c r="B1983" s="22" t="e">
        <x:f>HYPERLINK("https://cdn.shopify.com/s/files/1/0918/6066/4603/files/20d23d311a853a39ef4eb4aab0bca068.jpg?v=1781573978","Open")</x:f>
        <x:v>HYPERLINK is not implemented. linkLocation=https://cdn.shopify.com/s/files/1/0918/6066/4603/files/20d23d311a853a39ef4eb4aab0bca068.jpg?v=1781573978, friendlyName=Open</x:v>
      </x:c>
      <x:c r="C1983" s="24" t="e">
        <x:f>HYPERLINK("https://365nails.com/products/translucent-jelly-series-8-colors-6-shapes-basic-mega-collection","""Translucent Jelly Series"" - 8 Colors &amp; 6 Shapes Basic Mega Collection")</x:f>
        <x:v>HYPERLINK is not implemented. linkLocation=https://365nails.com/products/translucent-jelly-series-8-colors-6-shapes-basic-mega-collection, friendlyName="Translucent Jelly Series" - 8 Colors &amp; 6 Shapes Basic Mega Collection</x:v>
      </x:c>
      <x:c r="D1983" s="18" t="str">
        <x:v>Type: Short Almond / Medium Almond / Short Oval / Medium Oval / Medium Coffin / Stiletto; Color: Sheer Nude / Sheer Ivory / Sheer Mauve / Jelly Coral / Milky White / Peach Jelly / Berry Jelly / Blush Jelly; Size: XS / S / M / L</x:v>
      </x:c>
      <x:c r="E1983" s="25" t="str">
        <x:v>$1.99</x:v>
      </x:c>
      <x:c r="F1983" s="19" t="str">
        <x:v>1</x:v>
      </x:c>
    </x:row>
    <x:row r="1984" ht="93" customHeight="1">
      <x:c r="A1984" s="19" t="n">
        <x:v>1981</x:v>
      </x:c>
      <x:c r="B1984" s="22" t="e">
        <x:f>HYPERLINK("https://cdn.shopify.com/s/files/1/0918/6066/4603/files/d8def600440f1e4923792b9ba3ac199d_2933d4e4-44f6-4082-913f-99a5f2ba1fea.png?v=1780276344","Open")</x:f>
        <x:v>HYPERLINK is not implemented. linkLocation=https://cdn.shopify.com/s/files/1/0918/6066/4603/files/d8def600440f1e4923792b9ba3ac199d_2933d4e4-44f6-4082-913f-99a5f2ba1fea.png?v=1780276344, friendlyName=Open</x:v>
      </x:c>
      <x:c r="C1984" s="24" t="e">
        <x:f>HYPERLINK("https://365nails.com/products/high-quality-basic-cat-eye-series-15-colors-4-shapes-mega-collection-4","""High-Quality Basic Cat Eye Series"" - 15 Colors &amp; 4 Shapes Mega Collection")</x:f>
        <x:v>HYPERLINK is not implemented. linkLocation=https://365nails.com/products/high-quality-basic-cat-eye-series-15-colors-4-shapes-mega-collection-4, friendlyName="High-Quality Basic Cat Eye Series" - 15 Colors &amp; 4 Shapes Mega Collection</x:v>
      </x:c>
      <x:c r="D1984" s="18" t="str">
        <x:v>Type: Short Almond / Medium Almond / Short Coffin / Short Square; Color: Neon Lime Cat-Eye / Mint Sea Salt / Mermaid Aqua / Emerald Aura / Midnight Galaxy / Radiant Gold / Champagne Moonlight / Rose Gold Whisper / Icy Cherry Blossom / Raspberry Velvet / Peach Oolong / Amber Caramel / Mystic Lavender / Smoky Mauve / Vintage Ruby; Size: XS / S / M / L</x:v>
      </x:c>
      <x:c r="E1984" s="25" t="str">
        <x:v>$1.99</x:v>
      </x:c>
      <x:c r="F1984" s="19" t="str">
        <x:v>10</x:v>
      </x:c>
    </x:row>
    <x:row r="1985" ht="93" customHeight="1">
      <x:c r="A1985" s="19" t="n">
        <x:v>1982</x:v>
      </x:c>
      <x:c r="B1985" s="22" t="e">
        <x:f>HYPERLINK("https://cdn.shopify.com/s/files/1/0918/6066/4603/files/O1CN01C5CwSA2NGI12yNwQS__4234819935-0-cib.jpg?v=1763443433","Open")</x:f>
        <x:v>HYPERLINK is not implemented. linkLocation=https://cdn.shopify.com/s/files/1/0918/6066/4603/files/O1CN01C5CwSA2NGI12yNwQS__4234819935-0-cib.jpg?v=1763443433, friendlyName=Open</x:v>
      </x:c>
      <x:c r="C1985" s="24" t="e">
        <x:f>HYPERLINK("https://365nails.com/products/pink-gradient-bow-charm-almond-nails","Pink Gradient Bow Charm Almond Nails")</x:f>
        <x:v>HYPERLINK is not implemented. linkLocation=https://365nails.com/products/pink-gradient-bow-charm-almond-nails, friendlyName=Pink Gradient Bow Charm Almond Nails</x:v>
      </x:c>
      <x:c r="D1985" s="18" t="str">
        <x:v>Color: JP4149</x:v>
      </x:c>
      <x:c r="E1985" s="25" t="str">
        <x:v>$1.76</x:v>
      </x:c>
      <x:c r="F1985" s="19" t="str">
        <x:v>1</x:v>
      </x:c>
    </x:row>
    <x:row r="1986" ht="93" customHeight="1">
      <x:c r="A1986" s="19" t="n">
        <x:v>1983</x:v>
      </x:c>
      <x:c r="B1986" s="22" t="e">
        <x:f>HYPERLINK("https://cdn.shopify.com/s/files/1/0918/6066/4603/files/O1CN01gpJX9w2NGI1VRwXeV__4234819935-0-cib.jpg?v=1768905927","Open")</x:f>
        <x:v>HYPERLINK is not implemented. linkLocation=https://cdn.shopify.com/s/files/1/0918/6066/4603/files/O1CN01gpJX9w2NGI1VRwXeV__4234819935-0-cib.jpg?v=1768905927, friendlyName=Open</x:v>
      </x:c>
      <x:c r="C1986" s="24" t="e">
        <x:f>HYPERLINK("https://365nails.com/products/simple-french-rose-pink-wearable-nails-short-square-nails-manicure","Simple french rose pink wearable nails short square nails manicure")</x:f>
        <x:v>HYPERLINK is not implemented. linkLocation=https://365nails.com/products/simple-french-rose-pink-wearable-nails-short-square-nails-manicure, friendlyName=Simple french rose pink wearable nails short square nails manicure</x:v>
      </x:c>
      <x:c r="D1986" s="18" t="str">
        <x:v>Color: Jp 4203</x:v>
      </x:c>
      <x:c r="E1986" s="25" t="str">
        <x:v>$0.72</x:v>
      </x:c>
      <x:c r="F1986" s="19" t="str">
        <x:v>1</x:v>
      </x:c>
    </x:row>
    <x:row r="1987" ht="93" customHeight="1">
      <x:c r="A1987" s="19" t="n">
        <x:v>1984</x:v>
      </x:c>
      <x:c r="B1987" s="22" t="e">
        <x:f>HYPERLINK("https://cdn.shopify.com/s/files/1/0918/6066/4603/files/O1CN01reouF42MQzdGQDLxi__2219089449823-0-cib.jpg?v=1774010917","Open")</x:f>
        <x:v>HYPERLINK is not implemented. linkLocation=https://cdn.shopify.com/s/files/1/0918/6066/4603/files/O1CN01reouF42MQzdGQDLxi__2219089449823-0-cib.jpg?v=1774010917, friendlyName=Open</x:v>
      </x:c>
      <x:c r="C1987" s="24" t="e">
        <x:f>HYPERLINK("https://365nails.com/products/sakura-dream-cherry-blossom-shell-almond-shape-handmade-3d-carved-press-on-nails","365nails-Sakura Dream: ""Cherry Blossom Shell"" – Almond Shape Handmade 3D Carved Press-On Nails")</x:f>
        <x:v>HYPERLINK is not implemented. linkLocation=https://365nails.com/products/sakura-dream-cherry-blossom-shell-almond-shape-handmade-3d-carved-press-on-nails, friendlyName=365nails-Sakura Dream: "Cherry Blossom Shell" – Almond Shape Handmade 3D Carved Press-On Nails</x:v>
      </x:c>
      <x:c r="D1987" s="18" t="str">
        <x:v>Color: D457; Color classification: X s / S / M / L</x:v>
      </x:c>
      <x:c r="E1987" s="25" t="str">
        <x:v>$3.99</x:v>
      </x:c>
      <x:c r="F1987" s="19" t="str">
        <x:v>1</x:v>
      </x:c>
    </x:row>
    <x:row r="1988" ht="93" customHeight="1">
      <x:c r="A1988" s="19" t="n">
        <x:v>1985</x:v>
      </x:c>
      <x:c r="B1988" s="22" t="e">
        <x:f>HYPERLINK("https://cdn.shopify.com/s/files/1/0918/6066/4603/files/19e7699e56491.png?v=1780106534","Open")</x:f>
        <x:v>HYPERLINK is not implemented. linkLocation=https://cdn.shopify.com/s/files/1/0918/6066/4603/files/19e7699e56491.png?v=1780106534, friendlyName=Open</x:v>
      </x:c>
      <x:c r="C1988" s="24" t="e">
        <x:f>HYPERLINK("https://365nails.com/products/wholesale-mixed-batch-handmade-kids-press-on-nails-assorted-cute-cartoon-designs-size-xs-l","Wholesale Mixed Batch: Handmade Kids Press-on Nails - Assorted Cute Cartoon Designs (Size XS-L)")</x:f>
        <x:v>HYPERLINK is not implemented. linkLocation=https://365nails.com/products/wholesale-mixed-batch-handmade-kids-press-on-nails-assorted-cute-cartoon-designs-size-xs-l, friendlyName=Wholesale Mixed Batch: Handmade Kids Press-on Nails - Assorted Cute Cartoon Designs (Size XS-L)</x:v>
      </x:c>
      <x:c r="D1988" s="18" t="str">
        <x:v>Quantity: 50pcs(1.5/pcs) / 100pcs(1.3/pcs) / 300pcs(1.2/pcs) / 500pcs(1.1/pcs) / 1000pcs(1/pcs) / 1pcs (Don't order this specification)</x:v>
      </x:c>
      <x:c r="E1988" s="25" t="str">
        <x:v>$1.00–$1000.00</x:v>
      </x:c>
      <x:c r="F1988" s="19" t="str">
        <x:v>1</x:v>
      </x:c>
    </x:row>
    <x:row r="1989" ht="93" customHeight="1">
      <x:c r="A1989" s="19" t="n">
        <x:v>1986</x:v>
      </x:c>
      <x:c r="B1989" s="22" t="e">
        <x:f>HYPERLINK("https://cdn.shopify.com/s/files/1/0918/6066/4603/files/cd23a084429f6d02a54aec0eee71b3d4.jpg?v=1777801265","Open")</x:f>
        <x:v>HYPERLINK is not implemented. linkLocation=https://cdn.shopify.com/s/files/1/0918/6066/4603/files/cd23a084429f6d02a54aec0eee71b3d4.jpg?v=1777801265, friendlyName=Open</x:v>
      </x:c>
      <x:c r="C1989" s="24" t="e">
        <x:f>HYPERLINK("https://365nails.com/products/365nails-blush-pink-flower-rose-mix-handmade-medium-stiletto-press-on-nails","365nails: ""Blush Pink Flower Rose Mix"" – Handmade Medium Stiletto Press-On Nails")</x:f>
        <x:v>HYPERLINK is not implemented. linkLocation=https://365nails.com/products/365nails-blush-pink-flower-rose-mix-handmade-medium-stiletto-press-on-nails, friendlyName=365nails: "Blush Pink Flower Rose Mix" – Handmade Medium Stiletto Press-On Nails</x:v>
      </x:c>
      <x:c r="D1989" s="18" t="str">
        <x:v>Size: XS / S / M / L</x:v>
      </x:c>
      <x:c r="E1989" s="25" t="str">
        <x:v>$3.49</x:v>
      </x:c>
      <x:c r="F1989" s="19" t="str">
        <x:v>5</x:v>
      </x:c>
    </x:row>
    <x:row r="1990" ht="93" customHeight="1">
      <x:c r="A1990" s="19" t="n">
        <x:v>1987</x:v>
      </x:c>
      <x:c r="B1990" s="22" t="e">
        <x:f>HYPERLINK("https://cdn.shopify.com/s/files/1/0918/6066/4603/files/5a364ab0c00012e34e0d39e9957f30f5.jpg?v=1777555670","Open")</x:f>
        <x:v>HYPERLINK is not implemented. linkLocation=https://cdn.shopify.com/s/files/1/0918/6066/4603/files/5a364ab0c00012e34e0d39e9957f30f5.jpg?v=1777555670, friendlyName=Open</x:v>
      </x:c>
      <x:c r="C1990" s="24" t="e">
        <x:f>HYPERLINK("https://365nails.com/products/365nails-silver-floral-chrome-handmade-medium-stiletto-press-on-nails","365nails: ""Silver Floral Chrome"" – Handmade Medium Stiletto Press-On Nails")</x:f>
        <x:v>HYPERLINK is not implemented. linkLocation=https://365nails.com/products/365nails-silver-floral-chrome-handmade-medium-stiletto-press-on-nails, friendlyName=365nails: "Silver Floral Chrome" – Handmade Medium Stiletto Press-On Nails</x:v>
      </x:c>
      <x:c r="D1990" s="18" t="str">
        <x:v>Size: XS / S / M / L</x:v>
      </x:c>
      <x:c r="E1990" s="25" t="str">
        <x:v>$4.99</x:v>
      </x:c>
      <x:c r="F1990" s="19" t="str">
        <x:v>5</x:v>
      </x:c>
    </x:row>
    <x:row r="1991" ht="93" customHeight="1">
      <x:c r="A1991" s="19" t="n">
        <x:v>1988</x:v>
      </x:c>
      <x:c r="B1991" s="22" t="e">
        <x:f>HYPERLINK("https://cdn.shopify.com/s/files/1/0918/6066/4603/files/O1CN01OnCz9v2214s8PRABa__2219480337059-0-cib.jpg?v=1773197105","Open")</x:f>
        <x:v>HYPERLINK is not implemented. linkLocation=https://cdn.shopify.com/s/files/1/0918/6066/4603/files/O1CN01OnCz9v2214s8PRABa__2219480337059-0-cib.jpg?v=1773197105, friendlyName=Open</x:v>
      </x:c>
      <x:c r="C1991" s="24" t="e">
        <x:f>HYPERLINK("https://365nails.com/products/365nails-dreamy-mermaid-princess-short-round-handmade-kids-press-on-nails","365nails: ""dreamy mermaid princess"" – short round handmade kids press-on nails")</x:f>
        <x:v>HYPERLINK is not implemented. linkLocation=https://365nails.com/products/365nails-dreamy-mermaid-princess-short-round-handmade-kids-press-on-nails, friendlyName=365nails: "dreamy mermaid princess" – short round handmade kids press-on nails</x:v>
      </x:c>
      <x:c r="D1991" s="18" t="str">
        <x:v>Color: Mermaid; Color classification: Xs (about 2 years old) / S (3-4 years old) / M (5-7 years old) / L (8-11 years old)</x:v>
      </x:c>
      <x:c r="E1991" s="25" t="str">
        <x:v>$2.99</x:v>
      </x:c>
      <x:c r="F1991" s="19" t="str">
        <x:v>3</x:v>
      </x:c>
    </x:row>
    <x:row r="1992" ht="93" customHeight="1">
      <x:c r="A1992" s="19" t="n">
        <x:v>1989</x:v>
      </x:c>
      <x:c r="B1992" s="22" t="e">
        <x:f>HYPERLINK("https://cdn.shopify.com/s/files/1/0918/6066/4603/files/5741cddebabd7192218d7e59b208ac0a.jpg?v=1776170754","Open")</x:f>
        <x:v>HYPERLINK is not implemented. linkLocation=https://cdn.shopify.com/s/files/1/0918/6066/4603/files/5741cddebabd7192218d7e59b208ac0a.jpg?v=1776170754, friendlyName=Open</x:v>
      </x:c>
      <x:c r="C1992" s="24" t="e">
        <x:f>HYPERLINK("https://365nails.com/products/365nails-cupids-touch-3d-heart-handmade-short-square-nails","365nails: ""Cupid's Touch"" – 3D Heart Handmade Short Square Nails")</x:f>
        <x:v>HYPERLINK is not implemented. linkLocation=https://365nails.com/products/365nails-cupids-touch-3d-heart-handmade-short-square-nails, friendlyName=365nails: "Cupid's Touch" – 3D Heart Handmade Short Square Nails</x:v>
      </x:c>
      <x:c r="D1992" s="18" t="str">
        <x:v>Size: XS / S / M / L</x:v>
      </x:c>
      <x:c r="E1992" s="25" t="str">
        <x:v>$1.99</x:v>
      </x:c>
      <x:c r="F1992" s="19" t="str">
        <x:v>3</x:v>
      </x:c>
    </x:row>
    <x:row r="1993" ht="93" customHeight="1">
      <x:c r="A1993" s="19" t="n">
        <x:v>1990</x:v>
      </x:c>
      <x:c r="B1993" s="22" t="e">
        <x:f>HYPERLINK("https://cdn.shopify.com/s/files/1/0918/6066/4603/files/9e95705e8ccdac811af28ac97a0a9d44.jpg?v=1776170376","Open")</x:f>
        <x:v>HYPERLINK is not implemented. linkLocation=https://cdn.shopify.com/s/files/1/0918/6066/4603/files/9e95705e8ccdac811af28ac97a0a9d44.jpg?v=1776170376, friendlyName=Open</x:v>
      </x:c>
      <x:c r="C1993" s="24" t="e">
        <x:f>HYPERLINK("https://365nails.com/products/365nails-garden-party-3d-floral-handmade-short-square-nails-2","365nails: ""Garden Party"" – 3D Floral Handmade Short Square Nails")</x:f>
        <x:v>HYPERLINK is not implemented. linkLocation=https://365nails.com/products/365nails-garden-party-3d-floral-handmade-short-square-nails-2, friendlyName=365nails: "Garden Party" – 3D Floral Handmade Short Square Nails</x:v>
      </x:c>
      <x:c r="D1993" s="18" t="str">
        <x:v>Size: XS / S / M / L</x:v>
      </x:c>
      <x:c r="E1993" s="25" t="str">
        <x:v>$1.99</x:v>
      </x:c>
      <x:c r="F1993" s="19" t="str">
        <x:v>3</x:v>
      </x:c>
    </x:row>
    <x:row r="1994" ht="93" customHeight="1">
      <x:c r="A1994" s="19" t="n">
        <x:v>1991</x:v>
      </x:c>
      <x:c r="B1994" s="22" t="e">
        <x:f>HYPERLINK("https://cdn.shopify.com/s/files/1/0918/6066/4603/files/6d07b54884db5d1156466b37e91c6d78.jpg?v=1776169079","Open")</x:f>
        <x:v>HYPERLINK is not implemented. linkLocation=https://cdn.shopify.com/s/files/1/0918/6066/4603/files/6d07b54884db5d1156466b37e91c6d78.jpg?v=1776169079, friendlyName=Open</x:v>
      </x:c>
      <x:c r="C1994" s="24" t="e">
        <x:f>HYPERLINK("https://365nails.com/products/365nails-sweet-treats-3d-mix-match-handmade-short-square-nails","365nails: ""Sweet Treats"" – 3D Mix &amp; Match Handmade Short Square Nails")</x:f>
        <x:v>HYPERLINK is not implemented. linkLocation=https://365nails.com/products/365nails-sweet-treats-3d-mix-match-handmade-short-square-nails, friendlyName=365nails: "Sweet Treats" – 3D Mix &amp; Match Handmade Short Square Nails</x:v>
      </x:c>
      <x:c r="D1994" s="18" t="str">
        <x:v>Size: XS / S / M / L</x:v>
      </x:c>
      <x:c r="E1994" s="25" t="str">
        <x:v>$1.99</x:v>
      </x:c>
      <x:c r="F1994" s="19" t="str">
        <x:v>3</x:v>
      </x:c>
    </x:row>
    <x:row r="1995" ht="93" customHeight="1">
      <x:c r="A1995" s="19" t="n">
        <x:v>1992</x:v>
      </x:c>
      <x:c r="B1995" s="22" t="e">
        <x:f>HYPERLINK("https://cdn.shopify.com/s/files/1/0918/6066/4603/files/8b95c4a5b9ac6ffa954d60a0543a5a34.jpg?v=1776171507","Open")</x:f>
        <x:v>HYPERLINK is not implemented. linkLocation=https://cdn.shopify.com/s/files/1/0918/6066/4603/files/8b95c4a5b9ac6ffa954d60a0543a5a34.jpg?v=1776171507, friendlyName=Open</x:v>
      </x:c>
      <x:c r="C1995" s="24" t="e">
        <x:f>HYPERLINK("https://365nails.com/products/365nails-candy-heart-3d-bow-charm-handmade-short-square-nails","365nails: ""Candy Heart"" – 3D Bow Charm Handmade Short Square Nails")</x:f>
        <x:v>HYPERLINK is not implemented. linkLocation=https://365nails.com/products/365nails-candy-heart-3d-bow-charm-handmade-short-square-nails, friendlyName=365nails: "Candy Heart" – 3D Bow Charm Handmade Short Square Nails</x:v>
      </x:c>
      <x:c r="D1995" s="18" t="str">
        <x:v>Size: XS / S / M / L</x:v>
      </x:c>
      <x:c r="E1995" s="25" t="str">
        <x:v>$1.99</x:v>
      </x:c>
      <x:c r="F1995" s="19" t="str">
        <x:v>3</x:v>
      </x:c>
    </x:row>
    <x:row r="1996" ht="93" customHeight="1">
      <x:c r="A1996" s="19" t="n">
        <x:v>1993</x:v>
      </x:c>
      <x:c r="B1996" s="22" t="e">
        <x:f>HYPERLINK("https://cdn.shopify.com/s/files/1/0918/6066/4603/files/ea86d7289ac87574fbebffaefa52c7c8.jpg?v=1776170829","Open")</x:f>
        <x:v>HYPERLINK is not implemented. linkLocation=https://cdn.shopify.com/s/files/1/0918/6066/4603/files/ea86d7289ac87574fbebffaefa52c7c8.jpg?v=1776170829, friendlyName=Open</x:v>
      </x:c>
      <x:c r="C1996" s="24" t="e">
        <x:f>HYPERLINK("https://365nails.com/products/365nails-kitty-dream-3d-character-bow-handmade-short-square-nails","365nails: ""Kitty Dream"" – 3D Character Bow Handmade Short Square Nails")</x:f>
        <x:v>HYPERLINK is not implemented. linkLocation=https://365nails.com/products/365nails-kitty-dream-3d-character-bow-handmade-short-square-nails, friendlyName=365nails: "Kitty Dream" – 3D Character Bow Handmade Short Square Nails</x:v>
      </x:c>
      <x:c r="D1996" s="18" t="str">
        <x:v>Size: XS / S / M / L</x:v>
      </x:c>
      <x:c r="E1996" s="25" t="str">
        <x:v>$1.99</x:v>
      </x:c>
      <x:c r="F1996" s="19" t="str">
        <x:v>3</x:v>
      </x:c>
    </x:row>
    <x:row r="1997" ht="93" customHeight="1">
      <x:c r="A1997" s="19" t="n">
        <x:v>1994</x:v>
      </x:c>
      <x:c r="B1997" s="22" t="e">
        <x:f>HYPERLINK("https://cdn.shopify.com/s/files/1/0918/6066/4603/files/O1CN01HsHsv42214vCIzLtK__2219480337059-0-cib_4ec131f1-649d-40f4-be1f-894b93fe94b8.jpg?v=1773824571","Open")</x:f>
        <x:v>HYPERLINK is not implemented. linkLocation=https://cdn.shopify.com/s/files/1/0918/6066/4603/files/O1CN01HsHsv42214vCIzLtK__2219480337059-0-cib_4ec131f1-649d-40f4-be1f-894b93fe94b8.jpg?v=1773824571, friendlyName=Open</x:v>
      </x:c>
      <x:c r="C1997" s="24" t="e">
        <x:f>HYPERLINK("https://365nails.com/products/365nails-pink-pony-3d-charms-handmade-press-on-pedicure","365nails: ""pink pony 3d charms"" – handmade press-on pedicure")</x:f>
        <x:v>HYPERLINK is not implemented. linkLocation=https://365nails.com/products/365nails-pink-pony-3d-charms-handmade-press-on-pedicure, friendlyName=365nails: "pink pony 3d charms" – handmade press-on pedicure</x:v>
      </x:c>
      <x:c r="D1997" s="18" t="str">
        <x:v>Color: 9282 pink pony; Color classification: Xs (about 2 years old) / S (3-4 years old) / M (5-7 years old) / L (8-11 years old)</x:v>
      </x:c>
      <x:c r="E1997" s="25" t="str">
        <x:v>$2.99</x:v>
      </x:c>
      <x:c r="F1997" s="19" t="str">
        <x:v>3</x:v>
      </x:c>
    </x:row>
    <x:row r="1998" ht="93" customHeight="1">
      <x:c r="A1998" s="19" t="n">
        <x:v>1995</x:v>
      </x:c>
      <x:c r="B1998" s="22" t="e">
        <x:f>HYPERLINK("https://cdn.shopify.com/s/files/1/0918/6066/4603/files/O1CN01vhyx0R2214vUQRTmU__2219480337059-0-cib.jpg?v=1773824681","Open")</x:f>
        <x:v>HYPERLINK is not implemented. linkLocation=https://cdn.shopify.com/s/files/1/0918/6066/4603/files/O1CN01vhyx0R2214vUQRTmU__2219480337059-0-cib.jpg?v=1773824681, friendlyName=Open</x:v>
      </x:c>
      <x:c r="C1998" s="24" t="e">
        <x:f>HYPERLINK("https://365nails.com/products/stitch-kids-series-blue-alien-adventure-short-square-kids-nail-art","365nails-Stitch Kids Series: ""Blue Alien Adventure"" – Short Square Kids Nail Art")</x:f>
        <x:v>HYPERLINK is not implemented. linkLocation=https://365nails.com/products/stitch-kids-series-blue-alien-adventure-short-square-kids-nail-art, friendlyName=365nails-Stitch Kids Series: "Blue Alien Adventure" – Short Square Kids Nail Art</x:v>
      </x:c>
      <x:c r="D1998" s="18" t="str">
        <x:v>Color: 10181 stitching; Color classification: Xs (about 2 years old) / S (3-4 years old) / M (5-7 years old) / L (8-11 years old)</x:v>
      </x:c>
      <x:c r="E1998" s="25" t="str">
        <x:v>$2.99</x:v>
      </x:c>
      <x:c r="F1998" s="19" t="str">
        <x:v>3</x:v>
      </x:c>
    </x:row>
    <x:row r="1999" ht="93" customHeight="1">
      <x:c r="A1999" s="19" t="n">
        <x:v>1996</x:v>
      </x:c>
      <x:c r="B1999" s="22" t="e">
        <x:f>HYPERLINK("https://cdn.shopify.com/s/files/1/0918/6066/4603/files/O1CN01RZUEay2214vjRFMq0__2219480337059-0-cib.jpg?v=1773321074","Open")</x:f>
        <x:v>HYPERLINK is not implemented. linkLocation=https://cdn.shopify.com/s/files/1/0918/6066/4603/files/O1CN01RZUEay2214vjRFMq0__2219480337059-0-cib.jpg?v=1773321074, friendlyName=Open</x:v>
      </x:c>
      <x:c r="C1999" s="24" t="e">
        <x:f>HYPERLINK("https://365nails.com/products/365nails-cloudy-cinnamoroll-short-round-handmade-kids-press-on-nails","365nails: ""cloudy cinnamoroll"" – short round handmade kids press-on nails")</x:f>
        <x:v>HYPERLINK is not implemented. linkLocation=https://365nails.com/products/365nails-cloudy-cinnamoroll-short-round-handmade-kids-press-on-nails, friendlyName=365nails: "cloudy cinnamoroll" – short round handmade kids press-on nails</x:v>
      </x:c>
      <x:c r="D1999" s="18" t="str">
        <x:v>Color: 10324 loving big-eared dog; Color classification: X s / S / M / L</x:v>
      </x:c>
      <x:c r="E1999" s="25" t="str">
        <x:v>$2.99</x:v>
      </x:c>
      <x:c r="F1999" s="19" t="str">
        <x:v>3</x:v>
      </x:c>
    </x:row>
    <x:row r="2000" ht="93" customHeight="1">
      <x:c r="A2000" s="19" t="n">
        <x:v>1997</x:v>
      </x:c>
      <x:c r="B2000" s="22" t="e">
        <x:f>HYPERLINK("https://cdn.shopify.com/s/files/1/0918/6066/4603/files/5fe83debded3f9a92591acf249693027.jpg?v=1776172360","Open")</x:f>
        <x:v>HYPERLINK is not implemented. linkLocation=https://cdn.shopify.com/s/files/1/0918/6066/4603/files/5fe83debded3f9a92591acf249693027.jpg?v=1776172360, friendlyName=Open</x:v>
      </x:c>
      <x:c r="C2000" s="24" t="e">
        <x:f>HYPERLINK("https://365nails.com/products/365nails-hello-kitty-chic-3d-character-bow-handmade-short-square-nails","365nails: ""Hello Kitty Chic"" – 3D Character &amp; Bow Handmade Short Square Nails")</x:f>
        <x:v>HYPERLINK is not implemented. linkLocation=https://365nails.com/products/365nails-hello-kitty-chic-3d-character-bow-handmade-short-square-nails, friendlyName=365nails: "Hello Kitty Chic" – 3D Character &amp; Bow Handmade Short Square Nails</x:v>
      </x:c>
      <x:c r="D2000" s="18" t="str">
        <x:v>Size: XS / S / M / L</x:v>
      </x:c>
      <x:c r="E2000" s="25" t="str">
        <x:v>$1.99</x:v>
      </x:c>
      <x:c r="F2000" s="19" t="str">
        <x:v>3</x:v>
      </x:c>
    </x:row>
    <x:row r="2001" ht="93" customHeight="1">
      <x:c r="A2001" s="19" t="n">
        <x:v>1998</x:v>
      </x:c>
      <x:c r="B2001" s="22" t="e">
        <x:f>HYPERLINK("https://cdn.shopify.com/s/files/1/0918/6066/4603/files/O1CN014z77Tf2214vS0p0J5__2219480337059-0-cib.jpg?v=1773194884","Open")</x:f>
        <x:v>HYPERLINK is not implemented. linkLocation=https://cdn.shopify.com/s/files/1/0918/6066/4603/files/O1CN014z77Tf2214vS0p0J5__2219480337059-0-cib.jpg?v=1773194884, friendlyName=Open</x:v>
      </x:c>
      <x:c r="C2001" s="24" t="e">
        <x:f>HYPERLINK("https://365nails.com/products/365nails-my-little-pony-dream-series-short-squoval-handmade-kids-press-on-nails","365nails: ""my little pony dream series"" – short squoval handmade kids press-on nails")</x:f>
        <x:v>HYPERLINK is not implemented. linkLocation=https://365nails.com/products/365nails-my-little-pony-dream-series-short-squoval-handmade-kids-press-on-nails, friendlyName=365nails: "my little pony dream series" – short squoval handmade kids press-on nails</x:v>
      </x:c>
      <x:c r="D2001" s="18" t="str">
        <x:v>Color: 9280 blue horse / 9281 purple horse / 9282 pink horse / 9283 four color pony / H054 pony ziyue / H056 pony biqi / H081 apple jiaer rou rou / H085 five-star pony / H086 pony exotic / Love diamond pony / Sunshine rainbow little white horse / Diamond my little pony; Color classification: Xs (about 2 years old) / S (3-4 years old) / M (5-7 years old) / L (8-11 years old)</x:v>
      </x:c>
      <x:c r="E2001" s="25" t="str">
        <x:v>$2.99</x:v>
      </x:c>
      <x:c r="F2001" s="19" t="str">
        <x:v>3</x:v>
      </x:c>
    </x:row>
    <x:row r="2002" ht="93" customHeight="1">
      <x:c r="A2002" s="19" t="n">
        <x:v>1999</x:v>
      </x:c>
      <x:c r="B2002" s="22" t="e">
        <x:f>HYPERLINK("https://cdn.shopify.com/s/files/1/0918/6066/4603/files/O1CN01rXYHju2NGHhrmDJL0__4234819935-0-cib.jpg?v=1753428889","Open")</x:f>
        <x:v>HYPERLINK is not implemented. linkLocation=https://cdn.shopify.com/s/files/1/0918/6066/4603/files/O1CN01rXYHju2NGHhrmDJL0__4234819935-0-cib.jpg?v=1753428889, friendlyName=Open</x:v>
      </x:c>
      <x:c r="C2002" s="24" t="e">
        <x:f>HYPERLINK("https://365nails.com/products/press-on-nails-yugui-dog-love-small-candy-press-on-nails-nail-tablets-wholesale-stickers-wholesale-nail-tablets-wholesale-365nails","Press on nails Yugui Dog Love Small Candy Press on nails Nail Tablets Wholesale  Stickers Wholesale Nail Tablets Wholesale｜365nails")</x:f>
        <x:v>HYPERLINK is not implemented. linkLocation=https://365nails.com/products/press-on-nails-yugui-dog-love-small-candy-press-on-nails-nail-tablets-wholesale-stickers-wholesale-nail-tablets-wholesale-365nails, friendlyName=Press on nails Yugui Dog Love Small Candy Press on nails Nail Tablets Wholesale  Stickers Wholesale Nail Tablets Wholesale｜365nails</x:v>
      </x:c>
      <x:c r="D2002" s="18" t="str">
        <x:v>color: JP1214</x:v>
      </x:c>
      <x:c r="E2002" s="25" t="str">
        <x:v>$0.82</x:v>
      </x:c>
      <x:c r="F2002" s="19" t="str">
        <x:v>1</x:v>
      </x:c>
    </x:row>
    <x:row r="2003" ht="93" customHeight="1">
      <x:c r="A2003" s="19" t="n">
        <x:v>2000</x:v>
      </x:c>
      <x:c r="B2003" s="22" t="e">
        <x:f>HYPERLINK("https://cdn.shopify.com/s/files/1/0918/6066/4603/files/O1CN01mL9bBO2NGHfiBpGH8__4234819935-0-cib.jpg?v=1753428899","Open")</x:f>
        <x:v>HYPERLINK is not implemented. linkLocation=https://cdn.shopify.com/s/files/1/0918/6066/4603/files/O1CN01mL9bBO2NGHfiBpGH8__4234819935-0-cib.jpg?v=1753428899, friendlyName=Open</x:v>
      </x:c>
      <x:c r="C2003" s="24" t="e">
        <x:f>HYPERLINK("https://365nails.com/products/french-beveled-almond-press-on-nails-green-chameleon-short-manicure-fake-nail-repeatable-nail-piece-factory-wholesale-365nails","French beveled almond Press on nails green chameleon short manicure fake nail repeatable nail piece factory wholesale｜365nails")</x:f>
        <x:v>HYPERLINK is not implemented. linkLocation=https://365nails.com/products/french-beveled-almond-press-on-nails-green-chameleon-short-manicure-fake-nail-repeatable-nail-piece-factory-wholesale-365nails, friendlyName=French beveled almond Press on nails green chameleon short manicure fake nail repeatable nail piece factory wholesale｜365nails</x:v>
      </x:c>
      <x:c r="D2003" s="18" t="str">
        <x:v>Color: JP1523</x:v>
      </x:c>
      <x:c r="E2003" s="25" t="str">
        <x:v>$0.76</x:v>
      </x:c>
      <x:c r="F2003" s="19" t="str">
        <x:v>1</x:v>
      </x:c>
    </x:row>
    <x:row r="2004" ht="93" customHeight="1">
      <x:c r="A2004" s="19" t="n">
        <x:v>2001</x:v>
      </x:c>
      <x:c r="B2004" s="22" t="e">
        <x:f>HYPERLINK("https://cdn.shopify.com/s/files/1/0918/6066/4603/files/O1CN01G1FlGt2NGHfAqoFHP__4234819935-0-cib.jpg?v=1753429920","Open")</x:f>
        <x:v>HYPERLINK is not implemented. linkLocation=https://cdn.shopify.com/s/files/1/0918/6066/4603/files/O1CN01G1FlGt2NGHfAqoFHP__4234819935-0-cib.jpg?v=1753429920, friendlyName=Open</x:v>
      </x:c>
      <x:c r="C2004" s="24" t="e">
        <x:f>HYPERLINK("https://365nails.com/products/pink-love-starlight-french-press-on-nails-piece-nail-piece-wholesale-finished-nail-piece-nail-piece-press-on-nails-piece-365nails","Pink Love Starlight French Press on nails Piece Nail Piece Wholesale Finished Nail Piece Nail Piece Press on nails Piece｜365nails")</x:f>
        <x:v>HYPERLINK is not implemented. linkLocation=https://365nails.com/products/pink-love-starlight-french-press-on-nails-piece-nail-piece-wholesale-finished-nail-piece-nail-piece-press-on-nails-piece-365nails, friendlyName=Pink Love Starlight French Press on nails Piece Nail Piece Wholesale Finished Nail Piece Nail Piece Press on nails Piece｜365nails</x:v>
      </x:c>
      <x:c r="D2004" s="18" t="str">
        <x:v>color: JP1604</x:v>
      </x:c>
      <x:c r="E2004" s="25" t="str">
        <x:v>$0.86</x:v>
      </x:c>
      <x:c r="F2004" s="19" t="str">
        <x:v>1</x:v>
      </x:c>
    </x:row>
    <x:row r="2005" ht="93" customHeight="1">
      <x:c r="A2005" s="19" t="n">
        <x:v>2002</x:v>
      </x:c>
      <x:c r="B2005" s="22" t="e">
        <x:f>HYPERLINK("https://cdn.shopify.com/s/files/1/0918/6066/4603/files/O1CN01QIXK8K2NGHeSt6VhB__4234819935-0-cib.jpg?v=1753429889","Open")</x:f>
        <x:v>HYPERLINK is not implemented. linkLocation=https://cdn.shopify.com/s/files/1/0918/6066/4603/files/O1CN01QIXK8K2NGHeSt6VhB__4234819935-0-cib.jpg?v=1753429889, friendlyName=Open</x:v>
      </x:c>
      <x:c r="C2005" s="24" t="e">
        <x:f>HYPERLINK("https://365nails.com/products/press-on-the-finished-nail-product-taro-purple-nail-nail-press-on-the-to-show-white-fake-nails-nail-wholesale-365nails","Press on the finished nail product taro purple nail  nail  Press on the  to show white fake nails, nail wholesale｜365nails")</x:f>
        <x:v>HYPERLINK is not implemented. linkLocation=https://365nails.com/products/press-on-the-finished-nail-product-taro-purple-nail-nail-press-on-the-to-show-white-fake-nails-nail-wholesale-365nails, friendlyName=Press on the finished nail product taro purple nail  nail  Press on the  to show white fake nails, nail wholesale｜365nails</x:v>
      </x:c>
      <x:c r="D2005" s="18" t="str">
        <x:v>color: JP1392</x:v>
      </x:c>
      <x:c r="E2005" s="25" t="str">
        <x:v>$1.16</x:v>
      </x:c>
      <x:c r="F2005" s="19" t="str">
        <x:v>1</x:v>
      </x:c>
    </x:row>
    <x:row r="2006" ht="93" customHeight="1">
      <x:c r="A2006" s="19" t="n">
        <x:v>2003</x:v>
      </x:c>
      <x:c r="B2006" s="22" t="e">
        <x:f>HYPERLINK("https://cdn.shopify.com/s/files/1/0918/6066/4603/files/O1CN012WPve42NGHz0udfHn__4234819935-0-cib_73b40585-4dc4-4458-b36a-6095a002afce.jpg?v=1761288601","Open")</x:f>
        <x:v>HYPERLINK is not implemented. linkLocation=https://cdn.shopify.com/s/files/1/0918/6066/4603/files/O1CN012WPve42NGHz0udfHn__4234819935-0-cib_73b40585-4dc4-4458-b36a-6095a002afce.jpg?v=1761288601, friendlyName=Open</x:v>
      </x:c>
      <x:c r="C2006" s="24" t="e">
        <x:f>HYPERLINK("https://365nails.com/products/european-and-american-foreign-trade-summer-hot-selling-wearing-nail-french-blue-wave-beach-manicure-nail-piece-almond-shaped-false-nail","European and American foreign trade summer hot-selling wearing nail French blue wave beach manicure nail piece almond-shaped false nail")</x:f>
        <x:v>HYPERLINK is not implemented. linkLocation=https://365nails.com/products/european-and-american-foreign-trade-summer-hot-selling-wearing-nail-french-blue-wave-beach-manicure-nail-piece-almond-shaped-false-nail, friendlyName=European and American foreign trade summer hot-selling wearing nail French blue wave beach manicure nail piece almond-shaped false nail</x:v>
      </x:c>
      <x:c r="D2006" s="18" t="str">
        <x:v>color: JP3906</x:v>
      </x:c>
      <x:c r="E2006" s="25" t="str">
        <x:v>$1.05</x:v>
      </x:c>
      <x:c r="F2006" s="19" t="str">
        <x:v>1</x:v>
      </x:c>
    </x:row>
    <x:row r="2007" ht="93" customHeight="1">
      <x:c r="A2007" s="19" t="n">
        <x:v>2004</x:v>
      </x:c>
      <x:c r="B2007" s="22" t="e">
        <x:f>HYPERLINK("https://cdn.shopify.com/s/files/1/0918/6066/4603/files/12782526247_2037667256.jpg?v=1753430441","Open")</x:f>
        <x:v>HYPERLINK is not implemented. linkLocation=https://cdn.shopify.com/s/files/1/0918/6066/4603/files/12782526247_2037667256.jpg?v=1753430441, friendlyName=Open</x:v>
      </x:c>
      <x:c r="C2007" s="24" t="e">
        <x:f>HYPERLINK("https://365nails.com/products/grape-purple-is-white-in-autumn-and-winter-press-on-nails-art-patches-cellophane-nail-art-patches-fake-nails-waterproof-and-removable-nail-pads-365nails","Grape purple is white in autumn and winter, press on nails art patches, cellophane nail art patches, fake nails, waterproof and removable nail pads.｜365nails")</x:f>
        <x:v>HYPERLINK is not implemented. linkLocation=https://365nails.com/products/grape-purple-is-white-in-autumn-and-winter-press-on-nails-art-patches-cellophane-nail-art-patches-fake-nails-waterproof-and-removable-nail-pads-365nails, friendlyName=Grape purple is white in autumn and winter, press on nails art patches, cellophane nail art patches, fake nails, waterproof and removable nail pads.｜365nails</x:v>
      </x:c>
      <x:c r="D2007" s="18" t="str">
        <x:v>Color classification: JP678</x:v>
      </x:c>
      <x:c r="E2007" s="25" t="str">
        <x:v>$1.08</x:v>
      </x:c>
      <x:c r="F2007" s="19" t="str">
        <x:v>1</x:v>
      </x:c>
    </x:row>
    <x:row r="2008" ht="93" customHeight="1">
      <x:c r="A2008" s="19" t="n">
        <x:v>2005</x:v>
      </x:c>
      <x:c r="B2008" s="22" t="e">
        <x:f>HYPERLINK("https://cdn.shopify.com/s/files/1/0918/6066/4603/files/O1CN01A9ZFIX2NGHivoyWMC__4234819935-0-cib_80606825-a4a8-417d-b7d0-8cfa9ca86e56.jpg?v=1761287355","Open")</x:f>
        <x:v>HYPERLINK is not implemented. linkLocation=https://cdn.shopify.com/s/files/1/0918/6066/4603/files/O1CN01A9ZFIX2NGHivoyWMC__4234819935-0-cib_80606825-a4a8-417d-b7d0-8cfa9ca86e56.jpg?v=1761287355, friendlyName=Open</x:v>
      </x:c>
      <x:c r="C2008" s="24" t="e">
        <x:f>HYPERLINK("https://365nails.com/products/wear-armor-medium-and-long-armor-french-black-edge-milky-white-pentagram-nail-art-wear-nail-wholesale-nails","Wear armor Medium and long armor, French black edge milky white pentagram nail art, wear nail wholesale nails")</x:f>
        <x:v>HYPERLINK is not implemented. linkLocation=https://365nails.com/products/wear-armor-medium-and-long-armor-french-black-edge-milky-white-pentagram-nail-art-wear-nail-wholesale-nails, friendlyName=Wear armor Medium and long armor, French black edge milky white pentagram nail art, wear nail wholesale nails</x:v>
      </x:c>
      <x:c r="D2008" s="18" t="str">
        <x:v>color: JP2292</x:v>
      </x:c>
      <x:c r="E2008" s="25" t="str">
        <x:v>$1.01</x:v>
      </x:c>
      <x:c r="F2008" s="19" t="str">
        <x:v>1</x:v>
      </x:c>
    </x:row>
    <x:row r="2009" ht="93" customHeight="1">
      <x:c r="A2009" s="19" t="n">
        <x:v>2006</x:v>
      </x:c>
      <x:c r="B2009" s="22" t="e">
        <x:f>HYPERLINK("https://cdn.shopify.com/s/files/1/0918/6066/4603/files/O1CN01FYyimj2NGI0P03svs__4234819935-0-cib.jpg?v=1763452318","Open")</x:f>
        <x:v>HYPERLINK is not implemented. linkLocation=https://cdn.shopify.com/s/files/1/0918/6066/4603/files/O1CN01FYyimj2NGI0P03svs__4234819935-0-cib.jpg?v=1763452318, friendlyName=Open</x:v>
      </x:c>
      <x:c r="C2009" s="24" t="e">
        <x:f>HYPERLINK("https://365nails.com/products/cute-pink-3d-bow-and-bunny-charm-press-on-nails","Cute Pink 3D Bow and Bunny Charm Press On Nails")</x:f>
        <x:v>HYPERLINK is not implemented. linkLocation=https://365nails.com/products/cute-pink-3d-bow-and-bunny-charm-press-on-nails, friendlyName=Cute Pink 3D Bow and Bunny Charm Press On Nails</x:v>
      </x:c>
      <x:c r="D2009" s="18" t="str">
        <x:v>color: JP4013</x:v>
      </x:c>
      <x:c r="E2009" s="25" t="str">
        <x:v>$1.68</x:v>
      </x:c>
      <x:c r="F2009" s="19" t="str">
        <x:v>1</x:v>
      </x:c>
    </x:row>
    <x:row r="2010" ht="93" customHeight="1">
      <x:c r="A2010" s="19" t="n">
        <x:v>2007</x:v>
      </x:c>
      <x:c r="B2010" s="22" t="e">
        <x:f>HYPERLINK("https://cdn.shopify.com/s/files/1/0918/6066/4603/files/O1CN01siSQuR2NGHeo6NLF0__4234819935-0-cib.jpg?v=1753431738","Open")</x:f>
        <x:v>HYPERLINK is not implemented. linkLocation=https://cdn.shopify.com/s/files/1/0918/6066/4603/files/O1CN01siSQuR2NGHeo6NLF0__4234819935-0-cib.jpg?v=1753431738, friendlyName=Open</x:v>
      </x:c>
      <x:c r="C2010" s="24" t="e">
        <x:f>HYPERLINK("https://365nails.com/products/fake-nail-patch-french-nail-art-floral-nail-art-light-purple-white-nail-patch-press-on-nails-365nails","Fake Nail Patch French Nail Art Floral Nail Art Light Purple White Nail Patch press on nails｜365nails")</x:f>
        <x:v>HYPERLINK is not implemented. linkLocation=https://365nails.com/products/fake-nail-patch-french-nail-art-floral-nail-art-light-purple-white-nail-patch-press-on-nails-365nails, friendlyName=Fake Nail Patch French Nail Art Floral Nail Art Light Purple White Nail Patch press on nails｜365nails</x:v>
      </x:c>
      <x:c r="D2010" s="18" t="str">
        <x:v>color: JP1603</x:v>
      </x:c>
      <x:c r="E2010" s="25" t="str">
        <x:v>$0.82</x:v>
      </x:c>
      <x:c r="F2010" s="19" t="str">
        <x:v>1</x:v>
      </x:c>
    </x:row>
    <x:row r="2011" ht="93" customHeight="1">
      <x:c r="A2011" s="19" t="n">
        <x:v>2008</x:v>
      </x:c>
      <x:c r="B2011" s="22" t="e">
        <x:f>HYPERLINK("https://cdn.shopify.com/s/files/1/0918/6066/4603/files/O1CN01JEe1PB1DACGcOeQNT__2214060820175-0-cib.jpg?v=1755652964","Open")</x:f>
        <x:v>HYPERLINK is not implemented. linkLocation=https://cdn.shopify.com/s/files/1/0918/6066/4603/files/O1CN01JEe1PB1DACGcOeQNT__2214060820175-0-cib.jpg?v=1755652964, friendlyName=Open</x:v>
      </x:c>
      <x:c r="C2011" s="24" t="e">
        <x:f>HYPERLINK("https://365nails.com/products/new-wearing-nail-packaging-box-window-opening-double-insertion-color-box-nail-art-display-box-white-cardboard-folding-nail-art-sticker-carton","Press on nails packaging box （MOQ=200PCS）")</x:f>
        <x:v>HYPERLINK is not implemented. linkLocation=https://365nails.com/products/new-wearing-nail-packaging-box-window-opening-double-insertion-color-box-nail-art-display-box-white-cardboard-folding-nail-art-sticker-carton, friendlyName=Press on nails packaging box （MOQ=200PCS）</x:v>
      </x:c>
      <x:c r="D2011" s="18" t="str">
        <x:v>Color: 69 * 22 * 92Mm</x:v>
      </x:c>
      <x:c r="E2011" s="25" t="str">
        <x:v>$46.00</x:v>
      </x:c>
      <x:c r="F2011" s="19" t="str">
        <x:v>1</x:v>
      </x:c>
    </x:row>
    <x:row r="2012" ht="93" customHeight="1">
      <x:c r="A2012" s="19" t="n">
        <x:v>2009</x:v>
      </x:c>
      <x:c r="B2012" s="22" t="e">
        <x:f>HYPERLINK("https://cdn.shopify.com/s/files/1/0918/6066/4603/files/O1CN01npZb581oyFSGMSRye__2217080665293-0-cib.jpg?v=1755337427","Open")</x:f>
        <x:v>HYPERLINK is not implemented. linkLocation=https://cdn.shopify.com/s/files/1/0918/6066/4603/files/O1CN01npZb581oyFSGMSRye__2217080665293-0-cib.jpg?v=1755337427, friendlyName=Open</x:v>
      </x:c>
      <x:c r="C2012" s="24" t="e">
        <x:f>HYPERLINK("https://365nails.com/products/press-on-nails-instruction-card-arched-eggshell-pattern-white-card-light-luxury","Press-On Nails Instruction Card arched eggshell pattern white card (MOQ:50 pieces)")</x:f>
        <x:v>HYPERLINK is not implemented. linkLocation=https://365nails.com/products/press-on-nails-instruction-card-arched-eggshell-pattern-white-card-light-luxury, friendlyName=Press-On Nails Instruction Card arched eggshell pattern white card (MOQ:50 pieces)</x:v>
      </x:c>
      <x:c r="D2012" s="18" t="str">
        <x:v>Color: 85 * 115Mm (50/bag); Specifications and models: 85 * 115 marble - gray; 85 * 115mm (50/bag) / 85 * 115 marble - blue; 85 * 115mm (50/bag) / 85 * 115 marble - light purple; 85 * 115mm (50/bag) / 85 * 115 marble - vanilla color; 85 * 115mm (50/pack) / 85 * 115 simple smudge powder; 85 * 115mm (50/pack)</x:v>
      </x:c>
      <x:c r="E2012" s="25" t="str">
        <x:v>$1.50</x:v>
      </x:c>
      <x:c r="F2012" s="19" t="str">
        <x:v>1</x:v>
      </x:c>
    </x:row>
    <x:row r="2013" ht="93" customHeight="1">
      <x:c r="A2013" s="19" t="n">
        <x:v>2010</x:v>
      </x:c>
      <x:c r="B2013" s="22" t="e">
        <x:f>HYPERLINK("https://cdn.shopify.com/s/files/1/0918/6066/4603/files/O1CN01cpnkbd1oyFSF9yx5h__2217080665293-0-cib.jpg?v=1755341365","Open")</x:f>
        <x:v>HYPERLINK is not implemented. linkLocation=https://cdn.shopify.com/s/files/1/0918/6066/4603/files/O1CN01cpnkbd1oyFSF9yx5h__2217080665293-0-cib.jpg?v=1755341365, friendlyName=Open</x:v>
      </x:c>
      <x:c r="C2013" s="24" t="e">
        <x:f>HYPERLINK("https://365nails.com/products/press-on-nails-instruction-card-75-high-quality-mijian-card","Press-On Nails Instruction Card  75MM High Quality Mijian Card (MOQ:50 pieces)")</x:f>
        <x:v>HYPERLINK is not implemented. linkLocation=https://365nails.com/products/press-on-nails-instruction-card-75-high-quality-mijian-card, friendlyName=Press-On Nails Instruction Card  75MM High Quality Mijian Card (MOQ:50 pieces)</x:v>
      </x:c>
      <x:c r="D2013" s="18" t="str">
        <x:v>Color: 75*75mm 50sheets/bag / 75 * 75mm 50 sheets/bag; Specifications and models: Red / Blue / Tulips / purple smudge / Magnolia / Brown minimalist / Beige minimalist</x:v>
      </x:c>
      <x:c r="E2013" s="25" t="str">
        <x:v>$2.00</x:v>
      </x:c>
      <x:c r="F2013" s="19" t="str">
        <x:v>1</x:v>
      </x:c>
    </x:row>
    <x:row r="2014" ht="93" customHeight="1">
      <x:c r="A2014" s="19" t="n">
        <x:v>2011</x:v>
      </x:c>
      <x:c r="B2014" s="22" t="e">
        <x:f>HYPERLINK("https://cdn.shopify.com/s/files/1/0918/6066/4603/files/9f1e0d123ecc86c9cb64db0aaf5558ec.jpg?v=1766754484","Open")</x:f>
        <x:v>HYPERLINK is not implemented. linkLocation=https://cdn.shopify.com/s/files/1/0918/6066/4603/files/9f1e0d123ecc86c9cb64db0aaf5558ec.jpg?v=1766754484, friendlyName=Open</x:v>
      </x:c>
      <x:c r="C2014" s="24" t="e">
        <x:f>HYPERLINK("https://365nails.com/products/arch-shape-display-cards-for-press-on-nail-packaging","Arch Shape Display Cards for Press On Nail Packaging (MOQ=50)")</x:f>
        <x:v>HYPERLINK is not implemented. linkLocation=https://365nails.com/products/arch-shape-display-cards-for-press-on-nail-packaging, friendlyName=Arch Shape Display Cards for Press On Nail Packaging (MOQ=50)</x:v>
      </x:c>
      <x:c r="D2014" s="18" t="str">
        <x:v>Color: 85 * 115Mm (50 sheets/pack) / 90 * 130Mm (50 sheets/pack); Specifications and models: [400G coated paper] minimalist black and white; 85 * 115mm (50 sheets/pack) / [400G coated paper] minimalist pink white; 85 * 115mm (50 sheets/pack) / [400G coated paper] minimalist black powder; 85 * 115mm (50 sheets/pack) / [400G coated paper] white moonlight; 90 * 130mm (50 sheets/pack) / [400G coated paper] cinnabar mole; 90 * 130mm (50 sheets/pack) / [400G coated paper] smudging powder; 90 * 130mm (50 sheets/pack) / [400G coated paper] gradual change blue; 90 * 130mm (50 sheets/pack)</x:v>
      </x:c>
      <x:c r="E2014" s="25" t="str">
        <x:v>$3.08</x:v>
      </x:c>
      <x:c r="F2014" s="19" t="str">
        <x:v>1</x:v>
      </x:c>
    </x:row>
    <x:row r="2015" ht="93" customHeight="1">
      <x:c r="A2015" s="19" t="n">
        <x:v>2012</x:v>
      </x:c>
      <x:c r="B2015" s="22" t="e">
        <x:f>HYPERLINK("https://cdn.shopify.com/s/files/1/0918/6066/4603/files/O1CN01s4N7001oyFRrQyhjl__2217080665293-0-cib.jpg?v=1755339225","Open")</x:f>
        <x:v>HYPERLINK is not implemented. linkLocation=https://cdn.shopify.com/s/files/1/0918/6066/4603/files/O1CN01s4N7001oyFRrQyhjl__2217080665293-0-cib.jpg?v=1755339225, friendlyName=Open</x:v>
      </x:c>
      <x:c r="C2015" s="24" t="e">
        <x:f>HYPERLINK("https://365nails.com/products/press-on-nails-instruction-card-transparent-pvc-self-adhesive-waterproof-clothing-size-sticker-round-label","Press-On Nails Instruction Card  transparent pvc self-adhesive waterproof clothing size sticker round label")</x:f>
        <x:v>HYPERLINK is not implemented. linkLocation=https://365nails.com/products/press-on-nails-instruction-card-transparent-pvc-self-adhesive-waterproof-clothing-size-sticker-round-label, friendlyName=Press-On Nails Instruction Card  transparent pvc self-adhesive waterproof clothing size sticker round label</x:v>
      </x:c>
      <x:c r="D2015" s="18" t="str">
        <x:v>Specifications and models: [120 pieces/sheet] Full size - black; 10 pieces/pack / [120 pieces/sheet] Full size - bronzing; 10 pieces/pack / [120 pieces/sheet] Full size - hot silver; 10 pieces/pack / [72 pieces/sheet] XS-bronzing; 10 pieces/pack / [72 pieces/sheet] S-bronzing; 10 pieces/pack / [72 pieces/sheet] M-bronzing; 10 pieces/pack / [72 pieces/sheet] XS-hot silver; 10 pieces/pack / [72 pieces/sheet] S-hot silver; 10 pieces/pack / [72 pieces/sheet] L-bronzing; 10 pieces/pack / [72 pieces/sheet] L-hot silver; 10 pieces/pack</x:v>
      </x:c>
      <x:c r="E2015" s="25" t="str">
        <x:v>$1.20–$1.50</x:v>
      </x:c>
      <x:c r="F2015" s="19" t="str">
        <x:v>1</x:v>
      </x:c>
    </x:row>
    <x:row r="2016" ht="93" customHeight="1">
      <x:c r="A2016" s="19" t="n">
        <x:v>2013</x:v>
      </x:c>
      <x:c r="B2016" s="22" t="e">
        <x:f>HYPERLINK("https://cdn.shopify.com/s/files/1/0918/6066/4603/files/5dd09d524ba2910ee180b914cf26d6ad.jpg?v=1766818292","Open")</x:f>
        <x:v>HYPERLINK is not implemented. linkLocation=https://cdn.shopify.com/s/files/1/0918/6066/4603/files/5dd09d524ba2910ee180b914cf26d6ad.jpg?v=1766818292, friendlyName=Open</x:v>
      </x:c>
      <x:c r="C2016" s="24" t="e">
        <x:f>HYPERLINK("https://365nails.com/products/minimal-gradient-copperplate-paper-display-cards-for-press-on-nails","Minimal Gradient Copperplate Paper Display Cards for Press On Nails (MOQ=50)")</x:f>
        <x:v>HYPERLINK is not implemented. linkLocation=https://365nails.com/products/minimal-gradient-copperplate-paper-display-cards-for-press-on-nails, friendlyName=Minimal Gradient Copperplate Paper Display Cards for Press On Nails (MOQ=50)</x:v>
      </x:c>
      <x:c r="D2016" s="18" t="str">
        <x:v>Color: 70 * 90Mm (50/bag) / 75 * 105Mm (50/bag) / 85 * 110Mm (50/bag) / 90 * 120Mm (50/bag); Specifications and models: [400G coated paper] marble pattern; 70 * 90mm (50/pack) / [400G coated paper] black marble pattern; 75 * 105mm (50/pack) / [400G coated paper] black and white gradual change; 85 * 110mm (50/pack) / [400G coated paper] black and green gradual change; 85 * 110mm (50/pack) / [400G coated paper] black powder gradual change; 85 * 110mm (50/pack) / [400G coated paper] black and blue gradual change; 85 * 110mm (50/pack) / [400G coated paper] black powder ins; 85 * 110mm (50/pack) / [400G coated paper] black powder simple model; 85 * 110mm (50/bag) / [400G coated paper] black powder sweet and cool; 85 * 110mm (50/pack) / [400G coated paper] European frame-A type; 90 * 120mm (50/pack) / [400G coated paper] European frame-B type; 90 * 120mm (50/pack)</x:v>
      </x:c>
      <x:c r="E2016" s="25" t="str">
        <x:v>$1.50</x:v>
      </x:c>
      <x:c r="F2016" s="19" t="str">
        <x:v>1</x:v>
      </x:c>
    </x:row>
    <x:row r="2017" ht="93" customHeight="1">
      <x:c r="A2017" s="19" t="n">
        <x:v>2014</x:v>
      </x:c>
      <x:c r="B2017" s="22" t="e">
        <x:f>HYPERLINK("https://cdn.shopify.com/s/files/1/0918/6066/4603/files/6ec1ae49874315f4feaf96ed13989268.jpg?v=1766816686","Open")</x:f>
        <x:v>HYPERLINK is not implemented. linkLocation=https://cdn.shopify.com/s/files/1/0918/6066/4603/files/6ec1ae49874315f4feaf96ed13989268.jpg?v=1766816686, friendlyName=Open</x:v>
      </x:c>
      <x:c r="C2017" s="24" t="e">
        <x:f>HYPERLINK("https://365nails.com/products/pearlescent-foil-display-cards-for-press-on-nail-presentation","Pearlescent Foil Display Cards for Press On Nail Presentation (MOQ=50)")</x:f>
        <x:v>HYPERLINK is not implemented. linkLocation=https://365nails.com/products/pearlescent-foil-display-cards-for-press-on-nail-presentation, friendlyName=Pearlescent Foil Display Cards for Press On Nail Presentation (MOQ=50)</x:v>
      </x:c>
      <x:c r="D2017" s="18" t="str">
        <x:v>Color: 65 * 65Mm (50 sheets/pack) / 75 * 75Mm (50 sheets/pack) / 80 * 80Mm (50 sheets/pack) / 80 * 110Mm (50 sheets/pack); Type: [Pearlescent hot rose gold] 65 rounded border; 65 * 65mm (50 sheets/pack) / [Pearlescent hot black gold] 65 rounded corner frame; 65 * 65mm (50 sheets/pack) / [Pearlescent Hot Silver] 65 rounded border; 65 * 65mm (50 sheets/pack) / [Pearlescent hot rose gold] 75 rounded corner frame; 75 * 75mm (50 sheets/pack) / [Pearlescent hot black gold] 75 rounded corner frame; 75 * 75mm (50 sheets/pack) / [Pearlescent hot rose gold] 80 square frame; 80 * 80mm (50 sheets/pack) / [Pearl ironing black gold] 80 square frame; 80 * 80mm (50 sheets/pack) / [Pearlescent Hot Silver] 80 square frame; 80 * 80mm (50 sheets/pack) / [Pearlescent hot rose gold] 110 rectangular frame; 80 * 110mm (50 sheets/pack) / [Pearl ironing black gold] 110 rectangular frame; 80 * 110mm (50 sheets/pack)</x:v>
      </x:c>
      <x:c r="E2017" s="25" t="str">
        <x:v>$2.00–$2.50</x:v>
      </x:c>
      <x:c r="F2017" s="19" t="str">
        <x:v>1</x:v>
      </x:c>
    </x:row>
    <x:row r="2018" ht="93" customHeight="1">
      <x:c r="A2018" s="19" t="n">
        <x:v>2015</x:v>
      </x:c>
      <x:c r="B2018" s="22" t="e">
        <x:f>HYPERLINK("https://cdn.shopify.com/s/files/1/0918/6066/4603/files/O1CN015hVxuZ2NGHf9USKwI__4234819935-0-cib.jpg?v=1753431672","Open")</x:f>
        <x:v>HYPERLINK is not implemented. linkLocation=https://cdn.shopify.com/s/files/1/0918/6066/4603/files/O1CN015hVxuZ2NGHf9USKwI__4234819935-0-cib.jpg?v=1753431672, friendlyName=Open</x:v>
      </x:c>
      <x:c r="C2018" s="24" t="e">
        <x:f>HYPERLINK("https://365nails.com/products/pink-love-rhinestone-wearing-nail-piece-wholesale-nail-piece-nail-piece-finished-product-removable-ultra-thin-nail-piece-365nails","Pink love rhinestone  wholesale nail piece nail piece finished product removable ultra-thin nail piece｜365nails")</x:f>
        <x:v>HYPERLINK is not implemented. linkLocation=https://365nails.com/products/pink-love-rhinestone-wearing-nail-piece-wholesale-nail-piece-nail-piece-finished-product-removable-ultra-thin-nail-piece-365nails, friendlyName=Pink love rhinestone  wholesale nail piece nail piece finished product removable ultra-thin nail piece｜365nails</x:v>
      </x:c>
      <x:c r="D2018" s="18" t="str">
        <x:v>color: JP1599</x:v>
      </x:c>
      <x:c r="E2018" s="25" t="str">
        <x:v>$1.47</x:v>
      </x:c>
      <x:c r="F2018" s="19" t="str">
        <x:v>1</x:v>
      </x:c>
    </x:row>
    <x:row r="2019" ht="93" customHeight="1">
      <x:c r="A2019" s="19" t="n">
        <x:v>2016</x:v>
      </x:c>
      <x:c r="B2019" s="22" t="e">
        <x:f>HYPERLINK("https://cdn.shopify.com/s/files/1/0918/6066/4603/files/c584f407013ae63829b07ac7f711bcc2.jpg?v=1772707822","Open")</x:f>
        <x:v>HYPERLINK is not implemented. linkLocation=https://cdn.shopify.com/s/files/1/0918/6066/4603/files/c584f407013ae63829b07ac7f711bcc2.jpg?v=1772707822, friendlyName=Open</x:v>
      </x:c>
      <x:c r="C2019" s="24" t="e">
        <x:f>HYPERLINK("https://365nails.com/products/365nails-half-matte-seamless-nail-tips-multi-shape-nail-extension-set-ys-101-to-ys-402","365nails Half-Matte Seamless Nail Tips | Multi-Shape Nail Extension Set (YS-101 to YS-402)")</x:f>
        <x:v>HYPERLINK is not implemented. linkLocation=https://365nails.com/products/365nails-half-matte-seamless-nail-tips-multi-shape-nail-extension-set-ys-101-to-ys-402, friendlyName=365nails Half-Matte Seamless Nail Tips | Multi-Shape Nail Extension Set (YS-101 to YS-402)</x:v>
      </x:c>
      <x:c r="D2019" s="18" t="str">
        <x:v>Color: 101-almond-240 pieces in box / 102-short ballet-240 pieces in box / 103-short water drop-240 pieces in box / 104 - little round - 240 pieces box / 105-long oval-240 pieces in box / 106-square-240 pieces in box / 107-long ballet-240 pieces in box / 108-long oval-240 pieces in box / 109-whole sand almond-240 pieces in box / 110-long water drop-240 pieces in box / 174-super short ladder-240 pieces in box / 175-super short almond-240 pieces in box / 180-semi-sand square-240 pieces in box / 181 - half sand ballet - 240 pieces box / 182 - half sand long teardrop - 240 pieces box / 183-long almond-240 pieces in box / 184 - half sand short ballet - 240 pieces box / 401 - all sand short stair step - 240 pieces box / 402 - half sand new short ladder - 240 pieces boxed / 188 - japanese short square - 240 pieces box / 187 half-sand almond - 240 pieces box / 189 - half sand extended rectangle - 240 pieces box</x:v>
      </x:c>
      <x:c r="E2019" s="25" t="str">
        <x:v>$1.23</x:v>
      </x:c>
      <x:c r="F2019" s="19" t="str">
        <x:v>3</x:v>
      </x:c>
    </x:row>
    <x:row r="2020" ht="93" customHeight="1">
      <x:c r="A2020" s="19" t="n">
        <x:v>2017</x:v>
      </x:c>
      <x:c r="B2020" s="22" t="e">
        <x:f>HYPERLINK("https://cdn.shopify.com/s/files/1/0918/6066/4603/files/O1CN01WTCvb91rlpJ4jCjOU__2215158925672-0-cib_f9eb3271-c6fb-4bf0-96c3-110430c43bbd.jpg?v=1772513735","Open")</x:f>
        <x:v>HYPERLINK is not implemented. linkLocation=https://cdn.shopify.com/s/files/1/0918/6066/4603/files/O1CN01WTCvb91rlpJ4jCjOU__2215158925672-0-cib_f9eb3271-c6fb-4bf0-96c3-110430c43bbd.jpg?v=1772513735, friendlyName=Open</x:v>
      </x:c>
      <x:c r="C2020" s="24" t="e">
        <x:f>HYPERLINK("https://365nails.com/products/365nails-nocturne-midnight-sapphire-short-square-cat-eye-glitter-press-on-nails-24pcs","365nails: ""Galactic Sapphire"" – Short Squoval Handmade Press-On Nails")</x:f>
        <x:v>HYPERLINK is not implemented. linkLocation=https://365nails.com/products/365nails-nocturne-midnight-sapphire-short-square-cat-eye-glitter-press-on-nails-24pcs, friendlyName=365nails: "Galactic Sapphire" – Short Squoval Handmade Press-On Nails</x:v>
      </x:c>
      <x:c r="D2020" s="18" t="str">
        <x:v>Color: New short square; Color classification: X s / S / M / L</x:v>
      </x:c>
      <x:c r="E2020" s="25" t="str">
        <x:v>$3.99</x:v>
      </x:c>
      <x:c r="F2020" s="19" t="str">
        <x:v>3</x:v>
      </x:c>
    </x:row>
    <x:row r="2021" ht="93" customHeight="1">
      <x:c r="A2021" s="19" t="n">
        <x:v>2018</x:v>
      </x:c>
      <x:c r="B2021" s="22" t="e">
        <x:f>HYPERLINK("https://cdn.shopify.com/s/files/1/0918/6066/4603/files/O1CN01sKKjKj2NGHeGabs4B__4234819935-0-cib.jpg?v=1753429191","Open")</x:f>
        <x:v>HYPERLINK is not implemented. linkLocation=https://cdn.shopify.com/s/files/1/0918/6066/4603/files/O1CN01sKKjKj2NGHeGabs4B__4234819935-0-cib.jpg?v=1753429191, friendlyName=Open</x:v>
      </x:c>
      <x:c r="C2021" s="24" t="e">
        <x:f>HYPERLINK("https://365nails.com/products/wearable-nail-patch-false-nail-nail-patch-persian-orange-blush-nail-art-removable-nail-art-wholesale-365nails","Wearable Nail Patch False Nail Nail Patch Persian Orange Blush Nail Art Removable Nail Art Wholesale｜365nails")</x:f>
        <x:v>HYPERLINK is not implemented. linkLocation=https://365nails.com/products/wearable-nail-patch-false-nail-nail-patch-persian-orange-blush-nail-art-removable-nail-art-wholesale-365nails, friendlyName=Wearable Nail Patch False Nail Nail Patch Persian Orange Blush Nail Art Removable Nail Art Wholesale｜365nails</x:v>
      </x:c>
      <x:c r="D2021" s="18" t="str">
        <x:v>color: JP1541</x:v>
      </x:c>
      <x:c r="E2021" s="25" t="str">
        <x:v>$0.70</x:v>
      </x:c>
      <x:c r="F2021" s="19" t="str">
        <x:v>1</x:v>
      </x:c>
    </x:row>
    <x:row r="2022" ht="93" customHeight="1">
      <x:c r="A2022" s="19" t="n">
        <x:v>2019</x:v>
      </x:c>
      <x:c r="B2022" s="22" t="e">
        <x:f>HYPERLINK("https://cdn.shopify.com/s/files/1/0918/6066/4603/files/O1CN01Ieyaiy2NGHihAsZva__4234819935-0-cib_9c84adcb-583a-4029-a458-0ff9db8be972.jpg?v=1753433308","Open")</x:f>
        <x:v>HYPERLINK is not implemented. linkLocation=https://cdn.shopify.com/s/files/1/0918/6066/4603/files/O1CN01Ieyaiy2NGHihAsZva__4234819935-0-cib_9c84adcb-583a-4029-a458-0ff9db8be972.jpg?v=1753433308, friendlyName=Open</x:v>
      </x:c>
      <x:c r="C2022" s="24" t="e">
        <x:f>HYPERLINK("https://365nails.com/products/wear-nail-solid-color-short-ballet-nail-piece-pink-matte-nail-manicure-removable-fake-nail-piece-wholesale-365nails","Wear nail Solid color short ballet nail piece Pink matte nail manicure Removable fake nail piece Wholesale｜365nails")</x:f>
        <x:v>HYPERLINK is not implemented. linkLocation=https://365nails.com/products/wear-nail-solid-color-short-ballet-nail-piece-pink-matte-nail-manicure-removable-fake-nail-piece-wholesale-365nails, friendlyName=Wear nail Solid color short ballet nail piece Pink matte nail manicure Removable fake nail piece Wholesale｜365nails</x:v>
      </x:c>
      <x:c r="D2022" s="18" t="str">
        <x:v>Color: JP2227</x:v>
      </x:c>
      <x:c r="E2022" s="25" t="str">
        <x:v>$0.70</x:v>
      </x:c>
      <x:c r="F2022" s="19" t="str">
        <x:v>1</x:v>
      </x:c>
    </x:row>
    <x:row r="2023" ht="93" customHeight="1">
      <x:c r="A2023" s="19" t="n">
        <x:v>2020</x:v>
      </x:c>
      <x:c r="B2023" s="22" t="e">
        <x:f>HYPERLINK("https://cdn.shopify.com/s/files/1/0918/6066/4603/files/b5faa2fccd05700c22968cc1fb8c499f.jpg?v=1776137099","Open")</x:f>
        <x:v>HYPERLINK is not implemented. linkLocation=https://cdn.shopify.com/s/files/1/0918/6066/4603/files/b5faa2fccd05700c22968cc1fb8c499f.jpg?v=1776137099, friendlyName=Open</x:v>
      </x:c>
      <x:c r="C2023" s="24" t="e">
        <x:f>HYPERLINK("https://365nails.com/products/aurora-french-collection-holographic-french-short-coffin-press-on-nails","Aurora French Collection: ""Holographic French"" – Short Coffin Press-On Nails")</x:f>
        <x:v>HYPERLINK is not implemented. linkLocation=https://365nails.com/products/aurora-french-collection-holographic-french-short-coffin-press-on-nails, friendlyName=Aurora French Collection: "Holographic French" – Short Coffin Press-On Nails</x:v>
      </x:c>
      <x:c r="D2023" s="18" t="str">
        <x:v>Color: Short ladder french style [hailey extreme electroplated nails]</x:v>
      </x:c>
      <x:c r="E2023" s="25" t="str">
        <x:v>$0.88</x:v>
      </x:c>
      <x:c r="F2023" s="19" t="str">
        <x:v>10</x:v>
      </x:c>
    </x:row>
    <x:row r="2024" ht="93" customHeight="1">
      <x:c r="A2024" s="19" t="n">
        <x:v>2021</x:v>
      </x:c>
      <x:c r="B2024" s="22" t="e">
        <x:f>HYPERLINK("https://cdn.shopify.com/s/files/1/0918/6066/4603/files/O1CN01GyyUU12NGI2B7DfWN__4234819935-0-cib.jpg?v=1772116862","Open")</x:f>
        <x:v>HYPERLINK is not implemented. linkLocation=https://cdn.shopify.com/s/files/1/0918/6066/4603/files/O1CN01GyyUU12NGI2B7DfWN__4234819935-0-cib.jpg?v=1772116862, friendlyName=Open</x:v>
      </x:c>
      <x:c r="C2024" s="24" t="e">
        <x:f>HYPERLINK("https://365nails.com/products/french-almond-press-on-nails-with-red-bow-polka-dot-design","French Almond Press On Nails with Red Bow &amp; Polka Dot Design")</x:f>
        <x:v>HYPERLINK is not implemented. linkLocation=https://365nails.com/products/french-almond-press-on-nails-with-red-bow-polka-dot-design, friendlyName=French Almond Press On Nails with Red Bow &amp; Polka Dot Design</x:v>
      </x:c>
      <x:c r="D2024" s="18" t="str">
        <x:v>Color: Jp 4282</x:v>
      </x:c>
      <x:c r="E2024" s="25" t="str">
        <x:v>$1.62</x:v>
      </x:c>
      <x:c r="F2024" s="19" t="str">
        <x:v>3</x:v>
      </x:c>
    </x:row>
    <x:row r="2025" ht="93" customHeight="1">
      <x:c r="A2025" s="19" t="n">
        <x:v>2022</x:v>
      </x:c>
      <x:c r="B2025" s="22" t="e">
        <x:f>HYPERLINK("https://cdn.shopify.com/s/files/1/0918/6066/4603/files/O1CN01KmDSXN2MQzfBfKQ0m__2219089449823-0-cib.jpg?v=1767852841","Open")</x:f>
        <x:v>HYPERLINK is not implemented. linkLocation=https://cdn.shopify.com/s/files/1/0918/6066/4603/files/O1CN01KmDSXN2MQzfBfKQ0m__2219089449823-0-cib.jpg?v=1767852841, friendlyName=Open</x:v>
      </x:c>
      <x:c r="C2025" s="24" t="e">
        <x:f>HYPERLINK("https://365nails.com/products/full-crystal-glitter-stiletto-press-on-nails","Full Crystal Glitter Stiletto Press On Nails")</x:f>
        <x:v>HYPERLINK is not implemented. linkLocation=https://365nails.com/products/full-crystal-glitter-stiletto-press-on-nails, friendlyName=Full Crystal Glitter Stiletto Press On Nails</x:v>
      </x:c>
      <x:c r="D2025" s="18" t="str">
        <x:v>Color: M119; Color classification: S / M / L</x:v>
      </x:c>
      <x:c r="E2025" s="25" t="str">
        <x:v>$5.99</x:v>
      </x:c>
      <x:c r="F2025" s="19" t="str">
        <x:v>1</x:v>
      </x:c>
    </x:row>
    <x:row r="2026" ht="93" customHeight="1">
      <x:c r="A2026" s="19" t="n">
        <x:v>2023</x:v>
      </x:c>
      <x:c r="B2026" s="22" t="e">
        <x:f>HYPERLINK("https://cdn.shopify.com/s/files/1/0918/6066/4603/files/O1CN01FsUGYW22SYgMFEjTS__2219370087119-0-cib.jpg?v=1767096987","Open")</x:f>
        <x:v>HYPERLINK is not implemented. linkLocation=https://cdn.shopify.com/s/files/1/0918/6066/4603/files/O1CN01FsUGYW22SYgMFEjTS__2219370087119-0-cib.jpg?v=1767096987, friendlyName=Open</x:v>
      </x:c>
      <x:c r="C2026" s="24" t="e">
        <x:f>HYPERLINK("https://365nails.com/products/blush-nude-butterfly-crystal-press-on-nails","Blush Nude Butterfly Crystal Press On Nails")</x:f>
        <x:v>HYPERLINK is not implemented. linkLocation=https://365nails.com/products/blush-nude-butterfly-crystal-press-on-nails, friendlyName=Blush Nude Butterfly Crystal Press On Nails</x:v>
      </x:c>
      <x:c r="D2026" s="18" t="str">
        <x:v>Color: L (1.7/1.3/1.4/1.3/1.1)cm / M (1.6/1.2/1.3/1.2/1.0)cm / S (1.5/1.1/1.2/1.1/0.9)cm</x:v>
      </x:c>
      <x:c r="E2026" s="25" t="str">
        <x:v>$5.49</x:v>
      </x:c>
      <x:c r="F2026" s="19" t="str">
        <x:v>30</x:v>
      </x:c>
    </x:row>
    <x:row r="2027" ht="93" customHeight="1">
      <x:c r="A2027" s="19" t="n">
        <x:v>2024</x:v>
      </x:c>
      <x:c r="B2027" s="22" t="e">
        <x:f>HYPERLINK("https://cdn.shopify.com/s/files/1/0918/6066/4603/files/O1CN015y91lY2NGHoDaKDp1__4234819935-0-cib.jpg?v=1753431832","Open")</x:f>
        <x:v>HYPERLINK is not implemented. linkLocation=https://cdn.shopify.com/s/files/1/0918/6066/4603/files/O1CN015y91lY2NGHoDaKDp1__4234819935-0-cib.jpg?v=1753431832, friendlyName=Open</x:v>
      </x:c>
      <x:c r="C2027" s="24" t="e">
        <x:f>HYPERLINK("https://365nails.com/products/french-white-edge-nude-manicure-fake-nails-silver-glitter-wear-nail-almond-short-nail-piece-nail-piece-wholesale-365nails","French white edge nude manicure fake nails silver glitter wear nail almond short nail piece nail piece wholesale｜365nails")</x:f>
        <x:v>HYPERLINK is not implemented. linkLocation=https://365nails.com/products/french-white-edge-nude-manicure-fake-nails-silver-glitter-wear-nail-almond-short-nail-piece-nail-piece-wholesale-365nails, friendlyName=French white edge nude manicure fake nails silver glitter wear nail almond short nail piece nail piece wholesale｜365nails</x:v>
      </x:c>
      <x:c r="D2027" s="18" t="str">
        <x:v>Color: JP3029</x:v>
      </x:c>
      <x:c r="E2027" s="25" t="str">
        <x:v>$0.71</x:v>
      </x:c>
      <x:c r="F2027" s="19" t="str">
        <x:v>1</x:v>
      </x:c>
    </x:row>
    <x:row r="2028" ht="93" customHeight="1">
      <x:c r="A2028" s="19" t="n">
        <x:v>2025</x:v>
      </x:c>
      <x:c r="B2028" s="22" t="e">
        <x:f>HYPERLINK("https://cdn.shopify.com/s/files/1/0918/6066/4603/files/O1CN01rOSR572NGHvSHTCvK__4234819935-0-cib.jpg?v=1753431825","Open")</x:f>
        <x:v>HYPERLINK is not implemented. linkLocation=https://cdn.shopify.com/s/files/1/0918/6066/4603/files/O1CN01rOSR572NGHvSHTCvK__4234819935-0-cib.jpg?v=1753431825, friendlyName=Open</x:v>
      </x:c>
      <x:c r="C2028" s="24" t="e">
        <x:f>HYPERLINK("https://365nails.com/products/popular-short-dark-gray-spice-girl-premium-sense-wearing-nail-film-autumn-and-winter-cat-eye-leopard-print-ins-nail-film-fake-nail-film-365nails","Popular short dark gray Spice Girl premium sense  film autumn and winter cat eye leopard print ins  fake ｜365nails")</x:f>
        <x:v>HYPERLINK is not implemented. linkLocation=https://365nails.com/products/popular-short-dark-gray-spice-girl-premium-sense-wearing-nail-film-autumn-and-winter-cat-eye-leopard-print-ins-nail-film-fake-nail-film-365nails, friendlyName=Popular short dark gray Spice Girl premium sense  film autumn and winter cat eye leopard print ins  fake ｜365nails</x:v>
      </x:c>
      <x:c r="D2028" s="18" t="str">
        <x:v>color: GN044</x:v>
      </x:c>
      <x:c r="E2028" s="25" t="str">
        <x:v>$1.62</x:v>
      </x:c>
      <x:c r="F2028" s="19" t="str">
        <x:v>1</x:v>
      </x:c>
    </x:row>
    <x:row r="2029" ht="93" customHeight="1">
      <x:c r="A2029" s="19" t="n">
        <x:v>2026</x:v>
      </x:c>
      <x:c r="B2029" s="22" t="e">
        <x:f>HYPERLINK("https://cdn.shopify.com/s/files/1/0918/6066/4603/files/20652261007_2037667256.jpg?v=1753432035","Open")</x:f>
        <x:v>HYPERLINK is not implemented. linkLocation=https://cdn.shopify.com/s/files/1/0918/6066/4603/files/20652261007_2037667256.jpg?v=1753432035, friendlyName=Open</x:v>
      </x:c>
      <x:c r="C2029" s="24" t="e">
        <x:f>HYPERLINK("https://365nails.com/products/long-ballet-series-lake-blue-wearing-nail-finished-fake-nail-nail-patch-nail-patch-waterproof-foreign-trade-model-365nails","Long Ballet Series Lake Blue  Finished  nail patch Waterproof  Model｜365nails")</x:f>
        <x:v>HYPERLINK is not implemented. linkLocation=https://365nails.com/products/long-ballet-series-lake-blue-wearing-nail-finished-fake-nail-nail-patch-nail-patch-waterproof-foreign-trade-model-365nails, friendlyName=Long Ballet Series Lake Blue  Finished  nail patch Waterproof  Model｜365nails</x:v>
      </x:c>
      <x:c r="D2029" s="18" t="str">
        <x:v>color: JP864</x:v>
      </x:c>
      <x:c r="E2029" s="25" t="str">
        <x:v>$0.70</x:v>
      </x:c>
      <x:c r="F2029" s="19" t="str">
        <x:v>1</x:v>
      </x:c>
    </x:row>
    <x:row r="2030" ht="93" customHeight="1">
      <x:c r="A2030" s="19" t="n">
        <x:v>2027</x:v>
      </x:c>
      <x:c r="B2030" s="22" t="e">
        <x:f>HYPERLINK("https://cdn.shopify.com/s/files/1/0918/6066/4603/files/O1CN01EoM4lI1rlpJaGfUap__2215158925672-0-cib.jpg?v=1754447884","Open")</x:f>
        <x:v>HYPERLINK is not implemented. linkLocation=https://cdn.shopify.com/s/files/1/0918/6066/4603/files/O1CN01EoM4lI1rlpJaGfUap__2215158925672-0-cib.jpg?v=1754447884, friendlyName=Open</x:v>
      </x:c>
      <x:c r="C2030" s="24" t="e">
        <x:f>HYPERLINK("https://365nails.com/products/pure-hand-worn-manicure-spring-and-summer-whitening-magic-mirror-powder-sugar-cube-bright-diamond-detachable-hand-worn-manicure-365nails","Luxury Press-On Nails with Gold Texture and Crystal Embellishments")</x:f>
        <x:v>HYPERLINK is not implemented. linkLocation=https://365nails.com/products/pure-hand-worn-manicure-spring-and-summer-whitening-magic-mirror-powder-sugar-cube-bright-diamond-detachable-hand-worn-manicure-365nails, friendlyName=Luxury Press-On Nails with Gold Texture and Crystal Embellishments</x:v>
      </x:c>
      <x:c r="D2030" s="18" t="str">
        <x:v>shape: Medium T; size: XS / S / M / L</x:v>
      </x:c>
      <x:c r="E2030" s="25" t="str">
        <x:v>$3.99</x:v>
      </x:c>
      <x:c r="F2030" s="19" t="str">
        <x:v>30</x:v>
      </x:c>
    </x:row>
    <x:row r="2031" ht="93" customHeight="1">
      <x:c r="A2031" s="19" t="n">
        <x:v>2028</x:v>
      </x:c>
      <x:c r="B2031" s="22" t="e">
        <x:f>HYPERLINK("https://cdn.shopify.com/s/files/1/0918/6066/4603/files/O1CN013EKFDY1rlpJCm3mPu__2215158925672-0-cib.jpg?v=1754447801","Open")</x:f>
        <x:v>HYPERLINK is not implemented. linkLocation=https://cdn.shopify.com/s/files/1/0918/6066/4603/files/O1CN013EKFDY1rlpJCm3mPu__2215158925672-0-cib.jpg?v=1754447801, friendlyName=Open</x:v>
      </x:c>
      <x:c r="C2031" s="24" t="e">
        <x:f>HYPERLINK("https://365nails.com/products/pure-handmade-nail-three-dimensional-strawberry-lollipop-cute-and-sweet-nail-patch-detachable-nail-sticker-365nails","Cute Press-On Nails with Strawberry Motif and Pink Glitter Accents")</x:f>
        <x:v>HYPERLINK is not implemented. linkLocation=https://365nails.com/products/pure-handmade-nail-three-dimensional-strawberry-lollipop-cute-and-sweet-nail-patch-detachable-nail-sticker-365nails, friendlyName=Cute Press-On Nails with Strawberry Motif and Pink Glitter Accents</x:v>
      </x:c>
      <x:c r="D2031" s="18" t="str">
        <x:v>shape: short circle; size: XS / S / M / L</x:v>
      </x:c>
      <x:c r="E2031" s="25" t="str">
        <x:v>$2.49</x:v>
      </x:c>
      <x:c r="F2031" s="19" t="str">
        <x:v>30</x:v>
      </x:c>
    </x:row>
    <x:row r="2032" ht="93" customHeight="1">
      <x:c r="A2032" s="19" t="n">
        <x:v>2029</x:v>
      </x:c>
      <x:c r="B2032" s="22" t="e">
        <x:f>HYPERLINK("https://cdn.shopify.com/s/files/1/0918/6066/4603/files/O1CN01SGWn9t1rlpIQyZZPm__2215158925672-0-cib.jpg?v=1754447958","Open")</x:f>
        <x:v>HYPERLINK is not implemented. linkLocation=https://cdn.shopify.com/s/files/1/0918/6066/4603/files/O1CN01SGWn9t1rlpIQyZZPm__2215158925672-0-cib.jpg?v=1754447958, friendlyName=Open</x:v>
      </x:c>
      <x:c r="C2032" s="24" t="e">
        <x:f>HYPERLINK("https://365nails.com/products/sunset-afterglow-french-super-immortal-handmade-press-on-nails-art-patch-detachable-false-nail-art-finished-wholesale-365nails","Minimal Press-On Nails with Clear Tips and Gold Foil Accents")</x:f>
        <x:v>HYPERLINK is not implemented. linkLocation=https://365nails.com/products/sunset-afterglow-french-super-immortal-handmade-press-on-nails-art-patch-detachable-false-nail-art-finished-wholesale-365nails, friendlyName=Minimal Press-On Nails with Clear Tips and Gold Foil Accents</x:v>
      </x:c>
      <x:c r="D2032" s="18" t="str">
        <x:v>shape: Short T / Medium T; size: XS / S / M / L</x:v>
      </x:c>
      <x:c r="E2032" s="25" t="str">
        <x:v>$2.49</x:v>
      </x:c>
      <x:c r="F2032" s="19" t="str">
        <x:v>30</x:v>
      </x:c>
    </x:row>
    <x:row r="2033" ht="93" customHeight="1">
      <x:c r="A2033" s="19" t="n">
        <x:v>2030</x:v>
      </x:c>
      <x:c r="B2033" s="22" t="e">
        <x:f>HYPERLINK("https://cdn.shopify.com/s/files/1/0918/6066/4603/files/O1CN01OIx7Cf2NGHd598jzd__4234819935-0-cib.jpg?v=1753432064","Open")</x:f>
        <x:v>HYPERLINK is not implemented. linkLocation=https://cdn.shopify.com/s/files/1/0918/6066/4603/files/O1CN01OIx7Cf2NGHd598jzd__4234819935-0-cib.jpg?v=1753432064, friendlyName=Open</x:v>
      </x:c>
      <x:c r="C2033" s="24" t="e">
        <x:f>HYPERLINK("https://365nails.com/products/full-diamond-series-wearing-nail-cross-border-direct-supply-nail-patch-temperament-nail-art-foreign-trade-nail-patch-wholesale-nail-patch-365nails","Full Diamond Series   Direct Supply Nail Patch Temperament Nail Art  Nail Patch Wholesale｜365nails")</x:f>
        <x:v>HYPERLINK is not implemented. linkLocation=https://365nails.com/products/full-diamond-series-wearing-nail-cross-border-direct-supply-nail-patch-temperament-nail-art-foreign-trade-nail-patch-wholesale-nail-patch-365nails, friendlyName=Full Diamond Series   Direct Supply Nail Patch Temperament Nail Art  Nail Patch Wholesale｜365nails</x:v>
      </x:c>
      <x:c r="D2033" s="18" t="str">
        <x:v>color: JP1357</x:v>
      </x:c>
      <x:c r="E2033" s="25" t="str">
        <x:v>$1.03</x:v>
      </x:c>
      <x:c r="F2033" s="19" t="str">
        <x:v>1</x:v>
      </x:c>
    </x:row>
    <x:row r="2034" ht="93" customHeight="1">
      <x:c r="A2034" s="19" t="n">
        <x:v>2031</x:v>
      </x:c>
      <x:c r="B2034" s="22" t="e">
        <x:f>HYPERLINK("https://cdn.shopify.com/s/files/1/0918/6066/4603/files/O1CN01L2eQ832NGHdILpPH0__4234819935-0-cib.jpg?v=1753432091","Open")</x:f>
        <x:v>HYPERLINK is not implemented. linkLocation=https://cdn.shopify.com/s/files/1/0918/6066/4603/files/O1CN01L2eQ832NGHdILpPH0__4234819935-0-cib.jpg?v=1753432091, friendlyName=Open</x:v>
      </x:c>
      <x:c r="C2034" s="24" t="e">
        <x:f>HYPERLINK("https://365nails.com/products/full-diamond-wearing-nail-bow-nail-patch-cross-border-direct-supply-nail-piece-wearable-nail-art-press-on-nails-365nails","Full diamond  bow nail patch  direct supply   art press on nails｜365nails")</x:f>
        <x:v>HYPERLINK is not implemented. linkLocation=https://365nails.com/products/full-diamond-wearing-nail-bow-nail-patch-cross-border-direct-supply-nail-piece-wearable-nail-art-press-on-nails-365nails, friendlyName=Full diamond  bow nail patch  direct supply   art press on nails｜365nails</x:v>
      </x:c>
      <x:c r="D2034" s="18" t="str">
        <x:v>color: JP1309</x:v>
      </x:c>
      <x:c r="E2034" s="25" t="str">
        <x:v>$1.47</x:v>
      </x:c>
      <x:c r="F2034" s="19" t="str">
        <x:v>1</x:v>
      </x:c>
    </x:row>
    <x:row r="2035" ht="93" customHeight="1">
      <x:c r="A2035" s="19" t="n">
        <x:v>2032</x:v>
      </x:c>
      <x:c r="B2035" s="22" t="e">
        <x:f>HYPERLINK("https://cdn.shopify.com/s/files/1/0918/6066/4603/files/O1CN01GzxEG12NGHqOuCjhq__4234819935-0-cib.jpg?v=1753433472","Open")</x:f>
        <x:v>HYPERLINK is not implemented. linkLocation=https://cdn.shopify.com/s/files/1/0918/6066/4603/files/O1CN01GzxEG12NGHqOuCjhq__4234819935-0-cib.jpg?v=1753433472, friendlyName=Open</x:v>
      </x:c>
      <x:c r="C2035" s="24" t="e">
        <x:f>HYPERLINK("https://365nails.com/products/europe-and-the-united-states-popular-nail-art-wearing-nail-cross-flash-diamond-explosion-flash-wearable-nail-piece-finished-product-wholesale-star-and-moon-fake-nails-365nails","Europe and the United States popular nail art  cross flash diamond explosion flash wearable  finished product wholesale star and moon ｜365nails")</x:f>
        <x:v>HYPERLINK is not implemented. linkLocation=https://365nails.com/products/europe-and-the-united-states-popular-nail-art-wearing-nail-cross-flash-diamond-explosion-flash-wearable-nail-piece-finished-product-wholesale-star-and-moon-fake-nails-365nails, friendlyName=Europe and the United States popular nail art  cross flash diamond explosion flash wearable  finished product wholesale star and moon ｜365nails</x:v>
      </x:c>
      <x:c r="D2035" s="18" t="str">
        <x:v>Color: JP2791</x:v>
      </x:c>
      <x:c r="E2035" s="25" t="str">
        <x:v>$1.73</x:v>
      </x:c>
      <x:c r="F2035" s="19" t="str">
        <x:v>1</x:v>
      </x:c>
    </x:row>
    <x:row r="2036" ht="93" customHeight="1">
      <x:c r="A2036" s="19" t="n">
        <x:v>2033</x:v>
      </x:c>
      <x:c r="B2036" s="22" t="e">
        <x:f>HYPERLINK("https://cdn.shopify.com/s/files/1/0918/6066/4603/files/85719c9cef552bbc9850f09631c6b54d_cf47a5eb-c910-4678-837e-f52c30709ed1.png?v=1764143713","Open")</x:f>
        <x:v>HYPERLINK is not implemented. linkLocation=https://cdn.shopify.com/s/files/1/0918/6066/4603/files/85719c9cef552bbc9850f09631c6b54d_cf47a5eb-c910-4678-837e-f52c30709ed1.png?v=1764143713, friendlyName=Open</x:v>
      </x:c>
      <x:c r="C2036" s="24" t="e">
        <x:f>HYPERLINK("https://365nails.com/products/extra-long-5-0cm-water-pipe-press-on-nails-handmade-collection-round-shape","Extra Long 5.5cm Water Pipe Press-On Nails | Handmade Collection | Round Shape")</x:f>
        <x:v>HYPERLINK is not implemented. linkLocation=https://365nails.com/products/extra-long-5-0cm-water-pipe-press-on-nails-handmade-collection-round-shape, friendlyName=Extra Long 5.5cm Water Pipe Press-On Nails | Handmade Collection | Round Shape</x:v>
      </x:c>
      <x:c r="D2036" s="18" t="str">
        <x:v>Size: XS / S / M / L; type: Code 401: A001 Water Hose / Code 402: A002 Water Pipe / Code 403: A003 Water Hose / Code 404: A004 Water Hose / Code 405: A006 Water Hose / Code 406: A007 Water Hose / Code 407: A009 Water Hose / Code 408: B001 Water Hose / Code 409: B002 Water Hose / Code 410: B003 Water Hose / Code 411: B004 Water Hose / Code 412: B005 Water Hose / Code 413: B006 Water Hose / Code 414: B007 Water Hose / Code 415: B008 Water Hose / Code 416: B009 Water Hose / Code 417: B010 Water Hose / Code 418: B011 Water Hose / Code 419: B014 Water Hose / Code 420: B015 Water Hose / Code 421: B016 Water Hose / Code 422: B018 Water Pipe Nail / Code 423: B021 Water Hose / Code 424: B022 Water Hose / Code 425: B023 Water Hose / Code 426: B024 Water Hose / Code 427: B026 Water Hose / Code 428: B027 Water Hose / Code 429: C001 Water Hose / Code 430: C002 Water Hose / Code 431: C003 Water Hose / Code 432: C005 Water Hose / Code 433: C006 Water Hose / Code 434: C007 Water Hose / Code 435: C008 Water Hose / Code 436: C009 Water Hose / Code 437: C010 Water Hose / Code 438: C011 Water Hose / Code 439: C012 Water Hose / Code 440: C013 Water Hose / Code 441: C014 Water Hose / Code 442: C015 Water Hose / Code 443: C016 Water Hose / Code 444: C017 Water Hose / Code 445: C018 Water Hose / Code 446: C021 Water Hose / Code 447: C022 Water Hose / Code 448: C023 Water Hose / Code 449: C025 Water Hose / Code 450: C026 Water Pipe / Code 451: C027 Water Hose / Code 452: C028 Water Hose / Code 453: C029 Water Hose / Code 454: C030 Water Pipe / Code 455: C031 Water Hose / Code 456: C032 Water Hose / Code 457: C033 Water Hose / Code 458: C034 Water Hose / Code 459: C036 Water Hose / Code 460: C037 Water Hose / Code 461: C039 Water Hose / Code 462: C040 Water Hose / Code 463: C041 Water Hose</x:v>
      </x:c>
      <x:c r="E2036" s="25" t="str">
        <x:v>$4.99–$5.99</x:v>
      </x:c>
      <x:c r="F2036" s="19" t="str">
        <x:v>1</x:v>
      </x:c>
    </x:row>
    <x:row r="2037" ht="93" customHeight="1">
      <x:c r="A2037" s="19" t="n">
        <x:v>2034</x:v>
      </x:c>
      <x:c r="B2037" s="22" t="e">
        <x:f>HYPERLINK("https://cdn.shopify.com/s/files/1/0918/6066/4603/files/O1CN01gasjxq1t6GsE7n9st__2214583935852-0-cib_06d31c6d-b2c6-4ff0-a79b-a9d09271369c.jpg?v=1767527748","Open")</x:f>
        <x:v>HYPERLINK is not implemented. linkLocation=https://cdn.shopify.com/s/files/1/0918/6066/4603/files/O1CN01gasjxq1t6GsE7n9st__2214583935852-0-cib_06d31c6d-b2c6-4ff0-a79b-a9d09271369c.jpg?v=1767527748, friendlyName=Open</x:v>
      </x:c>
      <x:c r="C2037" s="24" t="e">
        <x:f>HYPERLINK("https://365nails.com/products/sweet-cartoon-candy-kids-press-on-nails-assorted-set","Sweet Cartoon Candy Kids Press On Nails Assorted Set")</x:f>
        <x:v>HYPERLINK is not implemented. linkLocation=https://365nails.com/products/sweet-cartoon-candy-kids-press-on-nails-assorted-set, friendlyName=Sweet Cartoon Candy Kids Press On Nails Assorted Set</x:v>
      </x:c>
      <x:c r="D2037" s="18" t="str">
        <x:v>Color: XS / S / M / L; Specification type: AD2401B #cloud marshmallow / AD2402b #Rainbow Day / AD2403b #cute in progress / AD2404b #Xiaokui Spring Tour / AD2405b #sweetheart meow / AD2406b #cute corner / AD2407b #fairy tale armor / BD1602b #Love Bouncing Candy / BD1603b #Star DreamWorks / BD1604b #cookies / BD1901b #rainbow candy armor / BD1902b #, Melody Party / BD1903b #Bear Paradise / BD1904b #Sky cute friend / BD1905b #stars / BD1906b #Merlot Fairy Tales / BD1907b #Ocean cute fun tour / BD1908b #strawberry waffle / BD1909b #mushroom sweetheart / BD1910b #sweet dream pink bear / BD1911b #cute bear sweetheart / BD1912b #Children's fun puzzle grid / BD1913b #caterpillar fairy tale dream / BD1914b #cherry donut / BD1915b #love donut / BD1916b #frog travel / BD1917b #small lucky / BD1918b #love milk bean / BD1919b #cherry painting / BD1920b #Panda Eats Melon / BD1921b #Nezha Little Adventure / BD1922b #fairy tale painting / BD1923b #Mengmeng marble / BD1924b #dopamine dot / BD1925b #Golden Flash Fairy Tale / BD1926b #yellow peach bubble dream / BD1927b #Sakura Pink Sweetheart Note / BD1928b #Honeydew Melon Fun Box / BD1929b #cute little world / BD1930b #Lime Fantasia / BD1931b #fingertip travel / BD1932b #frosting universe / BD1933b #Cream Dream Drama / BD1934b #Candy Fairy Tales Collection / BD1935b #Melon Fun / BD1936b #Candy orchard / BD1937b #sweet cool party / BD1938b #Happy Tour / BD1939b #Fingertip cute friend / BD1940b #cute magic array / BD1941B #small beautiful / BD1942b #spring hat / BD1943b #sweet little universe / 1601B #peach rainbow / 1902B #Forest Party / 1903B #Starlight finger painting / 1905B #Jelly bean dot / 1906B #Fudge Belle / 1916B #Ice Crystal Bow / 1923B #Kulomie Sweetheart / 1925B #Garden Baby / 1931B #rainbow crystal / 1938B #helloKT</x:v>
      </x:c>
      <x:c r="E2037" s="25" t="str">
        <x:v>$3.49</x:v>
      </x:c>
      <x:c r="F2037" s="19" t="str">
        <x:v>1</x:v>
      </x:c>
    </x:row>
    <x:row r="2038" ht="93" customHeight="1">
      <x:c r="A2038" s="19" t="n">
        <x:v>2035</x:v>
      </x:c>
      <x:c r="B2038" s="22" t="e">
        <x:f>HYPERLINK("https://cdn.shopify.com/s/files/1/0918/6066/4603/files/1fd49f2ee26cfe1a003b6551868464fe.png?v=1755270459","Open")</x:f>
        <x:v>HYPERLINK is not implemented. linkLocation=https://cdn.shopify.com/s/files/1/0918/6066/4603/files/1fd49f2ee26cfe1a003b6551868464fe.png?v=1755270459, friendlyName=Open</x:v>
      </x:c>
      <x:c r="C2038" s="24" t="e">
        <x:f>HYPERLINK("https://365nails.com/products/nail-tips-nail-art-premium-sense-semi-frosted-french-almond-nail-short-removable-patch-fake-nail-finished-press-on-nails","Nail Art Premium Sense Semi-Frosted French Almond Nail Short Removable Patch Fake Nail Finished press on nails")</x:f>
        <x:v>HYPERLINK is not implemented. linkLocation=https://365nails.com/products/nail-tips-nail-art-premium-sense-semi-frosted-french-almond-nail-short-removable-patch-fake-nail-finished-press-on-nails, friendlyName=Nail Art Premium Sense Semi-Frosted French Almond Nail Short Removable Patch Fake Nail Finished press on nails</x:v>
      </x:c>
      <x:c r="D2038" s="18" t="str">
        <x:v>Color: YS-516A-1630 * 32 pieces / YS-516A-349683 * 32 pieces / YS-516A-349832 * 32 pieces / YS-516A-5468240-32 pieces / YS-516A-dark red * 32 pieces / YS-516A-Black * 32 pieces</x:v>
      </x:c>
      <x:c r="E2038" s="25" t="str">
        <x:v>$1.00</x:v>
      </x:c>
      <x:c r="F2038" s="19" t="str">
        <x:v>1</x:v>
      </x:c>
    </x:row>
    <x:row r="2039" ht="93" customHeight="1">
      <x:c r="A2039" s="19" t="n">
        <x:v>2036</x:v>
      </x:c>
      <x:c r="B2039" s="22" t="e">
        <x:f>HYPERLINK("https://cdn.shopify.com/s/files/1/0918/6066/4603/files/O1CN011guJCS1JOkdmtXo2F__933261019-0-cib.jpg?v=1764129695","Open")</x:f>
        <x:v>HYPERLINK is not implemented. linkLocation=https://cdn.shopify.com/s/files/1/0918/6066/4603/files/O1CN011guJCS1JOkdmtXo2F__933261019-0-cib.jpg?v=1764129695, friendlyName=Open</x:v>
      </x:c>
      <x:c r="C2039" s="24" t="e">
        <x:f>HYPERLINK("https://365nails.com/products/navy-blue-iridescent-chrome-short-almond-nail-set","Navy Blue &amp; Iridescent Chrome Short Almond Nail Set")</x:f>
        <x:v>HYPERLINK is not implemented. linkLocation=https://365nails.com/products/navy-blue-iridescent-chrome-short-almond-nail-set, friendlyName=Navy Blue &amp; Iridescent Chrome Short Almond Nail Set</x:v>
      </x:c>
      <x:c r="D2039" s="18" t="str">
        <x:v>Color: A064-NH-R-E209; Quantity: 3pcs</x:v>
      </x:c>
      <x:c r="E2039" s="25" t="str">
        <x:v>$3.24</x:v>
      </x:c>
      <x:c r="F2039" s="19" t="str">
        <x:v>1</x:v>
      </x:c>
    </x:row>
    <x:row r="2040" ht="93" customHeight="1">
      <x:c r="A2040" s="19" t="n">
        <x:v>2037</x:v>
      </x:c>
      <x:c r="B2040" s="22" t="e">
        <x:f>HYPERLINK("https://cdn.shopify.com/s/files/1/0918/6066/4603/files/O1CN01SZDz3K1v7IzqNvJzr__2218399446125-0-cib.jpg?v=1763623597","Open")</x:f>
        <x:v>HYPERLINK is not implemented. linkLocation=https://cdn.shopify.com/s/files/1/0918/6066/4603/files/O1CN01SZDz3K1v7IzqNvJzr__2218399446125-0-cib.jpg?v=1763623597, friendlyName=Open</x:v>
      </x:c>
      <x:c r="C2040" s="24" t="e">
        <x:f>HYPERLINK("https://365nails.com/products/aurora-christmas-nail-art-sticker-5d-embossed-three-dimensional-christmas-tree-snowman-diy-nail-sticker-ornament-tj","Aurora Christmas Nail Art Sticker 5D Embossed Three-dimensional Christmas Tree Snowman DIY Nail Sticker Ornament TJ")</x:f>
        <x:v>HYPERLINK is not implemented. linkLocation=https://365nails.com/products/aurora-christmas-nail-art-sticker-5d-embossed-three-dimensional-christmas-tree-snowman-diy-nail-sticker-ornament-tj, friendlyName=Aurora Christmas Nail Art Sticker 5D Embossed Three-dimensional Christmas Tree Snowman DIY Nail Sticker Ornament TJ</x:v>
      </x:c>
      <x:c r="D2040" s="18" t="str">
        <x:v>Specification type: TJ-263 / TJ-264 / TJ-267</x:v>
      </x:c>
      <x:c r="E2040" s="25" t="str">
        <x:v>$0.70</x:v>
      </x:c>
      <x:c r="F2040" s="19" t="str">
        <x:v>1</x:v>
      </x:c>
    </x:row>
    <x:row r="2041" ht="93" customHeight="1">
      <x:c r="A2041" s="19" t="n">
        <x:v>2038</x:v>
      </x:c>
      <x:c r="B2041" s="22" t="e">
        <x:f>HYPERLINK("https://cdn.shopify.com/s/files/1/0918/6066/4603/files/O1CN01euDxMq1v7J0HTmMgp__2218399446125-0-cib.jpg?v=1763623170","Open")</x:f>
        <x:v>HYPERLINK is not implemented. linkLocation=https://cdn.shopify.com/s/files/1/0918/6066/4603/files/O1CN01euDxMq1v7J0HTmMgp__2218399446125-0-cib.jpg?v=1763623170, friendlyName=Open</x:v>
      </x:c>
      <x:c r="C2041" s="24" t="e">
        <x:f>HYPERLINK("https://365nails.com/products/original-christmas-nail-art-sticker-5d-embossed-three-dimensional-happy-christmas-atmosphere-elements-diy-nail-sticker-aa","Original Christmas Nail Art Sticker 5D Embossed Three-dimensional Happy Christmas Atmosphere Elements DIY Nail Sticker AA")</x:f>
        <x:v>HYPERLINK is not implemented. linkLocation=https://365nails.com/products/original-christmas-nail-art-sticker-5d-embossed-three-dimensional-happy-christmas-atmosphere-elements-diy-nail-sticker-aa, friendlyName=Original Christmas Nail Art Sticker 5D Embossed Three-dimensional Happy Christmas Atmosphere Elements DIY Nail Sticker AA</x:v>
      </x:c>
      <x:c r="D2041" s="18" t="str">
        <x:v>Specification type: AA-7288 / AA-7289 / AA-7290 / AA-7291</x:v>
      </x:c>
      <x:c r="E2041" s="25" t="str">
        <x:v>$0.70</x:v>
      </x:c>
      <x:c r="F2041" s="19" t="str">
        <x:v>1</x:v>
      </x:c>
    </x:row>
    <x:row r="2042" ht="93" customHeight="1">
      <x:c r="A2042" s="19" t="n">
        <x:v>2039</x:v>
      </x:c>
      <x:c r="B2042" s="22" t="e">
        <x:f>HYPERLINK("https://cdn.shopify.com/s/files/1/0918/6066/4603/files/O1CN01f7YlQf1v7IzgwuQLx__2218399446125-0-cib.jpg?v=1763632027","Open")</x:f>
        <x:v>HYPERLINK is not implemented. linkLocation=https://cdn.shopify.com/s/files/1/0918/6066/4603/files/O1CN01f7YlQf1v7IzgwuQLx__2218399446125-0-cib.jpg?v=1763632027, friendlyName=Open</x:v>
      </x:c>
      <x:c r="C2042" s="24" t="e">
        <x:f>HYPERLINK("https://365nails.com/products/sanrio-christmas-series-nail-art-sticker-5d-embossed-hello-kitty-melody-kulomi-nail-sticker-ca","Sanrio Christmas Series Nail Art Sticker 5D Embossed Hello Kitty Melody Kulomi Nail Sticker CA")</x:f>
        <x:v>HYPERLINK is not implemented. linkLocation=https://365nails.com/products/sanrio-christmas-series-nail-art-sticker-5d-embossed-hello-kitty-melody-kulomi-nail-sticker-ca, friendlyName=Sanrio Christmas Series Nail Art Sticker 5D Embossed Hello Kitty Melody Kulomi Nail Sticker CA</x:v>
      </x:c>
      <x:c r="D2042" s="18" t="str">
        <x:v>Specification type: CA-6496 / CA-6497 / CA-6498 / CA-6499 / CA-6500 / CA-6501 / CA-6502 / AA-7284</x:v>
      </x:c>
      <x:c r="E2042" s="25" t="str">
        <x:v>$0.70</x:v>
      </x:c>
      <x:c r="F2042" s="19" t="str">
        <x:v>1</x:v>
      </x:c>
    </x:row>
    <x:row r="2043" ht="93" customHeight="1">
      <x:c r="A2043" s="19" t="n">
        <x:v>2040</x:v>
      </x:c>
      <x:c r="B2043" s="22" t="e">
        <x:f>HYPERLINK("https://cdn.shopify.com/s/files/1/0918/6066/4603/files/O1CN01iYI0cs1xxAtZe76Wq__2212202186509-0-cib.jpg?v=1763621419","Open")</x:f>
        <x:v>HYPERLINK is not implemented. linkLocation=https://cdn.shopify.com/s/files/1/0918/6066/4603/files/O1CN01iYI0cs1xxAtZe76Wq__2212202186509-0-cib.jpg?v=1763621419, friendlyName=Open</x:v>
      </x:c>
      <x:c r="C2043" s="24" t="e">
        <x:f>HYPERLINK("https://365nails.com/products/luxury-handbag-style-drawer-box-for-press-on-nails-elegant-gift-packaging-box","Luxury Handbag‑Style Drawer Box for Press‑On Nails – Elegant Gift Packaging Box")</x:f>
        <x:v>HYPERLINK is not implemented. linkLocation=https://365nails.com/products/luxury-handbag-style-drawer-box-for-press-on-nails-elegant-gift-packaging-box, friendlyName=Luxury Handbag‑Style Drawer Box for Press‑On Nails – Elegant Gift Packaging Box</x:v>
      </x:c>
      <x:c r="D2043" s="18" t="str">
        <x:v>Color classification: Inner diameter 9.8 * 9.5 * 3.5cm / Inner diameter 11.5 * 11.5 * 3.5cm / 9 * 9 * 2cm / 11 * 11 * 2cm; Size: Rose red single box (universal logo) / Green single box (universal logo) / Pink single box (universal logo) / Beige single box (universal logo) / Red single box (universal logo) / Orange single box (universal logo) / White single box (universal logo) / Black single box (universal logo) / Blank pink single box / Blank green single box / Blank blue single box / Blank purple single box / Blank rose red single box / Blank beige single box / Blank orange single box / Blank light green single box / Blank red single box / Blank white single box / Blank black single box / perforated sponge / non-porous sponge / Matching rose red suspension box / Matching green suspension box / Matching pink suspension box / Matching yellow suspension box / Matching black suspension box / Matching white suspension box / Matching blue suspension box / Matching purple suspension box / Matching red suspension box / Matching orange suspension box; Quantity: 20pcs</x:v>
      </x:c>
      <x:c r="E2043" s="25" t="str">
        <x:v>$1.20–$15.60</x:v>
      </x:c>
      <x:c r="F2043" s="19" t="str">
        <x:v>1</x:v>
      </x:c>
    </x:row>
    <x:row r="2044" ht="93" customHeight="1">
      <x:c r="A2044" s="19" t="n">
        <x:v>2041</x:v>
      </x:c>
      <x:c r="B2044" s="22" t="e">
        <x:f>HYPERLINK("https://cdn.shopify.com/s/files/1/0918/6066/4603/files/O1CN01zEySUQ1qQvrGaYLky__3917635491-0-cib.jpg?v=1753523024","Open")</x:f>
        <x:v>HYPERLINK is not implemented. linkLocation=https://cdn.shopify.com/s/files/1/0918/6066/4603/files/O1CN01zEySUQ1qQvrGaYLky__3917635491-0-cib.jpg?v=1753523024, friendlyName=Open</x:v>
      </x:c>
      <x:c r="C2044" s="24" t="e">
        <x:f>HYPERLINK("https://365nails.com/products/foreign-trade-purple-small-daisy-bow-french-press-on-toenails-nail-finished-product-removable-24-pieces-365nails","purpl small daisy bow Frnch   Prss-on tonails nail finishd product rmovabl 24 pics｜365nails")</x:f>
        <x:v>HYPERLINK is not implemented. linkLocation=https://365nails.com/products/foreign-trade-purple-small-daisy-bow-french-press-on-toenails-nail-finished-product-removable-24-pieces-365nails, friendlyName=purpl small daisy bow Frnch   Prss-on tonails nail finishd product rmovabl 24 pics｜365nails</x:v>
      </x:c>
      <x:c r="D2044" s="18" t="str">
        <x:v>color: F194 Romantic Flower [Glue]</x:v>
      </x:c>
      <x:c r="E2044" s="25" t="str">
        <x:v>$0.60</x:v>
      </x:c>
      <x:c r="F2044" s="19" t="str">
        <x:v>1</x:v>
      </x:c>
    </x:row>
    <x:row r="2045" ht="93" customHeight="1">
      <x:c r="A2045" s="19" t="n">
        <x:v>2042</x:v>
      </x:c>
      <x:c r="B2045" s="22" t="e">
        <x:f>HYPERLINK("https://cdn.shopify.com/s/files/1/0918/6066/4603/files/O1CN01ffS9Qj1qQvfpRAYpz__3917635491-0-cib.jpg?v=1753523202","Open")</x:f>
        <x:v>HYPERLINK is not implemented. linkLocation=https://cdn.shopify.com/s/files/1/0918/6066/4603/files/O1CN01ffS9Qj1qQvfpRAYpz__3917635491-0-cib.jpg?v=1753523202, friendlyName=Open</x:v>
      </x:c>
      <x:c r="C2045" s="24" t="e">
        <x:f>HYPERLINK("https://365nails.com/products/ina-wind-press-on-toenails-fake-nails-warm-color-solid-color-aurora-manicure-white-press-on-toenails-nail-nails-365nails","ina wind Press-on toenails fake nails warm color solid color aurora manicure white Press-on toenails nail nails｜365nails")</x:f>
        <x:v>HYPERLINK is not implemented. linkLocation=https://365nails.com/products/ina-wind-press-on-toenails-fake-nails-warm-color-solid-color-aurora-manicure-white-press-on-toenails-nail-nails-365nails, friendlyName=ina wind Press-on toenails fake nails warm color solid color aurora manicure white Press-on toenails nail nails｜365nails</x:v>
      </x:c>
      <x:c r="D2045" s="18" t="str">
        <x:v>Color: F133 Warm Aurora [Glue]</x:v>
      </x:c>
      <x:c r="E2045" s="25" t="str">
        <x:v>$0.81</x:v>
      </x:c>
      <x:c r="F2045" s="19" t="str">
        <x:v>1</x:v>
      </x:c>
    </x:row>
    <x:row r="2046" ht="93" customHeight="1">
      <x:c r="A2046" s="19" t="n">
        <x:v>2043</x:v>
      </x:c>
      <x:c r="B2046" s="22" t="e">
        <x:f>HYPERLINK("https://cdn.shopify.com/s/files/1/0918/6066/4603/files/O1CN010IPn6s1qQvdORw6h0__3917635491-0-cib.jpg?v=1753523079","Open")</x:f>
        <x:v>HYPERLINK is not implemented. linkLocation=https://cdn.shopify.com/s/files/1/0918/6066/4603/files/O1CN010IPn6s1qQvdORw6h0__3917635491-0-cib.jpg?v=1753523079, friendlyName=Open</x:v>
      </x:c>
      <x:c r="C2046" s="24" t="e">
        <x:f>HYPERLINK("https://365nails.com/products/spring-and-summer-new-products-fresh-green-leaves-safflower-gentle-girls-feet-wearing-armor-flash-solid-color-manicure-pieces-press-on-toenails-nail-wholesale-365nails","Spring and summer new products, fresh green leaves, safflower gentle girl's feet, wearing armor, flash solid color manicure pieces, Press-on toenails nail wholesale｜365nails")</x:f>
        <x:v>HYPERLINK is not implemented. linkLocation=https://365nails.com/products/spring-and-summer-new-products-fresh-green-leaves-safflower-gentle-girls-feet-wearing-armor-flash-solid-color-manicure-pieces-press-on-toenails-nail-wholesale-365nails, friendlyName=Spring and summer new products, fresh green leaves, safflower gentle girl's feet, wearing armor, flash solid color manicure pieces, Press-on toenails nail wholesale｜365nails</x:v>
      </x:c>
      <x:c r="D2046" s="18" t="str">
        <x:v>color: F087 Flower House Girl [Glue]</x:v>
      </x:c>
      <x:c r="E2046" s="25" t="str">
        <x:v>$0.91</x:v>
      </x:c>
      <x:c r="F2046" s="19" t="str">
        <x:v>1</x:v>
      </x:c>
    </x:row>
    <x:row r="2047" ht="93" customHeight="1">
      <x:c r="A2047" s="19" t="n">
        <x:v>2044</x:v>
      </x:c>
      <x:c r="B2047" s="22" t="e">
        <x:f>HYPERLINK("https://cdn.shopify.com/s/files/1/0918/6066/4603/files/O1CN01O5iEEY1qQvcqa3bEx__3917635491-0-cib.jpg?v=1753523018","Open")</x:f>
        <x:v>HYPERLINK is not implemented. linkLocation=https://cdn.shopify.com/s/files/1/0918/6066/4603/files/O1CN01O5iEEY1qQvcqa3bEx__3917635491-0-cib.jpg?v=1753523018, friendlyName=Open</x:v>
      </x:c>
      <x:c r="C2047" s="24" t="e">
        <x:f>HYPERLINK("https://365nails.com/products/sweet-and-cool-black-love-french-press-on-toenails-wear-nail-simple-diamond-nail-art-piece-press-on-toenails-special-fake-nail-365nails","Sweet and cool black love French Press-on toenails wear nail simple diamond nail art piece Press-on toenails special fake nail｜365nails")</x:f>
        <x:v>HYPERLINK is not implemented. linkLocation=https://365nails.com/products/sweet-and-cool-black-love-french-press-on-toenails-wear-nail-simple-diamond-nail-art-piece-press-on-toenails-special-fake-nail-365nails, friendlyName=Sweet and cool black love French Press-on toenails wear nail simple diamond nail art piece Press-on toenails special fake nail｜365nails</x:v>
      </x:c>
      <x:c r="D2047" s="18" t="str">
        <x:v>color: F060 Spade Love [Glue]</x:v>
      </x:c>
      <x:c r="E2047" s="25" t="str">
        <x:v>$0.91</x:v>
      </x:c>
      <x:c r="F2047" s="19" t="str">
        <x:v>1</x:v>
      </x:c>
    </x:row>
    <x:row r="2048" ht="93" customHeight="1">
      <x:c r="A2048" s="19" t="n">
        <x:v>2045</x:v>
      </x:c>
      <x:c r="B2048" s="22" t="e">
        <x:f>HYPERLINK("https://cdn.shopify.com/s/files/1/0918/6066/4603/files/37e4ef606f592c5d08536ba205dbefd8.jpg?v=1775906995","Open")</x:f>
        <x:v>HYPERLINK is not implemented. linkLocation=https://cdn.shopify.com/s/files/1/0918/6066/4603/files/37e4ef606f592c5d08536ba205dbefd8.jpg?v=1775906995, friendlyName=Open</x:v>
      </x:c>
      <x:c r="C2048" s="24" t="e">
        <x:f>HYPERLINK("https://365nails.com/products/365nails-citrus-orchard-3d-fruit-floral-handmade-almond-nails","365nails: ""Citrus Orchard"" – 3D Fruit &amp; Floral Handmade Almond Nails")</x:f>
        <x:v>HYPERLINK is not implemented. linkLocation=https://365nails.com/products/365nails-citrus-orchard-3d-fruit-floral-handmade-almond-nails, friendlyName=365nails: "Citrus Orchard" – 3D Fruit &amp; Floral Handmade Almond Nails</x:v>
      </x:c>
      <x:c r="D2048" s="18" t="str">
        <x:v>Size: XS / S / M / L</x:v>
      </x:c>
      <x:c r="E2048" s="25" t="str">
        <x:v>$3.99</x:v>
      </x:c>
      <x:c r="F2048" s="19" t="str">
        <x:v>5</x:v>
      </x:c>
    </x:row>
    <x:row r="2049" ht="93" customHeight="1">
      <x:c r="A2049" s="19" t="n">
        <x:v>2046</x:v>
      </x:c>
      <x:c r="B2049" s="22" t="e">
        <x:f>HYPERLINK("https://cdn.shopify.com/s/files/1/0918/6066/4603/files/62c6368b036277e9929a6e7bf113e1e0.jpg?v=1778318124","Open")</x:f>
        <x:v>HYPERLINK is not implemented. linkLocation=https://cdn.shopify.com/s/files/1/0918/6066/4603/files/62c6368b036277e9929a6e7bf113e1e0.jpg?v=1778318124, friendlyName=Open</x:v>
      </x:c>
      <x:c r="C2049" s="24" t="e">
        <x:f>HYPERLINK("https://365nails.com/products/365nails-crimson-celebration-3d-snowflake-bow-handmade-coffin-nails","365nails: ""Crimson Celebration"" – 3D Snowflake &amp; Bow Handmade Coffin Nails")</x:f>
        <x:v>HYPERLINK is not implemented. linkLocation=https://365nails.com/products/365nails-crimson-celebration-3d-snowflake-bow-handmade-coffin-nails, friendlyName=365nails: "Crimson Celebration" – 3D Snowflake &amp; Bow Handmade Coffin Nails</x:v>
      </x:c>
      <x:c r="D2049" s="18" t="str">
        <x:v>Size: XS / S / M / L</x:v>
      </x:c>
      <x:c r="E2049" s="25" t="str">
        <x:v>$3.99</x:v>
      </x:c>
      <x:c r="F2049" s="19" t="str">
        <x:v>5</x:v>
      </x:c>
    </x:row>
    <x:row r="2050" ht="93" customHeight="1">
      <x:c r="A2050" s="19" t="n">
        <x:v>2047</x:v>
      </x:c>
      <x:c r="B2050" s="22" t="e">
        <x:f>HYPERLINK("https://cdn.shopify.com/s/files/1/0918/6066/4603/files/ea923aea859632de605080d423bb978d.jpg?v=1772076324","Open")</x:f>
        <x:v>HYPERLINK is not implemented. linkLocation=https://cdn.shopify.com/s/files/1/0918/6066/4603/files/ea923aea859632de605080d423bb978d.jpg?v=1772076324, friendlyName=Open</x:v>
      </x:c>
      <x:c r="C2050" s="24" t="e">
        <x:f>HYPERLINK("https://365nails.com/products/rainbow-blossom-sculpted-flora-series","Sculpted Flora: ""Rainbow Blossom"" – 3D Colorful Floral &amp; Textured Shell Long Coffin Nails")</x:f>
        <x:v>HYPERLINK is not implemented. linkLocation=https://365nails.com/products/rainbow-blossom-sculpted-flora-series, friendlyName=Sculpted Flora: "Rainbow Blossom" – 3D Colorful Floral &amp; Textured Shell Long Coffin Nails</x:v>
      </x:c>
      <x:c r="D2050" s="18" t="str">
        <x:v>Size: XS / S / M / L</x:v>
      </x:c>
      <x:c r="E2050" s="25" t="str">
        <x:v>$3.99</x:v>
      </x:c>
      <x:c r="F2050" s="19" t="str">
        <x:v>5</x:v>
      </x:c>
    </x:row>
    <x:row r="2051" ht="93" customHeight="1">
      <x:c r="A2051" s="19" t="n">
        <x:v>2048</x:v>
      </x:c>
      <x:c r="B2051" s="22" t="e">
        <x:f>HYPERLINK("https://cdn.shopify.com/s/files/1/0918/6066/4603/files/19e72f60b703c.png?v=1780045344","Open")</x:f>
        <x:v>HYPERLINK is not implemented. linkLocation=https://cdn.shopify.com/s/files/1/0918/6066/4603/files/19e72f60b703c.png?v=1780045344, friendlyName=Open</x:v>
      </x:c>
      <x:c r="C2051" s="24" t="e">
        <x:f>HYPERLINK("https://365nails.com/products/golden-pearl-flora-hand-painted-floral-and-pearl-almond-nails","""Golden Pearl Flora"" - Hand-painted Floral and Pearl Almond Nails")</x:f>
        <x:v>HYPERLINK is not implemented. linkLocation=https://365nails.com/products/golden-pearl-flora-hand-painted-floral-and-pearl-almond-nails, friendlyName="Golden Pearl Flora" - Hand-painted Floral and Pearl Almond Nails</x:v>
      </x:c>
      <x:c r="D2051" s="18" t="str">
        <x:v>Size: S / M / L</x:v>
      </x:c>
      <x:c r="E2051" s="25" t="str">
        <x:v>$1.99</x:v>
      </x:c>
      <x:c r="F2051" s="19" t="str">
        <x:v>3</x:v>
      </x:c>
    </x:row>
    <x:row r="2052" ht="93" customHeight="1">
      <x:c r="A2052" s="19" t="n">
        <x:v>2049</x:v>
      </x:c>
      <x:c r="B2052" s="22" t="e">
        <x:f>HYPERLINK("https://cdn.shopify.com/s/files/1/0918/6066/4603/files/c8edce05b16ff2fe350b2f28c0551abe.jpg?v=1775305078","Open")</x:f>
        <x:v>HYPERLINK is not implemented. linkLocation=https://cdn.shopify.com/s/files/1/0918/6066/4603/files/c8edce05b16ff2fe350b2f28c0551abe.jpg?v=1775305078, friendlyName=Open</x:v>
      </x:c>
      <x:c r="C2052" s="24" t="e">
        <x:f>HYPERLINK("https://365nails.com/products/365nails-eternal-rose-3d-floral-handmade-almond-nails","365nails: ""Eternal Rose"" – 3D Floral Handmade Almond Nails")</x:f>
        <x:v>HYPERLINK is not implemented. linkLocation=https://365nails.com/products/365nails-eternal-rose-3d-floral-handmade-almond-nails, friendlyName=365nails: "Eternal Rose" – 3D Floral Handmade Almond Nails</x:v>
      </x:c>
      <x:c r="D2052" s="18" t="str">
        <x:v>Size: XS / S / M</x:v>
      </x:c>
      <x:c r="E2052" s="25" t="str">
        <x:v>$1.99</x:v>
      </x:c>
      <x:c r="F2052" s="19" t="str">
        <x:v>10</x:v>
      </x:c>
    </x:row>
    <x:row r="2053" ht="93" customHeight="1">
      <x:c r="A2053" s="19" t="n">
        <x:v>2050</x:v>
      </x:c>
      <x:c r="B2053" s="22" t="e">
        <x:f>HYPERLINK("https://cdn.shopify.com/s/files/1/0918/6066/4603/files/O1CN015xakVO2MQzdZli0f6__2219089449823-0-cib.jpg?v=1767852204","Open")</x:f>
        <x:v>HYPERLINK is not implemented. linkLocation=https://cdn.shopify.com/s/files/1/0918/6066/4603/files/O1CN015xakVO2MQzdZli0f6__2219089449823-0-cib.jpg?v=1767852204, friendlyName=Open</x:v>
      </x:c>
      <x:c r="C2053" s="24" t="e">
        <x:f>HYPERLINK("https://365nails.com/products/rainbow-crystal-glass-press-on-nails","Rainbow Crystal Glass Press On Nails")</x:f>
        <x:v>HYPERLINK is not implemented. linkLocation=https://365nails.com/products/rainbow-crystal-glass-press-on-nails, friendlyName=Rainbow Crystal Glass Press On Nails</x:v>
      </x:c>
      <x:c r="D2053" s="18" t="str">
        <x:v>Color: N004; Color classification: XS / S / M / L; Length: 4cm</x:v>
      </x:c>
      <x:c r="E2053" s="25" t="str">
        <x:v>$6.99</x:v>
      </x:c>
      <x:c r="F2053" s="19" t="str">
        <x:v>1</x:v>
      </x:c>
    </x:row>
    <x:row r="2054" ht="93" customHeight="1">
      <x:c r="A2054" s="19" t="n">
        <x:v>2051</x:v>
      </x:c>
      <x:c r="B2054" s="22" t="e">
        <x:f>HYPERLINK("https://cdn.shopify.com/s/files/1/0918/6066/4603/files/O1CN01cxaupU2MQzdfsUgjy__2219089449823-0-cib_cd7127a5-16a3-41e5-80a5-97280458efa6.jpg?v=1767947116","Open")</x:f>
        <x:v>HYPERLINK is not implemented. linkLocation=https://cdn.shopify.com/s/files/1/0918/6066/4603/files/O1CN01cxaupU2MQzdfsUgjy__2219089449823-0-cib_cd7127a5-16a3-41e5-80a5-97280458efa6.jpg?v=1767947116, friendlyName=Open</x:v>
      </x:c>
      <x:c r="C2054" s="24" t="e">
        <x:f>HYPERLINK("https://365nails.com/products/blush-pink-crystal-minimal-glam-press-on-nails","Blush Pink Crystal Minimal Glam Press On Nails")</x:f>
        <x:v>HYPERLINK is not implemented. linkLocation=https://365nails.com/products/blush-pink-crystal-minimal-glam-press-on-nails, friendlyName=Blush Pink Crystal Minimal Glam Press On Nails</x:v>
      </x:c>
      <x:c r="D2054" s="18" t="str">
        <x:v>Color: L210; Color classification: S / M / L; Length: 5cm</x:v>
      </x:c>
      <x:c r="E2054" s="25" t="str">
        <x:v>$4.99</x:v>
      </x:c>
      <x:c r="F2054" s="19" t="str">
        <x:v>1</x:v>
      </x:c>
    </x:row>
    <x:row r="2055" ht="93" customHeight="1">
      <x:c r="A2055" s="19" t="n">
        <x:v>2052</x:v>
      </x:c>
      <x:c r="B2055" s="22" t="e">
        <x:f>HYPERLINK("https://cdn.shopify.com/s/files/1/0918/6066/4603/files/O1CN01DQxiM22MQzdzkWuc3__2219089449823-0-cib.jpg?v=1774097040","Open")</x:f>
        <x:v>HYPERLINK is not implemented. linkLocation=https://cdn.shopify.com/s/files/1/0918/6066/4603/files/O1CN01DQxiM22MQzdzkWuc3__2219089449823-0-cib.jpg?v=1774097040, friendlyName=Open</x:v>
      </x:c>
      <x:c r="C2055" s="24" t="e">
        <x:f>HYPERLINK("https://365nails.com/products/wild-bloom-leopard-lily-almond-press-ons","Wild Bloom: ""Leopard Lily"" – Almond Press-Ons")</x:f>
        <x:v>HYPERLINK is not implemented. linkLocation=https://365nails.com/products/wild-bloom-leopard-lily-almond-press-ons, friendlyName=Wild Bloom: "Leopard Lily" – Almond Press-Ons</x:v>
      </x:c>
      <x:c r="D2055" s="18" t="str">
        <x:v>Color: D415; Color classification: X s / S / M / L</x:v>
      </x:c>
      <x:c r="E2055" s="25" t="str">
        <x:v>$3.99</x:v>
      </x:c>
      <x:c r="F2055" s="19" t="str">
        <x:v>1</x:v>
      </x:c>
    </x:row>
    <x:row r="2056" ht="93" customHeight="1">
      <x:c r="A2056" s="19" t="n">
        <x:v>2053</x:v>
      </x:c>
      <x:c r="B2056" s="22" t="e">
        <x:f>HYPERLINK("https://cdn.shopify.com/s/files/1/0918/6066/4603/files/O1CN01owwFvZ2MQzeqnYxC5__2219089449823-0-cib_bed5cc2c-6c97-4249-a7d9-66a70eba5344.jpg?v=1767947372","Open")</x:f>
        <x:v>HYPERLINK is not implemented. linkLocation=https://cdn.shopify.com/s/files/1/0918/6066/4603/files/O1CN01owwFvZ2MQzeqnYxC5__2219089449823-0-cib_bed5cc2c-6c97-4249-a7d9-66a70eba5344.jpg?v=1767947372, friendlyName=Open</x:v>
      </x:c>
      <x:c r="C2056" s="24" t="e">
        <x:f>HYPERLINK("https://365nails.com/products/sweet-heart-kiss-graphic-press-on-nails","Sweet Heart Kiss Graphic Press On Nails")</x:f>
        <x:v>HYPERLINK is not implemented. linkLocation=https://365nails.com/products/sweet-heart-kiss-graphic-press-on-nails, friendlyName=Sweet Heart Kiss Graphic Press On Nails</x:v>
      </x:c>
      <x:c r="D2056" s="18" t="str">
        <x:v>Color: M061; Color classification: S / M / L; Length: 5cm</x:v>
      </x:c>
      <x:c r="E2056" s="25" t="str">
        <x:v>$5.99</x:v>
      </x:c>
      <x:c r="F2056" s="19" t="str">
        <x:v>1</x:v>
      </x:c>
    </x:row>
    <x:row r="2057" ht="93" customHeight="1">
      <x:c r="A2057" s="19" t="n">
        <x:v>2054</x:v>
      </x:c>
      <x:c r="B2057" s="22" t="e">
        <x:f>HYPERLINK("https://cdn.shopify.com/s/files/1/0918/6066/4603/files/O1CN01G4LoS32MQzfVmXbII__2219089449823-0-cib.jpg?v=1767851913","Open")</x:f>
        <x:v>HYPERLINK is not implemented. linkLocation=https://cdn.shopify.com/s/files/1/0918/6066/4603/files/O1CN01G4LoS32MQzfVmXbII__2219089449823-0-cib.jpg?v=1767851913, friendlyName=Open</x:v>
      </x:c>
      <x:c r="C2057" s="24" t="e">
        <x:f>HYPERLINK("https://365nails.com/products/ocean-wave-cat-eye-shell-press-on-nails","Ocean Wave Cat Eye Shell Press On Nails")</x:f>
        <x:v>HYPERLINK is not implemented. linkLocation=https://365nails.com/products/ocean-wave-cat-eye-shell-press-on-nails, friendlyName=Ocean Wave Cat Eye Shell Press On Nails</x:v>
      </x:c>
      <x:c r="D2057" s="18" t="str">
        <x:v>Color: D625; Color classification: XS / S / M / L</x:v>
      </x:c>
      <x:c r="E2057" s="25" t="str">
        <x:v>$3.49</x:v>
      </x:c>
      <x:c r="F2057" s="19" t="str">
        <x:v>1</x:v>
      </x:c>
    </x:row>
    <x:row r="2058" ht="93" customHeight="1">
      <x:c r="A2058" s="19" t="n">
        <x:v>2055</x:v>
      </x:c>
      <x:c r="B2058" s="22" t="e">
        <x:f>HYPERLINK("https://cdn.shopify.com/s/files/1/0918/6066/4603/files/O1CN01a4iog32MQzeY39fJZ__2219089449823-0-cib.jpg?v=1774178666","Open")</x:f>
        <x:v>HYPERLINK is not implemented. linkLocation=https://cdn.shopify.com/s/files/1/0918/6066/4603/files/O1CN01a4iog32MQzeY39fJZ__2219089449823-0-cib.jpg?v=1774178666, friendlyName=Open</x:v>
      </x:c>
      <x:c r="C2058" s="24" t="e">
        <x:f>HYPERLINK("https://365nails.com/products/fresh-green-floral-series-spring-bud-bloom-almond-handmade-press-on-nails","Fresh Green Floral Series: ""Spring Bud Bloom"" – Almond Handmade Press-on Nails")</x:f>
        <x:v>HYPERLINK is not implemented. linkLocation=https://365nails.com/products/fresh-green-floral-series-spring-bud-bloom-almond-handmade-press-on-nails, friendlyName=Fresh Green Floral Series: "Spring Bud Bloom" – Almond Handmade Press-on Nails</x:v>
      </x:c>
      <x:c r="D2058" s="18" t="str">
        <x:v>Color: D559; Color classification: X s / S / M / L</x:v>
      </x:c>
      <x:c r="E2058" s="25" t="str">
        <x:v>$3.49</x:v>
      </x:c>
      <x:c r="F2058" s="19" t="str">
        <x:v>1</x:v>
      </x:c>
    </x:row>
    <x:row r="2059" ht="93" customHeight="1">
      <x:c r="A2059" s="19" t="n">
        <x:v>2056</x:v>
      </x:c>
      <x:c r="B2059" s="22" t="e">
        <x:f>HYPERLINK("https://cdn.shopify.com/s/files/1/0918/6066/4603/files/O1CN01J1y4yD2MQzeTN54nl__2219089449823-0-cib.jpg?v=1774178658","Open")</x:f>
        <x:v>HYPERLINK is not implemented. linkLocation=https://cdn.shopify.com/s/files/1/0918/6066/4603/files/O1CN01J1y4yD2MQzeTN54nl__2219089449823-0-cib.jpg?v=1774178658, friendlyName=Open</x:v>
      </x:c>
      <x:c r="C2059" s="24" t="e">
        <x:f>HYPERLINK("https://365nails.com/products/spring-bloom-series-butterfly-lemonade-almond-handmade-press-on-nails","Spring Bloom Series: ""Butterfly Lemonade"" – Almond Handmade Press-on Nails")</x:f>
        <x:v>HYPERLINK is not implemented. linkLocation=https://365nails.com/products/spring-bloom-series-butterfly-lemonade-almond-handmade-press-on-nails, friendlyName=Spring Bloom Series: "Butterfly Lemonade" – Almond Handmade Press-on Nails</x:v>
      </x:c>
      <x:c r="D2059" s="18" t="str">
        <x:v>Color: D539; Color classification: X s / S / M / L</x:v>
      </x:c>
      <x:c r="E2059" s="25" t="str">
        <x:v>$3.49</x:v>
      </x:c>
      <x:c r="F2059" s="19" t="str">
        <x:v>1</x:v>
      </x:c>
    </x:row>
    <x:row r="2060" ht="93" customHeight="1">
      <x:c r="A2060" s="19" t="n">
        <x:v>2057</x:v>
      </x:c>
      <x:c r="B2060" s="22" t="e">
        <x:f>HYPERLINK("https://cdn.shopify.com/s/files/1/0918/6066/4603/files/O1CN015ecpLo2MQzeTOWhIr__2219089449823-0-cib.jpg?v=1774178649","Open")</x:f>
        <x:v>HYPERLINK is not implemented. linkLocation=https://cdn.shopify.com/s/files/1/0918/6066/4603/files/O1CN015ecpLo2MQzeTOWhIr__2219089449823-0-cib.jpg?v=1774178649, friendlyName=Open</x:v>
      </x:c>
      <x:c r="C2060" s="24" t="e">
        <x:f>HYPERLINK("https://365nails.com/products/crimson-bloom-series-scarlet-lily-almond-handmade-press-on-nails","Crimson Bloom Series: ""Scarlet Lily"" – Almond Handmade Press-on Nails")</x:f>
        <x:v>HYPERLINK is not implemented. linkLocation=https://365nails.com/products/crimson-bloom-series-scarlet-lily-almond-handmade-press-on-nails, friendlyName=Crimson Bloom Series: "Scarlet Lily" – Almond Handmade Press-on Nails</x:v>
      </x:c>
      <x:c r="D2060" s="18" t="str">
        <x:v>Color: D537; Color classification: X s / S / M / L</x:v>
      </x:c>
      <x:c r="E2060" s="25" t="str">
        <x:v>$3.49</x:v>
      </x:c>
      <x:c r="F2060" s="19" t="str">
        <x:v>1</x:v>
      </x:c>
    </x:row>
    <x:row r="2061" ht="93" customHeight="1">
      <x:c r="A2061" s="19" t="n">
        <x:v>2058</x:v>
      </x:c>
      <x:c r="B2061" s="22" t="e">
        <x:f>HYPERLINK("https://cdn.shopify.com/s/files/1/0918/6066/4603/files/O1CN01o3mdFh2MQzeTM4szr__2219089449823-0-cib.jpg?v=1774178653","Open")</x:f>
        <x:v>HYPERLINK is not implemented. linkLocation=https://cdn.shopify.com/s/files/1/0918/6066/4603/files/O1CN01o3mdFh2MQzeTM4szr__2219089449823-0-cib.jpg?v=1774178653, friendlyName=Open</x:v>
      </x:c>
      <x:c r="C2061" s="24" t="e">
        <x:f>HYPERLINK("https://365nails.com/products/beach-vacation-series-tropical-flip-flop-almond-handmade-press-on-nails","Beach Vacation Series: ""Tropical Flip Flop"" – Almond Handmade Press-on Nails")</x:f>
        <x:v>HYPERLINK is not implemented. linkLocation=https://365nails.com/products/beach-vacation-series-tropical-flip-flop-almond-handmade-press-on-nails, friendlyName=Beach Vacation Series: "Tropical Flip Flop" – Almond Handmade Press-on Nails</x:v>
      </x:c>
      <x:c r="D2061" s="18" t="str">
        <x:v>Color: D403; Color classification: X s / S / M / L</x:v>
      </x:c>
      <x:c r="E2061" s="25" t="str">
        <x:v>$3.49</x:v>
      </x:c>
      <x:c r="F2061" s="19" t="str">
        <x:v>1</x:v>
      </x:c>
    </x:row>
    <x:row r="2062" ht="93" customHeight="1">
      <x:c r="A2062" s="19" t="n">
        <x:v>2059</x:v>
      </x:c>
      <x:c r="B2062" s="22" t="e">
        <x:f>HYPERLINK("https://cdn.shopify.com/s/files/1/0918/6066/4603/files/O1CN01uETBqA2MQzcVDtMHG__2219089449823-0-cib.jpg?v=1774065866","Open")</x:f>
        <x:v>HYPERLINK is not implemented. linkLocation=https://cdn.shopify.com/s/files/1/0918/6066/4603/files/O1CN01uETBqA2MQzcVDtMHG__2219089449823-0-cib.jpg?v=1774065866, friendlyName=Open</x:v>
      </x:c>
      <x:c r="C2062" s="24" t="e">
        <x:f>HYPERLINK("https://365nails.com/products/lotus-whisper-3d-ice-lotus-medium-almond-handmade-nails","365nails-Lotus Whisper: ""3D Ice Lotus"" – Medium Almond Handmade Nails")</x:f>
        <x:v>HYPERLINK is not implemented. linkLocation=https://365nails.com/products/lotus-whisper-3d-ice-lotus-medium-almond-handmade-nails, friendlyName=365nails-Lotus Whisper: "3D Ice Lotus" – Medium Almond Handmade Nails</x:v>
      </x:c>
      <x:c r="D2062" s="18" t="str">
        <x:v>Color: D–250; Color classification: X s / S / M / L</x:v>
      </x:c>
      <x:c r="E2062" s="25" t="str">
        <x:v>$3.99</x:v>
      </x:c>
      <x:c r="F2062" s="19" t="str">
        <x:v>1</x:v>
      </x:c>
    </x:row>
    <x:row r="2063" ht="93" customHeight="1">
      <x:c r="A2063" s="19" t="n">
        <x:v>2060</x:v>
      </x:c>
      <x:c r="B2063" s="22" t="e">
        <x:f>HYPERLINK("https://cdn.shopify.com/s/files/1/0918/6066/4603/files/O1CN01wDYnyq2MQzeJJ5lRf__2219089449823-0-cib.jpg?v=1774178628","Open")</x:f>
        <x:v>HYPERLINK is not implemented. linkLocation=https://cdn.shopify.com/s/files/1/0918/6066/4603/files/O1CN01wDYnyq2MQzeJJ5lRf__2219089449823-0-cib.jpg?v=1774178628, friendlyName=Open</x:v>
      </x:c>
      <x:c r="C2063" s="24" t="e">
        <x:f>HYPERLINK("https://365nails.com/products/ocean-breeze-series-seashell-starfish-almond-handmade-press-on-nails","Ocean Breeze Series: ""Seashell Starfish"" – Almond Handmade Press-on Nails")</x:f>
        <x:v>HYPERLINK is not implemented. linkLocation=https://365nails.com/products/ocean-breeze-series-seashell-starfish-almond-handmade-press-on-nails, friendlyName=Ocean Breeze Series: "Seashell Starfish" – Almond Handmade Press-on Nails</x:v>
      </x:c>
      <x:c r="D2063" s="18" t="str">
        <x:v>Color: D550s; Color classification: X s / S / M / L</x:v>
      </x:c>
      <x:c r="E2063" s="25" t="str">
        <x:v>$3.49</x:v>
      </x:c>
      <x:c r="F2063" s="19" t="str">
        <x:v>1</x:v>
      </x:c>
    </x:row>
    <x:row r="2064" ht="93" customHeight="1">
      <x:c r="A2064" s="19" t="n">
        <x:v>2061</x:v>
      </x:c>
      <x:c r="B2064" s="22" t="e">
        <x:f>HYPERLINK("https://cdn.shopify.com/s/files/1/0918/6066/4603/files/O1CN01tsch6Y2MQzexlQlfp__2219089449823-0-cib_678cc70d-ee58-43b1-8296-0a50dd9e2bf2.jpg?v=1767946599","Open")</x:f>
        <x:v>HYPERLINK is not implemented. linkLocation=https://cdn.shopify.com/s/files/1/0918/6066/4603/files/O1CN01tsch6Y2MQzexlQlfp__2219089449823-0-cib_678cc70d-ee58-43b1-8296-0a50dd9e2bf2.jpg?v=1767946599, friendlyName=Open</x:v>
      </x:c>
      <x:c r="C2064" s="24" t="e">
        <x:f>HYPERLINK("https://365nails.com/products/blue-floral-sculpted-art-crystal-statement-press-on-nails","Blue Floral Sculpted Art Crystal Statement Press On Nails")</x:f>
        <x:v>HYPERLINK is not implemented. linkLocation=https://365nails.com/products/blue-floral-sculpted-art-crystal-statement-press-on-nails, friendlyName=Blue Floral Sculpted Art Crystal Statement Press On Nails</x:v>
      </x:c>
      <x:c r="D2064" s="18" t="str">
        <x:v>Color: O003; Color classification: XS / S / M / L; Length: 4cm</x:v>
      </x:c>
      <x:c r="E2064" s="25" t="str">
        <x:v>$13.49</x:v>
      </x:c>
      <x:c r="F2064" s="19" t="str">
        <x:v>1</x:v>
      </x:c>
    </x:row>
    <x:row r="2065" ht="93" customHeight="1">
      <x:c r="A2065" s="19" t="n">
        <x:v>2062</x:v>
      </x:c>
      <x:c r="B2065" s="22" t="e">
        <x:f>HYPERLINK("https://cdn.shopify.com/s/files/1/0918/6066/4603/files/O1CN01ZA2gXY2MQzdzSsSa9__2219089449823-0-cib_a4f55d7f-eb60-458d-833a-c04544ff03c8.jpg?v=1767946390","Open")</x:f>
        <x:v>HYPERLINK is not implemented. linkLocation=https://cdn.shopify.com/s/files/1/0918/6066/4603/files/O1CN01ZA2gXY2MQzdzSsSa9__2219089449823-0-cib_a4f55d7f-eb60-458d-833a-c04544ff03c8.jpg?v=1767946390, friendlyName=Open</x:v>
      </x:c>
      <x:c r="C2065" s="24" t="e">
        <x:f>HYPERLINK("https://365nails.com/products/strawberry-cherry-milk-press-on-nails","Strawberry Cherry Milk Press On Nails")</x:f>
        <x:v>HYPERLINK is not implemented. linkLocation=https://365nails.com/products/strawberry-cherry-milk-press-on-nails, friendlyName=Strawberry Cherry Milk Press On Nails</x:v>
      </x:c>
      <x:c r="D2065" s="18" t="str">
        <x:v>Color: Jsa01; Color classification: S / M / L; Length: 4cm</x:v>
      </x:c>
      <x:c r="E2065" s="25" t="str">
        <x:v>$5.99</x:v>
      </x:c>
      <x:c r="F2065" s="19" t="str">
        <x:v>1</x:v>
      </x:c>
    </x:row>
    <x:row r="2066" ht="93" customHeight="1">
      <x:c r="A2066" s="19" t="n">
        <x:v>2063</x:v>
      </x:c>
      <x:c r="B2066" s="22" t="e">
        <x:f>HYPERLINK("https://cdn.shopify.com/s/files/1/0918/6066/4603/files/O1CN01HN6UIa2MQze3tMrEP__2219089449823-0-cib_dcc41a5e-9129-4cc2-aaee-15d0764245e7.jpg?v=1767946324","Open")</x:f>
        <x:v>HYPERLINK is not implemented. linkLocation=https://cdn.shopify.com/s/files/1/0918/6066/4603/files/O1CN01HN6UIa2MQze3tMrEP__2219089449823-0-cib_dcc41a5e-9129-4cc2-aaee-15d0764245e7.jpg?v=1767946324, friendlyName=Open</x:v>
      </x:c>
      <x:c r="C2066" s="24" t="e">
        <x:f>HYPERLINK("https://365nails.com/products/icy-blue-minimal-heart-press-on-nails","Icy Blue Minimal Heart Press On Nails")</x:f>
        <x:v>HYPERLINK is not implemented. linkLocation=https://365nails.com/products/icy-blue-minimal-heart-press-on-nails, friendlyName=Icy Blue Minimal Heart Press On Nails</x:v>
      </x:c>
      <x:c r="D2066" s="18" t="str">
        <x:v>Color: Jsa02; Color classification: S / M / L; Length: 4cm</x:v>
      </x:c>
      <x:c r="E2066" s="25" t="str">
        <x:v>$5.99</x:v>
      </x:c>
      <x:c r="F2066" s="19" t="str">
        <x:v>1</x:v>
      </x:c>
    </x:row>
    <x:row r="2067" ht="93" customHeight="1">
      <x:c r="A2067" s="19" t="n">
        <x:v>2064</x:v>
      </x:c>
      <x:c r="B2067" s="22" t="e">
        <x:f>HYPERLINK("https://cdn.shopify.com/s/files/1/0918/6066/4603/files/O1CN01wjBJ962MQzdh8ua5c__2219089449823-0-cib_3cd3e221-6faf-48d2-bf6a-eeff1da997be.jpg?v=1767943988","Open")</x:f>
        <x:v>HYPERLINK is not implemented. linkLocation=https://cdn.shopify.com/s/files/1/0918/6066/4603/files/O1CN01wjBJ962MQzdh8ua5c__2219089449823-0-cib_3cd3e221-6faf-48d2-bf6a-eeff1da997be.jpg?v=1767943988, friendlyName=Open</x:v>
      </x:c>
      <x:c r="C2067" s="24" t="e">
        <x:f>HYPERLINK("https://365nails.com/products/cherry-bow-pearl-sweet-gradient-press-on-nails","Cherry Bow Pearl Sweet Gradient Press On Nails")</x:f>
        <x:v>HYPERLINK is not implemented. linkLocation=https://365nails.com/products/cherry-bow-pearl-sweet-gradient-press-on-nails, friendlyName=Cherry Bow Pearl Sweet Gradient Press On Nails</x:v>
      </x:c>
      <x:c r="D2067" s="18" t="str">
        <x:v>Color: Jsa17; Color classification: S / M / L; Length: 3cm</x:v>
      </x:c>
      <x:c r="E2067" s="25" t="str">
        <x:v>$5.99</x:v>
      </x:c>
      <x:c r="F2067" s="19" t="str">
        <x:v>1</x:v>
      </x:c>
    </x:row>
    <x:row r="2068" ht="93" customHeight="1">
      <x:c r="A2068" s="19" t="n">
        <x:v>2065</x:v>
      </x:c>
      <x:c r="B2068" s="22" t="e">
        <x:f>HYPERLINK("https://cdn.shopify.com/s/files/1/0918/6066/4603/files/O1CN01Br2PG02NGI0n01RkG__4234819935-0-cib.jpg?v=1763445096","Open")</x:f>
        <x:v>HYPERLINK is not implemented. linkLocation=https://cdn.shopify.com/s/files/1/0918/6066/4603/files/O1CN01Br2PG02NGI0n01RkG__4234819935-0-cib.jpg?v=1763445096, friendlyName=Open</x:v>
      </x:c>
      <x:c r="C2068" s="24" t="e">
        <x:f>HYPERLINK("https://365nails.com/products/soft-clear-glitter-square-press-on-nails-style","Soft Clear Glitter Square Press On Nails Style")</x:f>
        <x:v>HYPERLINK is not implemented. linkLocation=https://365nails.com/products/soft-clear-glitter-square-press-on-nails-style, friendlyName=Soft Clear Glitter Square Press On Nails Style</x:v>
      </x:c>
      <x:c r="D2068" s="18" t="str">
        <x:v>Color: JL0705</x:v>
      </x:c>
      <x:c r="E2068" s="25" t="str">
        <x:v>$1.70</x:v>
      </x:c>
      <x:c r="F2068" s="19" t="str">
        <x:v>1</x:v>
      </x:c>
    </x:row>
    <x:row r="2069" ht="93" customHeight="1">
      <x:c r="A2069" s="19" t="n">
        <x:v>2066</x:v>
      </x:c>
      <x:c r="B2069" s="22" t="e">
        <x:f>HYPERLINK("https://cdn.shopify.com/s/files/1/0918/6066/4603/files/O1CN01X4RDwT2NGI0cVUVQN__4234819935-0-cib.jpg?v=1763444853","Open")</x:f>
        <x:v>HYPERLINK is not implemented. linkLocation=https://cdn.shopify.com/s/files/1/0918/6066/4603/files/O1CN01X4RDwT2NGI0cVUVQN__4234819935-0-cib.jpg?v=1763444853, friendlyName=Open</x:v>
      </x:c>
      <x:c r="C2069" s="24" t="e">
        <x:f>HYPERLINK("https://365nails.com/products/nude-bow-accent-nails-with-silver-crystal-details","Nude Bow Accent Nails with Silver Crystal Details")</x:f>
        <x:v>HYPERLINK is not implemented. linkLocation=https://365nails.com/products/nude-bow-accent-nails-with-silver-crystal-details, friendlyName=Nude Bow Accent Nails with Silver Crystal Details</x:v>
      </x:c>
      <x:c r="D2069" s="18" t="str">
        <x:v>Color: JP4060</x:v>
      </x:c>
      <x:c r="E2069" s="25" t="str">
        <x:v>$1.76</x:v>
      </x:c>
      <x:c r="F2069" s="19" t="str">
        <x:v>1</x:v>
      </x:c>
    </x:row>
    <x:row r="2070" ht="93" customHeight="1">
      <x:c r="A2070" s="19" t="n">
        <x:v>2067</x:v>
      </x:c>
      <x:c r="B2070" s="22" t="e">
        <x:f>HYPERLINK("https://cdn.shopify.com/s/files/1/0918/6066/4603/files/O1CN01fH5Jdk27ZUlEDzxl1__2220024697811-0-cib.jpg?v=1774926343","Open")</x:f>
        <x:v>HYPERLINK is not implemented. linkLocation=https://cdn.shopify.com/s/files/1/0918/6066/4603/files/O1CN01fH5Jdk27ZUlEDzxl1__2220024697811-0-cib.jpg?v=1774926343, friendlyName=Open</x:v>
      </x:c>
      <x:c r="C2070" s="24" t="e">
        <x:f>HYPERLINK("https://365nails.com/products/365nails-winters-enchantment-christmas-holiday-handmade-coffin-nails","365nails: ""Winter's Enchantment"" – Christmas Holiday Handmade Coffin Nails")</x:f>
        <x:v>HYPERLINK is not implemented. linkLocation=https://365nails.com/products/365nails-winters-enchantment-christmas-holiday-handmade-coffin-nails, friendlyName=365nails: "Winter's Enchantment" – Christmas Holiday Handmade Coffin Nails</x:v>
      </x:c>
      <x:c r="D2070" s="18" t="str">
        <x:v>Color: Almond; Color classification: Xs / S / M / L</x:v>
      </x:c>
      <x:c r="E2070" s="25" t="str">
        <x:v>$4.99</x:v>
      </x:c>
      <x:c r="F2070" s="19" t="str">
        <x:v>3</x:v>
      </x:c>
    </x:row>
    <x:row r="2071" ht="93" customHeight="1">
      <x:c r="A2071" s="19" t="n">
        <x:v>2068</x:v>
      </x:c>
      <x:c r="B2071" s="22" t="e">
        <x:f>HYPERLINK("https://cdn.shopify.com/s/files/1/0918/6066/4603/files/f43f1fea4d22573465a202f9fed3b9e6.jpg?v=1777516446","Open")</x:f>
        <x:v>HYPERLINK is not implemented. linkLocation=https://cdn.shopify.com/s/files/1/0918/6066/4603/files/f43f1fea4d22573465a202f9fed3b9e6.jpg?v=1777516446, friendlyName=Open</x:v>
      </x:c>
      <x:c r="C2071" s="24" t="e">
        <x:f>HYPERLINK("https://365nails.com/products/365nails-gothic-red-skeleton-hand-rose-handmade-press-on-pedicure","365nails: ""Gothic Red Skeleton Hand Rose"" – handmade press-on nails")</x:f>
        <x:v>HYPERLINK is not implemented. linkLocation=https://365nails.com/products/365nails-gothic-red-skeleton-hand-rose-handmade-press-on-pedicure, friendlyName=365nails: "Gothic Red Skeleton Hand Rose" – handmade press-on nails</x:v>
      </x:c>
      <x:c r="D2071" s="18" t="str">
        <x:v>Size: XS / S / M / L</x:v>
      </x:c>
      <x:c r="E2071" s="25" t="str">
        <x:v>$4.99</x:v>
      </x:c>
      <x:c r="F2071" s="19" t="str">
        <x:v>3</x:v>
      </x:c>
    </x:row>
    <x:row r="2072" ht="93" customHeight="1">
      <x:c r="A2072" s="19" t="n">
        <x:v>2069</x:v>
      </x:c>
      <x:c r="B2072" s="22" t="e">
        <x:f>HYPERLINK("https://cdn.shopify.com/s/files/1/0918/6066/4603/files/ceadaf213b25b6b7488aa0568ecec2a7.jpg?v=1775374863","Open")</x:f>
        <x:v>HYPERLINK is not implemented. linkLocation=https://cdn.shopify.com/s/files/1/0918/6066/4603/files/ceadaf213b25b6b7488aa0568ecec2a7.jpg?v=1775374863, friendlyName=Open</x:v>
      </x:c>
      <x:c r="C2072" s="24" t="e">
        <x:f>HYPERLINK("https://365nails.com/products/365nails-red-silver-metal-metallic-lava-handmade-stiletto-nails","365nails: ""Red Silver Metal"" – Metallic Lava Handmade Stiletto Nails")</x:f>
        <x:v>HYPERLINK is not implemented. linkLocation=https://365nails.com/products/365nails-red-silver-metal-metallic-lava-handmade-stiletto-nails, friendlyName=365nails: "Red Silver Metal" – Metallic Lava Handmade Stiletto Nails</x:v>
      </x:c>
      <x:c r="D2072" s="18" t="str">
        <x:v>Size: XS / S / M / L</x:v>
      </x:c>
      <x:c r="E2072" s="25" t="str">
        <x:v>$3.99</x:v>
      </x:c>
      <x:c r="F2072" s="19" t="str">
        <x:v>5</x:v>
      </x:c>
    </x:row>
    <x:row r="2073" ht="93" customHeight="1">
      <x:c r="A2073" s="19" t="n">
        <x:v>2070</x:v>
      </x:c>
      <x:c r="B2073" s="22" t="e">
        <x:f>HYPERLINK("https://cdn.shopify.com/s/files/1/0918/6066/4603/files/4cf03efd5567e6c3e56a1edcd0570a1f.jpg?v=1777800081","Open")</x:f>
        <x:v>HYPERLINK is not implemented. linkLocation=https://cdn.shopify.com/s/files/1/0918/6066/4603/files/4cf03efd5567e6c3e56a1edcd0570a1f.jpg?v=1777800081, friendlyName=Open</x:v>
      </x:c>
      <x:c r="C2073" s="24" t="e">
        <x:f>HYPERLINK("https://365nails.com/products/365nails-christmas-candy-cane-bow-mix-handmade-medium-stiletto-press-on-nails","365nails: ""Christmas Candy Cane Bow Mix"" – Handmade Medium Stiletto Press-On Nails")</x:f>
        <x:v>HYPERLINK is not implemented. linkLocation=https://365nails.com/products/365nails-christmas-candy-cane-bow-mix-handmade-medium-stiletto-press-on-nails, friendlyName=365nails: "Christmas Candy Cane Bow Mix" – Handmade Medium Stiletto Press-On Nails</x:v>
      </x:c>
      <x:c r="D2073" s="18" t="str">
        <x:v>Size: XS / S / M / L</x:v>
      </x:c>
      <x:c r="E2073" s="25" t="str">
        <x:v>$3.49</x:v>
      </x:c>
      <x:c r="F2073" s="19" t="str">
        <x:v>5</x:v>
      </x:c>
    </x:row>
    <x:row r="2074" ht="93" customHeight="1">
      <x:c r="A2074" s="19" t="n">
        <x:v>2071</x:v>
      </x:c>
      <x:c r="B2074" s="22" t="e">
        <x:f>HYPERLINK("https://cdn.shopify.com/s/files/1/0918/6066/4603/files/2ce6af10bc06d4792fbf4227a0eefa38.jpg?v=1777456182","Open")</x:f>
        <x:v>HYPERLINK is not implemented. linkLocation=https://cdn.shopify.com/s/files/1/0918/6066/4603/files/2ce6af10bc06d4792fbf4227a0eefa38.jpg?v=1777456182, friendlyName=Open</x:v>
      </x:c>
      <x:c r="C2074" s="24" t="e">
        <x:f>HYPERLINK("https://365nails.com/products/365nails-gothic-red-skull-spider-skeleton-handmade-press-on-pedicure","365nails: ""Gothic Red Skull Spider Skeleton"" – handmade press-on nails")</x:f>
        <x:v>HYPERLINK is not implemented. linkLocation=https://365nails.com/products/365nails-gothic-red-skull-spider-skeleton-handmade-press-on-pedicure, friendlyName=365nails: "Gothic Red Skull Spider Skeleton" – handmade press-on nails</x:v>
      </x:c>
      <x:c r="D2074" s="18" t="str">
        <x:v>Size: XS / S / M / L</x:v>
      </x:c>
      <x:c r="E2074" s="25" t="str">
        <x:v>$4.99</x:v>
      </x:c>
      <x:c r="F2074" s="19" t="str">
        <x:v>3</x:v>
      </x:c>
    </x:row>
    <x:row r="2075" ht="93" customHeight="1">
      <x:c r="A2075" s="19" t="n">
        <x:v>2072</x:v>
      </x:c>
      <x:c r="B2075" s="22" t="e">
        <x:f>HYPERLINK("https://cdn.shopify.com/s/files/1/0918/6066/4603/files/120e78312708943ee9a6718788172c47.jpg?v=1775306633","Open")</x:f>
        <x:v>HYPERLINK is not implemented. linkLocation=https://cdn.shopify.com/s/files/1/0918/6066/4603/files/120e78312708943ee9a6718788172c47.jpg?v=1775306633, friendlyName=Open</x:v>
      </x:c>
      <x:c r="C2075" s="24" t="e">
        <x:f>HYPERLINK("https://365nails.com/products/365nails-midnight-mischief-3d-spooky-cute-handmade-short-nails","365nails: ""Midnight Mischief"" – 3D Spooky Cute Handmade Short Nails")</x:f>
        <x:v>HYPERLINK is not implemented. linkLocation=https://365nails.com/products/365nails-midnight-mischief-3d-spooky-cute-handmade-short-nails, friendlyName=365nails: "Midnight Mischief" – 3D Spooky Cute Handmade Short Nails</x:v>
      </x:c>
      <x:c r="D2075" s="18" t="str">
        <x:v>Size: XS / S / M</x:v>
      </x:c>
      <x:c r="E2075" s="25" t="str">
        <x:v>$2.49</x:v>
      </x:c>
      <x:c r="F2075" s="19" t="str">
        <x:v>10</x:v>
      </x:c>
    </x:row>
    <x:row r="2076" ht="93" customHeight="1">
      <x:c r="A2076" s="19" t="n">
        <x:v>2073</x:v>
      </x:c>
      <x:c r="B2076" s="22" t="e">
        <x:f>HYPERLINK("https://cdn.shopify.com/s/files/1/0918/6066/4603/files/1c157752bc177f74a7586c3f1585f57d.jpg?v=1775304372","Open")</x:f>
        <x:v>HYPERLINK is not implemented. linkLocation=https://cdn.shopify.com/s/files/1/0918/6066/4603/files/1c157752bc177f74a7586c3f1585f57d.jpg?v=1775304372, friendlyName=Open</x:v>
      </x:c>
      <x:c r="C2076" s="24" t="e">
        <x:f>HYPERLINK("https://365nails.com/products/365nails-spooky-whimsy-3d-character-handmade-short-nails","365nails: ""Spooky Whimsy"" – 3D Character Handmade Short Nails")</x:f>
        <x:v>HYPERLINK is not implemented. linkLocation=https://365nails.com/products/365nails-spooky-whimsy-3d-character-handmade-short-nails, friendlyName=365nails: "Spooky Whimsy" – 3D Character Handmade Short Nails</x:v>
      </x:c>
      <x:c r="D2076" s="18" t="str">
        <x:v>Size: XS / S / M</x:v>
      </x:c>
      <x:c r="E2076" s="25" t="str">
        <x:v>$1.99</x:v>
      </x:c>
      <x:c r="F2076" s="19" t="str">
        <x:v>10</x:v>
      </x:c>
    </x:row>
    <x:row r="2077" ht="93" customHeight="1">
      <x:c r="A2077" s="19" t="n">
        <x:v>2074</x:v>
      </x:c>
      <x:c r="B2077" s="22" t="e">
        <x:f>HYPERLINK("https://cdn.shopify.com/s/files/1/0918/6066/4603/files/O1CN018TpHhD1f4WjjbE40b__6000000003953-0-cib.jpg?v=1774956381","Open")</x:f>
        <x:v>HYPERLINK is not implemented. linkLocation=https://cdn.shopify.com/s/files/1/0918/6066/4603/files/O1CN018TpHhD1f4WjjbE40b__6000000003953-0-cib.jpg?v=1774956381, friendlyName=Open</x:v>
      </x:c>
      <x:c r="C2077" s="24" t="e">
        <x:f>HYPERLINK("https://365nails.com/products/365nails-midnight-web-3d-spider-web-handmade-stiletto-nails","365nails: ""Midnight Web"" – 3D Spider &amp; Web Handmade Stiletto Nails")</x:f>
        <x:v>HYPERLINK is not implemented. linkLocation=https://365nails.com/products/365nails-midnight-web-3d-spider-web-handmade-stiletto-nails, friendlyName=365nails: "Midnight Web" – 3D Spider &amp; Web Handmade Stiletto Nails</x:v>
      </x:c>
      <x:c r="D2077" s="18" t="str">
        <x:v>Color: Almond; Color classification: Xs / S / M / L</x:v>
      </x:c>
      <x:c r="E2077" s="25" t="str">
        <x:v>$4.49</x:v>
      </x:c>
      <x:c r="F2077" s="19" t="str">
        <x:v>3</x:v>
      </x:c>
    </x:row>
    <x:row r="2078" ht="93" customHeight="1">
      <x:c r="A2078" s="19" t="n">
        <x:v>2075</x:v>
      </x:c>
      <x:c r="B2078" s="22" t="e">
        <x:f>HYPERLINK("https://cdn.shopify.com/s/files/1/0918/6066/4603/files/0fba3b53db97b86a330205a9152cd313.jpg?v=1773903633","Open")</x:f>
        <x:v>HYPERLINK is not implemented. linkLocation=https://cdn.shopify.com/s/files/1/0918/6066/4603/files/0fba3b53db97b86a330205a9152cd313.jpg?v=1773903633, friendlyName=Open</x:v>
      </x:c>
      <x:c r="C2078" s="24" t="e">
        <x:f>HYPERLINK("https://365nails.com/products/365nails-deep-sea-plaid-cat-eye-handmade-press-on-nails-gothic-punk-street-cool","365Nails: ""Deep Sea Plaid Cat-Eye"" – handmade press-on nails (Gothic Punk/Street Cool)")</x:f>
        <x:v>HYPERLINK is not implemented. linkLocation=https://365nails.com/products/365nails-deep-sea-plaid-cat-eye-handmade-press-on-nails-gothic-punk-street-cool, friendlyName=365Nails: "Deep Sea Plaid Cat-Eye" – handmade press-on nails (Gothic Punk/Street Cool)</x:v>
      </x:c>
      <x:c r="D2078" s="18" t="str">
        <x:v>Size: XS / S / M / L</x:v>
      </x:c>
      <x:c r="E2078" s="25" t="str">
        <x:v>$3.99</x:v>
      </x:c>
      <x:c r="F2078" s="19" t="str">
        <x:v>5</x:v>
      </x:c>
    </x:row>
    <x:row r="2079" ht="93" customHeight="1">
      <x:c r="A2079" s="19" t="n">
        <x:v>2076</x:v>
      </x:c>
      <x:c r="B2079" s="22" t="e">
        <x:f>HYPERLINK("https://cdn.shopify.com/s/files/1/0918/6066/4603/files/d762781c69772c78491e96dcbd365486.jpg?v=1777456252","Open")</x:f>
        <x:v>HYPERLINK is not implemented. linkLocation=https://cdn.shopify.com/s/files/1/0918/6066/4603/files/d762781c69772c78491e96dcbd365486.jpg?v=1777456252, friendlyName=Open</x:v>
      </x:c>
      <x:c r="C2079" s="24" t="e">
        <x:f>HYPERLINK("https://365nails.com/products/365nails-gothic-red-skull-spider-cross-rose-handmade-press-on-pedicure","365nails: ""Gothic Red Skull Spider Cross Rose"" – handmade press-on nails")</x:f>
        <x:v>HYPERLINK is not implemented. linkLocation=https://365nails.com/products/365nails-gothic-red-skull-spider-cross-rose-handmade-press-on-pedicure, friendlyName=365nails: "Gothic Red Skull Spider Cross Rose" – handmade press-on nails</x:v>
      </x:c>
      <x:c r="D2079" s="18" t="str">
        <x:v>Size: XS / S / M / L</x:v>
      </x:c>
      <x:c r="E2079" s="25" t="str">
        <x:v>$4.99</x:v>
      </x:c>
      <x:c r="F2079" s="19" t="str">
        <x:v>3</x:v>
      </x:c>
    </x:row>
    <x:row r="2080" ht="93" customHeight="1">
      <x:c r="A2080" s="19" t="n">
        <x:v>2077</x:v>
      </x:c>
      <x:c r="B2080" s="22" t="e">
        <x:f>HYPERLINK("https://cdn.shopify.com/s/files/1/0918/6066/4603/files/8e60030afaa42b02af94de2561ba6422.jpg?v=1777516264","Open")</x:f>
        <x:v>HYPERLINK is not implemented. linkLocation=https://cdn.shopify.com/s/files/1/0918/6066/4603/files/8e60030afaa42b02af94de2561ba6422.jpg?v=1777516264, friendlyName=Open</x:v>
      </x:c>
      <x:c r="C2080" s="24" t="e">
        <x:f>HYPERLINK("https://365nails.com/products/365nails-gothic-black-red-spider-web-rose-handmade-press-on-pedicure","365nails: ""Gothic Black Red Spider Web Rose"" – handmade press-on nails")</x:f>
        <x:v>HYPERLINK is not implemented. linkLocation=https://365nails.com/products/365nails-gothic-black-red-spider-web-rose-handmade-press-on-pedicure, friendlyName=365nails: "Gothic Black Red Spider Web Rose" – handmade press-on nails</x:v>
      </x:c>
      <x:c r="D2080" s="18" t="str">
        <x:v>Size: XS / S / M / L</x:v>
      </x:c>
      <x:c r="E2080" s="25" t="str">
        <x:v>$4.99</x:v>
      </x:c>
      <x:c r="F2080" s="19" t="str">
        <x:v>3</x:v>
      </x:c>
    </x:row>
    <x:row r="2081" ht="93" customHeight="1">
      <x:c r="A2081" s="19" t="n">
        <x:v>2078</x:v>
      </x:c>
      <x:c r="B2081" s="22" t="e">
        <x:f>HYPERLINK("https://cdn.shopify.com/s/files/1/0918/6066/4603/files/d8a2d755aa514df55ee1a2e232b044bb.jpg?v=1775209792","Open")</x:f>
        <x:v>HYPERLINK is not implemented. linkLocation=https://cdn.shopify.com/s/files/1/0918/6066/4603/files/d8a2d755aa514df55ee1a2e232b044bb.jpg?v=1775209792, friendlyName=Open</x:v>
      </x:c>
      <x:c r="C2081" s="24" t="e">
        <x:f>HYPERLINK("https://365nails.com/products/365nails-amber-plaid-hand-painted-checkered-short-square-nails","365nails: ""Amber Plaid"" – Hand-Painted Checkered Short Square Nails")</x:f>
        <x:v>HYPERLINK is not implemented. linkLocation=https://365nails.com/products/365nails-amber-plaid-hand-painted-checkered-short-square-nails, friendlyName=365nails: "Amber Plaid" – Hand-Painted Checkered Short Square Nails</x:v>
      </x:c>
      <x:c r="D2081" s="18" t="str">
        <x:v>Size: XS / S / M / L</x:v>
      </x:c>
      <x:c r="E2081" s="25" t="str">
        <x:v>$3.99</x:v>
      </x:c>
      <x:c r="F2081" s="19" t="str">
        <x:v>5</x:v>
      </x:c>
    </x:row>
    <x:row r="2082" ht="93" customHeight="1">
      <x:c r="A2082" s="19" t="n">
        <x:v>2079</x:v>
      </x:c>
      <x:c r="B2082" s="22" t="e">
        <x:f>HYPERLINK("https://cdn.shopify.com/s/files/1/0918/6066/4603/files/8341f17736c7b54063a9ca52e567a53a.jpg?v=1771387023","Open")</x:f>
        <x:v>HYPERLINK is not implemented. linkLocation=https://cdn.shopify.com/s/files/1/0918/6066/4603/files/8341f17736c7b54063a9ca52e567a53a.jpg?v=1771387023, friendlyName=Open</x:v>
      </x:c>
      <x:c r="C2082" s="24" t="e">
        <x:f>HYPERLINK("https://365nails.com/products/blood-oath-femme-fatale-collection","Femme Fatale: ""Blood Oath"" – Matte Red Crackle &amp; Snake Scales, Liquid Silver Chrome &amp; Cross Charm Long Stiletto Nails")</x:f>
        <x:v>HYPERLINK is not implemented. linkLocation=https://365nails.com/products/blood-oath-femme-fatale-collection, friendlyName=Femme Fatale: "Blood Oath" – Matte Red Crackle &amp; Snake Scales, Liquid Silver Chrome &amp; Cross Charm Long Stiletto Nails</x:v>
      </x:c>
      <x:c r="D2082" s="18" t="str">
        <x:v>Size: XS / S / M / L</x:v>
      </x:c>
      <x:c r="E2082" s="25" t="str">
        <x:v>$3.99</x:v>
      </x:c>
      <x:c r="F2082" s="19" t="str">
        <x:v>5</x:v>
      </x:c>
    </x:row>
    <x:row r="2083" ht="93" customHeight="1">
      <x:c r="A2083" s="19" t="n">
        <x:v>2080</x:v>
      </x:c>
      <x:c r="B2083" s="22" t="e">
        <x:f>HYPERLINK("https://cdn.shopify.com/s/files/1/0918/6066/4603/files/41cc7cca88204c865f7e4b3172318a0f.jpg?v=1777516142","Open")</x:f>
        <x:v>HYPERLINK is not implemented. linkLocation=https://cdn.shopify.com/s/files/1/0918/6066/4603/files/41cc7cca88204c865f7e4b3172318a0f.jpg?v=1777516142, friendlyName=Open</x:v>
      </x:c>
      <x:c r="C2083" s="24" t="e">
        <x:f>HYPERLINK("https://365nails.com/products/365nails-pink-hello-kitty-sanrio-charm-handmade-press-on-pedicure","365nails: ""Pink Hello Kitty Sanrio Charm"" – handmade press-on nails")</x:f>
        <x:v>HYPERLINK is not implemented. linkLocation=https://365nails.com/products/365nails-pink-hello-kitty-sanrio-charm-handmade-press-on-pedicure, friendlyName=365nails: "Pink Hello Kitty Sanrio Charm" – handmade press-on nails</x:v>
      </x:c>
      <x:c r="D2083" s="18" t="str">
        <x:v>Size: XS / S / M / L</x:v>
      </x:c>
      <x:c r="E2083" s="25" t="str">
        <x:v>$4.99</x:v>
      </x:c>
      <x:c r="F2083" s="19" t="str">
        <x:v>3</x:v>
      </x:c>
    </x:row>
    <x:row r="2084" ht="93" customHeight="1">
      <x:c r="A2084" s="19" t="n">
        <x:v>2081</x:v>
      </x:c>
      <x:c r="B2084" s="22" t="e">
        <x:f>HYPERLINK("https://cdn.shopify.com/s/files/1/0918/6066/4603/files/6fc6815d0a8a4eb27f6edf07d9dd517a.jpg?v=1777643480","Open")</x:f>
        <x:v>HYPERLINK is not implemented. linkLocation=https://cdn.shopify.com/s/files/1/0918/6066/4603/files/6fc6815d0a8a4eb27f6edf07d9dd517a.jpg?v=1777643480, friendlyName=Open</x:v>
      </x:c>
      <x:c r="C2084" s="24" t="e">
        <x:f>HYPERLINK("https://365nails.com/products/365nails-cherry-drip-french-handmade-long-square-press-on-nails","365nails: ""Cherry Drip French"" – Handmade Long Square Press On Nails")</x:f>
        <x:v>HYPERLINK is not implemented. linkLocation=https://365nails.com/products/365nails-cherry-drip-french-handmade-long-square-press-on-nails, friendlyName=365nails: "Cherry Drip French" – Handmade Long Square Press On Nails</x:v>
      </x:c>
      <x:c r="D2084" s="18" t="str">
        <x:v>Size: XS / S / M / L</x:v>
      </x:c>
      <x:c r="E2084" s="25" t="str">
        <x:v>$4.99</x:v>
      </x:c>
      <x:c r="F2084" s="19" t="str">
        <x:v>5</x:v>
      </x:c>
    </x:row>
    <x:row r="2085" ht="93" customHeight="1">
      <x:c r="A2085" s="19" t="n">
        <x:v>2082</x:v>
      </x:c>
      <x:c r="B2085" s="22" t="e">
        <x:f>HYPERLINK("https://cdn.shopify.com/s/files/1/0918/6066/4603/files/19e76a6288d81.png?v=1780107174","Open")</x:f>
        <x:v>HYPERLINK is not implemented. linkLocation=https://cdn.shopify.com/s/files/1/0918/6066/4603/files/19e76a6288d81.png?v=1780107174, friendlyName=Open</x:v>
      </x:c>
      <x:c r="C2085" s="24" t="e">
        <x:f>HYPERLINK("https://365nails.com/products/handmade-smudge-series-spring-monet-garden-pastel-macaron-swirl-nails","Wholesale Exclusive: ""Abstract Artistry"" Mixed Color Handmade Press-On Nails Curated Collection (moq=30)")</x:f>
        <x:v>HYPERLINK is not implemented. linkLocation=https://365nails.com/products/handmade-smudge-series-spring-monet-garden-pastel-macaron-swirl-nails, friendlyName=Wholesale Exclusive: "Abstract Artistry" Mixed Color Handmade Press-On Nails Curated Collection (moq=30)</x:v>
      </x:c>
      <x:c r="D2085" s="18" t="str">
        <x:v>Size: XS / S / M / L; Color: Diverse colors</x:v>
      </x:c>
      <x:c r="E2085" s="25" t="str">
        <x:v>$3.99</x:v>
      </x:c>
      <x:c r="F2085" s="19" t="str">
        <x:v>30</x:v>
      </x:c>
    </x:row>
    <x:row r="2086" ht="93" customHeight="1">
      <x:c r="A2086" s="19" t="n">
        <x:v>2083</x:v>
      </x:c>
      <x:c r="B2086" s="22" t="e">
        <x:f>HYPERLINK("https://cdn.shopify.com/s/files/1/0918/6066/4603/files/ddd5006385bf46962b9f10932b27f4fc_1beab403-5ace-436d-8afc-64d81e1bbb61.jpg?v=1771248791","Open")</x:f>
        <x:v>HYPERLINK is not implemented. linkLocation=https://cdn.shopify.com/s/files/1/0918/6066/4603/files/ddd5006385bf46962b9f10932b27f4fc_1beab403-5ace-436d-8afc-64d81e1bbb61.jpg?v=1771248791, friendlyName=Open</x:v>
      </x:c>
      <x:c r="C2086" s="24" t="e">
        <x:f>HYPERLINK("https://365nails.com/products/onyx-empress-from-the-gilded-serpent-collection","Luxury Logo ""Onyx Empress"" – From The Gilded Serpent Collection")</x:f>
        <x:v>HYPERLINK is not implemented. linkLocation=https://365nails.com/products/onyx-empress-from-the-gilded-serpent-collection, friendlyName=Luxury Logo "Onyx Empress" – From The Gilded Serpent Collection</x:v>
      </x:c>
      <x:c r="D2086" s="18" t="str">
        <x:v>Size: XS / S / M / L</x:v>
      </x:c>
      <x:c r="E2086" s="25" t="str">
        <x:v>$6.99</x:v>
      </x:c>
      <x:c r="F2086" s="19" t="str">
        <x:v>5</x:v>
      </x:c>
    </x:row>
    <x:row r="2087" ht="93" customHeight="1">
      <x:c r="A2087" s="19" t="n">
        <x:v>2084</x:v>
      </x:c>
      <x:c r="B2087" s="22" t="e">
        <x:f>HYPERLINK("https://cdn.shopify.com/s/files/1/0918/6066/4603/files/e120c2f921abafa3b7ecedb0fdd97007.jpg?v=1780068041","Open")</x:f>
        <x:v>HYPERLINK is not implemented. linkLocation=https://cdn.shopify.com/s/files/1/0918/6066/4603/files/e120c2f921abafa3b7ecedb0fdd97007.jpg?v=1780068041, friendlyName=Open</x:v>
      </x:c>
      <x:c r="C2087" s="24" t="e">
        <x:f>HYPERLINK("https://365nails.com/products/pink-black-blue-heart-crystal-butterfly-wholesale-ultra-soft-flexible-fit-handmade-nails-moq-100","""Pink Black Blue Heart Crystal Butterfly"" - Wholesale Ultra-Soft Flexible Fit Handmade Nails (MOQ=100)")</x:f>
        <x:v>HYPERLINK is not implemented. linkLocation=https://365nails.com/products/pink-black-blue-heart-crystal-butterfly-wholesale-ultra-soft-flexible-fit-handmade-nails-moq-100, friendlyName="Pink Black Blue Heart Crystal Butterfly" - Wholesale Ultra-Soft Flexible Fit Handmade Nails (MOQ=100)</x:v>
      </x:c>
      <x:c r="D2087" s="18" t="str">
        <x:v>Size: XS / S / M / L</x:v>
      </x:c>
      <x:c r="E2087" s="25" t="str">
        <x:v>$1.99</x:v>
      </x:c>
      <x:c r="F2087" s="19" t="str">
        <x:v>100</x:v>
      </x:c>
    </x:row>
    <x:row r="2088" ht="93" customHeight="1">
      <x:c r="A2088" s="19" t="n">
        <x:v>2085</x:v>
      </x:c>
      <x:c r="B2088" s="22" t="e">
        <x:f>HYPERLINK("https://cdn.shopify.com/s/files/1/0918/6066/4603/files/7e735f4fa99b31c1e5171ee8b4a40be7.jpg?v=1780067877","Open")</x:f>
        <x:v>HYPERLINK is not implemented. linkLocation=https://cdn.shopify.com/s/files/1/0918/6066/4603/files/7e735f4fa99b31c1e5171ee8b4a40be7.jpg?v=1780067877, friendlyName=Open</x:v>
      </x:c>
      <x:c r="C2088" s="24" t="e">
        <x:f>HYPERLINK("https://365nails.com/products/nude-pink-french-crystal-wholesale-ultra-soft-flexible-fit-handmade-nails-moq-100","""Nude Pink French Crystal"" - Wholesale Ultra-Soft Flexible Fit Handmade Nails (MOQ=100)")</x:f>
        <x:v>HYPERLINK is not implemented. linkLocation=https://365nails.com/products/nude-pink-french-crystal-wholesale-ultra-soft-flexible-fit-handmade-nails-moq-100, friendlyName="Nude Pink French Crystal" - Wholesale Ultra-Soft Flexible Fit Handmade Nails (MOQ=100)</x:v>
      </x:c>
      <x:c r="D2088" s="18" t="str">
        <x:v>Size: XS / S / M / L</x:v>
      </x:c>
      <x:c r="E2088" s="25" t="str">
        <x:v>$1.99</x:v>
      </x:c>
      <x:c r="F2088" s="19" t="str">
        <x:v>100</x:v>
      </x:c>
    </x:row>
    <x:row r="2089" ht="93" customHeight="1">
      <x:c r="A2089" s="19" t="n">
        <x:v>2086</x:v>
      </x:c>
      <x:c r="B2089" s="22" t="e">
        <x:f>HYPERLINK("https://cdn.shopify.com/s/files/1/0918/6066/4603/files/5c36d44002ca1a5dc77106ac08e18c57.jpg?v=1780067608","Open")</x:f>
        <x:v>HYPERLINK is not implemented. linkLocation=https://cdn.shopify.com/s/files/1/0918/6066/4603/files/5c36d44002ca1a5dc77106ac08e18c57.jpg?v=1780067608, friendlyName=Open</x:v>
      </x:c>
      <x:c r="C2089" s="24" t="e">
        <x:f>HYPERLINK("https://365nails.com/products/pink-green-french-floral-gold-charm-wholesale-ultra-soft-flexible-fit-handmade-nails-moq-100","""Pink Green French Floral Gold Charm"" - Wholesale Ultra-Soft Flexible Fit Handmade Nails (MOQ=100)")</x:f>
        <x:v>HYPERLINK is not implemented. linkLocation=https://365nails.com/products/pink-green-french-floral-gold-charm-wholesale-ultra-soft-flexible-fit-handmade-nails-moq-100, friendlyName="Pink Green French Floral Gold Charm" - Wholesale Ultra-Soft Flexible Fit Handmade Nails (MOQ=100)</x:v>
      </x:c>
      <x:c r="D2089" s="18" t="str">
        <x:v>Size: XS / S / M / L</x:v>
      </x:c>
      <x:c r="E2089" s="25" t="str">
        <x:v>$1.99</x:v>
      </x:c>
      <x:c r="F2089" s="19" t="str">
        <x:v>100</x:v>
      </x:c>
    </x:row>
    <x:row r="2090" ht="93" customHeight="1">
      <x:c r="A2090" s="19" t="n">
        <x:v>2087</x:v>
      </x:c>
      <x:c r="B2090" s="22" t="e">
        <x:f>HYPERLINK("https://cdn.shopify.com/s/files/1/0918/6066/4603/files/4fcbde9cd89e45218e7d91098e8ebe57.jpg?v=1780065042","Open")</x:f>
        <x:v>HYPERLINK is not implemented. linkLocation=https://cdn.shopify.com/s/files/1/0918/6066/4603/files/4fcbde9cd89e45218e7d91098e8ebe57.jpg?v=1780065042, friendlyName=Open</x:v>
      </x:c>
      <x:c r="C2090" s="24" t="e">
        <x:f>HYPERLINK("https://365nails.com/products/pink-blue-french-floral-crystal-wholesale-ultra-soft-flexible-fit-handmade-nails-moq-100","""Pink Blue French Floral Crystal"" - Wholesale Ultra-Soft Flexible Fit Handmade Nails (MOQ=100)")</x:f>
        <x:v>HYPERLINK is not implemented. linkLocation=https://365nails.com/products/pink-blue-french-floral-crystal-wholesale-ultra-soft-flexible-fit-handmade-nails-moq-100, friendlyName="Pink Blue French Floral Crystal" - Wholesale Ultra-Soft Flexible Fit Handmade Nails (MOQ=100)</x:v>
      </x:c>
      <x:c r="D2090" s="18" t="str">
        <x:v>Size: XS / S / M / L</x:v>
      </x:c>
      <x:c r="E2090" s="25" t="str">
        <x:v>$1.99</x:v>
      </x:c>
      <x:c r="F2090" s="19" t="str">
        <x:v>100</x:v>
      </x:c>
    </x:row>
    <x:row r="2091" ht="93" customHeight="1">
      <x:c r="A2091" s="19" t="n">
        <x:v>2088</x:v>
      </x:c>
      <x:c r="B2091" s="22" t="e">
        <x:f>HYPERLINK("https://cdn.shopify.com/s/files/1/0918/6066/4603/files/08fbbdec2ddb9110b14102731f4404c3.jpg?v=1780064463","Open")</x:f>
        <x:v>HYPERLINK is not implemented. linkLocation=https://cdn.shopify.com/s/files/1/0918/6066/4603/files/08fbbdec2ddb9110b14102731f4404c3.jpg?v=1780064463, friendlyName=Open</x:v>
      </x:c>
      <x:c r="C2091" s="24" t="e">
        <x:f>HYPERLINK("https://365nails.com/products/pink-red-gradient-bow-flower-wholesale-ultra-soft-flexible-fit-handmade-nails-moq-100","""Pink Red Gradient Bow Flower"" - Wholesale Ultra-Soft Flexible Fit Handmade Nails (MOQ=100)")</x:f>
        <x:v>HYPERLINK is not implemented. linkLocation=https://365nails.com/products/pink-red-gradient-bow-flower-wholesale-ultra-soft-flexible-fit-handmade-nails-moq-100, friendlyName="Pink Red Gradient Bow Flower" - Wholesale Ultra-Soft Flexible Fit Handmade Nails (MOQ=100)</x:v>
      </x:c>
      <x:c r="D2091" s="18" t="str">
        <x:v>Size: XS / S / M / L</x:v>
      </x:c>
      <x:c r="E2091" s="25" t="str">
        <x:v>$1.99</x:v>
      </x:c>
      <x:c r="F2091" s="19" t="str">
        <x:v>100</x:v>
      </x:c>
    </x:row>
    <x:row r="2092" ht="93" customHeight="1">
      <x:c r="A2092" s="19" t="n">
        <x:v>2089</x:v>
      </x:c>
      <x:c r="B2092" s="22" t="e">
        <x:f>HYPERLINK("https://cdn.shopify.com/s/files/1/0918/6066/4603/files/a2edc3f295b72994c833de15f8c1232f.jpg?v=1780064390","Open")</x:f>
        <x:v>HYPERLINK is not implemented. linkLocation=https://cdn.shopify.com/s/files/1/0918/6066/4603/files/a2edc3f295b72994c833de15f8c1232f.jpg?v=1780064390, friendlyName=Open</x:v>
      </x:c>
      <x:c r="C2092" s="24" t="e">
        <x:f>HYPERLINK("https://365nails.com/products/pink-white-french-yellow-flower-crystal-wholesale-ultra-soft-flexible-fit-handmade-nails-moq-100","""Pink White French Yellow Flower Crystal"" - Wholesale Ultra-Soft Flexible Fit Handmade Nails (MOQ=100)")</x:f>
        <x:v>HYPERLINK is not implemented. linkLocation=https://365nails.com/products/pink-white-french-yellow-flower-crystal-wholesale-ultra-soft-flexible-fit-handmade-nails-moq-100, friendlyName="Pink White French Yellow Flower Crystal" - Wholesale Ultra-Soft Flexible Fit Handmade Nails (MOQ=100)</x:v>
      </x:c>
      <x:c r="D2092" s="18" t="str">
        <x:v>Size: XS / S / M / L</x:v>
      </x:c>
      <x:c r="E2092" s="25" t="str">
        <x:v>$1.99</x:v>
      </x:c>
      <x:c r="F2092" s="19" t="str">
        <x:v>100</x:v>
      </x:c>
    </x:row>
    <x:row r="2093" ht="93" customHeight="1">
      <x:c r="A2093" s="19" t="n">
        <x:v>2090</x:v>
      </x:c>
      <x:c r="B2093" s="22" t="e">
        <x:f>HYPERLINK("https://cdn.shopify.com/s/files/1/0918/6066/4603/files/2fc7fff481965799232575b0197edc0a.jpg?v=1780064327","Open")</x:f>
        <x:v>HYPERLINK is not implemented. linkLocation=https://cdn.shopify.com/s/files/1/0918/6066/4603/files/2fc7fff481965799232575b0197edc0a.jpg?v=1780064327, friendlyName=Open</x:v>
      </x:c>
      <x:c r="C2093" s="24" t="e">
        <x:f>HYPERLINK("https://365nails.com/products/pink-green-gradient-floral-crystal-wholesale-ultra-soft-flexible-fit-handmade-nails-moq-100","""Pink Green Gradient Floral Crystal"" - Wholesale Ultra-Soft Flexible Fit Handmade Nails (MOQ=100)")</x:f>
        <x:v>HYPERLINK is not implemented. linkLocation=https://365nails.com/products/pink-green-gradient-floral-crystal-wholesale-ultra-soft-flexible-fit-handmade-nails-moq-100, friendlyName="Pink Green Gradient Floral Crystal" - Wholesale Ultra-Soft Flexible Fit Handmade Nails (MOQ=100)</x:v>
      </x:c>
      <x:c r="D2093" s="18" t="str">
        <x:v>Size: XS / S / M / L</x:v>
      </x:c>
      <x:c r="E2093" s="25" t="str">
        <x:v>$1.99</x:v>
      </x:c>
      <x:c r="F2093" s="19" t="str">
        <x:v>100</x:v>
      </x:c>
    </x:row>
    <x:row r="2094" ht="93" customHeight="1">
      <x:c r="A2094" s="19" t="n">
        <x:v>2091</x:v>
      </x:c>
      <x:c r="B2094" s="22" t="e">
        <x:f>HYPERLINK("https://cdn.shopify.com/s/files/1/0918/6066/4603/files/aff27a4ccbd14963e773707e1e5a2b33.jpg?v=1780064244","Open")</x:f>
        <x:v>HYPERLINK is not implemented. linkLocation=https://cdn.shopify.com/s/files/1/0918/6066/4603/files/aff27a4ccbd14963e773707e1e5a2b33.jpg?v=1780064244, friendlyName=Open</x:v>
      </x:c>
      <x:c r="C2094" s="24" t="e">
        <x:f>HYPERLINK("https://365nails.com/products/pink-mint-french-crystal-leopard-wholesale-ultra-soft-flexible-fit-handmade-nails-moq-100","""Pink Mint French Crystal Leopard"" - Wholesale Ultra-Soft Flexible Fit Handmade Nails (MOQ=100)")</x:f>
        <x:v>HYPERLINK is not implemented. linkLocation=https://365nails.com/products/pink-mint-french-crystal-leopard-wholesale-ultra-soft-flexible-fit-handmade-nails-moq-100, friendlyName="Pink Mint French Crystal Leopard" - Wholesale Ultra-Soft Flexible Fit Handmade Nails (MOQ=100)</x:v>
      </x:c>
      <x:c r="D2094" s="18" t="str">
        <x:v>Size: XS / S / M / L</x:v>
      </x:c>
      <x:c r="E2094" s="25" t="str">
        <x:v>$1.99</x:v>
      </x:c>
      <x:c r="F2094" s="19" t="str">
        <x:v>100</x:v>
      </x:c>
    </x:row>
    <x:row r="2095" ht="93" customHeight="1">
      <x:c r="A2095" s="19" t="n">
        <x:v>2092</x:v>
      </x:c>
      <x:c r="B2095" s="22" t="e">
        <x:f>HYPERLINK("https://cdn.shopify.com/s/files/1/0918/6066/4603/files/7217e1b3b84de546e5f2dd58f4ab118d.jpg?v=1780064167","Open")</x:f>
        <x:v>HYPERLINK is not implemented. linkLocation=https://cdn.shopify.com/s/files/1/0918/6066/4603/files/7217e1b3b84de546e5f2dd58f4ab118d.jpg?v=1780064167, friendlyName=Open</x:v>
      </x:c>
      <x:c r="C2095" s="24" t="e">
        <x:f>HYPERLINK("https://365nails.com/products/pink-blue-french-star-heart-bow-wholesale-ultra-soft-flexible-fit-handmade-nails-moq-100","""Pink Blue French Star Heart Bow"" - Wholesale Ultra-Soft Flexible Fit Handmade Nails (MOQ=100)")</x:f>
        <x:v>HYPERLINK is not implemented. linkLocation=https://365nails.com/products/pink-blue-french-star-heart-bow-wholesale-ultra-soft-flexible-fit-handmade-nails-moq-100, friendlyName="Pink Blue French Star Heart Bow" - Wholesale Ultra-Soft Flexible Fit Handmade Nails (MOQ=100)</x:v>
      </x:c>
      <x:c r="D2095" s="18" t="str">
        <x:v>Size: XS / S / M / L</x:v>
      </x:c>
      <x:c r="E2095" s="25" t="str">
        <x:v>$1.99</x:v>
      </x:c>
      <x:c r="F2095" s="19" t="str">
        <x:v>100</x:v>
      </x:c>
    </x:row>
    <x:row r="2096" ht="93" customHeight="1">
      <x:c r="A2096" s="19" t="n">
        <x:v>2093</x:v>
      </x:c>
      <x:c r="B2096" s="22" t="e">
        <x:f>HYPERLINK("https://cdn.shopify.com/s/files/1/0918/6066/4603/files/71cdca21fc7a20843300f4b0981206d8.jpg?v=1780045489","Open")</x:f>
        <x:v>HYPERLINK is not implemented. linkLocation=https://cdn.shopify.com/s/files/1/0918/6066/4603/files/71cdca21fc7a20843300f4b0981206d8.jpg?v=1780045489, friendlyName=Open</x:v>
      </x:c>
      <x:c r="C2096" s="24" t="e">
        <x:f>HYPERLINK("https://365nails.com/products/peach-white-cow-print-dollar-charm-wholesale-ultra-soft-flexible-fit-handmade-nails-moq-100","""Peach White Cow Print Dollar Charm"" - Wholesale Ultra-Soft Flexible Fit Handmade Nails (MOQ=100)")</x:f>
        <x:v>HYPERLINK is not implemented. linkLocation=https://365nails.com/products/peach-white-cow-print-dollar-charm-wholesale-ultra-soft-flexible-fit-handmade-nails-moq-100, friendlyName="Peach White Cow Print Dollar Charm" - Wholesale Ultra-Soft Flexible Fit Handmade Nails (MOQ=100)</x:v>
      </x:c>
      <x:c r="D2096" s="18" t="str">
        <x:v>Size: XS / S / M / L</x:v>
      </x:c>
      <x:c r="E2096" s="25" t="str">
        <x:v>$1.99</x:v>
      </x:c>
      <x:c r="F2096" s="19" t="str">
        <x:v>100</x:v>
      </x:c>
    </x:row>
    <x:row r="2097" ht="93" customHeight="1">
      <x:c r="A2097" s="19" t="n">
        <x:v>2094</x:v>
      </x:c>
      <x:c r="B2097" s="22" t="e">
        <x:f>HYPERLINK("https://cdn.shopify.com/s/files/1/0918/6066/4603/files/cc5d9463af564f51599122578b111fb3.jpg?v=1780045297","Open")</x:f>
        <x:v>HYPERLINK is not implemented. linkLocation=https://cdn.shopify.com/s/files/1/0918/6066/4603/files/cc5d9463af564f51599122578b111fb3.jpg?v=1780045297, friendlyName=Open</x:v>
      </x:c>
      <x:c r="C2097" s="24" t="e">
        <x:f>HYPERLINK("https://365nails.com/products/pink-brown-gradient-butterfly-floral-wholesale-ultra-soft-flexible-fit-handmade-nails-moq-100","""Pink Brown Gradient Butterfly Floral"" - Wholesale Ultra-Soft Flexible Fit Handmade Nails (MOQ=100)")</x:f>
        <x:v>HYPERLINK is not implemented. linkLocation=https://365nails.com/products/pink-brown-gradient-butterfly-floral-wholesale-ultra-soft-flexible-fit-handmade-nails-moq-100, friendlyName="Pink Brown Gradient Butterfly Floral" - Wholesale Ultra-Soft Flexible Fit Handmade Nails (MOQ=100)</x:v>
      </x:c>
      <x:c r="D2097" s="18" t="str">
        <x:v>Size: XS / S / M / L</x:v>
      </x:c>
      <x:c r="E2097" s="25" t="str">
        <x:v>$1.99</x:v>
      </x:c>
      <x:c r="F2097" s="19" t="str">
        <x:v>100</x:v>
      </x:c>
    </x:row>
    <x:row r="2098" ht="93" customHeight="1">
      <x:c r="A2098" s="19" t="n">
        <x:v>2095</x:v>
      </x:c>
      <x:c r="B2098" s="22" t="e">
        <x:f>HYPERLINK("https://cdn.shopify.com/s/files/1/0918/6066/4603/files/96b0f79fabbb6536e05eed4a4f855d85.jpg?v=1780045172","Open")</x:f>
        <x:v>HYPERLINK is not implemented. linkLocation=https://cdn.shopify.com/s/files/1/0918/6066/4603/files/96b0f79fabbb6536e05eed4a4f855d85.jpg?v=1780045172, friendlyName=Open</x:v>
      </x:c>
      <x:c r="C2098" s="24" t="e">
        <x:f>HYPERLINK("https://365nails.com/products/pink-purple-floral-crystal-french-wholesale-ultra-soft-flexible-fit-handmade-nails-moq-100","""Pink Purple Floral Crystal French"" - Wholesale Ultra-Soft Flexible Fit Handmade Nails (MOQ=100)")</x:f>
        <x:v>HYPERLINK is not implemented. linkLocation=https://365nails.com/products/pink-purple-floral-crystal-french-wholesale-ultra-soft-flexible-fit-handmade-nails-moq-100, friendlyName="Pink Purple Floral Crystal French" - Wholesale Ultra-Soft Flexible Fit Handmade Nails (MOQ=100)</x:v>
      </x:c>
      <x:c r="D2098" s="18" t="str">
        <x:v>Size: XS / S / M / L</x:v>
      </x:c>
      <x:c r="E2098" s="25" t="str">
        <x:v>$1.99</x:v>
      </x:c>
      <x:c r="F2098" s="19" t="str">
        <x:v>100</x:v>
      </x:c>
    </x:row>
    <x:row r="2099" ht="93" customHeight="1">
      <x:c r="A2099" s="19" t="n">
        <x:v>2096</x:v>
      </x:c>
      <x:c r="B2099" s="22" t="e">
        <x:f>HYPERLINK("https://cdn.shopify.com/s/files/1/0918/6066/4603/files/ae24aa3b483376a434dc727e298e1713.jpg?v=1780045022","Open")</x:f>
        <x:v>HYPERLINK is not implemented. linkLocation=https://cdn.shopify.com/s/files/1/0918/6066/4603/files/ae24aa3b483376a434dc727e298e1713.jpg?v=1780045022, friendlyName=Open</x:v>
      </x:c>
      <x:c r="C2099" s="24" t="e">
        <x:f>HYPERLINK("https://365nails.com/products/pink-french-gold-butterfly-crystal-wholesale-ultra-soft-flexible-fit-handmade-nails-moq-100","""Pink French Gold Butterfly Crystal"" - Wholesale Ultra-Soft Flexible Fit Handmade Nails (MOQ=100)")</x:f>
        <x:v>HYPERLINK is not implemented. linkLocation=https://365nails.com/products/pink-french-gold-butterfly-crystal-wholesale-ultra-soft-flexible-fit-handmade-nails-moq-100, friendlyName="Pink French Gold Butterfly Crystal" - Wholesale Ultra-Soft Flexible Fit Handmade Nails (MOQ=100)</x:v>
      </x:c>
      <x:c r="D2099" s="18" t="str">
        <x:v>Size: XS / S / M / L</x:v>
      </x:c>
      <x:c r="E2099" s="25" t="str">
        <x:v>$1.99</x:v>
      </x:c>
      <x:c r="F2099" s="19" t="str">
        <x:v>100</x:v>
      </x:c>
    </x:row>
    <x:row r="2100" ht="93" customHeight="1">
      <x:c r="A2100" s="19" t="n">
        <x:v>2097</x:v>
      </x:c>
      <x:c r="B2100" s="22" t="e">
        <x:f>HYPERLINK("https://cdn.shopify.com/s/files/1/0918/6066/4603/files/b4c12926f0d18e1e5a9c63b254a1f881.jpg?v=1780044943","Open")</x:f>
        <x:v>HYPERLINK is not implemented. linkLocation=https://cdn.shopify.com/s/files/1/0918/6066/4603/files/b4c12926f0d18e1e5a9c63b254a1f881.jpg?v=1780044943, friendlyName=Open</x:v>
      </x:c>
      <x:c r="C2100" s="24" t="e">
        <x:f>HYPERLINK("https://365nails.com/products/pink-magenta-french-zebra-flower-wholesale-ultra-soft-flexible-fit-handmade-nails-moq-100","""Pink Magenta French Zebra Flower"" - Wholesale Ultra-Soft Flexible Fit Handmade Nails (MOQ=100)")</x:f>
        <x:v>HYPERLINK is not implemented. linkLocation=https://365nails.com/products/pink-magenta-french-zebra-flower-wholesale-ultra-soft-flexible-fit-handmade-nails-moq-100, friendlyName="Pink Magenta French Zebra Flower" - Wholesale Ultra-Soft Flexible Fit Handmade Nails (MOQ=100)</x:v>
      </x:c>
      <x:c r="D2100" s="18" t="str">
        <x:v>Size: XS / S / M / L</x:v>
      </x:c>
      <x:c r="E2100" s="25" t="str">
        <x:v>$1.99</x:v>
      </x:c>
      <x:c r="F2100" s="19" t="str">
        <x:v>100</x:v>
      </x:c>
    </x:row>
    <x:row r="2101" ht="93" customHeight="1">
      <x:c r="A2101" s="19" t="n">
        <x:v>2098</x:v>
      </x:c>
      <x:c r="B2101" s="22" t="e">
        <x:f>HYPERLINK("https://cdn.shopify.com/s/files/1/0918/6066/4603/files/87521aca1e3831df80cbcdd6035d9ade.jpg?v=1780044789","Open")</x:f>
        <x:v>HYPERLINK is not implemented. linkLocation=https://cdn.shopify.com/s/files/1/0918/6066/4603/files/87521aca1e3831df80cbcdd6035d9ade.jpg?v=1780044789, friendlyName=Open</x:v>
      </x:c>
      <x:c r="C2101" s="24" t="e">
        <x:f>HYPERLINK("https://365nails.com/products/nude-blue-french-floral-pearl-wholesale-ultra-soft-flexible-fit-handmade-nails-moq-100","""Nude Blue French Floral Pearl"" - Wholesale Ultra-Soft Flexible Fit Handmade Nails (MOQ=100)")</x:f>
        <x:v>HYPERLINK is not implemented. linkLocation=https://365nails.com/products/nude-blue-french-floral-pearl-wholesale-ultra-soft-flexible-fit-handmade-nails-moq-100, friendlyName="Nude Blue French Floral Pearl" - Wholesale Ultra-Soft Flexible Fit Handmade Nails (MOQ=100)</x:v>
      </x:c>
      <x:c r="D2101" s="18" t="str">
        <x:v>Size: XS / S / M / L</x:v>
      </x:c>
      <x:c r="E2101" s="25" t="str">
        <x:v>$1.99</x:v>
      </x:c>
      <x:c r="F2101" s="19" t="str">
        <x:v>100</x:v>
      </x:c>
    </x:row>
    <x:row r="2102" ht="93" customHeight="1">
      <x:c r="A2102" s="19" t="n">
        <x:v>2099</x:v>
      </x:c>
      <x:c r="B2102" s="22" t="e">
        <x:f>HYPERLINK("https://cdn.shopify.com/s/files/1/0918/6066/4603/files/bcd855dccd274540894287873f199adc.jpg?v=1780044704","Open")</x:f>
        <x:v>HYPERLINK is not implemented. linkLocation=https://cdn.shopify.com/s/files/1/0918/6066/4603/files/bcd855dccd274540894287873f199adc.jpg?v=1780044704, friendlyName=Open</x:v>
      </x:c>
      <x:c r="C2102" s="24" t="e">
        <x:f>HYPERLINK("https://365nails.com/products/peach-white-french-floral-pearl-wholesale-ultra-soft-flexible-fit-handmade-nails-moq-100","""Peach White French Floral Pearl"" - Wholesale Ultra-Soft Flexible Fit Handmade Nails (MOQ=100)")</x:f>
        <x:v>HYPERLINK is not implemented. linkLocation=https://365nails.com/products/peach-white-french-floral-pearl-wholesale-ultra-soft-flexible-fit-handmade-nails-moq-100, friendlyName="Peach White French Floral Pearl" - Wholesale Ultra-Soft Flexible Fit Handmade Nails (MOQ=100)</x:v>
      </x:c>
      <x:c r="D2102" s="18" t="str">
        <x:v>Size: XS / S / M / L</x:v>
      </x:c>
      <x:c r="E2102" s="25" t="str">
        <x:v>$1.99</x:v>
      </x:c>
      <x:c r="F2102" s="19" t="str">
        <x:v>100</x:v>
      </x:c>
    </x:row>
    <x:row r="2103" ht="93" customHeight="1">
      <x:c r="A2103" s="19" t="n">
        <x:v>2100</x:v>
      </x:c>
      <x:c r="B2103" s="22" t="e">
        <x:f>HYPERLINK("https://cdn.shopify.com/s/files/1/0918/6066/4603/files/a4f1820d88a9131c00b9e0e9e58edf73.jpg?v=1780044635","Open")</x:f>
        <x:v>HYPERLINK is not implemented. linkLocation=https://cdn.shopify.com/s/files/1/0918/6066/4603/files/a4f1820d88a9131c00b9e0e9e58edf73.jpg?v=1780044635, friendlyName=Open</x:v>
      </x:c>
      <x:c r="C2103" s="24" t="e">
        <x:f>HYPERLINK("https://365nails.com/products/peach-purple-cow-print-bow-star-wholesale-ultra-soft-flexible-fit-handmade-nails-moq-100","""Peach Purple Cow Print Bow Star"" - Wholesale Ultra-Soft Flexible Fit Handmade Nails (MOQ=100)")</x:f>
        <x:v>HYPERLINK is not implemented. linkLocation=https://365nails.com/products/peach-purple-cow-print-bow-star-wholesale-ultra-soft-flexible-fit-handmade-nails-moq-100, friendlyName="Peach Purple Cow Print Bow Star" - Wholesale Ultra-Soft Flexible Fit Handmade Nails (MOQ=100)</x:v>
      </x:c>
      <x:c r="D2103" s="18" t="str">
        <x:v>Size: XS / S / M / L</x:v>
      </x:c>
      <x:c r="E2103" s="25" t="str">
        <x:v>$1.99</x:v>
      </x:c>
      <x:c r="F2103" s="19" t="str">
        <x:v>100</x:v>
      </x:c>
    </x:row>
    <x:row r="2104" ht="93" customHeight="1">
      <x:c r="A2104" s="19" t="n">
        <x:v>2101</x:v>
      </x:c>
      <x:c r="B2104" s="22" t="e">
        <x:f>HYPERLINK("https://cdn.shopify.com/s/files/1/0918/6066/4603/files/f27ed73293e154333da7fae8afa7c573.jpg?v=1780044571","Open")</x:f>
        <x:v>HYPERLINK is not implemented. linkLocation=https://cdn.shopify.com/s/files/1/0918/6066/4603/files/f27ed73293e154333da7fae8afa7c573.jpg?v=1780044571, friendlyName=Open</x:v>
      </x:c>
      <x:c r="C2104" s="24" t="e">
        <x:f>HYPERLINK("https://365nails.com/products/pink-star-heart-crystal-wholesale-ultra-soft-flexible-fit-handmade-nails-moq-100","""Pink Star Heart Crystal"" - Wholesale Ultra-Soft Flexible Fit Handmade Nails (MOQ=100)")</x:f>
        <x:v>HYPERLINK is not implemented. linkLocation=https://365nails.com/products/pink-star-heart-crystal-wholesale-ultra-soft-flexible-fit-handmade-nails-moq-100, friendlyName="Pink Star Heart Crystal" - Wholesale Ultra-Soft Flexible Fit Handmade Nails (MOQ=100)</x:v>
      </x:c>
      <x:c r="D2104" s="18" t="str">
        <x:v>Size: XS / S / M / L</x:v>
      </x:c>
      <x:c r="E2104" s="25" t="str">
        <x:v>$1.99</x:v>
      </x:c>
      <x:c r="F2104" s="19" t="str">
        <x:v>100</x:v>
      </x:c>
    </x:row>
    <x:row r="2105" ht="93" customHeight="1">
      <x:c r="A2105" s="19" t="n">
        <x:v>2102</x:v>
      </x:c>
      <x:c r="B2105" s="22" t="e">
        <x:f>HYPERLINK("https://cdn.shopify.com/s/files/1/0918/6066/4603/files/b43f277d10edfd1a671e000c4cfd8db4.jpg?v=1780044495","Open")</x:f>
        <x:v>HYPERLINK is not implemented. linkLocation=https://cdn.shopify.com/s/files/1/0918/6066/4603/files/b43f277d10edfd1a671e000c4cfd8db4.jpg?v=1780044495, friendlyName=Open</x:v>
      </x:c>
      <x:c r="C2105" s="24" t="e">
        <x:f>HYPERLINK("https://365nails.com/products/nude-french-gold-bow-flower-wholesale-ultra-soft-flexible-fit-handmade-nails-moq-100","""Nude French Gold Bow Flower"" - Wholesale Ultra-Soft Flexible Fit Handmade Nails (MOQ=100)")</x:f>
        <x:v>HYPERLINK is not implemented. linkLocation=https://365nails.com/products/nude-french-gold-bow-flower-wholesale-ultra-soft-flexible-fit-handmade-nails-moq-100, friendlyName="Nude French Gold Bow Flower" - Wholesale Ultra-Soft Flexible Fit Handmade Nails (MOQ=100)</x:v>
      </x:c>
      <x:c r="D2105" s="18" t="str">
        <x:v>Size: XS / S / M / L</x:v>
      </x:c>
      <x:c r="E2105" s="25" t="str">
        <x:v>$1.99</x:v>
      </x:c>
      <x:c r="F2105" s="19" t="str">
        <x:v>100</x:v>
      </x:c>
    </x:row>
    <x:row r="2106" ht="93" customHeight="1">
      <x:c r="A2106" s="19" t="n">
        <x:v>2103</x:v>
      </x:c>
      <x:c r="B2106" s="22" t="e">
        <x:f>HYPERLINK("https://cdn.shopify.com/s/files/1/0918/6066/4603/files/003ab2ba71084db19a2c25a9fb5c65a6.jpg?v=1780044425","Open")</x:f>
        <x:v>HYPERLINK is not implemented. linkLocation=https://cdn.shopify.com/s/files/1/0918/6066/4603/files/003ab2ba71084db19a2c25a9fb5c65a6.jpg?v=1780044425, friendlyName=Open</x:v>
      </x:c>
      <x:c r="C2106" s="24" t="e">
        <x:f>HYPERLINK("https://365nails.com/products/pink-yellow-moon-star-butterfly-wholesale-ultra-soft-flexible-fit-handmade-nails-moq-100","""Pink Yellow Moon Star Butterfly"" - Wholesale Ultra-Soft Flexible Fit Handmade Nails (MOQ=100)")</x:f>
        <x:v>HYPERLINK is not implemented. linkLocation=https://365nails.com/products/pink-yellow-moon-star-butterfly-wholesale-ultra-soft-flexible-fit-handmade-nails-moq-100, friendlyName="Pink Yellow Moon Star Butterfly" - Wholesale Ultra-Soft Flexible Fit Handmade Nails (MOQ=100)</x:v>
      </x:c>
      <x:c r="D2106" s="18" t="str">
        <x:v>Size: XS / S / M / L</x:v>
      </x:c>
      <x:c r="E2106" s="25" t="str">
        <x:v>$1.99</x:v>
      </x:c>
      <x:c r="F2106" s="19" t="str">
        <x:v>100</x:v>
      </x:c>
    </x:row>
    <x:row r="2107" ht="93" customHeight="1">
      <x:c r="A2107" s="19" t="n">
        <x:v>2104</x:v>
      </x:c>
      <x:c r="B2107" s="22" t="e">
        <x:f>HYPERLINK("https://cdn.shopify.com/s/files/1/0918/6066/4603/files/7143cba977f8cb7069fda6d4ad17d1ec.jpg?v=1780044344","Open")</x:f>
        <x:v>HYPERLINK is not implemented. linkLocation=https://cdn.shopify.com/s/files/1/0918/6066/4603/files/7143cba977f8cb7069fda6d4ad17d1ec.jpg?v=1780044344, friendlyName=Open</x:v>
      </x:c>
      <x:c r="C2107" s="24" t="e">
        <x:f>HYPERLINK("https://365nails.com/products/pink-french-saturn-flower-crystal-wholesale-ultra-soft-flexible-fit-handmade-nails-moq-100","""Pink French Saturn Flower Crystal"" - Wholesale Ultra-Soft Flexible Fit Handmade Nails (MOQ=100)")</x:f>
        <x:v>HYPERLINK is not implemented. linkLocation=https://365nails.com/products/pink-french-saturn-flower-crystal-wholesale-ultra-soft-flexible-fit-handmade-nails-moq-100, friendlyName="Pink French Saturn Flower Crystal" - Wholesale Ultra-Soft Flexible Fit Handmade Nails (MOQ=100)</x:v>
      </x:c>
      <x:c r="D2107" s="18" t="str">
        <x:v>Size: XS / S / M / L</x:v>
      </x:c>
      <x:c r="E2107" s="25" t="str">
        <x:v>$1.99</x:v>
      </x:c>
      <x:c r="F2107" s="19" t="str">
        <x:v>100</x:v>
      </x:c>
    </x:row>
    <x:row r="2108" ht="93" customHeight="1">
      <x:c r="A2108" s="19" t="n">
        <x:v>2105</x:v>
      </x:c>
      <x:c r="B2108" s="22" t="e">
        <x:f>HYPERLINK("https://cdn.shopify.com/s/files/1/0918/6066/4603/files/29de36cf0f9e5f4666a8f0302f93f1a1.jpg?v=1780044210","Open")</x:f>
        <x:v>HYPERLINK is not implemented. linkLocation=https://cdn.shopify.com/s/files/1/0918/6066/4603/files/29de36cf0f9e5f4666a8f0302f93f1a1.jpg?v=1780044210, friendlyName=Open</x:v>
      </x:c>
      <x:c r="C2108" s="24" t="e">
        <x:f>HYPERLINK("https://365nails.com/products/beige-pink-french-floral-crystal-wholesale-ultra-soft-flexible-fit-handmade-nails-moq-100","""Beige Pink French Floral Crystal"" - Wholesale Ultra-Soft Flexible Fit Handmade Nails (MOQ=100)")</x:f>
        <x:v>HYPERLINK is not implemented. linkLocation=https://365nails.com/products/beige-pink-french-floral-crystal-wholesale-ultra-soft-flexible-fit-handmade-nails-moq-100, friendlyName="Beige Pink French Floral Crystal" - Wholesale Ultra-Soft Flexible Fit Handmade Nails (MOQ=100)</x:v>
      </x:c>
      <x:c r="D2108" s="18" t="str">
        <x:v>Size: XS / S / M / L</x:v>
      </x:c>
      <x:c r="E2108" s="25" t="str">
        <x:v>$1.99</x:v>
      </x:c>
      <x:c r="F2108" s="19" t="str">
        <x:v>100</x:v>
      </x:c>
    </x:row>
    <x:row r="2109" ht="93" customHeight="1">
      <x:c r="A2109" s="19" t="n">
        <x:v>2106</x:v>
      </x:c>
      <x:c r="B2109" s="22" t="e">
        <x:f>HYPERLINK("https://cdn.shopify.com/s/files/1/0918/6066/4603/files/4b3e511351008c51f91b67d227944664.jpg?v=1780044142","Open")</x:f>
        <x:v>HYPERLINK is not implemented. linkLocation=https://cdn.shopify.com/s/files/1/0918/6066/4603/files/4b3e511351008c51f91b67d227944664.jpg?v=1780044142, friendlyName=Open</x:v>
      </x:c>
      <x:c r="C2109" s="24" t="e">
        <x:f>HYPERLINK("https://365nails.com/products/pink-hello-kitty-cow-print-wholesale-ultra-soft-flexible-fit-handmade-nails-moq-100","""Pink Hello Kitty Cow Print"" - Wholesale Ultra-Soft Flexible Fit Handmade Nails (MOQ=100)")</x:f>
        <x:v>HYPERLINK is not implemented. linkLocation=https://365nails.com/products/pink-hello-kitty-cow-print-wholesale-ultra-soft-flexible-fit-handmade-nails-moq-100, friendlyName="Pink Hello Kitty Cow Print" - Wholesale Ultra-Soft Flexible Fit Handmade Nails (MOQ=100)</x:v>
      </x:c>
      <x:c r="D2109" s="18" t="str">
        <x:v>Size: XS / S / M / L</x:v>
      </x:c>
      <x:c r="E2109" s="25" t="str">
        <x:v>$1.99</x:v>
      </x:c>
      <x:c r="F2109" s="19" t="str">
        <x:v>100</x:v>
      </x:c>
    </x:row>
    <x:row r="2110" ht="93" customHeight="1">
      <x:c r="A2110" s="19" t="n">
        <x:v>2107</x:v>
      </x:c>
      <x:c r="B2110" s="22" t="e">
        <x:f>HYPERLINK("https://cdn.shopify.com/s/files/1/0918/6066/4603/files/976816c7fc0dc13e9859951e8e1aac4e.jpg?v=1780044082","Open")</x:f>
        <x:v>HYPERLINK is not implemented. linkLocation=https://cdn.shopify.com/s/files/1/0918/6066/4603/files/976816c7fc0dc13e9859951e8e1aac4e.jpg?v=1780044082, friendlyName=Open</x:v>
      </x:c>
      <x:c r="C2110" s="24" t="e">
        <x:f>HYPERLINK("https://365nails.com/products/peach-orange-french-floral-crystal-wholesale-ultra-soft-flexible-fit-handmade-nails-moq-100","""Peach Orange French Floral Crystal"" - Wholesale Ultra-Soft Flexible Fit Handmade Nails (MOQ=100)")</x:f>
        <x:v>HYPERLINK is not implemented. linkLocation=https://365nails.com/products/peach-orange-french-floral-crystal-wholesale-ultra-soft-flexible-fit-handmade-nails-moq-100, friendlyName="Peach Orange French Floral Crystal" - Wholesale Ultra-Soft Flexible Fit Handmade Nails (MOQ=100)</x:v>
      </x:c>
      <x:c r="D2110" s="18" t="str">
        <x:v>Size: XS / S / M / L</x:v>
      </x:c>
      <x:c r="E2110" s="25" t="str">
        <x:v>$1.99</x:v>
      </x:c>
      <x:c r="F2110" s="19" t="str">
        <x:v>100</x:v>
      </x:c>
    </x:row>
    <x:row r="2111" ht="93" customHeight="1">
      <x:c r="A2111" s="19" t="n">
        <x:v>2108</x:v>
      </x:c>
      <x:c r="B2111" s="22" t="e">
        <x:f>HYPERLINK("https://cdn.shopify.com/s/files/1/0918/6066/4603/files/bb73bc3f9709bf5db96a9a0a9f161783.jpg?v=1780044014","Open")</x:f>
        <x:v>HYPERLINK is not implemented. linkLocation=https://cdn.shopify.com/s/files/1/0918/6066/4603/files/bb73bc3f9709bf5db96a9a0a9f161783.jpg?v=1780044014, friendlyName=Open</x:v>
      </x:c>
      <x:c r="C2111" s="24" t="e">
        <x:f>HYPERLINK("https://365nails.com/products/pink-black-white-french-bow-flower-wholesale-ultra-soft-flexible-fit-handmade-nails-moq-100","""Pink Black White French Bow Flower"" - Wholesale Ultra-Soft Flexible Fit Handmade Nails (MOQ=100)")</x:f>
        <x:v>HYPERLINK is not implemented. linkLocation=https://365nails.com/products/pink-black-white-french-bow-flower-wholesale-ultra-soft-flexible-fit-handmade-nails-moq-100, friendlyName="Pink Black White French Bow Flower" - Wholesale Ultra-Soft Flexible Fit Handmade Nails (MOQ=100)</x:v>
      </x:c>
      <x:c r="D2111" s="18" t="str">
        <x:v>Size: XS / S / M / L</x:v>
      </x:c>
      <x:c r="E2111" s="25" t="str">
        <x:v>$1.99</x:v>
      </x:c>
      <x:c r="F2111" s="19" t="str">
        <x:v>100</x:v>
      </x:c>
    </x:row>
    <x:row r="2112" ht="93" customHeight="1">
      <x:c r="A2112" s="19" t="n">
        <x:v>2109</x:v>
      </x:c>
      <x:c r="B2112" s="22" t="e">
        <x:f>HYPERLINK("https://cdn.shopify.com/s/files/1/0918/6066/4603/files/e296392b607cc6405549cd45d7547f83.jpg?v=1780043920","Open")</x:f>
        <x:v>HYPERLINK is not implemented. linkLocation=https://cdn.shopify.com/s/files/1/0918/6066/4603/files/e296392b607cc6405549cd45d7547f83.jpg?v=1780043920, friendlyName=Open</x:v>
      </x:c>
      <x:c r="C2112" s="24" t="e">
        <x:f>HYPERLINK("https://365nails.com/products/pink-yellow-floral-crystal-french-wholesale-ultra-soft-flexible-fit-handmade-nails-moq-100","""Pink Yellow Floral Crystal French"" - Wholesale Ultra-Soft Flexible Fit Handmade Nails (MOQ=100)")</x:f>
        <x:v>HYPERLINK is not implemented. linkLocation=https://365nails.com/products/pink-yellow-floral-crystal-french-wholesale-ultra-soft-flexible-fit-handmade-nails-moq-100, friendlyName="Pink Yellow Floral Crystal French" - Wholesale Ultra-Soft Flexible Fit Handmade Nails (MOQ=100)</x:v>
      </x:c>
      <x:c r="D2112" s="18" t="str">
        <x:v>Size: XS / S / M / L</x:v>
      </x:c>
      <x:c r="E2112" s="25" t="str">
        <x:v>$1.99</x:v>
      </x:c>
      <x:c r="F2112" s="19" t="str">
        <x:v>100</x:v>
      </x:c>
    </x:row>
    <x:row r="2113" ht="93" customHeight="1">
      <x:c r="A2113" s="19" t="n">
        <x:v>2110</x:v>
      </x:c>
      <x:c r="B2113" s="22" t="e">
        <x:f>HYPERLINK("https://cdn.shopify.com/s/files/1/0918/6066/4603/files/cbf1607f3a03dd16f8c5c35730332f99.jpg?v=1780043835","Open")</x:f>
        <x:v>HYPERLINK is not implemented. linkLocation=https://cdn.shopify.com/s/files/1/0918/6066/4603/files/cbf1607f3a03dd16f8c5c35730332f99.jpg?v=1780043835, friendlyName=Open</x:v>
      </x:c>
      <x:c r="C2113" s="24" t="e">
        <x:f>HYPERLINK("https://365nails.com/products/pink-yellow-leopard-floral-wholesale-ultra-soft-flexible-fit-handmade-nails-moq-100","""Pink Yellow Leopard Floral"" - Wholesale Ultra-Soft Flexible Fit Handmade Nails (MOQ=100)")</x:f>
        <x:v>HYPERLINK is not implemented. linkLocation=https://365nails.com/products/pink-yellow-leopard-floral-wholesale-ultra-soft-flexible-fit-handmade-nails-moq-100, friendlyName="Pink Yellow Leopard Floral" - Wholesale Ultra-Soft Flexible Fit Handmade Nails (MOQ=100)</x:v>
      </x:c>
      <x:c r="D2113" s="18" t="str">
        <x:v>Size: XS / S / M / L</x:v>
      </x:c>
      <x:c r="E2113" s="25" t="str">
        <x:v>$1.99</x:v>
      </x:c>
      <x:c r="F2113" s="19" t="str">
        <x:v>100</x:v>
      </x:c>
    </x:row>
    <x:row r="2114" ht="93" customHeight="1">
      <x:c r="A2114" s="19" t="n">
        <x:v>2111</x:v>
      </x:c>
      <x:c r="B2114" s="22" t="e">
        <x:f>HYPERLINK("https://cdn.shopify.com/s/files/1/0918/6066/4603/files/b2ba8119fccec0ac53a238bb89f51e3d.jpg?v=1780043743","Open")</x:f>
        <x:v>HYPERLINK is not implemented. linkLocation=https://cdn.shopify.com/s/files/1/0918/6066/4603/files/b2ba8119fccec0ac53a238bb89f51e3d.jpg?v=1780043743, friendlyName=Open</x:v>
      </x:c>
      <x:c r="C2114" s="24" t="e">
        <x:f>HYPERLINK("https://365nails.com/products/pink-bee-floral-french-wholesale-ultra-soft-flexible-fit-handmade-nails-moq-100","""Pink Bee &amp; Floral French"" - Wholesale Ultra-Soft Flexible Fit Handmade Nails (MOQ=100)")</x:f>
        <x:v>HYPERLINK is not implemented. linkLocation=https://365nails.com/products/pink-bee-floral-french-wholesale-ultra-soft-flexible-fit-handmade-nails-moq-100, friendlyName="Pink Bee &amp; Floral French" - Wholesale Ultra-Soft Flexible Fit Handmade Nails (MOQ=100)</x:v>
      </x:c>
      <x:c r="D2114" s="18" t="str">
        <x:v>Size: XS / S / M / L</x:v>
      </x:c>
      <x:c r="E2114" s="25" t="str">
        <x:v>$1.99</x:v>
      </x:c>
      <x:c r="F2114" s="19" t="str">
        <x:v>100</x:v>
      </x:c>
    </x:row>
    <x:row r="2115" ht="93" customHeight="1">
      <x:c r="A2115" s="19" t="n">
        <x:v>2112</x:v>
      </x:c>
      <x:c r="B2115" s="22" t="e">
        <x:f>HYPERLINK("https://cdn.shopify.com/s/files/1/0918/6066/4603/files/1261feec43890cdddf63988acb170bb5.jpg?v=1780043674","Open")</x:f>
        <x:v>HYPERLINK is not implemented. linkLocation=https://cdn.shopify.com/s/files/1/0918/6066/4603/files/1261feec43890cdddf63988acb170bb5.jpg?v=1780043674, friendlyName=Open</x:v>
      </x:c>
      <x:c r="C2115" s="24" t="e">
        <x:f>HYPERLINK("https://365nails.com/products/pink-floral-watercolor-wholesale-ultra-soft-flexible-fit-handmade-nails-moq-100","""Pink Floral Watercolor"" - Wholesale Ultra-Soft Flexible Fit Handmade Nails (MOQ=100)")</x:f>
        <x:v>HYPERLINK is not implemented. linkLocation=https://365nails.com/products/pink-floral-watercolor-wholesale-ultra-soft-flexible-fit-handmade-nails-moq-100, friendlyName="Pink Floral Watercolor" - Wholesale Ultra-Soft Flexible Fit Handmade Nails (MOQ=100)</x:v>
      </x:c>
      <x:c r="D2115" s="18" t="str">
        <x:v>Size: XS / S / M / L</x:v>
      </x:c>
      <x:c r="E2115" s="25" t="str">
        <x:v>$1.99</x:v>
      </x:c>
      <x:c r="F2115" s="19" t="str">
        <x:v>100</x:v>
      </x:c>
    </x:row>
    <x:row r="2116" ht="93" customHeight="1">
      <x:c r="A2116" s="19" t="n">
        <x:v>2113</x:v>
      </x:c>
      <x:c r="B2116" s="22" t="e">
        <x:f>HYPERLINK("https://cdn.shopify.com/s/files/1/0918/6066/4603/files/4e7657d5f4fb40c0ad606a68621506ef.jpg?v=1780043578","Open")</x:f>
        <x:v>HYPERLINK is not implemented. linkLocation=https://cdn.shopify.com/s/files/1/0918/6066/4603/files/4e7657d5f4fb40c0ad606a68621506ef.jpg?v=1780043578, friendlyName=Open</x:v>
      </x:c>
      <x:c r="C2116" s="24" t="e">
        <x:f>HYPERLINK("https://365nails.com/products/pink-gradient-hello-kitty-saturn-star-wholesale-ultra-soft-flexible-fit-handmade-nails-moq-100","""Pink Gradient Hello Kitty Saturn Star"" - Wholesale Ultra-Soft Flexible Fit Handmade Nails (MOQ=100)")</x:f>
        <x:v>HYPERLINK is not implemented. linkLocation=https://365nails.com/products/pink-gradient-hello-kitty-saturn-star-wholesale-ultra-soft-flexible-fit-handmade-nails-moq-100, friendlyName="Pink Gradient Hello Kitty Saturn Star" - Wholesale Ultra-Soft Flexible Fit Handmade Nails (MOQ=100)</x:v>
      </x:c>
      <x:c r="D2116" s="18" t="str">
        <x:v>Size: XS / S / M / L</x:v>
      </x:c>
      <x:c r="E2116" s="25" t="str">
        <x:v>$1.99</x:v>
      </x:c>
      <x:c r="F2116" s="19" t="str">
        <x:v>100</x:v>
      </x:c>
    </x:row>
    <x:row r="2117" ht="93" customHeight="1">
      <x:c r="A2117" s="19" t="n">
        <x:v>2114</x:v>
      </x:c>
      <x:c r="B2117" s="22" t="e">
        <x:f>HYPERLINK("https://cdn.shopify.com/s/files/1/0918/6066/4603/files/77c11edb42db17eefd781049434d5905.jpg?v=1780043505","Open")</x:f>
        <x:v>HYPERLINK is not implemented. linkLocation=https://cdn.shopify.com/s/files/1/0918/6066/4603/files/77c11edb42db17eefd781049434d5905.jpg?v=1780043505, friendlyName=Open</x:v>
      </x:c>
      <x:c r="C2117" s="24" t="e">
        <x:f>HYPERLINK("https://365nails.com/products/pink-french-bow-star-flower-wholesale-ultra-soft-flexible-fit-handmade-nails-moq-100","""Pink French Bow Star Flower"" - Wholesale Ultra-Soft Flexible Fit Handmade Nails (MOQ=100)")</x:f>
        <x:v>HYPERLINK is not implemented. linkLocation=https://365nails.com/products/pink-french-bow-star-flower-wholesale-ultra-soft-flexible-fit-handmade-nails-moq-100, friendlyName="Pink French Bow Star Flower" - Wholesale Ultra-Soft Flexible Fit Handmade Nails (MOQ=100)</x:v>
      </x:c>
      <x:c r="D2117" s="18" t="str">
        <x:v>Size: XS / S / M / L</x:v>
      </x:c>
      <x:c r="E2117" s="25" t="str">
        <x:v>$1.99</x:v>
      </x:c>
      <x:c r="F2117" s="19" t="str">
        <x:v>100</x:v>
      </x:c>
    </x:row>
    <x:row r="2118" ht="93" customHeight="1">
      <x:c r="A2118" s="19" t="n">
        <x:v>2115</x:v>
      </x:c>
      <x:c r="B2118" s="22" t="e">
        <x:f>HYPERLINK("https://cdn.shopify.com/s/files/1/0918/6066/4603/files/0cebd560c8411d06e0bb8d96aaf69a0e.jpg?v=1780043384","Open")</x:f>
        <x:v>HYPERLINK is not implemented. linkLocation=https://cdn.shopify.com/s/files/1/0918/6066/4603/files/0cebd560c8411d06e0bb8d96aaf69a0e.jpg?v=1780043384, friendlyName=Open</x:v>
      </x:c>
      <x:c r="C2118" s="24" t="e">
        <x:f>HYPERLINK("https://365nails.com/products/peach-cow-print-bow-heart-wholesale-ultra-soft-flexible-fit-handmade-nails-moq-100","""Peach Cow Print Bow Heart"" - Wholesale Ultra-Soft Flexible Fit Handmade Nails (MOQ=100)")</x:f>
        <x:v>HYPERLINK is not implemented. linkLocation=https://365nails.com/products/peach-cow-print-bow-heart-wholesale-ultra-soft-flexible-fit-handmade-nails-moq-100, friendlyName="Peach Cow Print Bow Heart" - Wholesale Ultra-Soft Flexible Fit Handmade Nails (MOQ=100)</x:v>
      </x:c>
      <x:c r="D2118" s="18" t="str">
        <x:v>Size: XS / S / M / L</x:v>
      </x:c>
      <x:c r="E2118" s="25" t="str">
        <x:v>$1.99</x:v>
      </x:c>
      <x:c r="F2118" s="19" t="str">
        <x:v>100</x:v>
      </x:c>
    </x:row>
    <x:row r="2119" ht="93" customHeight="1">
      <x:c r="A2119" s="19" t="n">
        <x:v>2116</x:v>
      </x:c>
      <x:c r="B2119" s="22" t="e">
        <x:f>HYPERLINK("https://cdn.shopify.com/s/files/1/0918/6066/4603/files/efce0110b05835fa9cc5a1fd576e5ebb.jpg?v=1780043185","Open")</x:f>
        <x:v>HYPERLINK is not implemented. linkLocation=https://cdn.shopify.com/s/files/1/0918/6066/4603/files/efce0110b05835fa9cc5a1fd576e5ebb.jpg?v=1780043185, friendlyName=Open</x:v>
      </x:c>
      <x:c r="C2119" s="24" t="e">
        <x:f>HYPERLINK("https://365nails.com/products/pink-tiger-print-heart-crystal-wholesale-ultra-soft-flexible-fit-handmade-nails-moq-100","""Pink Tiger Print Heart Crystal"" - Wholesale Ultra-Soft Flexible Fit Handmade Nails (MOQ=100)")</x:f>
        <x:v>HYPERLINK is not implemented. linkLocation=https://365nails.com/products/pink-tiger-print-heart-crystal-wholesale-ultra-soft-flexible-fit-handmade-nails-moq-100, friendlyName="Pink Tiger Print Heart Crystal" - Wholesale Ultra-Soft Flexible Fit Handmade Nails (MOQ=100)</x:v>
      </x:c>
      <x:c r="D2119" s="18" t="str">
        <x:v>Size: XS / S / M / L</x:v>
      </x:c>
      <x:c r="E2119" s="25" t="str">
        <x:v>$1.99</x:v>
      </x:c>
      <x:c r="F2119" s="19" t="str">
        <x:v>100</x:v>
      </x:c>
    </x:row>
    <x:row r="2120" ht="93" customHeight="1">
      <x:c r="A2120" s="19" t="n">
        <x:v>2117</x:v>
      </x:c>
      <x:c r="B2120" s="22" t="e">
        <x:f>HYPERLINK("https://cdn.shopify.com/s/files/1/0918/6066/4603/files/b1cb13cd454a1b901f9ed81a13bdd41b.jpg?v=1780043116","Open")</x:f>
        <x:v>HYPERLINK is not implemented. linkLocation=https://cdn.shopify.com/s/files/1/0918/6066/4603/files/b1cb13cd454a1b901f9ed81a13bdd41b.jpg?v=1780043116, friendlyName=Open</x:v>
      </x:c>
      <x:c r="C2120" s="24" t="e">
        <x:f>HYPERLINK("https://365nails.com/products/peach-french-crystal-flower-wholesale-ultra-soft-flexible-fit-handmade-nails-moq-100","""Peach French Crystal Flower"" - Wholesale Ultra-Soft Flexible Fit Handmade Nails (MOQ=100)")</x:f>
        <x:v>HYPERLINK is not implemented. linkLocation=https://365nails.com/products/peach-french-crystal-flower-wholesale-ultra-soft-flexible-fit-handmade-nails-moq-100, friendlyName="Peach French Crystal Flower" - Wholesale Ultra-Soft Flexible Fit Handmade Nails (MOQ=100)</x:v>
      </x:c>
      <x:c r="D2120" s="18" t="str">
        <x:v>Size: XS / S / M / L</x:v>
      </x:c>
      <x:c r="E2120" s="25" t="str">
        <x:v>$1.99</x:v>
      </x:c>
      <x:c r="F2120" s="19" t="str">
        <x:v>100</x:v>
      </x:c>
    </x:row>
    <x:row r="2121" ht="93" customHeight="1">
      <x:c r="A2121" s="19" t="n">
        <x:v>2118</x:v>
      </x:c>
      <x:c r="B2121" s="22" t="e">
        <x:f>HYPERLINK("https://cdn.shopify.com/s/files/1/0918/6066/4603/files/59dd48403231a36448d75ecd63d7a8b9.jpg?v=1780043037","Open")</x:f>
        <x:v>HYPERLINK is not implemented. linkLocation=https://cdn.shopify.com/s/files/1/0918/6066/4603/files/59dd48403231a36448d75ecd63d7a8b9.jpg?v=1780043037, friendlyName=Open</x:v>
      </x:c>
      <x:c r="C2121" s="24" t="e">
        <x:f>HYPERLINK("https://365nails.com/products/green-gradient-floral-crystal-wholesale-ultra-soft-flexible-fit-handmade-nails-moq-100","""Green Gradient Floral Crystal"" - Wholesale Ultra-Soft Flexible Fit Handmade Nails (MOQ=100)")</x:f>
        <x:v>HYPERLINK is not implemented. linkLocation=https://365nails.com/products/green-gradient-floral-crystal-wholesale-ultra-soft-flexible-fit-handmade-nails-moq-100, friendlyName="Green Gradient Floral Crystal" - Wholesale Ultra-Soft Flexible Fit Handmade Nails (MOQ=100)</x:v>
      </x:c>
      <x:c r="D2121" s="18" t="str">
        <x:v>Size: XS / S / M / L</x:v>
      </x:c>
      <x:c r="E2121" s="25" t="str">
        <x:v>$1.99</x:v>
      </x:c>
      <x:c r="F2121" s="19" t="str">
        <x:v>100</x:v>
      </x:c>
    </x:row>
    <x:row r="2122" ht="93" customHeight="1">
      <x:c r="A2122" s="19" t="n">
        <x:v>2119</x:v>
      </x:c>
      <x:c r="B2122" s="22" t="e">
        <x:f>HYPERLINK("https://cdn.shopify.com/s/files/1/0918/6066/4603/files/e64f7d54138cfd3e06d29781c0294896.jpg?v=1780042918","Open")</x:f>
        <x:v>HYPERLINK is not implemented. linkLocation=https://cdn.shopify.com/s/files/1/0918/6066/4603/files/e64f7d54138cfd3e06d29781c0294896.jpg?v=1780042918, friendlyName=Open</x:v>
      </x:c>
      <x:c r="C2122" s="24" t="e">
        <x:f>HYPERLINK("https://365nails.com/products/pink-cow-print-bow-star-wholesale-ultra-soft-flexible-fit-handmade-nails-moq-100","""Pink Cow Print Bow Star"" - Wholesale Ultra-Soft Flexible Fit Handmade Nails (MOQ=100)")</x:f>
        <x:v>HYPERLINK is not implemented. linkLocation=https://365nails.com/products/pink-cow-print-bow-star-wholesale-ultra-soft-flexible-fit-handmade-nails-moq-100, friendlyName="Pink Cow Print Bow Star" - Wholesale Ultra-Soft Flexible Fit Handmade Nails (MOQ=100)</x:v>
      </x:c>
      <x:c r="D2122" s="18" t="str">
        <x:v>Size: XS / S / M / L</x:v>
      </x:c>
      <x:c r="E2122" s="25" t="str">
        <x:v>$1.99</x:v>
      </x:c>
      <x:c r="F2122" s="19" t="str">
        <x:v>100</x:v>
      </x:c>
    </x:row>
    <x:row r="2123" ht="93" customHeight="1">
      <x:c r="A2123" s="19" t="n">
        <x:v>2120</x:v>
      </x:c>
      <x:c r="B2123" s="22" t="e">
        <x:f>HYPERLINK("https://cdn.shopify.com/s/files/1/0918/6066/4603/files/ad866ec4253cf48fd915f38148a5ed7c.jpg?v=1780042823","Open")</x:f>
        <x:v>HYPERLINK is not implemented. linkLocation=https://cdn.shopify.com/s/files/1/0918/6066/4603/files/ad866ec4253cf48fd915f38148a5ed7c.jpg?v=1780042823, friendlyName=Open</x:v>
      </x:c>
      <x:c r="C2123" s="24" t="e">
        <x:f>HYPERLINK("https://365nails.com/products/peach-floral-ocean-wholesale-ultra-soft-flexible-fit-handmade-nails-moq-100","""Peach Floral Ocean"" - Wholesale Ultra-Soft Flexible Fit Handmade Nails (MOQ=100)")</x:f>
        <x:v>HYPERLINK is not implemented. linkLocation=https://365nails.com/products/peach-floral-ocean-wholesale-ultra-soft-flexible-fit-handmade-nails-moq-100, friendlyName="Peach Floral Ocean" - Wholesale Ultra-Soft Flexible Fit Handmade Nails (MOQ=100)</x:v>
      </x:c>
      <x:c r="D2123" s="18" t="str">
        <x:v>Size: XS / S / M / L</x:v>
      </x:c>
      <x:c r="E2123" s="25" t="str">
        <x:v>$1.99</x:v>
      </x:c>
      <x:c r="F2123" s="19" t="str">
        <x:v>100</x:v>
      </x:c>
    </x:row>
    <x:row r="2124" ht="93" customHeight="1">
      <x:c r="A2124" s="19" t="n">
        <x:v>2121</x:v>
      </x:c>
      <x:c r="B2124" s="22" t="e">
        <x:f>HYPERLINK("https://cdn.shopify.com/s/files/1/0918/6066/4603/files/6170459e28661386864220e233047ed9.jpg?v=1780042700","Open")</x:f>
        <x:v>HYPERLINK is not implemented. linkLocation=https://cdn.shopify.com/s/files/1/0918/6066/4603/files/6170459e28661386864220e233047ed9.jpg?v=1780042700, friendlyName=Open</x:v>
      </x:c>
      <x:c r="C2124" s="24" t="e">
        <x:f>HYPERLINK("https://365nails.com/products/pink-french-flower-wholesale-ultra-soft-flexible-fit-handmade-nails-moq-100","""Pink French Flower"" - Wholesale Ultra-Soft Flexible Fit Handmade Nails (MOQ=100)")</x:f>
        <x:v>HYPERLINK is not implemented. linkLocation=https://365nails.com/products/pink-french-flower-wholesale-ultra-soft-flexible-fit-handmade-nails-moq-100, friendlyName="Pink French Flower" - Wholesale Ultra-Soft Flexible Fit Handmade Nails (MOQ=100)</x:v>
      </x:c>
      <x:c r="D2124" s="18" t="str">
        <x:v>Size: XS / S / M / L</x:v>
      </x:c>
      <x:c r="E2124" s="25" t="str">
        <x:v>$1.99</x:v>
      </x:c>
      <x:c r="F2124" s="19" t="str">
        <x:v>100</x:v>
      </x:c>
    </x:row>
    <x:row r="2125" ht="93" customHeight="1">
      <x:c r="A2125" s="19" t="n">
        <x:v>2122</x:v>
      </x:c>
      <x:c r="B2125" s="22" t="e">
        <x:f>HYPERLINK("https://cdn.shopify.com/s/files/1/0918/6066/4603/files/a7d83af5bdb023698497a996cc2d6269.jpg?v=1780042629","Open")</x:f>
        <x:v>HYPERLINK is not implemented. linkLocation=https://cdn.shopify.com/s/files/1/0918/6066/4603/files/a7d83af5bdb023698497a996cc2d6269.jpg?v=1780042629, friendlyName=Open</x:v>
      </x:c>
      <x:c r="C2125" s="24" t="e">
        <x:f>HYPERLINK("https://365nails.com/products/pink-floral-french-wholesale-ultra-soft-flexible-fit-handmade-nails-moq-100","""Pink Floral French"" - Wholesale Ultra-Soft Flexible Fit Handmade Nails (MOQ=100)")</x:f>
        <x:v>HYPERLINK is not implemented. linkLocation=https://365nails.com/products/pink-floral-french-wholesale-ultra-soft-flexible-fit-handmade-nails-moq-100, friendlyName="Pink Floral French" - Wholesale Ultra-Soft Flexible Fit Handmade Nails (MOQ=100)</x:v>
      </x:c>
      <x:c r="D2125" s="18" t="str">
        <x:v>Size: XS / S / M / L</x:v>
      </x:c>
      <x:c r="E2125" s="25" t="str">
        <x:v>$1.99</x:v>
      </x:c>
      <x:c r="F2125" s="19" t="str">
        <x:v>100</x:v>
      </x:c>
    </x:row>
    <x:row r="2126" ht="93" customHeight="1">
      <x:c r="A2126" s="19" t="n">
        <x:v>2123</x:v>
      </x:c>
      <x:c r="B2126" s="22" t="e">
        <x:f>HYPERLINK("https://cdn.shopify.com/s/files/1/0918/6066/4603/files/6ced875558632e6552e7bfad3e2f6540.jpg?v=1780042559","Open")</x:f>
        <x:v>HYPERLINK is not implemented. linkLocation=https://cdn.shopify.com/s/files/1/0918/6066/4603/files/6ced875558632e6552e7bfad3e2f6540.jpg?v=1780042559, friendlyName=Open</x:v>
      </x:c>
      <x:c r="C2126" s="24" t="e">
        <x:f>HYPERLINK("https://365nails.com/products/pastel-green-floral-butterfly-wholesale-ultra-soft-flexible-fit-handmade-nails-moq-100","""Pastel Green Floral Butterfly"" - Wholesale Ultra-Soft Flexible Fit Handmade Nails (MOQ=100)")</x:f>
        <x:v>HYPERLINK is not implemented. linkLocation=https://365nails.com/products/pastel-green-floral-butterfly-wholesale-ultra-soft-flexible-fit-handmade-nails-moq-100, friendlyName="Pastel Green Floral Butterfly" - Wholesale Ultra-Soft Flexible Fit Handmade Nails (MOQ=100)</x:v>
      </x:c>
      <x:c r="D2126" s="18" t="str">
        <x:v>Size: XS / S / M / L</x:v>
      </x:c>
      <x:c r="E2126" s="25" t="str">
        <x:v>$1.99</x:v>
      </x:c>
      <x:c r="F2126" s="19" t="str">
        <x:v>100</x:v>
      </x:c>
    </x:row>
    <x:row r="2127" ht="93" customHeight="1">
      <x:c r="A2127" s="19" t="n">
        <x:v>2124</x:v>
      </x:c>
      <x:c r="B2127" s="22" t="e">
        <x:f>HYPERLINK("https://cdn.shopify.com/s/files/1/0918/6066/4603/files/765062e4b2e499cadf0e5bfaed1d36ee.jpg?v=1780042072","Open")</x:f>
        <x:v>HYPERLINK is not implemented. linkLocation=https://cdn.shopify.com/s/files/1/0918/6066/4603/files/765062e4b2e499cadf0e5bfaed1d36ee.jpg?v=1780042072, friendlyName=Open</x:v>
      </x:c>
      <x:c r="C2127" s="24" t="e">
        <x:f>HYPERLINK("https://365nails.com/products/peach-black-hello-kitty-cross-wholesale-ultra-soft-flexible-fit-handmade-nails-moq-100","""Peach Black Hello Kitty Cross"" - Wholesale Ultra-Soft Flexible Fit Handmade Nails (MOQ=100)")</x:f>
        <x:v>HYPERLINK is not implemented. linkLocation=https://365nails.com/products/peach-black-hello-kitty-cross-wholesale-ultra-soft-flexible-fit-handmade-nails-moq-100, friendlyName="Peach Black Hello Kitty Cross" - Wholesale Ultra-Soft Flexible Fit Handmade Nails (MOQ=100)</x:v>
      </x:c>
      <x:c r="D2127" s="18" t="str">
        <x:v>Size: XS / S / M / L</x:v>
      </x:c>
      <x:c r="E2127" s="25" t="str">
        <x:v>$1.99</x:v>
      </x:c>
      <x:c r="F2127" s="19" t="str">
        <x:v>100</x:v>
      </x:c>
    </x:row>
    <x:row r="2128" ht="93" customHeight="1">
      <x:c r="A2128" s="19" t="n">
        <x:v>2125</x:v>
      </x:c>
      <x:c r="B2128" s="22" t="e">
        <x:f>HYPERLINK("https://cdn.shopify.com/s/files/1/0918/6066/4603/files/e649ce797c4b59d4eefe4301454515b5.jpg?v=1780041895","Open")</x:f>
        <x:v>HYPERLINK is not implemented. linkLocation=https://cdn.shopify.com/s/files/1/0918/6066/4603/files/e649ce797c4b59d4eefe4301454515b5.jpg?v=1780041895, friendlyName=Open</x:v>
      </x:c>
      <x:c r="C2128" s="24" t="e">
        <x:f>HYPERLINK("https://365nails.com/products/sunset-floral-gradient-wholesale-ultra-soft-flexible-fit-handmade-nails-moq-102","""Sunset Floral Gradient"" - Wholesale Ultra-Soft Flexible Fit Handmade Nails (MOQ=100)")</x:f>
        <x:v>HYPERLINK is not implemented. linkLocation=https://365nails.com/products/sunset-floral-gradient-wholesale-ultra-soft-flexible-fit-handmade-nails-moq-102, friendlyName="Sunset Floral Gradient" - Wholesale Ultra-Soft Flexible Fit Handmade Nails (MOQ=100)</x:v>
      </x:c>
      <x:c r="D2128" s="18" t="str">
        <x:v>Size: XS / S / M / L</x:v>
      </x:c>
      <x:c r="E2128" s="25" t="str">
        <x:v>$1.99</x:v>
      </x:c>
      <x:c r="F2128" s="19" t="str">
        <x:v>100</x:v>
      </x:c>
    </x:row>
    <x:row r="2129" ht="93" customHeight="1">
      <x:c r="A2129" s="19" t="n">
        <x:v>2126</x:v>
      </x:c>
      <x:c r="B2129" s="22" t="e">
        <x:f>HYPERLINK("https://cdn.shopify.com/s/files/1/0918/6066/4603/files/697ac47f1ba9dfcfc3c11c97ec1fd97f.jpg?v=1780041550","Open")</x:f>
        <x:v>HYPERLINK is not implemented. linkLocation=https://cdn.shopify.com/s/files/1/0918/6066/4603/files/697ac47f1ba9dfcfc3c11c97ec1fd97f.jpg?v=1780041550, friendlyName=Open</x:v>
      </x:c>
      <x:c r="C2129" s="24" t="e">
        <x:f>HYPERLINK("https://365nails.com/products/red-coral-floral-wholesale-ultra-soft-flexible-fit-handmade-nails-moq-100","""Red Coral Floral"" - Wholesale Ultra-Soft Flexible Fit Handmade Nails (MOQ=100)")</x:f>
        <x:v>HYPERLINK is not implemented. linkLocation=https://365nails.com/products/red-coral-floral-wholesale-ultra-soft-flexible-fit-handmade-nails-moq-100, friendlyName="Red Coral Floral" - Wholesale Ultra-Soft Flexible Fit Handmade Nails (MOQ=100)</x:v>
      </x:c>
      <x:c r="D2129" s="18" t="str">
        <x:v>Size: XS / S / M / L</x:v>
      </x:c>
      <x:c r="E2129" s="25" t="str">
        <x:v>$1.99</x:v>
      </x:c>
      <x:c r="F2129" s="19" t="str">
        <x:v>100</x:v>
      </x:c>
    </x:row>
    <x:row r="2130" ht="93" customHeight="1">
      <x:c r="A2130" s="19" t="n">
        <x:v>2127</x:v>
      </x:c>
      <x:c r="B2130" s="22" t="e">
        <x:f>HYPERLINK("https://cdn.shopify.com/s/files/1/0918/6066/4603/files/af56c8cbc55a10b4f58bbd4965232455.jpg?v=1780041146","Open")</x:f>
        <x:v>HYPERLINK is not implemented. linkLocation=https://cdn.shopify.com/s/files/1/0918/6066/4603/files/af56c8cbc55a10b4f58bbd4965232455.jpg?v=1780041146, friendlyName=Open</x:v>
      </x:c>
      <x:c r="C2130" s="24" t="e">
        <x:f>HYPERLINK("https://365nails.com/products/pastel-ocean-starfish-wholesale-ultra-soft-flexible-fit-handmade-nails-moq-100","""Pastel Ocean Starfish"" - Wholesale Ultra-Soft Flexible Fit Handmade Nails (MOQ=100)")</x:f>
        <x:v>HYPERLINK is not implemented. linkLocation=https://365nails.com/products/pastel-ocean-starfish-wholesale-ultra-soft-flexible-fit-handmade-nails-moq-100, friendlyName="Pastel Ocean Starfish" - Wholesale Ultra-Soft Flexible Fit Handmade Nails (MOQ=100)</x:v>
      </x:c>
      <x:c r="D2130" s="18" t="str">
        <x:v>Size: XS / S / M / L</x:v>
      </x:c>
      <x:c r="E2130" s="25" t="str">
        <x:v>$1.99</x:v>
      </x:c>
      <x:c r="F2130" s="19" t="str">
        <x:v>100</x:v>
      </x:c>
    </x:row>
    <x:row r="2131" ht="93" customHeight="1">
      <x:c r="A2131" s="19" t="n">
        <x:v>2128</x:v>
      </x:c>
      <x:c r="B2131" s="22" t="e">
        <x:f>HYPERLINK("https://cdn.shopify.com/s/files/1/0918/6066/4603/files/1628786909a81a84b5947ab9439cc7e4.jpg?v=1780040457","Open")</x:f>
        <x:v>HYPERLINK is not implemented. linkLocation=https://cdn.shopify.com/s/files/1/0918/6066/4603/files/1628786909a81a84b5947ab9439cc7e4.jpg?v=1780040457, friendlyName=Open</x:v>
      </x:c>
      <x:c r="C2131" s="24" t="e">
        <x:f>HYPERLINK("https://365nails.com/products/pink-white-rose-gold-wholesale-ultra-soft-flexible-fit-handmade-nails-moq-100","""Pink White Rose Gold"" - Wholesale Ultra-Soft Flexible Fit Handmade Nails (MOQ=100)")</x:f>
        <x:v>HYPERLINK is not implemented. linkLocation=https://365nails.com/products/pink-white-rose-gold-wholesale-ultra-soft-flexible-fit-handmade-nails-moq-100, friendlyName="Pink White Rose Gold" - Wholesale Ultra-Soft Flexible Fit Handmade Nails (MOQ=100)</x:v>
      </x:c>
      <x:c r="D2131" s="18" t="str">
        <x:v>Size: XS / S / M / L</x:v>
      </x:c>
      <x:c r="E2131" s="25" t="str">
        <x:v>$1.99</x:v>
      </x:c>
      <x:c r="F2131" s="19" t="str">
        <x:v>100</x:v>
      </x:c>
    </x:row>
    <x:row r="2132" ht="93" customHeight="1">
      <x:c r="A2132" s="19" t="n">
        <x:v>2129</x:v>
      </x:c>
      <x:c r="B2132" s="22" t="e">
        <x:f>HYPERLINK("https://cdn.shopify.com/s/files/1/0918/6066/4603/files/d42bc517c5f92132d95086d5502825b5.jpg?v=1780040281","Open")</x:f>
        <x:v>HYPERLINK is not implemented. linkLocation=https://cdn.shopify.com/s/files/1/0918/6066/4603/files/d42bc517c5f92132d95086d5502825b5.jpg?v=1780040281, friendlyName=Open</x:v>
      </x:c>
      <x:c r="C2132" s="24" t="e">
        <x:f>HYPERLINK("https://365nails.com/products/neon-french-crystal-shell-wholesale-ultra-soft-flexible-fit-handmade-nails-moq-100","""Neon French Crystal Shell"" - Wholesale Ultra-Soft Flexible Fit Handmade Nails (MOQ=100)")</x:f>
        <x:v>HYPERLINK is not implemented. linkLocation=https://365nails.com/products/neon-french-crystal-shell-wholesale-ultra-soft-flexible-fit-handmade-nails-moq-100, friendlyName="Neon French Crystal Shell" - Wholesale Ultra-Soft Flexible Fit Handmade Nails (MOQ=100)</x:v>
      </x:c>
      <x:c r="D2132" s="18" t="str">
        <x:v>Size: XS / S / M / L</x:v>
      </x:c>
      <x:c r="E2132" s="25" t="str">
        <x:v>$1.99</x:v>
      </x:c>
      <x:c r="F2132" s="19" t="str">
        <x:v>100</x:v>
      </x:c>
    </x:row>
    <x:row r="2133" ht="93" customHeight="1">
      <x:c r="A2133" s="19" t="n">
        <x:v>2130</x:v>
      </x:c>
      <x:c r="B2133" s="22" t="e">
        <x:f>HYPERLINK("https://cdn.shopify.com/s/files/1/0918/6066/4603/files/e268379afe8f673a5fc292c1cd534015.jpg?v=1780040172","Open")</x:f>
        <x:v>HYPERLINK is not implemented. linkLocation=https://cdn.shopify.com/s/files/1/0918/6066/4603/files/e268379afe8f673a5fc292c1cd534015.jpg?v=1780040172, friendlyName=Open</x:v>
      </x:c>
      <x:c r="C2133" s="24" t="e">
        <x:f>HYPERLINK("https://365nails.com/products/pastel-ocean-shell-wholesale-ultra-soft-flexible-fit-handmade-nails-moq-100","""Pastel Ocean Shell"" - Wholesale Ultra-Soft Flexible Fit Handmade Nails (MOQ=100)")</x:f>
        <x:v>HYPERLINK is not implemented. linkLocation=https://365nails.com/products/pastel-ocean-shell-wholesale-ultra-soft-flexible-fit-handmade-nails-moq-100, friendlyName="Pastel Ocean Shell" - Wholesale Ultra-Soft Flexible Fit Handmade Nails (MOQ=100)</x:v>
      </x:c>
      <x:c r="D2133" s="18" t="str">
        <x:v>Size: XS / S / M / L</x:v>
      </x:c>
      <x:c r="E2133" s="25" t="str">
        <x:v>$1.99</x:v>
      </x:c>
      <x:c r="F2133" s="19" t="str">
        <x:v>100</x:v>
      </x:c>
    </x:row>
    <x:row r="2134" ht="93" customHeight="1">
      <x:c r="A2134" s="19" t="n">
        <x:v>2131</x:v>
      </x:c>
      <x:c r="B2134" s="22" t="e">
        <x:f>HYPERLINK("https://cdn.shopify.com/s/files/1/0918/6066/4603/files/5df2b4a13d00fde6376db5738db37267.jpg?v=1780040080","Open")</x:f>
        <x:v>HYPERLINK is not implemented. linkLocation=https://cdn.shopify.com/s/files/1/0918/6066/4603/files/5df2b4a13d00fde6376db5738db37267.jpg?v=1780040080, friendlyName=Open</x:v>
      </x:c>
      <x:c r="C2134" s="24" t="e">
        <x:f>HYPERLINK("https://365nails.com/products/sunset-gradient-bow-star-wholesale-ultra-soft-flexible-fit-handmade-nails-moq-100","""Sunset Gradient Bow Star"" - Wholesale Ultra-Soft Flexible Fit Handmade Nails (MOQ=100)")</x:f>
        <x:v>HYPERLINK is not implemented. linkLocation=https://365nails.com/products/sunset-gradient-bow-star-wholesale-ultra-soft-flexible-fit-handmade-nails-moq-100, friendlyName="Sunset Gradient Bow Star" - Wholesale Ultra-Soft Flexible Fit Handmade Nails (MOQ=100)</x:v>
      </x:c>
      <x:c r="D2134" s="18" t="str">
        <x:v>Size: XS / S / M / L</x:v>
      </x:c>
      <x:c r="E2134" s="25" t="str">
        <x:v>$1.99</x:v>
      </x:c>
      <x:c r="F2134" s="19" t="str">
        <x:v>100</x:v>
      </x:c>
    </x:row>
    <x:row r="2135" ht="93" customHeight="1">
      <x:c r="A2135" s="19" t="n">
        <x:v>2132</x:v>
      </x:c>
      <x:c r="B2135" s="22" t="e">
        <x:f>HYPERLINK("https://cdn.shopify.com/s/files/1/0918/6066/4603/files/1cecd104becd11e7a5e9dcbd63319363.jpg?v=1780040005","Open")</x:f>
        <x:v>HYPERLINK is not implemented. linkLocation=https://cdn.shopify.com/s/files/1/0918/6066/4603/files/1cecd104becd11e7a5e9dcbd63319363.jpg?v=1780040005, friendlyName=Open</x:v>
      </x:c>
      <x:c r="C2135" s="24" t="e">
        <x:f>HYPERLINK("https://365nails.com/products/pink-french-bow-star-wholesale-ultra-soft-flexible-fit-handmade-nails-moq-100","""Pink French Bow Star"" - Wholesale Ultra-Soft Flexible Fit Handmade Nails (MOQ=100)")</x:f>
        <x:v>HYPERLINK is not implemented. linkLocation=https://365nails.com/products/pink-french-bow-star-wholesale-ultra-soft-flexible-fit-handmade-nails-moq-100, friendlyName="Pink French Bow Star" - Wholesale Ultra-Soft Flexible Fit Handmade Nails (MOQ=100)</x:v>
      </x:c>
      <x:c r="D2135" s="18" t="str">
        <x:v>Size: XS / S / M / L</x:v>
      </x:c>
      <x:c r="E2135" s="25" t="str">
        <x:v>$1.99</x:v>
      </x:c>
      <x:c r="F2135" s="19" t="str">
        <x:v>100</x:v>
      </x:c>
    </x:row>
    <x:row r="2136" ht="93" customHeight="1">
      <x:c r="A2136" s="19" t="n">
        <x:v>2133</x:v>
      </x:c>
      <x:c r="B2136" s="22" t="e">
        <x:f>HYPERLINK("https://cdn.shopify.com/s/files/1/0918/6066/4603/files/95518049b07679487f515aca46b169fc.jpg?v=1780039917","Open")</x:f>
        <x:v>HYPERLINK is not implemented. linkLocation=https://cdn.shopify.com/s/files/1/0918/6066/4603/files/95518049b07679487f515aca46b169fc.jpg?v=1780039917, friendlyName=Open</x:v>
      </x:c>
      <x:c r="C2136" s="24" t="e">
        <x:f>HYPERLINK("https://365nails.com/products/peach-pink-crystal-floral-wholesale-ultra-soft-flexible-fit-handmade-nails-moq-100","""Peach Pink Crystal Floral"" - Wholesale Ultra-Soft Flexible Fit Handmade Nails (MOQ=100)")</x:f>
        <x:v>HYPERLINK is not implemented. linkLocation=https://365nails.com/products/peach-pink-crystal-floral-wholesale-ultra-soft-flexible-fit-handmade-nails-moq-100, friendlyName="Peach Pink Crystal Floral" - Wholesale Ultra-Soft Flexible Fit Handmade Nails (MOQ=100)</x:v>
      </x:c>
      <x:c r="D2136" s="18" t="str">
        <x:v>Size: XS / S / M / L</x:v>
      </x:c>
      <x:c r="E2136" s="25" t="str">
        <x:v>$1.99</x:v>
      </x:c>
      <x:c r="F2136" s="19" t="str">
        <x:v>100</x:v>
      </x:c>
    </x:row>
    <x:row r="2137" ht="93" customHeight="1">
      <x:c r="A2137" s="19" t="n">
        <x:v>2134</x:v>
      </x:c>
      <x:c r="B2137" s="22" t="e">
        <x:f>HYPERLINK("https://cdn.shopify.com/s/files/1/0918/6066/4603/files/b4dd8b8a8fcb05eb13435cd5d967f50b.jpg?v=1780039712","Open")</x:f>
        <x:v>HYPERLINK is not implemented. linkLocation=https://cdn.shopify.com/s/files/1/0918/6066/4603/files/b4dd8b8a8fcb05eb13435cd5d967f50b.jpg?v=1780039712, friendlyName=Open</x:v>
      </x:c>
      <x:c r="C2137" s="24" t="e">
        <x:f>HYPERLINK("https://365nails.com/products/peach-hello-kitty-wholesale-ultra-soft-flexible-fit-handmade-nails-moq-100","""Peach Hello Kitty"" - Wholesale Ultra-Soft Flexible Fit Handmade Nails (MOQ=100)")</x:f>
        <x:v>HYPERLINK is not implemented. linkLocation=https://365nails.com/products/peach-hello-kitty-wholesale-ultra-soft-flexible-fit-handmade-nails-moq-100, friendlyName="Peach Hello Kitty" - Wholesale Ultra-Soft Flexible Fit Handmade Nails (MOQ=100)</x:v>
      </x:c>
      <x:c r="D2137" s="18" t="str">
        <x:v>Size: XS / S / M / L</x:v>
      </x:c>
      <x:c r="E2137" s="25" t="str">
        <x:v>$1.99</x:v>
      </x:c>
      <x:c r="F2137" s="19" t="str">
        <x:v>100</x:v>
      </x:c>
    </x:row>
    <x:row r="2138" ht="93" customHeight="1">
      <x:c r="A2138" s="19" t="n">
        <x:v>2135</x:v>
      </x:c>
      <x:c r="B2138" s="22" t="e">
        <x:f>HYPERLINK("https://cdn.shopify.com/s/files/1/0918/6066/4603/files/f146a3345458db5a76d8e071392a82ad.jpg?v=1780039433","Open")</x:f>
        <x:v>HYPERLINK is not implemented. linkLocation=https://cdn.shopify.com/s/files/1/0918/6066/4603/files/f146a3345458db5a76d8e071392a82ad.jpg?v=1780039433, friendlyName=Open</x:v>
      </x:c>
      <x:c r="C2138" s="24" t="e">
        <x:f>HYPERLINK("https://365nails.com/products/peach-blue-zebra-wholesale-ultra-soft-flexible-fit-handmade-nails-moq-100","""Peach Blue Zebra"" - Wholesale Ultra-Soft Flexible Fit Handmade Nails (MOQ=100)")</x:f>
        <x:v>HYPERLINK is not implemented. linkLocation=https://365nails.com/products/peach-blue-zebra-wholesale-ultra-soft-flexible-fit-handmade-nails-moq-100, friendlyName="Peach Blue Zebra" - Wholesale Ultra-Soft Flexible Fit Handmade Nails (MOQ=100)</x:v>
      </x:c>
      <x:c r="D2138" s="18" t="str">
        <x:v>Size: XS / S / M / L</x:v>
      </x:c>
      <x:c r="E2138" s="25" t="str">
        <x:v>$1.99</x:v>
      </x:c>
      <x:c r="F2138" s="19" t="str">
        <x:v>100</x:v>
      </x:c>
    </x:row>
    <x:row r="2139" ht="93" customHeight="1">
      <x:c r="A2139" s="19" t="n">
        <x:v>2136</x:v>
      </x:c>
      <x:c r="B2139" s="22" t="e">
        <x:f>HYPERLINK("https://cdn.shopify.com/s/files/1/0918/6066/4603/files/3d7df12e0fba569bed561360359f8753.jpg?v=1780039264","Open")</x:f>
        <x:v>HYPERLINK is not implemented. linkLocation=https://cdn.shopify.com/s/files/1/0918/6066/4603/files/3d7df12e0fba569bed561360359f8753.jpg?v=1780039264, friendlyName=Open</x:v>
      </x:c>
      <x:c r="C2139" s="24" t="e">
        <x:f>HYPERLINK("https://365nails.com/products/pastel-leopard-star-wholesale-ultra-soft-flexible-fit-handmade-nails-moq-100","""Pastel Leopard Star"" - Wholesale Ultra-Soft Flexible Fit Handmade Nails (MOQ=100)")</x:f>
        <x:v>HYPERLINK is not implemented. linkLocation=https://365nails.com/products/pastel-leopard-star-wholesale-ultra-soft-flexible-fit-handmade-nails-moq-100, friendlyName="Pastel Leopard Star" - Wholesale Ultra-Soft Flexible Fit Handmade Nails (MOQ=100)</x:v>
      </x:c>
      <x:c r="D2139" s="18" t="str">
        <x:v>Size: XS / S / M / L</x:v>
      </x:c>
      <x:c r="E2139" s="25" t="str">
        <x:v>$1.99</x:v>
      </x:c>
      <x:c r="F2139" s="19" t="str">
        <x:v>100</x:v>
      </x:c>
    </x:row>
    <x:row r="2140" ht="93" customHeight="1">
      <x:c r="A2140" s="19" t="n">
        <x:v>2137</x:v>
      </x:c>
      <x:c r="B2140" s="22" t="e">
        <x:f>HYPERLINK("https://cdn.shopify.com/s/files/1/0918/6066/4603/files/5ed0df9b5e0b7ded5c7dfe8b56ff1bf5.jpg?v=1780039169","Open")</x:f>
        <x:v>HYPERLINK is not implemented. linkLocation=https://cdn.shopify.com/s/files/1/0918/6066/4603/files/5ed0df9b5e0b7ded5c7dfe8b56ff1bf5.jpg?v=1780039169, friendlyName=Open</x:v>
      </x:c>
      <x:c r="C2140" s="24" t="e">
        <x:f>HYPERLINK("https://365nails.com/products/sunset-floral-gradient-wholesale-ultra-soft-flexible-fit-handmade-nails-moq-101","""Sunset Floral Gradient"" - Wholesale Ultra-Soft Flexible Fit Handmade Nails (MOQ=100)")</x:f>
        <x:v>HYPERLINK is not implemented. linkLocation=https://365nails.com/products/sunset-floral-gradient-wholesale-ultra-soft-flexible-fit-handmade-nails-moq-101, friendlyName="Sunset Floral Gradient" - Wholesale Ultra-Soft Flexible Fit Handmade Nails (MOQ=100)</x:v>
      </x:c>
      <x:c r="D2140" s="18" t="str">
        <x:v>Size: XS / S / M / L</x:v>
      </x:c>
      <x:c r="E2140" s="25" t="str">
        <x:v>$1.99</x:v>
      </x:c>
      <x:c r="F2140" s="19" t="str">
        <x:v>100</x:v>
      </x:c>
    </x:row>
    <x:row r="2141" ht="93" customHeight="1">
      <x:c r="A2141" s="19" t="n">
        <x:v>2138</x:v>
      </x:c>
      <x:c r="B2141" s="22" t="e">
        <x:f>HYPERLINK("https://cdn.shopify.com/s/files/1/0918/6066/4603/files/3cadaf194658dec42d249299ac677d6d.jpg?v=1780038994","Open")</x:f>
        <x:v>HYPERLINK is not implemented. linkLocation=https://cdn.shopify.com/s/files/1/0918/6066/4603/files/3cadaf194658dec42d249299ac677d6d.jpg?v=1780038994, friendlyName=Open</x:v>
      </x:c>
      <x:c r="C2141" s="24" t="e">
        <x:f>HYPERLINK("https://365nails.com/products/peach-french-flower-wholesale-ultra-soft-flexible-fit-handmade-nails-moq-101","""Peach French Flower"" - Wholesale Ultra-Soft Flexible Fit Handmade Nails (MOQ=100)")</x:f>
        <x:v>HYPERLINK is not implemented. linkLocation=https://365nails.com/products/peach-french-flower-wholesale-ultra-soft-flexible-fit-handmade-nails-moq-101, friendlyName="Peach French Flower" - Wholesale Ultra-Soft Flexible Fit Handmade Nails (MOQ=100)</x:v>
      </x:c>
      <x:c r="D2141" s="18" t="str">
        <x:v>Size: XS / S / M / L</x:v>
      </x:c>
      <x:c r="E2141" s="25" t="str">
        <x:v>$1.99</x:v>
      </x:c>
      <x:c r="F2141" s="19" t="str">
        <x:v>100</x:v>
      </x:c>
    </x:row>
    <x:row r="2142" ht="93" customHeight="1">
      <x:c r="A2142" s="19" t="n">
        <x:v>2139</x:v>
      </x:c>
      <x:c r="B2142" s="22" t="e">
        <x:f>HYPERLINK("https://cdn.shopify.com/s/files/1/0918/6066/4603/files/478069194f44d82c86f6e2d9f016c027.jpg?v=1780038846","Open")</x:f>
        <x:v>HYPERLINK is not implemented. linkLocation=https://cdn.shopify.com/s/files/1/0918/6066/4603/files/478069194f44d82c86f6e2d9f016c027.jpg?v=1780038846, friendlyName=Open</x:v>
      </x:c>
      <x:c r="C2142" s="24" t="e">
        <x:f>HYPERLINK("https://365nails.com/products/pink-polka-dot-flower-wholesale-ultra-soft-flexible-fit-handmade-nails-moq-100","""Pink Polka Dot Flower"" - Wholesale Ultra-Soft Flexible Fit Handmade Nails (MOQ=100)")</x:f>
        <x:v>HYPERLINK is not implemented. linkLocation=https://365nails.com/products/pink-polka-dot-flower-wholesale-ultra-soft-flexible-fit-handmade-nails-moq-100, friendlyName="Pink Polka Dot Flower" - Wholesale Ultra-Soft Flexible Fit Handmade Nails (MOQ=100)</x:v>
      </x:c>
      <x:c r="D2142" s="18" t="str">
        <x:v>Size: XS / S / M / L</x:v>
      </x:c>
      <x:c r="E2142" s="25" t="str">
        <x:v>$1.99</x:v>
      </x:c>
      <x:c r="F2142" s="19" t="str">
        <x:v>100</x:v>
      </x:c>
    </x:row>
    <x:row r="2143" ht="93" customHeight="1">
      <x:c r="A2143" s="19" t="n">
        <x:v>2140</x:v>
      </x:c>
      <x:c r="B2143" s="22" t="e">
        <x:f>HYPERLINK("https://cdn.shopify.com/s/files/1/0918/6066/4603/files/a48868339a3a0fc7ad816ef320ade747.jpg?v=1780038581","Open")</x:f>
        <x:v>HYPERLINK is not implemented. linkLocation=https://cdn.shopify.com/s/files/1/0918/6066/4603/files/a48868339a3a0fc7ad816ef320ade747.jpg?v=1780038581, friendlyName=Open</x:v>
      </x:c>
      <x:c r="C2143" s="24" t="e">
        <x:f>HYPERLINK("https://365nails.com/products/pink-blue-ocean-shell-wholesale-ultra-soft-flexible-fit-handmade-nails-moq-100","""Pink Blue Ocean Shell"" - Wholesale Ultra-Soft Flexible Fit Handmade Nails (MOQ=100)")</x:f>
        <x:v>HYPERLINK is not implemented. linkLocation=https://365nails.com/products/pink-blue-ocean-shell-wholesale-ultra-soft-flexible-fit-handmade-nails-moq-100, friendlyName="Pink Blue Ocean Shell" - Wholesale Ultra-Soft Flexible Fit Handmade Nails (MOQ=100)</x:v>
      </x:c>
      <x:c r="D2143" s="18" t="str">
        <x:v>Size: XS / S / M / L</x:v>
      </x:c>
      <x:c r="E2143" s="25" t="str">
        <x:v>$1.99</x:v>
      </x:c>
      <x:c r="F2143" s="19" t="str">
        <x:v>100</x:v>
      </x:c>
    </x:row>
    <x:row r="2144" ht="93" customHeight="1">
      <x:c r="A2144" s="19" t="n">
        <x:v>2141</x:v>
      </x:c>
      <x:c r="B2144" s="22" t="e">
        <x:f>HYPERLINK("https://cdn.shopify.com/s/files/1/0918/6066/4603/files/3e1470b20504d89f9df65d8718b3fa83.jpg?v=1780038492","Open")</x:f>
        <x:v>HYPERLINK is not implemented. linkLocation=https://cdn.shopify.com/s/files/1/0918/6066/4603/files/3e1470b20504d89f9df65d8718b3fa83.jpg?v=1780038492, friendlyName=Open</x:v>
      </x:c>
      <x:c r="C2144" s="24" t="e">
        <x:f>HYPERLINK("https://365nails.com/products/pink-green-gradient-flower-wholesale-ultra-soft-flexible-fit-handmade-nails-moq-100","""Pink Green Gradient Flower"" - Wholesale Ultra-Soft Flexible Fit Handmade Nails (MOQ=100)")</x:f>
        <x:v>HYPERLINK is not implemented. linkLocation=https://365nails.com/products/pink-green-gradient-flower-wholesale-ultra-soft-flexible-fit-handmade-nails-moq-100, friendlyName="Pink Green Gradient Flower" - Wholesale Ultra-Soft Flexible Fit Handmade Nails (MOQ=100)</x:v>
      </x:c>
      <x:c r="D2144" s="18" t="str">
        <x:v>Size: XS / S / M / L</x:v>
      </x:c>
      <x:c r="E2144" s="25" t="str">
        <x:v>$1.99</x:v>
      </x:c>
      <x:c r="F2144" s="19" t="str">
        <x:v>100</x:v>
      </x:c>
    </x:row>
    <x:row r="2145" ht="93" customHeight="1">
      <x:c r="A2145" s="19" t="n">
        <x:v>2142</x:v>
      </x:c>
      <x:c r="B2145" s="22" t="e">
        <x:f>HYPERLINK("https://cdn.shopify.com/s/files/1/0918/6066/4603/files/cae556fb5d64ad9e30125941cd708662.jpg?v=1780038411","Open")</x:f>
        <x:v>HYPERLINK is not implemented. linkLocation=https://cdn.shopify.com/s/files/1/0918/6066/4603/files/cae556fb5d64ad9e30125941cd708662.jpg?v=1780038411, friendlyName=Open</x:v>
      </x:c>
      <x:c r="C2145" s="24" t="e">
        <x:f>HYPERLINK("https://365nails.com/products/pink-red-french-cherry-leopard-wholesale-ultra-soft-flexible-fit-handmade-nails-moq-100","""Pink Red French Cherry Leopard"" - Wholesale Ultra-Soft Flexible Fit Handmade Nails (MOQ=100)")</x:f>
        <x:v>HYPERLINK is not implemented. linkLocation=https://365nails.com/products/pink-red-french-cherry-leopard-wholesale-ultra-soft-flexible-fit-handmade-nails-moq-100, friendlyName="Pink Red French Cherry Leopard" - Wholesale Ultra-Soft Flexible Fit Handmade Nails (MOQ=100)</x:v>
      </x:c>
      <x:c r="D2145" s="18" t="str">
        <x:v>Size: XS / S / M / L</x:v>
      </x:c>
      <x:c r="E2145" s="25" t="str">
        <x:v>$1.99</x:v>
      </x:c>
      <x:c r="F2145" s="19" t="str">
        <x:v>100</x:v>
      </x:c>
    </x:row>
    <x:row r="2146" ht="93" customHeight="1">
      <x:c r="A2146" s="19" t="n">
        <x:v>2143</x:v>
      </x:c>
      <x:c r="B2146" s="22" t="e">
        <x:f>HYPERLINK("https://cdn.shopify.com/s/files/1/0918/6066/4603/files/O1CN01zWN1iB2MQzdGbcJzz__2219089449823-0-cib.jpg?v=1774066352","Open")</x:f>
        <x:v>HYPERLINK is not implemented. linkLocation=https://cdn.shopify.com/s/files/1/0918/6066/4603/files/O1CN01zWN1iB2MQzdGbcJzz__2219089449823-0-cib.jpg?v=1774066352, friendlyName=Open</x:v>
      </x:c>
      <x:c r="C2146" s="24" t="e">
        <x:f>HYPERLINK("https://365nails.com/products/gothic-noir-crimson-bondage-almond-shape-handmade-studded-press-on-nails","365nails-Gothic Noir: ""Crimson Bondage"" – Almond Shape Handmade Studded Press-On Nails")</x:f>
        <x:v>HYPERLINK is not implemented. linkLocation=https://365nails.com/products/gothic-noir-crimson-bondage-almond-shape-handmade-studded-press-on-nails, friendlyName=365nails-Gothic Noir: "Crimson Bondage" – Almond Shape Handmade Studded Press-On Nails</x:v>
      </x:c>
      <x:c r="D2146" s="18" t="str">
        <x:v>Color: K028; Color classification: X s / S / M / L</x:v>
      </x:c>
      <x:c r="E2146" s="25" t="str">
        <x:v>$3.99</x:v>
      </x:c>
      <x:c r="F2146" s="19" t="str">
        <x:v>1</x:v>
      </x:c>
    </x:row>
    <x:row r="2147" ht="93" customHeight="1">
      <x:c r="A2147" s="19" t="n">
        <x:v>2144</x:v>
      </x:c>
      <x:c r="B2147" s="22" t="e">
        <x:f>HYPERLINK("https://cdn.shopify.com/s/files/1/0918/6066/4603/files/15469699eced0830a8832e672ceea76c.jpg?v=1779980821","Open")</x:f>
        <x:v>HYPERLINK is not implemented. linkLocation=https://cdn.shopify.com/s/files/1/0918/6066/4603/files/15469699eced0830a8832e672ceea76c.jpg?v=1779980821, friendlyName=Open</x:v>
      </x:c>
      <x:c r="C2147" s="24" t="e">
        <x:f>HYPERLINK("https://365nails.com/products/summer-tropical-starfish-wholesale-ultra-soft-flexible-fit-handmade-nails-moq-100","""Summer Tropical Starfish"" - Wholesale Ultra-Soft Flexible Fit Handmade Nails (MOQ=100)")</x:f>
        <x:v>HYPERLINK is not implemented. linkLocation=https://365nails.com/products/summer-tropical-starfish-wholesale-ultra-soft-flexible-fit-handmade-nails-moq-100, friendlyName="Summer Tropical Starfish" - Wholesale Ultra-Soft Flexible Fit Handmade Nails (MOQ=100)</x:v>
      </x:c>
      <x:c r="D2147" s="18" t="str">
        <x:v>Size: XS / S / M / L</x:v>
      </x:c>
      <x:c r="E2147" s="25" t="str">
        <x:v>$1.99</x:v>
      </x:c>
      <x:c r="F2147" s="19" t="str">
        <x:v>100</x:v>
      </x:c>
    </x:row>
    <x:row r="2148" ht="93" customHeight="1">
      <x:c r="A2148" s="19" t="n">
        <x:v>2145</x:v>
      </x:c>
      <x:c r="B2148" s="22" t="e">
        <x:f>HYPERLINK("https://cdn.shopify.com/s/files/1/0918/6066/4603/files/92545f42525bd983c4ac6ee6cdf46cb5.jpg?v=1779980662","Open")</x:f>
        <x:v>HYPERLINK is not implemented. linkLocation=https://cdn.shopify.com/s/files/1/0918/6066/4603/files/92545f42525bd983c4ac6ee6cdf46cb5.jpg?v=1779980662, friendlyName=Open</x:v>
      </x:c>
      <x:c r="C2148" s="24" t="e">
        <x:f>HYPERLINK("https://365nails.com/products/peach-watercolor-floral-wholesale-ultra-soft-flexible-fit-handmade-nails-moq-100","""Peach Watercolor Floral"" - Wholesale Ultra-Soft Flexible Fit Handmade Nails (MOQ=100)")</x:f>
        <x:v>HYPERLINK is not implemented. linkLocation=https://365nails.com/products/peach-watercolor-floral-wholesale-ultra-soft-flexible-fit-handmade-nails-moq-100, friendlyName="Peach Watercolor Floral" - Wholesale Ultra-Soft Flexible Fit Handmade Nails (MOQ=100)</x:v>
      </x:c>
      <x:c r="D2148" s="18" t="str">
        <x:v>Size: XS / S / M / L</x:v>
      </x:c>
      <x:c r="E2148" s="25" t="str">
        <x:v>$1.99</x:v>
      </x:c>
      <x:c r="F2148" s="19" t="str">
        <x:v>100</x:v>
      </x:c>
    </x:row>
    <x:row r="2149" ht="93" customHeight="1">
      <x:c r="A2149" s="19" t="n">
        <x:v>2146</x:v>
      </x:c>
      <x:c r="B2149" s="22" t="e">
        <x:f>HYPERLINK("https://cdn.shopify.com/s/files/1/0918/6066/4603/files/c3730cace2a460be43ec42eec22eadbc.jpg?v=1779980213","Open")</x:f>
        <x:v>HYPERLINK is not implemented. linkLocation=https://cdn.shopify.com/s/files/1/0918/6066/4603/files/c3730cace2a460be43ec42eec22eadbc.jpg?v=1779980213, friendlyName=Open</x:v>
      </x:c>
      <x:c r="C2149" s="24" t="e">
        <x:f>HYPERLINK("https://365nails.com/products/sunset-floral-gradient-wholesale-ultra-soft-flexible-fit-handmade-nails-moq-100","""Sunset Floral Gradient"" - Wholesale Ultra-Soft Flexible Fit Handmade Nails (MOQ=100)")</x:f>
        <x:v>HYPERLINK is not implemented. linkLocation=https://365nails.com/products/sunset-floral-gradient-wholesale-ultra-soft-flexible-fit-handmade-nails-moq-100, friendlyName="Sunset Floral Gradient" - Wholesale Ultra-Soft Flexible Fit Handmade Nails (MOQ=100)</x:v>
      </x:c>
      <x:c r="D2149" s="18" t="str">
        <x:v>Size: XS / S / M / L</x:v>
      </x:c>
      <x:c r="E2149" s="25" t="str">
        <x:v>$1.99</x:v>
      </x:c>
      <x:c r="F2149" s="19" t="str">
        <x:v>100</x:v>
      </x:c>
    </x:row>
    <x:row r="2150" ht="93" customHeight="1">
      <x:c r="A2150" s="19" t="n">
        <x:v>2147</x:v>
      </x:c>
      <x:c r="B2150" s="22" t="e">
        <x:f>HYPERLINK("https://cdn.shopify.com/s/files/1/0918/6066/4603/files/0ba28c11ce07980a72263bbbb980cd2d.jpg?v=1779980046","Open")</x:f>
        <x:v>HYPERLINK is not implemented. linkLocation=https://cdn.shopify.com/s/files/1/0918/6066/4603/files/0ba28c11ce07980a72263bbbb980cd2d.jpg?v=1779980046, friendlyName=Open</x:v>
      </x:c>
      <x:c r="C2150" s="24" t="e">
        <x:f>HYPERLINK("https://365nails.com/products/pink-leopard-butterfly-wholesale-ultra-soft-flexible-fit-handmade-nails-moq-100","""Pink Leopard Butterfly"" - Wholesale Ultra-Soft Flexible Fit Handmade Nails (MOQ=100)")</x:f>
        <x:v>HYPERLINK is not implemented. linkLocation=https://365nails.com/products/pink-leopard-butterfly-wholesale-ultra-soft-flexible-fit-handmade-nails-moq-100, friendlyName="Pink Leopard Butterfly" - Wholesale Ultra-Soft Flexible Fit Handmade Nails (MOQ=100)</x:v>
      </x:c>
      <x:c r="D2150" s="18" t="str">
        <x:v>Size: XS / S / M / L</x:v>
      </x:c>
      <x:c r="E2150" s="25" t="str">
        <x:v>$1.99</x:v>
      </x:c>
      <x:c r="F2150" s="19" t="str">
        <x:v>100</x:v>
      </x:c>
    </x:row>
    <x:row r="2151" ht="93" customHeight="1">
      <x:c r="A2151" s="19" t="n">
        <x:v>2148</x:v>
      </x:c>
      <x:c r="B2151" s="22" t="e">
        <x:f>HYPERLINK("https://cdn.shopify.com/s/files/1/0918/6066/4603/files/2e6efd2003a61e074589c817c0d642b8.jpg?v=1779979873","Open")</x:f>
        <x:v>HYPERLINK is not implemented. linkLocation=https://cdn.shopify.com/s/files/1/0918/6066/4603/files/2e6efd2003a61e074589c817c0d642b8.jpg?v=1779979873, friendlyName=Open</x:v>
      </x:c>
      <x:c r="C2151" s="24" t="e">
        <x:f>HYPERLINK("https://365nails.com/products/pink-green-tulip-wholesale-ultra-soft-flexible-fit-handmade-nails-moq-100","""Pink Green Tulip"" - Wholesale Ultra-Soft Flexible Fit Handmade Nails (MOQ=100)")</x:f>
        <x:v>HYPERLINK is not implemented. linkLocation=https://365nails.com/products/pink-green-tulip-wholesale-ultra-soft-flexible-fit-handmade-nails-moq-100, friendlyName="Pink Green Tulip" - Wholesale Ultra-Soft Flexible Fit Handmade Nails (MOQ=100)</x:v>
      </x:c>
      <x:c r="D2151" s="18" t="str">
        <x:v>Size: XS / S / M / L</x:v>
      </x:c>
      <x:c r="E2151" s="25" t="str">
        <x:v>$1.99</x:v>
      </x:c>
      <x:c r="F2151" s="19" t="str">
        <x:v>100</x:v>
      </x:c>
    </x:row>
    <x:row r="2152" ht="93" customHeight="1">
      <x:c r="A2152" s="19" t="n">
        <x:v>2149</x:v>
      </x:c>
      <x:c r="B2152" s="22" t="e">
        <x:f>HYPERLINK("https://cdn.shopify.com/s/files/1/0918/6066/4603/files/384e5d5f0276398b6ad9e815885edaa7.jpg?v=1779979495","Open")</x:f>
        <x:v>HYPERLINK is not implemented. linkLocation=https://cdn.shopify.com/s/files/1/0918/6066/4603/files/384e5d5f0276398b6ad9e815885edaa7.jpg?v=1779979495, friendlyName=Open</x:v>
      </x:c>
      <x:c r="C2152" s="24" t="e">
        <x:f>HYPERLINK("https://365nails.com/products/pink-french-heart-pearl-wholesale-ultra-soft-flexible-fit-handmade-nails-moq-100","""Pink French Heart Pearl"" - Wholesale Ultra-Soft Flexible Fit Handmade Nails (MOQ=100)")</x:f>
        <x:v>HYPERLINK is not implemented. linkLocation=https://365nails.com/products/pink-french-heart-pearl-wholesale-ultra-soft-flexible-fit-handmade-nails-moq-100, friendlyName="Pink French Heart Pearl" - Wholesale Ultra-Soft Flexible Fit Handmade Nails (MOQ=100)</x:v>
      </x:c>
      <x:c r="D2152" s="18" t="str">
        <x:v>Size: XS / S / M / L</x:v>
      </x:c>
      <x:c r="E2152" s="25" t="str">
        <x:v>$1.99</x:v>
      </x:c>
      <x:c r="F2152" s="19" t="str">
        <x:v>100</x:v>
      </x:c>
    </x:row>
    <x:row r="2153" ht="93" customHeight="1">
      <x:c r="A2153" s="19" t="n">
        <x:v>2150</x:v>
      </x:c>
      <x:c r="B2153" s="22" t="e">
        <x:f>HYPERLINK("https://cdn.shopify.com/s/files/1/0918/6066/4603/files/0e95a5a534341ad8a575e12f5587e2d5.jpg?v=1779979344","Open")</x:f>
        <x:v>HYPERLINK is not implemented. linkLocation=https://cdn.shopify.com/s/files/1/0918/6066/4603/files/0e95a5a534341ad8a575e12f5587e2d5.jpg?v=1779979344, friendlyName=Open</x:v>
      </x:c>
      <x:c r="C2153" s="24" t="e">
        <x:f>HYPERLINK("https://365nails.com/products/pastel-ocean-breeze-wholesale-ultra-soft-flexible-fit-handmade-nails-moq-100","""Pastel Ocean Breeze"" - Wholesale Ultra-Soft Flexible Fit Handmade Nails (MOQ=100)")</x:f>
        <x:v>HYPERLINK is not implemented. linkLocation=https://365nails.com/products/pastel-ocean-breeze-wholesale-ultra-soft-flexible-fit-handmade-nails-moq-100, friendlyName="Pastel Ocean Breeze" - Wholesale Ultra-Soft Flexible Fit Handmade Nails (MOQ=100)</x:v>
      </x:c>
      <x:c r="D2153" s="18" t="str">
        <x:v>Size: XS / S / M / L</x:v>
      </x:c>
      <x:c r="E2153" s="25" t="str">
        <x:v>$1.99</x:v>
      </x:c>
      <x:c r="F2153" s="19" t="str">
        <x:v>100</x:v>
      </x:c>
    </x:row>
    <x:row r="2154" ht="93" customHeight="1">
      <x:c r="A2154" s="19" t="n">
        <x:v>2151</x:v>
      </x:c>
      <x:c r="B2154" s="22" t="e">
        <x:f>HYPERLINK("https://cdn.shopify.com/s/files/1/0918/6066/4603/files/a9f4f62d262ba2a0578a3bbb60ee3ca9.jpg?v=1779979245","Open")</x:f>
        <x:v>HYPERLINK is not implemented. linkLocation=https://cdn.shopify.com/s/files/1/0918/6066/4603/files/a9f4f62d262ba2a0578a3bbb60ee3ca9.jpg?v=1779979245, friendlyName=Open</x:v>
      </x:c>
      <x:c r="C2154" s="24" t="e">
        <x:f>HYPERLINK("https://365nails.com/products/pink-french-butterfly-crystal-wholesale-ultra-soft-flexible-fit-handmade-nails-moq-100","""Pink French Butterfly Crystal"" - Wholesale Ultra-Soft Flexible Fit Handmade Nails (MOQ=100)")</x:f>
        <x:v>HYPERLINK is not implemented. linkLocation=https://365nails.com/products/pink-french-butterfly-crystal-wholesale-ultra-soft-flexible-fit-handmade-nails-moq-100, friendlyName="Pink French Butterfly Crystal" - Wholesale Ultra-Soft Flexible Fit Handmade Nails (MOQ=100)</x:v>
      </x:c>
      <x:c r="D2154" s="18" t="str">
        <x:v>Size: XS / S / M / L</x:v>
      </x:c>
      <x:c r="E2154" s="25" t="str">
        <x:v>$1.99</x:v>
      </x:c>
      <x:c r="F2154" s="19" t="str">
        <x:v>100</x:v>
      </x:c>
    </x:row>
    <x:row r="2155" ht="93" customHeight="1">
      <x:c r="A2155" s="19" t="n">
        <x:v>2152</x:v>
      </x:c>
      <x:c r="B2155" s="22" t="e">
        <x:f>HYPERLINK("https://cdn.shopify.com/s/files/1/0918/6066/4603/files/c8515524eb20ec17cd27d578e7e417da.jpg?v=1779979155","Open")</x:f>
        <x:v>HYPERLINK is not implemented. linkLocation=https://cdn.shopify.com/s/files/1/0918/6066/4603/files/c8515524eb20ec17cd27d578e7e417da.jpg?v=1779979155, friendlyName=Open</x:v>
      </x:c>
      <x:c r="C2155" s="24" t="e">
        <x:f>HYPERLINK("https://365nails.com/products/peach-red-ladybug-flower-wholesale-ultra-soft-flexible-fit-handmade-nails-moq-100","""Peach Red Ladybug Flower"" - Wholesale Ultra-Soft Flexible Fit Handmade Nails (MOQ=100)")</x:f>
        <x:v>HYPERLINK is not implemented. linkLocation=https://365nails.com/products/peach-red-ladybug-flower-wholesale-ultra-soft-flexible-fit-handmade-nails-moq-100, friendlyName="Peach Red Ladybug Flower" - Wholesale Ultra-Soft Flexible Fit Handmade Nails (MOQ=100)</x:v>
      </x:c>
      <x:c r="D2155" s="18" t="str">
        <x:v>Size: XS / S / M / L</x:v>
      </x:c>
      <x:c r="E2155" s="25" t="str">
        <x:v>$1.99</x:v>
      </x:c>
      <x:c r="F2155" s="19" t="str">
        <x:v>100</x:v>
      </x:c>
    </x:row>
    <x:row r="2156" ht="93" customHeight="1">
      <x:c r="A2156" s="19" t="n">
        <x:v>2153</x:v>
      </x:c>
      <x:c r="B2156" s="22" t="e">
        <x:f>HYPERLINK("https://cdn.shopify.com/s/files/1/0918/6066/4603/files/82b18ae04f6c971940d31a93e61ee304.jpg?v=1779979085","Open")</x:f>
        <x:v>HYPERLINK is not implemented. linkLocation=https://cdn.shopify.com/s/files/1/0918/6066/4603/files/82b18ae04f6c971940d31a93e61ee304.jpg?v=1779979085, friendlyName=Open</x:v>
      </x:c>
      <x:c r="C2156" s="24" t="e">
        <x:f>HYPERLINK("https://365nails.com/products/pink-leopard-french-wholesale-ultra-soft-flexible-fit-handmade-nails-moq-100","""Pink Leopard French"" - Wholesale Ultra-Soft Flexible Fit Handmade Nails (MOQ=100)")</x:f>
        <x:v>HYPERLINK is not implemented. linkLocation=https://365nails.com/products/pink-leopard-french-wholesale-ultra-soft-flexible-fit-handmade-nails-moq-100, friendlyName="Pink Leopard French" - Wholesale Ultra-Soft Flexible Fit Handmade Nails (MOQ=100)</x:v>
      </x:c>
      <x:c r="D2156" s="18" t="str">
        <x:v>Size: XS / S / M / L</x:v>
      </x:c>
      <x:c r="E2156" s="25" t="str">
        <x:v>$1.99</x:v>
      </x:c>
      <x:c r="F2156" s="19" t="str">
        <x:v>100</x:v>
      </x:c>
    </x:row>
    <x:row r="2157" ht="93" customHeight="1">
      <x:c r="A2157" s="19" t="n">
        <x:v>2154</x:v>
      </x:c>
      <x:c r="B2157" s="22" t="e">
        <x:f>HYPERLINK("https://cdn.shopify.com/s/files/1/0918/6066/4603/files/9ea7dd2aa70af2c62f52c5bfec972e0e.jpg?v=1779979006","Open")</x:f>
        <x:v>HYPERLINK is not implemented. linkLocation=https://cdn.shopify.com/s/files/1/0918/6066/4603/files/9ea7dd2aa70af2c62f52c5bfec972e0e.jpg?v=1779979006, friendlyName=Open</x:v>
      </x:c>
      <x:c r="C2157" s="24" t="e">
        <x:f>HYPERLINK("https://365nails.com/products/peach-red-gradient-moon-star-wholesale-ultra-soft-flexible-fit-handmade-nails-moq-100","""Peach Red Gradient Moon Star"" - Wholesale Ultra-Soft Flexible Fit Handmade Nails (MOQ=100)")</x:f>
        <x:v>HYPERLINK is not implemented. linkLocation=https://365nails.com/products/peach-red-gradient-moon-star-wholesale-ultra-soft-flexible-fit-handmade-nails-moq-100, friendlyName="Peach Red Gradient Moon Star" - Wholesale Ultra-Soft Flexible Fit Handmade Nails (MOQ=100)</x:v>
      </x:c>
      <x:c r="D2157" s="18" t="str">
        <x:v>Size: XS / S / M / L</x:v>
      </x:c>
      <x:c r="E2157" s="25" t="str">
        <x:v>$1.99</x:v>
      </x:c>
      <x:c r="F2157" s="19" t="str">
        <x:v>100</x:v>
      </x:c>
    </x:row>
    <x:row r="2158" ht="93" customHeight="1">
      <x:c r="A2158" s="19" t="n">
        <x:v>2155</x:v>
      </x:c>
      <x:c r="B2158" s="22" t="e">
        <x:f>HYPERLINK("https://cdn.shopify.com/s/files/1/0918/6066/4603/files/31c4306aece8337fc6ca08cd934e0e87.jpg?v=1779978918","Open")</x:f>
        <x:v>HYPERLINK is not implemented. linkLocation=https://cdn.shopify.com/s/files/1/0918/6066/4603/files/31c4306aece8337fc6ca08cd934e0e87.jpg?v=1779978918, friendlyName=Open</x:v>
      </x:c>
      <x:c r="C2158" s="24" t="e">
        <x:f>HYPERLINK("https://365nails.com/products/peach-french-flower-wholesale-ultra-soft-flexible-fit-handmade-nails-moq-100","""Peach French Flower"" - Wholesale Ultra-Soft Flexible Fit Handmade Nails (MOQ=100)")</x:f>
        <x:v>HYPERLINK is not implemented. linkLocation=https://365nails.com/products/peach-french-flower-wholesale-ultra-soft-flexible-fit-handmade-nails-moq-100, friendlyName="Peach French Flower" - Wholesale Ultra-Soft Flexible Fit Handmade Nails (MOQ=100)</x:v>
      </x:c>
      <x:c r="D2158" s="18" t="str">
        <x:v>Size: XS / S / M / L</x:v>
      </x:c>
      <x:c r="E2158" s="25" t="str">
        <x:v>$1.99</x:v>
      </x:c>
      <x:c r="F2158" s="19" t="str">
        <x:v>100</x:v>
      </x:c>
    </x:row>
    <x:row r="2159" ht="93" customHeight="1">
      <x:c r="A2159" s="19" t="n">
        <x:v>2156</x:v>
      </x:c>
      <x:c r="B2159" s="22" t="e">
        <x:f>HYPERLINK("https://cdn.shopify.com/s/files/1/0918/6066/4603/files/e71ef8dc2432637e83e154cfbd848880.jpg?v=1779978829","Open")</x:f>
        <x:v>HYPERLINK is not implemented. linkLocation=https://cdn.shopify.com/s/files/1/0918/6066/4603/files/e71ef8dc2432637e83e154cfbd848880.jpg?v=1779978829, friendlyName=Open</x:v>
      </x:c>
      <x:c r="C2159" s="24" t="e">
        <x:f>HYPERLINK("https://365nails.com/products/pink-hello-kitty-wholesale-ultra-soft-flexible-fit-handmade-nails-moq-100","""Pink Hello Kitty"" - Wholesale Ultra-Soft Flexible Fit Handmade Nails (MOQ=100)")</x:f>
        <x:v>HYPERLINK is not implemented. linkLocation=https://365nails.com/products/pink-hello-kitty-wholesale-ultra-soft-flexible-fit-handmade-nails-moq-100, friendlyName="Pink Hello Kitty" - Wholesale Ultra-Soft Flexible Fit Handmade Nails (MOQ=100)</x:v>
      </x:c>
      <x:c r="D2159" s="18" t="str">
        <x:v>Size: XS / S / M / L</x:v>
      </x:c>
      <x:c r="E2159" s="25" t="str">
        <x:v>$1.99</x:v>
      </x:c>
      <x:c r="F2159" s="19" t="str">
        <x:v>100</x:v>
      </x:c>
    </x:row>
    <x:row r="2160" ht="93" customHeight="1">
      <x:c r="A2160" s="19" t="n">
        <x:v>2157</x:v>
      </x:c>
      <x:c r="B2160" s="22" t="e">
        <x:f>HYPERLINK("https://cdn.shopify.com/s/files/1/0918/6066/4603/files/5c034b28a590a83448c8729bd1323483.jpg?v=1779978761","Open")</x:f>
        <x:v>HYPERLINK is not implemented. linkLocation=https://cdn.shopify.com/s/files/1/0918/6066/4603/files/5c034b28a590a83448c8729bd1323483.jpg?v=1779978761, friendlyName=Open</x:v>
      </x:c>
      <x:c r="C2160" s="24" t="e">
        <x:f>HYPERLINK("https://365nails.com/products/peach-zebra-floral-wholesale-ultra-soft-flexible-fit-handmade-nails-moq-100","""Peach Zebra Floral"" - Wholesale Ultra-Soft Flexible Fit Handmade Nails (MOQ=100)")</x:f>
        <x:v>HYPERLINK is not implemented. linkLocation=https://365nails.com/products/peach-zebra-floral-wholesale-ultra-soft-flexible-fit-handmade-nails-moq-100, friendlyName="Peach Zebra Floral" - Wholesale Ultra-Soft Flexible Fit Handmade Nails (MOQ=100)</x:v>
      </x:c>
      <x:c r="D2160" s="18" t="str">
        <x:v>Size: XS / S / M / L</x:v>
      </x:c>
      <x:c r="E2160" s="25" t="str">
        <x:v>$1.99</x:v>
      </x:c>
      <x:c r="F2160" s="19" t="str">
        <x:v>100</x:v>
      </x:c>
    </x:row>
    <x:row r="2161" ht="93" customHeight="1">
      <x:c r="A2161" s="19" t="n">
        <x:v>2158</x:v>
      </x:c>
      <x:c r="B2161" s="22" t="e">
        <x:f>HYPERLINK("https://cdn.shopify.com/s/files/1/0918/6066/4603/files/b8d2a2b358863c83a4512b2b9be22daf.jpg?v=1779977759","Open")</x:f>
        <x:v>HYPERLINK is not implemented. linkLocation=https://cdn.shopify.com/s/files/1/0918/6066/4603/files/b8d2a2b358863c83a4512b2b9be22daf.jpg?v=1779977759, friendlyName=Open</x:v>
      </x:c>
      <x:c r="C2161" s="24" t="e">
        <x:f>HYPERLINK("https://365nails.com/products/pink-orange-cross-crystal-wholesale-ultra-soft-flexible-fit-handmade-nails-moq-100","""Pink Orange Cross Crystal"" - Wholesale Ultra-Soft Flexible Fit Handmade Nails (MOQ=100)")</x:f>
        <x:v>HYPERLINK is not implemented. linkLocation=https://365nails.com/products/pink-orange-cross-crystal-wholesale-ultra-soft-flexible-fit-handmade-nails-moq-100, friendlyName="Pink Orange Cross Crystal" - Wholesale Ultra-Soft Flexible Fit Handmade Nails (MOQ=100)</x:v>
      </x:c>
      <x:c r="D2161" s="18" t="str">
        <x:v>Size: XS / S / M / L</x:v>
      </x:c>
      <x:c r="E2161" s="25" t="str">
        <x:v>$1.99</x:v>
      </x:c>
      <x:c r="F2161" s="19" t="str">
        <x:v>100</x:v>
      </x:c>
    </x:row>
    <x:row r="2162" ht="93" customHeight="1">
      <x:c r="A2162" s="19" t="n">
        <x:v>2159</x:v>
      </x:c>
      <x:c r="B2162" s="22" t="e">
        <x:f>HYPERLINK("https://cdn.shopify.com/s/files/1/0918/6066/4603/files/8adba37344493beb4aab06f5be5ffbb7.jpg?v=1779977668","Open")</x:f>
        <x:v>HYPERLINK is not implemented. linkLocation=https://cdn.shopify.com/s/files/1/0918/6066/4603/files/8adba37344493beb4aab06f5be5ffbb7.jpg?v=1779977668, friendlyName=Open</x:v>
      </x:c>
      <x:c r="C2162" s="24" t="e">
        <x:f>HYPERLINK("https://365nails.com/products/summer-ocean-coral-wholesale-ultra-soft-flexible-fit-handmade-nails-moq-100","""Summer Ocean Coral"" - Wholesale Ultra-Soft Flexible Fit Handmade Nails (MOQ=100)")</x:f>
        <x:v>HYPERLINK is not implemented. linkLocation=https://365nails.com/products/summer-ocean-coral-wholesale-ultra-soft-flexible-fit-handmade-nails-moq-100, friendlyName="Summer Ocean Coral" - Wholesale Ultra-Soft Flexible Fit Handmade Nails (MOQ=100)</x:v>
      </x:c>
      <x:c r="D2162" s="18" t="str">
        <x:v>Size: XS / S / M / L</x:v>
      </x:c>
      <x:c r="E2162" s="25" t="str">
        <x:v>$1.99</x:v>
      </x:c>
      <x:c r="F2162" s="19" t="str">
        <x:v>100</x:v>
      </x:c>
    </x:row>
    <x:row r="2163" ht="93" customHeight="1">
      <x:c r="A2163" s="19" t="n">
        <x:v>2160</x:v>
      </x:c>
      <x:c r="B2163" s="22" t="e">
        <x:f>HYPERLINK("https://cdn.shopify.com/s/files/1/0918/6066/4603/files/e9e2762704d13aa0e939c61886a1c869.jpg?v=1779977599","Open")</x:f>
        <x:v>HYPERLINK is not implemented. linkLocation=https://cdn.shopify.com/s/files/1/0918/6066/4603/files/e9e2762704d13aa0e939c61886a1c869.jpg?v=1779977599, friendlyName=Open</x:v>
      </x:c>
      <x:c r="C2163" s="24" t="e">
        <x:f>HYPERLINK("https://365nails.com/products/pink-green-polka-dot-flower-wholesale-ultra-soft-flexible-fit-handmade-nails-moq-100","""Pink Green Polka Dot Flower"" - Wholesale Ultra-Soft Flexible Fit Handmade Nails (MOQ=100)")</x:f>
        <x:v>HYPERLINK is not implemented. linkLocation=https://365nails.com/products/pink-green-polka-dot-flower-wholesale-ultra-soft-flexible-fit-handmade-nails-moq-100, friendlyName="Pink Green Polka Dot Flower" - Wholesale Ultra-Soft Flexible Fit Handmade Nails (MOQ=100)</x:v>
      </x:c>
      <x:c r="D2163" s="18" t="str">
        <x:v>Size: XS / S / M / L</x:v>
      </x:c>
      <x:c r="E2163" s="25" t="str">
        <x:v>$1.99</x:v>
      </x:c>
      <x:c r="F2163" s="19" t="str">
        <x:v>100</x:v>
      </x:c>
    </x:row>
    <x:row r="2164" ht="93" customHeight="1">
      <x:c r="A2164" s="19" t="n">
        <x:v>2161</x:v>
      </x:c>
      <x:c r="B2164" s="22" t="e">
        <x:f>HYPERLINK("https://cdn.shopify.com/s/files/1/0918/6066/4603/files/f4d8b11a949f624faa0ec6cca97a108b.jpg?v=1779977499","Open")</x:f>
        <x:v>HYPERLINK is not implemented. linkLocation=https://cdn.shopify.com/s/files/1/0918/6066/4603/files/f4d8b11a949f624faa0ec6cca97a108b.jpg?v=1779977499, friendlyName=Open</x:v>
      </x:c>
      <x:c r="C2164" s="24" t="e">
        <x:f>HYPERLINK("https://365nails.com/products/pink-french-bow-crystal-wholesale-ultra-soft-flexible-fit-handmade-nails-moq-100","""Pink French Bow Crystal"" - Wholesale Ultra-Soft Flexible Fit Handmade Nails (MOQ=100)")</x:f>
        <x:v>HYPERLINK is not implemented. linkLocation=https://365nails.com/products/pink-french-bow-crystal-wholesale-ultra-soft-flexible-fit-handmade-nails-moq-100, friendlyName="Pink French Bow Crystal" - Wholesale Ultra-Soft Flexible Fit Handmade Nails (MOQ=100)</x:v>
      </x:c>
      <x:c r="D2164" s="18" t="str">
        <x:v>Size: XS / S / M / L</x:v>
      </x:c>
      <x:c r="E2164" s="25" t="str">
        <x:v>$1.99</x:v>
      </x:c>
      <x:c r="F2164" s="19" t="str">
        <x:v>100</x:v>
      </x:c>
    </x:row>
    <x:row r="2165" ht="93" customHeight="1">
      <x:c r="A2165" s="19" t="n">
        <x:v>2162</x:v>
      </x:c>
      <x:c r="B2165" s="22" t="e">
        <x:f>HYPERLINK("https://cdn.shopify.com/s/files/1/0918/6066/4603/files/83801550af0da12a7f68905c5c947f39.jpg?v=1779977164","Open")</x:f>
        <x:v>HYPERLINK is not implemented. linkLocation=https://cdn.shopify.com/s/files/1/0918/6066/4603/files/83801550af0da12a7f68905c5c947f39.jpg?v=1779977164, friendlyName=Open</x:v>
      </x:c>
      <x:c r="C2165" s="24" t="e">
        <x:f>HYPERLINK("https://365nails.com/products/pink-leopard-heart-wholesale-ultra-soft-flexible-fit-handmade-nails-moq-100","""Pink Leopard Heart"" - Wholesale Ultra-Soft Flexible Fit Handmade Nails (MOQ=100)")</x:f>
        <x:v>HYPERLINK is not implemented. linkLocation=https://365nails.com/products/pink-leopard-heart-wholesale-ultra-soft-flexible-fit-handmade-nails-moq-100, friendlyName="Pink Leopard Heart" - Wholesale Ultra-Soft Flexible Fit Handmade Nails (MOQ=100)</x:v>
      </x:c>
      <x:c r="D2165" s="18" t="str">
        <x:v>Size: XS / S / M / L</x:v>
      </x:c>
      <x:c r="E2165" s="25" t="str">
        <x:v>$1.99</x:v>
      </x:c>
      <x:c r="F2165" s="19" t="str">
        <x:v>100</x:v>
      </x:c>
    </x:row>
    <x:row r="2166" ht="93" customHeight="1">
      <x:c r="A2166" s="19" t="n">
        <x:v>2163</x:v>
      </x:c>
      <x:c r="B2166" s="22" t="e">
        <x:f>HYPERLINK("https://cdn.shopify.com/s/files/1/0918/6066/4603/files/9c50b034a8b7b0b04f3df536b223a192.jpg?v=1779977002","Open")</x:f>
        <x:v>HYPERLINK is not implemented. linkLocation=https://cdn.shopify.com/s/files/1/0918/6066/4603/files/9c50b034a8b7b0b04f3df536b223a192.jpg?v=1779977002, friendlyName=Open</x:v>
      </x:c>
      <x:c r="C2166" s="24" t="e">
        <x:f>HYPERLINK("https://365nails.com/products/pink-candy-charms-wholesale-ultra-soft-flexible-fit-handmade-nails-moq-100","""Pink Candy Charms"" - Wholesale Ultra-Soft Flexible Fit Handmade Nails (MOQ=100)")</x:f>
        <x:v>HYPERLINK is not implemented. linkLocation=https://365nails.com/products/pink-candy-charms-wholesale-ultra-soft-flexible-fit-handmade-nails-moq-100, friendlyName="Pink Candy Charms" - Wholesale Ultra-Soft Flexible Fit Handmade Nails (MOQ=100)</x:v>
      </x:c>
      <x:c r="D2166" s="18" t="str">
        <x:v>Size: XS / S / M / L</x:v>
      </x:c>
      <x:c r="E2166" s="25" t="str">
        <x:v>$1.99</x:v>
      </x:c>
      <x:c r="F2166" s="19" t="str">
        <x:v>100</x:v>
      </x:c>
    </x:row>
    <x:row r="2167" ht="93" customHeight="1">
      <x:c r="A2167" s="19" t="n">
        <x:v>2164</x:v>
      </x:c>
      <x:c r="B2167" s="22" t="e">
        <x:f>HYPERLINK("https://cdn.shopify.com/s/files/1/0918/6066/4603/files/a9cf3c2f25fd81f39dcf2a0a47d367cf.jpg?v=1779976812","Open")</x:f>
        <x:v>HYPERLINK is not implemented. linkLocation=https://cdn.shopify.com/s/files/1/0918/6066/4603/files/a9cf3c2f25fd81f39dcf2a0a47d367cf.jpg?v=1779976812, friendlyName=Open</x:v>
      </x:c>
      <x:c r="C2167" s="24" t="e">
        <x:f>HYPERLINK("https://365nails.com/products/pink-ribbon-bow-wholesale-ultra-soft-flexible-fit-handmade-nails-moq-100","""Pink Ribbon Bow"" - Wholesale Ultra-Soft Flexible Fit Handmade Nails (MOQ=100)")</x:f>
        <x:v>HYPERLINK is not implemented. linkLocation=https://365nails.com/products/pink-ribbon-bow-wholesale-ultra-soft-flexible-fit-handmade-nails-moq-100, friendlyName="Pink Ribbon Bow" - Wholesale Ultra-Soft Flexible Fit Handmade Nails (MOQ=100)</x:v>
      </x:c>
      <x:c r="D2167" s="18" t="str">
        <x:v>Size: XS / S / M / L</x:v>
      </x:c>
      <x:c r="E2167" s="25" t="str">
        <x:v>$1.99</x:v>
      </x:c>
      <x:c r="F2167" s="19" t="str">
        <x:v>100</x:v>
      </x:c>
    </x:row>
    <x:row r="2168" ht="93" customHeight="1">
      <x:c r="A2168" s="19" t="n">
        <x:v>2165</x:v>
      </x:c>
      <x:c r="B2168" s="22" t="e">
        <x:f>HYPERLINK("https://cdn.shopify.com/s/files/1/0918/6066/4603/files/6bf093ab58c68dfb56dbb5b3445bf32c.jpg?v=1779976662","Open")</x:f>
        <x:v>HYPERLINK is not implemented. linkLocation=https://cdn.shopify.com/s/files/1/0918/6066/4603/files/6bf093ab58c68dfb56dbb5b3445bf32c.jpg?v=1779976662, friendlyName=Open</x:v>
      </x:c>
      <x:c r="C2168" s="24" t="e">
        <x:f>HYPERLINK("https://365nails.com/products/peach-heart-crystal-wholesale-ultra-soft-flexible-fit-handmade-nails-moq-100","""Peach Heart Crystal"" - Wholesale Ultra-Soft Flexible Fit Handmade Nails (MOQ=100)")</x:f>
        <x:v>HYPERLINK is not implemented. linkLocation=https://365nails.com/products/peach-heart-crystal-wholesale-ultra-soft-flexible-fit-handmade-nails-moq-100, friendlyName="Peach Heart Crystal" - Wholesale Ultra-Soft Flexible Fit Handmade Nails (MOQ=100)</x:v>
      </x:c>
      <x:c r="D2168" s="18" t="str">
        <x:v>Size: XS / S / M / L</x:v>
      </x:c>
      <x:c r="E2168" s="25" t="str">
        <x:v>$1.99</x:v>
      </x:c>
      <x:c r="F2168" s="19" t="str">
        <x:v>100</x:v>
      </x:c>
    </x:row>
    <x:row r="2169" ht="93" customHeight="1">
      <x:c r="A2169" s="19" t="n">
        <x:v>2166</x:v>
      </x:c>
      <x:c r="B2169" s="22" t="e">
        <x:f>HYPERLINK("https://cdn.shopify.com/s/files/1/0918/6066/4603/files/6014e1944fdfb8abbdb143e8591aaa01.jpg?v=1779976583","Open")</x:f>
        <x:v>HYPERLINK is not implemented. linkLocation=https://cdn.shopify.com/s/files/1/0918/6066/4603/files/6014e1944fdfb8abbdb143e8591aaa01.jpg?v=1779976583, friendlyName=Open</x:v>
      </x:c>
      <x:c r="C2169" s="24" t="e">
        <x:f>HYPERLINK("https://365nails.com/products/summer-watercolor-butterfly-wholesale-ultra-soft-flexible-fit-handmade-nails-moq-100","""Summer Watercolor Butterfly"" - Wholesale Ultra-Soft Flexible Fit Handmade Nails (MOQ=100)")</x:f>
        <x:v>HYPERLINK is not implemented. linkLocation=https://365nails.com/products/summer-watercolor-butterfly-wholesale-ultra-soft-flexible-fit-handmade-nails-moq-100, friendlyName="Summer Watercolor Butterfly" - Wholesale Ultra-Soft Flexible Fit Handmade Nails (MOQ=100)</x:v>
      </x:c>
      <x:c r="D2169" s="18" t="str">
        <x:v>Size: XS / S / M / L</x:v>
      </x:c>
      <x:c r="E2169" s="25" t="str">
        <x:v>$1.99</x:v>
      </x:c>
      <x:c r="F2169" s="19" t="str">
        <x:v>100</x:v>
      </x:c>
    </x:row>
    <x:row r="2170" ht="93" customHeight="1">
      <x:c r="A2170" s="19" t="n">
        <x:v>2167</x:v>
      </x:c>
      <x:c r="B2170" s="22" t="e">
        <x:f>HYPERLINK("https://cdn.shopify.com/s/files/1/0918/6066/4603/files/tufan_2F35998786-ca66-11f0-8ff2-00163e17c1a1.jpg?v=1764120272","Open")</x:f>
        <x:v>HYPERLINK is not implemented. linkLocation=https://cdn.shopify.com/s/files/1/0918/6066/4603/files/tufan_2F35998786-ca66-11f0-8ff2-00163e17c1a1.jpg?v=1764120272, friendlyName=Open</x:v>
      </x:c>
      <x:c r="C2170" s="24" t="e">
        <x:f>HYPERLINK("https://365nails.com/products/neutral-elegance-short-almond-nail-set","Neutral Elegance Short Almond Nail Set")</x:f>
        <x:v>HYPERLINK is not implemented. linkLocation=https://365nails.com/products/neutral-elegance-short-almond-nail-set, friendlyName=Neutral Elegance Short Almond Nail Set</x:v>
      </x:c>
      <x:c r="D2170" s="18" t="str">
        <x:v>Color: 0080-2005 / 0080-A009 / 0084-A003 / 0084-A012 / 0084-A015 / 0058-HK001 / 0061-HK001 / 0080-HK001 / 0055-HK001 / 0067-HK003</x:v>
      </x:c>
      <x:c r="E2170" s="25" t="str">
        <x:v>$0.97</x:v>
      </x:c>
      <x:c r="F2170" s="19" t="str">
        <x:v>1</x:v>
      </x:c>
    </x:row>
    <x:row r="2171" ht="93" customHeight="1">
      <x:c r="A2171" s="19" t="n">
        <x:v>2168</x:v>
      </x:c>
      <x:c r="B2171" s="22" t="e">
        <x:f>HYPERLINK("https://cdn.shopify.com/s/files/1/0918/6066/4603/files/O1CN014dNPcx2MQzfRN5X4a__2219089449823-0-cib.jpg?v=1767851842","Open")</x:f>
        <x:v>HYPERLINK is not implemented. linkLocation=https://cdn.shopify.com/s/files/1/0918/6066/4603/files/O1CN014dNPcx2MQzfRN5X4a__2219089449823-0-cib.jpg?v=1767851842, friendlyName=Open</x:v>
      </x:c>
      <x:c r="C2171" s="24" t="e">
        <x:f>HYPERLINK("https://365nails.com/products/golden-bloom-crystal-spring-press-on-nails","Golden Bloom Crystal Spring Press On Nails")</x:f>
        <x:v>HYPERLINK is not implemented. linkLocation=https://365nails.com/products/golden-bloom-crystal-spring-press-on-nails, friendlyName=Golden Bloom Crystal Spring Press On Nails</x:v>
      </x:c>
      <x:c r="D2171" s="18" t="str">
        <x:v>Color: M043; Color classification: S / M / L</x:v>
      </x:c>
      <x:c r="E2171" s="25" t="str">
        <x:v>$5.99</x:v>
      </x:c>
      <x:c r="F2171" s="19" t="str">
        <x:v>1</x:v>
      </x:c>
    </x:row>
    <x:row r="2172" ht="93" customHeight="1">
      <x:c r="A2172" s="19" t="n">
        <x:v>2169</x:v>
      </x:c>
      <x:c r="B2172" s="22" t="e">
        <x:f>HYPERLINK("https://cdn.shopify.com/s/files/1/0918/6066/4603/files/3adb81042b2736b95f26640e5ad3f6c3.jpg?v=1779961720","Open")</x:f>
        <x:v>HYPERLINK is not implemented. linkLocation=https://cdn.shopify.com/s/files/1/0918/6066/4603/files/3adb81042b2736b95f26640e5ad3f6c3.jpg?v=1779961720, friendlyName=Open</x:v>
      </x:c>
      <x:c r="C2172" s="24" t="e">
        <x:f>HYPERLINK("https://365nails.com/products/handmade-press-on-nails-pink-cute-messi-10-football-theme-girly-10pcs-short-square","Handmade Press-On Nails Pink Cute Messi #10 Football Theme (Girly/10pcs/Short Square)")</x:f>
        <x:v>HYPERLINK is not implemented. linkLocation=https://365nails.com/products/handmade-press-on-nails-pink-cute-messi-10-football-theme-girly-10pcs-short-square, friendlyName=Handmade Press-On Nails Pink Cute Messi #10 Football Theme (Girly/10pcs/Short Square)</x:v>
      </x:c>
      <x:c r="D2172" s="18" t="str">
        <x:v>Size: XS / S / M / L</x:v>
      </x:c>
      <x:c r="E2172" s="25" t="str">
        <x:v>$4.99</x:v>
      </x:c>
      <x:c r="F2172" s="19" t="str">
        <x:v>10</x:v>
      </x:c>
    </x:row>
    <x:row r="2173" ht="93" customHeight="1">
      <x:c r="A2173" s="19" t="n">
        <x:v>2170</x:v>
      </x:c>
      <x:c r="B2173" s="22" t="e">
        <x:f>HYPERLINK("https://cdn.shopify.com/s/files/1/0918/6066/4603/files/4623c4067150461348c51ac274cdc333.jpg?v=1779961549","Open")</x:f>
        <x:v>HYPERLINK is not implemented. linkLocation=https://cdn.shopify.com/s/files/1/0918/6066/4603/files/4623c4067150461348c51ac274cdc333.jpg?v=1779961549, friendlyName=Open</x:v>
      </x:c>
      <x:c r="C2173" s="24" t="e">
        <x:f>HYPERLINK("https://365nails.com/products/handmade-press-on-nails-argentina-messi-10-world-cup-champion-theme-light-blue-10pcs-oval","Handmade Press-On Nails Argentina Messi #10 World Cup Champion Theme (Light Blue/10pcs/Oval)")</x:f>
        <x:v>HYPERLINK is not implemented. linkLocation=https://365nails.com/products/handmade-press-on-nails-argentina-messi-10-world-cup-champion-theme-light-blue-10pcs-oval, friendlyName=Handmade Press-On Nails Argentina Messi #10 World Cup Champion Theme (Light Blue/10pcs/Oval)</x:v>
      </x:c>
      <x:c r="D2173" s="18" t="str">
        <x:v>Size: XS / S / M / L</x:v>
      </x:c>
      <x:c r="E2173" s="25" t="str">
        <x:v>$4.99</x:v>
      </x:c>
      <x:c r="F2173" s="19" t="str">
        <x:v>10</x:v>
      </x:c>
    </x:row>
    <x:row r="2174" ht="93" customHeight="1">
      <x:c r="A2174" s="19" t="n">
        <x:v>2171</x:v>
      </x:c>
      <x:c r="B2174" s="22" t="e">
        <x:f>HYPERLINK("https://cdn.shopify.com/s/files/1/0918/6066/4603/files/4ad5a2b0b6f7dca6b98a0ffe804daa09.jpg?v=1779961452","Open")</x:f>
        <x:v>HYPERLINK is not implemented. linkLocation=https://cdn.shopify.com/s/files/1/0918/6066/4603/files/4ad5a2b0b6f7dca6b98a0ffe804daa09.jpg?v=1779961452, friendlyName=Open</x:v>
      </x:c>
      <x:c r="C2174" s="24" t="e">
        <x:f>HYPERLINK("https://365nails.com/products/trophy-champion-world-cup-football-theme-handmade-nails-1","""Trophy Champion"" - World Cup Football Theme Handmade Nails")</x:f>
        <x:v>HYPERLINK is not implemented. linkLocation=https://365nails.com/products/trophy-champion-world-cup-football-theme-handmade-nails-1, friendlyName="Trophy Champion" - World Cup Football Theme Handmade Nails</x:v>
      </x:c>
      <x:c r="D2174" s="18" t="str">
        <x:v>Size: XS / S / M / L</x:v>
      </x:c>
      <x:c r="E2174" s="25" t="str">
        <x:v>$4.99</x:v>
      </x:c>
      <x:c r="F2174" s="19" t="str">
        <x:v>10</x:v>
      </x:c>
    </x:row>
    <x:row r="2175" ht="93" customHeight="1">
      <x:c r="A2175" s="19" t="n">
        <x:v>2172</x:v>
      </x:c>
      <x:c r="B2175" s="22" t="e">
        <x:f>HYPERLINK("https://cdn.shopify.com/s/files/1/0918/6066/4603/files/26e4edb55c428772a9905a491dd23707.jpg?v=1779955105","Open")</x:f>
        <x:v>HYPERLINK is not implemented. linkLocation=https://cdn.shopify.com/s/files/1/0918/6066/4603/files/26e4edb55c428772a9905a491dd23707.jpg?v=1779955105, friendlyName=Open</x:v>
      </x:c>
      <x:c r="C2175" s="24" t="e">
        <x:f>HYPERLINK("https://365nails.com/products/pink-french-bow-wholesale-ultra-soft-flexible-fit-handmade-nails-moq-100","""Pink French Bow"" - Wholesale Ultra-Soft Flexible Fit Handmade Nails (MOQ=100)")</x:f>
        <x:v>HYPERLINK is not implemented. linkLocation=https://365nails.com/products/pink-french-bow-wholesale-ultra-soft-flexible-fit-handmade-nails-moq-100, friendlyName="Pink French Bow" - Wholesale Ultra-Soft Flexible Fit Handmade Nails (MOQ=100)</x:v>
      </x:c>
      <x:c r="D2175" s="18" t="str">
        <x:v>Size: XS / S / M / L</x:v>
      </x:c>
      <x:c r="E2175" s="25" t="str">
        <x:v>$1.99</x:v>
      </x:c>
      <x:c r="F2175" s="19" t="str">
        <x:v>100</x:v>
      </x:c>
    </x:row>
    <x:row r="2176" ht="93" customHeight="1">
      <x:c r="A2176" s="19" t="n">
        <x:v>2173</x:v>
      </x:c>
      <x:c r="B2176" s="22" t="e">
        <x:f>HYPERLINK("https://cdn.shopify.com/s/files/1/0918/6066/4603/files/bd621f6be4d9f6ec1330b91cbd1ecd64.jpg?v=1775203437","Open")</x:f>
        <x:v>HYPERLINK is not implemented. linkLocation=https://cdn.shopify.com/s/files/1/0918/6066/4603/files/bd621f6be4d9f6ec1330b91cbd1ecd64.jpg?v=1775203437, friendlyName=Open</x:v>
      </x:c>
      <x:c r="C2176" s="24" t="e">
        <x:f>HYPERLINK("https://365nails.com/products/365nails-matte-brown-monogram-3d-gold-chrome-glitter-handmade-oval-nails","Luxury Logo 365nails: ""Matte Brown Monogram"" – 3D Gold Chrome &amp; Glitter Handmade Oval Nails")</x:f>
        <x:v>HYPERLINK is not implemented. linkLocation=https://365nails.com/products/365nails-matte-brown-monogram-3d-gold-chrome-glitter-handmade-oval-nails, friendlyName=Luxury Logo 365nails: "Matte Brown Monogram" – 3D Gold Chrome &amp; Glitter Handmade Oval Nails</x:v>
      </x:c>
      <x:c r="D2176" s="18" t="str">
        <x:v>Size: XS / S / M / L</x:v>
      </x:c>
      <x:c r="E2176" s="25" t="str">
        <x:v>$6.99</x:v>
      </x:c>
      <x:c r="F2176" s="19" t="str">
        <x:v>3</x:v>
      </x:c>
    </x:row>
    <x:row r="2177" ht="93" customHeight="1">
      <x:c r="A2177" s="19" t="n">
        <x:v>2174</x:v>
      </x:c>
      <x:c r="B2177" s="22" t="e">
        <x:f>HYPERLINK("https://cdn.shopify.com/s/files/1/0918/6066/4603/files/5b4454ce95c3b2893b17f8dd8176ef5c.jpg?v=1775201753","Open")</x:f>
        <x:v>HYPERLINK is not implemented. linkLocation=https://cdn.shopify.com/s/files/1/0918/6066/4603/files/5b4454ce95c3b2893b17f8dd8176ef5c.jpg?v=1775201753, friendlyName=Open</x:v>
      </x:c>
      <x:c r="C2177" s="24" t="e">
        <x:f>HYPERLINK("https://365nails.com/products/365nails-pastel-rainbow-jelly-gold-foil-luxury-monogram-handmade-oval-nails","Luxury Logo 365nails: ""Pastel Rainbow Jelly"" – Gold Foil Luxury Monogram Handmade Oval Nails")</x:f>
        <x:v>HYPERLINK is not implemented. linkLocation=https://365nails.com/products/365nails-pastel-rainbow-jelly-gold-foil-luxury-monogram-handmade-oval-nails, friendlyName=Luxury Logo 365nails: "Pastel Rainbow Jelly" – Gold Foil Luxury Monogram Handmade Oval Nails</x:v>
      </x:c>
      <x:c r="D2177" s="18" t="str">
        <x:v>Size: XS / S / M / L</x:v>
      </x:c>
      <x:c r="E2177" s="25" t="str">
        <x:v>$6.99</x:v>
      </x:c>
      <x:c r="F2177" s="19" t="str">
        <x:v>3</x:v>
      </x:c>
    </x:row>
    <x:row r="2178" ht="93" customHeight="1">
      <x:c r="A2178" s="19" t="n">
        <x:v>2175</x:v>
      </x:c>
      <x:c r="B2178" s="22" t="e">
        <x:f>HYPERLINK("https://cdn.shopify.com/s/files/1/0918/6066/4603/files/O1CN01bNeEEW1z5i4EjddFh__6000000006663-0-cib.jpg?v=1774010973","Open")</x:f>
        <x:v>HYPERLINK is not implemented. linkLocation=https://cdn.shopify.com/s/files/1/0918/6066/4603/files/O1CN01bNeEEW1z5i4EjddFh__6000000006663-0-cib.jpg?v=1774010973, friendlyName=Open</x:v>
      </x:c>
      <x:c r="C2178" s="24" t="e">
        <x:f>HYPERLINK("https://365nails.com/products/sunny-bloom-orange-flower-almond-shape-handmade-3d-carved-press-on-nails","365nails-Sunny Bloom: ""Orange Flower"" – Almond Shape Handmade 3D Carved Press-On Nails")</x:f>
        <x:v>HYPERLINK is not implemented. linkLocation=https://365nails.com/products/sunny-bloom-orange-flower-almond-shape-handmade-3d-carved-press-on-nails, friendlyName=365nails-Sunny Bloom: "Orange Flower" – Almond Shape Handmade 3D Carved Press-On Nails</x:v>
      </x:c>
      <x:c r="D2178" s="18" t="str">
        <x:v>Color: D477; Color classification: X s / S / M / L</x:v>
      </x:c>
      <x:c r="E2178" s="25" t="str">
        <x:v>$3.99</x:v>
      </x:c>
      <x:c r="F2178" s="19" t="str">
        <x:v>1</x:v>
      </x:c>
    </x:row>
    <x:row r="2179" ht="93" customHeight="1">
      <x:c r="A2179" s="19" t="n">
        <x:v>2176</x:v>
      </x:c>
      <x:c r="B2179" s="22" t="e">
        <x:f>HYPERLINK("https://cdn.shopify.com/s/files/1/0918/6066/4603/files/c36fc7558ca9e04a86dbe2b95cdd16dd.jpg?v=1779873803","Open")</x:f>
        <x:v>HYPERLINK is not implemented. linkLocation=https://cdn.shopify.com/s/files/1/0918/6066/4603/files/c36fc7558ca9e04a86dbe2b95cdd16dd.jpg?v=1779873803, friendlyName=Open</x:v>
      </x:c>
      <x:c r="C2179" s="24" t="e">
        <x:f>HYPERLINK("https://365nails.com/products/trophy-champion-world-cup-football-theme-handmade-nails","""Trophy Champion"" - World Cup Football Theme Handmade Nails")</x:f>
        <x:v>HYPERLINK is not implemented. linkLocation=https://365nails.com/products/trophy-champion-world-cup-football-theme-handmade-nails, friendlyName="Trophy Champion" - World Cup Football Theme Handmade Nails</x:v>
      </x:c>
      <x:c r="D2179" s="18" t="str">
        <x:v>Size: XS / S / M / L</x:v>
      </x:c>
      <x:c r="E2179" s="25" t="str">
        <x:v>$4.99</x:v>
      </x:c>
      <x:c r="F2179" s="19" t="str">
        <x:v>10</x:v>
      </x:c>
    </x:row>
    <x:row r="2180" ht="93" customHeight="1">
      <x:c r="A2180" s="19" t="n">
        <x:v>2177</x:v>
      </x:c>
      <x:c r="B2180" s="22" t="e">
        <x:f>HYPERLINK("https://cdn.shopify.com/s/files/1/0918/6066/4603/files/1e24555a324a0e3032b9913f8427e2cd.jpg?v=1779873677","Open")</x:f>
        <x:v>HYPERLINK is not implemented. linkLocation=https://cdn.shopify.com/s/files/1/0918/6066/4603/files/1e24555a324a0e3032b9913f8427e2cd.jpg?v=1779873677, friendlyName=Open</x:v>
      </x:c>
      <x:c r="C2180" s="24" t="e">
        <x:f>HYPERLINK("https://365nails.com/products/argentine-glory-argentina-football-theme-handmade-nails","""Argentine Glory"" - Argentina Football Theme Handmade Nails")</x:f>
        <x:v>HYPERLINK is not implemented. linkLocation=https://365nails.com/products/argentine-glory-argentina-football-theme-handmade-nails, friendlyName="Argentine Glory" - Argentina Football Theme Handmade Nails</x:v>
      </x:c>
      <x:c r="D2180" s="18" t="str">
        <x:v>Size: XS / S / M / L</x:v>
      </x:c>
      <x:c r="E2180" s="25" t="str">
        <x:v>$4.99</x:v>
      </x:c>
      <x:c r="F2180" s="19" t="str">
        <x:v>10</x:v>
      </x:c>
    </x:row>
    <x:row r="2181" ht="93" customHeight="1">
      <x:c r="A2181" s="19" t="n">
        <x:v>2178</x:v>
      </x:c>
      <x:c r="B2181" s="22" t="e">
        <x:f>HYPERLINK("https://cdn.shopify.com/s/files/1/0918/6066/4603/files/1c1e095b23183fc1adef59baefee7054.jpg?v=1779873581","Open")</x:f>
        <x:v>HYPERLINK is not implemented. linkLocation=https://cdn.shopify.com/s/files/1/0918/6066/4603/files/1c1e095b23183fc1adef59baefee7054.jpg?v=1779873581, friendlyName=Open</x:v>
      </x:c>
      <x:c r="C2181" s="24" t="e">
        <x:f>HYPERLINK("https://365nails.com/products/portuguese-legend-portugal-football-theme-handmade-nails","""Portuguese Legend"" - Portugal Football Theme Handmade Nails")</x:f>
        <x:v>HYPERLINK is not implemented. linkLocation=https://365nails.com/products/portuguese-legend-portugal-football-theme-handmade-nails, friendlyName="Portuguese Legend" - Portugal Football Theme Handmade Nails</x:v>
      </x:c>
      <x:c r="D2181" s="18" t="str">
        <x:v>Size: XS / S / M / L</x:v>
      </x:c>
      <x:c r="E2181" s="25" t="str">
        <x:v>$4.99</x:v>
      </x:c>
      <x:c r="F2181" s="19" t="str">
        <x:v>10</x:v>
      </x:c>
    </x:row>
    <x:row r="2182" ht="93" customHeight="1">
      <x:c r="A2182" s="19" t="n">
        <x:v>2179</x:v>
      </x:c>
      <x:c r="B2182" s="22" t="e">
        <x:f>HYPERLINK("https://cdn.shopify.com/s/files/1/0918/6066/4603/files/fcc059175a1b505a998af9efc4f119dd.jpg?v=1779873227","Open")</x:f>
        <x:v>HYPERLINK is not implemented. linkLocation=https://cdn.shopify.com/s/files/1/0918/6066/4603/files/fcc059175a1b505a998af9efc4f119dd.jpg?v=1779873227, friendlyName=Open</x:v>
      </x:c>
      <x:c r="C2182" s="24" t="e">
        <x:f>HYPERLINK("https://365nails.com/products/athletic-stars-football-jersey-theme-handmade-nails","""Athletic Stars"" - Football Jersey Theme Handmade Nails")</x:f>
        <x:v>HYPERLINK is not implemented. linkLocation=https://365nails.com/products/athletic-stars-football-jersey-theme-handmade-nails, friendlyName="Athletic Stars" - Football Jersey Theme Handmade Nails</x:v>
      </x:c>
      <x:c r="D2182" s="18" t="str">
        <x:v>Size: XS / S / M / L</x:v>
      </x:c>
      <x:c r="E2182" s="25" t="str">
        <x:v>$4.99</x:v>
      </x:c>
      <x:c r="F2182" s="19" t="str">
        <x:v>10</x:v>
      </x:c>
    </x:row>
    <x:row r="2183" ht="93" customHeight="1">
      <x:c r="A2183" s="19" t="n">
        <x:v>2180</x:v>
      </x:c>
      <x:c r="B2183" s="22" t="e">
        <x:f>HYPERLINK("https://cdn.shopify.com/s/files/1/0918/6066/4603/files/702de006675ece0189a60aefcbff3e90.jpg?v=1779873144","Open")</x:f>
        <x:v>HYPERLINK is not implemented. linkLocation=https://cdn.shopify.com/s/files/1/0918/6066/4603/files/702de006675ece0189a60aefcbff3e90.jpg?v=1779873144, friendlyName=Open</x:v>
      </x:c>
      <x:c r="C2183" s="24" t="e">
        <x:f>HYPERLINK("https://365nails.com/products/2026-global-spirit-world-cup-football-theme-handmade-nails","""2026 Global Spirit"" - World Cup Football Theme Handmade Nails")</x:f>
        <x:v>HYPERLINK is not implemented. linkLocation=https://365nails.com/products/2026-global-spirit-world-cup-football-theme-handmade-nails, friendlyName="2026 Global Spirit" - World Cup Football Theme Handmade Nails</x:v>
      </x:c>
      <x:c r="D2183" s="18" t="str">
        <x:v>Size: XS / S / M / L</x:v>
      </x:c>
      <x:c r="E2183" s="25" t="str">
        <x:v>$4.99</x:v>
      </x:c>
      <x:c r="F2183" s="19" t="str">
        <x:v>10</x:v>
      </x:c>
    </x:row>
    <x:row r="2184" ht="93" customHeight="1">
      <x:c r="A2184" s="19" t="n">
        <x:v>2181</x:v>
      </x:c>
      <x:c r="B2184" s="22" t="e">
        <x:f>HYPERLINK("https://cdn.shopify.com/s/files/1/0918/6066/4603/files/cd5517323725c7b7819561495c227f55.jpg?v=1768890825","Open")</x:f>
        <x:v>HYPERLINK is not implemented. linkLocation=https://cdn.shopify.com/s/files/1/0918/6066/4603/files/cd5517323725c7b7819561495c227f55.jpg?v=1768890825, friendlyName=Open</x:v>
      </x:c>
      <x:c r="C2184" s="24" t="e">
        <x:f>HYPERLINK("https://365nails.com/products/cute-dragon-claw-short-press-on-nails-collection-aurora-crushed-ice-blush-ombre","Cute Dragon Claw Short Press On Nails Collection｜Aurora Crushed Ice / Blush Ombre")</x:f>
        <x:v>HYPERLINK is not implemented. linkLocation=https://365nails.com/products/cute-dragon-claw-short-press-on-nails-collection-aurora-crushed-ice-blush-ombre, friendlyName=Cute Dragon Claw Short Press On Nails Collection｜Aurora Crushed Ice / Blush Ombre</x:v>
      </x:c>
      <x:c r="D2184" s="18" t="str">
        <x:v>Size: XS / S / M / L; Color: Pink / Blue</x:v>
      </x:c>
      <x:c r="E2184" s="25" t="str">
        <x:v>$6.99</x:v>
      </x:c>
      <x:c r="F2184" s="19" t="str">
        <x:v>1</x:v>
      </x:c>
    </x:row>
    <x:row r="2185" ht="93" customHeight="1">
      <x:c r="A2185" s="19" t="n">
        <x:v>2182</x:v>
      </x:c>
      <x:c r="B2185" s="22" t="e">
        <x:f>HYPERLINK("https://cdn.shopify.com/s/files/1/0918/6066/4603/files/58a8fdcceb51202844ef7ed31575ecca.jpg?v=1782357609","Open")</x:f>
        <x:v>HYPERLINK is not implemented. linkLocation=https://cdn.shopify.com/s/files/1/0918/6066/4603/files/58a8fdcceb51202844ef7ed31575ecca.jpg?v=1782357609, friendlyName=Open</x:v>
      </x:c>
      <x:c r="C2185" s="24" t="e">
        <x:f>HYPERLINK("https://365nails.com/products/cherry-red-cat-eye-vibrant-32pcs-press-on-nails-set","""Cherry Red Cat Eye"" - Vibrant 32Pcs Press-On Nails Set")</x:f>
        <x:v>HYPERLINK is not implemented. linkLocation=https://365nails.com/products/cherry-red-cat-eye-vibrant-32pcs-press-on-nails-set, friendlyName="Cherry Red Cat Eye" - Vibrant 32Pcs Press-On Nails Set</x:v>
      </x:c>
      <x:c r="D2185" s="18" t="str">
        <x:v>Color: Red cherry cat eye 32-piece set</x:v>
      </x:c>
      <x:c r="E2185" s="25" t="str">
        <x:v>$1.29</x:v>
      </x:c>
      <x:c r="F2185" s="19" t="str">
        <x:v>1</x:v>
      </x:c>
    </x:row>
    <x:row r="2186" ht="93" customHeight="1">
      <x:c r="A2186" s="19" t="n">
        <x:v>2183</x:v>
      </x:c>
      <x:c r="B2186" s="22" t="e">
        <x:f>HYPERLINK("https://cdn.shopify.com/s/files/1/0918/6066/4603/files/d5a5b7f020cdd99760a409c0dc1c4001.jpg?v=1782357353","Open")</x:f>
        <x:v>HYPERLINK is not implemented. linkLocation=https://cdn.shopify.com/s/files/1/0918/6066/4603/files/d5a5b7f020cdd99760a409c0dc1c4001.jpg?v=1782357353, friendlyName=Open</x:v>
      </x:c>
      <x:c r="C2186" s="24" t="e">
        <x:f>HYPERLINK("https://365nails.com/products/luminous-cat-eye-collection-multi-color-32pcs-press-on-nails-set","""Luminous Cat Eye Collection"" - Multi-Color 32Pcs Press-On Nails Set")</x:f>
        <x:v>HYPERLINK is not implemented. linkLocation=https://365nails.com/products/luminous-cat-eye-collection-multi-color-32pcs-press-on-nails-set, friendlyName="Luminous Cat Eye Collection" - Multi-Color 32Pcs Press-On Nails Set</x:v>
      </x:c>
      <x:c r="D2186" s="18" t="str">
        <x:v>Color: Ys-516-168-15 (white moonlight cat eye) / Ys-516-510-8240 (white moonlight cat eye) / Ys-516-321646 (white moonlight cat eye) / Ys-516-321652 (white moonlight cat eye) / Ys-516-321653 (white moonlight cat eye) / Ys-516-322488 (white moonlight cat eye) / Ys-516-349538-(small light bulb cat eye) / Ys-516-349539-(small light bulb cat eye) / Ys-516-349689-(small light bulb cat eye) / Ys-516-349691-(small light bulb cat eye)</x:v>
      </x:c>
      <x:c r="E2186" s="25" t="str">
        <x:v>$1.49</x:v>
      </x:c>
      <x:c r="F2186" s="19" t="str">
        <x:v>1</x:v>
      </x:c>
    </x:row>
    <x:row r="2187" ht="93" customHeight="1">
      <x:c r="A2187" s="19" t="n">
        <x:v>2184</x:v>
      </x:c>
      <x:c r="B2187" s="22" t="e">
        <x:f>HYPERLINK("https://cdn.shopify.com/s/files/1/0918/6066/4603/files/f5a3224aa7e6c50ab53d1d9d7731a7b5.jpg?v=1782357026","Open")</x:f>
        <x:v>HYPERLINK is not implemented. linkLocation=https://cdn.shopify.com/s/files/1/0918/6066/4603/files/f5a3224aa7e6c50ab53d1d9d7731a7b5.jpg?v=1782357026, friendlyName=Open</x:v>
      </x:c>
      <x:c r="C2187" s="24" t="e">
        <x:f>HYPERLINK("https://365nails.com/products/spring-daisy-french-floral-32pcs-press-on-nails-set","""Spring Daisy French"" - Floral 32Pcs Press-On Nails Set")</x:f>
        <x:v>HYPERLINK is not implemented. linkLocation=https://365nails.com/products/spring-daisy-french-floral-32pcs-press-on-nails-set, friendlyName="Spring Daisy French" - Floral 32Pcs Press-On Nails Set</x:v>
      </x:c>
      <x:c r="D2187" s="18" t="str">
        <x:v>Color: 516z–01 / 516z–02 / 516z–03 / 516z–04 / 516z–05 / 516z–06 / 516z–07 / 516z–08 / 516z–09 / 516z–010 / 516z–011</x:v>
      </x:c>
      <x:c r="E2187" s="25" t="str">
        <x:v>$1.49</x:v>
      </x:c>
      <x:c r="F2187" s="19" t="str">
        <x:v>1</x:v>
      </x:c>
    </x:row>
    <x:row r="2188" ht="93" customHeight="1">
      <x:c r="A2188" s="19" t="n">
        <x:v>2185</x:v>
      </x:c>
      <x:c r="B2188" s="22" t="e">
        <x:f>HYPERLINK("https://cdn.shopify.com/s/files/1/0918/6066/4603/files/O1CN01RBKSLE247bqMJNTqf__2209064737344-0-cib.jpg?v=1782356750","Open")</x:f>
        <x:v>HYPERLINK is not implemented. linkLocation=https://cdn.shopify.com/s/files/1/0918/6066/4603/files/O1CN01RBKSLE247bqMJNTqf__2209064737344-0-cib.jpg?v=1782356750, friendlyName=Open</x:v>
      </x:c>
      <x:c r="C2188" s="24" t="e">
        <x:f>HYPERLINK("https://365nails.com/products/champagne-gold-3d-swirls-elegant-32pcs-press-on-nails-set","""Champagne Gold 3D Swirls"" - Elegant 32Pcs Press-On Nails Set")</x:f>
        <x:v>HYPERLINK is not implemented. linkLocation=https://365nails.com/products/champagne-gold-3d-swirls-elegant-32pcs-press-on-nails-set, friendlyName="Champagne Gold 3D Swirls" - Elegant 32Pcs Press-On Nails Set</x:v>
      </x:c>
      <x:c r="D2188" s="18" t="str">
        <x:v>Color: Ys–516–01 / Ys–516–02 / Ys–516–03 / Ys–516–04 / Ys–516–05</x:v>
      </x:c>
      <x:c r="E2188" s="25" t="str">
        <x:v>$1.99–$2.99</x:v>
      </x:c>
      <x:c r="F2188" s="19" t="str">
        <x:v>1</x:v>
      </x:c>
    </x:row>
    <x:row r="2189" ht="93" customHeight="1">
      <x:c r="A2189" s="19" t="n">
        <x:v>2186</x:v>
      </x:c>
      <x:c r="B2189" s="22" t="e">
        <x:f>HYPERLINK("https://cdn.shopify.com/s/files/1/0918/6066/4603/files/a16f3da899486e8deb53f99f3825c8e0.jpg?v=1776149746","Open")</x:f>
        <x:v>HYPERLINK is not implemented. linkLocation=https://cdn.shopify.com/s/files/1/0918/6066/4603/files/a16f3da899486e8deb53f99f3825c8e0.jpg?v=1776149746, friendlyName=Open</x:v>
      </x:c>
      <x:c r="C2189" s="24" t="e">
        <x:f>HYPERLINK("https://365nails.com/products/365nails-oceans-whisper-3d-shell-glitter-handmade-short-square-nails","365nails: ""Ocean's Whisper"" – 3D Shell &amp; Glitter Handmade Short Square Nails")</x:f>
        <x:v>HYPERLINK is not implemented. linkLocation=https://365nails.com/products/365nails-oceans-whisper-3d-shell-glitter-handmade-short-square-nails, friendlyName=365nails: "Ocean's Whisper" – 3D Shell &amp; Glitter Handmade Short Square Nails</x:v>
      </x:c>
      <x:c r="D2189" s="18" t="str">
        <x:v>Size: XS / S / M / L</x:v>
      </x:c>
      <x:c r="E2189" s="25" t="str">
        <x:v>$1.99</x:v>
      </x:c>
      <x:c r="F2189" s="19" t="str">
        <x:v>3</x:v>
      </x:c>
    </x:row>
    <x:row r="2190" ht="93" customHeight="1">
      <x:c r="A2190" s="19" t="n">
        <x:v>2187</x:v>
      </x:c>
      <x:c r="B2190" s="22" t="e">
        <x:f>HYPERLINK("https://cdn.shopify.com/s/files/1/0918/6066/4603/files/eebaf92edca94f4540bae49eb943eb85.jpg?v=1770276369","Open")</x:f>
        <x:v>HYPERLINK is not implemented. linkLocation=https://cdn.shopify.com/s/files/1/0918/6066/4603/files/eebaf92edca94f4540bae49eb943eb85.jpg?v=1770276369, friendlyName=Open</x:v>
      </x:c>
      <x:c r="C2190" s="24" t="e">
        <x:f>HYPERLINK("https://365nails.com/products/handmade-cinderella-blue-3d-floral-press-on-nails-textured-french-pearls-short-almond-10pcs-set","Handmade ""Cinderella Blue"" 3D Floral Press-on Nails | Textured French &amp; Pearls | Short Almond")</x:f>
        <x:v>HYPERLINK is not implemented. linkLocation=https://365nails.com/products/handmade-cinderella-blue-3d-floral-press-on-nails-textured-french-pearls-short-almond-10pcs-set, friendlyName=Handmade "Cinderella Blue" 3D Floral Press-on Nails | Textured French &amp; Pearls | Short Almond</x:v>
      </x:c>
      <x:c r="D2190" s="18" t="str">
        <x:v>Size: XS / S / M / L</x:v>
      </x:c>
      <x:c r="E2190" s="25" t="str">
        <x:v>$3.99</x:v>
      </x:c>
      <x:c r="F2190" s="19" t="str">
        <x:v>5</x:v>
      </x:c>
    </x:row>
    <x:row r="2191" ht="93" customHeight="1">
      <x:c r="A2191" s="19" t="n">
        <x:v>2188</x:v>
      </x:c>
      <x:c r="B2191" s="22" t="e">
        <x:f>HYPERLINK("https://cdn.shopify.com/s/files/1/0918/6066/4603/files/0df61166cbd82a5ffc2ec2acfa346ab9.jpg?v=1775907634","Open")</x:f>
        <x:v>HYPERLINK is not implemented. linkLocation=https://cdn.shopify.com/s/files/1/0918/6066/4603/files/0df61166cbd82a5ffc2ec2acfa346ab9.jpg?v=1775907634, friendlyName=Open</x:v>
      </x:c>
      <x:c r="C2191" s="24" t="e">
        <x:f>HYPERLINK("https://365nails.com/products/365nails-gardenia-dream-3d-floral-handmade-stiletto-nails","365nails: ""Gardenia Dream"" – 3D Floral Handmade Stiletto Nails")</x:f>
        <x:v>HYPERLINK is not implemented. linkLocation=https://365nails.com/products/365nails-gardenia-dream-3d-floral-handmade-stiletto-nails, friendlyName=365nails: "Gardenia Dream" – 3D Floral Handmade Stiletto Nails</x:v>
      </x:c>
      <x:c r="D2191" s="18" t="str">
        <x:v>Size: XS / S / M / L</x:v>
      </x:c>
      <x:c r="E2191" s="25" t="str">
        <x:v>$3.99</x:v>
      </x:c>
      <x:c r="F2191" s="19" t="str">
        <x:v>5</x:v>
      </x:c>
    </x:row>
    <x:row r="2192" ht="93" customHeight="1">
      <x:c r="A2192" s="19" t="n">
        <x:v>2189</x:v>
      </x:c>
      <x:c r="B2192" s="22" t="e">
        <x:f>HYPERLINK("https://cdn.shopify.com/s/files/1/0918/6066/4603/files/89ebb91d64a07b907ab7f95364595def.jpg?v=1770276384","Open")</x:f>
        <x:v>HYPERLINK is not implemented. linkLocation=https://cdn.shopify.com/s/files/1/0918/6066/4603/files/89ebb91d64a07b907ab7f95364595def.jpg?v=1770276384, friendlyName=Open</x:v>
      </x:c>
      <x:c r="C2192" s="24" t="e">
        <x:f>HYPERLINK("https://365nails.com/products/handmade-spring-tulip-3d-floral-press-on-nails-green-leaf-french-pearls-medium-almond-10pcs-set","Handmade Spring Tulip 3D Floral Press-on Nails | Green Leaf French &amp; Pearls | Medium Almond")</x:f>
        <x:v>HYPERLINK is not implemented. linkLocation=https://365nails.com/products/handmade-spring-tulip-3d-floral-press-on-nails-green-leaf-french-pearls-medium-almond-10pcs-set, friendlyName=Handmade Spring Tulip 3D Floral Press-on Nails | Green Leaf French &amp; Pearls | Medium Almond</x:v>
      </x:c>
      <x:c r="D2192" s="18" t="str">
        <x:v>Size: XS / S / M / L</x:v>
      </x:c>
      <x:c r="E2192" s="25" t="str">
        <x:v>$3.99</x:v>
      </x:c>
      <x:c r="F2192" s="19" t="str">
        <x:v>5</x:v>
      </x:c>
    </x:row>
    <x:row r="2193" ht="93" customHeight="1">
      <x:c r="A2193" s="19" t="n">
        <x:v>2190</x:v>
      </x:c>
      <x:c r="B2193" s="22" t="e">
        <x:f>HYPERLINK("https://cdn.shopify.com/s/files/1/0918/6066/4603/files/O1CN01ohWiMX1eesGN4el74__2214273723897-0-cib.jpg?v=1755389762","Open")</x:f>
        <x:v>HYPERLINK is not implemented. linkLocation=https://cdn.shopify.com/s/files/1/0918/6066/4603/files/O1CN01ohWiMX1eesGN4el74__2214273723897-0-cib.jpg?v=1755389762, friendlyName=Open</x:v>
      </x:c>
      <x:c r="C2193" s="24" t="e">
        <x:f>HYPERLINK("https://365nails.com/products/sunmini-mini-uv-led-nail-lamp-for-gel-polish-curing","SUNMINI Mini UV/LED Nail Lamp for Gel Polish Curing")</x:f>
        <x:v>HYPERLINK is not implemented. linkLocation=https://365nails.com/products/sunmini-mini-uv-led-nail-lamp-for-gel-polish-curing, friendlyName=SUNMINI Mini UV/LED Nail Lamp for Gel Polish Curing</x:v>
      </x:c>
      <x:c r="D2193" s="18" t="str">
        <x:v>Color: TYPE-C interface, pink/color box (line separation, two-speed timing) / TYPE-C interface, white/color box (line separation, two-speed timing) / Electroplating blue/color box (machine line separation, two gears timing) / Electroplated silver/color box (machine line separation, two gears timing) / Electroplating pink purple/color box (machine line separation, two gears timing) / Electroplated red/color box (machine line separation, two-speed timing)</x:v>
      </x:c>
      <x:c r="E2193" s="25" t="str">
        <x:v>$0.71–$1.05</x:v>
      </x:c>
      <x:c r="F2193" s="19" t="str">
        <x:v>1</x:v>
      </x:c>
    </x:row>
    <x:row r="2194" ht="93" customHeight="1">
      <x:c r="A2194" s="19" t="n">
        <x:v>2191</x:v>
      </x:c>
      <x:c r="B2194" s="22" t="e">
        <x:f>HYPERLINK("https://cdn.shopify.com/s/files/1/0918/6066/4603/files/O1CN01jOkfUv1qQvckWLT20__3917635491-0-cib.jpg?v=1753523227","Open")</x:f>
        <x:v>HYPERLINK is not implemented. linkLocation=https://cdn.shopify.com/s/files/1/0918/6066/4603/files/O1CN01jOkfUv1qQvckWLT20__3917635491-0-cib.jpg?v=1753523227, friendlyName=Open</x:v>
      </x:c>
      <x:c r="C2194" s="24" t="e">
        <x:f>HYPERLINK("https://365nails.com/products/summer-fresh-klein-blue-manicure-leopard-print-amber-wearing-nail-press-on-toenails-fake-nail-special-press-on-toenails-nail-365nails","Summer fresh Klein blue manicure leopard print amber press-on nails Press-on toenails fake nail special Press-on toenails nail｜365nails")</x:f>
        <x:v>HYPERLINK is not implemented. linkLocation=https://365nails.com/products/summer-fresh-klein-blue-manicure-leopard-print-amber-wearing-nail-press-on-toenails-fake-nail-special-press-on-toenails-nail-365nails, friendlyName=Summer fresh Klein blue manicure leopard print amber press-on nails Press-on toenails fake nail special Press-on toenails nail｜365nails</x:v>
      </x:c>
      <x:c r="D2194" s="18" t="str">
        <x:v>color: F051 Amber Leopard Print [Glue]</x:v>
      </x:c>
      <x:c r="E2194" s="25" t="str">
        <x:v>$0.82</x:v>
      </x:c>
      <x:c r="F2194" s="19" t="str">
        <x:v>1</x:v>
      </x:c>
    </x:row>
    <x:row r="2195" ht="93" customHeight="1">
      <x:c r="A2195" s="19" t="n">
        <x:v>2192</x:v>
      </x:c>
      <x:c r="B2195" s="22" t="e">
        <x:f>HYPERLINK("https://cdn.shopify.com/s/files/1/0918/6066/4603/files/81b0e36be54c3f055fbedec21c9196c4.jpg?v=1775524904","Open")</x:f>
        <x:v>HYPERLINK is not implemented. linkLocation=https://cdn.shopify.com/s/files/1/0918/6066/4603/files/81b0e36be54c3f055fbedec21c9196c4.jpg?v=1775524904, friendlyName=Open</x:v>
      </x:c>
      <x:c r="C2195" s="24" t="e">
        <x:f>HYPERLINK("https://365nails.com/products/365nails-pastel-hibiscus-3d-seashell-tropical-flower-handmade-almond-nails","365nails: ""Pastel Hibiscus"" – 3D Seashell &amp; Tropical Flower Handmade Almond Nails")</x:f>
        <x:v>HYPERLINK is not implemented. linkLocation=https://365nails.com/products/365nails-pastel-hibiscus-3d-seashell-tropical-flower-handmade-almond-nails, friendlyName=365nails: "Pastel Hibiscus" – 3D Seashell &amp; Tropical Flower Handmade Almond Nails</x:v>
      </x:c>
      <x:c r="D2195" s="18" t="str">
        <x:v>Size: XS / S / M / L</x:v>
      </x:c>
      <x:c r="E2195" s="25" t="str">
        <x:v>$3.99</x:v>
      </x:c>
      <x:c r="F2195" s="19" t="str">
        <x:v>3</x:v>
      </x:c>
    </x:row>
    <x:row r="2196" ht="93" customHeight="1">
      <x:c r="A2196" s="19" t="n">
        <x:v>2193</x:v>
      </x:c>
      <x:c r="B2196" s="22" t="e">
        <x:f>HYPERLINK("https://cdn.shopify.com/s/files/1/0918/6066/4603/files/c8c852799c389dede94fe1e3a932004c.jpg?v=1777555485","Open")</x:f>
        <x:v>HYPERLINK is not implemented. linkLocation=https://cdn.shopify.com/s/files/1/0918/6066/4603/files/c8c852799c389dede94fe1e3a932004c.jpg?v=1777555485, friendlyName=Open</x:v>
      </x:c>
      <x:c r="C2196" s="24" t="e">
        <x:f>HYPERLINK("https://365nails.com/products/365nails-purple-floral-gradient-handmade-medium-almond-press-on-nails","365nails: ""Purple Floral Gradient"" – Handmade Medium Almond Press-On Nails")</x:f>
        <x:v>HYPERLINK is not implemented. linkLocation=https://365nails.com/products/365nails-purple-floral-gradient-handmade-medium-almond-press-on-nails, friendlyName=365nails: "Purple Floral Gradient" – Handmade Medium Almond Press-On Nails</x:v>
      </x:c>
      <x:c r="D2196" s="18" t="str">
        <x:v>Size: XS / S / M / L</x:v>
      </x:c>
      <x:c r="E2196" s="25" t="str">
        <x:v>$4.99</x:v>
      </x:c>
      <x:c r="F2196" s="19" t="str">
        <x:v>5</x:v>
      </x:c>
    </x:row>
    <x:row r="2197" ht="93" customHeight="1">
      <x:c r="A2197" s="19" t="n">
        <x:v>2194</x:v>
      </x:c>
      <x:c r="B2197" s="22" t="e">
        <x:f>HYPERLINK("https://cdn.shopify.com/s/files/1/0918/6066/4603/files/ed96f847b178e0c9785ecb2433d94276.jpg?v=1777643184","Open")</x:f>
        <x:v>HYPERLINK is not implemented. linkLocation=https://cdn.shopify.com/s/files/1/0918/6066/4603/files/ed96f847b178e0c9785ecb2433d94276.jpg?v=1777643184, friendlyName=Open</x:v>
      </x:c>
      <x:c r="C2197" s="24" t="e">
        <x:f>HYPERLINK("https://365nails.com/products/365nails-tropical-fruit-fiesta-3d-sculpted-handmade-long-stiletto-press-on-nails","365nails: ""Tropical Fruit Fiesta"" – 3D Sculpted Handmade Long Stiletto Press On Nails")</x:f>
        <x:v>HYPERLINK is not implemented. linkLocation=https://365nails.com/products/365nails-tropical-fruit-fiesta-3d-sculpted-handmade-long-stiletto-press-on-nails, friendlyName=365nails: "Tropical Fruit Fiesta" – 3D Sculpted Handmade Long Stiletto Press On Nails</x:v>
      </x:c>
      <x:c r="D2197" s="18" t="str">
        <x:v>Size: XS / S / M / L</x:v>
      </x:c>
      <x:c r="E2197" s="25" t="str">
        <x:v>$4.99</x:v>
      </x:c>
      <x:c r="F2197" s="19" t="str">
        <x:v>5</x:v>
      </x:c>
    </x:row>
    <x:row r="2198" ht="93" customHeight="1">
      <x:c r="A2198" s="19" t="n">
        <x:v>2195</x:v>
      </x:c>
      <x:c r="B2198" s="22" t="e">
        <x:f>HYPERLINK("https://cdn.shopify.com/s/files/1/0918/6066/4603/files/6f0f1fd4b19cc30f7f38a8f79c771bbd.jpg?v=1770276306","Open")</x:f>
        <x:v>HYPERLINK is not implemented. linkLocation=https://cdn.shopify.com/s/files/1/0918/6066/4603/files/6f0f1fd4b19cc30f7f38a8f79c771bbd.jpg?v=1770276306, friendlyName=Open</x:v>
      </x:c>
      <x:c r="C2198" s="24" t="e">
        <x:f>HYPERLINK("https://365nails.com/products/handmade-tropical-sherbet-3d-floral-press-on-nails-ombre-petals-swirls-short-square-10pcs-set","Handmade ""Tropical Sherbet"" 3D Floral Press-on Nails | Ombré Petals &amp; Swirls | Short Square")</x:f>
        <x:v>HYPERLINK is not implemented. linkLocation=https://365nails.com/products/handmade-tropical-sherbet-3d-floral-press-on-nails-ombre-petals-swirls-short-square-10pcs-set, friendlyName=Handmade "Tropical Sherbet" 3D Floral Press-on Nails | Ombré Petals &amp; Swirls | Short Square</x:v>
      </x:c>
      <x:c r="D2198" s="18" t="str">
        <x:v>Size: XS / S / M / L</x:v>
      </x:c>
      <x:c r="E2198" s="25" t="str">
        <x:v>$4.99</x:v>
      </x:c>
      <x:c r="F2198" s="19" t="str">
        <x:v>5</x:v>
      </x:c>
    </x:row>
    <x:row r="2199" ht="93" customHeight="1">
      <x:c r="A2199" s="19" t="n">
        <x:v>2196</x:v>
      </x:c>
      <x:c r="B2199" s="22" t="e">
        <x:f>HYPERLINK("https://cdn.shopify.com/s/files/1/0918/6066/4603/files/O1CN01d6dNog2CXGpXpWEpl__2216382308483-0-cib.jpg?v=1768014884","Open")</x:f>
        <x:v>HYPERLINK is not implemented. linkLocation=https://cdn.shopify.com/s/files/1/0918/6066/4603/files/O1CN01d6dNog2CXGpXpWEpl__2216382308483-0-cib.jpg?v=1768014884, friendlyName=Open</x:v>
      </x:c>
      <x:c r="C2199" s="24" t="e">
        <x:f>HYPERLINK("https://365nails.com/products/valentines-day-red-heart-long-press-on-nails","Valentine's day red heart long press-on nails(MOQ=5)")</x:f>
        <x:v>HYPERLINK is not implemented. linkLocation=https://365nails.com/products/valentines-day-red-heart-long-press-on-nails, friendlyName=Valentine's day red heart long press-on nails(MOQ=5)</x:v>
      </x:c>
      <x:c r="D2199" s="18" t="str">
        <x:v>Color: See the image; Color classification: X s / S / M / L; Quantity: 5pcs</x:v>
      </x:c>
      <x:c r="E2199" s="25" t="str">
        <x:v>$24.95</x:v>
      </x:c>
      <x:c r="F2199" s="19" t="str">
        <x:v>1</x:v>
      </x:c>
    </x:row>
    <x:row r="2200" ht="93" customHeight="1">
      <x:c r="A2200" s="19" t="n">
        <x:v>2197</x:v>
      </x:c>
      <x:c r="B2200" s="22" t="e">
        <x:f>HYPERLINK("https://cdn.shopify.com/s/files/1/0918/6066/4603/files/O1CN01k3ynn92MQzflmuJ17__2219089449823-0-cib.jpg?v=1774520843","Open")</x:f>
        <x:v>HYPERLINK is not implemented. linkLocation=https://cdn.shopify.com/s/files/1/0918/6066/4603/files/O1CN01k3ynn92MQzflmuJ17__2219089449823-0-cib.jpg?v=1774520843, friendlyName=Open</x:v>
      </x:c>
      <x:c r="C2200" s="24" t="e">
        <x:f>HYPERLINK("https://365nails.com/products/pink-blossom-polka-dot-floral-almond-press-on-nails","Pink Blossom: ""Polka Dot &amp; Floral"" – Almond Press-On Nails")</x:f>
        <x:v>HYPERLINK is not implemented. linkLocation=https://365nails.com/products/pink-blossom-polka-dot-floral-almond-press-on-nails, friendlyName=Pink Blossom: "Polka Dot &amp; Floral" – Almond Press-On Nails</x:v>
      </x:c>
      <x:c r="D2200" s="18" t="str">
        <x:v>Color: D632; Color classification: Xs / S / M / L</x:v>
      </x:c>
      <x:c r="E2200" s="25" t="str">
        <x:v>$3.99</x:v>
      </x:c>
      <x:c r="F2200" s="19" t="str">
        <x:v>1</x:v>
      </x:c>
    </x:row>
    <x:row r="2201" ht="93" customHeight="1">
      <x:c r="A2201" s="19" t="n">
        <x:v>2198</x:v>
      </x:c>
      <x:c r="B2201" s="22" t="e">
        <x:f>HYPERLINK("https://cdn.shopify.com/s/files/1/0918/6066/4603/files/O1CN01WIUaJE1CPwPig6A8r__2213196780074-0-cib.jpg?v=1764303677","Open")</x:f>
        <x:v>HYPERLINK is not implemented. linkLocation=https://cdn.shopify.com/s/files/1/0918/6066/4603/files/O1CN01WIUaJE1CPwPig6A8r__2213196780074-0-cib.jpg?v=1764303677, friendlyName=Open</x:v>
      </x:c>
      <x:c r="C2201" s="24" t="e">
        <x:f>HYPERLINK("https://365nails.com/products/vibrant-floral-red-tip-duckbill-press-on-nails","Vibrant Floral Red Tip Duckbill Press On Nails")</x:f>
        <x:v>HYPERLINK is not implemented. linkLocation=https://365nails.com/products/vibrant-floral-red-tip-duckbill-press-on-nails, friendlyName=Vibrant Floral Red Tip Duckbill Press On Nails</x:v>
      </x:c>
      <x:c r="D2201" s="18" t="str">
        <x:v>shape: W251-short duck bill; size: Extra small XS / S / M M / Large L</x:v>
      </x:c>
      <x:c r="E2201" s="25" t="str">
        <x:v>$2.99</x:v>
      </x:c>
      <x:c r="F2201" s="19" t="str">
        <x:v>1</x:v>
      </x:c>
    </x:row>
    <x:row r="2202" ht="93" customHeight="1">
      <x:c r="A2202" s="19" t="n">
        <x:v>2199</x:v>
      </x:c>
      <x:c r="B2202" s="22" t="e">
        <x:f>HYPERLINK("https://cdn.shopify.com/s/files/1/0918/6066/4603/files/O1CN01cmkcIF2Hxu2SbWr94__2214169509218-0-cib.jpg?v=1764300049","Open")</x:f>
        <x:v>HYPERLINK is not implemented. linkLocation=https://cdn.shopify.com/s/files/1/0918/6066/4603/files/O1CN01cmkcIF2Hxu2SbWr94__2214169509218-0-cib.jpg?v=1764300049, friendlyName=Open</x:v>
      </x:c>
      <x:c r="C2202" s="24" t="e">
        <x:f>HYPERLINK("https://365nails.com/products/brown-star-sparkle-nude-cute-press-on-nails","Brown Star Sparkle Nude Cute Press On Nails")</x:f>
        <x:v>HYPERLINK is not implemented. linkLocation=https://365nails.com/products/brown-star-sparkle-nude-cute-press-on-nails, friendlyName=Brown Star Sparkle Nude Cute Press On Nails</x:v>
      </x:c>
      <x:c r="D2202" s="18" t="str">
        <x:v>shape: 910-Ultra short ladder; size: Extra small XS / S / M M / Large L</x:v>
      </x:c>
      <x:c r="E2202" s="25" t="str">
        <x:v>$3.49</x:v>
      </x:c>
      <x:c r="F2202" s="19" t="str">
        <x:v>1</x:v>
      </x:c>
    </x:row>
    <x:row r="2203" ht="93" customHeight="1">
      <x:c r="A2203" s="19" t="n">
        <x:v>2200</x:v>
      </x:c>
      <x:c r="B2203" s="22" t="e">
        <x:f>HYPERLINK("https://cdn.shopify.com/s/files/1/0918/6066/4603/files/O1CN01yVal5s1CPwOiI7zh8__2213196780074-0-cib.jpg?v=1764304743","Open")</x:f>
        <x:v>HYPERLINK is not implemented. linkLocation=https://cdn.shopify.com/s/files/1/0918/6066/4603/files/O1CN01yVal5s1CPwOiI7zh8__2213196780074-0-cib.jpg?v=1764304743, friendlyName=Open</x:v>
      </x:c>
      <x:c r="C2203" s="24" t="e">
        <x:f>HYPERLINK("https://365nails.com/products/ocean-orange-blue-retro-artistic-press-on-nails","Ocean Orange Blue Retro Artistic Press On Nails")</x:f>
        <x:v>HYPERLINK is not implemented. linkLocation=https://365nails.com/products/ocean-orange-blue-retro-artistic-press-on-nails, friendlyName=Ocean Orange Blue Retro Artistic Press On Nails</x:v>
      </x:c>
      <x:c r="D2203" s="18" t="str">
        <x:v>shape: 3056-Medium almonds; size: XS / S / M / L</x:v>
      </x:c>
      <x:c r="E2203" s="25" t="str">
        <x:v>$3.99</x:v>
      </x:c>
      <x:c r="F2203" s="19" t="str">
        <x:v>1</x:v>
      </x:c>
    </x:row>
    <x:row r="2204" ht="93" customHeight="1">
      <x:c r="A2204" s="19" t="n">
        <x:v>2201</x:v>
      </x:c>
      <x:c r="B2204" s="22" t="e">
        <x:f>HYPERLINK("https://cdn.shopify.com/s/files/1/0918/6066/4603/files/O1CN01o4LCLm2MQzewOwp3Z__2219089449823-0-cib.jpg?v=1767791249","Open")</x:f>
        <x:v>HYPERLINK is not implemented. linkLocation=https://cdn.shopify.com/s/files/1/0918/6066/4603/files/O1CN01o4LCLm2MQzewOwp3Z__2219089449823-0-cib.jpg?v=1767791249, friendlyName=Open</x:v>
      </x:c>
      <x:c r="C2204" s="24" t="e">
        <x:f>HYPERLINK("https://365nails.com/products/royal-blue-crystal-lattice-press-on-nails","Royal Blue Crystal Lattice Press On Nails")</x:f>
        <x:v>HYPERLINK is not implemented. linkLocation=https://365nails.com/products/royal-blue-crystal-lattice-press-on-nails, friendlyName=Royal Blue Crystal Lattice Press On Nails</x:v>
      </x:c>
      <x:c r="D2204" s="18" t="str">
        <x:v>Color: M058; Color classification: S / M / L</x:v>
      </x:c>
      <x:c r="E2204" s="25" t="str">
        <x:v>$5.99</x:v>
      </x:c>
      <x:c r="F2204" s="19" t="str">
        <x:v>1</x:v>
      </x:c>
    </x:row>
    <x:row r="2205" ht="93" customHeight="1">
      <x:c r="A2205" s="19" t="n">
        <x:v>2202</x:v>
      </x:c>
      <x:c r="B2205" s="22" t="e">
        <x:f>HYPERLINK("https://cdn.shopify.com/s/files/1/0918/6066/4603/files/O1CN01WulK721CPwPhlmwRl__2213196780074-0-cib.jpg?v=1764298638","Open")</x:f>
        <x:v>HYPERLINK is not implemented. linkLocation=https://cdn.shopify.com/s/files/1/0918/6066/4603/files/O1CN01WulK721CPwPhlmwRl__2213196780074-0-cib.jpg?v=1764298638, friendlyName=Open</x:v>
      </x:c>
      <x:c r="C2205" s="24" t="e">
        <x:f>HYPERLINK("https://365nails.com/products/nude-black-white-polka-dot-rhinestone-chic-press-on-nails","Nude Black White Polka Dot Rhinestone Chic Press On Nails")</x:f>
        <x:v>HYPERLINK is not implemented. linkLocation=https://365nails.com/products/nude-black-white-polka-dot-rhinestone-chic-press-on-nails, friendlyName=Nude Black White Polka Dot Rhinestone Chic Press On Nails</x:v>
      </x:c>
      <x:c r="D2205" s="18" t="str">
        <x:v>shape: W344-Medium Ellipse; size: Extra small XS / S / M M / Large L</x:v>
      </x:c>
      <x:c r="E2205" s="25" t="str">
        <x:v>$2.99</x:v>
      </x:c>
      <x:c r="F2205" s="19" t="str">
        <x:v>1</x:v>
      </x:c>
    </x:row>
    <x:row r="2206" ht="93" customHeight="1">
      <x:c r="A2206" s="19" t="n">
        <x:v>2203</x:v>
      </x:c>
      <x:c r="B2206" s="22" t="e">
        <x:f>HYPERLINK("https://cdn.shopify.com/s/files/1/0918/6066/4603/files/O1CN01WJMH501CPwPgw7bO7__2213196780074-0-cib.jpg?v=1764310146","Open")</x:f>
        <x:v>HYPERLINK is not implemented. linkLocation=https://cdn.shopify.com/s/files/1/0918/6066/4603/files/O1CN01WJMH501CPwPgw7bO7__2213196780074-0-cib.jpg?v=1764310146, friendlyName=Open</x:v>
      </x:c>
      <x:c r="C2206" s="24" t="e">
        <x:f>HYPERLINK("https://365nails.com/products/glitter-brown-orange-accent-press-on-nails","Glitter Brown Orange Accent Press On Nails")</x:f>
        <x:v>HYPERLINK is not implemented. linkLocation=https://365nails.com/products/glitter-brown-orange-accent-press-on-nails, friendlyName=Glitter Brown Orange Accent Press On Nails</x:v>
      </x:c>
      <x:c r="D2206" s="18" t="str">
        <x:v>shape: W350-Super short ladder; size: Extra small XS / S / M M / Large L</x:v>
      </x:c>
      <x:c r="E2206" s="25" t="str">
        <x:v>$2.49</x:v>
      </x:c>
      <x:c r="F2206" s="19" t="str">
        <x:v>1</x:v>
      </x:c>
    </x:row>
    <x:row r="2207" ht="93" customHeight="1">
      <x:c r="A2207" s="19" t="n">
        <x:v>2204</x:v>
      </x:c>
      <x:c r="B2207" s="22" t="e">
        <x:f>HYPERLINK("https://cdn.shopify.com/s/files/1/0918/6066/4603/files/O1CN01MP6vve22SYgwbhuik__2219370087119-0-cib.jpg?v=1767237938","Open")</x:f>
        <x:v>HYPERLINK is not implemented. linkLocation=https://cdn.shopify.com/s/files/1/0918/6066/4603/files/O1CN01MP6vve22SYgwbhuik__2219370087119-0-cib.jpg?v=1767237938, friendlyName=Open</x:v>
      </x:c>
      <x:c r="C2207" s="24" t="e">
        <x:f>HYPERLINK("https://365nails.com/products/glossy-red-curved-long-press-on-nails","Glossy Red Curved Long Press On Nails")</x:f>
        <x:v>HYPERLINK is not implemented. linkLocation=https://365nails.com/products/glossy-red-curved-long-press-on-nails, friendlyName=Glossy Red Curved Long Press On Nails</x:v>
      </x:c>
      <x:c r="D2207" s="18" t="str">
        <x:v>Color: L (1.7/1.3/1.4/1.3/1.1)cm / M (1.6/1.2/1.3/1.2/1.0)cm / S (1.5/1.1/1.2/1.1/0.9)cm</x:v>
      </x:c>
      <x:c r="E2207" s="25" t="str">
        <x:v>$3.99</x:v>
      </x:c>
      <x:c r="F2207" s="19" t="str">
        <x:v>30</x:v>
      </x:c>
    </x:row>
    <x:row r="2208" ht="93" customHeight="1">
      <x:c r="A2208" s="19" t="n">
        <x:v>2205</x:v>
      </x:c>
      <x:c r="B2208" s="22" t="e">
        <x:f>HYPERLINK("https://cdn.shopify.com/s/files/1/0918/6066/4603/files/O1CN01x2kiMG2MQzeizFZKa__2219089449823-0-cib_085517d5-b431-4862-b496-f3dde543b29c.jpg?v=1767946175","Open")</x:f>
        <x:v>HYPERLINK is not implemented. linkLocation=https://cdn.shopify.com/s/files/1/0918/6066/4603/files/O1CN01x2kiMG2MQzeizFZKa__2219089449823-0-cib_085517d5-b431-4862-b496-f3dde543b29c.jpg?v=1767946175, friendlyName=Open</x:v>
      </x:c>
      <x:c r="C2208" s="24" t="e">
        <x:f>HYPERLINK("https://365nails.com/products/orange-crystal-shimmer-press-on-nails","Orange Crystal Shimmer Press On Nails")</x:f>
        <x:v>HYPERLINK is not implemented. linkLocation=https://365nails.com/products/orange-crystal-shimmer-press-on-nails, friendlyName=Orange Crystal Shimmer Press On Nails</x:v>
      </x:c>
      <x:c r="D2208" s="18" t="str">
        <x:v>Color: M067; Color classification: S / M / L; Length: 5cm</x:v>
      </x:c>
      <x:c r="E2208" s="25" t="str">
        <x:v>$5.99</x:v>
      </x:c>
      <x:c r="F2208" s="19" t="str">
        <x:v>1</x:v>
      </x:c>
    </x:row>
    <x:row r="2209" ht="93" customHeight="1">
      <x:c r="A2209" s="19" t="n">
        <x:v>2206</x:v>
      </x:c>
      <x:c r="B2209" s="22" t="e">
        <x:f>HYPERLINK("https://cdn.shopify.com/s/files/1/0918/6066/4603/files/O1CN01PBBGxJ2MQzelCVq6H__2219089449823-0-cib_94803ca9-a4a6-4919-8206-523de8563e73.jpg?v=1767946144","Open")</x:f>
        <x:v>HYPERLINK is not implemented. linkLocation=https://cdn.shopify.com/s/files/1/0918/6066/4603/files/O1CN01PBBGxJ2MQzelCVq6H__2219089449823-0-cib_94803ca9-a4a6-4919-8206-523de8563e73.jpg?v=1767946144, friendlyName=Open</x:v>
      </x:c>
      <x:c r="C2209" s="24" t="e">
        <x:f>HYPERLINK("https://365nails.com/products/rainbow-crystal-texture-press-on-nails","Rainbow Crystal Texture Press On Nails")</x:f>
        <x:v>HYPERLINK is not implemented. linkLocation=https://365nails.com/products/rainbow-crystal-texture-press-on-nails, friendlyName=Rainbow Crystal Texture Press On Nails</x:v>
      </x:c>
      <x:c r="D2209" s="18" t="str">
        <x:v>Color: M064; Color classification: S / M / L; Length: 5cm</x:v>
      </x:c>
      <x:c r="E2209" s="25" t="str">
        <x:v>$5.99</x:v>
      </x:c>
      <x:c r="F2209" s="19" t="str">
        <x:v>1</x:v>
      </x:c>
    </x:row>
    <x:row r="2210" ht="93" customHeight="1">
      <x:c r="A2210" s="19" t="n">
        <x:v>2207</x:v>
      </x:c>
      <x:c r="B2210" s="22" t="e">
        <x:f>HYPERLINK("https://cdn.shopify.com/s/files/1/0918/6066/4603/files/00c96243b96a69fecb34c5576de21f69.jpg?v=1766722566","Open")</x:f>
        <x:v>HYPERLINK is not implemented. linkLocation=https://cdn.shopify.com/s/files/1/0918/6066/4603/files/00c96243b96a69fecb34c5576de21f69.jpg?v=1766722566, friendlyName=Open</x:v>
      </x:c>
      <x:c r="C2210" s="24" t="e">
        <x:f>HYPERLINK("https://365nails.com/products/clear-long-coffin-nail-extension-tips-mold-set","Clear Long Coffin Nail Extension Tips Mold Set (MOQ=3)")</x:f>
        <x:v>HYPERLINK is not implemented. linkLocation=https://365nails.com/products/clear-long-coffin-nail-extension-tips-mold-set, friendlyName=Clear Long Coffin Nail Extension Tips Mold Set (MOQ=3)</x:v>
      </x:c>
      <x:c r="D2210" s="18" t="str">
        <x:v>Color: JM-61 * 150 pieces; Quantity: 3pcs</x:v>
      </x:c>
      <x:c r="E2210" s="25" t="str">
        <x:v>$4.29</x:v>
      </x:c>
      <x:c r="F2210" s="19" t="str">
        <x:v>1</x:v>
      </x:c>
    </x:row>
    <x:row r="2211" ht="93" customHeight="1">
      <x:c r="A2211" s="19" t="n">
        <x:v>2208</x:v>
      </x:c>
      <x:c r="B2211" s="22" t="e">
        <x:f>HYPERLINK("https://cdn.shopify.com/s/files/1/0918/6066/4603/files/O1CN01lffjwG1nYJNf2oSKx__2217958295101-0-cib.jpg?v=1766293685","Open")</x:f>
        <x:v>HYPERLINK is not implemented. linkLocation=https://cdn.shopify.com/s/files/1/0918/6066/4603/files/O1CN01lffjwG1nYJNf2oSKx__2217958295101-0-cib.jpg?v=1766293685, friendlyName=Open</x:v>
      </x:c>
      <x:c r="C2211" s="24" t="e">
        <x:f>HYPERLINK("https://365nails.com/products/kapibara-cute-kids-press-on-nails-with-dessert-charms","Kapibara Cute Kids Press On Nails with Dessert Charms")</x:f>
        <x:v>HYPERLINK is not implemented. linkLocation=https://365nails.com/products/kapibara-cute-kids-press-on-nails-with-dessert-charms, friendlyName=Kapibara Cute Kids Press On Nails with Dessert Charms</x:v>
      </x:c>
      <x:c r="D2211" s="18" t="str">
        <x:v>Color: 066 Kapibara; Color classification: Extra small xs (2-3 years old) / Small S (4-6 years old) / Medium M (7-8 years old) / Large L (9-12 years old)</x:v>
      </x:c>
      <x:c r="E2211" s="25" t="str">
        <x:v>$2.49</x:v>
      </x:c>
      <x:c r="F2211" s="19" t="str">
        <x:v>1</x:v>
      </x:c>
    </x:row>
    <x:row r="2212" ht="93" customHeight="1">
      <x:c r="A2212" s="19" t="n">
        <x:v>2209</x:v>
      </x:c>
      <x:c r="B2212" s="22" t="e">
        <x:f>HYPERLINK("https://cdn.shopify.com/s/files/1/0918/6066/4603/files/O1CN01V1znKO2MQze09LAus__2219089449823-0-cib_63eff6ec-c00b-490b-991c-a18176647e9b.jpg?v=1767946114","Open")</x:f>
        <x:v>HYPERLINK is not implemented. linkLocation=https://cdn.shopify.com/s/files/1/0918/6066/4603/files/O1CN01V1znKO2MQze09LAus__2219089449823-0-cib_63eff6ec-c00b-490b-991c-a18176647e9b.jpg?v=1767946114, friendlyName=Open</x:v>
      </x:c>
      <x:c r="C2212" s="24" t="e">
        <x:f>HYPERLINK("https://365nails.com/products/red-blue-star-pop-art-press-on-nails","Red Blue Star Pop Art Press On Nails")</x:f>
        <x:v>HYPERLINK is not implemented. linkLocation=https://365nails.com/products/red-blue-star-pop-art-press-on-nails, friendlyName=Red Blue Star Pop Art Press On Nails</x:v>
      </x:c>
      <x:c r="D2212" s="18" t="str">
        <x:v>Color: Jsa03; Color classification: S / M / L; Length: 4cm</x:v>
      </x:c>
      <x:c r="E2212" s="25" t="str">
        <x:v>$5.99</x:v>
      </x:c>
      <x:c r="F2212" s="19" t="str">
        <x:v>1</x:v>
      </x:c>
    </x:row>
    <x:row r="2213" ht="93" customHeight="1">
      <x:c r="A2213" s="19" t="n">
        <x:v>2210</x:v>
      </x:c>
      <x:c r="B2213" s="22" t="e">
        <x:f>HYPERLINK("https://cdn.shopify.com/s/files/1/0918/6066/4603/files/O1CN01wQQXrO1CPwOMB7IXJ__2213196780074-0-cib.jpg?v=1764390894","Open")</x:f>
        <x:v>HYPERLINK is not implemented. linkLocation=https://cdn.shopify.com/s/files/1/0918/6066/4603/files/O1CN01wQQXrO1CPwOMB7IXJ__2213196780074-0-cib.jpg?v=1764390894, friendlyName=Open</x:v>
      </x:c>
      <x:c r="C2213" s="24" t="e">
        <x:f>HYPERLINK("https://365nails.com/products/soft-pink-pearl-bloom-nails","Soft Pink Pearl Bloom Nails")</x:f>
        <x:v>HYPERLINK is not implemented. linkLocation=https://365nails.com/products/soft-pink-pearl-bloom-nails, friendlyName=Soft Pink Pearl Bloom Nails</x:v>
      </x:c>
      <x:c r="D2213" s="18" t="str">
        <x:v>shape: 3019 - Short Ellipse; size: XS / S / M / L</x:v>
      </x:c>
      <x:c r="E2213" s="25" t="str">
        <x:v>$3.99</x:v>
      </x:c>
      <x:c r="F2213" s="19" t="str">
        <x:v>1</x:v>
      </x:c>
    </x:row>
    <x:row r="2214" ht="93" customHeight="1">
      <x:c r="A2214" s="19" t="n">
        <x:v>2211</x:v>
      </x:c>
      <x:c r="B2214" s="22" t="e">
        <x:f>HYPERLINK("https://cdn.shopify.com/s/files/1/0918/6066/4603/files/O1CN01EX16SX1nYJNeiu3VG__2217958295101-0-cib.jpg?v=1766294909","Open")</x:f>
        <x:v>HYPERLINK is not implemented. linkLocation=https://cdn.shopify.com/s/files/1/0918/6066/4603/files/O1CN01EX16SX1nYJNeiu3VG__2217958295101-0-cib.jpg?v=1766294909, friendlyName=Open</x:v>
      </x:c>
      <x:c r="C2214" s="24" t="e">
        <x:f>HYPERLINK("https://365nails.com/products/cute-big-frog-kids-press-on-nails-with-green-accents","Cute Big Frog Kids Press On Nails with Green Accents")</x:f>
        <x:v>HYPERLINK is not implemented. linkLocation=https://365nails.com/products/cute-big-frog-kids-press-on-nails-with-green-accents, friendlyName=Cute Big Frog Kids Press On Nails with Green Accents</x:v>
      </x:c>
      <x:c r="D2214" s="18" t="str">
        <x:v>Color: 110 cute big frog; Color classification: XS (2-3 years old) / S (4-6 years old) / M (7-8 years old) / L (9-12 years old)</x:v>
      </x:c>
      <x:c r="E2214" s="25" t="str">
        <x:v>$2.49</x:v>
      </x:c>
      <x:c r="F2214" s="19" t="str">
        <x:v>1</x:v>
      </x:c>
    </x:row>
    <x:row r="2215" ht="93" customHeight="1">
      <x:c r="A2215" s="19" t="n">
        <x:v>2212</x:v>
      </x:c>
      <x:c r="B2215" s="22" t="e">
        <x:f>HYPERLINK("https://cdn.shopify.com/s/files/1/0918/6066/4603/files/O1CN014XwSvZ1nYJL0P93xH__2217958295101-0-cib.jpg?v=1766293188","Open")</x:f>
        <x:v>HYPERLINK is not implemented. linkLocation=https://cdn.shopify.com/s/files/1/0918/6066/4603/files/O1CN014XwSvZ1nYJL0P93xH__2217958295101-0-cib.jpg?v=1766293188, friendlyName=Open</x:v>
      </x:c>
      <x:c r="C2215" s="24" t="e">
        <x:f>HYPERLINK("https://365nails.com/products/melody-pink-cute-kids-press-on-nails-with-bow-details","Melody Pink Cute Kids Press On Nails with Bow Details")</x:f>
        <x:v>HYPERLINK is not implemented. linkLocation=https://365nails.com/products/melody-pink-cute-kids-press-on-nails-with-bow-details, friendlyName=Melody Pink Cute Kids Press On Nails with Bow Details</x:v>
      </x:c>
      <x:c r="D2215" s="18" t="str">
        <x:v>Color: New Melody 073; Color classification: XS (2-3 years old) / S (4-6 years old) / M (7-8 years old) / L (9-12 years old)</x:v>
      </x:c>
      <x:c r="E2215" s="25" t="str">
        <x:v>$1.99</x:v>
      </x:c>
      <x:c r="F2215" s="19" t="str">
        <x:v>1</x:v>
      </x:c>
    </x:row>
    <x:row r="2216" ht="93" customHeight="1">
      <x:c r="A2216" s="19" t="n">
        <x:v>2213</x:v>
      </x:c>
      <x:c r="B2216" s="22" t="e">
        <x:f>HYPERLINK("https://cdn.shopify.com/s/files/1/0918/6066/4603/files/O1CN01IIG4EV2MQzeksxX2L__2219089449823-0-cib_7a79575c-f58e-4451-965a-8152cacdd2fd.jpg?v=1767946247","Open")</x:f>
        <x:v>HYPERLINK is not implemented. linkLocation=https://cdn.shopify.com/s/files/1/0918/6066/4603/files/O1CN01IIG4EV2MQzeksxX2L__2219089449823-0-cib_7a79575c-f58e-4451-965a-8152cacdd2fd.jpg?v=1767946247, friendlyName=Open</x:v>
      </x:c>
      <x:c r="C2216" s="24" t="e">
        <x:f>HYPERLINK("https://365nails.com/products/cherry-butterfly-nude-press-on-nails","Cherry Butterfly Nude Press On Nails")</x:f>
        <x:v>HYPERLINK is not implemented. linkLocation=https://365nails.com/products/cherry-butterfly-nude-press-on-nails, friendlyName=Cherry Butterfly Nude Press On Nails</x:v>
      </x:c>
      <x:c r="D2216" s="18" t="str">
        <x:v>Color: M066; Color classification: S / M / L; Length: 5cm</x:v>
      </x:c>
      <x:c r="E2216" s="25" t="str">
        <x:v>$5.99</x:v>
      </x:c>
      <x:c r="F2216" s="19" t="str">
        <x:v>1</x:v>
      </x:c>
    </x:row>
    <x:row r="2217" ht="93" customHeight="1">
      <x:c r="A2217" s="19" t="n">
        <x:v>2214</x:v>
      </x:c>
      <x:c r="B2217" s="22" t="e">
        <x:f>HYPERLINK("https://cdn.shopify.com/s/files/1/0918/6066/4603/files/82f477dc47d60a7f688a91cb9defd82a.jpg?v=1766722270","Open")</x:f>
        <x:v>HYPERLINK is not implemented. linkLocation=https://cdn.shopify.com/s/files/1/0918/6066/4603/files/82f477dc47d60a7f688a91cb9defd82a.jpg?v=1766722270, friendlyName=Open</x:v>
      </x:c>
      <x:c r="C2217" s="24" t="e">
        <x:f>HYPERLINK("https://365nails.com/products/purple-cat-eye-almond-press-on-nails","Purple Cat Eye Almond Press On Nails (MOQ=3)")</x:f>
        <x:v>HYPERLINK is not implemented. linkLocation=https://365nails.com/products/purple-cat-eye-almond-press-on-nails, friendlyName=Purple Cat Eye Almond Press On Nails (MOQ=3)</x:v>
      </x:c>
      <x:c r="D2217" s="18" t="str">
        <x:v>Color: 514-Red Cat's Eye / 514-Golden Cat's Eye / 514 - Green Cat's Eye / 514-Purple Cat's Eye / 515-Red Cat's Eye / 515-Golden Cat's Eye / 515 - Green Cat's Eye / 515-Purple Cat's Eye / 516-Red Cat's Eye / 516-Golden Cat's Eye / 516-Green Cat's Eye / 516-Purple Cat's Eye; Quantity: 3pcs</x:v>
      </x:c>
      <x:c r="E2217" s="25" t="str">
        <x:v>$2.97</x:v>
      </x:c>
      <x:c r="F2217" s="19" t="str">
        <x:v>1</x:v>
      </x:c>
    </x:row>
    <x:row r="2218" ht="93" customHeight="1">
      <x:c r="A2218" s="19" t="n">
        <x:v>2215</x:v>
      </x:c>
      <x:c r="B2218" s="22" t="e">
        <x:f>HYPERLINK("https://cdn.shopify.com/s/files/1/0918/6066/4603/files/O1CN01h0adRX22SYgOM6n11__2219370087119-0-cib.jpg?v=1767097626","Open")</x:f>
        <x:v>HYPERLINK is not implemented. linkLocation=https://cdn.shopify.com/s/files/1/0918/6066/4603/files/O1CN01h0adRX22SYgOM6n11__2219370087119-0-cib.jpg?v=1767097626, friendlyName=Open</x:v>
      </x:c>
      <x:c r="C2218" s="24" t="e">
        <x:f>HYPERLINK("https://365nails.com/products/soft-pink-crystal-floral-press-on-nails","Soft Pink Crystal Floral Press On Nails")</x:f>
        <x:v>HYPERLINK is not implemented. linkLocation=https://365nails.com/products/soft-pink-crystal-floral-press-on-nails, friendlyName=Soft Pink Crystal Floral Press On Nails</x:v>
      </x:c>
      <x:c r="D2218" s="18" t="str">
        <x:v>Color: Rouge color; Color classification: L / M / S</x:v>
      </x:c>
      <x:c r="E2218" s="25" t="str">
        <x:v>$4.49</x:v>
      </x:c>
      <x:c r="F2218" s="19" t="str">
        <x:v>30</x:v>
      </x:c>
    </x:row>
    <x:row r="2219" ht="93" customHeight="1">
      <x:c r="A2219" s="19" t="n">
        <x:v>2216</x:v>
      </x:c>
      <x:c r="B2219" s="22" t="e">
        <x:f>HYPERLINK("https://cdn.shopify.com/s/files/1/0918/6066/4603/files/O1CN01gtZXJ31CPwPcd09hp__2213196780074-0-cib.jpg?v=1764299151","Open")</x:f>
        <x:v>HYPERLINK is not implemented. linkLocation=https://cdn.shopify.com/s/files/1/0918/6066/4603/files/O1CN01gtZXJ31CPwPcd09hp__2213196780074-0-cib.jpg?v=1764299151, friendlyName=Open</x:v>
      </x:c>
      <x:c r="C2219" s="24" t="e">
        <x:f>HYPERLINK("https://365nails.com/products/pink-glossy-stars-crystal-charm-press-on-nails","Pink Glossy Stars Crystal Charm Press On Nails")</x:f>
        <x:v>HYPERLINK is not implemented. linkLocation=https://365nails.com/products/pink-glossy-stars-crystal-charm-press-on-nails, friendlyName=Pink Glossy Stars Crystal Charm Press On Nails</x:v>
      </x:c>
      <x:c r="D2219" s="18" t="str">
        <x:v>shape: W360-Short Ellipse; size: Extra small XS / S / M M / Large L</x:v>
      </x:c>
      <x:c r="E2219" s="25" t="str">
        <x:v>$3.49</x:v>
      </x:c>
      <x:c r="F2219" s="19" t="str">
        <x:v>1</x:v>
      </x:c>
    </x:row>
    <x:row r="2220" ht="93" customHeight="1">
      <x:c r="A2220" s="19" t="n">
        <x:v>2217</x:v>
      </x:c>
      <x:c r="B2220" s="22" t="e">
        <x:f>HYPERLINK("https://cdn.shopify.com/s/files/1/0918/6066/4603/files/O1CN01fqBO6C1nYJNX6N6MU__2217958295101-0-cib.jpg?v=1766295208","Open")</x:f>
        <x:v>HYPERLINK is not implemented. linkLocation=https://cdn.shopify.com/s/files/1/0918/6066/4603/files/O1CN01fqBO6C1nYJNX6N6MU__2217958295101-0-cib.jpg?v=1766295208, friendlyName=Open</x:v>
      </x:c>
      <x:c r="C2220" s="24" t="e">
        <x:f>HYPERLINK("https://365nails.com/products/kulomie-purple-cute-kids-press-on-nails-with-heart-grid","Kulomie Purple Cute Kids Press On Nails with Heart Grid")</x:f>
        <x:v>HYPERLINK is not implemented. linkLocation=https://365nails.com/products/kulomie-purple-cute-kids-press-on-nails-with-heart-grid, friendlyName=Kulomie Purple Cute Kids Press On Nails with Heart Grid</x:v>
      </x:c>
      <x:c r="D2220" s="18" t="str">
        <x:v>Color: Xs (2-3 years old) / S (4-6 years old) / M (7-8 years old) / L (9-12 years old); Specification type: 010 Kulomie</x:v>
      </x:c>
      <x:c r="E2220" s="25" t="str">
        <x:v>$1.99</x:v>
      </x:c>
      <x:c r="F2220" s="19" t="str">
        <x:v>1</x:v>
      </x:c>
    </x:row>
    <x:row r="2221" ht="93" customHeight="1">
      <x:c r="A2221" s="19" t="n">
        <x:v>2218</x:v>
      </x:c>
      <x:c r="B2221" s="22" t="e">
        <x:f>HYPERLINK("https://cdn.shopify.com/s/files/1/0918/6066/4603/files/O1CN01spOIxH1nYJNbO8MU2__2217958295101-0-cib.jpg?v=1766294209","Open")</x:f>
        <x:v>HYPERLINK is not implemented. linkLocation=https://cdn.shopify.com/s/files/1/0918/6066/4603/files/O1CN01spOIxH1nYJNbO8MU2__2217958295101-0-cib.jpg?v=1766294209, friendlyName=Open</x:v>
      </x:c>
      <x:c r="C2221" s="24" t="e">
        <x:f>HYPERLINK("https://365nails.com/products/pony-poly-purple-moon-kids-press-on-nails-set","Pony Poly Purple Moon Kids Press On Nails Set")</x:f>
        <x:v>HYPERLINK is not implemented. linkLocation=https://365nails.com/products/pony-poly-purple-moon-kids-press-on-nails-set, friendlyName=Pony Poly Purple Moon Kids Press On Nails Set</x:v>
      </x:c>
      <x:c r="D2221" s="18" t="str">
        <x:v>Color: 004 Pony Poly Purple Moon; Color classification: Extra small XS (2-3 years old) / Small S (4-6 years old) / Medium M (7-8 years old) / Large L (9-12 years old)</x:v>
      </x:c>
      <x:c r="E2221" s="25" t="str">
        <x:v>$1.99</x:v>
      </x:c>
      <x:c r="F2221" s="19" t="str">
        <x:v>1</x:v>
      </x:c>
    </x:row>
    <x:row r="2222" ht="93" customHeight="1">
      <x:c r="A2222" s="19" t="n">
        <x:v>2219</x:v>
      </x:c>
      <x:c r="B2222" s="22" t="e">
        <x:f>HYPERLINK("https://cdn.shopify.com/s/files/1/0918/6066/4603/files/O1CN01bC7VLP22SYgGb89bA__2219370087119-0-cib.jpg?v=1767184435","Open")</x:f>
        <x:v>HYPERLINK is not implemented. linkLocation=https://cdn.shopify.com/s/files/1/0918/6066/4603/files/O1CN01bC7VLP22SYgGb89bA__2219370087119-0-cib.jpg?v=1767184435, friendlyName=Open</x:v>
      </x:c>
      <x:c r="C2222" s="24" t="e">
        <x:f>HYPERLINK("https://365nails.com/products/colorful-floral-star-crystal-french-press-on-nails","Colorful Floral Star Crystal French Press On Nails")</x:f>
        <x:v>HYPERLINK is not implemented. linkLocation=https://365nails.com/products/colorful-floral-star-crystal-french-press-on-nails, friendlyName=Colorful Floral Star Crystal French Press On Nails</x:v>
      </x:c>
      <x:c r="D2222" s="18" t="str">
        <x:v>Color: L (1.7/1.3/1.4/1.3/1.1)cm / M (1.6/1.2/1.3/1.2/1.0)cm / S (1.5/1.1/1.2/1.1/0.9)cm</x:v>
      </x:c>
      <x:c r="E2222" s="25" t="str">
        <x:v>$5.49</x:v>
      </x:c>
      <x:c r="F2222" s="19" t="str">
        <x:v>30</x:v>
      </x:c>
    </x:row>
    <x:row r="2223" ht="93" customHeight="1">
      <x:c r="A2223" s="19" t="n">
        <x:v>2220</x:v>
      </x:c>
      <x:c r="B2223" s="22" t="e">
        <x:f>HYPERLINK("https://cdn.shopify.com/s/files/1/0918/6066/4603/files/O1CN01FpB7Wl1CPwNxGRiWt__2213196780074-0-cib.jpg?v=1767525461","Open")</x:f>
        <x:v>HYPERLINK is not implemented. linkLocation=https://cdn.shopify.com/s/files/1/0918/6066/4603/files/O1CN01FpB7Wl1CPwNxGRiWt__2213196780074-0-cib.jpg?v=1767525461, friendlyName=Open</x:v>
      </x:c>
      <x:c r="C2223" s="24" t="e">
        <x:f>HYPERLINK("https://365nails.com/products/ocean-pearl-shell-starfish-pastel-press-on-nails","Ocean Pearl Shell Starfish Pastel Press On Nails")</x:f>
        <x:v>HYPERLINK is not implemented. linkLocation=https://365nails.com/products/ocean-pearl-shell-starfish-pastel-press-on-nails, friendlyName=Ocean Pearl Shell Starfish Pastel Press On Nails</x:v>
      </x:c>
      <x:c r="D2223" s="18" t="str">
        <x:v>Color: 2944-short round; Color classification: XS / S / M / L</x:v>
      </x:c>
      <x:c r="E2223" s="25" t="str">
        <x:v>$2.99</x:v>
      </x:c>
      <x:c r="F2223" s="19" t="str">
        <x:v>1</x:v>
      </x:c>
    </x:row>
    <x:row r="2224" ht="93" customHeight="1">
      <x:c r="A2224" s="19" t="n">
        <x:v>2221</x:v>
      </x:c>
      <x:c r="B2224" s="22" t="e">
        <x:f>HYPERLINK("https://cdn.shopify.com/s/files/1/0918/6066/4603/files/O1CN01HNUMoa22SYgCO2ZOZ__2219370087119-0-cib.jpg?v=1767096527","Open")</x:f>
        <x:v>HYPERLINK is not implemented. linkLocation=https://cdn.shopify.com/s/files/1/0918/6066/4603/files/O1CN01HNUMoa22SYgCO2ZOZ__2219370087119-0-cib.jpg?v=1767096527, friendlyName=Open</x:v>
      </x:c>
      <x:c r="C2224" s="24" t="e">
        <x:f>HYPERLINK("https://365nails.com/products/nude-french-nails-with-red-accent-and-crystal-floral-details","Nude French Nails with Red Accent and Crystal Floral Details")</x:f>
        <x:v>HYPERLINK is not implemented. linkLocation=https://365nails.com/products/nude-french-nails-with-red-accent-and-crystal-floral-details, friendlyName=Nude French Nails with Red Accent and Crystal Floral Details</x:v>
      </x:c>
      <x:c r="D2224" s="18" t="str">
        <x:v>Color: L (1.7/1.3/1.4/1.3/1.1)cm / M (1.6/1.2/1.3/1.2/1.0)cm / S (1.5/1.1/1.2/1.1/0.9)cm</x:v>
      </x:c>
      <x:c r="E2224" s="25" t="str">
        <x:v>$4.99</x:v>
      </x:c>
      <x:c r="F2224" s="19" t="str">
        <x:v>30</x:v>
      </x:c>
    </x:row>
    <x:row r="2225" ht="93" customHeight="1">
      <x:c r="A2225" s="19" t="n">
        <x:v>2222</x:v>
      </x:c>
      <x:c r="B2225" s="22" t="e">
        <x:f>HYPERLINK("https://cdn.shopify.com/s/files/1/0918/6066/4603/files/O1CN01gI0yFq1nYJNc3KQm0__2217958295101-0-cib.jpg?v=1766296237","Open")</x:f>
        <x:v>HYPERLINK is not implemented. linkLocation=https://cdn.shopify.com/s/files/1/0918/6066/4603/files/O1CN01gI0yFq1nYJNc3KQm0__2217958295101-0-cib.jpg?v=1766296237, friendlyName=Open</x:v>
      </x:c>
      <x:c r="C2225" s="24" t="e">
        <x:f>HYPERLINK("https://365nails.com/products/mermaid-princess-pastel-cute-kids-press-on-nails-set","Mermaid Princess Pastel Cute Kids Press On Nails Set")</x:f>
        <x:v>HYPERLINK is not implemented. linkLocation=https://365nails.com/products/mermaid-princess-pastel-cute-kids-press-on-nails-set, friendlyName=Mermaid Princess Pastel Cute Kids Press On Nails Set</x:v>
      </x:c>
      <x:c r="D2225" s="18" t="str">
        <x:v>Color: 013 Mermaid Princess; Color classification: XS (2-3 years old) / S (4-6 years old) / M (7-8 years old) / L (9-12 years old)</x:v>
      </x:c>
      <x:c r="E2225" s="25" t="str">
        <x:v>$2.49</x:v>
      </x:c>
      <x:c r="F2225" s="19" t="str">
        <x:v>1</x:v>
      </x:c>
    </x:row>
    <x:row r="2226" ht="93" customHeight="1">
      <x:c r="A2226" s="19" t="n">
        <x:v>2223</x:v>
      </x:c>
      <x:c r="B2226" s="22" t="e">
        <x:f>HYPERLINK("https://cdn.shopify.com/s/files/1/0918/6066/4603/files/O1CN01BU3ysT1nYJNdVy3xP__2217958295101-0-cib.jpg?v=1766296455","Open")</x:f>
        <x:v>HYPERLINK is not implemented. linkLocation=https://cdn.shopify.com/s/files/1/0918/6066/4603/files/O1CN01BU3ysT1nYJNdVy3xP__2217958295101-0-cib.jpg?v=1766296455, friendlyName=Open</x:v>
      </x:c>
      <x:c r="C2226" s="24" t="e">
        <x:f>HYPERLINK("https://365nails.com/products/little-melody-pastel-cute-kids-press-on-nails-set","Little Melody Pastel Cute Kids Press On Nails Set")</x:f>
        <x:v>HYPERLINK is not implemented. linkLocation=https://365nails.com/products/little-melody-pastel-cute-kids-press-on-nails-set, friendlyName=Little Melody Pastel Cute Kids Press On Nails Set</x:v>
      </x:c>
      <x:c r="D2226" s="18" t="str">
        <x:v>Color: Little Melody 022; Color classification: XS (2-3 years old) / S (4-6 years old) / M (7-8 years old) / L (9-12 years old)</x:v>
      </x:c>
      <x:c r="E2226" s="25" t="str">
        <x:v>$1.99</x:v>
      </x:c>
      <x:c r="F2226" s="19" t="str">
        <x:v>1</x:v>
      </x:c>
    </x:row>
    <x:row r="2227" ht="93" customHeight="1">
      <x:c r="A2227" s="19" t="n">
        <x:v>2224</x:v>
      </x:c>
      <x:c r="B2227" s="22" t="e">
        <x:f>HYPERLINK("https://cdn.shopify.com/s/files/1/0918/6066/4603/files/O1CN01DvDApt2MQzdG62HkO__2219089449823-0-cib.jpg?v=1767708448","Open")</x:f>
        <x:v>HYPERLINK is not implemented. linkLocation=https://cdn.shopify.com/s/files/1/0918/6066/4603/files/O1CN01DvDApt2MQzdG62HkO__2219089449823-0-cib.jpg?v=1767708448, friendlyName=Open</x:v>
      </x:c>
      <x:c r="C2227" s="24" t="e">
        <x:f>HYPERLINK("https://365nails.com/products/pink-star-crystal-y2k-press-on-nail-set","Pink Star Crystal Y2K Press On Nail Set")</x:f>
        <x:v>HYPERLINK is not implemented. linkLocation=https://365nails.com/products/pink-star-crystal-y2k-press-on-nail-set, friendlyName=Pink Star Crystal Y2K Press On Nail Set</x:v>
      </x:c>
      <x:c r="D2227" s="18" t="str">
        <x:v>Color: Js b19; Color classification: XS / S / M / L</x:v>
      </x:c>
      <x:c r="E2227" s="25" t="str">
        <x:v>$6.99</x:v>
      </x:c>
      <x:c r="F2227" s="19" t="str">
        <x:v>1</x:v>
      </x:c>
    </x:row>
    <x:row r="2228" ht="93" customHeight="1">
      <x:c r="A2228" s="19" t="n">
        <x:v>2225</x:v>
      </x:c>
      <x:c r="B2228" s="22" t="e">
        <x:f>HYPERLINK("https://cdn.shopify.com/s/files/1/0918/6066/4603/files/O1CN01d8lEJG1CPwPi3FThs__2213196780074-0-cib.jpg?v=1764298298","Open")</x:f>
        <x:v>HYPERLINK is not implemented. linkLocation=https://cdn.shopify.com/s/files/1/0918/6066/4603/files/O1CN01d8lEJG1CPwPi3FThs__2213196780074-0-cib.jpg?v=1764298298, friendlyName=Open</x:v>
      </x:c>
      <x:c r="C2228" s="24" t="e">
        <x:f>HYPERLINK("https://365nails.com/products/nude-pastel-cute-flower-patchwork-soft-elegant-press-on-nails","Nude Pastel Cute Flower Patchwork Soft Elegant Press On Nails")</x:f>
        <x:v>HYPERLINK is not implemented. linkLocation=https://365nails.com/products/nude-pastel-cute-flower-patchwork-soft-elegant-press-on-nails, friendlyName=Nude Pastel Cute Flower Patchwork Soft Elegant Press On Nails</x:v>
      </x:c>
      <x:c r="D2228" s="18" t="str">
        <x:v>shape: 360-Long Ellipse; size: Extra small XS / S / M M / Large L</x:v>
      </x:c>
      <x:c r="E2228" s="25" t="str">
        <x:v>$3.99</x:v>
      </x:c>
      <x:c r="F2228" s="19" t="str">
        <x:v>1</x:v>
      </x:c>
    </x:row>
    <x:row r="2229" ht="93" customHeight="1">
      <x:c r="A2229" s="19" t="n">
        <x:v>2226</x:v>
      </x:c>
      <x:c r="B2229" s="22" t="e">
        <x:f>HYPERLINK("https://cdn.shopify.com/s/files/1/0918/6066/4603/files/O1CN01y9eVpZ22SYgN8BZEk__2219370087119-0-cib.jpg?v=1767184364","Open")</x:f>
        <x:v>HYPERLINK is not implemented. linkLocation=https://cdn.shopify.com/s/files/1/0918/6066/4603/files/O1CN01y9eVpZ22SYgN8BZEk__2219370087119-0-cib.jpg?v=1767184364, friendlyName=Open</x:v>
      </x:c>
      <x:c r="C2229" s="24" t="e">
        <x:f>HYPERLINK("https://365nails.com/products/sweet-pink-leopard-heart-crystal-press-on-nails","Sweet Pink Leopard Heart Crystal Press On Nails")</x:f>
        <x:v>HYPERLINK is not implemented. linkLocation=https://365nails.com/products/sweet-pink-leopard-heart-crystal-press-on-nails, friendlyName=Sweet Pink Leopard Heart Crystal Press On Nails</x:v>
      </x:c>
      <x:c r="D2229" s="18" t="str">
        <x:v>Color: Caramel color; Color classification: L (1.7/1.3/1.4/1.3/1.1)cm / M (1.6/1.2/1.3/1.2/1.0)cm / S (1.5/1.1/1.2/1.1/0.9)cm</x:v>
      </x:c>
      <x:c r="E2229" s="25" t="str">
        <x:v>$4.49</x:v>
      </x:c>
      <x:c r="F2229" s="19" t="str">
        <x:v>30</x:v>
      </x:c>
    </x:row>
    <x:row r="2230" ht="93" customHeight="1">
      <x:c r="A2230" s="19" t="n">
        <x:v>2227</x:v>
      </x:c>
      <x:c r="B2230" s="22" t="e">
        <x:f>HYPERLINK("https://cdn.shopify.com/s/files/1/0918/6066/4603/files/O1CN01WPEe901nYJQpGgQv3__2217958295101-0-cib.jpg?v=1766295277","Open")</x:f>
        <x:v>HYPERLINK is not implemented. linkLocation=https://cdn.shopify.com/s/files/1/0918/6066/4603/files/O1CN01WPEe901nYJQpGgQv3__2217958295101-0-cib.jpg?v=1766295277, friendlyName=Open</x:v>
      </x:c>
      <x:c r="C2230" s="24" t="e">
        <x:f>HYPERLINK("https://365nails.com/products/pony-unicorn-pastel-cute-kids-press-on-nails-set","Pony Unicorn Pastel Cute Kids Press On Nails Set")</x:f>
        <x:v>HYPERLINK is not implemented. linkLocation=https://365nails.com/products/pony-unicorn-pastel-cute-kids-press-on-nails-set, friendlyName=Pony Unicorn Pastel Cute Kids Press On Nails Set</x:v>
      </x:c>
      <x:c r="D2230" s="18" t="str">
        <x:v>Color: 044 Pony Unicorn; Color classification: XS (2-3 years old) / S (3-5 years old) / M (5-7 years old) / L (7-12 years old)</x:v>
      </x:c>
      <x:c r="E2230" s="25" t="str">
        <x:v>$1.99</x:v>
      </x:c>
      <x:c r="F2230" s="19" t="str">
        <x:v>1</x:v>
      </x:c>
    </x:row>
    <x:row r="2231" ht="93" customHeight="1">
      <x:c r="A2231" s="19" t="n">
        <x:v>2228</x:v>
      </x:c>
      <x:c r="B2231" s="22" t="e">
        <x:f>HYPERLINK("https://cdn.shopify.com/s/files/1/0918/6066/4603/files/O1CN015IStbd1nYJNeGYC32__2217958295101-0-cib.jpg?v=1766296973","Open")</x:f>
        <x:v>HYPERLINK is not implemented. linkLocation=https://cdn.shopify.com/s/files/1/0918/6066/4603/files/O1CN015IStbd1nYJNeGYC32__2217958295101-0-cib.jpg?v=1766296973, friendlyName=Open</x:v>
      </x:c>
      <x:c r="C2231" s="24" t="e">
        <x:f>HYPERLINK("https://365nails.com/products/pacha-dog-pastel-cute-kids-press-on-nails-set","Pacha Dog Pastel Cute Kids Press On Nails Set")</x:f>
        <x:v>HYPERLINK is not implemented. linkLocation=https://365nails.com/products/pacha-dog-pastel-cute-kids-press-on-nails-set, friendlyName=Pacha Dog Pastel Cute Kids Press On Nails Set</x:v>
      </x:c>
      <x:c r="D2231" s="18" t="str">
        <x:v>Color: Pacha Dog 006; Color classification: XS (2-3 years old) / S (4-6 years old) / M (7-8 years old) / L (9-12 years old)</x:v>
      </x:c>
      <x:c r="E2231" s="25" t="str">
        <x:v>$1.99</x:v>
      </x:c>
      <x:c r="F2231" s="19" t="str">
        <x:v>1</x:v>
      </x:c>
    </x:row>
    <x:row r="2232" ht="93" customHeight="1">
      <x:c r="A2232" s="19" t="n">
        <x:v>2229</x:v>
      </x:c>
      <x:c r="B2232" s="22" t="e">
        <x:f>HYPERLINK("https://cdn.shopify.com/s/files/1/0918/6066/4603/files/O1CN01x4eJ9S1nYJNf0EsFK__2217958295101-0-cib.jpg?v=1766294409","Open")</x:f>
        <x:v>HYPERLINK is not implemented. linkLocation=https://cdn.shopify.com/s/files/1/0918/6066/4603/files/O1CN01x4eJ9S1nYJNf0EsFK__2217958295101-0-cib.jpg?v=1766294409, friendlyName=Open</x:v>
      </x:c>
      <x:c r="C2232" s="24" t="e">
        <x:f>HYPERLINK("https://365nails.com/products/linna-bell-cute-kids-press-on-nails-with-soft-glitter","Linna Bell Cute Kids Press On Nails with Soft Glitter")</x:f>
        <x:v>HYPERLINK is not implemented. linkLocation=https://365nails.com/products/linna-bell-cute-kids-press-on-nails-with-soft-glitter, friendlyName=Linna Bell Cute Kids Press On Nails with Soft Glitter</x:v>
      </x:c>
      <x:c r="D2232" s="18" t="str">
        <x:v>Color: Linna Bell 015; Color classification: XS (2-3 years old) / S (4-6 years old) / M (7-8 years old) / L (9-12 years old)</x:v>
      </x:c>
      <x:c r="E2232" s="25" t="str">
        <x:v>$2.49</x:v>
      </x:c>
      <x:c r="F2232" s="19" t="str">
        <x:v>1</x:v>
      </x:c>
    </x:row>
    <x:row r="2233" ht="93" customHeight="1">
      <x:c r="A2233" s="19" t="n">
        <x:v>2230</x:v>
      </x:c>
      <x:c r="B2233" s="22" t="e">
        <x:f>HYPERLINK("https://cdn.shopify.com/s/files/1/0918/6066/4603/files/O1CN01f8cxmQ1nYJNcc0Pa3__2217958295101-0-cib.jpg?v=1766293597","Open")</x:f>
        <x:v>HYPERLINK is not implemented. linkLocation=https://cdn.shopify.com/s/files/1/0918/6066/4603/files/O1CN01f8cxmQ1nYJNcc0Pa3__2217958295101-0-cib.jpg?v=1766293597, friendlyName=Open</x:v>
      </x:c>
      <x:c r="C2233" s="24" t="e">
        <x:f>HYPERLINK("https://365nails.com/products/mini-melody-cute-kids-press-on-nails-with-star-glitter","Mini Melody Cute Kids Press On Nails with Star Glitter")</x:f>
        <x:v>HYPERLINK is not implemented. linkLocation=https://365nails.com/products/mini-melody-cute-kids-press-on-nails-with-star-glitter, friendlyName=Mini Melody Cute Kids Press On Nails with Star Glitter</x:v>
      </x:c>
      <x:c r="D2233" s="18" t="str">
        <x:v>Color: Mini Melody 001; Color classification: XS (2-3 years old) / S (4-6 years old) / M (7-8 years old) / L (9-12 years old)</x:v>
      </x:c>
      <x:c r="E2233" s="25" t="str">
        <x:v>$1.99</x:v>
      </x:c>
      <x:c r="F2233" s="19" t="str">
        <x:v>1</x:v>
      </x:c>
    </x:row>
    <x:row r="2234" ht="93" customHeight="1">
      <x:c r="A2234" s="19" t="n">
        <x:v>2231</x:v>
      </x:c>
      <x:c r="B2234" s="22" t="e">
        <x:f>HYPERLINK("https://cdn.shopify.com/s/files/1/0918/6066/4603/files/48f0552ce014528467c915b46b693b52_59f31d70-d094-49f4-89bf-1fe51573d0dc.jpg?v=1767506227","Open")</x:f>
        <x:v>HYPERLINK is not implemented. linkLocation=https://cdn.shopify.com/s/files/1/0918/6066/4603/files/48f0552ce014528467c915b46b693b52_59f31d70-d094-49f4-89bf-1fe51573d0dc.jpg?v=1767506227, friendlyName=Open</x:v>
      </x:c>
      <x:c r="C2234" s="24" t="e">
        <x:f>HYPERLINK("https://365nails.com/products/pastel-window-box-press-on-nail-packaging","Pastel Window Box Press On Nail Packaging (MOQ=100)")</x:f>
        <x:v>HYPERLINK is not implemented. linkLocation=https://365nails.com/products/pastel-window-box-press-on-nail-packaging, friendlyName=Pastel Window Box Press On Nail Packaging (MOQ=100)</x:v>
      </x:c>
      <x:c r="D2234" s="18" t="str">
        <x:v>Specifications and models: Blue;117*69*12 / Pink;117*69*12 / Black;117*69*12 / Yellow;117*69*12 / White;117*69*12 / Internal support;117*69*12; Quantity: 100pcs</x:v>
      </x:c>
      <x:c r="E2234" s="25" t="str">
        <x:v>$5.00–$6.00</x:v>
      </x:c>
      <x:c r="F2234" s="19" t="str">
        <x:v>1</x:v>
      </x:c>
    </x:row>
    <x:row r="2235" ht="93" customHeight="1">
      <x:c r="A2235" s="19" t="n">
        <x:v>2232</x:v>
      </x:c>
      <x:c r="B2235" s="22" t="e">
        <x:f>HYPERLINK("https://cdn.shopify.com/s/files/1/0918/6066/4603/files/O1CN01XXgoak22SYdFH9GTE__2219370087119-0-cib.jpg?v=1767183135","Open")</x:f>
        <x:v>HYPERLINK is not implemented. linkLocation=https://cdn.shopify.com/s/files/1/0918/6066/4603/files/O1CN01XXgoak22SYdFH9GTE__2219370087119-0-cib.jpg?v=1767183135, friendlyName=Open</x:v>
      </x:c>
      <x:c r="C2235" s="24" t="e">
        <x:f>HYPERLINK("https://365nails.com/products/white-gold-cross-heart-press-on-nails","White Gold Cross Heart Press On Nails")</x:f>
        <x:v>HYPERLINK is not implemented. linkLocation=https://365nails.com/products/white-gold-cross-heart-press-on-nails, friendlyName=White Gold Cross Heart Press On Nails</x:v>
      </x:c>
      <x:c r="D2235" s="18" t="str">
        <x:v>Color: White; Color classification: L (1.7/1.3/1.4/1.3/1.1)cm / M (1.6/1.2/1.3/1.2/1.0)cm / S (1.5/1.1/1.2/1.1/0.9)cm</x:v>
      </x:c>
      <x:c r="E2235" s="25" t="str">
        <x:v>$4.49</x:v>
      </x:c>
      <x:c r="F2235" s="19" t="str">
        <x:v>30</x:v>
      </x:c>
    </x:row>
    <x:row r="2236" ht="93" customHeight="1">
      <x:c r="A2236" s="19" t="n">
        <x:v>2233</x:v>
      </x:c>
      <x:c r="B2236" s="22" t="e">
        <x:f>HYPERLINK("https://cdn.shopify.com/s/files/1/0918/6066/4603/files/O1CN01rYVGco1nYJNfa2gWd__2217958295101-0-cib.jpg?v=1766296522","Open")</x:f>
        <x:v>HYPERLINK is not implemented. linkLocation=https://cdn.shopify.com/s/files/1/0918/6066/4603/files/O1CN01rYVGco1nYJNfa2gWd__2217958295101-0-cib.jpg?v=1766296522, friendlyName=Open</x:v>
      </x:c>
      <x:c r="C2236" s="24" t="e">
        <x:f>HYPERLINK("https://365nails.com/products/pony-poly-pastel-cute-kids-press-on-nails-with-hearts","Pony Poly Pastel Cute Kids Press On Nails with Hearts")</x:f>
        <x:v>HYPERLINK is not implemented. linkLocation=https://365nails.com/products/pony-poly-pastel-cute-kids-press-on-nails-with-hearts, friendlyName=Pony Poly Pastel Cute Kids Press On Nails with Hearts</x:v>
      </x:c>
      <x:c r="D2236" s="18" t="str">
        <x:v>Color: Pony Poly 067; Color classification: Extra small XS (2-3 years old) / Small S (4-6 years old) / Medium M (7-8 years old) / Large L (9-12 years old)</x:v>
      </x:c>
      <x:c r="E2236" s="25" t="str">
        <x:v>$2.49</x:v>
      </x:c>
      <x:c r="F2236" s="19" t="str">
        <x:v>1</x:v>
      </x:c>
    </x:row>
    <x:row r="2237" ht="93" customHeight="1">
      <x:c r="A2237" s="19" t="n">
        <x:v>2234</x:v>
      </x:c>
      <x:c r="B2237" s="22" t="e">
        <x:f>HYPERLINK("https://cdn.shopify.com/s/files/1/0918/6066/4603/files/O1CN01ieJW3r2MQzdT6zl6r__2219089449823-0-cib_d825f13a-d35b-4db9-b459-99a2f92ed9dc.jpg?v=1767943250","Open")</x:f>
        <x:v>HYPERLINK is not implemented. linkLocation=https://cdn.shopify.com/s/files/1/0918/6066/4603/files/O1CN01ieJW3r2MQzdT6zl6r__2219089449823-0-cib_d825f13a-d35b-4db9-b459-99a2f92ed9dc.jpg?v=1767943250, friendlyName=Open</x:v>
      </x:c>
      <x:c r="C2237" s="24" t="e">
        <x:f>HYPERLINK("https://365nails.com/products/peach-blossom-pearl-crystal-press-on-nail-set","Peach Blossom Pearl Crystal Press On Nail Set")</x:f>
        <x:v>HYPERLINK is not implemented. linkLocation=https://365nails.com/products/peach-blossom-pearl-crystal-press-on-nail-set, friendlyName=Peach Blossom Pearl Crystal Press On Nail Set</x:v>
      </x:c>
      <x:c r="D2237" s="18" t="str">
        <x:v>Color: Js b14; Color classification: XS / S / M / L; Length: 4cm</x:v>
      </x:c>
      <x:c r="E2237" s="25" t="str">
        <x:v>$6.99</x:v>
      </x:c>
      <x:c r="F2237" s="19" t="str">
        <x:v>1</x:v>
      </x:c>
    </x:row>
    <x:row r="2238" ht="93" customHeight="1">
      <x:c r="A2238" s="19" t="n">
        <x:v>2235</x:v>
      </x:c>
      <x:c r="B2238" s="22" t="e">
        <x:f>HYPERLINK("https://cdn.shopify.com/s/files/1/0918/6066/4603/files/O1CN01tvD9uo22SYgMXLPdz__2219370087119-0-cib.jpg?v=1767236230","Open")</x:f>
        <x:v>HYPERLINK is not implemented. linkLocation=https://cdn.shopify.com/s/files/1/0918/6066/4603/files/O1CN01tvD9uo22SYgMXLPdz__2219370087119-0-cib.jpg?v=1767236230, friendlyName=Open</x:v>
      </x:c>
      <x:c r="C2238" s="24" t="e">
        <x:f>HYPERLINK("https://365nails.com/products/pink-ab-crystal-full-tip-glam-press-on-nails","Pink AB Crystal Full Tip Glam Press On Nails")</x:f>
        <x:v>HYPERLINK is not implemented. linkLocation=https://365nails.com/products/pink-ab-crystal-full-tip-glam-press-on-nails, friendlyName=Pink AB Crystal Full Tip Glam Press On Nails</x:v>
      </x:c>
      <x:c r="D2238" s="18" t="str">
        <x:v>Color: L (1.7/1.3/1.4/1.3/1.1)cm / M (1.6/1.2/1.3/1.2/1.0)cm / S (1.5/1.1/1.2/1.1/0.9)cm</x:v>
      </x:c>
      <x:c r="E2238" s="25" t="str">
        <x:v>$4.99</x:v>
      </x:c>
      <x:c r="F2238" s="19" t="str">
        <x:v>30</x:v>
      </x:c>
    </x:row>
    <x:row r="2239" ht="93" customHeight="1">
      <x:c r="A2239" s="19" t="n">
        <x:v>2236</x:v>
      </x:c>
      <x:c r="B2239" s="22" t="e">
        <x:f>HYPERLINK("https://cdn.shopify.com/s/files/1/0918/6066/4603/files/O1CN01lWo9I322SYgezrwAq__2219370087119-0-cib.jpg?v=1767235489","Open")</x:f>
        <x:v>HYPERLINK is not implemented. linkLocation=https://cdn.shopify.com/s/files/1/0918/6066/4603/files/O1CN01lWo9I322SYgezrwAq__2219370087119-0-cib.jpg?v=1767235489, friendlyName=Open</x:v>
      </x:c>
      <x:c r="C2239" s="24" t="e">
        <x:f>HYPERLINK("https://365nails.com/products/festive-christmas-rhinestone-holiday-press-on-nails","Festive Christmas Rhinestone Holiday Press On Nails")</x:f>
        <x:v>HYPERLINK is not implemented. linkLocation=https://365nails.com/products/festive-christmas-rhinestone-holiday-press-on-nails, friendlyName=Festive Christmas Rhinestone Holiday Press On Nails</x:v>
      </x:c>
      <x:c r="D2239" s="18" t="str">
        <x:v>Color: L (1.7/1.3/1.4/1.3/1.1)cm / M (1.6/1.2/1.3/1.2/1.0)cm / S (1.5/1.1/1.2/1.1/0.9)cm</x:v>
      </x:c>
      <x:c r="E2239" s="25" t="str">
        <x:v>$5.49</x:v>
      </x:c>
      <x:c r="F2239" s="19" t="str">
        <x:v>30</x:v>
      </x:c>
    </x:row>
    <x:row r="2240" ht="93" customHeight="1">
      <x:c r="A2240" s="19" t="n">
        <x:v>2237</x:v>
      </x:c>
      <x:c r="B2240" s="22" t="e">
        <x:f>HYPERLINK("https://cdn.shopify.com/s/files/1/0918/6066/4603/files/O1CN01qnFObz1nYJNf3ERH1__2217958295101-0-cib.jpg?v=1766293271","Open")</x:f>
        <x:v>HYPERLINK is not implemented. linkLocation=https://cdn.shopify.com/s/files/1/0918/6066/4603/files/O1CN01qnFObz1nYJNf3ERH1__2217958295101-0-cib.jpg?v=1766293271, friendlyName=Open</x:v>
      </x:c>
      <x:c r="C2240" s="24" t="e">
        <x:f>HYPERLINK("https://365nails.com/products/sugar-love-linna-bell-kids-press-on-nails-with-glitter","Sugar Love Linna Bell Kids Press On Nails with Glitter")</x:f>
        <x:v>HYPERLINK is not implemented. linkLocation=https://365nails.com/products/sugar-love-linna-bell-kids-press-on-nails-with-glitter, friendlyName=Sugar Love Linna Bell Kids Press On Nails with Glitter</x:v>
      </x:c>
      <x:c r="D2240" s="18" t="str">
        <x:v>Color: Sugar Love Linna Bell 112; Color classification: XS (2-3 years old) / S (4-6 years old) / M (7-8 years old) / L (9-12 years old)</x:v>
      </x:c>
      <x:c r="E2240" s="25" t="str">
        <x:v>$2.49</x:v>
      </x:c>
      <x:c r="F2240" s="19" t="str">
        <x:v>1</x:v>
      </x:c>
    </x:row>
    <x:row r="2241" ht="93" customHeight="1">
      <x:c r="A2241" s="19" t="n">
        <x:v>2238</x:v>
      </x:c>
      <x:c r="B2241" s="22" t="e">
        <x:f>HYPERLINK("https://cdn.shopify.com/s/files/1/0918/6066/4603/files/14941056b97e6f04b12cb6a0f43345a6.jpg?v=1766722124","Open")</x:f>
        <x:v>HYPERLINK is not implemented. linkLocation=https://cdn.shopify.com/s/files/1/0918/6066/4603/files/14941056b97e6f04b12cb6a0f43345a6.jpg?v=1766722124, friendlyName=Open</x:v>
      </x:c>
      <x:c r="C2241" s="24" t="e">
        <x:f>HYPERLINK("https://365nails.com/products/clear-stiletto-nail-tips-extension-mold-set","Clear Stiletto Nail Tips Extension Mold Set (MOQ=3)")</x:f>
        <x:v>HYPERLINK is not implemented. linkLocation=https://365nails.com/products/clear-stiletto-nail-tips-extension-mold-set, friendlyName=Clear Stiletto Nail Tips Extension Mold Set (MOQ=3)</x:v>
      </x:c>
      <x:c r="D2241" s="18" t="str">
        <x:v>Color: JM-62 * 150 pieces; Quantity: 3pcs</x:v>
      </x:c>
      <x:c r="E2241" s="25" t="str">
        <x:v>$4.29</x:v>
      </x:c>
      <x:c r="F2241" s="19" t="str">
        <x:v>1</x:v>
      </x:c>
    </x:row>
    <x:row r="2242" ht="93" customHeight="1">
      <x:c r="A2242" s="19" t="n">
        <x:v>2239</x:v>
      </x:c>
      <x:c r="B2242" s="22" t="e">
        <x:f>HYPERLINK("https://cdn.shopify.com/s/files/1/0918/6066/4603/files/O1CN0116nIw41nYJNeiXIa6__2217958295101-0-cib.jpg?v=1766295016","Open")</x:f>
        <x:v>HYPERLINK is not implemented. linkLocation=https://cdn.shopify.com/s/files/1/0918/6066/4603/files/O1CN0116nIw41nYJNeiXIa6__2217958295101-0-cib.jpg?v=1766295016, friendlyName=Open</x:v>
      </x:c>
      <x:c r="C2242" s="24" t="e">
        <x:f>HYPERLINK("https://365nails.com/products/linna-bell-pastel-cute-kids-press-on-nails-with-glitter","Linna Bell Pastel Cute Kids Press On Nails with Glitter")</x:f>
        <x:v>HYPERLINK is not implemented. linkLocation=https://365nails.com/products/linna-bell-pastel-cute-kids-press-on-nails-with-glitter, friendlyName=Linna Bell Pastel Cute Kids Press On Nails with Glitter</x:v>
      </x:c>
      <x:c r="D2242" s="18" t="str">
        <x:v>Color: 009 Linna Bell; Color classification: XS (2-3 years old) / S (4-6 years old) / M (7-8 years old) / L (9-12 years old)</x:v>
      </x:c>
      <x:c r="E2242" s="25" t="str">
        <x:v>$1.99</x:v>
      </x:c>
      <x:c r="F2242" s="19" t="str">
        <x:v>1</x:v>
      </x:c>
    </x:row>
    <x:row r="2243" ht="93" customHeight="1">
      <x:c r="A2243" s="19" t="n">
        <x:v>2240</x:v>
      </x:c>
      <x:c r="B2243" s="22" t="e">
        <x:f>HYPERLINK("https://cdn.shopify.com/s/files/1/0918/6066/4603/files/O1CN01eWVlUj2MQzdzpvwOS__2219089449823-0-cib_698afcf2-4fc2-4cb1-ad19-80f112ab06cf.jpg?v=1767945208","Open")</x:f>
        <x:v>HYPERLINK is not implemented. linkLocation=https://cdn.shopify.com/s/files/1/0918/6066/4603/files/O1CN01eWVlUj2MQzdzpvwOS__2219089449823-0-cib_698afcf2-4fc2-4cb1-ad19-80f112ab06cf.jpg?v=1767945208, friendlyName=Open</x:v>
      </x:c>
      <x:c r="C2243" s="24" t="e">
        <x:f>HYPERLINK("https://365nails.com/products/neon-green-black-graphic-gradient-press-on-nails","Neon Green Black Graphic Gradient Press On Nails")</x:f>
        <x:v>HYPERLINK is not implemented. linkLocation=https://365nails.com/products/neon-green-black-graphic-gradient-press-on-nails, friendlyName=Neon Green Black Graphic Gradient Press On Nails</x:v>
      </x:c>
      <x:c r="D2243" s="18" t="str">
        <x:v>Color: K001; Color classification: S / M / L; Length: 5cm</x:v>
      </x:c>
      <x:c r="E2243" s="25" t="str">
        <x:v>$3.99</x:v>
      </x:c>
      <x:c r="F2243" s="19" t="str">
        <x:v>1</x:v>
      </x:c>
    </x:row>
    <x:row r="2244" ht="93" customHeight="1">
      <x:c r="A2244" s="19" t="n">
        <x:v>2241</x:v>
      </x:c>
      <x:c r="B2244" s="22" t="e">
        <x:f>HYPERLINK("https://cdn.shopify.com/s/files/1/0918/6066/4603/files/O1CN01qphUKQ1nYJNcT92xt__2217958295101-0-cib.jpg?v=1766294788","Open")</x:f>
        <x:v>HYPERLINK is not implemented. linkLocation=https://cdn.shopify.com/s/files/1/0918/6066/4603/files/O1CN01qphUKQ1nYJNcT92xt__2217958295101-0-cib.jpg?v=1766294788, friendlyName=Open</x:v>
      </x:c>
      <x:c r="C2244" s="24" t="e">
        <x:f>HYPERLINK("https://365nails.com/products/bubble-girl-pink-cute-kids-press-on-nails-with-hearts","Bubble Girl Pink Cute Kids Press On Nails with Hearts")</x:f>
        <x:v>HYPERLINK is not implemented. linkLocation=https://365nails.com/products/bubble-girl-pink-cute-kids-press-on-nails-with-hearts, friendlyName=Bubble Girl Pink Cute Kids Press On Nails with Hearts</x:v>
      </x:c>
      <x:c r="D2244" s="18" t="str">
        <x:v>Color: Bubble Girl 037; Color classification: XS (2-3 years old) / S (4-6 years old) / M (7-8 years old) / L (9-12 years old)</x:v>
      </x:c>
      <x:c r="E2244" s="25" t="str">
        <x:v>$2.49</x:v>
      </x:c>
      <x:c r="F2244" s="19" t="str">
        <x:v>1</x:v>
      </x:c>
    </x:row>
    <x:row r="2245" ht="93" customHeight="1">
      <x:c r="A2245" s="19" t="n">
        <x:v>2242</x:v>
      </x:c>
      <x:c r="B2245" s="22" t="e">
        <x:f>HYPERLINK("https://cdn.shopify.com/s/files/1/0918/6066/4603/files/O1CN01CmaTAY2MQzdZ6XYBK__2219089449823-0-cib.jpg?v=1767943291","Open")</x:f>
        <x:v>HYPERLINK is not implemented. linkLocation=https://cdn.shopify.com/s/files/1/0918/6066/4603/files/O1CN01CmaTAY2MQzdZ6XYBK__2219089449823-0-cib.jpg?v=1767943291, friendlyName=Open</x:v>
      </x:c>
      <x:c r="C2245" s="24" t="e">
        <x:f>HYPERLINK("https://365nails.com/products/neon-green-crystal-heart-statement-press-on-nails","Neon Green Crystal Heart Statement Press On Nails")</x:f>
        <x:v>HYPERLINK is not implemented. linkLocation=https://365nails.com/products/neon-green-crystal-heart-statement-press-on-nails, friendlyName=Neon Green Crystal Heart Statement Press On Nails</x:v>
      </x:c>
      <x:c r="D2245" s="18" t="str">
        <x:v>Color: M106; Color classification: XS / S / M / L; Length: 5cm</x:v>
      </x:c>
      <x:c r="E2245" s="25" t="str">
        <x:v>$5.99</x:v>
      </x:c>
      <x:c r="F2245" s="19" t="str">
        <x:v>1</x:v>
      </x:c>
    </x:row>
    <x:row r="2246" ht="93" customHeight="1">
      <x:c r="A2246" s="19" t="n">
        <x:v>2243</x:v>
      </x:c>
      <x:c r="B2246" s="22" t="e">
        <x:f>HYPERLINK("https://cdn.shopify.com/s/files/1/0918/6066/4603/files/O1CN01ksjFeI2MQzda74wjc__2219089449823-0-cib_42979156-0fd4-4b5d-9996-f30a75e7ad71.jpg?v=1767942944","Open")</x:f>
        <x:v>HYPERLINK is not implemented. linkLocation=https://cdn.shopify.com/s/files/1/0918/6066/4603/files/O1CN01ksjFeI2MQzda74wjc__2219089449823-0-cib_42979156-0fd4-4b5d-9996-f30a75e7ad71.jpg?v=1767942944, friendlyName=Open</x:v>
      </x:c>
      <x:c r="C2246" s="24" t="e">
        <x:f>HYPERLINK("https://365nails.com/products/milky-white-crystal-minimal-press-on-nail-set","Milky White Crystal Minimal Press On Nail Set")</x:f>
        <x:v>HYPERLINK is not implemented. linkLocation=https://365nails.com/products/milky-white-crystal-minimal-press-on-nail-set, friendlyName=Milky White Crystal Minimal Press On Nail Set</x:v>
      </x:c>
      <x:c r="D2246" s="18" t="str">
        <x:v>Color: Js b13; Color classification: XS / S / M / L; Length: 5cm</x:v>
      </x:c>
      <x:c r="E2246" s="25" t="str">
        <x:v>$6.99</x:v>
      </x:c>
      <x:c r="F2246" s="19" t="str">
        <x:v>1</x:v>
      </x:c>
    </x:row>
    <x:row r="2247" ht="93" customHeight="1">
      <x:c r="A2247" s="19" t="n">
        <x:v>2244</x:v>
      </x:c>
      <x:c r="B2247" s="22" t="e">
        <x:f>HYPERLINK("https://cdn.shopify.com/s/files/1/0918/6066/4603/files/O1CN01cEvTaB2MQzduKhv1P__2219089449823-0-cib_d31129af-e4b0-4069-9154-fb257d671709.jpg?v=1767945003","Open")</x:f>
        <x:v>HYPERLINK is not implemented. linkLocation=https://cdn.shopify.com/s/files/1/0918/6066/4603/files/O1CN01cEvTaB2MQzduKhv1P__2219089449823-0-cib_d31129af-e4b0-4069-9154-fb257d671709.jpg?v=1767945003, friendlyName=Open</x:v>
      </x:c>
      <x:c r="C2247" s="24" t="e">
        <x:f>HYPERLINK("https://365nails.com/products/nude-blue-minimal-crystal-accent-press-on-nails","Nude Blue Minimal Crystal Accent Press On Nails")</x:f>
        <x:v>HYPERLINK is not implemented. linkLocation=https://365nails.com/products/nude-blue-minimal-crystal-accent-press-on-nails, friendlyName=Nude Blue Minimal Crystal Accent Press On Nails</x:v>
      </x:c>
      <x:c r="D2247" s="18" t="str">
        <x:v>Color: K008; Color classification: S / M / L; Length: 4cm</x:v>
      </x:c>
      <x:c r="E2247" s="25" t="str">
        <x:v>$3.99</x:v>
      </x:c>
      <x:c r="F2247" s="19" t="str">
        <x:v>1</x:v>
      </x:c>
    </x:row>
    <x:row r="2248" ht="93" customHeight="1">
      <x:c r="A2248" s="19" t="n">
        <x:v>2245</x:v>
      </x:c>
      <x:c r="B2248" s="22" t="e">
        <x:f>HYPERLINK("https://cdn.shopify.com/s/files/1/0918/6066/4603/files/O1CN01HHhLiP22SYgP02Jxh__2219370087119-0-cib.jpg?v=1767237774","Open")</x:f>
        <x:v>HYPERLINK is not implemented. linkLocation=https://cdn.shopify.com/s/files/1/0918/6066/4603/files/O1CN01HHhLiP22SYgP02Jxh__2219370087119-0-cib.jpg?v=1767237774, friendlyName=Open</x:v>
      </x:c>
      <x:c r="C2248" s="24" t="e">
        <x:f>HYPERLINK("https://365nails.com/products/blush-pink-crystal-bow-duckbill-press-on-nails","Blush Pink Crystal Bow Duckbill Press On Nails")</x:f>
        <x:v>HYPERLINK is not implemented. linkLocation=https://365nails.com/products/blush-pink-crystal-bow-duckbill-press-on-nails, friendlyName=Blush Pink Crystal Bow Duckbill Press On Nails</x:v>
      </x:c>
      <x:c r="D2248" s="18" t="str">
        <x:v>Color: Rouge color; Color classification: L / M / S</x:v>
      </x:c>
      <x:c r="E2248" s="25" t="str">
        <x:v>$4.99</x:v>
      </x:c>
      <x:c r="F2248" s="19" t="str">
        <x:v>30</x:v>
      </x:c>
    </x:row>
    <x:row r="2249" ht="93" customHeight="1">
      <x:c r="A2249" s="19" t="n">
        <x:v>2246</x:v>
      </x:c>
      <x:c r="B2249" s="22" t="e">
        <x:f>HYPERLINK("https://cdn.shopify.com/s/files/1/0918/6066/4603/files/O1CN01uAlwuJ2MQzdAyzdf3__2219089449823-0-cib.jpg?v=1767709426","Open")</x:f>
        <x:v>HYPERLINK is not implemented. linkLocation=https://cdn.shopify.com/s/files/1/0918/6066/4603/files/O1CN01uAlwuJ2MQzdAyzdf3__2219089449823-0-cib.jpg?v=1767709426, friendlyName=Open</x:v>
      </x:c>
      <x:c r="C2249" s="24" t="e">
        <x:f>HYPERLINK("https://365nails.com/products/bold-floral-ombre-sculpted-press-on-nails","Bold Floral Ombre Sculpted Press On Nails")</x:f>
        <x:v>HYPERLINK is not implemented. linkLocation=https://365nails.com/products/bold-floral-ombre-sculpted-press-on-nails, friendlyName=Bold Floral Ombre Sculpted Press On Nails</x:v>
      </x:c>
      <x:c r="D2249" s="18" t="str">
        <x:v>Color: D411; Color classification: XS / S / M / L</x:v>
      </x:c>
      <x:c r="E2249" s="25" t="str">
        <x:v>$6.99</x:v>
      </x:c>
      <x:c r="F2249" s="19" t="str">
        <x:v>1</x:v>
      </x:c>
    </x:row>
    <x:row r="2250" ht="93" customHeight="1">
      <x:c r="A2250" s="19" t="n">
        <x:v>2247</x:v>
      </x:c>
      <x:c r="B2250" s="22" t="e">
        <x:f>HYPERLINK("https://cdn.shopify.com/s/files/1/0918/6066/4603/files/O1CN013BJZDr1q5rWJx8RhZ__2578645445-0-cib.jpg?v=1767506468","Open")</x:f>
        <x:v>HYPERLINK is not implemented. linkLocation=https://cdn.shopify.com/s/files/1/0918/6066/4603/files/O1CN013BJZDr1q5rWJx8RhZ__2578645445-0-cib.jpg?v=1767506468, friendlyName=Open</x:v>
      </x:c>
      <x:c r="C2250" s="24" t="e">
        <x:f>HYPERLINK("https://365nails.com/products/elegant-window-drawer-box-press-on-nail-packaging","Elegant Window Drawer Box Press On Nail Packaging (MOQ=100)")</x:f>
        <x:v>HYPERLINK is not implemented. linkLocation=https://365nails.com/products/elegant-window-drawer-box-press-on-nail-packaging, friendlyName=Elegant Window Drawer Box Press On Nail Packaging (MOQ=100)</x:v>
      </x:c>
      <x:c r="D2250" s="18" t="str">
        <x:v>Specifications and models: Paper box + transparent inner box; 11.6*6.8*1.2cm / Paper box;11.6*6.8*1.2cm / Transparent inner box [long style]; 11.6*6.8*1.2cm / Transparent inner box [standard style]; 11.6*6.8*1.2cm / Transparent inner box [short style]; 11.6*6.8*1.2cm; Quantity: 100pcs</x:v>
      </x:c>
      <x:c r="E2250" s="25" t="str">
        <x:v>$5.00–$8.00</x:v>
      </x:c>
      <x:c r="F2250" s="19" t="str">
        <x:v>1</x:v>
      </x:c>
    </x:row>
    <x:row r="2251" ht="93" customHeight="1">
      <x:c r="A2251" s="19" t="n">
        <x:v>2248</x:v>
      </x:c>
      <x:c r="B2251" s="22" t="e">
        <x:f>HYPERLINK("https://cdn.shopify.com/s/files/1/0918/6066/4603/files/O1CN01bUCZaz22SYgOssy7V__2219370087119-0-cib.jpg?v=1767235561","Open")</x:f>
        <x:v>HYPERLINK is not implemented. linkLocation=https://cdn.shopify.com/s/files/1/0918/6066/4603/files/O1CN01bUCZaz22SYgOssy7V__2219370087119-0-cib.jpg?v=1767235561, friendlyName=Open</x:v>
      </x:c>
      <x:c r="C2251" s="24" t="e">
        <x:f>HYPERLINK("https://365nails.com/products/candy-charm-sweet-pop-stiletto-press-on-nails","Candy Charm Sweet Pop Stiletto Press On Nails")</x:f>
        <x:v>HYPERLINK is not implemented. linkLocation=https://365nails.com/products/candy-charm-sweet-pop-stiletto-press-on-nails, friendlyName=Candy Charm Sweet Pop Stiletto Press On Nails</x:v>
      </x:c>
      <x:c r="D2251" s="18" t="str">
        <x:v>Color: L (1.7/1.3/1.4/1.3/1.1)cm / M (1.6/1.2/1.3/1.2/1.0)cm / S (1.5/1.1/1.2/1.1/0.9)cm</x:v>
      </x:c>
      <x:c r="E2251" s="25" t="str">
        <x:v>$5.49</x:v>
      </x:c>
      <x:c r="F2251" s="19" t="str">
        <x:v>30</x:v>
      </x:c>
    </x:row>
    <x:row r="2252" ht="93" customHeight="1">
      <x:c r="A2252" s="19" t="n">
        <x:v>2249</x:v>
      </x:c>
      <x:c r="B2252" s="22" t="e">
        <x:f>HYPERLINK("https://cdn.shopify.com/s/files/1/0918/6066/4603/files/O1CN01sCGBP31nYJNbvVqVA__2217958295101-0-cib.jpg?v=1766293828","Open")</x:f>
        <x:v>HYPERLINK is not implemented. linkLocation=https://cdn.shopify.com/s/files/1/0918/6066/4603/files/O1CN01sCGBP31nYJNbvVqVA__2217958295101-0-cib.jpg?v=1766293828, friendlyName=Open</x:v>
      </x:c>
      <x:c r="C2252" s="24" t="e">
        <x:f>HYPERLINK("https://365nails.com/products/butter-bear-colorful-cute-kids-press-on-nails-set","Butter Bear Colorful Cute Kids Press On Nails Set")</x:f>
        <x:v>HYPERLINK is not implemented. linkLocation=https://365nails.com/products/butter-bear-colorful-cute-kids-press-on-nails-set, friendlyName=Butter Bear Colorful Cute Kids Press On Nails Set</x:v>
      </x:c>
      <x:c r="D2252" s="18" t="str">
        <x:v>Color: 075 Butter Bear; Color classification: XS (2-3 years old) / S (4-6 years old) / M (7-8 years old) / L (9-12 years old)</x:v>
      </x:c>
      <x:c r="E2252" s="25" t="str">
        <x:v>$1.99</x:v>
      </x:c>
      <x:c r="F2252" s="19" t="str">
        <x:v>1</x:v>
      </x:c>
    </x:row>
    <x:row r="2253" ht="93" customHeight="1">
      <x:c r="A2253" s="19" t="n">
        <x:v>2250</x:v>
      </x:c>
      <x:c r="B2253" s="22" t="e">
        <x:f>HYPERLINK("https://cdn.shopify.com/s/files/1/0918/6066/4603/files/O1CN01Uv8NoC2MQzdFJ9kjE__2219089449823-0-cib.jpg?v=1767708063","Open")</x:f>
        <x:v>HYPERLINK is not implemented. linkLocation=https://cdn.shopify.com/s/files/1/0918/6066/4603/files/O1CN01Uv8NoC2MQzdFJ9kjE__2219089449823-0-cib.jpg?v=1767708063, friendlyName=Open</x:v>
      </x:c>
      <x:c r="C2253" s="24" t="e">
        <x:f>HYPERLINK("https://365nails.com/products/blush-crystal-drop-glam-press-on-nail-set","Blush Crystal Drop Glam Press On Nail Set")</x:f>
        <x:v>HYPERLINK is not implemented. linkLocation=https://365nails.com/products/blush-crystal-drop-glam-press-on-nail-set, friendlyName=Blush Crystal Drop Glam Press On Nail Set</x:v>
      </x:c>
      <x:c r="D2253" s="18" t="str">
        <x:v>Color: Jsa28; Color classification: XS / S / M / L</x:v>
      </x:c>
      <x:c r="E2253" s="25" t="str">
        <x:v>$5.99</x:v>
      </x:c>
      <x:c r="F2253" s="19" t="str">
        <x:v>1</x:v>
      </x:c>
    </x:row>
    <x:row r="2254" ht="93" customHeight="1">
      <x:c r="A2254" s="19" t="n">
        <x:v>2251</x:v>
      </x:c>
      <x:c r="B2254" s="22" t="e">
        <x:f>HYPERLINK("https://cdn.shopify.com/s/files/1/0918/6066/4603/files/O1CN01BQK2Wq22SYgPYBolB__2219370087119-0-cib.jpg?v=1767236081","Open")</x:f>
        <x:v>HYPERLINK is not implemented. linkLocation=https://cdn.shopify.com/s/files/1/0918/6066/4603/files/O1CN01BQK2Wq22SYgPYBolB__2219370087119-0-cib.jpg?v=1767236081, friendlyName=Open</x:v>
      </x:c>
      <x:c r="C2254" s="24" t="e">
        <x:f>HYPERLINK("https://365nails.com/products/black-tip-nude-crystal-accent-press-on-nails","Black Tip Nude Crystal Accent Press On Nails")</x:f>
        <x:v>HYPERLINK is not implemented. linkLocation=https://365nails.com/products/black-tip-nude-crystal-accent-press-on-nails, friendlyName=Black Tip Nude Crystal Accent Press On Nails</x:v>
      </x:c>
      <x:c r="D2254" s="18" t="str">
        <x:v>Color: L (1.7/1.3/1.4/1.3/1.1)cm / M (1.6/1.2/1.3/1.2/1.0)cm / S (1.5/1.1/1.2/1.1/0.9)cm</x:v>
      </x:c>
      <x:c r="E2254" s="25" t="str">
        <x:v>$4.99</x:v>
      </x:c>
      <x:c r="F2254" s="19" t="str">
        <x:v>30</x:v>
      </x:c>
    </x:row>
    <x:row r="2255" ht="93" customHeight="1">
      <x:c r="A2255" s="19" t="n">
        <x:v>2252</x:v>
      </x:c>
      <x:c r="B2255" s="22" t="e">
        <x:f>HYPERLINK("https://cdn.shopify.com/s/files/1/0918/6066/4603/files/O1CN01uye9ad2MQzdyhSe4F__2219089449823-0-cib_e8c0813d-67e2-4254-ae54-4e50fe93d1b7.jpg?v=1767945088","Open")</x:f>
        <x:v>HYPERLINK is not implemented. linkLocation=https://cdn.shopify.com/s/files/1/0918/6066/4603/files/O1CN01uye9ad2MQzdyhSe4F__2219089449823-0-cib_e8c0813d-67e2-4254-ae54-4e50fe93d1b7.jpg?v=1767945088, friendlyName=Open</x:v>
      </x:c>
      <x:c r="C2255" s="24" t="e">
        <x:f>HYPERLINK("https://365nails.com/products/neon-orange-gradient-textured-statement-press-on-nails","Neon Orange Gradient Textured Statement Press On Nails")</x:f>
        <x:v>HYPERLINK is not implemented. linkLocation=https://365nails.com/products/neon-orange-gradient-textured-statement-press-on-nails, friendlyName=Neon Orange Gradient Textured Statement Press On Nails</x:v>
      </x:c>
      <x:c r="D2255" s="18" t="str">
        <x:v>Color: K004; Color classification: S / M / L; Length: 5cm</x:v>
      </x:c>
      <x:c r="E2255" s="25" t="str">
        <x:v>$3.99</x:v>
      </x:c>
      <x:c r="F2255" s="19" t="str">
        <x:v>1</x:v>
      </x:c>
    </x:row>
    <x:row r="2256" ht="93" customHeight="1">
      <x:c r="A2256" s="19" t="n">
        <x:v>2253</x:v>
      </x:c>
      <x:c r="B2256" s="22" t="e">
        <x:f>HYPERLINK("https://cdn.shopify.com/s/files/1/0918/6066/4603/files/O1CN01WZqYFI1nYJNX540Cj__2217958295101-0-cib_afeb63de-a8d8-46d5-a9ee-d140aa56eb92.jpg?v=1766330856","Open")</x:f>
        <x:v>HYPERLINK is not implemented. linkLocation=https://cdn.shopify.com/s/files/1/0918/6066/4603/files/O1CN01WZqYFI1nYJNX540Cj__2217958295101-0-cib_afeb63de-a8d8-46d5-a9ee-d140aa56eb92.jpg?v=1766330856, friendlyName=Open</x:v>
      </x:c>
      <x:c r="C2256" s="24" t="e">
        <x:f>HYPERLINK("https://365nails.com/products/cute-pastel-cartoon-kids-press-on-nails-with-crystal-accents","Cute Pastel Cartoon Kids Press On Nails with Crystal Accents")</x:f>
        <x:v>HYPERLINK is not implemented. linkLocation=https://365nails.com/products/cute-pastel-cartoon-kids-press-on-nails-with-crystal-accents, friendlyName=Cute Pastel Cartoon Kids Press On Nails with Crystal Accents</x:v>
      </x:c>
      <x:c r="D2256" s="18" t="str">
        <x:v>Color: 019 Rainbow KT; Color classification: XS (2-3 years old) / S (4-6 years old) / M (7-8 years old) / L (9-12 years old)</x:v>
      </x:c>
      <x:c r="E2256" s="25" t="str">
        <x:v>$2.49</x:v>
      </x:c>
      <x:c r="F2256" s="19" t="str">
        <x:v>1</x:v>
      </x:c>
    </x:row>
    <x:row r="2257" ht="93" customHeight="1">
      <x:c r="A2257" s="19" t="n">
        <x:v>2254</x:v>
      </x:c>
      <x:c r="B2257" s="22" t="e">
        <x:f>HYPERLINK("https://cdn.shopify.com/s/files/1/0918/6066/4603/files/O1CN01NrrcjS2Fquc0P68yF__2213095388932-0-cib.jpg?v=1767505444","Open")</x:f>
        <x:v>HYPERLINK is not implemented. linkLocation=https://cdn.shopify.com/s/files/1/0918/6066/4603/files/O1CN01NrrcjS2Fquc0P68yF__2213095388932-0-cib.jpg?v=1767505444, friendlyName=Open</x:v>
      </x:c>
      <x:c r="C2257" s="24" t="e">
        <x:f>HYPERLINK("https://365nails.com/products/ins-style-jewelry-drawer-gift-packaging-box","INS Style Jewelry Drawer Gift Packaging Box (MOQ=10)")</x:f>
        <x:v>HYPERLINK is not implemented. linkLocation=https://365nails.com/products/ins-style-jewelry-drawer-gift-packaging-box, friendlyName=INS Style Jewelry Drawer Gift Packaging Box (MOQ=10)</x:v>
      </x:c>
      <x:c r="D2257" s="18" t="str">
        <x:v>Specifications and models: # 37 snow white; 9*9*3.5cm (including sponge) without logo / # 38m white; 9*9*3.5cm (including sponge) without logo / # 39 black; 9*9*3.5cm (including sponge) without logo / # 41 grass green; 9*9*3.5cm (including sponge) without logo / # 42 vermilion; 9*9*3.5cm (including sponge) without logo / # 43 midnight blue; 9*9*3.5cm (including sponge) without logo / # 45 light cloud gray; 9*9*3.5cm (including sponge) without logo / # 49 pink; 9*9*3.5cm (including sponge) without logo / Porcelain gray; 9*9*3.5cm (including sponge) without logo; Quantity: 10pcs</x:v>
      </x:c>
      <x:c r="E2257" s="25" t="str">
        <x:v>$6.30</x:v>
      </x:c>
      <x:c r="F2257" s="19" t="str">
        <x:v>1</x:v>
      </x:c>
    </x:row>
    <x:row r="2258" ht="93" customHeight="1">
      <x:c r="A2258" s="19" t="n">
        <x:v>2255</x:v>
      </x:c>
      <x:c r="B2258" s="22" t="e">
        <x:f>HYPERLINK("https://cdn.shopify.com/s/files/1/0918/6066/4603/files/ce33eec19ee6a1c5453e12aa334bcd37.jpg?v=1767237470","Open")</x:f>
        <x:v>HYPERLINK is not implemented. linkLocation=https://cdn.shopify.com/s/files/1/0918/6066/4603/files/ce33eec19ee6a1c5453e12aa334bcd37.jpg?v=1767237470, friendlyName=Open</x:v>
      </x:c>
      <x:c r="C2258" s="24" t="e">
        <x:f>HYPERLINK("https://365nails.com/products/christmas-duckbill-press-on-nails-set","Christmas Duckbill Press On Nails Set")</x:f>
        <x:v>HYPERLINK is not implemented. linkLocation=https://365nails.com/products/christmas-duckbill-press-on-nails-set, friendlyName=Christmas Duckbill Press On Nails Set</x:v>
      </x:c>
      <x:c r="D2258" s="18" t="str">
        <x:v>Color: L (1.7/1.3/1.4/1.3/1.1)cm / M (1.6/1.2/1.3/1.2/1.0)cm / S (1.5/1.1/1.2/1.1/0.9)cm</x:v>
      </x:c>
      <x:c r="E2258" s="25" t="str">
        <x:v>$4.99</x:v>
      </x:c>
      <x:c r="F2258" s="19" t="str">
        <x:v>30</x:v>
      </x:c>
    </x:row>
    <x:row r="2259" ht="93" customHeight="1">
      <x:c r="A2259" s="19" t="n">
        <x:v>2256</x:v>
      </x:c>
      <x:c r="B2259" s="22" t="e">
        <x:f>HYPERLINK("https://cdn.shopify.com/s/files/1/0918/6066/4603/files/O1CN01LsBqxH2MQzdASGn7K__2219089449823-0-cib_745b693a-862c-46d1-83e6-f3021dd4661f.jpg?v=1767626730","Open")</x:f>
        <x:v>HYPERLINK is not implemented. linkLocation=https://cdn.shopify.com/s/files/1/0918/6066/4603/files/O1CN01LsBqxH2MQzdASGn7K__2219089449823-0-cib_745b693a-862c-46d1-83e6-f3021dd4661f.jpg?v=1767626730, friendlyName=Open</x:v>
      </x:c>
      <x:c r="C2259" s="24" t="e">
        <x:f>HYPERLINK("https://365nails.com/products/pastel-floral-crystal-sculpted-press-on-nail-set","Pastel Floral Crystal Sculpted Press On Nail Set")</x:f>
        <x:v>HYPERLINK is not implemented. linkLocation=https://365nails.com/products/pastel-floral-crystal-sculpted-press-on-nail-set, friendlyName=Pastel Floral Crystal Sculpted Press On Nail Set</x:v>
      </x:c>
      <x:c r="D2259" s="18" t="str">
        <x:v>Color: Jsa 30; Color classification: XS / S / M / L</x:v>
      </x:c>
      <x:c r="E2259" s="25" t="str">
        <x:v>$5.99</x:v>
      </x:c>
      <x:c r="F2259" s="19" t="str">
        <x:v>1</x:v>
      </x:c>
    </x:row>
    <x:row r="2260" ht="93" customHeight="1">
      <x:c r="A2260" s="19" t="n">
        <x:v>2257</x:v>
      </x:c>
      <x:c r="B2260" s="22" t="e">
        <x:f>HYPERLINK("https://cdn.shopify.com/s/files/1/0918/6066/4603/files/O1CN01a8cb8H2MQzdysFlQJ__2219089449823-0-cib.jpg?v=1767944884","Open")</x:f>
        <x:v>HYPERLINK is not implemented. linkLocation=https://cdn.shopify.com/s/files/1/0918/6066/4603/files/O1CN01a8cb8H2MQzdysFlQJ__2219089449823-0-cib.jpg?v=1767944884, friendlyName=Open</x:v>
      </x:c>
      <x:c r="C2260" s="24" t="e">
        <x:f>HYPERLINK("https://365nails.com/products/blue-marble-heart-crystal-glam-press-on-nails","Blue Marble Heart Crystal Glam Press On Nails")</x:f>
        <x:v>HYPERLINK is not implemented. linkLocation=https://365nails.com/products/blue-marble-heart-crystal-glam-press-on-nails, friendlyName=Blue Marble Heart Crystal Glam Press On Nails</x:v>
      </x:c>
      <x:c r="D2260" s="18" t="str">
        <x:v>Color: K003; Color classification: S / M / L; Length: 5cm</x:v>
      </x:c>
      <x:c r="E2260" s="25" t="str">
        <x:v>$3.99</x:v>
      </x:c>
      <x:c r="F2260" s="19" t="str">
        <x:v>1</x:v>
      </x:c>
    </x:row>
    <x:row r="2261" ht="93" customHeight="1">
      <x:c r="A2261" s="19" t="n">
        <x:v>2258</x:v>
      </x:c>
      <x:c r="B2261" s="22" t="e">
        <x:f>HYPERLINK("https://cdn.shopify.com/s/files/1/0918/6066/4603/files/O1CN01l9WZgI2MQzdtLGwtH__2219089449823-0-cib_6c51571c-c722-483f-8024-5601c444bb93.jpg?v=1767944973","Open")</x:f>
        <x:v>HYPERLINK is not implemented. linkLocation=https://cdn.shopify.com/s/files/1/0918/6066/4603/files/O1CN01l9WZgI2MQzdtLGwtH__2219089449823-0-cib_6c51571c-c722-483f-8024-5601c444bb93.jpg?v=1767944973, friendlyName=Open</x:v>
      </x:c>
      <x:c r="C2261" s="24" t="e">
        <x:f>HYPERLINK("https://365nails.com/products/blue-white-pearl-bow-elegant-press-on-nails","Blue White Pearl Bow Elegant Press On Nails")</x:f>
        <x:v>HYPERLINK is not implemented. linkLocation=https://365nails.com/products/blue-white-pearl-bow-elegant-press-on-nails, friendlyName=Blue White Pearl Bow Elegant Press On Nails</x:v>
      </x:c>
      <x:c r="D2261" s="18" t="str">
        <x:v>Color: Jsb01    1; Color classification: S / M / L; Length: 5cm</x:v>
      </x:c>
      <x:c r="E2261" s="25" t="str">
        <x:v>$6.99</x:v>
      </x:c>
      <x:c r="F2261" s="19" t="str">
        <x:v>1</x:v>
      </x:c>
    </x:row>
    <x:row r="2262" ht="93" customHeight="1">
      <x:c r="A2262" s="19" t="n">
        <x:v>2259</x:v>
      </x:c>
      <x:c r="B2262" s="22" t="e">
        <x:f>HYPERLINK("https://cdn.shopify.com/s/files/1/0918/6066/4603/files/O1CN01L8BuUf2MQzdTgVXoK__2219089449823-0-cib.jpg?v=1767627962","Open")</x:f>
        <x:v>HYPERLINK is not implemented. linkLocation=https://cdn.shopify.com/s/files/1/0918/6066/4603/files/O1CN01L8BuUf2MQzdTgVXoK__2219089449823-0-cib.jpg?v=1767627962, friendlyName=Open</x:v>
      </x:c>
      <x:c r="C2262" s="24" t="e">
        <x:f>HYPERLINK("https://365nails.com/products/pastel-star-crystal-sweet-press-on-nail-set","Pastel Star Crystal Sweet Press On Nail Set")</x:f>
        <x:v>HYPERLINK is not implemented. linkLocation=https://365nails.com/products/pastel-star-crystal-sweet-press-on-nail-set, friendlyName=Pastel Star Crystal Sweet Press On Nail Set</x:v>
      </x:c>
      <x:c r="D2262" s="18" t="str">
        <x:v>Color: Jsa23; Color classification: XS / S / M / L</x:v>
      </x:c>
      <x:c r="E2262" s="25" t="str">
        <x:v>$5.99</x:v>
      </x:c>
      <x:c r="F2262" s="19" t="str">
        <x:v>1</x:v>
      </x:c>
    </x:row>
    <x:row r="2263" ht="93" customHeight="1">
      <x:c r="A2263" s="19" t="n">
        <x:v>2260</x:v>
      </x:c>
      <x:c r="B2263" s="22" t="e">
        <x:f>HYPERLINK("https://cdn.shopify.com/s/files/1/0918/6066/4603/files/O1CN01TIKwg922SYgDNLfkC__2219370087119-0-cib_742d5bee-4d22-45ab-9e7d-243173ac47c7.jpg?v=1767236695","Open")</x:f>
        <x:v>HYPERLINK is not implemented. linkLocation=https://cdn.shopify.com/s/files/1/0918/6066/4603/files/O1CN01TIKwg922SYgDNLfkC__2219370087119-0-cib_742d5bee-4d22-45ab-9e7d-243173ac47c7.jpg?v=1767236695, friendlyName=Open</x:v>
      </x:c>
      <x:c r="C2263" s="24" t="e">
        <x:f>HYPERLINK("https://365nails.com/products/blush-y2k-crystal-bow-press-on-nails","Blush Y2K Crystal Bow Press On Nails")</x:f>
        <x:v>HYPERLINK is not implemented. linkLocation=https://365nails.com/products/blush-y2k-crystal-bow-press-on-nails, friendlyName=Blush Y2K Crystal Bow Press On Nails</x:v>
      </x:c>
      <x:c r="D2263" s="18" t="str">
        <x:v>Color: L (1.7/1.3/1.4/1.3/1.1)cm / M (1.6/1.2/1.3/1.2/1.0)cm / S (1.5/1.1/1.2/1.1/0.9)cm</x:v>
      </x:c>
      <x:c r="E2263" s="25" t="str">
        <x:v>$4.99</x:v>
      </x:c>
      <x:c r="F2263" s="19" t="str">
        <x:v>30</x:v>
      </x:c>
    </x:row>
    <x:row r="2264" ht="93" customHeight="1">
      <x:c r="A2264" s="19" t="n">
        <x:v>2261</x:v>
      </x:c>
      <x:c r="B2264" s="22" t="e">
        <x:f>HYPERLINK("https://cdn.shopify.com/s/files/1/0918/6066/4603/files/5dbd444213a4a494f8ad9498b1050221.jpg?v=1767524316","Open")</x:f>
        <x:v>HYPERLINK is not implemented. linkLocation=https://cdn.shopify.com/s/files/1/0918/6066/4603/files/5dbd444213a4a494f8ad9498b1050221.jpg?v=1767524316, friendlyName=Open</x:v>
      </x:c>
      <x:c r="C2264" s="24" t="e">
        <x:f>HYPERLINK("https://365nails.com/products/luxury-drawer-jewelry-packaging-gift-box","Luxury Drawer Jewelry Packaging Gift Box (MOQ=10)")</x:f>
        <x:v>HYPERLINK is not implemented. linkLocation=https://365nails.com/products/luxury-drawer-jewelry-packaging-gift-box, friendlyName=Luxury Drawer Jewelry Packaging Gift Box (MOQ=10)</x:v>
      </x:c>
      <x:c r="D2264" s="18" t="str">
        <x:v>Specifications and models: Snow white (three-in-one); 9*9*3.5cm / Off-white (three-in-one); 9*9*3.5cm / Xuanhei (three-in-one); 9*9*3.5cm / Vermilion (three-in-one); 9*9*3.5cm / Spring tea green (three-in-one b); 9*9*3.5cm / Candy powder (three-in-one b); 9*9*3.5cm / Pink (three-in-one b); 9*9*3.5cm / Violet (three-in-one b); 9*9*3.5cm; Quantity: 10pcs</x:v>
      </x:c>
      <x:c r="E2264" s="25" t="str">
        <x:v>$6.30</x:v>
      </x:c>
      <x:c r="F2264" s="19" t="str">
        <x:v>1</x:v>
      </x:c>
    </x:row>
    <x:row r="2265" ht="93" customHeight="1">
      <x:c r="A2265" s="19" t="n">
        <x:v>2262</x:v>
      </x:c>
      <x:c r="B2265" s="22" t="e">
        <x:f>HYPERLINK("https://cdn.shopify.com/s/files/1/0918/6066/4603/files/f34c655aea1ea28ebff3d9168dca6116.jpg?v=1766722430","Open")</x:f>
        <x:v>HYPERLINK is not implemented. linkLocation=https://cdn.shopify.com/s/files/1/0918/6066/4603/files/f34c655aea1ea28ebff3d9168dca6116.jpg?v=1766722430, friendlyName=Open</x:v>
      </x:c>
      <x:c r="C2265" s="24" t="e">
        <x:f>HYPERLINK("https://365nails.com/products/clear-long-square-nail-extension-tips-mold-set","Clear Long Square Nail Extension Tips Mold Set (MOQ=3)")</x:f>
        <x:v>HYPERLINK is not implemented. linkLocation=https://365nails.com/products/clear-long-square-nail-extension-tips-mold-set, friendlyName=Clear Long Square Nail Extension Tips Mold Set (MOQ=3)</x:v>
      </x:c>
      <x:c r="D2265" s="18" t="str">
        <x:v>Color: JM-63 * 150 pieces; Quantity: 3pcs</x:v>
      </x:c>
      <x:c r="E2265" s="25" t="str">
        <x:v>$4.29</x:v>
      </x:c>
      <x:c r="F2265" s="19" t="str">
        <x:v>1</x:v>
      </x:c>
    </x:row>
    <x:row r="2266" ht="93" customHeight="1">
      <x:c r="A2266" s="19" t="n">
        <x:v>2263</x:v>
      </x:c>
      <x:c r="B2266" s="22" t="e">
        <x:f>HYPERLINK("https://cdn.shopify.com/s/files/1/0918/6066/4603/files/O1CN01DaWozp1nYJNejgKLH__2217958295101-0-cib.jpg?v=1766294061","Open")</x:f>
        <x:v>HYPERLINK is not implemented. linkLocation=https://cdn.shopify.com/s/files/1/0918/6066/4603/files/O1CN01DaWozp1nYJNejgKLH__2217958295101-0-cib.jpg?v=1766294061, friendlyName=Open</x:v>
      </x:c>
      <x:c r="C2266" s="24" t="e">
        <x:f>HYPERLINK("https://365nails.com/products/cute-pastel-bear-flower-kids-press-on-nails-set","Cute Pastel Bear Flower Kids Press On Nails Set")</x:f>
        <x:v>HYPERLINK is not implemented. linkLocation=https://365nails.com/products/cute-pastel-bear-flower-kids-press-on-nails-set, friendlyName=Cute Pastel Bear Flower Kids Press On Nails Set</x:v>
      </x:c>
      <x:c r="D2266" s="18" t="str">
        <x:v>Color: Shirley Mei Fat Rabbit 036; Color classification: XS / S / M / L</x:v>
      </x:c>
      <x:c r="E2266" s="25" t="str">
        <x:v>$2.49</x:v>
      </x:c>
      <x:c r="F2266" s="19" t="str">
        <x:v>1</x:v>
      </x:c>
    </x:row>
    <x:row r="2267" ht="93" customHeight="1">
      <x:c r="A2267" s="19" t="n">
        <x:v>2264</x:v>
      </x:c>
      <x:c r="B2267" s="22" t="e">
        <x:f>HYPERLINK("https://cdn.shopify.com/s/files/1/0918/6066/4603/files/O1CN01Qybp7I1nYJNdhB2ot__2217958295101-0-cib.jpg?v=1766293347","Open")</x:f>
        <x:v>HYPERLINK is not implemented. linkLocation=https://cdn.shopify.com/s/files/1/0918/6066/4603/files/O1CN01Qybp7I1nYJNdhB2ot__2217958295101-0-cib.jpg?v=1766293347, friendlyName=Open</x:v>
      </x:c>
      <x:c r="C2267" s="24" t="e">
        <x:f>HYPERLINK("https://365nails.com/products/princess-blue-love-yarn-kids-press-on-nails-with-glitter","Princess Blue Love Yarn Kids Press On Nails with Glitter")</x:f>
        <x:v>HYPERLINK is not implemented. linkLocation=https://365nails.com/products/princess-blue-love-yarn-kids-press-on-nails-with-glitter, friendlyName=Princess Blue Love Yarn Kids Press On Nails with Glitter</x:v>
      </x:c>
      <x:c r="D2267" s="18" t="str">
        <x:v>Color: 068 Princess blue love yarn; Color classification: Extra small XS (2-3 years old) / Small S (4-6 years old) / Medium M (7-8 years old) / Large L (9-12 years old)</x:v>
      </x:c>
      <x:c r="E2267" s="25" t="str">
        <x:v>$1.99</x:v>
      </x:c>
      <x:c r="F2267" s="19" t="str">
        <x:v>1</x:v>
      </x:c>
    </x:row>
    <x:row r="2268" ht="93" customHeight="1">
      <x:c r="A2268" s="19" t="n">
        <x:v>2265</x:v>
      </x:c>
      <x:c r="B2268" s="22" t="e">
        <x:f>HYPERLINK("https://cdn.shopify.com/s/files/1/0918/6066/4603/files/O1CN01CYuHbU2MQzdw2QXAX__2219089449823-0-cib_cfaa5129-ab45-47ab-b95c-701d4726cc8a.jpg?v=1767945118","Open")</x:f>
        <x:v>HYPERLINK is not implemented. linkLocation=https://cdn.shopify.com/s/files/1/0918/6066/4603/files/O1CN01CYuHbU2MQzdw2QXAX__2219089449823-0-cib_cfaa5129-ab45-47ab-b95c-701d4726cc8a.jpg?v=1767945118, friendlyName=Open</x:v>
      </x:c>
      <x:c r="C2268" s="24" t="e">
        <x:f>HYPERLINK("https://365nails.com/products/mocha-star-playful-glossy-press-on-nails","Mocha Star Playful Glossy Press On Nails")</x:f>
        <x:v>HYPERLINK is not implemented. linkLocation=https://365nails.com/products/mocha-star-playful-glossy-press-on-nails, friendlyName=Mocha Star Playful Glossy Press On Nails</x:v>
      </x:c>
      <x:c r="D2268" s="18" t="str">
        <x:v>Color: Jsa07; Color classification: S / M / L; Length: 4cm</x:v>
      </x:c>
      <x:c r="E2268" s="25" t="str">
        <x:v>$5.99</x:v>
      </x:c>
      <x:c r="F2268" s="19" t="str">
        <x:v>1</x:v>
      </x:c>
    </x:row>
    <x:row r="2269" ht="93" customHeight="1">
      <x:c r="A2269" s="19" t="n">
        <x:v>2266</x:v>
      </x:c>
      <x:c r="B2269" s="22" t="e">
        <x:f>HYPERLINK("https://cdn.shopify.com/s/files/1/0918/6066/4603/files/O1CN01qkYQC22Hxu2SDrUjn__2214169509218-0-cib.jpg?v=1764229039","Open")</x:f>
        <x:v>HYPERLINK is not implemented. linkLocation=https://cdn.shopify.com/s/files/1/0918/6066/4603/files/O1CN01qkYQC22Hxu2SDrUjn__2214169509218-0-cib.jpg?v=1764229039, friendlyName=Open</x:v>
      </x:c>
      <x:c r="C2269" s="24" t="e">
        <x:f>HYPERLINK("https://365nails.com/products/red-gradient-floral-white-tip-cute-elegant-press-on-nails","Red Gradient Floral White Tip Cute Elegant Press On Nails")</x:f>
        <x:v>HYPERLINK is not implemented. linkLocation=https://365nails.com/products/red-gradient-floral-white-tip-cute-elegant-press-on-nails, friendlyName=Red Gradient Floral White Tip Cute Elegant Press On Nails</x:v>
      </x:c>
      <x:c r="D2269" s="18" t="str">
        <x:v>shape: 900-Medium almonds; size: Extra small XS / S / M M / Large L</x:v>
      </x:c>
      <x:c r="E2269" s="25" t="str">
        <x:v>$3.99</x:v>
      </x:c>
      <x:c r="F2269" s="19" t="str">
        <x:v>1</x:v>
      </x:c>
    </x:row>
    <x:row r="2270" ht="93" customHeight="1">
      <x:c r="A2270" s="19" t="n">
        <x:v>2267</x:v>
      </x:c>
      <x:c r="B2270" s="22" t="e">
        <x:f>HYPERLINK("https://cdn.shopify.com/s/files/1/0918/6066/4603/files/O1CN01RhS0JH2MQzefO3lXI__2219089449823-0-cib.jpg?v=1767946080","Open")</x:f>
        <x:v>HYPERLINK is not implemented. linkLocation=https://cdn.shopify.com/s/files/1/0918/6066/4603/files/O1CN01RhS0JH2MQzefO3lXI__2219089449823-0-cib.jpg?v=1767946080, friendlyName=Open</x:v>
      </x:c>
      <x:c r="C2270" s="24" t="e">
        <x:f>HYPERLINK("https://365nails.com/products/pink-teddy-bear-heart-charm-statement-press-on-nails","Pink Teddy Bear Heart Charm Statement Press On Nails")</x:f>
        <x:v>HYPERLINK is not implemented. linkLocation=https://365nails.com/products/pink-teddy-bear-heart-charm-statement-press-on-nails, friendlyName=Pink Teddy Bear Heart Charm Statement Press On Nails</x:v>
      </x:c>
      <x:c r="D2270" s="18" t="str">
        <x:v>Color: M025; Color classification: S / M / L; Length: 5cm</x:v>
      </x:c>
      <x:c r="E2270" s="25" t="str">
        <x:v>$5.99</x:v>
      </x:c>
      <x:c r="F2270" s="19" t="str">
        <x:v>1</x:v>
      </x:c>
    </x:row>
    <x:row r="2271" ht="93" customHeight="1">
      <x:c r="A2271" s="19" t="n">
        <x:v>2268</x:v>
      </x:c>
      <x:c r="B2271" s="22" t="e">
        <x:f>HYPERLINK("https://cdn.shopify.com/s/files/1/0918/6066/4603/files/O1CN01CBsKkU2MQzdZ05b4k__2219089449823-0-cib.jpg?v=1767943039","Open")</x:f>
        <x:v>HYPERLINK is not implemented. linkLocation=https://cdn.shopify.com/s/files/1/0918/6066/4603/files/O1CN01CBsKkU2MQzdZ05b4k__2219089449823-0-cib.jpg?v=1767943039, friendlyName=Open</x:v>
      </x:c>
      <x:c r="C2271" s="24" t="e">
        <x:f>HYPERLINK("https://365nails.com/products/cherry-garden-french-crystal-press-on-nail-set","Cherry Garden French Crystal Press On Nail Set")</x:f>
        <x:v>HYPERLINK is not implemented. linkLocation=https://365nails.com/products/cherry-garden-french-crystal-press-on-nail-set, friendlyName=Cherry Garden French Crystal Press On Nail Set</x:v>
      </x:c>
      <x:c r="D2271" s="18" t="str">
        <x:v>Color: N005; Color classification: XS / S / M / L; Length: 5cm</x:v>
      </x:c>
      <x:c r="E2271" s="25" t="str">
        <x:v>$6.99</x:v>
      </x:c>
      <x:c r="F2271" s="19" t="str">
        <x:v>1</x:v>
      </x:c>
    </x:row>
    <x:row r="2272" ht="93" customHeight="1">
      <x:c r="A2272" s="19" t="n">
        <x:v>2269</x:v>
      </x:c>
      <x:c r="B2272" s="22" t="e">
        <x:f>HYPERLINK("https://cdn.shopify.com/s/files/1/0918/6066/4603/files/O1CN01KC6AGY2MQzdAUnbwz__2219089449823-0-cib.jpg?v=1767627645","Open")</x:f>
        <x:v>HYPERLINK is not implemented. linkLocation=https://cdn.shopify.com/s/files/1/0918/6066/4603/files/O1CN01KC6AGY2MQzdAUnbwz__2219089449823-0-cib.jpg?v=1767627645, friendlyName=Open</x:v>
      </x:c>
      <x:c r="C2272" s="24" t="e">
        <x:f>HYPERLINK("https://365nails.com/products/pastel-dream-bow-sculpted-press-on-nail-set","Pastel Dream Bow Sculpted Press On Nail Set")</x:f>
        <x:v>HYPERLINK is not implemented. linkLocation=https://365nails.com/products/pastel-dream-bow-sculpted-press-on-nail-set, friendlyName=Pastel Dream Bow Sculpted Press On Nail Set</x:v>
      </x:c>
      <x:c r="D2272" s="18" t="str">
        <x:v>Color: Js b21; Color classification: XS / S / M / L</x:v>
      </x:c>
      <x:c r="E2272" s="25" t="str">
        <x:v>$6.99</x:v>
      </x:c>
      <x:c r="F2272" s="19" t="str">
        <x:v>1</x:v>
      </x:c>
    </x:row>
    <x:row r="2273" ht="93" customHeight="1">
      <x:c r="A2273" s="19" t="n">
        <x:v>2270</x:v>
      </x:c>
      <x:c r="B2273" s="22" t="e">
        <x:f>HYPERLINK("https://cdn.shopify.com/s/files/1/0918/6066/4603/files/O1CN01JoWaqj1nYJNcGdqhx__2217958295101-0-cib.jpg?v=1766297826","Open")</x:f>
        <x:v>HYPERLINK is not implemented. linkLocation=https://cdn.shopify.com/s/files/1/0918/6066/4603/files/O1CN01JoWaqj1nYJNcGdqhx__2217958295101-0-cib.jpg?v=1766297826, friendlyName=Open</x:v>
      </x:c>
      <x:c r="C2273" s="24" t="e">
        <x:f>HYPERLINK("https://365nails.com/products/fart-peach-rainbow-pastel-cute-kids-press-on-nails","Fart Peach Rainbow Pastel Cute Kids Press On Nails")</x:f>
        <x:v>HYPERLINK is not implemented. linkLocation=https://365nails.com/products/fart-peach-rainbow-pastel-cute-kids-press-on-nails, friendlyName=Fart Peach Rainbow Pastel Cute Kids Press On Nails</x:v>
      </x:c>
      <x:c r="D2273" s="18" t="str">
        <x:v>Color: Fart Peach Rainbow 025; Color classification: XS (2-3 years old) / S (4-6 years old) / M (7-8 years old) / L (9-12 years old)</x:v>
      </x:c>
      <x:c r="E2273" s="25" t="str">
        <x:v>$2.49</x:v>
      </x:c>
      <x:c r="F2273" s="19" t="str">
        <x:v>1</x:v>
      </x:c>
    </x:row>
    <x:row r="2274" ht="93" customHeight="1">
      <x:c r="A2274" s="19" t="n">
        <x:v>2271</x:v>
      </x:c>
      <x:c r="B2274" s="22" t="e">
        <x:f>HYPERLINK("https://cdn.shopify.com/s/files/1/0918/6066/4603/files/O1CN01e4XopF22SYgCkZVj8__2219370087119-0-cib.jpg?v=1767094147","Open")</x:f>
        <x:v>HYPERLINK is not implemented. linkLocation=https://cdn.shopify.com/s/files/1/0918/6066/4603/files/O1CN01e4XopF22SYgCkZVj8__2219370087119-0-cib.jpg?v=1767094147, friendlyName=Open</x:v>
      </x:c>
      <x:c r="C2274" s="24" t="e">
        <x:f>HYPERLINK("https://365nails.com/products/pink-jelly-french-nails-with-bear-and-butterfly-accents","Pink Jelly French Nails with Bear and Butterfly Accents")</x:f>
        <x:v>HYPERLINK is not implemented. linkLocation=https://365nails.com/products/pink-jelly-french-nails-with-bear-and-butterfly-accents, friendlyName=Pink Jelly French Nails with Bear and Butterfly Accents</x:v>
      </x:c>
      <x:c r="D2274" s="18" t="str">
        <x:v>Color: L / M / S</x:v>
      </x:c>
      <x:c r="E2274" s="25" t="str">
        <x:v>$5.49</x:v>
      </x:c>
      <x:c r="F2274" s="19" t="str">
        <x:v>30</x:v>
      </x:c>
    </x:row>
    <x:row r="2275" ht="93" customHeight="1">
      <x:c r="A2275" s="19" t="n">
        <x:v>2272</x:v>
      </x:c>
      <x:c r="B2275" s="22" t="e">
        <x:f>HYPERLINK("https://cdn.shopify.com/s/files/1/0918/6066/4603/files/O1CN01De2mUw1nYJNdYT0hZ__2217958295101-0-cib.jpg?v=1766294730","Open")</x:f>
        <x:v>HYPERLINK is not implemented. linkLocation=https://cdn.shopify.com/s/files/1/0918/6066/4603/files/O1CN01De2mUw1nYJNdYT0hZ__2217958295101-0-cib.jpg?v=1766294730, friendlyName=Open</x:v>
      </x:c>
      <x:c r="C2275" s="24" t="e">
        <x:f>HYPERLINK("https://365nails.com/products/pudding-dog-popcorn-cute-kids-press-on-nails-set","Pudding Dog Popcorn Cute Kids Press On Nails Set")</x:f>
        <x:v>HYPERLINK is not implemented. linkLocation=https://365nails.com/products/pudding-dog-popcorn-cute-kids-press-on-nails-set, friendlyName=Pudding Dog Popcorn Cute Kids Press On Nails Set</x:v>
      </x:c>
      <x:c r="D2275" s="18" t="str">
        <x:v>Color: 054 pudding dog popcorn; Color classification: XS extra small (2-3 years old) / S small (4-6 years old) / M medium (7-8 years old) / L large (9-12 years old)</x:v>
      </x:c>
      <x:c r="E2275" s="25" t="str">
        <x:v>$2.49</x:v>
      </x:c>
      <x:c r="F2275" s="19" t="str">
        <x:v>1</x:v>
      </x:c>
    </x:row>
    <x:row r="2276" ht="93" customHeight="1">
      <x:c r="A2276" s="19" t="n">
        <x:v>2273</x:v>
      </x:c>
      <x:c r="B2276" s="22" t="e">
        <x:f>HYPERLINK("https://cdn.shopify.com/s/files/1/0918/6066/4603/files/O1CN0134fGyP1nYJNdTqXqI__2217958295101-0-cib.jpg?v=1766293098","Open")</x:f>
        <x:v>HYPERLINK is not implemented. linkLocation=https://cdn.shopify.com/s/files/1/0918/6066/4603/files/O1CN0134fGyP1nYJNdTqXqI__2217958295101-0-cib.jpg?v=1766293098, friendlyName=Open</x:v>
      </x:c>
      <x:c r="C2276" s="24" t="e">
        <x:f>HYPERLINK("https://365nails.com/products/rainbow-star-kids-press-on-nails-with-pastel-glitter","Rainbow Star Kids Press On Nails with Pastel Glitter")</x:f>
        <x:v>HYPERLINK is not implemented. linkLocation=https://365nails.com/products/rainbow-star-kids-press-on-nails-with-pastel-glitter, friendlyName=Rainbow Star Kids Press On Nails with Pastel Glitter</x:v>
      </x:c>
      <x:c r="D2276" s="18" t="str">
        <x:v>Color: Rainbow Star 012; Color classification: XS (2-3 years old) / S (4-6 years old) / M (7-8 years old) / L (9-12 years old)</x:v>
      </x:c>
      <x:c r="E2276" s="25" t="str">
        <x:v>$2.49</x:v>
      </x:c>
      <x:c r="F2276" s="19" t="str">
        <x:v>1</x:v>
      </x:c>
    </x:row>
    <x:row r="2277" ht="93" customHeight="1">
      <x:c r="A2277" s="19" t="n">
        <x:v>2274</x:v>
      </x:c>
      <x:c r="B2277" s="22" t="e">
        <x:f>HYPERLINK("https://cdn.shopify.com/s/files/1/0918/6066/4603/files/O1CN01Cx7miL2MQzdmFHW35__2219089449823-0-cib_b48b3b56-7f84-4a28-a1e3-d965aedd7ea0.jpg?v=1767944775","Open")</x:f>
        <x:v>HYPERLINK is not implemented. linkLocation=https://cdn.shopify.com/s/files/1/0918/6066/4603/files/O1CN01Cx7miL2MQzdmFHW35__2219089449823-0-cib_b48b3b56-7f84-4a28-a1e3-d965aedd7ea0.jpg?v=1767944775, friendlyName=Open</x:v>
      </x:c>
      <x:c r="C2277" s="24" t="e">
        <x:f>HYPERLINK("https://365nails.com/products/soft-gradient-floral-dotted-elegant-press-on-nails","Soft Gradient Floral Dotted Elegant Press On Nails")</x:f>
        <x:v>HYPERLINK is not implemented. linkLocation=https://365nails.com/products/soft-gradient-floral-dotted-elegant-press-on-nails, friendlyName=Soft Gradient Floral Dotted Elegant Press On Nails</x:v>
      </x:c>
      <x:c r="D2277" s="18" t="str">
        <x:v>Color: Jsb02    1; Color classification: S / M / L; Length: 5cm</x:v>
      </x:c>
      <x:c r="E2277" s="25" t="str">
        <x:v>$6.99</x:v>
      </x:c>
      <x:c r="F2277" s="19" t="str">
        <x:v>1</x:v>
      </x:c>
    </x:row>
    <x:row r="2278" ht="93" customHeight="1">
      <x:c r="A2278" s="19" t="n">
        <x:v>2275</x:v>
      </x:c>
      <x:c r="B2278" s="22" t="e">
        <x:f>HYPERLINK("https://cdn.shopify.com/s/files/1/0918/6066/4603/files/O1CN013dwF142MQzdwmx0qV__2219089449823-0-cib_1add4c4a-dd14-4bfd-8323-0e306f9f6650.jpg?v=1767835959","Open")</x:f>
        <x:v>HYPERLINK is not implemented. linkLocation=https://cdn.shopify.com/s/files/1/0918/6066/4603/files/O1CN013dwF142MQzdwmx0qV__2219089449823-0-cib_1add4c4a-dd14-4bfd-8323-0e306f9f6650.jpg?v=1767835959, friendlyName=Open</x:v>
      </x:c>
      <x:c r="C2278" s="24" t="e">
        <x:f>HYPERLINK("https://365nails.com/products/sweet-cherry-gradient-playful-press-on-nails","Sweet Cherry Gradient Playful Press On Nails")</x:f>
        <x:v>HYPERLINK is not implemented. linkLocation=https://365nails.com/products/sweet-cherry-gradient-playful-press-on-nails, friendlyName=Sweet Cherry Gradient Playful Press On Nails</x:v>
      </x:c>
      <x:c r="D2278" s="18" t="str">
        <x:v>Color: Jsa06; Color classification: S / M / L; Length: 4cm</x:v>
      </x:c>
      <x:c r="E2278" s="25" t="str">
        <x:v>$5.99</x:v>
      </x:c>
      <x:c r="F2278" s="19" t="str">
        <x:v>1</x:v>
      </x:c>
    </x:row>
    <x:row r="2279" ht="93" customHeight="1">
      <x:c r="A2279" s="19" t="n">
        <x:v>2276</x:v>
      </x:c>
      <x:c r="B2279" s="22" t="e">
        <x:f>HYPERLINK("https://cdn.shopify.com/s/files/1/0918/6066/4603/files/O1CN01aBdiKG2MQzeN4dIfn__2219089449823-0-cib.jpg?v=1767945816","Open")</x:f>
        <x:v>HYPERLINK is not implemented. linkLocation=https://cdn.shopify.com/s/files/1/0918/6066/4603/files/O1CN01aBdiKG2MQzeN4dIfn__2219089449823-0-cib.jpg?v=1767945816, friendlyName=Open</x:v>
      </x:c>
      <x:c r="C2279" s="24" t="e">
        <x:f>HYPERLINK("https://365nails.com/products/pink-black-baroque-jewel-statement-press-on-nails","Pink Black Baroque Jewel Statement Press On Nails")</x:f>
        <x:v>HYPERLINK is not implemented. linkLocation=https://365nails.com/products/pink-black-baroque-jewel-statement-press-on-nails, friendlyName=Pink Black Baroque Jewel Statement Press On Nails</x:v>
      </x:c>
      <x:c r="D2279" s="18" t="str">
        <x:v>Color: M080; Color classification: S / M / L; Length: 5cm</x:v>
      </x:c>
      <x:c r="E2279" s="25" t="str">
        <x:v>$5.99</x:v>
      </x:c>
      <x:c r="F2279" s="19" t="str">
        <x:v>1</x:v>
      </x:c>
    </x:row>
    <x:row r="2280" ht="93" customHeight="1">
      <x:c r="A2280" s="19" t="n">
        <x:v>2277</x:v>
      </x:c>
      <x:c r="B2280" s="22" t="e">
        <x:f>HYPERLINK("https://cdn.shopify.com/s/files/1/0918/6066/4603/files/O1CN01xiJALi22SYgCihMx8__2219370087119-0-cib.jpg?v=1767096659","Open")</x:f>
        <x:v>HYPERLINK is not implemented. linkLocation=https://cdn.shopify.com/s/files/1/0918/6066/4603/files/O1CN01xiJALi22SYgCihMx8__2219370087119-0-cib.jpg?v=1767096659, friendlyName=Open</x:v>
      </x:c>
      <x:c r="C2280" s="24" t="e">
        <x:f>HYPERLINK("https://365nails.com/products/tiger-stripe-stiletto-nails-with-floral-accent-details","Tiger Stripe Stiletto Nails with Floral Accent Details")</x:f>
        <x:v>HYPERLINK is not implemented. linkLocation=https://365nails.com/products/tiger-stripe-stiletto-nails-with-floral-accent-details, friendlyName=Tiger Stripe Stiletto Nails with Floral Accent Details</x:v>
      </x:c>
      <x:c r="D2280" s="18" t="str">
        <x:v>Color: L (1.7/1.3/1.4/1.3/1.1)cm / M (1.6/1.2/1.3/1.2/1.0)cm / S (1.5/1.1/1.2/1.1/0.9)cm</x:v>
      </x:c>
      <x:c r="E2280" s="25" t="str">
        <x:v>$4.99</x:v>
      </x:c>
      <x:c r="F2280" s="19" t="str">
        <x:v>30</x:v>
      </x:c>
    </x:row>
    <x:row r="2281" ht="93" customHeight="1">
      <x:c r="A2281" s="19" t="n">
        <x:v>2278</x:v>
      </x:c>
      <x:c r="B2281" s="22" t="e">
        <x:f>HYPERLINK("https://cdn.shopify.com/s/files/1/0918/6066/4603/files/O1CN01RGntmq1nYJNds9KPU__2217958295101-0-cib.jpg?v=1766293986","Open")</x:f>
        <x:v>HYPERLINK is not implemented. linkLocation=https://cdn.shopify.com/s/files/1/0918/6066/4603/files/O1CN01RGntmq1nYJNds9KPU__2217958295101-0-cib.jpg?v=1766293986, friendlyName=Open</x:v>
      </x:c>
      <x:c r="C2281" s="24" t="e">
        <x:f>HYPERLINK("https://365nails.com/products/pink-heart-polka-cute-kids-press-on-nails-set","Pink Heart Polka Cute Kids Press On Nails Set")</x:f>
        <x:v>HYPERLINK is not implemented. linkLocation=https://365nails.com/products/pink-heart-polka-cute-kids-press-on-nails-set, friendlyName=Pink Heart Polka Cute Kids Press On Nails Set</x:v>
      </x:c>
      <x:c r="D2281" s="18" t="str">
        <x:v>Color: 064ins wind hand-painted model; Color classification: Extra small XS (2-3 years old) / Small S (4-6 years old) / Medium M (7-8 years old) / Large L (9-12 years old)</x:v>
      </x:c>
      <x:c r="E2281" s="25" t="str">
        <x:v>$2.49</x:v>
      </x:c>
      <x:c r="F2281" s="19" t="str">
        <x:v>1</x:v>
      </x:c>
    </x:row>
    <x:row r="2282" ht="93" customHeight="1">
      <x:c r="A2282" s="19" t="n">
        <x:v>2279</x:v>
      </x:c>
      <x:c r="B2282" s="22" t="e">
        <x:f>HYPERLINK("https://cdn.shopify.com/s/files/1/0918/6066/4603/files/O1CN01fiRehA2MQzd8aaFhL__2219089449823-0-cib_90665160-513d-4d14-ae36-26e1c534635b.jpg?v=1767942622","Open")</x:f>
        <x:v>HYPERLINK is not implemented. linkLocation=https://cdn.shopify.com/s/files/1/0918/6066/4603/files/O1CN01fiRehA2MQzd8aaFhL__2219089449823-0-cib_90665160-513d-4d14-ae36-26e1c534635b.jpg?v=1767942622, friendlyName=Open</x:v>
      </x:c>
      <x:c r="C2282" s="24" t="e">
        <x:f>HYPERLINK("https://365nails.com/products/neon-green-splatter-glossy-press-on-nail-set","Neon Green Splatter Glossy Press On Nail Set")</x:f>
        <x:v>HYPERLINK is not implemented. linkLocation=https://365nails.com/products/neon-green-splatter-glossy-press-on-nail-set, friendlyName=Neon Green Splatter Glossy Press On Nail Set</x:v>
      </x:c>
      <x:c r="D2282" s="18" t="str">
        <x:v>Color: K026; Color classification: XS / S / M / L</x:v>
      </x:c>
      <x:c r="E2282" s="25" t="str">
        <x:v>$3.99</x:v>
      </x:c>
      <x:c r="F2282" s="19" t="str">
        <x:v>1</x:v>
      </x:c>
    </x:row>
    <x:row r="2283" ht="93" customHeight="1">
      <x:c r="A2283" s="19" t="n">
        <x:v>2280</x:v>
      </x:c>
      <x:c r="B2283" s="22" t="e">
        <x:f>HYPERLINK("https://cdn.shopify.com/s/files/1/0918/6066/4603/files/O1CN01VrfgKA22SYgDktrLS__2219370087119-0-cib.jpg?v=1767237382","Open")</x:f>
        <x:v>HYPERLINK is not implemented. linkLocation=https://cdn.shopify.com/s/files/1/0918/6066/4603/files/O1CN01VrfgKA22SYgDktrLS__2219370087119-0-cib.jpg?v=1767237382, friendlyName=Open</x:v>
      </x:c>
      <x:c r="C2283" s="24" t="e">
        <x:f>HYPERLINK("https://365nails.com/products/neon-pink-duckbill-press-on-nails","Neon Pink Duckbill Press On Nails")</x:f>
        <x:v>HYPERLINK is not implemented. linkLocation=https://365nails.com/products/neon-pink-duckbill-press-on-nails, friendlyName=Neon Pink Duckbill Press On Nails</x:v>
      </x:c>
      <x:c r="D2283" s="18" t="str">
        <x:v>Color: Fluorescent rose red; Color classification: L (1.7/1.3/1.4/1.3/1.1)cm / M (1.6/1.2/1.3/1.2/1.0)cm / S (1.5/1.1/1.2/1.1/0.9)cm</x:v>
      </x:c>
      <x:c r="E2283" s="25" t="str">
        <x:v>$4.49</x:v>
      </x:c>
      <x:c r="F2283" s="19" t="str">
        <x:v>30</x:v>
      </x:c>
    </x:row>
    <x:row r="2284" ht="93" customHeight="1">
      <x:c r="A2284" s="19" t="n">
        <x:v>2281</x:v>
      </x:c>
      <x:c r="B2284" s="22" t="e">
        <x:f>HYPERLINK("https://cdn.shopify.com/s/files/1/0918/6066/4603/files/O1CN01LGswGH1nYJNeKnhTM__2217958295101-0-cib_83d036d4-a51e-47a6-a106-3e671094dee1.jpg?v=1766297536","Open")</x:f>
        <x:v>HYPERLINK is not implemented. linkLocation=https://cdn.shopify.com/s/files/1/0918/6066/4603/files/O1CN01LGswGH1nYJNeKnhTM__2217958295101-0-cib_83d036d4-a51e-47a6-a106-3e671094dee1.jpg?v=1766297536, friendlyName=Open</x:v>
      </x:c>
      <x:c r="C2284" s="24" t="e">
        <x:f>HYPERLINK("https://365nails.com/products/pudding-dog-lightning-cloud-cute-kids-press-on-nails","Pudding Dog Lightning Cloud Cute Kids Press On Nails")</x:f>
        <x:v>HYPERLINK is not implemented. linkLocation=https://365nails.com/products/pudding-dog-lightning-cloud-cute-kids-press-on-nails, friendlyName=Pudding Dog Lightning Cloud Cute Kids Press On Nails</x:v>
      </x:c>
      <x:c r="D2284" s="18" t="str">
        <x:v>Color: Pudding dog lightning cloud 051; Color classification: XS extra small 2-3 years old / S S 4-6 years old / M medium 7-8 years old / L large 9-12 years old</x:v>
      </x:c>
      <x:c r="E2284" s="25" t="str">
        <x:v>$1.99</x:v>
      </x:c>
      <x:c r="F2284" s="19" t="str">
        <x:v>1</x:v>
      </x:c>
    </x:row>
    <x:row r="2285" ht="93" customHeight="1">
      <x:c r="A2285" s="19" t="n">
        <x:v>2282</x:v>
      </x:c>
      <x:c r="B2285" s="22" t="e">
        <x:f>HYPERLINK("https://cdn.shopify.com/s/files/1/0918/6066/4603/files/O1CN01AYg6kk22SYgRpkyOI__2219370087119-0-cib.jpg?v=1767184778","Open")</x:f>
        <x:v>HYPERLINK is not implemented. linkLocation=https://cdn.shopify.com/s/files/1/0918/6066/4603/files/O1CN01AYg6kk22SYgRpkyOI__2219370087119-0-cib.jpg?v=1767184778, friendlyName=Open</x:v>
      </x:c>
      <x:c r="C2285" s="24" t="e">
        <x:f>HYPERLINK("https://365nails.com/products/purple-crystal-gem-luxury-statement-press-on-nails","Purple Crystal Gem Luxury Statement Press On Nails")</x:f>
        <x:v>HYPERLINK is not implemented. linkLocation=https://365nails.com/products/purple-crystal-gem-luxury-statement-press-on-nails, friendlyName=Purple Crystal Gem Luxury Statement Press On Nails</x:v>
      </x:c>
      <x:c r="D2285" s="18" t="str">
        <x:v>Color: L (1.7/1.3/1.4/1.3/1.1)cm / M (1.6/1.2/1.3/1.2/1.0)cm / S (1.5/1.1/1.2/1.1/0.9)cm</x:v>
      </x:c>
      <x:c r="E2285" s="25" t="str">
        <x:v>$5.99</x:v>
      </x:c>
      <x:c r="F2285" s="19" t="str">
        <x:v>30</x:v>
      </x:c>
    </x:row>
    <x:row r="2286" ht="93" customHeight="1">
      <x:c r="A2286" s="19" t="n">
        <x:v>2283</x:v>
      </x:c>
      <x:c r="B2286" s="22" t="e">
        <x:f>HYPERLINK("https://cdn.shopify.com/s/files/1/0918/6066/4603/files/O1CN01XLGknl1nYJNeOLbeo__2217958295101-0-cib_d83281a4-5891-406b-a8c6-fa6d223b9ff8.jpg?v=1766296829","Open")</x:f>
        <x:v>HYPERLINK is not implemented. linkLocation=https://cdn.shopify.com/s/files/1/0918/6066/4603/files/O1CN01XLGknl1nYJNeOLbeo__2217958295101-0-cib_d83281a4-5891-406b-a8c6-fa6d223b9ff8.jpg?v=1766296829, friendlyName=Open</x:v>
      </x:c>
      <x:c r="C2286" s="24" t="e">
        <x:f>HYPERLINK("https://365nails.com/products/rainbow-snowman-cute-kids-press-on-nails-holiday-set","Rainbow Snowman Cute Kids Press On Nails Holiday Set")</x:f>
        <x:v>HYPERLINK is not implemented. linkLocation=https://365nails.com/products/rainbow-snowman-cute-kids-press-on-nails-holiday-set, friendlyName=Rainbow Snowman Cute Kids Press On Nails Holiday Set</x:v>
      </x:c>
      <x:c r="D2286" s="18" t="str">
        <x:v>Color: Rainbow Snowman 116; Color classification: XS (2-3 years old) / S (4-6 years old) / M (7-8 years old) / L (9-12 years old)</x:v>
      </x:c>
      <x:c r="E2286" s="25" t="str">
        <x:v>$2.49</x:v>
      </x:c>
      <x:c r="F2286" s="19" t="str">
        <x:v>1</x:v>
      </x:c>
    </x:row>
    <x:row r="2287" ht="93" customHeight="1">
      <x:c r="A2287" s="19" t="n">
        <x:v>2284</x:v>
      </x:c>
      <x:c r="B2287" s="22" t="e">
        <x:f>HYPERLINK("https://cdn.shopify.com/s/files/1/0918/6066/4603/files/O1CN01jr4UwF1nYJNX6bjqI__2217958295101-0-cib_726b1d07-2aa2-4c60-b6ac-f36113d82c0f.jpg?v=1766294272","Open")</x:f>
        <x:v>HYPERLINK is not implemented. linkLocation=https://cdn.shopify.com/s/files/1/0918/6066/4603/files/O1CN01jr4UwF1nYJNX6bjqI__2217958295101-0-cib_726b1d07-2aa2-4c60-b6ac-f36113d82c0f.jpg?v=1766294272, friendlyName=Open</x:v>
      </x:c>
      <x:c r="C2287" s="24" t="e">
        <x:f>HYPERLINK("https://365nails.com/products/bubble-girl-cute-kids-press-on-nails-with-star-charms","Bubble Girl Cute Kids Press On Nails with Star Charms")</x:f>
        <x:v>HYPERLINK is not implemented. linkLocation=https://365nails.com/products/bubble-girl-cute-kids-press-on-nails-with-star-charms, friendlyName=Bubble Girl Cute Kids Press On Nails with Star Charms</x:v>
      </x:c>
      <x:c r="D2287" s="18" t="str">
        <x:v>Color: Xs (2-3 years old) / S (4-6 years old) / M (7-8 years old) / L (9-12 years old); Specification type: Bubble Girl 046</x:v>
      </x:c>
      <x:c r="E2287" s="25" t="str">
        <x:v>$1.99</x:v>
      </x:c>
      <x:c r="F2287" s="19" t="str">
        <x:v>1</x:v>
      </x:c>
    </x:row>
    <x:row r="2288" ht="93" customHeight="1">
      <x:c r="A2288" s="19" t="n">
        <x:v>2285</x:v>
      </x:c>
      <x:c r="B2288" s="22" t="e">
        <x:f>HYPERLINK("https://cdn.shopify.com/s/files/1/0918/6066/4603/files/O1CN01gdM5AM2MQzedmw5Yc__2219089449823-0-cib_28e46c8a-e27c-4879-a18a-18c90a66fa82.jpg?v=1767945854","Open")</x:f>
        <x:v>HYPERLINK is not implemented. linkLocation=https://cdn.shopify.com/s/files/1/0918/6066/4603/files/O1CN01gdM5AM2MQzedmw5Yc__2219089449823-0-cib_28e46c8a-e27c-4879-a18a-18c90a66fa82.jpg?v=1767945854, friendlyName=Open</x:v>
      </x:c>
      <x:c r="C2288" s="24" t="e">
        <x:f>HYPERLINK("https://365nails.com/products/coral-white-floral-crystal-elegant-press-on-nails","Coral White Floral Crystal Elegant Press On Nails")</x:f>
        <x:v>HYPERLINK is not implemented. linkLocation=https://365nails.com/products/coral-white-floral-crystal-elegant-press-on-nails, friendlyName=Coral White Floral Crystal Elegant Press On Nails</x:v>
      </x:c>
      <x:c r="D2288" s="18" t="str">
        <x:v>Color: L200; Color classification: S / M / L; Length: 5cm</x:v>
      </x:c>
      <x:c r="E2288" s="25" t="str">
        <x:v>$4.99</x:v>
      </x:c>
      <x:c r="F2288" s="19" t="str">
        <x:v>1</x:v>
      </x:c>
    </x:row>
    <x:row r="2289" ht="93" customHeight="1">
      <x:c r="A2289" s="19" t="n">
        <x:v>2286</x:v>
      </x:c>
      <x:c r="B2289" s="22" t="e">
        <x:f>HYPERLINK("https://cdn.shopify.com/s/files/1/0918/6066/4603/files/O1CN015MpypC2MQze1TNWyg__2219089449823-0-cib_cac17f01-823b-4941-bbe9-c165a4e8da34.jpg?v=1767946285","Open")</x:f>
        <x:v>HYPERLINK is not implemented. linkLocation=https://cdn.shopify.com/s/files/1/0918/6066/4603/files/O1CN015MpypC2MQze1TNWyg__2219089449823-0-cib_cac17f01-823b-4941-bbe9-c165a4e8da34.jpg?v=1767946285, friendlyName=Open</x:v>
      </x:c>
      <x:c r="C2289" s="24" t="e">
        <x:f>HYPERLINK("https://365nails.com/products/baroque-cherub-heart-crystal-press-on-nails","Baroque Cherub Heart Crystal Press On Nails")</x:f>
        <x:v>HYPERLINK is not implemented. linkLocation=https://365nails.com/products/baroque-cherub-heart-crystal-press-on-nails, friendlyName=Baroque Cherub Heart Crystal Press On Nails</x:v>
      </x:c>
      <x:c r="D2289" s="18" t="str">
        <x:v>Color: M087; Color classification: S / M / L; Length: 5cm</x:v>
      </x:c>
      <x:c r="E2289" s="25" t="str">
        <x:v>$5.99</x:v>
      </x:c>
      <x:c r="F2289" s="19" t="str">
        <x:v>1</x:v>
      </x:c>
    </x:row>
    <x:row r="2290" ht="93" customHeight="1">
      <x:c r="A2290" s="19" t="n">
        <x:v>2287</x:v>
      </x:c>
      <x:c r="B2290" s="22" t="e">
        <x:f>HYPERLINK("https://cdn.shopify.com/s/files/1/0918/6066/4603/files/O1CN01ifUypE2MQzdaBZZ3Z__2219089449823-0-cib.jpg?v=1767943142","Open")</x:f>
        <x:v>HYPERLINK is not implemented. linkLocation=https://cdn.shopify.com/s/files/1/0918/6066/4603/files/O1CN01ifUypE2MQzdaBZZ3Z__2219089449823-0-cib.jpg?v=1767943142, friendlyName=Open</x:v>
      </x:c>
      <x:c r="C2290" s="24" t="e">
        <x:f>HYPERLINK("https://365nails.com/products/rose-glitter-butterfly-crystal-press-on-nail-set","Rose Glitter Butterfly Crystal Press On Nail Set")</x:f>
        <x:v>HYPERLINK is not implemented. linkLocation=https://365nails.com/products/rose-glitter-butterfly-crystal-press-on-nail-set, friendlyName=Rose Glitter Butterfly Crystal Press On Nail Set</x:v>
      </x:c>
      <x:c r="D2290" s="18" t="str">
        <x:v>Color: M105; Color classification: XS / S / M / L; Length: 5cm</x:v>
      </x:c>
      <x:c r="E2290" s="25" t="str">
        <x:v>$5.99</x:v>
      </x:c>
      <x:c r="F2290" s="19" t="str">
        <x:v>1</x:v>
      </x:c>
    </x:row>
    <x:row r="2291" ht="93" customHeight="1">
      <x:c r="A2291" s="19" t="n">
        <x:v>2288</x:v>
      </x:c>
      <x:c r="B2291" s="22" t="e">
        <x:f>HYPERLINK("https://cdn.shopify.com/s/files/1/0918/6066/4603/files/O1CN01I3DQGV22SYgBjKnsk__2219370087119-0-cib.jpg?v=1767095595","Open")</x:f>
        <x:v>HYPERLINK is not implemented. linkLocation=https://cdn.shopify.com/s/files/1/0918/6066/4603/files/O1CN01I3DQGV22SYgBjKnsk__2219370087119-0-cib.jpg?v=1767095595, friendlyName=Open</x:v>
      </x:c>
      <x:c r="C2291" s="24" t="e">
        <x:f>HYPERLINK("https://365nails.com/products/nude-winter-nails-with-snowman-and-crystal-details","Nude Winter Nails with Snowman and Crystal Details")</x:f>
        <x:v>HYPERLINK is not implemented. linkLocation=https://365nails.com/products/nude-winter-nails-with-snowman-and-crystal-details, friendlyName=Nude Winter Nails with Snowman and Crystal Details</x:v>
      </x:c>
      <x:c r="D2291" s="18" t="str">
        <x:v>Color: L (1.7/1.3/1.4/1.3/1.1)cm / M (1.6/1.2/1.3/1.2/1.0)cm / S (1.5/1.1/1.2/1.1/0.9)cm</x:v>
      </x:c>
      <x:c r="E2291" s="25" t="str">
        <x:v>$4.99</x:v>
      </x:c>
      <x:c r="F2291" s="19" t="str">
        <x:v>30</x:v>
      </x:c>
    </x:row>
    <x:row r="2292" ht="93" customHeight="1">
      <x:c r="A2292" s="19" t="n">
        <x:v>2289</x:v>
      </x:c>
      <x:c r="B2292" s="22" t="e">
        <x:f>HYPERLINK("https://cdn.shopify.com/s/files/1/0918/6066/4603/files/O1CN01J0AOkP2MQzdadYUsd__2219089449823-0-cib_7cf2e2fa-54ce-4816-a040-2dde68e892c2.jpg?v=1767943000","Open")</x:f>
        <x:v>HYPERLINK is not implemented. linkLocation=https://cdn.shopify.com/s/files/1/0918/6066/4603/files/O1CN01J0AOkP2MQzdadYUsd__2219089449823-0-cib_7cf2e2fa-54ce-4816-a040-2dde68e892c2.jpg?v=1767943000, friendlyName=Open</x:v>
      </x:c>
      <x:c r="C2292" s="24" t="e">
        <x:f>HYPERLINK("https://365nails.com/products/soft-neutral-textured-minimal-press-on-nail-set","Soft Neutral Textured Minimal Press On Nail Set")</x:f>
        <x:v>HYPERLINK is not implemented. linkLocation=https://365nails.com/products/soft-neutral-textured-minimal-press-on-nail-set, friendlyName=Soft Neutral Textured Minimal Press On Nail Set</x:v>
      </x:c>
      <x:c r="D2292" s="18" t="str">
        <x:v>Color: K020; Color classification: XS / S / M / L; Length: 4cm</x:v>
      </x:c>
      <x:c r="E2292" s="25" t="str">
        <x:v>$3.99</x:v>
      </x:c>
      <x:c r="F2292" s="19" t="str">
        <x:v>1</x:v>
      </x:c>
    </x:row>
    <x:row r="2293" ht="93" customHeight="1">
      <x:c r="A2293" s="19" t="n">
        <x:v>2290</x:v>
      </x:c>
      <x:c r="B2293" s="22" t="e">
        <x:f>HYPERLINK("https://cdn.shopify.com/s/files/1/0918/6066/4603/files/O1CN01r7OObf22SYgCNOtIi__2219370087119-0-cib.jpg?v=1767095950","Open")</x:f>
        <x:v>HYPERLINK is not implemented. linkLocation=https://cdn.shopify.com/s/files/1/0918/6066/4603/files/O1CN01r7OObf22SYgCNOtIi__2219370087119-0-cib.jpg?v=1767095950, friendlyName=Open</x:v>
      </x:c>
      <x:c r="C2293" s="24" t="e">
        <x:f>HYPERLINK("https://365nails.com/products/pink-peach-nails-with-floral-charms-and-crystal-details","Pink Peach Nails with Floral Charms and Crystal Details")</x:f>
        <x:v>HYPERLINK is not implemented. linkLocation=https://365nails.com/products/pink-peach-nails-with-floral-charms-and-crystal-details, friendlyName=Pink Peach Nails with Floral Charms and Crystal Details</x:v>
      </x:c>
      <x:c r="D2293" s="18" t="str">
        <x:v>Color: L (1.7/1.3/1.4/1.3/1.1)cm / M (1.6/1.2/1.3/1.2/1.0)cm / S (1.5/1.1/1.2/1.1/0.9)cm</x:v>
      </x:c>
      <x:c r="E2293" s="25" t="str">
        <x:v>$5.49</x:v>
      </x:c>
      <x:c r="F2293" s="19" t="str">
        <x:v>30</x:v>
      </x:c>
    </x:row>
    <x:row r="2294" ht="93" customHeight="1">
      <x:c r="A2294" s="19" t="n">
        <x:v>2291</x:v>
      </x:c>
      <x:c r="B2294" s="22" t="e">
        <x:f>HYPERLINK("https://cdn.shopify.com/s/files/1/0918/6066/4603/files/O1CN01qOfFUf1nYJNe5Hula__2217958295101-0-cib.jpg?v=1766296079","Open")</x:f>
        <x:v>HYPERLINK is not implemented. linkLocation=https://cdn.shopify.com/s/files/1/0918/6066/4603/files/O1CN01qOfFUf1nYJNe5Hula__2217958295101-0-cib.jpg?v=1766296079, friendlyName=Open</x:v>
      </x:c>
      <x:c r="C2294" s="24" t="e">
        <x:f>HYPERLINK("https://365nails.com/products/cute-cartoon-kids-press-on-nails-mixed-character-collection","Cute Cartoon Kids Press On Nails Mixed Character Collection")</x:f>
        <x:v>HYPERLINK is not implemented. linkLocation=https://365nails.com/products/cute-cartoon-kids-press-on-nails-mixed-character-collection, friendlyName=Cute Cartoon Kids Press On Nails Mixed Character Collection</x:v>
      </x:c>
      <x:c r="D2294" s="18" t="str">
        <x:v>Color: 004 Pony Poly Purple Moon / 005 Pony Poly Rongrong / 010 Kulomie / 011 Pony Polaroid Unicorn / 013 Mermaid Princess / 021 Princess Anna / 023 Kulomie / 026 Kapibara / 027 Melody; Color classification: Smallest size XS (2-3 years old) / Small S (4-6 years old) / Medium M (7-8 years old) / Large L (9-12 years old)</x:v>
      </x:c>
      <x:c r="E2294" s="25" t="str">
        <x:v>$1.99</x:v>
      </x:c>
      <x:c r="F2294" s="19" t="str">
        <x:v>1</x:v>
      </x:c>
    </x:row>
    <x:row r="2295" ht="93" customHeight="1">
      <x:c r="A2295" s="19" t="n">
        <x:v>2292</x:v>
      </x:c>
      <x:c r="B2295" s="22" t="e">
        <x:f>HYPERLINK("https://cdn.shopify.com/s/files/1/0918/6066/4603/files/O1CN013DyuaU2MQzdHHM4V3__2219089449823-0-cib.jpg?v=1767627882","Open")</x:f>
        <x:v>HYPERLINK is not implemented. linkLocation=https://cdn.shopify.com/s/files/1/0918/6066/4603/files/O1CN013DyuaU2MQzdHHM4V3__2219089449823-0-cib.jpg?v=1767627882, friendlyName=Open</x:v>
      </x:c>
      <x:c r="C2295" s="24" t="e">
        <x:f>HYPERLINK("https://365nails.com/products/nude-base-full-crystal-luxe-press-on-nail-set","Nude Base Full Crystal Luxe Press On Nail Set")</x:f>
        <x:v>HYPERLINK is not implemented. linkLocation=https://365nails.com/products/nude-base-full-crystal-luxe-press-on-nail-set, friendlyName=Nude Base Full Crystal Luxe Press On Nail Set</x:v>
      </x:c>
      <x:c r="D2295" s="18" t="str">
        <x:v>Color: N009; Color classification: XS / S / M / L</x:v>
      </x:c>
      <x:c r="E2295" s="25" t="str">
        <x:v>$6.99</x:v>
      </x:c>
      <x:c r="F2295" s="19" t="str">
        <x:v>1</x:v>
      </x:c>
    </x:row>
    <x:row r="2296" ht="93" customHeight="1">
      <x:c r="A2296" s="19" t="n">
        <x:v>2293</x:v>
      </x:c>
      <x:c r="B2296" s="22" t="e">
        <x:f>HYPERLINK("https://cdn.shopify.com/s/files/1/0918/6066/4603/files/O1CN01xiToaS2MQzdIHGgoA__2219089449823-0-cib.jpg?v=1767628095","Open")</x:f>
        <x:v>HYPERLINK is not implemented. linkLocation=https://cdn.shopify.com/s/files/1/0918/6066/4603/files/O1CN01xiToaS2MQzdIHGgoA__2219089449823-0-cib.jpg?v=1767628095, friendlyName=Open</x:v>
      </x:c>
      <x:c r="C2296" s="24" t="e">
        <x:f>HYPERLINK("https://365nails.com/products/golden-floral-pearl-tiger-art-press-on-nail-set","Golden Floral Pearl Tiger Art Press On Nail Set")</x:f>
        <x:v>HYPERLINK is not implemented. linkLocation=https://365nails.com/products/golden-floral-pearl-tiger-art-press-on-nail-set, friendlyName=Golden Floral Pearl Tiger Art Press On Nail Set</x:v>
      </x:c>
      <x:c r="D2296" s="18" t="str">
        <x:v>Color: Js b17; Color classification: XS / S / M / L</x:v>
      </x:c>
      <x:c r="E2296" s="25" t="str">
        <x:v>$6.99</x:v>
      </x:c>
      <x:c r="F2296" s="19" t="str">
        <x:v>1</x:v>
      </x:c>
    </x:row>
    <x:row r="2297" ht="93" customHeight="1">
      <x:c r="A2297" s="19" t="n">
        <x:v>2294</x:v>
      </x:c>
      <x:c r="B2297" s="22" t="e">
        <x:f>HYPERLINK("https://cdn.shopify.com/s/files/1/0918/6066/4603/files/O1CN01aAbSro1CPwP8pdf5P__2213196780074-0-cib.jpg?v=1764391022","Open")</x:f>
        <x:v>HYPERLINK is not implemented. linkLocation=https://cdn.shopify.com/s/files/1/0918/6066/4603/files/O1CN01aAbSro1CPwP8pdf5P__2213196780074-0-cib.jpg?v=1764391022, friendlyName=Open</x:v>
      </x:c>
      <x:c r="C2297" s="24" t="e">
        <x:f>HYPERLINK("https://365nails.com/products/colorful-summer-ocean-mixed-design-nails","Colorful Summer Ocean Mixed Design Nails")</x:f>
        <x:v>HYPERLINK is not implemented. linkLocation=https://365nails.com/products/colorful-summer-ocean-mixed-design-nails, friendlyName=Colorful Summer Ocean Mixed Design Nails</x:v>
      </x:c>
      <x:c r="D2297" s="18" t="str">
        <x:v>shape: 2914-Medium almonds; size: XS / S / M / L</x:v>
      </x:c>
      <x:c r="E2297" s="25" t="str">
        <x:v>$6.49</x:v>
      </x:c>
      <x:c r="F2297" s="19" t="str">
        <x:v>1</x:v>
      </x:c>
    </x:row>
    <x:row r="2298" ht="93" customHeight="1">
      <x:c r="A2298" s="19" t="n">
        <x:v>2295</x:v>
      </x:c>
      <x:c r="B2298" s="22" t="e">
        <x:f>HYPERLINK("https://cdn.shopify.com/s/files/1/0918/6066/4603/files/O1CN01oIvuqE22SYfntFSkg__2219370087119-0-cib.jpg?v=1767236007","Open")</x:f>
        <x:v>HYPERLINK is not implemented. linkLocation=https://cdn.shopify.com/s/files/1/0918/6066/4603/files/O1CN01oIvuqE22SYfntFSkg__2219370087119-0-cib.jpg?v=1767236007, friendlyName=Open</x:v>
      </x:c>
      <x:c r="C2298" s="24" t="e">
        <x:f>HYPERLINK("https://365nails.com/products/pink-crystal-frame-elegant-press-on-nails","Pink Crystal Frame Elegant Press On Nails")</x:f>
        <x:v>HYPERLINK is not implemented. linkLocation=https://365nails.com/products/pink-crystal-frame-elegant-press-on-nails, friendlyName=Pink Crystal Frame Elegant Press On Nails</x:v>
      </x:c>
      <x:c r="D2298" s="18" t="str">
        <x:v>Color: L / M / S</x:v>
      </x:c>
      <x:c r="E2298" s="25" t="str">
        <x:v>$4.99</x:v>
      </x:c>
      <x:c r="F2298" s="19" t="str">
        <x:v>30</x:v>
      </x:c>
    </x:row>
    <x:row r="2299" ht="93" customHeight="1">
      <x:c r="A2299" s="19" t="n">
        <x:v>2296</x:v>
      </x:c>
      <x:c r="B2299" s="22" t="e">
        <x:f>HYPERLINK("https://cdn.shopify.com/s/files/1/0918/6066/4603/files/bf997941632cbe293257f761b13f129c_d4a8e859-6137-4ea3-8769-f437ada4adaf.jpg?v=1767507388","Open")</x:f>
        <x:v>HYPERLINK is not implemented. linkLocation=https://cdn.shopify.com/s/files/1/0918/6066/4603/files/bf997941632cbe293257f761b13f129c_d4a8e859-6137-4ea3-8769-f437ada4adaf.jpg?v=1767507388, friendlyName=Open</x:v>
      </x:c>
      <x:c r="C2299" s="24" t="e">
        <x:f>HYPERLINK("https://365nails.com/products/elegant-window-drawer-press-on-nail-gift-box","Elegant Window Drawer Press On Nail Gift Box (MOQ=10)")</x:f>
        <x:v>HYPERLINK is not implemented. linkLocation=https://365nails.com/products/elegant-window-drawer-press-on-nail-gift-box, friendlyName=Elegant Window Drawer Press On Nail Gift Box (MOQ=10)</x:v>
      </x:c>
      <x:c r="D2299" s="18" t="str">
        <x:v>Specifications and models: Vertical gift box (universal in stock; 9x13x3cm / Horizontal gift box (universal in stock; 9x13x3cm / 02;9x13x3 cm / Nail art adhesive strips, 24 strips/sheet (with easy-tear notch); 9x13x3cm; Quantity: 10pcs</x:v>
      </x:c>
      <x:c r="E2299" s="25" t="str">
        <x:v>$4.00–$5.50</x:v>
      </x:c>
      <x:c r="F2299" s="19" t="str">
        <x:v>1</x:v>
      </x:c>
    </x:row>
    <x:row r="2300" ht="93" customHeight="1">
      <x:c r="A2300" s="19" t="n">
        <x:v>2297</x:v>
      </x:c>
      <x:c r="B2300" s="22" t="e">
        <x:f>HYPERLINK("https://cdn.shopify.com/s/files/1/0918/6066/4603/files/O1CN01Wvwzie22SYgDHsNx3__2219370087119-0-cib_5032b953-eb87-4d8e-a00e-ae2596b7e686.jpg?v=1767242341","Open")</x:f>
        <x:v>HYPERLINK is not implemented. linkLocation=https://cdn.shopify.com/s/files/1/0918/6066/4603/files/O1CN01Wvwzie22SYgDHsNx3__2219370087119-0-cib_5032b953-eb87-4d8e-a00e-ae2596b7e686.jpg?v=1767242341, friendlyName=Open</x:v>
      </x:c>
      <x:c r="C2300" s="24" t="e">
        <x:f>HYPERLINK("https://365nails.com/products/colorful-candy-duckbill-press-on-nails","Colorful Candy Duckbill Press On Nails")</x:f>
        <x:v>HYPERLINK is not implemented. linkLocation=https://365nails.com/products/colorful-candy-duckbill-press-on-nails, friendlyName=Colorful Candy Duckbill Press On Nails</x:v>
      </x:c>
      <x:c r="D2300" s="18" t="str">
        <x:v>Color: L / M / S</x:v>
      </x:c>
      <x:c r="E2300" s="25" t="str">
        <x:v>$4.99</x:v>
      </x:c>
      <x:c r="F2300" s="19" t="str">
        <x:v>30</x:v>
      </x:c>
    </x:row>
    <x:row r="2301" ht="93" customHeight="1">
      <x:c r="A2301" s="19" t="n">
        <x:v>2298</x:v>
      </x:c>
      <x:c r="B2301" s="22" t="e">
        <x:f>HYPERLINK("https://cdn.shopify.com/s/files/1/0918/6066/4603/files/O1CN01WJ0tOq2HpCDMtWzmz__2215054439199-0-cib_ca6fa24f-2883-4684-ba55-15a61a036051.jpg?v=1766362917","Open")</x:f>
        <x:v>HYPERLINK is not implemented. linkLocation=https://cdn.shopify.com/s/files/1/0918/6066/4603/files/O1CN01WJ0tOq2HpCDMtWzmz__2215054439199-0-cib_ca6fa24f-2883-4684-ba55-15a61a036051.jpg?v=1766362917, friendlyName=Open</x:v>
      </x:c>
      <x:c r="C2301" s="24" t="e">
        <x:f>HYPERLINK("https://365nails.com/products/romantic-blush-pink-envelope-with-floral-wax-seal","Romantic Blush Pink Envelope With Floral Wax Seal (MOQ=7)")</x:f>
        <x:v>HYPERLINK is not implemented. linkLocation=https://365nails.com/products/romantic-blush-pink-envelope-with-floral-wax-seal, friendlyName=Romantic Blush Pink Envelope With Floral Wax Seal (MOQ=7)</x:v>
      </x:c>
      <x:c r="D2301" s="18" t="str">
        <x:v>Size: 5 small 16 * 11.7cm (envelopes only) / 5 small envelopes + 5 pink fire paint stickers / 5 large 19 * 13cm (envelopes only) / 5 large envelopes + 5 pink fire paint stickers / 5 pink foryou fire paint stickers / Gold-framed letter paper/8 sheets / Blue border letter paper/8 sheets / Green border letter paper/8 sheets / White envelopes/6 pcs / Blue envelope/6 pieces / Green envelope/6 pieces / Plant Flower Envelope - Green/6 Pcs / Plant Flower Envelope - Blue/6 Pcs / Plant Flower Envelopes - White/6 Pcs / Starry Night Envelope/6 pcs / Apricot flower envelope/6 pcs / Wheat field envelope/6 pcs / Nap envelopes/6 pcs / Overson Plain Envelopes/6 pcs / Rice Sea View Envelopes/6 pcs / Starry Night Letter/8 sheets / Apricot letter paper/8 sheets / Wheat field letter/8 sheets / Nap paper/8 sheets / Overson Plain Letter/8 sheets / Rice Sea View Letter/8 sheets; Quantity: 7pcs</x:v>
      </x:c>
      <x:c r="E2301" s="25" t="str">
        <x:v>$2.03–$12.74</x:v>
      </x:c>
      <x:c r="F2301" s="19" t="str">
        <x:v>1</x:v>
      </x:c>
    </x:row>
    <x:row r="2302" ht="93" customHeight="1">
      <x:c r="A2302" s="19" t="n">
        <x:v>2299</x:v>
      </x:c>
      <x:c r="B2302" s="22" t="e">
        <x:f>HYPERLINK("https://cdn.shopify.com/s/files/1/0918/6066/4603/files/O1CN01sd88Pt1nYJNfPl1pa__2217958295101-0-cib.jpg?v=1766296154","Open")</x:f>
        <x:v>HYPERLINK is not implemented. linkLocation=https://cdn.shopify.com/s/files/1/0918/6066/4603/files/O1CN01sd88Pt1nYJNfPl1pa__2217958295101-0-cib.jpg?v=1766296154, friendlyName=Open</x:v>
      </x:c>
      <x:c r="C2302" s="24" t="e">
        <x:f>HYPERLINK("https://365nails.com/products/cute-rainbow-cartoon-kids-press-on-nails-mixed-collection","Cute Rainbow Cartoon Kids Press On Nails Mixed Collection")</x:f>
        <x:v>HYPERLINK is not implemented. linkLocation=https://365nails.com/products/cute-rainbow-cartoon-kids-press-on-nails-mixed-collection, friendlyName=Cute Rainbow Cartoon Kids Press On Nails Mixed Collection</x:v>
      </x:c>
      <x:c r="D2302" s="18" t="str">
        <x:v>Color: XS (2-3 years old) / S (4-6 years old) / M (7-8 years old) / L (9-12 years old); Specification type: 051 Ice pudding dog / 054 Popcorn pudding dog / Little Yellow Duck / Rabbit Ear Popcorn / Colorful Mocha Butterfly 102 / Transparent Love Melody 115 / Strawberry Linna Bell 112 / Little Snowman Rainbow 116 / Cute big frog 110 / Naked pink small yellow flower</x:v>
      </x:c>
      <x:c r="E2302" s="25" t="str">
        <x:v>$1.99</x:v>
      </x:c>
      <x:c r="F2302" s="19" t="str">
        <x:v>1</x:v>
      </x:c>
    </x:row>
    <x:row r="2303" ht="93" customHeight="1">
      <x:c r="A2303" s="19" t="n">
        <x:v>2300</x:v>
      </x:c>
      <x:c r="B2303" s="22" t="e">
        <x:f>HYPERLINK("https://cdn.shopify.com/s/files/1/0918/6066/4603/files/O1CN01lCHHW22NiDtk8Sham__1036849996-0-cib_aaab8b07-8071-4a1d-a4ef-2a4c39ee21e8.jpg?v=1766362904","Open")</x:f>
        <x:v>HYPERLINK is not implemented. linkLocation=https://cdn.shopify.com/s/files/1/0918/6066/4603/files/O1CN01lCHHW22NiDtk8Sham__1036849996-0-cib_aaab8b07-8071-4a1d-a4ef-2a4c39ee21e8.jpg?v=1766362904, friendlyName=Open</x:v>
      </x:c>
      <x:c r="C2303" s="24" t="e">
        <x:f>HYPERLINK("https://365nails.com/products/floral-thank-you-cards-for-customer-appreciation-packaging","Floral Thank You Cards for Customer Appreciation Packaging (MOQ=2)")</x:f>
        <x:v>HYPERLINK is not implemented. linkLocation=https://365nails.com/products/floral-thank-you-cards-for-customer-appreciation-packaging, friendlyName=Floral Thank You Cards for Customer Appreciation Packaging (MOQ=2)</x:v>
      </x:c>
      <x:c r="D2303" s="18" t="str">
        <x:v>Size: [Large size style 01] Flower thank you card (15cm * 10cm) (single greeting card) / [Large size style 02] Flower thank you card (15cm * 10cm) (single greeting card) / [Large size style 03] Flower thank you card (15cm * 10cm) (single greeting card) / [Large size style 04] Flower thank you card (15cm * 10cm) (single greeting card) / [Large size style 05] Flower thank you card (15cm * 10cm) (single greeting card) / [Large size style 06] Flower thank you card (15cm * 10cm) (single greeting card) / White envelope (15.5 * 10.5 cm) 80073 / Cowhide color envelope (15.5 * 10.5 cm) 80073 / [Small size style 01] Flower thank you card (11.5 cm * 8.5 cm) / [Small size style 02] Flower thank you card (11.5 cm * 8.5 cm) / [Small size style 03] Flower thank you card (11.5 cm * 8.5 cm) / [Small size style 04] Flower thank you card (11.5 cm * 8.5 cm) / [Small size style 05] Flower thank you card (11.5 cm * 8.5 cm) / [Small size style 06] Flower thank you card (11.5 cm * 8.5 cm); Quantity: 2pcs</x:v>
      </x:c>
      <x:c r="E2303" s="25" t="str">
        <x:v>$0.06–$0.12</x:v>
      </x:c>
      <x:c r="F2303" s="19" t="str">
        <x:v>1</x:v>
      </x:c>
    </x:row>
    <x:row r="2304" ht="93" customHeight="1">
      <x:c r="A2304" s="19" t="n">
        <x:v>2301</x:v>
      </x:c>
      <x:c r="B2304" s="22" t="e">
        <x:f>HYPERLINK("https://cdn.shopify.com/s/files/1/0918/6066/4603/files/O1CN01bHcFbU2Hxu2TlNf8Y__2214169509218-0-cib.jpg?v=1764228606","Open")</x:f>
        <x:v>HYPERLINK is not implemented. linkLocation=https://cdn.shopify.com/s/files/1/0918/6066/4603/files/O1CN01bHcFbU2Hxu2TlNf8Y__2214169509218-0-cib.jpg?v=1764228606, friendlyName=Open</x:v>
      </x:c>
      <x:c r="C2304" s="24" t="e">
        <x:f>HYPERLINK("https://365nails.com/products/red-black-gothic-chain-flower-contrast-stylish-press-on-nails","Red Black Gothic Chain Flower Contrast Stylish Press On Nails")</x:f>
        <x:v>HYPERLINK is not implemented. linkLocation=https://365nails.com/products/red-black-gothic-chain-flower-contrast-stylish-press-on-nails, friendlyName=Red Black Gothic Chain Flower Contrast Stylish Press On Nails</x:v>
      </x:c>
      <x:c r="D2304" s="18" t="str">
        <x:v>shape: 941-Medium Almond; size: Extra small XS / S / M M / Large L</x:v>
      </x:c>
      <x:c r="E2304" s="25" t="str">
        <x:v>$3.99</x:v>
      </x:c>
      <x:c r="F2304" s="19" t="str">
        <x:v>1</x:v>
      </x:c>
    </x:row>
    <x:row r="2305" ht="93" customHeight="1">
      <x:c r="A2305" s="19" t="n">
        <x:v>2302</x:v>
      </x:c>
      <x:c r="B2305" s="22" t="e">
        <x:f>HYPERLINK("https://cdn.shopify.com/s/files/1/0918/6066/4603/files/O1CN014YaWXh2MQzdrxAb2g__2219089449823-0-cib_bd68cb71-2a81-4109-8822-227203ab36aa.jpg?v=1767945034","Open")</x:f>
        <x:v>HYPERLINK is not implemented. linkLocation=https://cdn.shopify.com/s/files/1/0918/6066/4603/files/O1CN014YaWXh2MQzdrxAb2g__2219089449823-0-cib_bd68cb71-2a81-4109-8822-227203ab36aa.jpg?v=1767945034, friendlyName=Open</x:v>
      </x:c>
      <x:c r="C2305" s="24" t="e">
        <x:f>HYPERLINK("https://365nails.com/products/white-dotted-floral-accent-playful-press-on-nails","White Dotted Floral Accent Playful Press On Nails")</x:f>
        <x:v>HYPERLINK is not implemented. linkLocation=https://365nails.com/products/white-dotted-floral-accent-playful-press-on-nails, friendlyName=White Dotted Floral Accent Playful Press On Nails</x:v>
      </x:c>
      <x:c r="D2305" s="18" t="str">
        <x:v>Color: Jsa 10; Color classification: S / M / L; Length: 5cm</x:v>
      </x:c>
      <x:c r="E2305" s="25" t="str">
        <x:v>$5.99</x:v>
      </x:c>
      <x:c r="F2305" s="19" t="str">
        <x:v>1</x:v>
      </x:c>
    </x:row>
    <x:row r="2306" ht="93" customHeight="1">
      <x:c r="A2306" s="19" t="n">
        <x:v>2303</x:v>
      </x:c>
      <x:c r="B2306" s="22" t="e">
        <x:f>HYPERLINK("https://cdn.shopify.com/s/files/1/0918/6066/4603/files/O1CN01IcYPOg2MQzdJGNHgM__2219089449823-0-cib.jpg?v=1767709277","Open")</x:f>
        <x:v>HYPERLINK is not implemented. linkLocation=https://cdn.shopify.com/s/files/1/0918/6066/4603/files/O1CN01IcYPOg2MQzdJGNHgM__2219089449823-0-cib.jpg?v=1767709277, friendlyName=Open</x:v>
      </x:c>
      <x:c r="C2306" s="24" t="e">
        <x:f>HYPERLINK("https://365nails.com/products/french-butterfly-bow-crystal-elegant-press-on-nails","French Butterfly Bow Crystal Elegant Press On Nails")</x:f>
        <x:v>HYPERLINK is not implemented. linkLocation=https://365nails.com/products/french-butterfly-bow-crystal-elegant-press-on-nails, friendlyName=French Butterfly Bow Crystal Elegant Press On Nails</x:v>
      </x:c>
      <x:c r="D2306" s="18" t="str">
        <x:v>Color: M110    110; Color classification: XS / S / M / L</x:v>
      </x:c>
      <x:c r="E2306" s="25" t="str">
        <x:v>$5.99</x:v>
      </x:c>
      <x:c r="F2306" s="19" t="str">
        <x:v>1</x:v>
      </x:c>
    </x:row>
    <x:row r="2307" ht="93" customHeight="1">
      <x:c r="A2307" s="19" t="n">
        <x:v>2304</x:v>
      </x:c>
      <x:c r="B2307" s="22" t="e">
        <x:f>HYPERLINK("https://cdn.shopify.com/s/files/1/0918/6066/4603/files/O1CN01u7thaZ2MQzd2WyxQB__2219089449823-0-cib.jpg?v=1767627476","Open")</x:f>
        <x:v>HYPERLINK is not implemented. linkLocation=https://cdn.shopify.com/s/files/1/0918/6066/4603/files/O1CN01u7thaZ2MQzd2WyxQB__2219089449823-0-cib.jpg?v=1767627476, friendlyName=Open</x:v>
      </x:c>
      <x:c r="C2307" s="24" t="e">
        <x:f>HYPERLINK("https://365nails.com/products/rainbow-crystal-gradient-sparkle-press-on-nail-set","Rainbow Crystal Gradient Sparkle Press On Nail Set")</x:f>
        <x:v>HYPERLINK is not implemented. linkLocation=https://365nails.com/products/rainbow-crystal-gradient-sparkle-press-on-nail-set, friendlyName=Rainbow Crystal Gradient Sparkle Press On Nail Set</x:v>
      </x:c>
      <x:c r="D2307" s="18" t="str">
        <x:v>Color: N014; Color classification: XS / S / M / L</x:v>
      </x:c>
      <x:c r="E2307" s="25" t="str">
        <x:v>$6.99</x:v>
      </x:c>
      <x:c r="F2307" s="19" t="str">
        <x:v>1</x:v>
      </x:c>
    </x:row>
    <x:row r="2308" ht="93" customHeight="1">
      <x:c r="A2308" s="19" t="n">
        <x:v>2305</x:v>
      </x:c>
      <x:c r="B2308" s="22" t="e">
        <x:f>HYPERLINK("https://cdn.shopify.com/s/files/1/0918/6066/4603/files/O1CN01BxlaXA2MQzdri8kwf__2219089449823-0-cib_58e37ac0-6bc4-4031-a07c-034fdd2d3d41.jpg?v=1767945178","Open")</x:f>
        <x:v>HYPERLINK is not implemented. linkLocation=https://cdn.shopify.com/s/files/1/0918/6066/4603/files/O1CN01BxlaXA2MQzdri8kwf__2219089449823-0-cib_58e37ac0-6bc4-4031-a07c-034fdd2d3d41.jpg?v=1767945178, friendlyName=Open</x:v>
      </x:c>
      <x:c r="C2308" s="24" t="e">
        <x:f>HYPERLINK("https://365nails.com/products/berry-pink-heart-bow-cute-press-on-nails","Berry Pink Heart Bow Cute Press On Nails")</x:f>
        <x:v>HYPERLINK is not implemented. linkLocation=https://365nails.com/products/berry-pink-heart-bow-cute-press-on-nails, friendlyName=Berry Pink Heart Bow Cute Press On Nails</x:v>
      </x:c>
      <x:c r="D2308" s="18" t="str">
        <x:v>Color: D411; Color classification: S / M / L; Length: 4cm</x:v>
      </x:c>
      <x:c r="E2308" s="25" t="str">
        <x:v>$5.99</x:v>
      </x:c>
      <x:c r="F2308" s="19" t="str">
        <x:v>1</x:v>
      </x:c>
    </x:row>
    <x:row r="2309" ht="93" customHeight="1">
      <x:c r="A2309" s="19" t="n">
        <x:v>2306</x:v>
      </x:c>
      <x:c r="B2309" s="22" t="e">
        <x:f>HYPERLINK("https://cdn.shopify.com/s/files/1/0918/6066/4603/files/19bc0e57a2bddd0ffa39e8c34a8ee61b.jpg?v=1767499533","Open")</x:f>
        <x:v>HYPERLINK is not implemented. linkLocation=https://cdn.shopify.com/s/files/1/0918/6066/4603/files/19bc0e57a2bddd0ffa39e8c34a8ee61b.jpg?v=1767499533, friendlyName=Open</x:v>
      </x:c>
      <x:c r="C2309" s="24" t="e">
        <x:f>HYPERLINK("https://365nails.com/products/window-packaging-box-for-press-on-nails","Window Packaging Box for Press On Nails")</x:f>
        <x:v>HYPERLINK is not implemented. linkLocation=https://365nails.com/products/window-packaging-box-for-press-on-nails, friendlyName=Window Packaging Box for Press On Nails</x:v>
      </x:c>
      <x:c r="D2309" s="18" t="str">
        <x:v>Color: Basic style / High-end model</x:v>
      </x:c>
      <x:c r="E2309" s="25" t="str">
        <x:v>$0.35–$0.45</x:v>
      </x:c>
      <x:c r="F2309" s="19" t="str">
        <x:v>1</x:v>
      </x:c>
    </x:row>
    <x:row r="2310" ht="93" customHeight="1">
      <x:c r="A2310" s="19" t="n">
        <x:v>2307</x:v>
      </x:c>
      <x:c r="B2310" s="22" t="e">
        <x:f>HYPERLINK("https://cdn.shopify.com/s/files/1/0918/6066/4603/files/O1CN01Gl2St21nYJQopbJyr__2217958295101-0-cib.jpg?v=1766297906","Open")</x:f>
        <x:v>HYPERLINK is not implemented. linkLocation=https://cdn.shopify.com/s/files/1/0918/6066/4603/files/O1CN01Gl2St21nYJQopbJyr__2217958295101-0-cib.jpg?v=1766297906, friendlyName=Open</x:v>
      </x:c>
      <x:c r="C2310" s="24" t="e">
        <x:f>HYPERLINK("https://365nails.com/products/christmas-cute-kids-press-on-nails-with-holiday-characters","Christmas Cute Kids Press On Nails with Holiday Characters")</x:f>
        <x:v>HYPERLINK is not implemented. linkLocation=https://365nails.com/products/christmas-cute-kids-press-on-nails-with-holiday-characters, friendlyName=Christmas Cute Kids Press On Nails with Holiday Characters</x:v>
      </x:c>
      <x:c r="D2310" s="18" t="str">
        <x:v>Color: 071 Christmas model; Color classification: XS (2-3 years old) / S (3-5 years old) / M (5-7 years old) / L (7-12 years old)</x:v>
      </x:c>
      <x:c r="E2310" s="25" t="str">
        <x:v>$1.99</x:v>
      </x:c>
      <x:c r="F2310" s="19" t="str">
        <x:v>1</x:v>
      </x:c>
    </x:row>
    <x:row r="2311" ht="93" customHeight="1">
      <x:c r="A2311" s="19" t="n">
        <x:v>2308</x:v>
      </x:c>
      <x:c r="B2311" s="22" t="e">
        <x:f>HYPERLINK("https://cdn.shopify.com/s/files/1/0918/6066/4603/files/O1CN012Vfh6b22SYgOaD1fX__2219370087119-0-cib.jpg?v=1767095450","Open")</x:f>
        <x:v>HYPERLINK is not implemented. linkLocation=https://cdn.shopify.com/s/files/1/0918/6066/4603/files/O1CN012Vfh6b22SYgOaD1fX__2219370087119-0-cib.jpg?v=1767095450, friendlyName=Open</x:v>
      </x:c>
      <x:c r="C2311" s="24" t="e">
        <x:f>HYPERLINK("https://365nails.com/products/pink-jelly-nails-with-butterfly-and-cherry-crystal-charms","Pink Jelly Nails with Butterfly and Cherry Crystal Charms")</x:f>
        <x:v>HYPERLINK is not implemented. linkLocation=https://365nails.com/products/pink-jelly-nails-with-butterfly-and-cherry-crystal-charms, friendlyName=Pink Jelly Nails with Butterfly and Cherry Crystal Charms</x:v>
      </x:c>
      <x:c r="D2311" s="18" t="str">
        <x:v>Color: L (1.7/1.3/1.4/1.3/1.1)cm / M (1.6/1.2/1.3/1.2/1.0)cm / S (1.5/1.1/1.2/1.1/0.9)cm</x:v>
      </x:c>
      <x:c r="E2311" s="25" t="str">
        <x:v>$4.99</x:v>
      </x:c>
      <x:c r="F2311" s="19" t="str">
        <x:v>30</x:v>
      </x:c>
    </x:row>
    <x:row r="2312" ht="93" customHeight="1">
      <x:c r="A2312" s="19" t="n">
        <x:v>2309</x:v>
      </x:c>
      <x:c r="B2312" s="22" t="e">
        <x:f>HYPERLINK("https://cdn.shopify.com/s/files/1/0918/6066/4603/files/O1CN01hYsKBN1nYJQrW2uEt__2217958295101-0-cib.jpg?v=1766295153","Open")</x:f>
        <x:v>HYPERLINK is not implemented. linkLocation=https://cdn.shopify.com/s/files/1/0918/6066/4603/files/O1CN01hYsKBN1nYJQrW2uEt__2217958295101-0-cib.jpg?v=1766295153, friendlyName=Open</x:v>
      </x:c>
      <x:c r="C2312" s="24" t="e">
        <x:f>HYPERLINK("https://365nails.com/products/flash-christmas-cute-kids-press-on-nails-with-sparkle","Flash Christmas Cute Kids Press On Nails with Sparkle")</x:f>
        <x:v>HYPERLINK is not implemented. linkLocation=https://365nails.com/products/flash-christmas-cute-kids-press-on-nails-with-sparkle, friendlyName=Flash Christmas Cute Kids Press On Nails with Sparkle</x:v>
      </x:c>
      <x:c r="D2312" s="18" t="str">
        <x:v>Color: Flash Christmas; Color classification: XS (2-3 years old) / S (3-5 years old) / M (5-7 years old) / L (7-12 years old)</x:v>
      </x:c>
      <x:c r="E2312" s="25" t="str">
        <x:v>$1.99</x:v>
      </x:c>
      <x:c r="F2312" s="19" t="str">
        <x:v>1</x:v>
      </x:c>
    </x:row>
    <x:row r="2313" ht="93" customHeight="1">
      <x:c r="A2313" s="19" t="n">
        <x:v>2310</x:v>
      </x:c>
      <x:c r="B2313" s="22" t="e">
        <x:f>HYPERLINK("https://cdn.shopify.com/s/files/1/0918/6066/4603/files/O1CN01JKoN4Q1nYJNdjm2B8__2217958295101-0-cib_c74900e4-846c-4af5-88ce-6b132719ce1d.jpg?v=1766297045","Open")</x:f>
        <x:v>HYPERLINK is not implemented. linkLocation=https://cdn.shopify.com/s/files/1/0918/6066/4603/files/O1CN01JKoN4Q1nYJNdjm2B8__2217958295101-0-cib_c74900e4-846c-4af5-88ce-6b132719ce1d.jpg?v=1766297045, friendlyName=Open</x:v>
      </x:c>
      <x:c r="C2313" s="24" t="e">
        <x:f>HYPERLINK("https://365nails.com/products/candy-bear-colorful-cute-kids-press-on-nails-set","Candy Bear Colorful Cute Kids Press On Nails Set")</x:f>
        <x:v>HYPERLINK is not implemented. linkLocation=https://365nails.com/products/candy-bear-colorful-cute-kids-press-on-nails-set, friendlyName=Candy Bear Colorful Cute Kids Press On Nails Set</x:v>
      </x:c>
      <x:c r="D2313" s="18" t="str">
        <x:v>Color: Candy bear 047; Color classification: XS (2-3 years old) / S (4-6 years old) / M (7-8 years old) / L (9-12 years old)</x:v>
      </x:c>
      <x:c r="E2313" s="25" t="str">
        <x:v>$2.49</x:v>
      </x:c>
      <x:c r="F2313" s="19" t="str">
        <x:v>1</x:v>
      </x:c>
    </x:row>
    <x:row r="2314" ht="93" customHeight="1">
      <x:c r="A2314" s="19" t="n">
        <x:v>2311</x:v>
      </x:c>
      <x:c r="B2314" s="22" t="e">
        <x:f>HYPERLINK("https://cdn.shopify.com/s/files/1/0918/6066/4603/files/O1CN01AuL1uZ1nYJQph3pyb__2217958295101-0-cib.jpg?v=1766296606","Open")</x:f>
        <x:v>HYPERLINK is not implemented. linkLocation=https://cdn.shopify.com/s/files/1/0918/6066/4603/files/O1CN01AuL1uZ1nYJQph3pyb__2217958295101-0-cib.jpg?v=1766296606, friendlyName=Open</x:v>
      </x:c>
      <x:c r="C2314" s="24" t="e">
        <x:f>HYPERLINK("https://365nails.com/products/princess-elsa-blue-cute-kids-press-on-nails-set","Princess Elsa Blue Cute Kids Press On Nails Set")</x:f>
        <x:v>HYPERLINK is not implemented. linkLocation=https://365nails.com/products/princess-elsa-blue-cute-kids-press-on-nails-set, friendlyName=Princess Elsa Blue Cute Kids Press On Nails Set</x:v>
      </x:c>
      <x:c r="D2314" s="18" t="str">
        <x:v>Color: 042 Princess Elsa; Color classification: XS (2-3 years old) / S (around 3-5 years old) / M (5-7 years old) / L (7-12 years old)</x:v>
      </x:c>
      <x:c r="E2314" s="25" t="str">
        <x:v>$1.99</x:v>
      </x:c>
      <x:c r="F2314" s="19" t="str">
        <x:v>1</x:v>
      </x:c>
    </x:row>
    <x:row r="2315" ht="93" customHeight="1">
      <x:c r="A2315" s="19" t="n">
        <x:v>2312</x:v>
      </x:c>
      <x:c r="B2315" s="22" t="e">
        <x:f>HYPERLINK("https://cdn.shopify.com/s/files/1/0918/6066/4603/files/O1CN01tEtcZZ1nYJQo3CG0m__2217958295101-0-cib.jpg?v=1766294350","Open")</x:f>
        <x:v>HYPERLINK is not implemented. linkLocation=https://cdn.shopify.com/s/files/1/0918/6066/4603/files/O1CN01tEtcZZ1nYJQo3CG0m__2217958295101-0-cib.jpg?v=1766294350, friendlyName=Open</x:v>
      </x:c>
      <x:c r="C2315" s="24" t="e">
        <x:f>HYPERLINK("https://365nails.com/products/christmas-cute-kids-press-on-nails-with-holiday-icons","Christmas Cute Kids Press On Nails with Holiday Icons")</x:f>
        <x:v>HYPERLINK is not implemented. linkLocation=https://365nails.com/products/christmas-cute-kids-press-on-nails-with-holiday-icons, friendlyName=Christmas Cute Kids Press On Nails with Holiday Icons</x:v>
      </x:c>
      <x:c r="D2315" s="18" t="str">
        <x:v>Color: 072 Christmas Children's Armor; Color classification: XS (2-3 years old) / S (3-5 years old) / M (5-7 years old) / L (7-12 years old)</x:v>
      </x:c>
      <x:c r="E2315" s="25" t="str">
        <x:v>$1.99</x:v>
      </x:c>
      <x:c r="F2315" s="19" t="str">
        <x:v>1</x:v>
      </x:c>
    </x:row>
    <x:row r="2316" ht="93" customHeight="1">
      <x:c r="A2316" s="19" t="n">
        <x:v>2313</x:v>
      </x:c>
      <x:c r="B2316" s="22" t="e">
        <x:f>HYPERLINK("https://cdn.shopify.com/s/files/1/0918/6066/4603/files/O1CN01feBFaT2MQzdtgHCyB__2219089449823-0-cib_29027a72-2bb8-4bce-b545-f5277e07a520.jpg?v=1767944915","Open")</x:f>
        <x:v>HYPERLINK is not implemented. linkLocation=https://cdn.shopify.com/s/files/1/0918/6066/4603/files/O1CN01feBFaT2MQzdtgHCyB__2219089449823-0-cib_29027a72-2bb8-4bce-b545-f5277e07a520.jpg?v=1767944915, friendlyName=Open</x:v>
      </x:c>
      <x:c r="C2316" s="24" t="e">
        <x:f>HYPERLINK("https://365nails.com/products/soft-pink-floral-butterfly-lace-press-on-nails","Soft Pink Floral Butterfly Lace Press On Nails")</x:f>
        <x:v>HYPERLINK is not implemented. linkLocation=https://365nails.com/products/soft-pink-floral-butterfly-lace-press-on-nails, friendlyName=Soft Pink Floral Butterfly Lace Press On Nails</x:v>
      </x:c>
      <x:c r="D2316" s="18" t="str">
        <x:v>Color: Jsa08; Color classification: S / M / L; Length: 5cm</x:v>
      </x:c>
      <x:c r="E2316" s="25" t="str">
        <x:v>$5.99</x:v>
      </x:c>
      <x:c r="F2316" s="19" t="str">
        <x:v>1</x:v>
      </x:c>
    </x:row>
    <x:row r="2317" ht="93" customHeight="1">
      <x:c r="A2317" s="19" t="n">
        <x:v>2314</x:v>
      </x:c>
      <x:c r="B2317" s="22" t="e">
        <x:f>HYPERLINK("https://cdn.shopify.com/s/files/1/0918/6066/4603/files/O1CN01PrTuE42MQzdxgtDDG__2219089449823-0-cib_2c2d6d78-dd34-4cd7-87bf-45fb00d8c7fa.jpg?v=1767944716","Open")</x:f>
        <x:v>HYPERLINK is not implemented. linkLocation=https://cdn.shopify.com/s/files/1/0918/6066/4603/files/O1CN01PrTuE42MQzdxgtDDG__2219089449823-0-cib_2c2d6d78-dd34-4cd7-87bf-45fb00d8c7fa.jpg?v=1767944716, friendlyName=Open</x:v>
      </x:c>
      <x:c r="C2317" s="24" t="e">
        <x:f>HYPERLINK("https://365nails.com/products/amber-pearl-crystal-accent-statement-press-on-nails","Amber Pearl Crystal Accent Statement Press On Nails")</x:f>
        <x:v>HYPERLINK is not implemented. linkLocation=https://365nails.com/products/amber-pearl-crystal-accent-statement-press-on-nails, friendlyName=Amber Pearl Crystal Accent Statement Press On Nails</x:v>
      </x:c>
      <x:c r="D2317" s="18" t="str">
        <x:v>Color: K005; Color classification: S / M / L; Length: 5cm</x:v>
      </x:c>
      <x:c r="E2317" s="25" t="str">
        <x:v>$3.99</x:v>
      </x:c>
      <x:c r="F2317" s="19" t="str">
        <x:v>1</x:v>
      </x:c>
    </x:row>
    <x:row r="2318" ht="93" customHeight="1">
      <x:c r="A2318" s="19" t="n">
        <x:v>2315</x:v>
      </x:c>
      <x:c r="B2318" s="22" t="e">
        <x:f>HYPERLINK("https://cdn.shopify.com/s/files/1/0918/6066/4603/files/O1CN01VjZ7Tq22SYgEXHCXq__2219370087119-0-cib.jpg?v=1767094963","Open")</x:f>
        <x:v>HYPERLINK is not implemented. linkLocation=https://cdn.shopify.com/s/files/1/0918/6066/4603/files/O1CN01VjZ7Tq22SYgEXHCXq__2219370087119-0-cib.jpg?v=1767094963, friendlyName=Open</x:v>
      </x:c>
      <x:c r="C2318" s="24" t="e">
        <x:f>HYPERLINK("https://365nails.com/products/pink-jelly-long-nails-with-ab-crystal-glam-tips","Pink Jelly Long Nails with AB Crystal Glam Tips")</x:f>
        <x:v>HYPERLINK is not implemented. linkLocation=https://365nails.com/products/pink-jelly-long-nails-with-ab-crystal-glam-tips, friendlyName=Pink Jelly Long Nails with AB Crystal Glam Tips</x:v>
      </x:c>
      <x:c r="D2318" s="18" t="str">
        <x:v>Color: L (1.7/1.3/1.4/1.3/1.1)cm / M (1.6/1.2/1.3/1.2/1.0)cm / S (1.5/1.1/1.2/1.1/0.9)cm</x:v>
      </x:c>
      <x:c r="E2318" s="25" t="str">
        <x:v>$5.49</x:v>
      </x:c>
      <x:c r="F2318" s="19" t="str">
        <x:v>30</x:v>
      </x:c>
    </x:row>
    <x:row r="2319" ht="93" customHeight="1">
      <x:c r="A2319" s="19" t="n">
        <x:v>2316</x:v>
      </x:c>
      <x:c r="B2319" s="22" t="e">
        <x:f>HYPERLINK("https://cdn.shopify.com/s/files/1/0918/6066/4603/files/O1CN01ykxENv1nYJNXgE3So__2217958295101-0-cib.jpg?v=1766294464","Open")</x:f>
        <x:v>HYPERLINK is not implemented. linkLocation=https://cdn.shopify.com/s/files/1/0918/6066/4603/files/O1CN01ykxENv1nYJNXgE3So__2217958295101-0-cib.jpg?v=1766294464, friendlyName=Open</x:v>
      </x:c>
      <x:c r="C2319" s="24" t="e">
        <x:f>HYPERLINK("https://365nails.com/products/shirley-mei-cute-kids-press-on-nails-with-bow-hearts","Shirley Mei Cute Kids Press On Nails with Bow Hearts")</x:f>
        <x:v>HYPERLINK is not implemented. linkLocation=https://365nails.com/products/shirley-mei-cute-kids-press-on-nails-with-bow-hearts, friendlyName=Shirley Mei Cute Kids Press On Nails with Bow Hearts</x:v>
      </x:c>
      <x:c r="D2319" s="18" t="str">
        <x:v>Color: Shirley Mei 008; Color classification: XS (2-3 years old) / S (4-6 years old) / M (7-8 years old) / L (9-12 years old)</x:v>
      </x:c>
      <x:c r="E2319" s="25" t="str">
        <x:v>$1.99</x:v>
      </x:c>
      <x:c r="F2319" s="19" t="str">
        <x:v>1</x:v>
      </x:c>
    </x:row>
    <x:row r="2320" ht="93" customHeight="1">
      <x:c r="A2320" s="19" t="n">
        <x:v>2317</x:v>
      </x:c>
      <x:c r="B2320" s="22" t="e">
        <x:f>HYPERLINK("https://cdn.shopify.com/s/files/1/0918/6066/4603/files/O1CN01Dsbr3E2MQzes3zLWO__2219089449823-0-cib_7c3a6415-fb44-40c2-bee3-ea96f17649b1.jpg?v=1767946445","Open")</x:f>
        <x:v>HYPERLINK is not implemented. linkLocation=https://cdn.shopify.com/s/files/1/0918/6066/4603/files/O1CN01Dsbr3E2MQzes3zLWO__2219089449823-0-cib_7c3a6415-fb44-40c2-bee3-ea96f17649b1.jpg?v=1767946445, friendlyName=Open</x:v>
      </x:c>
      <x:c r="C2320" s="24" t="e">
        <x:f>HYPERLINK("https://365nails.com/products/parisian-nude-gold-relief-press-on-nails","Parisian Nude Gold Relief Press On Nails")</x:f>
        <x:v>HYPERLINK is not implemented. linkLocation=https://365nails.com/products/parisian-nude-gold-relief-press-on-nails, friendlyName=Parisian Nude Gold Relief Press On Nails</x:v>
      </x:c>
      <x:c r="D2320" s="18" t="str">
        <x:v>Color: M060; Color classification: S / M / L; Length: 5cm</x:v>
      </x:c>
      <x:c r="E2320" s="25" t="str">
        <x:v>$5.99</x:v>
      </x:c>
      <x:c r="F2320" s="19" t="str">
        <x:v>1</x:v>
      </x:c>
    </x:row>
    <x:row r="2321" ht="93" customHeight="1">
      <x:c r="A2321" s="19" t="n">
        <x:v>2318</x:v>
      </x:c>
      <x:c r="B2321" s="22" t="e">
        <x:f>HYPERLINK("https://cdn.shopify.com/s/files/1/0918/6066/4603/files/O1CN01GjM3s82MQzedtdwBx__2219089449823-0-cib_42de8f4f-e0fe-42db-9c06-483d80bff4bc.jpg?v=1767946046","Open")</x:f>
        <x:v>HYPERLINK is not implemented. linkLocation=https://cdn.shopify.com/s/files/1/0918/6066/4603/files/O1CN01GjM3s82MQzedtdwBx__2219089449823-0-cib_42de8f4f-e0fe-42db-9c06-483d80bff4bc.jpg?v=1767946046, friendlyName=Open</x:v>
      </x:c>
      <x:c r="C2321" s="24" t="e">
        <x:f>HYPERLINK("https://365nails.com/products/red-strawberry-heart-sweet-glossy-press-on-nails","Red Strawberry Heart Sweet Glossy Press On Nails")</x:f>
        <x:v>HYPERLINK is not implemented. linkLocation=https://365nails.com/products/red-strawberry-heart-sweet-glossy-press-on-nails, friendlyName=Red Strawberry Heart Sweet Glossy Press On Nails</x:v>
      </x:c>
      <x:c r="D2321" s="18" t="str">
        <x:v>Color: L133; Color classification: S / M / L; Length: 4cm</x:v>
      </x:c>
      <x:c r="E2321" s="25" t="str">
        <x:v>$4.99</x:v>
      </x:c>
      <x:c r="F2321" s="19" t="str">
        <x:v>1</x:v>
      </x:c>
    </x:row>
    <x:row r="2322" ht="93" customHeight="1">
      <x:c r="A2322" s="19" t="n">
        <x:v>2319</x:v>
      </x:c>
      <x:c r="B2322" s="22" t="e">
        <x:f>HYPERLINK("https://cdn.shopify.com/s/files/1/0918/6066/4603/files/O1CN01DCIdLx2MQzdvssG8f__2219089449823-0-cib_17a7de13-5fe6-4a3e-b391-14e9e4e137be.jpg?v=1767944658","Open")</x:f>
        <x:v>HYPERLINK is not implemented. linkLocation=https://cdn.shopify.com/s/files/1/0918/6066/4603/files/O1CN01DCIdLx2MQzdvssG8f__2219089449823-0-cib_17a7de13-5fe6-4a3e-b391-14e9e4e137be.jpg?v=1767944658, friendlyName=Open</x:v>
      </x:c>
      <x:c r="C2322" s="24" t="e">
        <x:f>HYPERLINK("https://365nails.com/products/soft-pink-snake-crystal-extra-long-coffin-press-on-nails","Soft Pink Snake Crystal Extra Long Coffin Press On Nails")</x:f>
        <x:v>HYPERLINK is not implemented. linkLocation=https://365nails.com/products/soft-pink-snake-crystal-extra-long-coffin-press-on-nails, friendlyName=Soft Pink Snake Crystal Extra Long Coffin Press On Nails</x:v>
      </x:c>
      <x:c r="D2322" s="18" t="str">
        <x:v>Color: K006; Color classification: S / M / L; Length: 4cm</x:v>
      </x:c>
      <x:c r="E2322" s="25" t="str">
        <x:v>$3.99</x:v>
      </x:c>
      <x:c r="F2322" s="19" t="str">
        <x:v>1</x:v>
      </x:c>
    </x:row>
    <x:row r="2323" ht="93" customHeight="1">
      <x:c r="A2323" s="19" t="n">
        <x:v>2320</x:v>
      </x:c>
      <x:c r="B2323" s="22" t="e">
        <x:f>HYPERLINK("https://cdn.shopify.com/s/files/1/0918/6066/4603/files/O1CN016gT1m12MQzen7XGyN__2219089449823-0-cib_024b8881-fd2d-42e6-a7ec-1530bafaa4ed.jpg?v=1767945913","Open")</x:f>
        <x:v>HYPERLINK is not implemented. linkLocation=https://cdn.shopify.com/s/files/1/0918/6066/4603/files/O1CN016gT1m12MQzen7XGyN__2219089449823-0-cib_024b8881-fd2d-42e6-a7ec-1530bafaa4ed.jpg?v=1767945913, friendlyName=Open</x:v>
      </x:c>
      <x:c r="C2323" s="24" t="e">
        <x:f>HYPERLINK("https://365nails.com/products/blush-gold-floral-crystal-luxury-press-on-nails","Blush Gold Floral Crystal Luxury Press On Nails")</x:f>
        <x:v>HYPERLINK is not implemented. linkLocation=https://365nails.com/products/blush-gold-floral-crystal-luxury-press-on-nails, friendlyName=Blush Gold Floral Crystal Luxury Press On Nails</x:v>
      </x:c>
      <x:c r="D2323" s="18" t="str">
        <x:v>Color: M063; Color classification: S / M / L; Length: 5cm</x:v>
      </x:c>
      <x:c r="E2323" s="25" t="str">
        <x:v>$5.99</x:v>
      </x:c>
      <x:c r="F2323" s="19" t="str">
        <x:v>1</x:v>
      </x:c>
    </x:row>
    <x:row r="2324" ht="93" customHeight="1">
      <x:c r="A2324" s="19" t="n">
        <x:v>2321</x:v>
      </x:c>
      <x:c r="B2324" s="22" t="e">
        <x:f>HYPERLINK("https://cdn.shopify.com/s/files/1/0918/6066/4603/files/O1CN01pFVkH622SYgIllUgp__2219370087119-0-cib.jpg?v=1767094786","Open")</x:f>
        <x:v>HYPERLINK is not implemented. linkLocation=https://cdn.shopify.com/s/files/1/0918/6066/4603/files/O1CN01pFVkH622SYgIllUgp__2219370087119-0-cib.jpg?v=1767094786, friendlyName=Open</x:v>
      </x:c>
      <x:c r="C2324" s="24" t="e">
        <x:f>HYPERLINK("https://365nails.com/products/burgundy-crystal-long-nails-with-sleek-glam-embellishments","Burgundy Crystal Long Nails with Sleek Glam Embellishments")</x:f>
        <x:v>HYPERLINK is not implemented. linkLocation=https://365nails.com/products/burgundy-crystal-long-nails-with-sleek-glam-embellishments, friendlyName=Burgundy Crystal Long Nails with Sleek Glam Embellishments</x:v>
      </x:c>
      <x:c r="D2324" s="18" t="str">
        <x:v>Color: Rouge color; Color classification: L / M / S</x:v>
      </x:c>
      <x:c r="E2324" s="25" t="str">
        <x:v>$4.99</x:v>
      </x:c>
      <x:c r="F2324" s="19" t="str">
        <x:v>30</x:v>
      </x:c>
    </x:row>
    <x:row r="2325" ht="93" customHeight="1">
      <x:c r="A2325" s="19" t="n">
        <x:v>2322</x:v>
      </x:c>
      <x:c r="B2325" s="22" t="e">
        <x:f>HYPERLINK("https://cdn.shopify.com/s/files/1/0918/6066/4603/files/O1CN017dJ5mv1CPwOWsqY97__2213196780074-0-cib.jpg?v=1764314149","Open")</x:f>
        <x:v>HYPERLINK is not implemented. linkLocation=https://cdn.shopify.com/s/files/1/0918/6066/4603/files/O1CN017dJ5mv1CPwOWsqY97__2213196780074-0-cib.jpg?v=1764314149, friendlyName=Open</x:v>
      </x:c>
      <x:c r="C2325" s="24" t="e">
        <x:f>HYPERLINK("https://365nails.com/products/colorful-halloween-cartoon-nails-with-spooky-details","Colorful Halloween Cartoon Nails with Spooky Details")</x:f>
        <x:v>HYPERLINK is not implemented. linkLocation=https://365nails.com/products/colorful-halloween-cartoon-nails-with-spooky-details, friendlyName=Colorful Halloween Cartoon Nails with Spooky Details</x:v>
      </x:c>
      <x:c r="D2325" s="18" t="str">
        <x:v>shape: 3032 - short circle; size: XS / S / M / L</x:v>
      </x:c>
      <x:c r="E2325" s="25" t="str">
        <x:v>$5.49</x:v>
      </x:c>
      <x:c r="F2325" s="19" t="str">
        <x:v>1</x:v>
      </x:c>
    </x:row>
    <x:row r="2326" ht="93" customHeight="1">
      <x:c r="A2326" s="19" t="n">
        <x:v>2323</x:v>
      </x:c>
      <x:c r="B2326" s="22" t="e">
        <x:f>HYPERLINK("https://cdn.shopify.com/s/files/1/0918/6066/4603/files/O1CN01rNg02Q1nYJQoosGwX__2217958295101-0-cib.jpg?v=1766294852","Open")</x:f>
        <x:v>HYPERLINK is not implemented. linkLocation=https://cdn.shopify.com/s/files/1/0918/6066/4603/files/O1CN01rNg02Q1nYJQoosGwX__2217958295101-0-cib.jpg?v=1766294852, friendlyName=Open</x:v>
      </x:c>
      <x:c r="C2326" s="24" t="e">
        <x:f>HYPERLINK("https://365nails.com/products/christmas-cute-kids-press-on-nails-with-festive-icons","Christmas Cute Kids Press On Nails with Festive Icons")</x:f>
        <x:v>HYPERLINK is not implemented. linkLocation=https://365nails.com/products/christmas-cute-kids-press-on-nails-with-festive-icons, friendlyName=Christmas Cute Kids Press On Nails with Festive Icons</x:v>
      </x:c>
      <x:c r="D2326" s="18" t="str">
        <x:v>Color: 070 Christmas model; Color classification: XS (2-3 years old) / S (3-5 years old) / M (5-7 years old) / L (7-12 years old)</x:v>
      </x:c>
      <x:c r="E2326" s="25" t="str">
        <x:v>$1.99</x:v>
      </x:c>
      <x:c r="F2326" s="19" t="str">
        <x:v>1</x:v>
      </x:c>
    </x:row>
    <x:row r="2327" ht="93" customHeight="1">
      <x:c r="A2327" s="19" t="n">
        <x:v>2324</x:v>
      </x:c>
      <x:c r="B2327" s="22" t="e">
        <x:f>HYPERLINK("https://cdn.shopify.com/s/files/1/0918/6066/4603/files/O1CN01k8fjyP2MQzdFwhqUd__2219089449823-0-cib.jpg?v=1767628251","Open")</x:f>
        <x:v>HYPERLINK is not implemented. linkLocation=https://cdn.shopify.com/s/files/1/0918/6066/4603/files/O1CN01k8fjyP2MQzdFwhqUd__2219089449823-0-cib.jpg?v=1767628251, friendlyName=Open</x:v>
      </x:c>
      <x:c r="C2327" s="24" t="e">
        <x:f>HYPERLINK("https://365nails.com/products/blush-gold-floral-crystal-luxury-press-on-nail-set","Blush Gold Floral Crystal Luxury Press On Nail Set")</x:f>
        <x:v>HYPERLINK is not implemented. linkLocation=https://365nails.com/products/blush-gold-floral-crystal-luxury-press-on-nail-set, friendlyName=Blush Gold Floral Crystal Luxury Press On Nail Set</x:v>
      </x:c>
      <x:c r="D2327" s="18" t="str">
        <x:v>Color: N011; Color classification: XS / S / M / L</x:v>
      </x:c>
      <x:c r="E2327" s="25" t="str">
        <x:v>$6.99</x:v>
      </x:c>
      <x:c r="F2327" s="19" t="str">
        <x:v>1</x:v>
      </x:c>
    </x:row>
    <x:row r="2328" ht="93" customHeight="1">
      <x:c r="A2328" s="19" t="n">
        <x:v>2325</x:v>
      </x:c>
      <x:c r="B2328" s="22" t="e">
        <x:f>HYPERLINK("https://cdn.shopify.com/s/files/1/0918/6066/4603/files/O1CN01yTDIAb2MQzdZONgZ9__2219089449823-0-cib_bf14583f-eb8b-48cc-8daf-00e439645288.jpg?v=1767943097","Open")</x:f>
        <x:v>HYPERLINK is not implemented. linkLocation=https://cdn.shopify.com/s/files/1/0918/6066/4603/files/O1CN01yTDIAb2MQzdZONgZ9__2219089449823-0-cib_bf14583f-eb8b-48cc-8daf-00e439645288.jpg?v=1767943097, friendlyName=Open</x:v>
      </x:c>
      <x:c r="C2328" s="24" t="e">
        <x:f>HYPERLINK("https://365nails.com/products/ivory-yellow-pearl-minimal-press-on-nail-set","Ivory Yellow Pearl Minimal Press On Nail Set")</x:f>
        <x:v>HYPERLINK is not implemented. linkLocation=https://365nails.com/products/ivory-yellow-pearl-minimal-press-on-nail-set, friendlyName=Ivory Yellow Pearl Minimal Press On Nail Set</x:v>
      </x:c>
      <x:c r="D2328" s="18" t="str">
        <x:v>Color: Jsa22; Color classification: XS / S / M / L; Length: 5cm</x:v>
      </x:c>
      <x:c r="E2328" s="25" t="str">
        <x:v>$5.99</x:v>
      </x:c>
      <x:c r="F2328" s="19" t="str">
        <x:v>1</x:v>
      </x:c>
    </x:row>
    <x:row r="2329" ht="93" customHeight="1">
      <x:c r="A2329" s="19" t="n">
        <x:v>2326</x:v>
      </x:c>
      <x:c r="B2329" s="22" t="e">
        <x:f>HYPERLINK("https://cdn.shopify.com/s/files/1/0918/6066/4603/files/O1CN011NTwp62MQzdbrMXHF__2219089449823-0-cib.jpg?v=1767943322","Open")</x:f>
        <x:v>HYPERLINK is not implemented. linkLocation=https://cdn.shopify.com/s/files/1/0918/6066/4603/files/O1CN011NTwp62MQzdbrMXHF__2219089449823-0-cib.jpg?v=1767943322, friendlyName=Open</x:v>
      </x:c>
      <x:c r="C2329" s="24" t="e">
        <x:f>HYPERLINK("https://365nails.com/products/cherry-french-white-extra-long-press-on-nails","Cherry French White Extra Long Press On Nails")</x:f>
        <x:v>HYPERLINK is not implemented. linkLocation=https://365nails.com/products/cherry-french-white-extra-long-press-on-nails, friendlyName=Cherry French White Extra Long Press On Nails</x:v>
      </x:c>
      <x:c r="D2329" s="18" t="str">
        <x:v>Color: K019; Color classification: XS / S / M / L; Length: 5cm</x:v>
      </x:c>
      <x:c r="E2329" s="25" t="str">
        <x:v>$3.99</x:v>
      </x:c>
      <x:c r="F2329" s="19" t="str">
        <x:v>1</x:v>
      </x:c>
    </x:row>
    <x:row r="2330" ht="93" customHeight="1">
      <x:c r="A2330" s="19" t="n">
        <x:v>2327</x:v>
      </x:c>
      <x:c r="B2330" s="22" t="e">
        <x:f>HYPERLINK("https://cdn.shopify.com/s/files/1/0918/6066/4603/files/3391ee22a1fc562f86941f104d098d7d.jpg?v=1766296769","Open")</x:f>
        <x:v>HYPERLINK is not implemented. linkLocation=https://cdn.shopify.com/s/files/1/0918/6066/4603/files/3391ee22a1fc562f86941f104d098d7d.jpg?v=1766296769, friendlyName=Open</x:v>
      </x:c>
      <x:c r="C2330" s="24" t="e">
        <x:f>HYPERLINK("https://365nails.com/products/christmas-cartoon-cute-kids-press-on-nails-holiday-set","Christmas Cartoon Cute Kids Press On Nails Holiday Set")</x:f>
        <x:v>HYPERLINK is not implemented. linkLocation=https://365nails.com/products/christmas-cartoon-cute-kids-press-on-nails-holiday-set, friendlyName=Christmas Cartoon Cute Kids Press On Nails Holiday Set</x:v>
      </x:c>
      <x:c r="D2330" s="18" t="str">
        <x:v>Color: 070 Christmas Elk / 071 Santa Claus / 072 Christmas apples / 061 flash Christmas cartoon / 059 flash K9 love diamond / 045 Warm Elf Butterfly / 040 wearing hat KT / 042 Princess Elsa; Color classification: Xs (2-3 years old) / S (3-4 years old) / M (4-7 years old) / L (7-10 years old)</x:v>
      </x:c>
      <x:c r="E2330" s="25" t="str">
        <x:v>$2.49</x:v>
      </x:c>
      <x:c r="F2330" s="19" t="str">
        <x:v>1</x:v>
      </x:c>
    </x:row>
    <x:row r="2331" ht="93" customHeight="1">
      <x:c r="A2331" s="19" t="n">
        <x:v>2328</x:v>
      </x:c>
      <x:c r="B2331" s="22" t="e">
        <x:f>HYPERLINK("https://cdn.shopify.com/s/files/1/0918/6066/4603/files/O1CN01It5Ndx2MQzedgocMi__2219089449823-0-cib_31fdfcab-8799-4d8b-b14e-b14668deb317.jpg?v=1767947249","Open")</x:f>
        <x:v>HYPERLINK is not implemented. linkLocation=https://cdn.shopify.com/s/files/1/0918/6066/4603/files/O1CN01It5Ndx2MQzedgocMi__2219089449823-0-cib_31fdfcab-8799-4d8b-b14e-b14668deb317.jpg?v=1767947249, friendlyName=Open</x:v>
      </x:c>
      <x:c r="C2331" s="24" t="e">
        <x:f>HYPERLINK("https://365nails.com/products/star-cross-graphic-nude-black-statement-press-on-nails","Star Cross Graphic Nude Black Statement Press On Nails")</x:f>
        <x:v>HYPERLINK is not implemented. linkLocation=https://365nails.com/products/star-cross-graphic-nude-black-statement-press-on-nails, friendlyName=Star Cross Graphic Nude Black Statement Press On Nails</x:v>
      </x:c>
      <x:c r="D2331" s="18" t="str">
        <x:v>Color: L121; Color classification: S / M / L; Length: 4cm</x:v>
      </x:c>
      <x:c r="E2331" s="25" t="str">
        <x:v>$4.99</x:v>
      </x:c>
      <x:c r="F2331" s="19" t="str">
        <x:v>1</x:v>
      </x:c>
    </x:row>
    <x:row r="2332" ht="93" customHeight="1">
      <x:c r="A2332" s="19" t="n">
        <x:v>2329</x:v>
      </x:c>
      <x:c r="B2332" s="22" t="e">
        <x:f>HYPERLINK("https://cdn.shopify.com/s/files/1/0918/6066/4603/files/O1CN01VZRl5K2MQzdFSKUnO__2219089449823-0-cib.jpg?v=1767708597","Open")</x:f>
        <x:v>HYPERLINK is not implemented. linkLocation=https://cdn.shopify.com/s/files/1/0918/6066/4603/files/O1CN01VZRl5K2MQzdFSKUnO__2219089449823-0-cib.jpg?v=1767708597, friendlyName=Open</x:v>
      </x:c>
      <x:c r="C2332" s="24" t="e">
        <x:f>HYPERLINK("https://365nails.com/products/blush-yellow-butterfly-crystal-press-on-nail-set","Blush Yellow Butterfly Crystal Press On Nail Set")</x:f>
        <x:v>HYPERLINK is not implemented. linkLocation=https://365nails.com/products/blush-yellow-butterfly-crystal-press-on-nail-set, friendlyName=Blush Yellow Butterfly Crystal Press On Nail Set</x:v>
      </x:c>
      <x:c r="D2332" s="18" t="str">
        <x:v>Color: Jsa27; Color classification: XS / S / M / L</x:v>
      </x:c>
      <x:c r="E2332" s="25" t="str">
        <x:v>$5.99</x:v>
      </x:c>
      <x:c r="F2332" s="19" t="str">
        <x:v>1</x:v>
      </x:c>
    </x:row>
    <x:row r="2333" ht="93" customHeight="1">
      <x:c r="A2333" s="19" t="n">
        <x:v>2330</x:v>
      </x:c>
      <x:c r="B2333" s="22" t="e">
        <x:f>HYPERLINK("https://cdn.shopify.com/s/files/1/0918/6066/4603/files/O1CN01MgxAHi2MQzdfyMgRF__2219089449823-0-cib_1311a63f-2c5a-4c84-afd3-a0d5ffb4c9c7.jpg?v=1767947913","Open")</x:f>
        <x:v>HYPERLINK is not implemented. linkLocation=https://cdn.shopify.com/s/files/1/0918/6066/4603/files/O1CN01MgxAHi2MQzdfyMgRF__2219089449823-0-cib_1311a63f-2c5a-4c84-afd3-a0d5ffb4c9c7.jpg?v=1767947913, friendlyName=Open</x:v>
      </x:c>
      <x:c r="C2333" s="24" t="e">
        <x:f>HYPERLINK("https://365nails.com/products/glossy-pink-crystal-extra-long-press-on-nails","Glossy Pink Crystal Extra Long Press On Nails")</x:f>
        <x:v>HYPERLINK is not implemented. linkLocation=https://365nails.com/products/glossy-pink-crystal-extra-long-press-on-nails, friendlyName=Glossy Pink Crystal Extra Long Press On Nails</x:v>
      </x:c>
      <x:c r="D2333" s="18" t="str">
        <x:v>Color: L211; Color classification: XS / S / M / L; Length: 5cm</x:v>
      </x:c>
      <x:c r="E2333" s="25" t="str">
        <x:v>$4.99</x:v>
      </x:c>
      <x:c r="F2333" s="19" t="str">
        <x:v>1</x:v>
      </x:c>
    </x:row>
    <x:row r="2334" ht="93" customHeight="1">
      <x:c r="A2334" s="19" t="n">
        <x:v>2331</x:v>
      </x:c>
      <x:c r="B2334" s="22" t="e">
        <x:f>HYPERLINK("https://cdn.shopify.com/s/files/1/0918/6066/4603/files/O1CN01ESGUqu2MQzeevAADz__2219089449823-0-cib_3b93e4b8-1f80-4fd3-b52b-df205dc7762b.jpg?v=1767946020","Open")</x:f>
        <x:v>HYPERLINK is not implemented. linkLocation=https://cdn.shopify.com/s/files/1/0918/6066/4603/files/O1CN01ESGUqu2MQzeevAADz__2219089449823-0-cib_3b93e4b8-1f80-4fd3-b52b-df205dc7762b.jpg?v=1767946020, friendlyName=Open</x:v>
      </x:c>
      <x:c r="C2334" s="24" t="e">
        <x:f>HYPERLINK("https://365nails.com/products/ocean-blue-crystal-star-heart-glitter-press-on-nails","Ocean Blue Crystal Star Heart Glitter Press On Nails")</x:f>
        <x:v>HYPERLINK is not implemented. linkLocation=https://365nails.com/products/ocean-blue-crystal-star-heart-glitter-press-on-nails, friendlyName=Ocean Blue Crystal Star Heart Glitter Press On Nails</x:v>
      </x:c>
      <x:c r="D2334" s="18" t="str">
        <x:v>Color: M038; Color classification: S / M / L; Length: 5cm</x:v>
      </x:c>
      <x:c r="E2334" s="25" t="str">
        <x:v>$5.99</x:v>
      </x:c>
      <x:c r="F2334" s="19" t="str">
        <x:v>1</x:v>
      </x:c>
    </x:row>
    <x:row r="2335" ht="93" customHeight="1">
      <x:c r="A2335" s="19" t="n">
        <x:v>2332</x:v>
      </x:c>
      <x:c r="B2335" s="22" t="e">
        <x:f>HYPERLINK("https://cdn.shopify.com/s/files/1/0918/6066/4603/files/O1CN01RKJJ1z22SYgE9By65__2219370087119-0-cib.jpg?v=1767184972","Open")</x:f>
        <x:v>HYPERLINK is not implemented. linkLocation=https://cdn.shopify.com/s/files/1/0918/6066/4603/files/O1CN01RKJJ1z22SYgE9By65__2219370087119-0-cib.jpg?v=1767184972, friendlyName=Open</x:v>
      </x:c>
      <x:c r="C2335" s="24" t="e">
        <x:f>HYPERLINK("https://365nails.com/products/multicolor-crystal-full-cover-statement-press-on-nails","Multicolor Crystal Full Cover Statement Press On Nails")</x:f>
        <x:v>HYPERLINK is not implemented. linkLocation=https://365nails.com/products/multicolor-crystal-full-cover-statement-press-on-nails, friendlyName=Multicolor Crystal Full Cover Statement Press On Nails</x:v>
      </x:c>
      <x:c r="D2335" s="18" t="str">
        <x:v>Color: Rose red; Color classification: L / M / S</x:v>
      </x:c>
      <x:c r="E2335" s="25" t="str">
        <x:v>$3.99</x:v>
      </x:c>
      <x:c r="F2335" s="19" t="str">
        <x:v>30</x:v>
      </x:c>
    </x:row>
    <x:row r="2336" ht="93" customHeight="1">
      <x:c r="A2336" s="19" t="n">
        <x:v>2333</x:v>
      </x:c>
      <x:c r="B2336" s="22" t="e">
        <x:f>HYPERLINK("https://cdn.shopify.com/s/files/1/0918/6066/4603/files/O1CN017ceENY2MQzexICbUC__2219089449823-0-cib.jpg?v=1767849226","Open")</x:f>
        <x:v>HYPERLINK is not implemented. linkLocation=https://cdn.shopify.com/s/files/1/0918/6066/4603/files/O1CN017ceENY2MQzexICbUC__2219089449823-0-cib.jpg?v=1767849226, friendlyName=Open</x:v>
      </x:c>
      <x:c r="C2336" s="24" t="e">
        <x:f>HYPERLINK("https://365nails.com/products/soft-nude-french-bow-crystal-elegance-press-on-nails","Soft Nude French Bow Crystal Elegance Press On Nails")</x:f>
        <x:v>HYPERLINK is not implemented. linkLocation=https://365nails.com/products/soft-nude-french-bow-crystal-elegance-press-on-nails, friendlyName=Soft Nude French Bow Crystal Elegance Press On Nails</x:v>
      </x:c>
      <x:c r="D2336" s="18" t="str">
        <x:v>Color: M057; Color classification: S / M / L</x:v>
      </x:c>
      <x:c r="E2336" s="25" t="str">
        <x:v>$5.99</x:v>
      </x:c>
      <x:c r="F2336" s="19" t="str">
        <x:v>1</x:v>
      </x:c>
    </x:row>
    <x:row r="2337" ht="93" customHeight="1">
      <x:c r="A2337" s="19" t="n">
        <x:v>2334</x:v>
      </x:c>
      <x:c r="B2337" s="22" t="e">
        <x:f>HYPERLINK("https://cdn.shopify.com/s/files/1/0918/6066/4603/files/O1CN01N04xIf22SYgCGSpfz__2219370087119-0-cib.jpg?v=1767095046","Open")</x:f>
        <x:v>HYPERLINK is not implemented. linkLocation=https://cdn.shopify.com/s/files/1/0918/6066/4603/files/O1CN01N04xIf22SYgCGSpfz__2219370087119-0-cib.jpg?v=1767095046, friendlyName=Open</x:v>
      </x:c>
      <x:c r="C2337" s="24" t="e">
        <x:f>HYPERLINK("https://365nails.com/products/nude-gloss-nails-with-ab-crystal-luxe-accents","Nude Gloss Nails with AB Crystal Luxe Accents")</x:f>
        <x:v>HYPERLINK is not implemented. linkLocation=https://365nails.com/products/nude-gloss-nails-with-ab-crystal-luxe-accents, friendlyName=Nude Gloss Nails with AB Crystal Luxe Accents</x:v>
      </x:c>
      <x:c r="D2337" s="18" t="str">
        <x:v>Color: (l（1.7/1.3/1.4/1.3/1.1)cm) / M (1.6/1.2/1.3/1.2/1.0)cm / S (1.5/1.1/1.2/1.1/0.9)cm</x:v>
      </x:c>
      <x:c r="E2337" s="25" t="str">
        <x:v>$4.99</x:v>
      </x:c>
      <x:c r="F2337" s="19" t="str">
        <x:v>30</x:v>
      </x:c>
    </x:row>
    <x:row r="2338" ht="93" customHeight="1">
      <x:c r="A2338" s="19" t="n">
        <x:v>2335</x:v>
      </x:c>
      <x:c r="B2338" s="22" t="e">
        <x:f>HYPERLINK("https://cdn.shopify.com/s/files/1/0918/6066/4603/files/O1CN0146YLf62MQzdKOhLQO__2219089449823-0-cib.jpg?v=1767709184","Open")</x:f>
        <x:v>HYPERLINK is not implemented. linkLocation=https://cdn.shopify.com/s/files/1/0918/6066/4603/files/O1CN0146YLf62MQzdKOhLQO__2219089449823-0-cib.jpg?v=1767709184, friendlyName=Open</x:v>
      </x:c>
      <x:c r="C2338" s="24" t="e">
        <x:f>HYPERLINK("https://365nails.com/products/hand-painted-floral-gradient-luxury-press-on-nails","Hand Painted Floral Gradient Luxury Press On Nails")</x:f>
        <x:v>HYPERLINK is not implemented. linkLocation=https://365nails.com/products/hand-painted-floral-gradient-luxury-press-on-nails, friendlyName=Hand Painted Floral Gradient Luxury Press On Nails</x:v>
      </x:c>
      <x:c r="D2338" s="18" t="str">
        <x:v>Color: Jsa25; Color classification: XS / S / M / L</x:v>
      </x:c>
      <x:c r="E2338" s="25" t="str">
        <x:v>$5.99</x:v>
      </x:c>
      <x:c r="F2338" s="19" t="str">
        <x:v>1</x:v>
      </x:c>
    </x:row>
    <x:row r="2339" ht="93" customHeight="1">
      <x:c r="A2339" s="19" t="n">
        <x:v>2336</x:v>
      </x:c>
      <x:c r="B2339" s="22" t="e">
        <x:f>HYPERLINK("https://cdn.shopify.com/s/files/1/0918/6066/4603/files/O1CN012gDaTy2MQze4HdGB9__2219089449823-0-cib.jpg?v=1767945784","Open")</x:f>
        <x:v>HYPERLINK is not implemented. linkLocation=https://cdn.shopify.com/s/files/1/0918/6066/4603/files/O1CN012gDaTy2MQze4HdGB9__2219089449823-0-cib.jpg?v=1767945784, friendlyName=Open</x:v>
      </x:c>
      <x:c r="C2339" s="24" t="e">
        <x:f>HYPERLINK("https://365nails.com/products/pink-lavender-butterfly-crystal-glam-press-on-nails","Pink Lavender Butterfly Crystal Glam Press On Nails")</x:f>
        <x:v>HYPERLINK is not implemented. linkLocation=https://365nails.com/products/pink-lavender-butterfly-crystal-glam-press-on-nails, friendlyName=Pink Lavender Butterfly Crystal Glam Press On Nails</x:v>
      </x:c>
      <x:c r="D2339" s="18" t="str">
        <x:v>Color: M084; Color classification: S / M / L; Length: 5cm</x:v>
      </x:c>
      <x:c r="E2339" s="25" t="str">
        <x:v>$5.99</x:v>
      </x:c>
      <x:c r="F2339" s="19" t="str">
        <x:v>1</x:v>
      </x:c>
    </x:row>
    <x:row r="2340" ht="93" customHeight="1">
      <x:c r="A2340" s="19" t="n">
        <x:v>2337</x:v>
      </x:c>
      <x:c r="B2340" s="22" t="e">
        <x:f>HYPERLINK("https://cdn.shopify.com/s/files/1/0918/6066/4603/files/O1CN017MJsZq2MQzdCAUkuO__2219089449823-0-cib_2f872d76-70a4-4184-a699-f73f5a12be35.jpg?v=1767942591","Open")</x:f>
        <x:v>HYPERLINK is not implemented. linkLocation=https://cdn.shopify.com/s/files/1/0918/6066/4603/files/O1CN017MJsZq2MQzdCAUkuO__2219089449823-0-cib_2f872d76-70a4-4184-a699-f73f5a12be35.jpg?v=1767942591, friendlyName=Open</x:v>
      </x:c>
      <x:c r="C2340" s="24" t="e">
        <x:f>HYPERLINK("https://365nails.com/products/sweet-amber-floral-gradient-crystal-art-press-on-nail-set","Sweet Amber Floral Gradient Crystal Art Press On Nail Set")</x:f>
        <x:v>HYPERLINK is not implemented. linkLocation=https://365nails.com/products/sweet-amber-floral-gradient-crystal-art-press-on-nail-set, friendlyName=Sweet Amber Floral Gradient Crystal Art Press On Nail Set</x:v>
      </x:c>
      <x:c r="D2340" s="18" t="str">
        <x:v>Color: Jsa29; Color classification: XS / S / M / L</x:v>
      </x:c>
      <x:c r="E2340" s="25" t="str">
        <x:v>$5.99</x:v>
      </x:c>
      <x:c r="F2340" s="19" t="str">
        <x:v>1</x:v>
      </x:c>
    </x:row>
    <x:row r="2341" ht="93" customHeight="1">
      <x:c r="A2341" s="19" t="n">
        <x:v>2338</x:v>
      </x:c>
      <x:c r="B2341" s="22" t="e">
        <x:f>HYPERLINK("https://cdn.shopify.com/s/files/1/0918/6066/4603/files/O1CN01Gam5yQ2MQzecDVL0j__2219089449823-0-cib.jpg?v=1767790121","Open")</x:f>
        <x:v>HYPERLINK is not implemented. linkLocation=https://cdn.shopify.com/s/files/1/0918/6066/4603/files/O1CN01Gam5yQ2MQzecDVL0j__2219089449823-0-cib.jpg?v=1767790121, friendlyName=Open</x:v>
      </x:c>
      <x:c r="C2341" s="24" t="e">
        <x:f>HYPERLINK("https://365nails.com/products/colorful-hand-painted-floral-art-press-on-nails","Colorful Hand Painted Floral Art Press On Nails")</x:f>
        <x:v>HYPERLINK is not implemented. linkLocation=https://365nails.com/products/colorful-hand-painted-floral-art-press-on-nails, friendlyName=Colorful Hand Painted Floral Art Press On Nails</x:v>
      </x:c>
      <x:c r="D2341" s="18" t="str">
        <x:v>Color: L159; Color classification: XS / S / M / L</x:v>
      </x:c>
      <x:c r="E2341" s="25" t="str">
        <x:v>$4.99</x:v>
      </x:c>
      <x:c r="F2341" s="19" t="str">
        <x:v>1</x:v>
      </x:c>
    </x:row>
    <x:row r="2342" ht="93" customHeight="1">
      <x:c r="A2342" s="19" t="n">
        <x:v>2339</x:v>
      </x:c>
      <x:c r="B2342" s="22" t="e">
        <x:f>HYPERLINK("https://cdn.shopify.com/s/files/1/0918/6066/4603/files/O1CN01mSN0Pj2MQzdt2AJ3S__2219089449823-0-cib_bda2999c-5c50-4f69-8ef2-35b3eeb0b346.jpg?v=1767944943","Open")</x:f>
        <x:v>HYPERLINK is not implemented. linkLocation=https://cdn.shopify.com/s/files/1/0918/6066/4603/files/O1CN01mSN0Pj2MQzdt2AJ3S__2219089449823-0-cib_bda2999c-5c50-4f69-8ef2-35b3eeb0b346.jpg?v=1767944943, friendlyName=Open</x:v>
      </x:c>
      <x:c r="C2342" s="24" t="e">
        <x:f>HYPERLINK("https://365nails.com/products/pure-white-bow-lace-elegant-press-on-nails","Pure White Bow Lace Elegant Press On Nails")</x:f>
        <x:v>HYPERLINK is not implemented. linkLocation=https://365nails.com/products/pure-white-bow-lace-elegant-press-on-nails, friendlyName=Pure White Bow Lace Elegant Press On Nails</x:v>
      </x:c>
      <x:c r="D2342" s="18" t="str">
        <x:v>Color: K010; Color classification: S / M / L; Length: 4cm</x:v>
      </x:c>
      <x:c r="E2342" s="25" t="str">
        <x:v>$3.99</x:v>
      </x:c>
      <x:c r="F2342" s="19" t="str">
        <x:v>1</x:v>
      </x:c>
    </x:row>
    <x:row r="2343" ht="93" customHeight="1">
      <x:c r="A2343" s="19" t="n">
        <x:v>2340</x:v>
      </x:c>
      <x:c r="B2343" s="22" t="e">
        <x:f>HYPERLINK("https://cdn.shopify.com/s/files/1/0918/6066/4603/files/O1CN01WqvL291H93s8lZbP8__6000000000714-0-cib_abc99518-e5d5-458e-b874-b51d97a693b0.jpg?v=1767943348","Open")</x:f>
        <x:v>HYPERLINK is not implemented. linkLocation=https://cdn.shopify.com/s/files/1/0918/6066/4603/files/O1CN01WqvL291H93s8lZbP8__6000000000714-0-cib_abc99518-e5d5-458e-b874-b51d97a693b0.jpg?v=1767943348, friendlyName=Open</x:v>
      </x:c>
      <x:c r="C2343" s="24" t="e">
        <x:f>HYPERLINK("https://365nails.com/products/soft-pearl-floral-extra-long-press-on-nails","Soft Pearl Floral Extra Long Press On Nails")</x:f>
        <x:v>HYPERLINK is not implemented. linkLocation=https://365nails.com/products/soft-pearl-floral-extra-long-press-on-nails, friendlyName=Soft Pearl Floral Extra Long Press On Nails</x:v>
      </x:c>
      <x:c r="D2343" s="18" t="str">
        <x:v>Color: Js b15; Color classification: XS / S / M / L; Length: 5cm</x:v>
      </x:c>
      <x:c r="E2343" s="25" t="str">
        <x:v>$6.99</x:v>
      </x:c>
      <x:c r="F2343" s="19" t="str">
        <x:v>1</x:v>
      </x:c>
    </x:row>
    <x:row r="2344" ht="93" customHeight="1">
      <x:c r="A2344" s="19" t="n">
        <x:v>2341</x:v>
      </x:c>
      <x:c r="B2344" s="22" t="e">
        <x:f>HYPERLINK("https://cdn.shopify.com/s/files/1/0918/6066/4603/files/O1CN01mPopkD2MQzeyMqon5__2219089449823-0-cib_678804e3-c67c-4a0c-956c-72c68842ac1d.jpg?v=1767946628","Open")</x:f>
        <x:v>HYPERLINK is not implemented. linkLocation=https://cdn.shopify.com/s/files/1/0918/6066/4603/files/O1CN01mPopkD2MQzeyMqon5__2219089449823-0-cib_678804e3-c67c-4a0c-956c-72c68842ac1d.jpg?v=1767946628, friendlyName=Open</x:v>
      </x:c>
      <x:c r="C2344" s="24" t="e">
        <x:f>HYPERLINK("https://365nails.com/products/green-polka-dot-butterfly-sculpted-art-press-on-nails","Green Polka Dot Butterfly Sculpted Art Press On Nails")</x:f>
        <x:v>HYPERLINK is not implemented. linkLocation=https://365nails.com/products/green-polka-dot-butterfly-sculpted-art-press-on-nails, friendlyName=Green Polka Dot Butterfly Sculpted Art Press On Nails</x:v>
      </x:c>
      <x:c r="D2344" s="18" t="str">
        <x:v>Color: O004; Color classification: XS / S / M / L; Length: 5cm</x:v>
      </x:c>
      <x:c r="E2344" s="25" t="str">
        <x:v>$13.49</x:v>
      </x:c>
      <x:c r="F2344" s="19" t="str">
        <x:v>1</x:v>
      </x:c>
    </x:row>
    <x:row r="2345" ht="93" customHeight="1">
      <x:c r="A2345" s="19" t="n">
        <x:v>2342</x:v>
      </x:c>
      <x:c r="B2345" s="22" t="e">
        <x:f>HYPERLINK("https://cdn.shopify.com/s/files/1/0918/6066/4603/files/O1CN01il5so32MQzeY5GsIG__2219089449823-0-cib_8b2c63de-9d6d-4502-a08b-f2a9bd8b58fa.jpg?v=1767945943","Open")</x:f>
        <x:v>HYPERLINK is not implemented. linkLocation=https://cdn.shopify.com/s/files/1/0918/6066/4603/files/O1CN01il5so32MQzeY5GsIG__2219089449823-0-cib_8b2c63de-9d6d-4502-a08b-f2a9bd8b58fa.jpg?v=1767945943, friendlyName=Open</x:v>
      </x:c>
      <x:c r="C2345" s="24" t="e">
        <x:f>HYPERLINK("https://365nails.com/products/red-silver-metallic-cross-statement-press-on-nails","Red Silver Metallic Cross Statement Press On Nails")</x:f>
        <x:v>HYPERLINK is not implemented. linkLocation=https://365nails.com/products/red-silver-metallic-cross-statement-press-on-nails, friendlyName=Red Silver Metallic Cross Statement Press On Nails</x:v>
      </x:c>
      <x:c r="D2345" s="18" t="str">
        <x:v>Color: M069; Color classification: S / M / L; Length: 5cm</x:v>
      </x:c>
      <x:c r="E2345" s="25" t="str">
        <x:v>$5.99</x:v>
      </x:c>
      <x:c r="F2345" s="19" t="str">
        <x:v>1</x:v>
      </x:c>
    </x:row>
    <x:row r="2346" ht="93" customHeight="1">
      <x:c r="A2346" s="19" t="n">
        <x:v>2343</x:v>
      </x:c>
      <x:c r="B2346" s="22" t="e">
        <x:f>HYPERLINK("https://cdn.shopify.com/s/files/1/0918/6066/4603/files/O1CN01AN3Gsu2MQzdy5wMQ8__2219089449823-0-cib_511e6af1-9ec9-455f-8878-9e527eeecd4a.jpg?v=1767712377","Open")</x:f>
        <x:v>HYPERLINK is not implemented. linkLocation=https://cdn.shopify.com/s/files/1/0918/6066/4603/files/O1CN01AN3Gsu2MQzdy5wMQ8__2219089449823-0-cib_511e6af1-9ec9-455f-8878-9e527eeecd4a.jpg?v=1767712377, friendlyName=Open</x:v>
      </x:c>
      <x:c r="C2346" s="24" t="e">
        <x:f>HYPERLINK("https://365nails.com/products/pink-floral-ins-style-long-press-on-nails","Pink Floral INS Style Long Press On Nails")</x:f>
        <x:v>HYPERLINK is not implemented. linkLocation=https://365nails.com/products/pink-floral-ins-style-long-press-on-nails, friendlyName=Pink Floral INS Style Long Press On Nails</x:v>
      </x:c>
      <x:c r="D2346" s="18" t="str">
        <x:v>Color: Jsa05; Color classification: S / M / L; Length: 4cm</x:v>
      </x:c>
      <x:c r="E2346" s="25" t="str">
        <x:v>$5.99</x:v>
      </x:c>
      <x:c r="F2346" s="19" t="str">
        <x:v>1</x:v>
      </x:c>
    </x:row>
    <x:row r="2347" ht="93" customHeight="1">
      <x:c r="A2347" s="19" t="n">
        <x:v>2344</x:v>
      </x:c>
      <x:c r="B2347" s="22" t="e">
        <x:f>HYPERLINK("https://cdn.shopify.com/s/files/1/0918/6066/4603/files/O1CN01QYd1CS22SYgPj78Nv__2219370087119-0-cib.jpg?v=1767236152","Open")</x:f>
        <x:v>HYPERLINK is not implemented. linkLocation=https://cdn.shopify.com/s/files/1/0918/6066/4603/files/O1CN01QYd1CS22SYgPj78Nv__2219370087119-0-cib.jpg?v=1767236152, friendlyName=Open</x:v>
      </x:c>
      <x:c r="C2347" s="24" t="e">
        <x:f>HYPERLINK("https://365nails.com/products/red-gold-cross-baroque-french-press-on-nails","Red Gold Cross Baroque French Press On Nails")</x:f>
        <x:v>HYPERLINK is not implemented. linkLocation=https://365nails.com/products/red-gold-cross-baroque-french-press-on-nails, friendlyName=Red Gold Cross Baroque French Press On Nails</x:v>
      </x:c>
      <x:c r="D2347" s="18" t="str">
        <x:v>Color: L (1.7/1.3/1.4/1.3/1.1)cm / M (1.6/1.2/1.3/1.2/1.0)cm / S (1.5/1.1/1.2/1.1/0.9)cm</x:v>
      </x:c>
      <x:c r="E2347" s="25" t="str">
        <x:v>$5.49</x:v>
      </x:c>
      <x:c r="F2347" s="19" t="str">
        <x:v>30</x:v>
      </x:c>
    </x:row>
    <x:row r="2348" ht="93" customHeight="1">
      <x:c r="A2348" s="19" t="n">
        <x:v>2345</x:v>
      </x:c>
      <x:c r="B2348" s="22" t="e">
        <x:f>HYPERLINK("https://cdn.shopify.com/s/files/1/0918/6066/4603/files/O1CN01IIyBxX2MQzdgoR4WW__2219089449823-0-cib_0ea482c0-e8ab-4658-bb1d-f5e931de3e9b.jpg?v=1767947214","Open")</x:f>
        <x:v>HYPERLINK is not implemented. linkLocation=https://cdn.shopify.com/s/files/1/0918/6066/4603/files/O1CN01IIyBxX2MQzdgoR4WW__2219089449823-0-cib_0ea482c0-e8ab-4658-bb1d-f5e931de3e9b.jpg?v=1767947214, friendlyName=Open</x:v>
      </x:c>
      <x:c r="C2348" s="24" t="e">
        <x:f>HYPERLINK("https://365nails.com/products/nude-gradient-speckled-floral-art-press-on-nails","Nude Gradient Speckled Floral Art Press On Nails")</x:f>
        <x:v>HYPERLINK is not implemented. linkLocation=https://365nails.com/products/nude-gradient-speckled-floral-art-press-on-nails, friendlyName=Nude Gradient Speckled Floral Art Press On Nails</x:v>
      </x:c>
      <x:c r="D2348" s="18" t="str">
        <x:v>Color: Js b10; Color classification: S / M / L; Length: 4cm</x:v>
      </x:c>
      <x:c r="E2348" s="25" t="str">
        <x:v>$6.49</x:v>
      </x:c>
      <x:c r="F2348" s="19" t="str">
        <x:v>1</x:v>
      </x:c>
    </x:row>
    <x:row r="2349" ht="93" customHeight="1">
      <x:c r="A2349" s="19" t="n">
        <x:v>2346</x:v>
      </x:c>
      <x:c r="B2349" s="22" t="e">
        <x:f>HYPERLINK("https://cdn.shopify.com/s/files/1/0918/6066/4603/files/O1CN01kmh1Ng1q1HiT7AAFO__6000000005435-0-cib.jpg?v=1767945740","Open")</x:f>
        <x:v>HYPERLINK is not implemented. linkLocation=https://cdn.shopify.com/s/files/1/0918/6066/4603/files/O1CN01kmh1Ng1q1HiT7AAFO__6000000005435-0-cib.jpg?v=1767945740, friendlyName=Open</x:v>
      </x:c>
      <x:c r="C2349" s="24" t="e">
        <x:f>HYPERLINK("https://365nails.com/products/colorful-candy-bear-jelly-cute-press-on-nails","Colorful Candy Bear Jelly Cute Press On Nails")</x:f>
        <x:v>HYPERLINK is not implemented. linkLocation=https://365nails.com/products/colorful-candy-bear-jelly-cute-press-on-nails, friendlyName=Colorful Candy Bear Jelly Cute Press On Nails</x:v>
      </x:c>
      <x:c r="D2349" s="18" t="str">
        <x:v>Color: M070; Color classification: S / M / L; Length: 5cm</x:v>
      </x:c>
      <x:c r="E2349" s="25" t="str">
        <x:v>$5.99</x:v>
      </x:c>
      <x:c r="F2349" s="19" t="str">
        <x:v>1</x:v>
      </x:c>
    </x:row>
    <x:row r="2350" ht="93" customHeight="1">
      <x:c r="A2350" s="19" t="n">
        <x:v>2347</x:v>
      </x:c>
      <x:c r="B2350" s="22" t="e">
        <x:f>HYPERLINK("https://cdn.shopify.com/s/files/1/0918/6066/4603/files/O1CN0186Kndc2MQzdxWw9Pg__2219089449823-0-cib_9d99cdae-28a7-46e9-abc5-2fe2364c4d72.jpg?v=1767945672","Open")</x:f>
        <x:v>HYPERLINK is not implemented. linkLocation=https://cdn.shopify.com/s/files/1/0918/6066/4603/files/O1CN0186Kndc2MQzdxWw9Pg__2219089449823-0-cib_9d99cdae-28a7-46e9-abc5-2fe2364c4d72.jpg?v=1767945672, friendlyName=Open</x:v>
      </x:c>
      <x:c r="C2350" s="24" t="e">
        <x:f>HYPERLINK("https://365nails.com/products/nude-crystal-floral-elegant-luxury-press-on-nails","Nude Crystal Floral Elegant Luxury Press On Nails")</x:f>
        <x:v>HYPERLINK is not implemented. linkLocation=https://365nails.com/products/nude-crystal-floral-elegant-luxury-press-on-nails, friendlyName=Nude Crystal Floral Elegant Luxury Press On Nails</x:v>
      </x:c>
      <x:c r="D2350" s="18" t="str">
        <x:v>Color: M090; Color classification: S / M / L; Length: 5cm</x:v>
      </x:c>
      <x:c r="E2350" s="25" t="str">
        <x:v>$5.99</x:v>
      </x:c>
      <x:c r="F2350" s="19" t="str">
        <x:v>1</x:v>
      </x:c>
    </x:row>
    <x:row r="2351" ht="93" customHeight="1">
      <x:c r="A2351" s="19" t="n">
        <x:v>2348</x:v>
      </x:c>
      <x:c r="B2351" s="22" t="e">
        <x:f>HYPERLINK("https://cdn.shopify.com/s/files/1/0918/6066/4603/files/O1CN01qQV7z222SYgAkXYdC__2219370087119-0-cib.jpg?v=1767236766","Open")</x:f>
        <x:v>HYPERLINK is not implemented. linkLocation=https://cdn.shopify.com/s/files/1/0918/6066/4603/files/O1CN01qQV7z222SYgAkXYdC__2219370087119-0-cib.jpg?v=1767236766, friendlyName=Open</x:v>
      </x:c>
      <x:c r="C2351" s="24" t="e">
        <x:f>HYPERLINK("https://365nails.com/products/hot-pink-glossy-long-square-press-on-nails","Hot Pink Glossy Long Square Press On Nails")</x:f>
        <x:v>HYPERLINK is not implemented. linkLocation=https://365nails.com/products/hot-pink-glossy-long-square-press-on-nails, friendlyName=Hot Pink Glossy Long Square Press On Nails</x:v>
      </x:c>
      <x:c r="D2351" s="18" t="str">
        <x:v>Color: L (1.7/1.3/1.4/1.3/1.1)cm / M (1.6/1.2/1.3/1.2/1.0)cm / S (1.5/1.1/1.2/1.1/0.9)cm</x:v>
      </x:c>
      <x:c r="E2351" s="25" t="str">
        <x:v>$3.99</x:v>
      </x:c>
      <x:c r="F2351" s="19" t="str">
        <x:v>30</x:v>
      </x:c>
    </x:row>
    <x:row r="2352" ht="93" customHeight="1">
      <x:c r="A2352" s="19" t="n">
        <x:v>2349</x:v>
      </x:c>
      <x:c r="B2352" s="22" t="e">
        <x:f>HYPERLINK("https://cdn.shopify.com/s/files/1/0918/6066/4603/files/O1CN01WlMhqx2MQzfWELa0I__2219089449823-0-cib_f70f6618-9551-427e-8db4-5e2b9b54ab0e.jpg?v=1767946708","Open")</x:f>
        <x:v>HYPERLINK is not implemented. linkLocation=https://cdn.shopify.com/s/files/1/0918/6066/4603/files/O1CN01WlMhqx2MQzfWELa0I__2219089449823-0-cib_f70f6618-9551-427e-8db4-5e2b9b54ab0e.jpg?v=1767946708, friendlyName=Open</x:v>
      </x:c>
      <x:c r="C2352" s="24" t="e">
        <x:f>HYPERLINK("https://365nails.com/products/red-linear-crystal-accent-modern-press-on-nails","Red Linear Crystal Accent Modern Press On Nails")</x:f>
        <x:v>HYPERLINK is not implemented. linkLocation=https://365nails.com/products/red-linear-crystal-accent-modern-press-on-nails, friendlyName=Red Linear Crystal Accent Modern Press On Nails</x:v>
      </x:c>
      <x:c r="D2352" s="18" t="str">
        <x:v>Color: M042; Color classification: S / M / L; Length: 5cm</x:v>
      </x:c>
      <x:c r="E2352" s="25" t="str">
        <x:v>$5.99</x:v>
      </x:c>
      <x:c r="F2352" s="19" t="str">
        <x:v>1</x:v>
      </x:c>
    </x:row>
    <x:row r="2353" ht="93" customHeight="1">
      <x:c r="A2353" s="19" t="n">
        <x:v>2350</x:v>
      </x:c>
      <x:c r="B2353" s="22" t="e">
        <x:f>HYPERLINK("https://cdn.shopify.com/s/files/1/0918/6066/4603/files/O1CN01OmpJ4O2MQze08WtEI__2219089449823-0-cib_240968bf-ec67-4c81-b219-d8608cdbeff4.jpg?v=1767945303","Open")</x:f>
        <x:v>HYPERLINK is not implemented. linkLocation=https://cdn.shopify.com/s/files/1/0918/6066/4603/files/O1CN01OmpJ4O2MQze08WtEI__2219089449823-0-cib_240968bf-ec67-4c81-b219-d8608cdbeff4.jpg?v=1767945303, friendlyName=Open</x:v>
      </x:c>
      <x:c r="C2353" s="24" t="e">
        <x:f>HYPERLINK("https://365nails.com/products/purple-gothic-rose-crystal-statement-press-on-nails","Purple Gothic Rose Crystal Statement Press On Nails")</x:f>
        <x:v>HYPERLINK is not implemented. linkLocation=https://365nails.com/products/purple-gothic-rose-crystal-statement-press-on-nails, friendlyName=Purple Gothic Rose Crystal Statement Press On Nails</x:v>
      </x:c>
      <x:c r="D2353" s="18" t="str">
        <x:v>Color: M088; Color classification: S / M / L; Length: 5cm</x:v>
      </x:c>
      <x:c r="E2353" s="25" t="str">
        <x:v>$5.99</x:v>
      </x:c>
      <x:c r="F2353" s="19" t="str">
        <x:v>1</x:v>
      </x:c>
    </x:row>
    <x:row r="2354" ht="93" customHeight="1">
      <x:c r="A2354" s="19" t="n">
        <x:v>2351</x:v>
      </x:c>
      <x:c r="B2354" s="22" t="e">
        <x:f>HYPERLINK("https://cdn.shopify.com/s/files/1/0918/6066/4603/files/O1CN018rmmsP22SYgNVt0kD__2219370087119-0-cib.jpg?v=1767183405","Open")</x:f>
        <x:v>HYPERLINK is not implemented. linkLocation=https://cdn.shopify.com/s/files/1/0918/6066/4603/files/O1CN018rmmsP22SYgNVt0kD__2219370087119-0-cib.jpg?v=1767183405, friendlyName=Open</x:v>
      </x:c>
      <x:c r="C2354" s="24" t="e">
        <x:f>HYPERLINK("https://365nails.com/products/peach-crystal-bow-press-on-nails","Peach Crystal Bow Press On Nails")</x:f>
        <x:v>HYPERLINK is not implemented. linkLocation=https://365nails.com/products/peach-crystal-bow-press-on-nails, friendlyName=Peach Crystal Bow Press On Nails</x:v>
      </x:c>
      <x:c r="D2354" s="18" t="str">
        <x:v>Color: White; Color classification: L (1.7/1.3/1.4/1.3/1.1)cm / M (1.6/1.2/1.3/1.2/1.0)cm / S (1.5/1.1/1.2/1.1/0.9)cm</x:v>
      </x:c>
      <x:c r="E2354" s="25" t="str">
        <x:v>$4.99</x:v>
      </x:c>
      <x:c r="F2354" s="19" t="str">
        <x:v>30</x:v>
      </x:c>
    </x:row>
    <x:row r="2355" ht="93" customHeight="1">
      <x:c r="A2355" s="19" t="n">
        <x:v>2352</x:v>
      </x:c>
      <x:c r="B2355" s="22" t="e">
        <x:f>HYPERLINK("https://cdn.shopify.com/s/files/1/0918/6066/4603/files/O1CN01AOAZWR1CPwPi2YShY__2213196780074-0-cib.jpg?v=1764229484","Open")</x:f>
        <x:v>HYPERLINK is not implemented. linkLocation=https://cdn.shopify.com/s/files/1/0918/6066/4603/files/O1CN01AOAZWR1CPwPi2YShY__2213196780074-0-cib.jpg?v=1764229484, friendlyName=Open</x:v>
      </x:c>
      <x:c r="C2355" s="24" t="e">
        <x:f>HYPERLINK("https://365nails.com/products/lavender-nude-ribbon-crystal-lattice-elegant-princess-press-on-nails","Lavender Nude Ribbon Crystal Lattice Elegant Princess Press On Nails")</x:f>
        <x:v>HYPERLINK is not implemented. linkLocation=https://365nails.com/products/lavender-nude-ribbon-crystal-lattice-elegant-princess-press-on-nails, friendlyName=Lavender Nude Ribbon Crystal Lattice Elegant Princess Press On Nails</x:v>
      </x:c>
      <x:c r="D2355" s="18" t="str">
        <x:v>shape: W351-Thin Dog Tip; size: Extra small XS / S / M M / Large L</x:v>
      </x:c>
      <x:c r="E2355" s="25" t="str">
        <x:v>$3.49</x:v>
      </x:c>
      <x:c r="F2355" s="19" t="str">
        <x:v>1</x:v>
      </x:c>
    </x:row>
    <x:row r="2356" ht="93" customHeight="1">
      <x:c r="A2356" s="19" t="n">
        <x:v>2353</x:v>
      </x:c>
      <x:c r="B2356" s="22" t="e">
        <x:f>HYPERLINK("https://cdn.shopify.com/s/files/1/0918/6066/4603/files/O1CN01cj4PXH2MQzebPkcLB__2219089449823-0-cib_a614caeb-6ad4-4878-a067-6d168a956b7e.jpg?v=1767947887","Open")</x:f>
        <x:v>HYPERLINK is not implemented. linkLocation=https://cdn.shopify.com/s/files/1/0918/6066/4603/files/O1CN01cj4PXH2MQzebPkcLB__2219089449823-0-cib_a614caeb-6ad4-4878-a067-6d168a956b7e.jpg?v=1767947887, friendlyName=Open</x:v>
      </x:c>
      <x:c r="C2356" s="24" t="e">
        <x:f>HYPERLINK("https://365nails.com/products/neon-green-rhinestone-extra-long-press-on-nails","Neon Green Rhinestone Extra Long Press On Nails")</x:f>
        <x:v>HYPERLINK is not implemented. linkLocation=https://365nails.com/products/neon-green-rhinestone-extra-long-press-on-nails, friendlyName=Neon Green Rhinestone Extra Long Press On Nails</x:v>
      </x:c>
      <x:c r="D2356" s="18" t="str">
        <x:v>Color: M068; Color classification: S / M / L; Length: 5cm</x:v>
      </x:c>
      <x:c r="E2356" s="25" t="str">
        <x:v>$5.99</x:v>
      </x:c>
      <x:c r="F2356" s="19" t="str">
        <x:v>1</x:v>
      </x:c>
    </x:row>
    <x:row r="2357" ht="93" customHeight="1">
      <x:c r="A2357" s="19" t="n">
        <x:v>2354</x:v>
      </x:c>
      <x:c r="B2357" s="22" t="e">
        <x:f>HYPERLINK("https://cdn.shopify.com/s/files/1/0918/6066/4603/files/O1CN01TIoDbH2MQzf5eZTOq__2219089449823-0-cib_3ec8e85f-96cf-4194-b361-c90eb979e545.jpg?v=1767946861","Open")</x:f>
        <x:v>HYPERLINK is not implemented. linkLocation=https://cdn.shopify.com/s/files/1/0918/6066/4603/files/O1CN01TIoDbH2MQzf5eZTOq__2219089449823-0-cib_3ec8e85f-96cf-4194-b361-c90eb979e545.jpg?v=1767946861, friendlyName=Open</x:v>
      </x:c>
      <x:c r="C2357" s="24" t="e">
        <x:f>HYPERLINK("https://365nails.com/products/black-white-gothic-cross-flame-statement-press-on-nails","Black White Gothic Cross Flame Statement Press On Nails")</x:f>
        <x:v>HYPERLINK is not implemented. linkLocation=https://365nails.com/products/black-white-gothic-cross-flame-statement-press-on-nails, friendlyName=Black White Gothic Cross Flame Statement Press On Nails</x:v>
      </x:c>
      <x:c r="D2357" s="18" t="str">
        <x:v>Color: M051; Color classification: S / M / L; Length: 5cm</x:v>
      </x:c>
      <x:c r="E2357" s="25" t="str">
        <x:v>$5.99</x:v>
      </x:c>
      <x:c r="F2357" s="19" t="str">
        <x:v>1</x:v>
      </x:c>
    </x:row>
    <x:row r="2358" ht="93" customHeight="1">
      <x:c r="A2358" s="19" t="n">
        <x:v>2355</x:v>
      </x:c>
      <x:c r="B2358" s="22" t="e">
        <x:f>HYPERLINK("https://cdn.shopify.com/s/files/1/0918/6066/4603/files/O1CN01m5E5HQ22SYgBkuKC8__2219370087119-0-cib.jpg?v=1767096745","Open")</x:f>
        <x:v>HYPERLINK is not implemented. linkLocation=https://cdn.shopify.com/s/files/1/0918/6066/4603/files/O1CN01m5E5HQ22SYgBkuKC8__2219370087119-0-cib.jpg?v=1767096745, friendlyName=Open</x:v>
      </x:c>
      <x:c r="C2358" s="24" t="e">
        <x:f>HYPERLINK("https://365nails.com/products/deep-blue-crystal-nails-with-full-sparkle-finish","Deep Blue Crystal Nails with Full Sparkle Finish")</x:f>
        <x:v>HYPERLINK is not implemented. linkLocation=https://365nails.com/products/deep-blue-crystal-nails-with-full-sparkle-finish, friendlyName=Deep Blue Crystal Nails with Full Sparkle Finish</x:v>
      </x:c>
      <x:c r="D2358" s="18" t="str">
        <x:v>Color: L (1.7/1.3/1.4/1.3/1.1)cm / M (1.6/1.2/1.3/1.2/1.0)cm / S (1.5/1.1/1.2/1.1/0.9)cm</x:v>
      </x:c>
      <x:c r="E2358" s="25" t="str">
        <x:v>$4.49</x:v>
      </x:c>
      <x:c r="F2358" s="19" t="str">
        <x:v>30</x:v>
      </x:c>
    </x:row>
    <x:row r="2359" ht="93" customHeight="1">
      <x:c r="A2359" s="19" t="n">
        <x:v>2356</x:v>
      </x:c>
      <x:c r="B2359" s="22" t="e">
        <x:f>HYPERLINK("https://cdn.shopify.com/s/files/1/0918/6066/4603/files/O1CN01grhEVj2MQzdq30Uoy__2219089449823-0-cib_0b70fd1e-05a7-4290-b7f2-28d07d9da0e0.jpg?v=1767944630","Open")</x:f>
        <x:v>HYPERLINK is not implemented. linkLocation=https://cdn.shopify.com/s/files/1/0918/6066/4603/files/O1CN01grhEVj2MQzdq30Uoy__2219089449823-0-cib_0b70fd1e-05a7-4290-b7f2-28d07d9da0e0.jpg?v=1767944630, friendlyName=Open</x:v>
      </x:c>
      <x:c r="C2359" s="24" t="e">
        <x:f>HYPERLINK("https://365nails.com/products/sweet-blush-floral-extra-long-stiletto-press-on-nails","Sweet Blush Floral Extra Long Stiletto Press On Nails")</x:f>
        <x:v>HYPERLINK is not implemented. linkLocation=https://365nails.com/products/sweet-blush-floral-extra-long-stiletto-press-on-nails, friendlyName=Sweet Blush Floral Extra Long Stiletto Press On Nails</x:v>
      </x:c>
      <x:c r="D2359" s="18" t="str">
        <x:v>Color: Jsa 12; Color classification: S / M / L; Length: 5cm</x:v>
      </x:c>
      <x:c r="E2359" s="25" t="str">
        <x:v>$5.99</x:v>
      </x:c>
      <x:c r="F2359" s="19" t="str">
        <x:v>1</x:v>
      </x:c>
    </x:row>
    <x:row r="2360" ht="93" customHeight="1">
      <x:c r="A2360" s="19" t="n">
        <x:v>2357</x:v>
      </x:c>
      <x:c r="B2360" s="22" t="e">
        <x:f>HYPERLINK("https://cdn.shopify.com/s/files/1/0918/6066/4603/files/O1CN01s7VfgW1HOd7hRJoOo__2212320530748-0-cib_b6a9ccf6-56d5-4776-88ca-e406c8fa17f7.jpg?v=1766382403","Open")</x:f>
        <x:v>HYPERLINK is not implemented. linkLocation=https://cdn.shopify.com/s/files/1/0918/6066/4603/files/O1CN01s7VfgW1HOd7hRJoOo__2212320530748-0-cib_b6a9ccf6-56d5-4776-88ca-e406c8fa17f7.jpg?v=1766382403, friendlyName=Open</x:v>
      </x:c>
      <x:c r="C2360" s="24" t="e">
        <x:f>HYPERLINK("https://365nails.com/products/minimal-transparent-display-box-for-press-on-nail-packaging","Minimal Transparent Display Box for Press On Nail Packaging")</x:f>
        <x:v>HYPERLINK is not implemented. linkLocation=https://365nails.com/products/minimal-transparent-display-box-for-press-on-nail-packaging, friendlyName=Minimal Transparent Display Box for Press On Nail Packaging</x:v>
      </x:c>
      <x:c r="D2360" s="18" t="str">
        <x:v>Specifications and models: White paper sleeve (non-porous); 7 * 7 / White paper sleeve (non-porous); 9 * 9 / White paper sleeve (non-porous); 11 * 11 / White paper sleeve（ diamond cut-out）;7*7 / White paper sleeve (diamond-shaped hole); 9 * 9 / White paper sleeve (diamond-shaped hole); 11 * 11 / White paper sleeve (round hole); 7 * 7 / White paper sleeve (round hole); 9 * 9 / White paper sleeve (round hole); 11 * 11 / Black paper sleeve (non-porous); 7 * 7 / Black paper sleeve (non-porous); 9 * 9 / Black paper sleeve (non-porous); 11 * 11 / Black paper sleeve (rhombus hole); 7 * 7 / Black paper sleeve (diamond-shaped hole); 9 * 9 / Black paper sleeve (rhombus hole); 11 * 11 / Black paper sleeve (round hole); 7 * 7 / Black paper sleeve (round hole); 9 * 9 / Black paper sleeve (round hole); 11 * 11 / Fruit green paper sleeve (non-porous); 7 * 7 / Fruit green paper sleeve (non-porous); 9 * 9 / Fruit green paper sleeve (non-porous); 11 * 11 / Fruit green paper sleeve (rhombus hole); 7 * 7 / Fruit green paper sleeve (rhombus hole); 9 * 9 / Fruit green paper sleeve (rhombus hole); 11 * 11 / Fruit green paper sleeve (round hole); 7 * 7 / Fruit green paper sleeve (round hole); 9 * 9 / Fruit green paper sleeve (round hole); 11 * 11 / Pink paper sleeve (non-porous); 7 * 7 / Pink paper sleeve (non-porous); 9 * 9 / Pink paper sleeve (non-porous); 11 * 11 / Pink paper sleeve (rhombus hole); 7 * 7 / Pink paper sleeve (rhombus hole); 9 * 9 / Pink paper sleeve (rhombus hole); 11 * 11 / Pink paper sleeve (round hole); 7 * 7 / Pink paper sleeve (round hole); 9 * 9 / Pink paper sleeve (round hole); 11 * 11 / Gray paper sleeve (non-porous); 7 * 7 / Gray paper sleeve (non-porous); 9 * 9 / Gray paper sleeve (without holes); 11 * 11 / Gray paper sleeve (diamond-shaped hole); 7 * 7 / Gray paper sleeve (diamond-shaped hole); 9 * 9 / Grey paper sleeve (diamond-shaped hole); 11 * 11 / Gray paper sleeve (round hole); 7 * 7 / Grey paper sleeve (round hole); 9 * 9 / Grey paper sleeve (round hole); 11 * 11 / Light green paper sleeve (non-porous); 7 * 7 / Light green paper sleeve (non-porous); 9 * 9 / Light green paper sleeve (non-porous); 11 * 11 / Light green paper sleeve (rhombus hole); 7 * 7 / Light green paper sleeve (diamond-shaped hole); 9 * 9 / Light green paper sleeve (rhombus hole); 11 * 11 / Light green paper sleeve (round hole); 7 * 7 / Light green paper sleeve (round hole); 9 * 9 / Light green paper sleeve (round hole); 11 * 11 / White gift bag; 7 * 7 / White gift bag; 9 * 9 / White gift bag; 11 * 11 / Black gift bag; 7 * 7 / Black Gift Bag; 9 * 9 / Black gift bag; 11 * 11 / White drawer box (excluding inner box); 7 * 7 / White drawer box (excluding inner box); 9 * 9 / White drawer box (excluding inner box); 11 * 11 / Black drawer box (excluding inner box); 7 * 7 / Black drawer box (excluding inner box); 9 * 9 / Black drawer box (excluding inner box); 11 * 11 / Fruit green drawer box (excluding inner box); 7 * 7 / Fruit green drawer box (excluding inner box); 9 * 9 / Fruit green drawer box (excluding inner box); 11 * 11 / Light pink drawer box (excluding inner box); 7 * 7 / Light pink drawer box (excluding inner box); 9 * 9 / Light pink drawer box (excluding inner box); 11 * 11 / Apricot drawer box (excluding inner box); 7 * 7 / Apricot drawer box (excluding inner box); 9 * 9 / Apricot drawer box (excluding inner box); 11 * 11 / Grey drawer box (excluding inner box); 7 * 7 / Grey drawer box (excluding inner box); 9 * 9 / Grey drawer box (excluding inner box); 11 * 11 / Red drawer box (excluding inner box); 7 * 7 / Red drawer box (excluding inner box); 9 * 9 / Red drawer box (excluding inner box); 11 * 11 / Light green drawer box (excluding inner box); 7 * 7 / Light green drawer box (excluding inner box); 9 * 9 / Light green drawer box (excluding inner box); 11 * 11 / Yellow drawer box (excluding inner box); 7 * 7 / Yellow drawer box (excluding inner box); 9 * 9 / Yellow drawer box (excluding inner box); 11 * 11 / Light blue drawer box (excluding inner box); 7 * 7 / Light blue drawer box (excluding inner box); 9 * 9 / Light blue drawer box (excluding inner box); 11 * 11</x:v>
      </x:c>
      <x:c r="E2360" s="25" t="str">
        <x:v>$0.05–$0.42</x:v>
      </x:c>
      <x:c r="F2360" s="19" t="str">
        <x:v>1</x:v>
      </x:c>
    </x:row>
    <x:row r="2361" ht="93" customHeight="1">
      <x:c r="A2361" s="19" t="n">
        <x:v>2358</x:v>
      </x:c>
      <x:c r="B2361" s="22" t="e">
        <x:f>HYPERLINK("https://cdn.shopify.com/s/files/1/0918/6066/4603/files/O1CN018tBDZz2MQzfBxpJZH__2219089449823-0-cib_b3cf4a98-b400-4726-802d-00e191347745.jpg?v=1767947087","Open")</x:f>
        <x:v>HYPERLINK is not implemented. linkLocation=https://cdn.shopify.com/s/files/1/0918/6066/4603/files/O1CN018tBDZz2MQzfBxpJZH__2219089449823-0-cib_b3cf4a98-b400-4726-802d-00e191347745.jpg?v=1767947087, friendlyName=Open</x:v>
      </x:c>
      <x:c r="C2361" s="24" t="e">
        <x:f>HYPERLINK("https://365nails.com/products/pop-art-cartoon-doll-colorful-statement-press-on-nails","Pop Art Cartoon Doll Colorful Statement Press On Nails")</x:f>
        <x:v>HYPERLINK is not implemented. linkLocation=https://365nails.com/products/pop-art-cartoon-doll-colorful-statement-press-on-nails, friendlyName=Pop Art Cartoon Doll Colorful Statement Press On Nails</x:v>
      </x:c>
      <x:c r="D2361" s="18" t="str">
        <x:v>Color: O012; Color classification: S / M / L; Length: 5cm</x:v>
      </x:c>
      <x:c r="E2361" s="25" t="str">
        <x:v>$13.49</x:v>
      </x:c>
      <x:c r="F2361" s="19" t="str">
        <x:v>1</x:v>
      </x:c>
    </x:row>
    <x:row r="2362" ht="93" customHeight="1">
      <x:c r="A2362" s="19" t="n">
        <x:v>2359</x:v>
      </x:c>
      <x:c r="B2362" s="22" t="e">
        <x:f>HYPERLINK("https://cdn.shopify.com/s/files/1/0918/6066/4603/files/O1CN01ZE9ARK2MQzdyy58VF__2219089449823-0-cib.jpg?v=1767945150","Open")</x:f>
        <x:v>HYPERLINK is not implemented. linkLocation=https://cdn.shopify.com/s/files/1/0918/6066/4603/files/O1CN01ZE9ARK2MQzdyy58VF__2219089449823-0-cib.jpg?v=1767945150, friendlyName=Open</x:v>
      </x:c>
      <x:c r="C2362" s="24" t="e">
        <x:f>HYPERLINK("https://365nails.com/products/pink-silver-butterfly-heart-crystal-glam-press-on-nails","Pink Silver Butterfly Heart Crystal Glam Press On Nails")</x:f>
        <x:v>HYPERLINK is not implemented. linkLocation=https://365nails.com/products/pink-silver-butterfly-heart-crystal-glam-press-on-nails, friendlyName=Pink Silver Butterfly Heart Crystal Glam Press On Nails</x:v>
      </x:c>
      <x:c r="D2362" s="18" t="str">
        <x:v>Color: M089; Color classification: S / M / L; Length: 5cm</x:v>
      </x:c>
      <x:c r="E2362" s="25" t="str">
        <x:v>$5.99</x:v>
      </x:c>
      <x:c r="F2362" s="19" t="str">
        <x:v>1</x:v>
      </x:c>
    </x:row>
    <x:row r="2363" ht="93" customHeight="1">
      <x:c r="A2363" s="19" t="n">
        <x:v>2360</x:v>
      </x:c>
      <x:c r="B2363" s="22" t="e">
        <x:f>HYPERLINK("https://cdn.shopify.com/s/files/1/0918/6066/4603/files/O1CN01SCuSzK2MQzdeoyjNP__2219089449823-0-cib.jpg?v=1767944446","Open")</x:f>
        <x:v>HYPERLINK is not implemented. linkLocation=https://cdn.shopify.com/s/files/1/0918/6066/4603/files/O1CN01SCuSzK2MQzdeoyjNP__2219089449823-0-cib.jpg?v=1767944446, friendlyName=Open</x:v>
      </x:c>
      <x:c r="C2363" s="24" t="e">
        <x:f>HYPERLINK("https://365nails.com/products/black-french-bow-elegant-extra-long-press-on-nails","Black French Bow Elegant Extra Long Press On Nails")</x:f>
        <x:v>HYPERLINK is not implemented. linkLocation=https://365nails.com/products/black-french-bow-elegant-extra-long-press-on-nails, friendlyName=Black French Bow Elegant Extra Long Press On Nails</x:v>
      </x:c>
      <x:c r="D2363" s="18" t="str">
        <x:v>Color: K017; Color classification: XS / S / M / L; Length: 5cm</x:v>
      </x:c>
      <x:c r="E2363" s="25" t="str">
        <x:v>$3.99</x:v>
      </x:c>
      <x:c r="F2363" s="19" t="str">
        <x:v>1</x:v>
      </x:c>
    </x:row>
    <x:row r="2364" ht="93" customHeight="1">
      <x:c r="A2364" s="19" t="n">
        <x:v>2361</x:v>
      </x:c>
      <x:c r="B2364" s="22" t="e">
        <x:f>HYPERLINK("https://cdn.shopify.com/s/files/1/0918/6066/4603/files/O1CN01grxB2M2MQzdu5wt6K__2219089449823-0-cib_377c5c7d-9b69-4dbd-a0f2-1a9955b43053.jpg?v=1767947989","Open")</x:f>
        <x:v>HYPERLINK is not implemented. linkLocation=https://cdn.shopify.com/s/files/1/0918/6066/4603/files/O1CN01grxB2M2MQzdu5wt6K__2219089449823-0-cib_377c5c7d-9b69-4dbd-a0f2-1a9955b43053.jpg?v=1767947989, friendlyName=Open</x:v>
      </x:c>
      <x:c r="C2364" s="24" t="e">
        <x:f>HYPERLINK("https://365nails.com/products/pink-sugar-texture-long-press-on-nails","Pink Sugar Texture Long Press On Nails")</x:f>
        <x:v>HYPERLINK is not implemented. linkLocation=https://365nails.com/products/pink-sugar-texture-long-press-on-nails, friendlyName=Pink Sugar Texture Long Press On Nails</x:v>
      </x:c>
      <x:c r="D2364" s="18" t="str">
        <x:v>Color: K007; Color classification: S / M / L; Length: 4cm</x:v>
      </x:c>
      <x:c r="E2364" s="25" t="str">
        <x:v>$3.99</x:v>
      </x:c>
      <x:c r="F2364" s="19" t="str">
        <x:v>1</x:v>
      </x:c>
    </x:row>
    <x:row r="2365" ht="93" customHeight="1">
      <x:c r="A2365" s="19" t="n">
        <x:v>2362</x:v>
      </x:c>
      <x:c r="B2365" s="22" t="e">
        <x:f>HYPERLINK("https://cdn.shopify.com/s/files/1/0918/6066/4603/files/O1CN012XW5Xp2MQzdF2PeEq__2219089449823-0-cib.jpg?v=1767942758","Open")</x:f>
        <x:v>HYPERLINK is not implemented. linkLocation=https://cdn.shopify.com/s/files/1/0918/6066/4603/files/O1CN012XW5Xp2MQzdF2PeEq__2219089449823-0-cib.jpg?v=1767942758, friendlyName=Open</x:v>
      </x:c>
      <x:c r="C2365" s="24" t="e">
        <x:f>HYPERLINK("https://365nails.com/products/white-crystal-luxe-french-press-on-nail-set","White Crystal Luxe French Press On Nail Set")</x:f>
        <x:v>HYPERLINK is not implemented. linkLocation=https://365nails.com/products/white-crystal-luxe-french-press-on-nail-set, friendlyName=White Crystal Luxe French Press On Nail Set</x:v>
      </x:c>
      <x:c r="D2365" s="18" t="str">
        <x:v>Color: D411; Color classification: XS / S / M / L</x:v>
      </x:c>
      <x:c r="E2365" s="25" t="str">
        <x:v>$5.99</x:v>
      </x:c>
      <x:c r="F2365" s="19" t="str">
        <x:v>1</x:v>
      </x:c>
    </x:row>
    <x:row r="2366" ht="93" customHeight="1">
      <x:c r="A2366" s="19" t="n">
        <x:v>2363</x:v>
      </x:c>
      <x:c r="B2366" s="22" t="e">
        <x:f>HYPERLINK("https://cdn.shopify.com/s/files/1/0918/6066/4603/files/O1CN01sGK1r22MQzdm8k5KU__2219089449823-0-cib_42de3d8d-987f-4394-92e2-ee72b4be4b6c.jpg?v=1767946835","Open")</x:f>
        <x:v>HYPERLINK is not implemented. linkLocation=https://cdn.shopify.com/s/files/1/0918/6066/4603/files/O1CN01sGK1r22MQzdm8k5KU__2219089449823-0-cib_42de3d8d-987f-4394-92e2-ee72b4be4b6c.jpg?v=1767946835, friendlyName=Open</x:v>
      </x:c>
      <x:c r="C2366" s="24" t="e">
        <x:f>HYPERLINK("https://365nails.com/products/red-chrome-line-edgy-glam-statement-press-on-nails","Red Chrome Line Edgy Glam Statement Press On Nails")</x:f>
        <x:v>HYPERLINK is not implemented. linkLocation=https://365nails.com/products/red-chrome-line-edgy-glam-statement-press-on-nails, friendlyName=Red Chrome Line Edgy Glam Statement Press On Nails</x:v>
      </x:c>
      <x:c r="D2366" s="18" t="str">
        <x:v>Color: Jsa 14; Color classification: S / M / L; Length: 5cm</x:v>
      </x:c>
      <x:c r="E2366" s="25" t="str">
        <x:v>$5.99</x:v>
      </x:c>
      <x:c r="F2366" s="19" t="str">
        <x:v>1</x:v>
      </x:c>
    </x:row>
    <x:row r="2367" ht="93" customHeight="1">
      <x:c r="A2367" s="19" t="n">
        <x:v>2364</x:v>
      </x:c>
      <x:c r="B2367" s="22" t="e">
        <x:f>HYPERLINK("https://cdn.shopify.com/s/files/1/0918/6066/4603/files/O1CN01sTcfRu2MQzdIkhcOd__2219089449823-0-cib.jpg?v=1767709113","Open")</x:f>
        <x:v>HYPERLINK is not implemented. linkLocation=https://cdn.shopify.com/s/files/1/0918/6066/4603/files/O1CN01sTcfRu2MQzdIkhcOd__2219089449823-0-cib.jpg?v=1767709113, friendlyName=Open</x:v>
      </x:c>
      <x:c r="C2367" s="24" t="e">
        <x:f>HYPERLINK("https://365nails.com/products/abstract-lime-accent-extra-long-press-on-nails","Abstract Lime Accent Extra Long Press On Nails")</x:f>
        <x:v>HYPERLINK is not implemented. linkLocation=https://365nails.com/products/abstract-lime-accent-extra-long-press-on-nails, friendlyName=Abstract Lime Accent Extra Long Press On Nails</x:v>
      </x:c>
      <x:c r="D2367" s="18" t="str">
        <x:v>Color: Jsa26; Color classification: XS / S / M / L</x:v>
      </x:c>
      <x:c r="E2367" s="25" t="str">
        <x:v>$5.99</x:v>
      </x:c>
      <x:c r="F2367" s="19" t="str">
        <x:v>1</x:v>
      </x:c>
    </x:row>
    <x:row r="2368" ht="93" customHeight="1">
      <x:c r="A2368" s="19" t="n">
        <x:v>2365</x:v>
      </x:c>
      <x:c r="B2368" s="22" t="e">
        <x:f>HYPERLINK("https://cdn.shopify.com/s/files/1/0918/6066/4603/files/O1CN01CKfv1Q2MQzek8FLgc__2219089449823-0-cib_b8f357c0-b40e-4424-97f8-325b6592781b.jpg?v=1767945884","Open")</x:f>
        <x:v>HYPERLINK is not implemented. linkLocation=https://cdn.shopify.com/s/files/1/0918/6066/4603/files/O1CN01CKfv1Q2MQzek8FLgc__2219089449823-0-cib_b8f357c0-b40e-4424-97f8-325b6592781b.jpg?v=1767945884, friendlyName=Open</x:v>
      </x:c>
      <x:c r="C2368" s="24" t="e">
        <x:f>HYPERLINK("https://365nails.com/products/pink-leopard-heart-crystal-glam-press-on-nails","Pink Leopard Heart Crystal Glam Press On Nails")</x:f>
        <x:v>HYPERLINK is not implemented. linkLocation=https://365nails.com/products/pink-leopard-heart-crystal-glam-press-on-nails, friendlyName=Pink Leopard Heart Crystal Glam Press On Nails</x:v>
      </x:c>
      <x:c r="D2368" s="18" t="str">
        <x:v>Color: M065; Color classification: S / M / L; Length: 5cm</x:v>
      </x:c>
      <x:c r="E2368" s="25" t="str">
        <x:v>$5.99</x:v>
      </x:c>
      <x:c r="F2368" s="19" t="str">
        <x:v>1</x:v>
      </x:c>
    </x:row>
    <x:row r="2369" ht="93" customHeight="1">
      <x:c r="A2369" s="19" t="n">
        <x:v>2366</x:v>
      </x:c>
      <x:c r="B2369" s="22" t="e">
        <x:f>HYPERLINK("https://cdn.shopify.com/s/files/1/0918/6066/4603/files/O1CN01CjMT9G1CPwPiNXs9Y__2213196780074-0-cib.jpg?v=1764231157","Open")</x:f>
        <x:v>HYPERLINK is not implemented. linkLocation=https://cdn.shopify.com/s/files/1/0918/6066/4603/files/O1CN01CjMT9G1CPwPiNXs9Y__2213196780074-0-cib.jpg?v=1764231157, friendlyName=Open</x:v>
      </x:c>
      <x:c r="C2369" s="24" t="e">
        <x:f>HYPERLINK("https://365nails.com/products/christmas-cute-santa-bear-gift-red-green-festive-press-on-nails","Christmas Cute Santa Bear Gift Red Green Festive Press On Nails")</x:f>
        <x:v>HYPERLINK is not implemented. linkLocation=https://365nails.com/products/christmas-cute-santa-bear-gift-red-green-festive-press-on-nails, friendlyName=Christmas Cute Santa Bear Gift Red Green Festive Press On Nails</x:v>
      </x:c>
      <x:c r="D2369" s="18" t="str">
        <x:v>shape: W336-short square; size: Extra small XS / S / M M / Large L</x:v>
      </x:c>
      <x:c r="E2369" s="25" t="str">
        <x:v>$2.99</x:v>
      </x:c>
      <x:c r="F2369" s="19" t="str">
        <x:v>1</x:v>
      </x:c>
    </x:row>
    <x:row r="2370" ht="93" customHeight="1">
      <x:c r="A2370" s="19" t="n">
        <x:v>2367</x:v>
      </x:c>
      <x:c r="B2370" s="22" t="e">
        <x:f>HYPERLINK("https://cdn.shopify.com/s/files/1/0918/6066/4603/files/O1CN01es2xbY2MQzediJyVh__2219089449823-0-cib.jpg?v=1767853195","Open")</x:f>
        <x:v>HYPERLINK is not implemented. linkLocation=https://cdn.shopify.com/s/files/1/0918/6066/4603/files/O1CN01es2xbY2MQzediJyVh__2219089449823-0-cib.jpg?v=1767853195, friendlyName=Open</x:v>
      </x:c>
      <x:c r="C2370" s="24" t="e">
        <x:f>HYPERLINK("https://365nails.com/products/full-crystal-extra-long-press-on-nails","Full Crystal Extra Long Press On Nails")</x:f>
        <x:v>HYPERLINK is not implemented. linkLocation=https://365nails.com/products/full-crystal-extra-long-press-on-nails, friendlyName=Full Crystal Extra Long Press On Nails</x:v>
      </x:c>
      <x:c r="D2370" s="18" t="str">
        <x:v>Color: M026; Color classification: S / M / L; Length: 5cm</x:v>
      </x:c>
      <x:c r="E2370" s="25" t="str">
        <x:v>$5.99</x:v>
      </x:c>
      <x:c r="F2370" s="19" t="str">
        <x:v>1</x:v>
      </x:c>
    </x:row>
    <x:row r="2371" ht="93" customHeight="1">
      <x:c r="A2371" s="19" t="n">
        <x:v>2368</x:v>
      </x:c>
      <x:c r="B2371" s="22" t="e">
        <x:f>HYPERLINK("https://cdn.shopify.com/s/files/1/0918/6066/4603/files/O1CN01HxwxTP2MQzdu4ICOj__2219089449823-0-cib.jpg?v=1767851975","Open")</x:f>
        <x:v>HYPERLINK is not implemented. linkLocation=https://cdn.shopify.com/s/files/1/0918/6066/4603/files/O1CN01HxwxTP2MQzdu4ICOj__2219089449823-0-cib.jpg?v=1767851975, friendlyName=Open</x:v>
      </x:c>
      <x:c r="C2371" s="24" t="e">
        <x:f>HYPERLINK("https://365nails.com/products/luxury-silver-crystal-press-on-nails","Luxury Silver Crystal Press On Nails")</x:f>
        <x:v>HYPERLINK is not implemented. linkLocation=https://365nails.com/products/luxury-silver-crystal-press-on-nails, friendlyName=Luxury Silver Crystal Press On Nails</x:v>
      </x:c>
      <x:c r="D2371" s="18" t="str">
        <x:v>Color: M093; Color classification: S / M / L; Length: 5cm</x:v>
      </x:c>
      <x:c r="E2371" s="25" t="str">
        <x:v>$5.99</x:v>
      </x:c>
      <x:c r="F2371" s="19" t="str">
        <x:v>1</x:v>
      </x:c>
    </x:row>
    <x:row r="2372" ht="93" customHeight="1">
      <x:c r="A2372" s="19" t="n">
        <x:v>2369</x:v>
      </x:c>
      <x:c r="B2372" s="22" t="e">
        <x:f>HYPERLINK("https://cdn.shopify.com/s/files/1/0918/6066/4603/files/O1CN01oszq5q2MQzdoSxOxP__2219089449823-0-cib_b018ee39-809d-42fc-9ebb-22b79a7af8a5.jpg?v=1767944415","Open")</x:f>
        <x:v>HYPERLINK is not implemented. linkLocation=https://cdn.shopify.com/s/files/1/0918/6066/4603/files/O1CN01oszq5q2MQzdoSxOxP__2219089449823-0-cib_b018ee39-809d-42fc-9ebb-22b79a7af8a5.jpg?v=1767944415, friendlyName=Open</x:v>
      </x:c>
      <x:c r="C2372" s="24" t="e">
        <x:f>HYPERLINK("https://365nails.com/products/red-french-line-art-extra-long-press-on-nails","Red French Line Art Extra Long Press On Nails")</x:f>
        <x:v>HYPERLINK is not implemented. linkLocation=https://365nails.com/products/red-french-line-art-extra-long-press-on-nails, friendlyName=Red French Line Art Extra Long Press On Nails</x:v>
      </x:c>
      <x:c r="D2372" s="18" t="str">
        <x:v>Color: K011; Color classification: S / M / L; Length: 5cm</x:v>
      </x:c>
      <x:c r="E2372" s="25" t="str">
        <x:v>$3.99</x:v>
      </x:c>
      <x:c r="F2372" s="19" t="str">
        <x:v>1</x:v>
      </x:c>
    </x:row>
    <x:row r="2373" ht="93" customHeight="1">
      <x:c r="A2373" s="19" t="n">
        <x:v>2370</x:v>
      </x:c>
      <x:c r="B2373" s="22" t="e">
        <x:f>HYPERLINK("https://cdn.shopify.com/s/files/1/0918/6066/4603/files/O1CN01bASc2T2MQzdiNQMFx__2219089449823-0-cib.jpg?v=1767944330","Open")</x:f>
        <x:v>HYPERLINK is not implemented. linkLocation=https://cdn.shopify.com/s/files/1/0918/6066/4603/files/O1CN01bASc2T2MQzdiNQMFx__2219089449823-0-cib.jpg?v=1767944330, friendlyName=Open</x:v>
      </x:c>
      <x:c r="C2373" s="24" t="e">
        <x:f>HYPERLINK("https://365nails.com/products/warm-retro-floral-art-extra-long-press-on-nails","Warm Retro Floral Art Extra Long Press On Nails")</x:f>
        <x:v>HYPERLINK is not implemented. linkLocation=https://365nails.com/products/warm-retro-floral-art-extra-long-press-on-nails, friendlyName=Warm Retro Floral Art Extra Long Press On Nails</x:v>
      </x:c>
      <x:c r="D2373" s="18" t="str">
        <x:v>Color: Jsb08    1; Color classification: S / M / L; Length: 5cm</x:v>
      </x:c>
      <x:c r="E2373" s="25" t="str">
        <x:v>$6.99</x:v>
      </x:c>
      <x:c r="F2373" s="19" t="str">
        <x:v>1</x:v>
      </x:c>
    </x:row>
    <x:row r="2374" ht="93" customHeight="1">
      <x:c r="A2374" s="19" t="n">
        <x:v>2371</x:v>
      </x:c>
      <x:c r="B2374" s="22" t="e">
        <x:f>HYPERLINK("https://cdn.shopify.com/s/files/1/0918/6066/4603/files/O1CN01tuatfW2MQzeq7AAdO__2219089449823-0-cib_69bd801c-ccbe-4289-ba85-b51725b00dae.jpg?v=1767948018","Open")</x:f>
        <x:v>HYPERLINK is not implemented. linkLocation=https://cdn.shopify.com/s/files/1/0918/6066/4603/files/O1CN01tuatfW2MQzeq7AAdO__2219089449823-0-cib_69bd801c-ccbe-4289-ba85-b51725b00dae.jpg?v=1767948018, friendlyName=Open</x:v>
      </x:c>
      <x:c r="C2374" s="24" t="e">
        <x:f>HYPERLINK("https://365nails.com/products/soft-nude-bow-crystal-long-press-on-nails","Soft Nude Bow Crystal Long Press On Nails")</x:f>
        <x:v>HYPERLINK is not implemented. linkLocation=https://365nails.com/products/soft-nude-bow-crystal-long-press-on-nails, friendlyName=Soft Nude Bow Crystal Long Press On Nails</x:v>
      </x:c>
      <x:c r="D2374" s="18" t="str">
        <x:v>Color: M062; Color classification: S / M / L; Length: 4cm</x:v>
      </x:c>
      <x:c r="E2374" s="25" t="str">
        <x:v>$5.99</x:v>
      </x:c>
      <x:c r="F2374" s="19" t="str">
        <x:v>1</x:v>
      </x:c>
    </x:row>
    <x:row r="2375" ht="93" customHeight="1">
      <x:c r="A2375" s="19" t="n">
        <x:v>2372</x:v>
      </x:c>
      <x:c r="B2375" s="22" t="e">
        <x:f>HYPERLINK("https://cdn.shopify.com/s/files/1/0918/6066/4603/files/O1CN01u7Hi3Q2MQzfAaGbBR__2219089449823-0-cib.jpg?v=1767946674","Open")</x:f>
        <x:v>HYPERLINK is not implemented. linkLocation=https://cdn.shopify.com/s/files/1/0918/6066/4603/files/O1CN01u7Hi3Q2MQzfAaGbBR__2219089449823-0-cib.jpg?v=1767946674, friendlyName=Open</x:v>
      </x:c>
      <x:c r="C2375" s="24" t="e">
        <x:f>HYPERLINK("https://365nails.com/products/pastel-candy-dot-playful-sculpted-press-on-nails","Pastel Candy Dot Playful Sculpted Press On Nails")</x:f>
        <x:v>HYPERLINK is not implemented. linkLocation=https://365nails.com/products/pastel-candy-dot-playful-sculpted-press-on-nails, friendlyName=Pastel Candy Dot Playful Sculpted Press On Nails</x:v>
      </x:c>
      <x:c r="D2375" s="18" t="str">
        <x:v>Color: M048; Color classification: S / M / L; Length: 5cm</x:v>
      </x:c>
      <x:c r="E2375" s="25" t="str">
        <x:v>$5.99</x:v>
      </x:c>
      <x:c r="F2375" s="19" t="str">
        <x:v>1</x:v>
      </x:c>
    </x:row>
    <x:row r="2376" ht="93" customHeight="1">
      <x:c r="A2376" s="19" t="n">
        <x:v>2373</x:v>
      </x:c>
      <x:c r="B2376" s="22" t="e">
        <x:f>HYPERLINK("https://cdn.shopify.com/s/files/1/0918/6066/4603/files/O1CN01D2HbAx2MQzdrsRx4k__2219089449823-0-cib_9e4f8eb9-da37-4503-acdb-00c4aa9fade9.jpg?v=1767944576","Open")</x:f>
        <x:v>HYPERLINK is not implemented. linkLocation=https://cdn.shopify.com/s/files/1/0918/6066/4603/files/O1CN01D2HbAx2MQzdrsRx4k__2219089449823-0-cib_9e4f8eb9-da37-4503-acdb-00c4aa9fade9.jpg?v=1767944576, friendlyName=Open</x:v>
      </x:c>
      <x:c r="C2376" s="24" t="e">
        <x:f>HYPERLINK("https://365nails.com/products/colorful-gold-snake-extra-long-coffin-press-on-nails","Colorful Gold Snake Extra Long Coffin Press On Nails")</x:f>
        <x:v>HYPERLINK is not implemented. linkLocation=https://365nails.com/products/colorful-gold-snake-extra-long-coffin-press-on-nails, friendlyName=Colorful Gold Snake Extra Long Coffin Press On Nails</x:v>
      </x:c>
      <x:c r="D2376" s="18" t="str">
        <x:v>Color: M096; Color classification: S / M / L; Length: 5cm</x:v>
      </x:c>
      <x:c r="E2376" s="25" t="str">
        <x:v>$5.99</x:v>
      </x:c>
      <x:c r="F2376" s="19" t="str">
        <x:v>1</x:v>
      </x:c>
    </x:row>
    <x:row r="2377" ht="93" customHeight="1">
      <x:c r="A2377" s="19" t="n">
        <x:v>2374</x:v>
      </x:c>
      <x:c r="B2377" s="22" t="e">
        <x:f>HYPERLINK("https://cdn.shopify.com/s/files/1/0918/6066/4603/files/O1CN019NVMmo2MQzdveVK0F__2219089449823-0-cib_0928df5a-ebeb-4a62-91ae-99d65eae9e26.jpg?v=1767944601","Open")</x:f>
        <x:v>HYPERLINK is not implemented. linkLocation=https://cdn.shopify.com/s/files/1/0918/6066/4603/files/O1CN019NVMmo2MQzdveVK0F__2219089449823-0-cib_0928df5a-ebeb-4a62-91ae-99d65eae9e26.jpg?v=1767944601, friendlyName=Open</x:v>
      </x:c>
      <x:c r="C2377" s="24" t="e">
        <x:f>HYPERLINK("https://365nails.com/products/luxury-red-gold-extra-long-coffin-press-on-nails","Luxury Red Gold Extra Long Coffin Press On Nails")</x:f>
        <x:v>HYPERLINK is not implemented. linkLocation=https://365nails.com/products/luxury-red-gold-extra-long-coffin-press-on-nails, friendlyName=Luxury Red Gold Extra Long Coffin Press On Nails</x:v>
      </x:c>
      <x:c r="D2377" s="18" t="str">
        <x:v>Color: M092; Color classification: S / M / L; Length: 5cm</x:v>
      </x:c>
      <x:c r="E2377" s="25" t="str">
        <x:v>$5.99</x:v>
      </x:c>
      <x:c r="F2377" s="19" t="str">
        <x:v>1</x:v>
      </x:c>
    </x:row>
    <x:row r="2378" ht="93" customHeight="1">
      <x:c r="A2378" s="19" t="n">
        <x:v>2375</x:v>
      </x:c>
      <x:c r="B2378" s="22" t="e">
        <x:f>HYPERLINK("https://cdn.shopify.com/s/files/1/0918/6066/4603/files/O1CN012Iyl9P2MQzdSb1oV2__2219089449823-0-cib.jpg?v=1767854263","Open")</x:f>
        <x:v>HYPERLINK is not implemented. linkLocation=https://cdn.shopify.com/s/files/1/0918/6066/4603/files/O1CN012Iyl9P2MQzdSb1oV2__2219089449823-0-cib.jpg?v=1767854263, friendlyName=Open</x:v>
      </x:c>
      <x:c r="C2378" s="24" t="e">
        <x:f>HYPERLINK("https://365nails.com/products/multicolor-heart-gem-extra-long-press-on-nails","Multicolor Heart Gem Extra Long Press On Nails")</x:f>
        <x:v>HYPERLINK is not implemented. linkLocation=https://365nails.com/products/multicolor-heart-gem-extra-long-press-on-nails, friendlyName=Multicolor Heart Gem Extra Long Press On Nails</x:v>
      </x:c>
      <x:c r="D2378" s="18" t="str">
        <x:v>Color: N006; Color classification: XS / S / M / L</x:v>
      </x:c>
      <x:c r="E2378" s="25" t="str">
        <x:v>$6.99</x:v>
      </x:c>
      <x:c r="F2378" s="19" t="str">
        <x:v>1</x:v>
      </x:c>
    </x:row>
    <x:row r="2379" ht="93" customHeight="1">
      <x:c r="A2379" s="19" t="n">
        <x:v>2376</x:v>
      </x:c>
      <x:c r="B2379" s="22" t="e">
        <x:f>HYPERLINK("https://cdn.shopify.com/s/files/1/0918/6066/4603/files/O1CN011juYJw2MQzf5wSzZN__2219089449823-0-cib_9bab8e0a-ffb2-4bd4-b245-622700ec4606.jpg?v=1767946806","Open")</x:f>
        <x:v>HYPERLINK is not implemented. linkLocation=https://cdn.shopify.com/s/files/1/0918/6066/4603/files/O1CN011juYJw2MQzf5wSzZN__2219089449823-0-cib_9bab8e0a-ffb2-4bd4-b245-622700ec4606.jpg?v=1767946806, friendlyName=Open</x:v>
      </x:c>
      <x:c r="C2379" s="24" t="e">
        <x:f>HYPERLINK("https://365nails.com/products/orange-black-crystal-chain-modern-press-on-nails","Orange Black Crystal Chain Modern Press On Nails")</x:f>
        <x:v>HYPERLINK is not implemented. linkLocation=https://365nails.com/products/orange-black-crystal-chain-modern-press-on-nails, friendlyName=Orange Black Crystal Chain Modern Press On Nails</x:v>
      </x:c>
      <x:c r="D2379" s="18" t="str">
        <x:v>Color: M050; Color classification: S / M / L; Length: 5cm</x:v>
      </x:c>
      <x:c r="E2379" s="25" t="str">
        <x:v>$5.99</x:v>
      </x:c>
      <x:c r="F2379" s="19" t="str">
        <x:v>1</x:v>
      </x:c>
    </x:row>
    <x:row r="2380" ht="93" customHeight="1">
      <x:c r="A2380" s="19" t="n">
        <x:v>2377</x:v>
      </x:c>
      <x:c r="B2380" s="22" t="e">
        <x:f>HYPERLINK("https://cdn.shopify.com/s/files/1/0918/6066/4603/files/509ee8891b1367ea8f38980fbbd54ded.jpg?v=1766384086","Open")</x:f>
        <x:v>HYPERLINK is not implemented. linkLocation=https://cdn.shopify.com/s/files/1/0918/6066/4603/files/509ee8891b1367ea8f38980fbbd54ded.jpg?v=1766384086, friendlyName=Open</x:v>
      </x:c>
      <x:c r="C2380" s="24" t="e">
        <x:f>HYPERLINK("https://365nails.com/products/minimal-thank-you-cards-for-boutique-order-inserts","Minimal Thank You Cards for Boutique Order Inserts (MOQ=100)")</x:f>
        <x:v>HYPERLINK is not implemented. linkLocation=https://365nails.com/products/minimal-thank-you-cards-for-boutique-order-inserts, friendlyName=Minimal Thank You Cards for Boutique Order Inserts (MOQ=100)</x:v>
      </x:c>
      <x:c r="D2380" s="18" t="str">
        <x:v>Size: Thanks for mixing and matching 11x9cm. / 01 thank you bow 11x9cm / 02 models thanks 11x9cm / 03 models, thank you for having you 11x9cm. / 04 thanks English 11x9cm / 05 thank you powder 11x9cm / 06 thanks nice11x9cm / 07 thanks to Ying vertical 11x9cm / 08 thank you coffee color 11x9cm; Quantity: 100pcs</x:v>
      </x:c>
      <x:c r="E2380" s="25" t="str">
        <x:v>$5.00</x:v>
      </x:c>
      <x:c r="F2380" s="19" t="str">
        <x:v>1</x:v>
      </x:c>
    </x:row>
    <x:row r="2381" ht="93" customHeight="1">
      <x:c r="A2381" s="19" t="n">
        <x:v>2378</x:v>
      </x:c>
      <x:c r="B2381" s="22" t="e">
        <x:f>HYPERLINK("https://cdn.shopify.com/s/files/1/0918/6066/4603/files/O1CN01EZTihS2MQzdeYNrTA__2219089449823-0-cib_881da7ad-d012-4b79-8b71-f93fc4b3d62f.jpg?v=1767946747","Open")</x:f>
        <x:v>HYPERLINK is not implemented. linkLocation=https://cdn.shopify.com/s/files/1/0918/6066/4603/files/O1CN01EZTihS2MQzdeYNrTA__2219089449823-0-cib_881da7ad-d012-4b79-8b71-f93fc4b3d62f.jpg?v=1767946747, friendlyName=Open</x:v>
      </x:c>
      <x:c r="C2381" s="24" t="e">
        <x:f>HYPERLINK("https://365nails.com/products/black-white-snake-graphic-crystal-statement-press-on-nails","Black White Snake Graphic Crystal Statement Press On Nails")</x:f>
        <x:v>HYPERLINK is not implemented. linkLocation=https://365nails.com/products/black-white-snake-graphic-crystal-statement-press-on-nails, friendlyName=Black White Snake Graphic Crystal Statement Press On Nails</x:v>
      </x:c>
      <x:c r="D2381" s="18" t="str">
        <x:v>Color: Jsa 15; Color classification: S / M / L; Length: 5cm</x:v>
      </x:c>
      <x:c r="E2381" s="25" t="str">
        <x:v>$5.99</x:v>
      </x:c>
      <x:c r="F2381" s="19" t="str">
        <x:v>1</x:v>
      </x:c>
    </x:row>
    <x:row r="2382" ht="93" customHeight="1">
      <x:c r="A2382" s="19" t="n">
        <x:v>2379</x:v>
      </x:c>
      <x:c r="B2382" s="22" t="e">
        <x:f>HYPERLINK("https://cdn.shopify.com/s/files/1/0918/6066/4603/files/O1CN01f3XRO02MQzdnVDKSW__2219089449823-0-cib_9bf35e6a-a494-4cac-9146-dda4622c1c22.jpg?v=1767944489","Open")</x:f>
        <x:v>HYPERLINK is not implemented. linkLocation=https://cdn.shopify.com/s/files/1/0918/6066/4603/files/O1CN01f3XRO02MQzdnVDKSW__2219089449823-0-cib_9bf35e6a-a494-4cac-9146-dda4622c1c22.jpg?v=1767944489, friendlyName=Open</x:v>
      </x:c>
      <x:c r="C2382" s="24" t="e">
        <x:f>HYPERLINK("https://365nails.com/products/baroque-gold-heart-crystal-extra-long-press-on-nails","Baroque Gold Heart Crystal Extra Long Press On Nails")</x:f>
        <x:v>HYPERLINK is not implemented. linkLocation=https://365nails.com/products/baroque-gold-heart-crystal-extra-long-press-on-nails, friendlyName=Baroque Gold Heart Crystal Extra Long Press On Nails</x:v>
      </x:c>
      <x:c r="D2382" s="18" t="str">
        <x:v>Color: M098; Color classification: S / M / L; Length: 5cm</x:v>
      </x:c>
      <x:c r="E2382" s="25" t="str">
        <x:v>$5.99</x:v>
      </x:c>
      <x:c r="F2382" s="19" t="str">
        <x:v>1</x:v>
      </x:c>
    </x:row>
    <x:row r="2383" ht="93" customHeight="1">
      <x:c r="A2383" s="19" t="n">
        <x:v>2380</x:v>
      </x:c>
      <x:c r="B2383" s="22" t="e">
        <x:f>HYPERLINK("https://cdn.shopify.com/s/files/1/0918/6066/4603/files/O1CN01jABhCZ22SYgDjzjdP__2219370087119-0-cib.jpg?v=1767096451","Open")</x:f>
        <x:v>HYPERLINK is not implemented. linkLocation=https://cdn.shopify.com/s/files/1/0918/6066/4603/files/O1CN01jABhCZ22SYgDjzjdP__2219370087119-0-cib.jpg?v=1767096451, friendlyName=Open</x:v>
      </x:c>
      <x:c r="C2383" s="24" t="e">
        <x:f>HYPERLINK("https://365nails.com/products/red-gradient-nails-with-star-and-multicolor-crystal-accents","Red Gradient Nails with Star and Multicolor Crystal Accents")</x:f>
        <x:v>HYPERLINK is not implemented. linkLocation=https://365nails.com/products/red-gradient-nails-with-star-and-multicolor-crystal-accents, friendlyName=Red Gradient Nails with Star and Multicolor Crystal Accents</x:v>
      </x:c>
      <x:c r="D2383" s="18" t="str">
        <x:v>Color: L / M / S</x:v>
      </x:c>
      <x:c r="E2383" s="25" t="str">
        <x:v>$4.99</x:v>
      </x:c>
      <x:c r="F2383" s="19" t="str">
        <x:v>30</x:v>
      </x:c>
    </x:row>
    <x:row r="2384" ht="93" customHeight="1">
      <x:c r="A2384" s="19" t="n">
        <x:v>2381</x:v>
      </x:c>
      <x:c r="B2384" s="22" t="e">
        <x:f>HYPERLINK("https://cdn.shopify.com/s/files/1/0918/6066/4603/files/O1CN01BYvZS21CPwPi81L5Z__2213196780074-0-cib.jpg?v=1764231237","Open")</x:f>
        <x:v>HYPERLINK is not implemented. linkLocation=https://cdn.shopify.com/s/files/1/0918/6066/4603/files/O1CN01BYvZS21CPwPi81L5Z__2213196780074-0-cib.jpg?v=1764231237, friendlyName=Open</x:v>
      </x:c>
      <x:c r="C2384" s="24" t="e">
        <x:f>HYPERLINK("https://365nails.com/products/halloween-ghost-pumpkin-web-cute-spooky-festive-press-on-nails","Halloween Ghost Pumpkin Web Cute Spooky Festive Press On Nails")</x:f>
        <x:v>HYPERLINK is not implemented. linkLocation=https://365nails.com/products/halloween-ghost-pumpkin-web-cute-spooky-festive-press-on-nails, friendlyName=Halloween Ghost Pumpkin Web Cute Spooky Festive Press On Nails</x:v>
      </x:c>
      <x:c r="D2384" s="18" t="str">
        <x:v>shape: W312-Medium Almond; size: Extra small XS / S / M M / Large L</x:v>
      </x:c>
      <x:c r="E2384" s="25" t="str">
        <x:v>$2.99</x:v>
      </x:c>
      <x:c r="F2384" s="19" t="str">
        <x:v>1</x:v>
      </x:c>
    </x:row>
    <x:row r="2385" ht="93" customHeight="1">
      <x:c r="A2385" s="19" t="n">
        <x:v>2382</x:v>
      </x:c>
      <x:c r="B2385" s="22" t="e">
        <x:f>HYPERLINK("https://cdn.shopify.com/s/files/1/0918/6066/4603/files/O1CN01qwpYcX2MQzeyT9axK__2219089449823-0-cib.jpg?v=1767850211","Open")</x:f>
        <x:v>HYPERLINK is not implemented. linkLocation=https://cdn.shopify.com/s/files/1/0918/6066/4603/files/O1CN01qwpYcX2MQzeyT9axK__2219089449823-0-cib.jpg?v=1767850211, friendlyName=Open</x:v>
      </x:c>
      <x:c r="C2385" s="24" t="e">
        <x:f>HYPERLINK("https://365nails.com/products/icy-blue-sculpted-floral-crystal-fantasy-press-on-nails","Icy Blue Sculpted Floral Crystal Fantasy Press On Nails")</x:f>
        <x:v>HYPERLINK is not implemented. linkLocation=https://365nails.com/products/icy-blue-sculpted-floral-crystal-fantasy-press-on-nails, friendlyName=Icy Blue Sculpted Floral Crystal Fantasy Press On Nails</x:v>
      </x:c>
      <x:c r="D2385" s="18" t="str">
        <x:v>Color: O005; Color classification: XS / S / M / L</x:v>
      </x:c>
      <x:c r="E2385" s="25" t="str">
        <x:v>$13.49</x:v>
      </x:c>
      <x:c r="F2385" s="19" t="str">
        <x:v>1</x:v>
      </x:c>
    </x:row>
    <x:row r="2386" ht="93" customHeight="1">
      <x:c r="A2386" s="19" t="n">
        <x:v>2383</x:v>
      </x:c>
      <x:c r="B2386" s="22" t="e">
        <x:f>HYPERLINK("https://cdn.shopify.com/s/files/1/0918/6066/4603/files/O1CN01bFceyn2MQzf0LTumn__2219089449823-0-cib.jpg?v=1767849871","Open")</x:f>
        <x:v>HYPERLINK is not implemented. linkLocation=https://cdn.shopify.com/s/files/1/0918/6066/4603/files/O1CN01bFceyn2MQzf0LTumn__2219089449823-0-cib.jpg?v=1767849871, friendlyName=Open</x:v>
      </x:c>
      <x:c r="C2386" s="24" t="e">
        <x:f>HYPERLINK("https://365nails.com/products/silver-glitter-crystal-minimal-luxe-press-on-nails","Silver Glitter Crystal Minimal Luxe Press On Nails")</x:f>
        <x:v>HYPERLINK is not implemented. linkLocation=https://365nails.com/products/silver-glitter-crystal-minimal-luxe-press-on-nails, friendlyName=Silver Glitter Crystal Minimal Luxe Press On Nails</x:v>
      </x:c>
      <x:c r="D2386" s="18" t="str">
        <x:v>Color: M055; Color classification: S / M / L</x:v>
      </x:c>
      <x:c r="E2386" s="25" t="str">
        <x:v>$5.99</x:v>
      </x:c>
      <x:c r="F2386" s="19" t="str">
        <x:v>1</x:v>
      </x:c>
    </x:row>
    <x:row r="2387" ht="93" customHeight="1">
      <x:c r="A2387" s="19" t="n">
        <x:v>2384</x:v>
      </x:c>
      <x:c r="B2387" s="22" t="e">
        <x:f>HYPERLINK("https://cdn.shopify.com/s/files/1/0918/6066/4603/files/O1CN01pz6dFP2MQzdydY8T6__2219089449823-0-cib_d3dd1706-b1ea-4627-884c-5b1b6db2f95a.jpg?v=1767944545","Open")</x:f>
        <x:v>HYPERLINK is not implemented. linkLocation=https://cdn.shopify.com/s/files/1/0918/6066/4603/files/O1CN01pz6dFP2MQzdydY8T6__2219089449823-0-cib_d3dd1706-b1ea-4627-884c-5b1b6db2f95a.jpg?v=1767944545, friendlyName=Open</x:v>
      </x:c>
      <x:c r="C2387" s="24" t="e">
        <x:f>HYPERLINK("https://365nails.com/products/blue-white-pearl-floral-long-press-on-nails","Blue White Pearl Floral Long Press On Nails")</x:f>
        <x:v>HYPERLINK is not implemented. linkLocation=https://365nails.com/products/blue-white-pearl-floral-long-press-on-nails, friendlyName=Blue White Pearl Floral Long Press On Nails</x:v>
      </x:c>
      <x:c r="D2387" s="18" t="str">
        <x:v>Color: Jsa04; Color classification: S / M / L; Length: 5cm</x:v>
      </x:c>
      <x:c r="E2387" s="25" t="str">
        <x:v>$5.99</x:v>
      </x:c>
      <x:c r="F2387" s="19" t="str">
        <x:v>1</x:v>
      </x:c>
    </x:row>
    <x:row r="2388" ht="93" customHeight="1">
      <x:c r="A2388" s="19" t="n">
        <x:v>2385</x:v>
      </x:c>
      <x:c r="B2388" s="22" t="e">
        <x:f>HYPERLINK("https://cdn.shopify.com/s/files/1/0918/6066/4603/files/O1CN01mDrZV92MQzfB7alq8__2219089449823-0-cib.jpg?v=1767947276","Open")</x:f>
        <x:v>HYPERLINK is not implemented. linkLocation=https://cdn.shopify.com/s/files/1/0918/6066/4603/files/O1CN01mDrZV92MQzfB7alq8__2219089449823-0-cib.jpg?v=1767947276, friendlyName=Open</x:v>
      </x:c>
      <x:c r="C2388" s="24" t="e">
        <x:f>HYPERLINK("https://365nails.com/products/silver-chrome-crystal-luxe-statement-press-on-nails","Silver Chrome Crystal Luxe Statement Press On Nails")</x:f>
        <x:v>HYPERLINK is not implemented. linkLocation=https://365nails.com/products/silver-chrome-crystal-luxe-statement-press-on-nails, friendlyName=Silver Chrome Crystal Luxe Statement Press On Nails</x:v>
      </x:c>
      <x:c r="D2388" s="18" t="str">
        <x:v>Color: M047; Color classification: S / M / L; Length: 5cm</x:v>
      </x:c>
      <x:c r="E2388" s="25" t="str">
        <x:v>$5.99</x:v>
      </x:c>
      <x:c r="F2388" s="19" t="str">
        <x:v>1</x:v>
      </x:c>
    </x:row>
    <x:row r="2389" ht="93" customHeight="1">
      <x:c r="A2389" s="19" t="n">
        <x:v>2386</x:v>
      </x:c>
      <x:c r="B2389" s="22" t="e">
        <x:f>HYPERLINK("https://cdn.shopify.com/s/files/1/0918/6066/4603/files/O1CN01pJqQex2MQzfArrraA__2219089449823-0-cib_d247278d-9fd1-493b-bca1-1e26b3982114.jpg?v=1767947828","Open")</x:f>
        <x:v>HYPERLINK is not implemented. linkLocation=https://cdn.shopify.com/s/files/1/0918/6066/4603/files/O1CN01pJqQex2MQzfArrraA__2219089449823-0-cib_d247278d-9fd1-493b-bca1-1e26b3982114.jpg?v=1767947828, friendlyName=Open</x:v>
      </x:c>
      <x:c r="C2389" s="24" t="e">
        <x:f>HYPERLINK("https://365nails.com/products/iridescent-floral-extra-long-press-on-nails","Iridescent Floral Extra Long Press On Nails")</x:f>
        <x:v>HYPERLINK is not implemented. linkLocation=https://365nails.com/products/iridescent-floral-extra-long-press-on-nails, friendlyName=Iridescent Floral Extra Long Press On Nails</x:v>
      </x:c>
      <x:c r="D2389" s="18" t="str">
        <x:v>Color: O011; Color classification: S / M / L; Length: 5cm</x:v>
      </x:c>
      <x:c r="E2389" s="25" t="str">
        <x:v>$13.49</x:v>
      </x:c>
      <x:c r="F2389" s="19" t="str">
        <x:v>1</x:v>
      </x:c>
    </x:row>
    <x:row r="2390" ht="93" customHeight="1">
      <x:c r="A2390" s="19" t="n">
        <x:v>2387</x:v>
      </x:c>
      <x:c r="B2390" s="22" t="e">
        <x:f>HYPERLINK("https://cdn.shopify.com/s/files/1/0918/6066/4603/files/O1CN01DUR0Rc2MQzfXnB7Cf__2219089449823-0-cib_e0a52d37-2439-4ff3-8c91-15896fed27e1.jpg?v=1767947181","Open")</x:f>
        <x:v>HYPERLINK is not implemented. linkLocation=https://cdn.shopify.com/s/files/1/0918/6066/4603/files/O1CN01DUR0Rc2MQzfXnB7Cf__2219089449823-0-cib_e0a52d37-2439-4ff3-8c91-15896fed27e1.jpg?v=1767947181, friendlyName=Open</x:v>
      </x:c>
      <x:c r="C2390" s="24" t="e">
        <x:f>HYPERLINK("https://365nails.com/products/pink-floral-crystal-fantasy-luxe-press-on-nails","Pink Floral Crystal Fantasy Luxe Press On Nails")</x:f>
        <x:v>HYPERLINK is not implemented. linkLocation=https://365nails.com/products/pink-floral-crystal-fantasy-luxe-press-on-nails, friendlyName=Pink Floral Crystal Fantasy Luxe Press On Nails</x:v>
      </x:c>
      <x:c r="D2390" s="18" t="str">
        <x:v>Color: O015; Color classification: S / M / L; Length: 4cm</x:v>
      </x:c>
      <x:c r="E2390" s="25" t="str">
        <x:v>$13.49</x:v>
      </x:c>
      <x:c r="F2390" s="19" t="str">
        <x:v>1</x:v>
      </x:c>
    </x:row>
    <x:row r="2391" ht="93" customHeight="1">
      <x:c r="A2391" s="19" t="n">
        <x:v>2388</x:v>
      </x:c>
      <x:c r="B2391" s="22" t="e">
        <x:f>HYPERLINK("https://cdn.shopify.com/s/files/1/0918/6066/4603/files/O1CN01FPlFlP2MQzf29yapM__2219089449823-0-cib_48c49e8d-d254-40b5-aa35-507e42c1ab96.jpg?v=1767946776","Open")</x:f>
        <x:v>HYPERLINK is not implemented. linkLocation=https://cdn.shopify.com/s/files/1/0918/6066/4603/files/O1CN01FPlFlP2MQzf29yapM__2219089449823-0-cib_48c49e8d-d254-40b5-aa35-507e42c1ab96.jpg?v=1767946776, friendlyName=Open</x:v>
      </x:c>
      <x:c r="C2391" s="24" t="e">
        <x:f>HYPERLINK("https://365nails.com/products/sky-blue-crystal-line-minimal-glam-press-on-nails","Sky Blue Crystal Line Minimal Glam Press On Nails")</x:f>
        <x:v>HYPERLINK is not implemented. linkLocation=https://365nails.com/products/sky-blue-crystal-line-minimal-glam-press-on-nails, friendlyName=Sky Blue Crystal Line Minimal Glam Press On Nails</x:v>
      </x:c>
      <x:c r="D2391" s="18" t="str">
        <x:v>Color: M053; Color classification: S / M / L; Length: 5cm</x:v>
      </x:c>
      <x:c r="E2391" s="25" t="str">
        <x:v>$5.99</x:v>
      </x:c>
      <x:c r="F2391" s="19" t="str">
        <x:v>1</x:v>
      </x:c>
    </x:row>
    <x:row r="2392" ht="93" customHeight="1">
      <x:c r="A2392" s="19" t="n">
        <x:v>2389</x:v>
      </x:c>
      <x:c r="B2392" s="22" t="e">
        <x:f>HYPERLINK("https://cdn.shopify.com/s/files/1/0918/6066/4603/files/O1CN01ucSX832MQzfMt79UN__2219089449823-0-cib_5b8684f3-1b5e-4f46-9ac2-86cd1f458bf9.jpg?v=1767946935","Open")</x:f>
        <x:v>HYPERLINK is not implemented. linkLocation=https://cdn.shopify.com/s/files/1/0918/6066/4603/files/O1CN01ucSX832MQzfMt79UN__2219089449823-0-cib_5b8684f3-1b5e-4f46-9ac2-86cd1f458bf9.jpg?v=1767946935, friendlyName=Open</x:v>
      </x:c>
      <x:c r="C2392" s="24" t="e">
        <x:f>HYPERLINK("https://365nails.com/products/dark-gothic-pearl-butterfly-luxe-press-on-nails","Dark Gothic Pearl Butterfly Luxe Press On Nails")</x:f>
        <x:v>HYPERLINK is not implemented. linkLocation=https://365nails.com/products/dark-gothic-pearl-butterfly-luxe-press-on-nails, friendlyName=Dark Gothic Pearl Butterfly Luxe Press On Nails</x:v>
      </x:c>
      <x:c r="D2392" s="18" t="str">
        <x:v>Color: M044; Color classification: S / M / L; Length: 5cm</x:v>
      </x:c>
      <x:c r="E2392" s="25" t="str">
        <x:v>$5.99</x:v>
      </x:c>
      <x:c r="F2392" s="19" t="str">
        <x:v>1</x:v>
      </x:c>
    </x:row>
    <x:row r="2393" ht="93" customHeight="1">
      <x:c r="A2393" s="19" t="n">
        <x:v>2390</x:v>
      </x:c>
      <x:c r="B2393" s="22" t="e">
        <x:f>HYPERLINK("https://cdn.shopify.com/s/files/1/0918/6066/4603/files/O1CN01p3tyxc2MQzf451Bhj__2219089449823-0-cib_2ccb39ba-f262-4268-91c0-879d1b590f49.jpg?v=1767947487","Open")</x:f>
        <x:v>HYPERLINK is not implemented. linkLocation=https://cdn.shopify.com/s/files/1/0918/6066/4603/files/O1CN01p3tyxc2MQzf451Bhj__2219089449823-0-cib_2ccb39ba-f262-4268-91c0-879d1b590f49.jpg?v=1767947487, friendlyName=Open</x:v>
      </x:c>
      <x:c r="C2393" s="24" t="e">
        <x:f>HYPERLINK("https://365nails.com/products/blush-pink-crystal-minimal-press-on-nails","Blush Pink Crystal Minimal Press On Nails")</x:f>
        <x:v>HYPERLINK is not implemented. linkLocation=https://365nails.com/products/blush-pink-crystal-minimal-press-on-nails, friendlyName=Blush Pink Crystal Minimal Press On Nails</x:v>
      </x:c>
      <x:c r="D2393" s="18" t="str">
        <x:v>Color: M052; Color classification: S / M / L; Length: 5cm</x:v>
      </x:c>
      <x:c r="E2393" s="25" t="str">
        <x:v>$5.99</x:v>
      </x:c>
      <x:c r="F2393" s="19" t="str">
        <x:v>1</x:v>
      </x:c>
    </x:row>
    <x:row r="2394" ht="93" customHeight="1">
      <x:c r="A2394" s="19" t="n">
        <x:v>2391</x:v>
      </x:c>
      <x:c r="B2394" s="22" t="e">
        <x:f>HYPERLINK("https://cdn.shopify.com/s/files/1/0918/6066/4603/files/O1CN015ufKlq21KTiXUiNUy__945536966-0-cib.jpg?v=1766383153","Open")</x:f>
        <x:v>HYPERLINK is not implemented. linkLocation=https://cdn.shopify.com/s/files/1/0918/6066/4603/files/O1CN015ufKlq21KTiXUiNUy__945536966-0-cib.jpg?v=1766383153, friendlyName=Open</x:v>
      </x:c>
      <x:c r="C2394" s="24" t="e">
        <x:f>HYPERLINK("https://365nails.com/products/heart-shaped-thank-you-cards-for-cute-brand-packaging","Heart Shaped Thank You Cards for Cute Brand Packaging (MOQ=10)")</x:f>
        <x:v>HYPERLINK is not implemented. linkLocation=https://365nails.com/products/heart-shaped-thank-you-cards-for-cute-brand-packaging, friendlyName=Heart Shaped Thank You Cards for Cute Brand Packaging (MOQ=10)</x:v>
      </x:c>
      <x:c r="D2394" s="18" t="str">
        <x:v>Size: Golden Years / Dream wedding / Love Ocean / Garnet Bright / Smoked clothes / Monet's Garden / Alice Dream Mirror / Greek Dance / Christine / Paris night / Romantic Jenny / Eyes of Moonlight / Angel Crown / Miracle of the Sea / Crystal Love / Wisteria blooms / Sunset / The orange is red. / The Most Beautiful Covenant / Baroque / Matcha Xinyu / Heart language wish / Fiery Heart / Oriental Star / Meteor Garden / Winter Love Song / first love / Love Nonnon / Purple ink poetry / Thanks for mailing you.; Quantity: 10pcs</x:v>
      </x:c>
      <x:c r="E2394" s="25" t="str">
        <x:v>$0.20</x:v>
      </x:c>
      <x:c r="F2394" s="19" t="str">
        <x:v>1</x:v>
      </x:c>
    </x:row>
    <x:row r="2395" ht="93" customHeight="1">
      <x:c r="A2395" s="19" t="n">
        <x:v>2392</x:v>
      </x:c>
      <x:c r="B2395" s="22" t="e">
        <x:f>HYPERLINK("https://cdn.shopify.com/s/files/1/0918/6066/4603/files/O1CN01kUtclX2MQzdl5wumh__2219089449823-0-cib_2975989f-6c97-4920-877a-d8b4d998891f.jpg?v=1767943517","Open")</x:f>
        <x:v>HYPERLINK is not implemented. linkLocation=https://cdn.shopify.com/s/files/1/0918/6066/4603/files/O1CN01kUtclX2MQzdl5wumh__2219089449823-0-cib_2975989f-6c97-4920-877a-d8b4d998891f.jpg?v=1767943517, friendlyName=Open</x:v>
      </x:c>
      <x:c r="C2395" s="24" t="e">
        <x:f>HYPERLINK("https://365nails.com/products/gold-crystal-floral-luxury-press-on-nails","Gold Crystal Floral Luxury Press On Nails")</x:f>
        <x:v>HYPERLINK is not implemented. linkLocation=https://365nails.com/products/gold-crystal-floral-luxury-press-on-nails, friendlyName=Gold Crystal Floral Luxury Press On Nails</x:v>
      </x:c>
      <x:c r="D2395" s="18" t="str">
        <x:v>Color: Jsb05    1.1; Color classification: S / M / L; Length: 4cm</x:v>
      </x:c>
      <x:c r="E2395" s="25" t="str">
        <x:v>$6.99</x:v>
      </x:c>
      <x:c r="F2395" s="19" t="str">
        <x:v>1</x:v>
      </x:c>
    </x:row>
    <x:row r="2396" ht="93" customHeight="1">
      <x:c r="A2396" s="19" t="n">
        <x:v>2393</x:v>
      </x:c>
      <x:c r="B2396" s="22" t="e">
        <x:f>HYPERLINK("https://cdn.shopify.com/s/files/1/0918/6066/4603/files/O1CN01PCiqTg2MQzdg1Be07__2219089449823-0-cib.jpg?v=1767944016","Open")</x:f>
        <x:v>HYPERLINK is not implemented. linkLocation=https://cdn.shopify.com/s/files/1/0918/6066/4603/files/O1CN01PCiqTg2MQzdg1Be07__2219089449823-0-cib.jpg?v=1767944016, friendlyName=Open</x:v>
      </x:c>
      <x:c r="C2396" s="24" t="e">
        <x:f>HYPERLINK("https://365nails.com/products/neon-green-metallic-line-minimal-press-on-nails","Neon Green Metallic Line Minimal Press On Nails")</x:f>
        <x:v>HYPERLINK is not implemented. linkLocation=https://365nails.com/products/neon-green-metallic-line-minimal-press-on-nails, friendlyName=Neon Green Metallic Line Minimal Press On Nails</x:v>
      </x:c>
      <x:c r="D2396" s="18" t="str">
        <x:v>Color: K016; Color classification: S / M / L; Length: 4cm</x:v>
      </x:c>
      <x:c r="E2396" s="25" t="str">
        <x:v>$3.99</x:v>
      </x:c>
      <x:c r="F2396" s="19" t="str">
        <x:v>1</x:v>
      </x:c>
    </x:row>
    <x:row r="2397" ht="93" customHeight="1">
      <x:c r="A2397" s="19" t="n">
        <x:v>2394</x:v>
      </x:c>
      <x:c r="B2397" s="22" t="e">
        <x:f>HYPERLINK("https://cdn.shopify.com/s/files/1/0918/6066/4603/files/O1CN01Vadgip22SYgOaDdFD__2219370087119-0-cib.jpg?v=1767183826","Open")</x:f>
        <x:v>HYPERLINK is not implemented. linkLocation=https://cdn.shopify.com/s/files/1/0918/6066/4603/files/O1CN01Vadgip22SYgOaDdFD__2219370087119-0-cib.jpg?v=1767183826, friendlyName=Open</x:v>
      </x:c>
      <x:c r="C2397" s="24" t="e">
        <x:f>HYPERLINK("https://365nails.com/products/gothic-black-cross-statement-press-on-nails","Gothic Black Cross Statement Press On Nails")</x:f>
        <x:v>HYPERLINK is not implemented. linkLocation=https://365nails.com/products/gothic-black-cross-statement-press-on-nails, friendlyName=Gothic Black Cross Statement Press On Nails</x:v>
      </x:c>
      <x:c r="D2397" s="18" t="str">
        <x:v>Color: Black; Color classification: L / M / S</x:v>
      </x:c>
      <x:c r="E2397" s="25" t="str">
        <x:v>$5.49</x:v>
      </x:c>
      <x:c r="F2397" s="19" t="str">
        <x:v>30</x:v>
      </x:c>
    </x:row>
    <x:row r="2398" ht="93" customHeight="1">
      <x:c r="A2398" s="19" t="n">
        <x:v>2395</x:v>
      </x:c>
      <x:c r="B2398" s="22" t="e">
        <x:f>HYPERLINK("https://cdn.shopify.com/s/files/1/0918/6066/4603/files/O1CN012C2SaZ2MQzddHGIS8__2219089449823-0-cib_ffada2fb-271f-4c6c-9e0d-5902fd48a35f.jpg?v=1767944083","Open")</x:f>
        <x:v>HYPERLINK is not implemented. linkLocation=https://cdn.shopify.com/s/files/1/0918/6066/4603/files/O1CN012C2SaZ2MQzddHGIS8__2219089449823-0-cib_ffada2fb-271f-4c6c-9e0d-5902fd48a35f.jpg?v=1767944083, friendlyName=Open</x:v>
      </x:c>
      <x:c r="C2398" s="24" t="e">
        <x:f>HYPERLINK("https://365nails.com/products/cute-cherry-gradient-extra-long-press-on-nails","Cute Cherry Gradient Extra Long Press On Nails")</x:f>
        <x:v>HYPERLINK is not implemented. linkLocation=https://365nails.com/products/cute-cherry-gradient-extra-long-press-on-nails, friendlyName=Cute Cherry Gradient Extra Long Press On Nails</x:v>
      </x:c>
      <x:c r="D2398" s="18" t="str">
        <x:v>Color: Jsa20; Color classification: XS / S / M / L</x:v>
      </x:c>
      <x:c r="E2398" s="25" t="str">
        <x:v>$5.99</x:v>
      </x:c>
      <x:c r="F2398" s="19" t="str">
        <x:v>1</x:v>
      </x:c>
    </x:row>
    <x:row r="2399" ht="93" customHeight="1">
      <x:c r="A2399" s="19" t="n">
        <x:v>2396</x:v>
      </x:c>
      <x:c r="B2399" s="22" t="e">
        <x:f>HYPERLINK("https://cdn.shopify.com/s/files/1/0918/6066/4603/files/O1CN01a6fSWS2MQzdeJ5npk__2219089449823-0-cib.jpg?v=1767943483","Open")</x:f>
        <x:v>HYPERLINK is not implemented. linkLocation=https://cdn.shopify.com/s/files/1/0918/6066/4603/files/O1CN01a6fSWS2MQzdeJ5npk__2219089449823-0-cib.jpg?v=1767943483, friendlyName=Open</x:v>
      </x:c>
      <x:c r="C2399" s="24" t="e">
        <x:f>HYPERLINK("https://365nails.com/products/blue-ombre-floral-crystal-elegant-press-on-nails","Blue Ombre Floral Crystal Elegant Press On Nails")</x:f>
        <x:v>HYPERLINK is not implemented. linkLocation=https://365nails.com/products/blue-ombre-floral-crystal-elegant-press-on-nails, friendlyName=Blue Ombre Floral Crystal Elegant Press On Nails</x:v>
      </x:c>
      <x:c r="D2399" s="18" t="str">
        <x:v>Color: Jsa 19; Color classification: XS / S / M / L; Length: 4cm</x:v>
      </x:c>
      <x:c r="E2399" s="25" t="str">
        <x:v>$5.99</x:v>
      </x:c>
      <x:c r="F2399" s="19" t="str">
        <x:v>1</x:v>
      </x:c>
    </x:row>
    <x:row r="2400" ht="93" customHeight="1">
      <x:c r="A2400" s="19" t="n">
        <x:v>2397</x:v>
      </x:c>
      <x:c r="B2400" s="22" t="e">
        <x:f>HYPERLINK("https://cdn.shopify.com/s/files/1/0918/6066/4603/files/O1CN01H1Nmfx2MQzdlvaIBp__2219089449823-0-cib_17c3615a-d6ec-404f-a55f-e4cba6c4b140.jpg?v=1767944294","Open")</x:f>
        <x:v>HYPERLINK is not implemented. linkLocation=https://cdn.shopify.com/s/files/1/0918/6066/4603/files/O1CN01H1Nmfx2MQzdlvaIBp__2219089449823-0-cib_17c3615a-d6ec-404f-a55f-e4cba6c4b140.jpg?v=1767944294, friendlyName=Open</x:v>
      </x:c>
      <x:c r="C2400" s="24" t="e">
        <x:f>HYPERLINK("https://365nails.com/products/soft-nude-pearl-floral-elegant-extra-long-press-on-nails","Soft Nude Pearl Floral Elegant Extra Long Press On Nails")</x:f>
        <x:v>HYPERLINK is not implemented. linkLocation=https://365nails.com/products/soft-nude-pearl-floral-elegant-extra-long-press-on-nails, friendlyName=Soft Nude Pearl Floral Elegant Extra Long Press On Nails</x:v>
      </x:c>
      <x:c r="D2400" s="18" t="str">
        <x:v>Color: Jsb06    1.1; Color classification: S / M / L; Length: 4cm</x:v>
      </x:c>
      <x:c r="E2400" s="25" t="str">
        <x:v>$6.99</x:v>
      </x:c>
      <x:c r="F2400" s="19" t="str">
        <x:v>1</x:v>
      </x:c>
    </x:row>
    <x:row r="2401" ht="93" customHeight="1">
      <x:c r="A2401" s="19" t="n">
        <x:v>2398</x:v>
      </x:c>
      <x:c r="B2401" s="22" t="e">
        <x:f>HYPERLINK("https://cdn.shopify.com/s/files/1/0918/6066/4603/files/O1CN019PVjYI2MQzdgB7jJv__2219089449823-0-cib.jpg?v=1767943662","Open")</x:f>
        <x:v>HYPERLINK is not implemented. linkLocation=https://cdn.shopify.com/s/files/1/0918/6066/4603/files/O1CN019PVjYI2MQzdgB7jJv__2219089449823-0-cib.jpg?v=1767943662, friendlyName=Open</x:v>
      </x:c>
      <x:c r="C2401" s="24" t="e">
        <x:f>HYPERLINK("https://365nails.com/products/sweet-heart-bow-french-gradient-press-on-nails","Sweet Heart Bow French Gradient Press On Nails")</x:f>
        <x:v>HYPERLINK is not implemented. linkLocation=https://365nails.com/products/sweet-heart-bow-french-gradient-press-on-nails, friendlyName=Sweet Heart Bow French Gradient Press On Nails</x:v>
      </x:c>
      <x:c r="D2401" s="18" t="str">
        <x:v>Color: Jsa 18; Color classification: S / M / L; Length: 5cm</x:v>
      </x:c>
      <x:c r="E2401" s="25" t="str">
        <x:v>$5.99</x:v>
      </x:c>
      <x:c r="F2401" s="19" t="str">
        <x:v>1</x:v>
      </x:c>
    </x:row>
    <x:row r="2402" ht="93" customHeight="1">
      <x:c r="A2402" s="19" t="n">
        <x:v>2399</x:v>
      </x:c>
      <x:c r="B2402" s="22" t="e">
        <x:f>HYPERLINK("https://cdn.shopify.com/s/files/1/0918/6066/4603/files/O1CN015YuuIZ1CPwPJZ7FzB__2213196780074-0-cib.jpg?v=1764662801","Open")</x:f>
        <x:v>HYPERLINK is not implemented. linkLocation=https://cdn.shopify.com/s/files/1/0918/6066/4603/files/O1CN015YuuIZ1CPwPJZ7FzB__2213196780074-0-cib.jpg?v=1764662801, friendlyName=Open</x:v>
      </x:c>
      <x:c r="C2402" s="24" t="e">
        <x:f>HYPERLINK("https://365nails.com/products/black-white-gold-new-year-party-nails","Black White Gold New Year Party Nails")</x:f>
        <x:v>HYPERLINK is not implemented. linkLocation=https://365nails.com/products/black-white-gold-new-year-party-nails, friendlyName=Black White Gold New Year Party Nails</x:v>
      </x:c>
      <x:c r="D2402" s="18" t="str">
        <x:v>shape: 3231 - short circle; size: XS / S / M / L</x:v>
      </x:c>
      <x:c r="E2402" s="25" t="str">
        <x:v>$3.99</x:v>
      </x:c>
      <x:c r="F2402" s="19" t="str">
        <x:v>1</x:v>
      </x:c>
    </x:row>
    <x:row r="2403" ht="93" customHeight="1">
      <x:c r="A2403" s="19" t="n">
        <x:v>2400</x:v>
      </x:c>
      <x:c r="B2403" s="22" t="e">
        <x:f>HYPERLINK("https://cdn.shopify.com/s/files/1/0918/6066/4603/files/O1CN013bhyJn2MQzdqiNixY__2219089449823-0-cib.jpg?v=1767943857","Open")</x:f>
        <x:v>HYPERLINK is not implemented. linkLocation=https://cdn.shopify.com/s/files/1/0918/6066/4603/files/O1CN013bhyJn2MQzdqiNixY__2219089449823-0-cib.jpg?v=1767943857, friendlyName=Open</x:v>
      </x:c>
      <x:c r="C2403" s="24" t="e">
        <x:f>HYPERLINK("https://365nails.com/products/golden-heart-floral-extra-long-elegant-press-on-nails","Golden Heart Floral Extra Long Elegant Press On Nails")</x:f>
        <x:v>HYPERLINK is not implemented. linkLocation=https://365nails.com/products/golden-heart-floral-extra-long-elegant-press-on-nails, friendlyName=Golden Heart Floral Extra Long Elegant Press On Nails</x:v>
      </x:c>
      <x:c r="D2403" s="18" t="str">
        <x:v>Color: M097; Color classification: S / M / L; Length: 5cm</x:v>
      </x:c>
      <x:c r="E2403" s="25" t="str">
        <x:v>$5.99</x:v>
      </x:c>
      <x:c r="F2403" s="19" t="str">
        <x:v>1</x:v>
      </x:c>
    </x:row>
    <x:row r="2404" ht="93" customHeight="1">
      <x:c r="A2404" s="19" t="n">
        <x:v>2401</x:v>
      </x:c>
      <x:c r="B2404" s="22" t="e">
        <x:f>HYPERLINK("https://cdn.shopify.com/s/files/1/0918/6066/4603/files/O1CN017jzNEP2MQzdh563XQ__2219089449823-0-cib.jpg?v=1767943790","Open")</x:f>
        <x:v>HYPERLINK is not implemented. linkLocation=https://cdn.shopify.com/s/files/1/0918/6066/4603/files/O1CN017jzNEP2MQzdh563XQ__2219089449823-0-cib.jpg?v=1767943790, friendlyName=Open</x:v>
      </x:c>
      <x:c r="C2404" s="24" t="e">
        <x:f>HYPERLINK("https://365nails.com/products/dark-cherry-gothic-star-snake-extra-long-press-on-nails","Dark Cherry Gothic Star Snake Extra Long Press On Nails")</x:f>
        <x:v>HYPERLINK is not implemented. linkLocation=https://365nails.com/products/dark-cherry-gothic-star-snake-extra-long-press-on-nails, friendlyName=Dark Cherry Gothic Star Snake Extra Long Press On Nails</x:v>
      </x:c>
      <x:c r="D2404" s="18" t="str">
        <x:v>Color: M101; Color classification: S / M / L; Length: 5cm</x:v>
      </x:c>
      <x:c r="E2404" s="25" t="str">
        <x:v>$5.99</x:v>
      </x:c>
      <x:c r="F2404" s="19" t="str">
        <x:v>1</x:v>
      </x:c>
    </x:row>
    <x:row r="2405" ht="93" customHeight="1">
      <x:c r="A2405" s="19" t="n">
        <x:v>2402</x:v>
      </x:c>
      <x:c r="B2405" s="22" t="e">
        <x:f>HYPERLINK("https://cdn.shopify.com/s/files/1/0918/6066/4603/files/O1CN01ZkEJRM1PKWYiwVW2w__2211149581822-0-cib.jpg?v=1766383495","Open")</x:f>
        <x:v>HYPERLINK is not implemented. linkLocation=https://cdn.shopify.com/s/files/1/0918/6066/4603/files/O1CN01ZkEJRM1PKWYiwVW2w__2211149581822-0-cib.jpg?v=1766383495, friendlyName=Open</x:v>
      </x:c>
      <x:c r="C2405" s="24" t="e">
        <x:f>HYPERLINK("https://365nails.com/products/kraft-paper-thank-you-cards-for-small-business-packaging","Kraft Paper Thank You Cards for Small Business Packaging (MOQ=3)")</x:f>
        <x:v>HYPERLINK is not implemented. linkLocation=https://365nails.com/products/kraft-paper-thank-you-cards-for-small-business-packaging, friendlyName=Kraft Paper Thank You Cards for Small Business Packaging (MOQ=3)</x:v>
      </x:c>
      <x:c r="D2405" s="18" t="str">
        <x:v>Size: KP55-thank you gift card 01-G2 / KP55-thank you gift card 02-G2 / KP55-thank you gift card 03-G2 / KP55-thank you gift card 04-G2 / KP55-thank you gift card 05-G2 / KP55-thank you gift card 06-G2 / KP55-thank you gift card 07-G2 / KP55-thank you gift card 08-G2; Quantity: 3pcs</x:v>
      </x:c>
      <x:c r="E2405" s="25" t="str">
        <x:v>$2.13</x:v>
      </x:c>
      <x:c r="F2405" s="19" t="str">
        <x:v>1</x:v>
      </x:c>
    </x:row>
    <x:row r="2406" ht="93" customHeight="1">
      <x:c r="A2406" s="19" t="n">
        <x:v>2403</x:v>
      </x:c>
      <x:c r="B2406" s="22" t="e">
        <x:f>HYPERLINK("https://cdn.shopify.com/s/files/1/0918/6066/4603/files/O1CN014QPK752MQzdaPsOri__2219089449823-0-cib_bfdc7e3e-1fb6-4aba-9490-e618c33adc7e.jpg?v=1767943895","Open")</x:f>
        <x:v>HYPERLINK is not implemented. linkLocation=https://cdn.shopify.com/s/files/1/0918/6066/4603/files/O1CN014QPK752MQzdaPsOri__2219089449823-0-cib_bfdc7e3e-1fb6-4aba-9490-e618c33adc7e.jpg?v=1767943895, friendlyName=Open</x:v>
      </x:c>
      <x:c r="C2406" s="24" t="e">
        <x:f>HYPERLINK("https://365nails.com/products/neon-star-snake-crystal-bold-press-on-nails","Neon Star Snake Crystal Bold Press On Nails")</x:f>
        <x:v>HYPERLINK is not implemented. linkLocation=https://365nails.com/products/neon-star-snake-crystal-bold-press-on-nails, friendlyName=Neon Star Snake Crystal Bold Press On Nails</x:v>
      </x:c>
      <x:c r="D2406" s="18" t="str">
        <x:v>Color: M102; Color classification: S / M / L; Length: 5cm</x:v>
      </x:c>
      <x:c r="E2406" s="25" t="str">
        <x:v>$5.99</x:v>
      </x:c>
      <x:c r="F2406" s="19" t="str">
        <x:v>1</x:v>
      </x:c>
    </x:row>
    <x:row r="2407" ht="93" customHeight="1">
      <x:c r="A2407" s="19" t="n">
        <x:v>2404</x:v>
      </x:c>
      <x:c r="B2407" s="22" t="e">
        <x:f>HYPERLINK("https://cdn.shopify.com/s/files/1/0918/6066/4603/files/O1CN01BbOkUA2MQzdeHgP5B__2219089449823-0-cib_6297573c-7193-4428-94a4-b57e1a4211ec.jpg?v=1767943577","Open")</x:f>
        <x:v>HYPERLINK is not implemented. linkLocation=https://cdn.shopify.com/s/files/1/0918/6066/4603/files/O1CN01BbOkUA2MQzdeHgP5B__2219089449823-0-cib_6297573c-7193-4428-94a4-b57e1a4211ec.jpg?v=1767943577, friendlyName=Open</x:v>
      </x:c>
      <x:c r="C2407" s="24" t="e">
        <x:f>HYPERLINK("https://365nails.com/products/elegant-nude-floral-crystal-contrast-press-on-nails","Elegant Nude Floral Crystal Contrast Press On Nails")</x:f>
        <x:v>HYPERLINK is not implemented. linkLocation=https://365nails.com/products/elegant-nude-floral-crystal-contrast-press-on-nails, friendlyName=Elegant Nude Floral Crystal Contrast Press On Nails</x:v>
      </x:c>
      <x:c r="D2407" s="18" t="str">
        <x:v>Color: Js b12; Color classification: XS / S / M / L; Length: 4cm</x:v>
      </x:c>
      <x:c r="E2407" s="25" t="str">
        <x:v>$6.99</x:v>
      </x:c>
      <x:c r="F2407" s="19" t="str">
        <x:v>1</x:v>
      </x:c>
    </x:row>
    <x:row r="2408" ht="93" customHeight="1">
      <x:c r="A2408" s="19" t="n">
        <x:v>2405</x:v>
      </x:c>
      <x:c r="B2408" s="22" t="e">
        <x:f>HYPERLINK("https://cdn.shopify.com/s/files/1/0918/6066/4603/files/08be4a99bfa41b540b92bbcf037a38da.jpg?v=1761289605","Open")</x:f>
        <x:v>HYPERLINK is not implemented. linkLocation=https://cdn.shopify.com/s/files/1/0918/6066/4603/files/08be4a99bfa41b540b92bbcf037a38da.jpg?v=1761289605, friendlyName=Open</x:v>
      </x:c>
      <x:c r="C2408" s="24" t="e">
        <x:f>HYPERLINK("https://365nails.com/products/30-pcs-french-advanced-wearing-nail-wide-nail-cross-border-hot-selling-nail-art-finished-product-wholesale-false-nails","30 pcs French advanced wearing nail wide nail cross-border hot-selling nail art finished product wholesale false nails")</x:f>
        <x:v>HYPERLINK is not implemented. linkLocation=https://365nails.com/products/30-pcs-french-advanced-wearing-nail-wide-nail-cross-border-hot-selling-nail-art-finished-product-wholesale-false-nails, friendlyName=30 pcs French advanced wearing nail wide nail cross-border hot-selling nail art finished product wholesale false nails</x:v>
      </x:c>
      <x:c r="D2408" s="18" t="str">
        <x:v>Color: ZG007 / ZG008 / ZG009 / ZG030 / ZG031 / ZG032; Color classification: Wearing kit</x:v>
      </x:c>
      <x:c r="E2408" s="25" t="str">
        <x:v>$1.35</x:v>
      </x:c>
      <x:c r="F2408" s="19" t="str">
        <x:v>1</x:v>
      </x:c>
    </x:row>
    <x:row r="2409" ht="93" customHeight="1">
      <x:c r="A2409" s="19" t="n">
        <x:v>2406</x:v>
      </x:c>
      <x:c r="B2409" s="22" t="e">
        <x:f>HYPERLINK("https://cdn.shopify.com/s/files/1/0918/6066/4603/files/O1CN01JDl4RM2ABd0T1DJa0__2218458308165-0-cib.jpg?v=1776156517","Open")</x:f>
        <x:v>HYPERLINK is not implemented. linkLocation=https://cdn.shopify.com/s/files/1/0918/6066/4603/files/O1CN01JDl4RM2ABd0T1DJa0__2218458308165-0-cib.jpg?v=1776156517, friendlyName=Open</x:v>
      </x:c>
      <x:c r="C2409" s="24" t="e">
        <x:f>HYPERLINK("https://365nails.com/products/%E6%AC%A7%E7%BE%8E%E7%A9%BF%E6%88%B4%E7%94%B2%E7%BE%8E%E5%9B%BD%E7%8B%AC%E7%AB%8B%E6%97%A5%E5%81%87%E6%8C%87%E7%94%B2%E7%BA%A2%E8%93%9D%E4%BA%94%E8%A7%92%E6%98%9F%E6%97%97%E5%AD%90%E7%83%9F%E8%8A%B1%E8%B7%A8%E5%A2%83%E7%9F%AD%E6%AC%BE%E6%96%B9%E5%BD%A2%E7%94%B2%E7%89%87","365nails: ""Salute &amp; Shine"" – Star &amp; Stripe Shimmer French Squoval Nails")</x:f>
        <x:v>HYPERLINK is not implemented. linkLocation=https://365nails.com/products/%E6%AC%A7%E7%BE%8E%E7%A9%BF%E6%88%B4%E7%94%B2%E7%BE%8E%E5%9B%BD%E7%8B%AC%E7%AB%8B%E6%97%A5%E5%81%87%E6%8C%87%E7%94%B2%E7%BA%A2%E8%93%9D%E4%BA%94%E8%A7%92%E6%98%9F%E6%97%97%E5%AD%90%E7%83%9F%E8%8A%B1%E8%B7%A8%E5%A2%83%E7%9F%AD%E6%AC%BE%E6%96%B9%E5%BD%A2%E7%94%B2%E7%89%87, friendlyName=365nails: "Salute &amp; Shine" – Star &amp; Stripe Shimmer French Squoval Nails</x:v>
      </x:c>
      <x:c r="D2409" s="18" t="str">
        <x:v>Color: Jml499 (without tools) / Jml499 (glue type) / Jml499 (jelly glue rubbing strip)</x:v>
      </x:c>
      <x:c r="E2409" s="25" t="str">
        <x:v>$0.99</x:v>
      </x:c>
      <x:c r="F2409" s="19" t="str">
        <x:v>3</x:v>
      </x:c>
    </x:row>
    <x:row r="2410" ht="93" customHeight="1">
      <x:c r="A2410" s="19" t="n">
        <x:v>2407</x:v>
      </x:c>
      <x:c r="B2410" s="22" t="e">
        <x:f>HYPERLINK("https://cdn.shopify.com/s/files/1/0918/6066/4603/files/O1CN01ug9e431CPwQUOaAmK__2213196780074-0-cib_7be673ac-0783-4d04-b2f1-8d61fcdedc36.jpg?v=1772707864","Open")</x:f>
        <x:v>HYPERLINK is not implemented. linkLocation=https://cdn.shopify.com/s/files/1/0918/6066/4603/files/O1CN01ug9e431CPwQUOaAmK__2213196780074-0-cib_7be673ac-0783-4d04-b2f1-8d61fcdedc36.jpg?v=1772707864, friendlyName=Open</x:v>
      </x:c>
      <x:c r="C2410" s="24" t="e">
        <x:f>HYPERLINK("https://365nails.com/products/1","1")</x:f>
        <x:v>HYPERLINK is not implemented. linkLocation=https://365nails.com/products/1, friendlyName=1</x:v>
      </x:c>
      <x:c r="D2410" s="18" t="str">
        <x:v>Color: 3475-long oval; Color classification: Extra small xs / Small s / Medium m / Large l</x:v>
      </x:c>
      <x:c r="E2410" s="25" t="str">
        <x:v>$3.78</x:v>
      </x:c>
      <x:c r="F2410" s="19" t="str">
        <x:v>1</x:v>
      </x:c>
    </x:row>
    <x:row r="2411" ht="93" customHeight="1">
      <x:c r="A2411" s="19" t="n">
        <x:v>2408</x:v>
      </x:c>
      <x:c r="B2411" s="22" t="e">
        <x:f>HYPERLINK("https://cdn.shopify.com/s/files/1/0918/6066/4603/files/900329ad7083a4c346c2695d92418c73.jpg?v=1761289626","Open")</x:f>
        <x:v>HYPERLINK is not implemented. linkLocation=https://cdn.shopify.com/s/files/1/0918/6066/4603/files/900329ad7083a4c346c2695d92418c73.jpg?v=1761289626, friendlyName=Open</x:v>
      </x:c>
      <x:c r="C2411" s="24" t="e">
        <x:f>HYPERLINK("https://365nails.com/products/30-boxed-classic-french-wear-nail-premium-narrow-nail-nail-pads-cross-border-hot-sale-removable-nail-patches","30 Boxed Classic French Wearing Nail Premium Narrow Nail Nail Pads Cross-border Hot Sale Removable Nail Patches")</x:f>
        <x:v>HYPERLINK is not implemented. linkLocation=https://365nails.com/products/30-boxed-classic-french-wear-nail-premium-narrow-nail-nail-pads-cross-border-hot-sale-removable-nail-patches, friendlyName=30 Boxed Classic French Wearing Nail Premium Narrow Nail Nail Pads Cross-border Hot Sale Removable Nail Patches</x:v>
      </x:c>
      <x:c r="D2411" s="18" t="str">
        <x:v>Color: ZG004 / ZG005 / ZG006 / ZG016 / ZG028 / ZG029; Color classification: Wearing kit</x:v>
      </x:c>
      <x:c r="E2411" s="25" t="str">
        <x:v>$1.35</x:v>
      </x:c>
      <x:c r="F2411" s="19" t="str">
        <x:v>1</x:v>
      </x:c>
    </x:row>
    <x:row r="2412" ht="93" customHeight="1">
      <x:c r="A2412" s="19" t="n">
        <x:v>2409</x:v>
      </x:c>
      <x:c r="B2412" s="22" t="e">
        <x:f>HYPERLINK("https://cdn.shopify.com/s/files/1/0918/6066/4603/files/O1CN01aavzox2214th0bmiE__2219480337059-0-cib.jpg?v=1773320877","Open")</x:f>
        <x:v>HYPERLINK is not implemented. linkLocation=https://cdn.shopify.com/s/files/1/0918/6066/4603/files/O1CN01aavzox2214th0bmiE__2219480337059-0-cib.jpg?v=1773320877, friendlyName=Open</x:v>
      </x:c>
      <x:c r="C2412" s="24" t="e">
        <x:f>HYPERLINK("https://365nails.com/products/365nails-sprouting-black-cat-short-round-handmade-kids-press-on-nails","365nails: ""sprouting black cat"" – short round handmade kids press-on nails")</x:f>
        <x:v>HYPERLINK is not implemented. linkLocation=https://365nails.com/products/365nails-sprouting-black-cat-short-round-handmade-kids-press-on-nails, friendlyName=365nails: "sprouting black cat" – short round handmade kids press-on nails</x:v>
      </x:c>
      <x:c r="D2412" s="18" t="str">
        <x:v>Color: Green bud cat; Color classification: Xs (about 2 years old) / S (3-4 years old) / M (5-7 years old) / L (8-11 years old)</x:v>
      </x:c>
      <x:c r="E2412" s="25" t="str">
        <x:v>$2.99</x:v>
      </x:c>
      <x:c r="F2412" s="19" t="str">
        <x:v>3</x:v>
      </x:c>
    </x:row>
    <x:row r="2413" ht="93" customHeight="1">
      <x:c r="A2413" s="19" t="n">
        <x:v>2410</x:v>
      </x:c>
      <x:c r="B2413" s="22" t="e">
        <x:f>HYPERLINK("https://cdn.shopify.com/s/files/1/0918/6066/4603/files/O1CN01Mapweh2NGHzgB5ENR__4234819935-0-cib.jpg?v=1758610206","Open")</x:f>
        <x:v>HYPERLINK is not implemented. linkLocation=https://cdn.shopify.com/s/files/1/0918/6066/4603/files/O1CN01Mapweh2NGHzgB5ENR__4234819935-0-cib.jpg?v=1758610206, friendlyName=Open</x:v>
      </x:c>
      <x:c r="C2413" s="24" t="e">
        <x:f>HYPERLINK("https://365nails.com/products/nail-art-wearing-nail-sweet-bow-polka-dot-nail-piece","Sweet bow polka dots cute press-on nails")</x:f>
        <x:v>HYPERLINK is not implemented. linkLocation=https://365nails.com/products/nail-art-wearing-nail-sweet-bow-polka-dot-nail-piece, friendlyName=Sweet bow polka dots cute press-on nails</x:v>
      </x:c>
      <x:c r="D2413" s="18" t="str">
        <x:v>Color: JP4000</x:v>
      </x:c>
      <x:c r="E2413" s="25" t="str">
        <x:v>$1.23</x:v>
      </x:c>
      <x:c r="F2413" s="19" t="str">
        <x:v>1</x:v>
      </x:c>
    </x:row>
    <x:row r="2414" ht="93" customHeight="1">
      <x:c r="A2414" s="19" t="n">
        <x:v>2411</x:v>
      </x:c>
      <x:c r="B2414" s="22" t="e">
        <x:f>HYPERLINK("https://cdn.shopify.com/s/files/1/0918/6066/4603/files/O1CN01dbG1ma2NGHzw02XEr__4234819935-0-cib.jpg?v=1758610194","Open")</x:f>
        <x:v>HYPERLINK is not implemented. linkLocation=https://cdn.shopify.com/s/files/1/0918/6066/4603/files/O1CN01dbG1ma2NGHzw02XEr__4234819935-0-cib.jpg?v=1758610194, friendlyName=Open</x:v>
      </x:c>
      <x:c r="C2414" s="24" t="e">
        <x:f>HYPERLINK("https://365nails.com/products/sweet-and-cool-short-almond-nail-art-wearing-nail-piece-french-black-metal-bow-fake-nail-piece","Sweet and Cool Short Almond French Black Metal Bow press-on nails")</x:f>
        <x:v>HYPERLINK is not implemented. linkLocation=https://365nails.com/products/sweet-and-cool-short-almond-nail-art-wearing-nail-piece-french-black-metal-bow-fake-nail-piece, friendlyName=Sweet and Cool Short Almond French Black Metal Bow press-on nails</x:v>
      </x:c>
      <x:c r="D2414" s="18" t="str">
        <x:v>color: JP4042</x:v>
      </x:c>
      <x:c r="E2414" s="25" t="str">
        <x:v>$1.14</x:v>
      </x:c>
      <x:c r="F2414" s="19" t="str">
        <x:v>1</x:v>
      </x:c>
    </x:row>
    <x:row r="2415" ht="93" customHeight="1">
      <x:c r="A2415" s="19" t="n">
        <x:v>2412</x:v>
      </x:c>
      <x:c r="B2415" s="22" t="e">
        <x:f>HYPERLINK("https://cdn.shopify.com/s/files/1/0918/6066/4603/files/O1CN01pE7PRx2NGHzcKMvLF__4234819935-0-cib.jpg?v=1758610190","Open")</x:f>
        <x:v>HYPERLINK is not implemented. linkLocation=https://cdn.shopify.com/s/files/1/0918/6066/4603/files/O1CN01pE7PRx2NGHzcKMvLF__4234819935-0-cib.jpg?v=1758610190, friendlyName=Open</x:v>
      </x:c>
      <x:c r="C2415" s="24" t="e">
        <x:f>HYPERLINK("https://365nails.com/products/3d-three-dimensional-flower-manicure-nail-piece-french-yellow-short-almond-nail-wearing-nail","3D Stereoscopic Flower French Yellow Short Almond press-on nails")</x:f>
        <x:v>HYPERLINK is not implemented. linkLocation=https://365nails.com/products/3d-three-dimensional-flower-manicure-nail-piece-french-yellow-short-almond-nail-wearing-nail, friendlyName=3D Stereoscopic Flower French Yellow Short Almond press-on nails</x:v>
      </x:c>
      <x:c r="D2415" s="18" t="str">
        <x:v>color: GD59</x:v>
      </x:c>
      <x:c r="E2415" s="25" t="str">
        <x:v>$1.59</x:v>
      </x:c>
      <x:c r="F2415" s="19" t="str">
        <x:v>1</x:v>
      </x:c>
    </x:row>
    <x:row r="2416" ht="93" customHeight="1">
      <x:c r="A2416" s="19" t="n">
        <x:v>2413</x:v>
      </x:c>
      <x:c r="B2416" s="22" t="e">
        <x:f>HYPERLINK("https://cdn.shopify.com/s/files/1/0918/6066/4603/files/O1CN01mCMqS52NGHznVRnbr__4234819935-0-cib.jpg?v=1758610181","Open")</x:f>
        <x:v>HYPERLINK is not implemented. linkLocation=https://cdn.shopify.com/s/files/1/0918/6066/4603/files/O1CN01mCMqS52NGHznVRnbr__4234819935-0-cib.jpg?v=1758610181, friendlyName=Open</x:v>
      </x:c>
      <x:c r="C2416" s="24" t="e">
        <x:f>HYPERLINK("https://365nails.com/products/3d-three-dimensional-flower-wearing-nail-pearlescent-flash-manicure-nail-piece-short-almond-nail","3D three-dimensional flower pearlescent flash short almond press-on nails")</x:f>
        <x:v>HYPERLINK is not implemented. linkLocation=https://365nails.com/products/3d-three-dimensional-flower-wearing-nail-pearlescent-flash-manicure-nail-piece-short-almond-nail, friendlyName=3D three-dimensional flower pearlescent flash short almond press-on nails</x:v>
      </x:c>
      <x:c r="D2416" s="18" t="str">
        <x:v>color: GD69</x:v>
      </x:c>
      <x:c r="E2416" s="25" t="str">
        <x:v>$2.11</x:v>
      </x:c>
      <x:c r="F2416" s="19" t="str">
        <x:v>1</x:v>
      </x:c>
    </x:row>
    <x:row r="2417" ht="93" customHeight="1">
      <x:c r="A2417" s="19" t="n">
        <x:v>2414</x:v>
      </x:c>
      <x:c r="B2417" s="22" t="e">
        <x:f>HYPERLINK("https://cdn.shopify.com/s/files/1/0918/6066/4603/files/O1CN01D9uBry2NGHznGuiJh__4234819935-0-cib.jpg?v=1758610154","Open")</x:f>
        <x:v>HYPERLINK is not implemented. linkLocation=https://cdn.shopify.com/s/files/1/0918/6066/4603/files/O1CN01D9uBry2NGHznGuiJh__4234819935-0-cib.jpg?v=1758610154, friendlyName=Open</x:v>
      </x:c>
      <x:c r="C2417" s="24" t="e">
        <x:f>HYPERLINK("https://365nails.com/products/premium-sense-30-pieces-boxed-french-nail-art-nail-pieces-short-almond-nail-pieces-fresh-strawberry-wear-nail-pieces","Premium 30 Pieces Boxed French Short Almonds Fresh Strawberries press-on nails")</x:f>
        <x:v>HYPERLINK is not implemented. linkLocation=https://365nails.com/products/premium-sense-30-pieces-boxed-french-nail-art-nail-pieces-short-almond-nail-pieces-fresh-strawberry-wear-nail-pieces, friendlyName=Premium 30 Pieces Boxed French Short Almonds Fresh Strawberries press-on nails</x:v>
      </x:c>
      <x:c r="D2417" s="18" t="str">
        <x:v>color: GD67</x:v>
      </x:c>
      <x:c r="E2417" s="25" t="str">
        <x:v>$1.69</x:v>
      </x:c>
      <x:c r="F2417" s="19" t="str">
        <x:v>1</x:v>
      </x:c>
    </x:row>
    <x:row r="2418" ht="93" customHeight="1">
      <x:c r="A2418" s="19" t="n">
        <x:v>2415</x:v>
      </x:c>
      <x:c r="B2418" s="22" t="e">
        <x:f>HYPERLINK("https://cdn.shopify.com/s/files/1/0918/6066/4603/files/O1CN01qVDOyF2NGI05wcfxl__4234819935-0-cib.jpg?v=1758609988","Open")</x:f>
        <x:v>HYPERLINK is not implemented. linkLocation=https://cdn.shopify.com/s/files/1/0918/6066/4603/files/O1CN01qVDOyF2NGI05wcfxl__4234819935-0-cib.jpg?v=1758609988, friendlyName=Open</x:v>
      </x:c>
      <x:c r="C2418" s="24" t="e">
        <x:f>HYPERLINK("https://365nails.com/products/xiaohongshu-ins-wind-cat-eye-flash-wearing-nail-short-oval-manicure-piece-french-beige-fake-nail-piece","Cat's eye flash short oval French beige press-on nails")</x:f>
        <x:v>HYPERLINK is not implemented. linkLocation=https://365nails.com/products/xiaohongshu-ins-wind-cat-eye-flash-wearing-nail-short-oval-manicure-piece-french-beige-fake-nail-piece, friendlyName=Cat's eye flash short oval French beige press-on nails</x:v>
      </x:c>
      <x:c r="D2418" s="18" t="str">
        <x:v>color: JL0669</x:v>
      </x:c>
      <x:c r="E2418" s="25" t="str">
        <x:v>$1.35</x:v>
      </x:c>
      <x:c r="F2418" s="19" t="str">
        <x:v>1</x:v>
      </x:c>
    </x:row>
    <x:row r="2419" ht="93" customHeight="1">
      <x:c r="A2419" s="19" t="n">
        <x:v>2416</x:v>
      </x:c>
      <x:c r="B2419" s="22" t="e">
        <x:f>HYPERLINK("https://cdn.shopify.com/s/files/1/0918/6066/4603/files/O1CN01KUHmZJ2NGI0DdDRqu__4234819935-0-cib.jpg?v=1758609984","Open")</x:f>
        <x:v>HYPERLINK is not implemented. linkLocation=https://cdn.shopify.com/s/files/1/0918/6066/4603/files/O1CN01KUHmZJ2NGI0DdDRqu__4234819935-0-cib.jpg?v=1758609984, friendlyName=Open</x:v>
      </x:c>
      <x:c r="C2419" s="24" t="e">
        <x:f>HYPERLINK("https://365nails.com/products/simple-blush-xiaohongshu-popular-nail-art-wearing-nail-north-american-hot-selling-short-square-nail","Simple Blush North American Hot Selling Short press-on nails")</x:f>
        <x:v>HYPERLINK is not implemented. linkLocation=https://365nails.com/products/simple-blush-xiaohongshu-popular-nail-art-wearing-nail-north-american-hot-selling-short-square-nail, friendlyName=Simple Blush North American Hot Selling Short press-on nails</x:v>
      </x:c>
      <x:c r="D2419" s="18" t="str">
        <x:v>color: JP4135</x:v>
      </x:c>
      <x:c r="E2419" s="25" t="str">
        <x:v>$0.68</x:v>
      </x:c>
      <x:c r="F2419" s="19" t="str">
        <x:v>1</x:v>
      </x:c>
    </x:row>
    <x:row r="2420" ht="93" customHeight="1">
      <x:c r="A2420" s="19" t="n">
        <x:v>2417</x:v>
      </x:c>
      <x:c r="B2420" s="22" t="e">
        <x:f>HYPERLINK("https://cdn.shopify.com/s/files/1/0918/6066/4603/files/O1CN01vH2mp52NGI0DuKTGj__4234819935-0-cib.jpg?v=1758609971","Open")</x:f>
        <x:v>HYPERLINK is not implemented. linkLocation=https://cdn.shopify.com/s/files/1/0918/6066/4603/files/O1CN01vH2mp52NGI0DuKTGj__4234819935-0-cib.jpg?v=1758609971, friendlyName=Open</x:v>
      </x:c>
      <x:c r="C2420" s="24" t="e">
        <x:f>HYPERLINK("https://365nails.com/products/naked-cat-eyes-flash-wearing-nail-art-nail-art-pink-cat-paw-print-sweet-cat-fake-nail-finger","Nude cat eye flash pink cat paw print sweet cat press-on nails")</x:f>
        <x:v>HYPERLINK is not implemented. linkLocation=https://365nails.com/products/naked-cat-eyes-flash-wearing-nail-art-nail-art-pink-cat-paw-print-sweet-cat-fake-nail-finger, friendlyName=Nude cat eye flash pink cat paw print sweet cat press-on nails</x:v>
      </x:c>
      <x:c r="D2420" s="18" t="str">
        <x:v>color: JP4008</x:v>
      </x:c>
      <x:c r="E2420" s="25" t="str">
        <x:v>$1.30</x:v>
      </x:c>
      <x:c r="F2420" s="19" t="str">
        <x:v>1</x:v>
      </x:c>
    </x:row>
    <x:row r="2421" ht="93" customHeight="1">
      <x:c r="A2421" s="19" t="n">
        <x:v>2418</x:v>
      </x:c>
      <x:c r="B2421" s="22" t="e">
        <x:f>HYPERLINK("https://cdn.shopify.com/s/files/1/0918/6066/4603/files/O1CN01XiorXr2NGHzvPlEZ3__4234819935-0-cib.jpg?v=1758609894","Open")</x:f>
        <x:v>HYPERLINK is not implemented. linkLocation=https://cdn.shopify.com/s/files/1/0918/6066/4603/files/O1CN01XiorXr2NGHzvPlEZ3__4234819935-0-cib.jpg?v=1758609894, friendlyName=Open</x:v>
      </x:c>
      <x:c r="C2421" s="24" t="e">
        <x:f>HYPERLINK("https://365nails.com/products/popular-short-almond-nail-fake-nail-3d-three-dimensional-flower-wearing-nail-art","Popular short almond 3D three-dimensional flower multi-color press-on nails")</x:f>
        <x:v>HYPERLINK is not implemented. linkLocation=https://365nails.com/products/popular-short-almond-nail-fake-nail-3d-three-dimensional-flower-wearing-nail-art, friendlyName=Popular short almond 3D three-dimensional flower multi-color press-on nails</x:v>
      </x:c>
      <x:c r="D2421" s="18" t="str">
        <x:v>color: JP3950</x:v>
      </x:c>
      <x:c r="E2421" s="25" t="str">
        <x:v>$1.30</x:v>
      </x:c>
      <x:c r="F2421" s="19" t="str">
        <x:v>1</x:v>
      </x:c>
    </x:row>
    <x:row r="2422" ht="93" customHeight="1">
      <x:c r="A2422" s="19" t="n">
        <x:v>2419</x:v>
      </x:c>
      <x:c r="B2422" s="22" t="e">
        <x:f>HYPERLINK("https://cdn.shopify.com/s/files/1/0918/6066/4603/files/O1CN01hCJQcB2NGHzGEJfRP__4234819935-0-cib.jpg?v=1758609874","Open")</x:f>
        <x:v>HYPERLINK is not implemented. linkLocation=https://cdn.shopify.com/s/files/1/0918/6066/4603/files/O1CN01hCJQcB2NGHzGEJfRP__4234819935-0-cib.jpg?v=1758609874, friendlyName=Open</x:v>
      </x:c>
      <x:c r="C2422" s="24" t="e">
        <x:f>HYPERLINK("https://365nails.com/products/bohemian-manicure-fake-nails-short-almond-shaped-wearing-nail-pads-finished-products-wholesale","Bohemian short almond light pink press-on nails")</x:f>
        <x:v>HYPERLINK is not implemented. linkLocation=https://365nails.com/products/bohemian-manicure-fake-nails-short-almond-shaped-wearing-nail-pads-finished-products-wholesale, friendlyName=Bohemian short almond light pink press-on nails</x:v>
      </x:c>
      <x:c r="D2422" s="18" t="str">
        <x:v>Color: JP3989</x:v>
      </x:c>
      <x:c r="E2422" s="25" t="str">
        <x:v>$0.77</x:v>
      </x:c>
      <x:c r="F2422" s="19" t="str">
        <x:v>1</x:v>
      </x:c>
    </x:row>
    <x:row r="2423" ht="93" customHeight="1">
      <x:c r="A2423" s="19" t="n">
        <x:v>2420</x:v>
      </x:c>
      <x:c r="B2423" s="22" t="e">
        <x:f>HYPERLINK("https://cdn.shopify.com/s/files/1/0918/6066/4603/files/O1CN016zQkL12NGHzvKWyzM__4234819935-0-cib.jpg?v=1758609853","Open")</x:f>
        <x:v>HYPERLINK is not implemented. linkLocation=https://cdn.shopify.com/s/files/1/0918/6066/4603/files/O1CN016zQkL12NGHzvKWyzM__4234819935-0-cib.jpg?v=1758609853, friendlyName=Open</x:v>
      </x:c>
      <x:c r="C2423" s="24" t="e">
        <x:f>HYPERLINK("https://365nails.com/products/hot-selling-white-three-dimensional-bow-short-square-nail-art-french-white-simple-wearing-nail-fake-nail","White three-dimensional bow short method white simple press-on nails")</x:f>
        <x:v>HYPERLINK is not implemented. linkLocation=https://365nails.com/products/hot-selling-white-three-dimensional-bow-short-square-nail-art-french-white-simple-wearing-nail-fake-nail, friendlyName=White three-dimensional bow short method white simple press-on nails</x:v>
      </x:c>
      <x:c r="D2423" s="18" t="str">
        <x:v>color: JP4014</x:v>
      </x:c>
      <x:c r="E2423" s="25" t="str">
        <x:v>$1.44</x:v>
      </x:c>
      <x:c r="F2423" s="19" t="str">
        <x:v>1</x:v>
      </x:c>
    </x:row>
    <x:row r="2424" ht="93" customHeight="1">
      <x:c r="A2424" s="19" t="n">
        <x:v>2421</x:v>
      </x:c>
      <x:c r="B2424" s="22" t="e">
        <x:f>HYPERLINK("https://cdn.shopify.com/s/files/1/0918/6066/4603/files/O1CN01sRzpvm2NGHusLBvqh__4234819935-0-cib.jpg?v=1753433445","Open")</x:f>
        <x:v>HYPERLINK is not implemented. linkLocation=https://cdn.shopify.com/s/files/1/0918/6066/4603/files/O1CN01sRzpvm2NGHusLBvqh__4234819935-0-cib.jpg?v=1753433445, friendlyName=Open</x:v>
      </x:c>
      <x:c r="C2424" s="24" t="e">
        <x:f>HYPERLINK("https://365nails.com/products/french-color-leopard-print-manicure-sweet-and-cute-three-dimensional-bow-wearing-armor-cute-rabbit-love-nail-piece-finished-product-wholesale-365nails","French color leopard print manicure, sweet and cute three-dimensional bow, wearing armor, cute rabbit love nail piece, finished product wholesale｜365nails")</x:f>
        <x:v>HYPERLINK is not implemented. linkLocation=https://365nails.com/products/french-color-leopard-print-manicure-sweet-and-cute-three-dimensional-bow-wearing-armor-cute-rabbit-love-nail-piece-finished-product-wholesale-365nails, friendlyName=French color leopard print manicure, sweet and cute three-dimensional bow, wearing armor, cute rabbit love nail piece, finished product wholesale｜365nails</x:v>
      </x:c>
      <x:c r="D2424" s="18" t="str">
        <x:v>color: JP2797</x:v>
      </x:c>
      <x:c r="E2424" s="25" t="str">
        <x:v>$2.14</x:v>
      </x:c>
      <x:c r="F2424" s="19" t="str">
        <x:v>1</x:v>
      </x:c>
    </x:row>
    <x:row r="2425" ht="93" customHeight="1">
      <x:c r="A2425" s="19" t="n">
        <x:v>2422</x:v>
      </x:c>
      <x:c r="B2425" s="22" t="e">
        <x:f>HYPERLINK("https://cdn.shopify.com/s/files/1/0918/6066/4603/files/O1CN01IlVvtF2NGHl8ifWTY__4234819935-0-cib_5bd874ea-900b-47f8-b0fb-29eae98644e9.jpg?v=1753433430","Open")</x:f>
        <x:v>HYPERLINK is not implemented. linkLocation=https://cdn.shopify.com/s/files/1/0918/6066/4603/files/O1CN01IlVvtF2NGHl8ifWTY__4234819935-0-cib_5bd874ea-900b-47f8-b0fb-29eae98644e9.jpg?v=1753433430, friendlyName=Open</x:v>
      </x:c>
      <x:c r="C2425" s="24" t="e">
        <x:f>HYPERLINK("https://365nails.com/products/nail-piece-wear-nail-halloween-nail-art-spider-rhinestone-spider-web-white-ghost-pumpkin-press-on-nails-365nails","Nail Piece Wear Nail Halloween Nail Art Spider Rhinestone Spider Web White Ghost Pumpkin Press on nails｜365nails")</x:f>
        <x:v>HYPERLINK is not implemented. linkLocation=https://365nails.com/products/nail-piece-wear-nail-halloween-nail-art-spider-rhinestone-spider-web-white-ghost-pumpkin-press-on-nails-365nails, friendlyName=Nail Piece Wear Nail Halloween Nail Art Spider Rhinestone Spider Web White Ghost Pumpkin Press on nails｜365nails</x:v>
      </x:c>
      <x:c r="D2425" s="18" t="str">
        <x:v>color: JP2508</x:v>
      </x:c>
      <x:c r="E2425" s="25" t="str">
        <x:v>$1.25</x:v>
      </x:c>
      <x:c r="F2425" s="19" t="str">
        <x:v>1</x:v>
      </x:c>
    </x:row>
    <x:row r="2426" ht="93" customHeight="1">
      <x:c r="A2426" s="19" t="n">
        <x:v>2423</x:v>
      </x:c>
      <x:c r="B2426" s="22" t="e">
        <x:f>HYPERLINK("https://cdn.shopify.com/s/files/1/0918/6066/4603/files/O1CN011yDHvt2NGHtnj3AVx__4234819935-0-cib.jpg?v=1753433388","Open")</x:f>
        <x:v>HYPERLINK is not implemented. linkLocation=https://cdn.shopify.com/s/files/1/0918/6066/4603/files/O1CN011yDHvt2NGHtnj3AVx__4234819935-0-cib.jpg?v=1753433388, friendlyName=Open</x:v>
      </x:c>
      <x:c r="C2426" s="24" t="e">
        <x:f>HYPERLINK("https://365nails.com/products/french-white-toenail-three-dimensional-point-drill-flower-flash-drill-foot-manicure-fake-nail-short-wear-nail-toenail-365nails","French white toenail three-dimensional point drill flower flash drill foot manicure fake nail short wear nail toenail｜365nails")</x:f>
        <x:v>HYPERLINK is not implemented. linkLocation=https://365nails.com/products/french-white-toenail-three-dimensional-point-drill-flower-flash-drill-foot-manicure-fake-nail-short-wear-nail-toenail-365nails, friendlyName=French white toenail three-dimensional point drill flower flash drill foot manicure fake nail short wear nail toenail｜365nails</x:v>
      </x:c>
      <x:c r="D2426" s="18" t="str">
        <x:v>color: JP3343 [Glue model] / JP3343 [Including wearable kit]</x:v>
      </x:c>
      <x:c r="E2426" s="25" t="str">
        <x:v>$1.90–$2.07</x:v>
      </x:c>
      <x:c r="F2426" s="19" t="str">
        <x:v>1</x:v>
      </x:c>
    </x:row>
    <x:row r="2427" ht="93" customHeight="1">
      <x:c r="A2427" s="19" t="n">
        <x:v>2424</x:v>
      </x:c>
      <x:c r="B2427" s="22" t="e">
        <x:f>HYPERLINK("https://cdn.shopify.com/s/files/1/0918/6066/4603/files/O1CN01IlhPCT2NGHfaaIAc4__4234819935-0-cib.jpg?v=1753433414","Open")</x:f>
        <x:v>HYPERLINK is not implemented. linkLocation=https://cdn.shopify.com/s/files/1/0918/6066/4603/files/O1CN01IlhPCT2NGHfaaIAc4__4234819935-0-cib.jpg?v=1753433414, friendlyName=Open</x:v>
      </x:c>
      <x:c r="C2427" s="24" t="e">
        <x:f>HYPERLINK("https://365nails.com/products/bare-powder-matte-rhinestone-super-long-ballet-wearing-armor-wholesale-finished-product-wearing-armor-piece-finished-product-detachable-wearing-armor-365nails","Bare powder matte rhinestone extra long ballet wearing armor wholesale finished product wearing armor piece finished product detachable wearing armor｜365nails")</x:f>
        <x:v>HYPERLINK is not implemented. linkLocation=https://365nails.com/products/bare-powder-matte-rhinestone-super-long-ballet-wearing-armor-wholesale-finished-product-wearing-armor-piece-finished-product-detachable-wearing-armor-365nails, friendlyName=Bare powder matte rhinestone extra long ballet wearing armor wholesale finished product wearing armor piece finished product detachable wearing armor｜365nails</x:v>
      </x:c>
      <x:c r="D2427" s="18" t="str">
        <x:v>color: JP1698</x:v>
      </x:c>
      <x:c r="E2427" s="25" t="str">
        <x:v>$1.25</x:v>
      </x:c>
      <x:c r="F2427" s="19" t="str">
        <x:v>1</x:v>
      </x:c>
    </x:row>
    <x:row r="2428" ht="93" customHeight="1">
      <x:c r="A2428" s="19" t="n">
        <x:v>2425</x:v>
      </x:c>
      <x:c r="B2428" s="22" t="e">
        <x:f>HYPERLINK("https://cdn.shopify.com/s/files/1/0918/6066/4603/files/O1CN013EQ4ba2NGHZsD7C07__4234819935-0-cib.jpg?v=1753433405","Open")</x:f>
        <x:v>HYPERLINK is not implemented. linkLocation=https://cdn.shopify.com/s/files/1/0918/6066/4603/files/O1CN013EQ4ba2NGHZsD7C07__4234819935-0-cib.jpg?v=1753433405, friendlyName=Open</x:v>
      </x:c>
      <x:c r="C2428" s="24" t="e">
        <x:f>HYPERLINK("https://365nails.com/products/berry-color-gradual-change-long-ballet-wear-nail-art-finished-fake-nail-nail-art-patch-nail-patch-removable-nail-piece-365nails","Berry color gradual change long ballet wear nail art finished fake nail nail art patch nail patch removable nail piece｜365nails")</x:f>
        <x:v>HYPERLINK is not implemented. linkLocation=https://365nails.com/products/berry-color-gradual-change-long-ballet-wear-nail-art-finished-fake-nail-nail-art-patch-nail-patch-removable-nail-piece-365nails, friendlyName=Berry color gradual change long ballet wear nail art finished fake nail nail art patch nail patch removable nail piece｜365nails</x:v>
      </x:c>
      <x:c r="D2428" s="18" t="str">
        <x:v>color: JP1015</x:v>
      </x:c>
      <x:c r="E2428" s="25" t="str">
        <x:v>$0.91</x:v>
      </x:c>
      <x:c r="F2428" s="19" t="str">
        <x:v>1</x:v>
      </x:c>
    </x:row>
    <x:row r="2429" ht="93" customHeight="1">
      <x:c r="A2429" s="19" t="n">
        <x:v>2426</x:v>
      </x:c>
      <x:c r="B2429" s="22" t="e">
        <x:f>HYPERLINK("https://cdn.shopify.com/s/files/1/0918/6066/4603/files/O1CN01PsE0HB2NGHio8OrbF__4234819935-0-cib.jpg?v=1753433317","Open")</x:f>
        <x:v>HYPERLINK is not implemented. linkLocation=https://cdn.shopify.com/s/files/1/0918/6066/4603/files/O1CN01PsE0HB2NGHio8OrbF__4234819935-0-cib.jpg?v=1753433317, friendlyName=Open</x:v>
      </x:c>
      <x:c r="C2429" s="24" t="e">
        <x:f>HYPERLINK("https://365nails.com/products/nail-art-piece-pink-and-white-gradual-change-wearing-nail-short-petal-rhinestone-nail-art-patch-wearing-nail-wearing-nail-wholesale-365nails","Nail art piece pink and white gradual change press on nails short petal rhinestone nail art patch press on nails press on nails wholesale｜365nails")</x:f>
        <x:v>HYPERLINK is not implemented. linkLocation=https://365nails.com/products/nail-art-piece-pink-and-white-gradual-change-wearing-nail-short-petal-rhinestone-nail-art-patch-wearing-nail-wearing-nail-wholesale-365nails, friendlyName=Nail art piece pink and white gradual change press on nails short petal rhinestone nail art patch press on nails press on nails wholesale｜365nails</x:v>
      </x:c>
      <x:c r="D2429" s="18" t="str">
        <x:v>color: JP2272</x:v>
      </x:c>
      <x:c r="E2429" s="25" t="str">
        <x:v>$1.11</x:v>
      </x:c>
      <x:c r="F2429" s="19" t="str">
        <x:v>1</x:v>
      </x:c>
    </x:row>
    <x:row r="2430" ht="93" customHeight="1">
      <x:c r="A2430" s="19" t="n">
        <x:v>2427</x:v>
      </x:c>
      <x:c r="B2430" s="22" t="e">
        <x:f>HYPERLINK("https://cdn.shopify.com/s/files/1/0918/6066/4603/files/O1CN01WOwfun2NGHxFtYMvO__4234819935-0-cib.jpg?v=1753433347","Open")</x:f>
        <x:v>HYPERLINK is not implemented. linkLocation=https://cdn.shopify.com/s/files/1/0918/6066/4603/files/O1CN01WOwfun2NGHxFtYMvO__4234819935-0-cib.jpg?v=1753433347, friendlyName=Open</x:v>
      </x:c>
      <x:c r="C2430" s="24" t="e">
        <x:f>HYPERLINK("https://365nails.com/products/simple-ins-three-dimensional-white-bow-wearing-nail-medium-and-long-almond-nail-french-white-fake-nail-art-piece-365nails","Simple ins three-dimensional white bow  medium and long almond nail French white  art piece｜365nails")</x:f>
        <x:v>HYPERLINK is not implemented. linkLocation=https://365nails.com/products/simple-ins-three-dimensional-white-bow-wearing-nail-medium-and-long-almond-nail-french-white-fake-nail-art-piece-365nails, friendlyName=Simple ins three-dimensional white bow  medium and long almond nail French white  art piece｜365nails</x:v>
      </x:c>
      <x:c r="D2430" s="18" t="str">
        <x:v>color: JP3742</x:v>
      </x:c>
      <x:c r="E2430" s="25" t="str">
        <x:v>$1.30</x:v>
      </x:c>
      <x:c r="F2430" s="19" t="str">
        <x:v>1</x:v>
      </x:c>
    </x:row>
    <x:row r="2431" ht="93" customHeight="1">
      <x:c r="A2431" s="19" t="n">
        <x:v>2428</x:v>
      </x:c>
      <x:c r="B2431" s="22" t="e">
        <x:f>HYPERLINK("https://cdn.shopify.com/s/files/1/0918/6066/4603/files/O1CN010MH6Zz2NGHZooQIsO__4234819935-0-cib.jpg?v=1753433303","Open")</x:f>
        <x:v>HYPERLINK is not implemented. linkLocation=https://cdn.shopify.com/s/files/1/0918/6066/4603/files/O1CN010MH6Zz2NGHZooQIsO__4234819935-0-cib.jpg?v=1753433303, friendlyName=Open</x:v>
      </x:c>
      <x:c r="C2431" s="24" t="e">
        <x:f>HYPERLINK("https://365nails.com/products/pink-ballet-ribbon-french-pearl-wearing-nail-finished-fake-nail-nail-patch-nail-patch-removable-nail-patch-365nails","Pink Ballet Ribbon French Pearl Wearing Nail Finished Fake Nail Nail Patch Nail Patch Removable Nail Patch｜365nails")</x:f>
        <x:v>HYPERLINK is not implemented. linkLocation=https://365nails.com/products/pink-ballet-ribbon-french-pearl-wearing-nail-finished-fake-nail-nail-patch-nail-patch-removable-nail-patch-365nails, friendlyName=Pink Ballet Ribbon French Pearl Wearing Nail Finished Fake Nail Nail Patch Nail Patch Removable Nail Patch｜365nails</x:v>
      </x:c>
      <x:c r="D2431" s="18" t="str">
        <x:v>color: JP987</x:v>
      </x:c>
      <x:c r="E2431" s="25" t="str">
        <x:v>$1.16</x:v>
      </x:c>
      <x:c r="F2431" s="19" t="str">
        <x:v>1</x:v>
      </x:c>
    </x:row>
    <x:row r="2432" ht="93" customHeight="1">
      <x:c r="A2432" s="19" t="n">
        <x:v>2429</x:v>
      </x:c>
      <x:c r="B2432" s="22" t="e">
        <x:f>HYPERLINK("https://cdn.shopify.com/s/files/1/0918/6066/4603/files/O1CN01IP5dDr2NGHcpG2Hz7__4234819935-0-cib.jpg?v=1753433300","Open")</x:f>
        <x:v>HYPERLINK is not implemented. linkLocation=https://cdn.shopify.com/s/files/1/0918/6066/4603/files/O1CN01IP5dDr2NGHcpG2Hz7__4234819935-0-cib.jpg?v=1753433300, friendlyName=Open</x:v>
      </x:c>
      <x:c r="C2432" s="24" t="e">
        <x:f>HYPERLINK("https://365nails.com/products/smoky-cold-wind-spade-heart-wearing-nail-art-finished-nail-art-patch-false-nail-removable-nail-patch-nail-patch-365nails","Smoky cold wind Spade heart wearing Nail Art Finished Nail Art Patch False Nail Removable Nail Patch Nail Patch｜365nails")</x:f>
        <x:v>HYPERLINK is not implemented. linkLocation=https://365nails.com/products/smoky-cold-wind-spade-heart-wearing-nail-art-finished-nail-art-patch-false-nail-removable-nail-patch-nail-patch-365nails, friendlyName=Smoky cold wind Spade heart wearing Nail Art Finished Nail Art Patch False Nail Removable Nail Patch Nail Patch｜365nails</x:v>
      </x:c>
      <x:c r="D2432" s="18" t="str">
        <x:v>color: JP1388</x:v>
      </x:c>
      <x:c r="E2432" s="25" t="str">
        <x:v>$0.70</x:v>
      </x:c>
      <x:c r="F2432" s="19" t="str">
        <x:v>1</x:v>
      </x:c>
    </x:row>
    <x:row r="2433" ht="93" customHeight="1">
      <x:c r="A2433" s="19" t="n">
        <x:v>2430</x:v>
      </x:c>
      <x:c r="B2433" s="22" t="e">
        <x:f>HYPERLINK("https://cdn.shopify.com/s/files/1/0918/6066/4603/files/O1CN01aw4THO2NGHmbPVsfU__4234819935-0-cib.jpg?v=1755237753","Open")</x:f>
        <x:v>HYPERLINK is not implemented. linkLocation=https://cdn.shopify.com/s/files/1/0918/6066/4603/files/O1CN01aw4THO2NGHmbPVsfU__4234819935-0-cib.jpg?v=1755237753, friendlyName=Open</x:v>
      </x:c>
      <x:c r="C2433" s="24" t="e">
        <x:f>HYPERLINK("https://365nails.com/products/factory-direct-sales-prefabricated-french-manicure-hot-sale-sweet-fake-nails-detachable-wearable-nail-piece-finished-product-wholesale-365nails","Factory direct sales Prefabricated French manicure hot sale Sweet fake nails Detachable wearable nail piece Finished product wholesale｜365nails")</x:f>
        <x:v>HYPERLINK is not implemented. linkLocation=https://365nails.com/products/factory-direct-sales-prefabricated-french-manicure-hot-sale-sweet-fake-nails-detachable-wearable-nail-piece-finished-product-wholesale-365nails, friendlyName=Factory direct sales Prefabricated French manicure hot sale Sweet fake nails Detachable wearable nail piece Finished product wholesale｜365nails</x:v>
      </x:c>
      <x:c r="D2433" s="18" t="str">
        <x:v>Color: YMS006 (300 pieces) / YMS007 (300 pieces) / YMS008 (300 pieces)</x:v>
      </x:c>
      <x:c r="E2433" s="25" t="str">
        <x:v>$4.60</x:v>
      </x:c>
      <x:c r="F2433" s="19" t="str">
        <x:v>1</x:v>
      </x:c>
    </x:row>
    <x:row r="2434" ht="93" customHeight="1">
      <x:c r="A2434" s="19" t="n">
        <x:v>2431</x:v>
      </x:c>
      <x:c r="B2434" s="22" t="e">
        <x:f>HYPERLINK("https://cdn.shopify.com/s/files/1/0918/6066/4603/files/O1CN012reXeH2NGHbTLlBfz__4234819935-0-cib.jpg?v=1753433283","Open")</x:f>
        <x:v>HYPERLINK is not implemented. linkLocation=https://cdn.shopify.com/s/files/1/0918/6066/4603/files/O1CN012reXeH2NGHbTLlBfz__4234819935-0-cib.jpg?v=1753433283, friendlyName=Open</x:v>
      </x:c>
      <x:c r="C2434" s="24" t="e">
        <x:f>HYPERLINK("https://365nails.com/products/morandi-color-summer-foot-nail-wear-nail-art-finished-fake-nail-nail-art-patch-foot-nail-patch-removable-365nails","Morandi color summer foot nail wear nail art finished fake nail nail art patch foot nail patch removable｜365nails")</x:f>
        <x:v>HYPERLINK is not implemented. linkLocation=https://365nails.com/products/morandi-color-summer-foot-nail-wear-nail-art-finished-fake-nail-nail-art-patch-foot-nail-patch-removable-365nails, friendlyName=Morandi color summer foot nail wear nail art finished fake nail nail art patch foot nail patch removable｜365nails</x:v>
      </x:c>
      <x:c r="D2434" s="18" t="str">
        <x:v>color: JP1180</x:v>
      </x:c>
      <x:c r="E2434" s="25" t="str">
        <x:v>$0.70</x:v>
      </x:c>
      <x:c r="F2434" s="19" t="str">
        <x:v>1</x:v>
      </x:c>
    </x:row>
    <x:row r="2435" ht="93" customHeight="1">
      <x:c r="A2435" s="19" t="n">
        <x:v>2432</x:v>
      </x:c>
      <x:c r="B2435" s="22" t="e">
        <x:f>HYPERLINK("https://cdn.shopify.com/s/files/1/0918/6066/4603/files/O1CN01lIA1AX2NGHukvyk0G__4234819935-0-cib.jpg?v=1753433185","Open")</x:f>
        <x:v>HYPERLINK is not implemented. linkLocation=https://cdn.shopify.com/s/files/1/0918/6066/4603/files/O1CN01lIA1AX2NGHukvyk0G__4234819935-0-cib.jpg?v=1753433185, friendlyName=Open</x:v>
      </x:c>
      <x:c r="C2435" s="24" t="e">
        <x:f>HYPERLINK("https://365nails.com/products/french-white-abstract-striped-manicure-fake-nails-simple-wearing-nail-pads-european-and-american-square-pink-nail-patches-365nails","French white abstract striped manicure, fake nails, simple wearing nail pads,  square pink nail patches｜365nails")</x:f>
        <x:v>HYPERLINK is not implemented. linkLocation=https://365nails.com/products/french-white-abstract-striped-manicure-fake-nails-simple-wearing-nail-pads-european-and-american-square-pink-nail-patches-365nails, friendlyName=French white abstract striped manicure, fake nails, simple wearing nail pads,  square pink nail patches｜365nails</x:v>
      </x:c>
      <x:c r="D2435" s="18" t="str">
        <x:v>color: JP3545</x:v>
      </x:c>
      <x:c r="E2435" s="25" t="str">
        <x:v>$0.86</x:v>
      </x:c>
      <x:c r="F2435" s="19" t="str">
        <x:v>1</x:v>
      </x:c>
    </x:row>
    <x:row r="2436" ht="93" customHeight="1">
      <x:c r="A2436" s="19" t="n">
        <x:v>2433</x:v>
      </x:c>
      <x:c r="B2436" s="22" t="e">
        <x:f>HYPERLINK("https://cdn.shopify.com/s/files/1/0918/6066/4603/files/O1CN01gS3cEg2NGHlUCibB3__4234819935-0-cib.jpg?v=1753433141","Open")</x:f>
        <x:v>HYPERLINK is not implemented. linkLocation=https://cdn.shopify.com/s/files/1/0918/6066/4603/files/O1CN01gS3cEg2NGHlUCibB3__4234819935-0-cib.jpg?v=1753433141, friendlyName=Open</x:v>
      </x:c>
      <x:c r="C2436" s="24" t="e">
        <x:f>HYPERLINK("https://365nails.com/products/nail-patch-wearing-nail-simple-white-french-wearing-nail-patch-wholesale-nail-art-wearing-nail-sticker-nails-365nails","Nail Patch Wearing Nail Simple White French Wearing Nail Patch Wholesale Nail Art Wearing Nail Sticker Nails｜365nails")</x:f>
        <x:v>HYPERLINK is not implemented. linkLocation=https://365nails.com/products/nail-patch-wearing-nail-simple-white-french-wearing-nail-patch-wholesale-nail-art-wearing-nail-sticker-nails-365nails, friendlyName=Nail Patch Wearing Nail Simple White French Wearing Nail Patch Wholesale Nail Art Wearing Nail Sticker Nails｜365nails</x:v>
      </x:c>
      <x:c r="D2436" s="18" t="str">
        <x:v>color: JP2586</x:v>
      </x:c>
      <x:c r="E2436" s="25" t="str">
        <x:v>$0.70</x:v>
      </x:c>
      <x:c r="F2436" s="19" t="str">
        <x:v>1</x:v>
      </x:c>
    </x:row>
    <x:row r="2437" ht="93" customHeight="1">
      <x:c r="A2437" s="19" t="n">
        <x:v>2434</x:v>
      </x:c>
      <x:c r="B2437" s="22" t="e">
        <x:f>HYPERLINK("https://cdn.shopify.com/s/files/1/0918/6066/4603/files/tufan_2Fb24a81f0-6692-11f0-b06b-00163e153550.jpg?v=1754461630","Open")</x:f>
        <x:v>HYPERLINK is not implemented. linkLocation=https://cdn.shopify.com/s/files/1/0918/6066/4603/files/tufan_2Fb24a81f0-6692-11f0-b06b-00163e153550.jpg?v=1754461630, friendlyName=Open</x:v>
      </x:c>
      <x:c r="C2437" s="24" t="e">
        <x:f>HYPERLINK("https://365nails.com/products/300-pieces-of-nail-art-boxed-matte-transparent-wearing-nail-handmade-nail-piece-nail-piece-special-for-wearing-nail-365nails","Nail Tips 300 pieces of nail art, boxed matte transparent press on nails, nail piece｜365nails")</x:f>
        <x:v>HYPERLINK is not implemented. linkLocation=https://365nails.com/products/300-pieces-of-nail-art-boxed-matte-transparent-wearing-nail-handmade-nail-piece-nail-piece-special-for-wearing-nail-365nails, friendlyName=Nail Tips 300 pieces of nail art, boxed matte transparent press on nails, nail piece｜365nails</x:v>
      </x:c>
      <x:c r="D2437" s="18" t="str">
        <x:v>Color: Short Almond 01 (300 pieces in a box) / Medium tip almond 02 (300 pieces in a box) / Medium and long pointed almond shape 03 (300 pieces in a box) / Short Trapezoidal 04 (300 Pieces Boxed) / Medium Trapezoidal 05 (300 pieces in a box) / Short Round 06 (300 Pieces Boxed) / Japanese square round 07 (300 pieces in a box) / Japanese-style short square round 08 (300 pieces in a box) / Long pointed almond 09 (300 pieces in a box) / Medium and long trapezoidal 10 (300 pieces in a box) / Rectangle Round 11 (300 pieces in a box) / Medium Almond 12 (300 pieces in a box) / Long Almond 13 (300 Pieces Box) / Extra Long Almond 14 (300 Pieces Boxed) / Short Square Round 15 (300 Pieces Boxed) / Long Trapezoid 16 (300 Pieces Boxed) / Ultra-short trapezoidal 17 (300 pieces in a box) / Short Toenail 18 (300 pieces in a box)</x:v>
      </x:c>
      <x:c r="E2437" s="25" t="str">
        <x:v>$1.08</x:v>
      </x:c>
      <x:c r="F2437" s="19" t="str">
        <x:v>1</x:v>
      </x:c>
    </x:row>
    <x:row r="2438" ht="93" customHeight="1">
      <x:c r="A2438" s="19" t="n">
        <x:v>2435</x:v>
      </x:c>
      <x:c r="B2438" s="22" t="e">
        <x:f>HYPERLINK("https://cdn.shopify.com/s/files/1/0918/6066/4603/files/O1CN01cgFkZm2NGHmE7RfGQ__4234819935-0-cib.jpg?v=1753433099","Open")</x:f>
        <x:v>HYPERLINK is not implemented. linkLocation=https://cdn.shopify.com/s/files/1/0918/6066/4603/files/O1CN01cgFkZm2NGHmE7RfGQ__4234819935-0-cib.jpg?v=1753433099, friendlyName=Open</x:v>
      </x:c>
      <x:c r="C2438" s="24" t="e">
        <x:f>HYPERLINK("https://365nails.com/products/nail-art-sticker-simple-solid-color-collection-nail-sticker-gentle-gradual-change-jump-color-nail-sticker-waterproof-and-long-lasting-sticker-365nails","Nail art sticker simple solid color collection nail sticker gentle gradual change jump color nail sticker, waterproof and long-lasting sticker｜365nails")</x:f>
        <x:v>HYPERLINK is not implemented. linkLocation=https://365nails.com/products/nail-art-sticker-simple-solid-color-collection-nail-sticker-gentle-gradual-change-jump-color-nail-sticker-waterproof-and-long-lasting-sticker-365nails, friendlyName=Nail art sticker simple solid color collection nail sticker gentle gradual change jump color nail sticker, waterproof and long-lasting sticker｜365nails</x:v>
      </x:c>
      <x:c r="D2438" s="18" t="str">
        <x:v>Specification type: SW601 / SW602 / SW603 / SW603-1 / SW604 / SW605 / SW606 / SW607 / SW608 / SW609 / SW610 / SW611 / SW612 / SW613 / SW614 / SW615 / SW616 / SW617 / SW618 / SW619 / SW620</x:v>
      </x:c>
      <x:c r="E2438" s="25" t="str">
        <x:v>$1.11</x:v>
      </x:c>
      <x:c r="F2438" s="19" t="str">
        <x:v>1</x:v>
      </x:c>
    </x:row>
    <x:row r="2439" ht="93" customHeight="1">
      <x:c r="A2439" s="19" t="n">
        <x:v>2436</x:v>
      </x:c>
      <x:c r="B2439" s="22" t="e">
        <x:f>HYPERLINK("https://cdn.shopify.com/s/files/1/0918/6066/4603/files/O1CN01fLWwa72NGHwdGnVpX__4234819935-0-cib.jpg?v=1753433118","Open")</x:f>
        <x:v>HYPERLINK is not implemented. linkLocation=https://cdn.shopify.com/s/files/1/0918/6066/4603/files/O1CN01fLWwa72NGHwdGnVpX__4234819935-0-cib.jpg?v=1753433118, friendlyName=Open</x:v>
      </x:c>
      <x:c r="C2439" s="24" t="e">
        <x:f>HYPERLINK("https://365nails.com/products/maillard-foot-nail-piece-brown-cats-eye-short-square-wearable-foot-nail-advanced-sense-flash-toenail-nail-wholesale-365nails","Maillard foot nail piece brown cat eye short square wearable foot nail advanced sense flash toenail nail ｜365nails")</x:f>
        <x:v>HYPERLINK is not implemented. linkLocation=https://365nails.com/products/maillard-foot-nail-piece-brown-cats-eye-short-square-wearable-foot-nail-advanced-sense-flash-toenail-nail-wholesale-365nails, friendlyName=Maillard foot nail piece brown cat eye short square wearable foot nail advanced sense flash toenail nail ｜365nails</x:v>
      </x:c>
      <x:c r="D2439" s="18" t="str">
        <x:v>color: JP3700</x:v>
      </x:c>
      <x:c r="E2439" s="25" t="str">
        <x:v>$0.97</x:v>
      </x:c>
      <x:c r="F2439" s="19" t="str">
        <x:v>1</x:v>
      </x:c>
    </x:row>
    <x:row r="2440" ht="93" customHeight="1">
      <x:c r="A2440" s="19" t="n">
        <x:v>2437</x:v>
      </x:c>
      <x:c r="B2440" s="22" t="e">
        <x:f>HYPERLINK("https://cdn.shopify.com/s/files/1/0918/6066/4603/files/O1CN01PIKGM42NGHjy0NG9M__4234819935-0-cib.jpg?v=1753432444","Open")</x:f>
        <x:v>HYPERLINK is not implemented. linkLocation=https://cdn.shopify.com/s/files/1/0918/6066/4603/files/O1CN01PIKGM42NGHjy0NG9M__4234819935-0-cib.jpg?v=1753432444, friendlyName=Open</x:v>
      </x:c>
      <x:c r="C2440" s="24" t="e">
        <x:f>HYPERLINK("https://365nails.com/products/wearing-nail-simple-foot-nail-french-white-edge-wearing-nail-advanced-wearing-nail-short-wholesale-nail-patch-nail-365nails","simple foot nail French white edge  advanced  short wholesale nail patch nail｜365nails")</x:f>
        <x:v>HYPERLINK is not implemented. linkLocation=https://365nails.com/products/wearing-nail-simple-foot-nail-french-white-edge-wearing-nail-advanced-wearing-nail-short-wholesale-nail-patch-nail-365nails, friendlyName=simple foot nail French white edge  advanced  short wholesale nail patch nail｜365nails</x:v>
      </x:c>
      <x:c r="D2440" s="18" t="str">
        <x:v>color: JP2433</x:v>
      </x:c>
      <x:c r="E2440" s="25" t="str">
        <x:v>$0.70</x:v>
      </x:c>
      <x:c r="F2440" s="19" t="str">
        <x:v>1</x:v>
      </x:c>
    </x:row>
    <x:row r="2441" ht="93" customHeight="1">
      <x:c r="A2441" s="19" t="n">
        <x:v>2438</x:v>
      </x:c>
      <x:c r="B2441" s="22" t="e">
        <x:f>HYPERLINK("https://cdn.shopify.com/s/files/1/0918/6066/4603/files/O1CN01GR7dZz2NGHvX1SzUq__4234819935-0-cib.jpg?v=1753432415","Open")</x:f>
        <x:v>HYPERLINK is not implemented. linkLocation=https://cdn.shopify.com/s/files/1/0918/6066/4603/files/O1CN01GR7dZz2NGHvX1SzUq__4234819935-0-cib.jpg?v=1753432415, friendlyName=Open</x:v>
      </x:c>
      <x:c r="C2441" s="24" t="e">
        <x:f>HYPERLINK("https://365nails.com/products/sweet-and-pure-wind-naked-pink-wearing-nail-advanced-sense-fake-nail-three-dimensional-point-drill-ice-through-bow-nail-art-piece-365nails","Sweet and pure wind naked pink  advanced sense  three-dimensional point drill ice through bow nail art piece｜365nails")</x:f>
        <x:v>HYPERLINK is not implemented. linkLocation=https://365nails.com/products/sweet-and-pure-wind-naked-pink-wearing-nail-advanced-sense-fake-nail-three-dimensional-point-drill-ice-through-bow-nail-art-piece-365nails, friendlyName=Sweet and pure wind naked pink  advanced sense  three-dimensional point drill ice through bow nail art piece｜365nails</x:v>
      </x:c>
      <x:c r="D2441" s="18" t="str">
        <x:v>color: JP3617</x:v>
      </x:c>
      <x:c r="E2441" s="25" t="str">
        <x:v>$0.97</x:v>
      </x:c>
      <x:c r="F2441" s="19" t="str">
        <x:v>1</x:v>
      </x:c>
    </x:row>
    <x:row r="2442" ht="93" customHeight="1">
      <x:c r="A2442" s="19" t="n">
        <x:v>2439</x:v>
      </x:c>
      <x:c r="B2442" s="22" t="e">
        <x:f>HYPERLINK("https://cdn.shopify.com/s/files/1/0918/6066/4603/files/O1CN01AaDSkB2NGHy6tWXKN__4234819935-0-cib.jpg?v=1753432421","Open")</x:f>
        <x:v>HYPERLINK is not implemented. linkLocation=https://cdn.shopify.com/s/files/1/0918/6066/4603/files/O1CN01AaDSkB2NGHy6tWXKN__4234819935-0-cib.jpg?v=1753432421, friendlyName=Open</x:v>
      </x:c>
      <x:c r="C2442" s="24" t="e">
        <x:f>HYPERLINK("https://365nails.com/products/sweet-pink-lip-print-wearing-nail-short-nail-piece-french-white-manicure-fake-nail-short-square-fake-nail-365nails","Sweet pink lip print  short  French white manicure  short square ｜365nails")</x:f>
        <x:v>HYPERLINK is not implemented. linkLocation=https://365nails.com/products/sweet-pink-lip-print-wearing-nail-short-nail-piece-french-white-manicure-fake-nail-short-square-fake-nail-365nails, friendlyName=Sweet pink lip print  short  French white manicure  short square ｜365nails</x:v>
      </x:c>
      <x:c r="D2442" s="18" t="str">
        <x:v>color: JP3655</x:v>
      </x:c>
      <x:c r="E2442" s="25" t="str">
        <x:v>$0.54</x:v>
      </x:c>
      <x:c r="F2442" s="19" t="str">
        <x:v>1</x:v>
      </x:c>
    </x:row>
    <x:row r="2443" ht="93" customHeight="1">
      <x:c r="A2443" s="19" t="n">
        <x:v>2440</x:v>
      </x:c>
      <x:c r="B2443" s="22" t="e">
        <x:f>HYPERLINK("https://cdn.shopify.com/s/files/1/0918/6066/4603/files/O1CN01XVL1LZ2NGHfXEHpVh__4234819935-0-cib.jpg?v=1753432396","Open")</x:f>
        <x:v>HYPERLINK is not implemented. linkLocation=https://cdn.shopify.com/s/files/1/0918/6066/4603/files/O1CN01XVL1LZ2NGHfXEHpVh__4234819935-0-cib.jpg?v=1753432396, friendlyName=Open</x:v>
      </x:c>
      <x:c r="C2443" s="24" t="e">
        <x:f>HYPERLINK("https://365nails.com/products/foot-nail-white-edge-french-rose-wearing-nail-piece-wholesale-wearing-nail-piece-nail-piece-removable-nails-365nails","Foot nail white edge French rose  Wholesale  Nail piece Removable nails｜365nails")</x:f>
        <x:v>HYPERLINK is not implemented. linkLocation=https://365nails.com/products/foot-nail-white-edge-french-rose-wearing-nail-piece-wholesale-wearing-nail-piece-nail-piece-removable-nails-365nails, friendlyName=Foot nail white edge French rose  Wholesale  Nail piece Removable nails｜365nails</x:v>
      </x:c>
      <x:c r="D2443" s="18" t="str">
        <x:v>color: JP1656</x:v>
      </x:c>
      <x:c r="E2443" s="25" t="str">
        <x:v>$0.76</x:v>
      </x:c>
      <x:c r="F2443" s="19" t="str">
        <x:v>1</x:v>
      </x:c>
    </x:row>
    <x:row r="2444" ht="93" customHeight="1">
      <x:c r="A2444" s="19" t="n">
        <x:v>2441</x:v>
      </x:c>
      <x:c r="B2444" s="22" t="e">
        <x:f>HYPERLINK("https://cdn.shopify.com/s/files/1/0918/6066/4603/files/O1CN01ZtfSrv2NGHyQySnnE__4234819935-0-cib.jpg?v=1753432370","Open")</x:f>
        <x:v>HYPERLINK is not implemented. linkLocation=https://cdn.shopify.com/s/files/1/0918/6066/4603/files/O1CN01ZtfSrv2NGHyQySnnE__4234819935-0-cib.jpg?v=1753432370, friendlyName=Open</x:v>
      </x:c>
      <x:c r="C2444" s="24" t="e">
        <x:f>HYPERLINK("https://365nails.com/products/simple-white-flower-wearing-nail-art-summer-small-fresh-wearing-nail-piece-fake-nail-nails-wholesale-365nails","Simple white flower  art summer small fresh  fake nail nails wholesale｜365nails")</x:f>
        <x:v>HYPERLINK is not implemented. linkLocation=https://365nails.com/products/simple-white-flower-wearing-nail-art-summer-small-fresh-wearing-nail-piece-fake-nail-nails-wholesale-365nails, friendlyName=Simple white flower  art summer small fresh  fake nail nails wholesale｜365nails</x:v>
      </x:c>
      <x:c r="D2444" s="18" t="str">
        <x:v>color: JP3958</x:v>
      </x:c>
      <x:c r="E2444" s="25" t="str">
        <x:v>$0.68</x:v>
      </x:c>
      <x:c r="F2444" s="19" t="str">
        <x:v>1</x:v>
      </x:c>
    </x:row>
    <x:row r="2445" ht="93" customHeight="1">
      <x:c r="A2445" s="19" t="n">
        <x:v>2442</x:v>
      </x:c>
      <x:c r="B2445" s="22" t="e">
        <x:f>HYPERLINK("https://cdn.shopify.com/s/files/1/0918/6066/4603/files/O1CN01mIF92B2NGHwnEYaZC__4234819935-0-cib.jpg?v=1753432352","Open")</x:f>
        <x:v>HYPERLINK is not implemented. linkLocation=https://cdn.shopify.com/s/files/1/0918/6066/4603/files/O1CN01mIF92B2NGHwnEYaZC__4234819935-0-cib.jpg?v=1753432352, friendlyName=Open</x:v>
      </x:c>
      <x:c r="C2445" s="24" t="e">
        <x:f>HYPERLINK("https://365nails.com/products/pack-of-30-pieces-autumn-and-winter-leopard-print-wearing-nail-small-red-book-french-black-nail-art-advanced-sense-wearing-nail-wholesale-365nails","Pack of 30 pieces, autumn and winter leopard print , small red book, French black nail art  ｜365nails")</x:f>
        <x:v>HYPERLINK is not implemented. linkLocation=https://365nails.com/products/pack-of-30-pieces-autumn-and-winter-leopard-print-wearing-nail-small-red-book-french-black-nail-art-advanced-sense-wearing-nail-wholesale-365nails, friendlyName=Pack of 30 pieces, autumn and winter leopard print , small red book, French black nail art  ｜365nails</x:v>
      </x:c>
      <x:c r="D2445" s="18" t="str">
        <x:v>color: GN041</x:v>
      </x:c>
      <x:c r="E2445" s="25" t="str">
        <x:v>$1.03</x:v>
      </x:c>
      <x:c r="F2445" s="19" t="str">
        <x:v>1</x:v>
      </x:c>
    </x:row>
    <x:row r="2446" ht="93" customHeight="1">
      <x:c r="A2446" s="19" t="n">
        <x:v>2443</x:v>
      </x:c>
      <x:c r="B2446" s="22" t="e">
        <x:f>HYPERLINK("https://cdn.shopify.com/s/files/1/0918/6066/4603/files/O1CN018SB6pE2NGHxI2MoSV__4234819935-0-cib.jpg?v=1753432312","Open")</x:f>
        <x:v>HYPERLINK is not implemented. linkLocation=https://cdn.shopify.com/s/files/1/0918/6066/4603/files/O1CN018SB6pE2NGHxI2MoSV__4234819935-0-cib.jpg?v=1753432312, friendlyName=Open</x:v>
      </x:c>
      <x:c r="C2446" s="24" t="e">
        <x:f>HYPERLINK("https://365nails.com/products/sweet-pink-wearing-nail-star-shining-diamond-nail-art-fake-nail-short-almond-wearing-nail-piece-finished-product-wholesale-365nails","Sweet pink  star shining diamond nail art fake nail short almond  finished product wholesale｜365nails")</x:f>
        <x:v>HYPERLINK is not implemented. linkLocation=https://365nails.com/products/sweet-pink-wearing-nail-star-shining-diamond-nail-art-fake-nail-short-almond-wearing-nail-piece-finished-product-wholesale-365nails, friendlyName=Sweet pink  star shining diamond nail art fake nail short almond  finished product wholesale｜365nails</x:v>
      </x:c>
      <x:c r="D2446" s="18" t="str">
        <x:v>color: JP3753</x:v>
      </x:c>
      <x:c r="E2446" s="25" t="str">
        <x:v>$2.13</x:v>
      </x:c>
      <x:c r="F2446" s="19" t="str">
        <x:v>1</x:v>
      </x:c>
    </x:row>
    <x:row r="2447" ht="93" customHeight="1">
      <x:c r="A2447" s="19" t="n">
        <x:v>2444</x:v>
      </x:c>
      <x:c r="B2447" s="22" t="e">
        <x:f>HYPERLINK("https://cdn.shopify.com/s/files/1/0918/6066/4603/files/O1CN01AENhUt2NGHnKVxnEb__4234819935-0-cib.jpg?v=1753432314","Open")</x:f>
        <x:v>HYPERLINK is not implemented. linkLocation=https://cdn.shopify.com/s/files/1/0918/6066/4603/files/O1CN01AENhUt2NGHnKVxnEb__4234819935-0-cib.jpg?v=1753432314, friendlyName=Open</x:v>
      </x:c>
      <x:c r="C2447" s="24" t="e">
        <x:f>HYPERLINK("https://365nails.com/products/aurora-nail-piece-wearing-nail-piece-3d-three-dimensional-water-ripple-nail-piece-nail-patch-short-tip-nail-false-nail-365nails","Aurora Nail Piece  3D Three-dimensional Water Ripple Nail Piece Nail Patch Short Tip Nail False Nail｜365nails")</x:f>
        <x:v>HYPERLINK is not implemented. linkLocation=https://365nails.com/products/aurora-nail-piece-wearing-nail-piece-3d-three-dimensional-water-ripple-nail-piece-nail-patch-short-tip-nail-false-nail-365nails, friendlyName=Aurora Nail Piece  3D Three-dimensional Water Ripple Nail Piece Nail Patch Short Tip Nail False Nail｜365nails</x:v>
      </x:c>
      <x:c r="D2447" s="18" t="str">
        <x:v>color: JP2784</x:v>
      </x:c>
      <x:c r="E2447" s="25" t="str">
        <x:v>$1.68</x:v>
      </x:c>
      <x:c r="F2447" s="19" t="str">
        <x:v>1</x:v>
      </x:c>
    </x:row>
    <x:row r="2448" ht="93" customHeight="1">
      <x:c r="A2448" s="19" t="n">
        <x:v>2445</x:v>
      </x:c>
      <x:c r="B2448" s="22" t="e">
        <x:f>HYPERLINK("https://cdn.shopify.com/s/files/1/0918/6066/4603/files/O1CN01QzOnkI2NGHwimUMap__4234819935-0-cib.jpg?v=1753432291","Open")</x:f>
        <x:v>HYPERLINK is not implemented. linkLocation=https://cdn.shopify.com/s/files/1/0918/6066/4603/files/O1CN01QzOnkI2NGHwimUMap__4234819935-0-cib.jpg?v=1753432291, friendlyName=Open</x:v>
      </x:c>
      <x:c r="C2448" s="24" t="e">
        <x:f>HYPERLINK("https://365nails.com/products/cross-border-european-and-american-simple-wearing-nail-powder-white-gradual-change-splicing-wearable-nail-short-ballet-manicure-fake-nail-wholesale-365nails","simple wearing nail powder white gradual change splicing wearable nail short ballet manicure fake nail wholesale｜365nails")</x:f>
        <x:v>HYPERLINK is not implemented. linkLocation=https://365nails.com/products/cross-border-european-and-american-simple-wearing-nail-powder-white-gradual-change-splicing-wearable-nail-short-ballet-manicure-fake-nail-wholesale-365nails, friendlyName=simple wearing nail powder white gradual change splicing wearable nail short ballet manicure fake nail wholesale｜365nails</x:v>
      </x:c>
      <x:c r="D2448" s="18" t="str">
        <x:v>color: JP3731</x:v>
      </x:c>
      <x:c r="E2448" s="25" t="str">
        <x:v>$0.70</x:v>
      </x:c>
      <x:c r="F2448" s="19" t="str">
        <x:v>1</x:v>
      </x:c>
    </x:row>
    <x:row r="2449" ht="93" customHeight="1">
      <x:c r="A2449" s="19" t="n">
        <x:v>2446</x:v>
      </x:c>
      <x:c r="B2449" s="22" t="e">
        <x:f>HYPERLINK("https://cdn.shopify.com/s/files/1/0918/6066/4603/files/O1CN01JrMcny2NGHccPdHcz__4234819935-0-cib.jpg?v=1753432251","Open")</x:f>
        <x:v>HYPERLINK is not implemented. linkLocation=https://cdn.shopify.com/s/files/1/0918/6066/4603/files/O1CN01JrMcny2NGHccPdHcz__4234819935-0-cib.jpg?v=1753432251, friendlyName=Open</x:v>
      </x:c>
      <x:c r="C2449" s="24" t="e">
        <x:f>HYPERLINK("https://365nails.com/products/white-french-butterfly-fake-nail-press-on-nail-nail-patch-nail-patch-wearing-nail-art-finished-cross-border-365nails","White French Butterfly  Press on nail nail patch  Art Finished ｜365nails")</x:f>
        <x:v>HYPERLINK is not implemented. linkLocation=https://365nails.com/products/white-french-butterfly-fake-nail-press-on-nail-nail-patch-nail-patch-wearing-nail-art-finished-cross-border-365nails, friendlyName=White French Butterfly  Press on nail nail patch  Art Finished ｜365nails</x:v>
      </x:c>
      <x:c r="D2449" s="18" t="str">
        <x:v>color: JP1398</x:v>
      </x:c>
      <x:c r="E2449" s="25" t="str">
        <x:v>$0.91</x:v>
      </x:c>
      <x:c r="F2449" s="19" t="str">
        <x:v>1</x:v>
      </x:c>
    </x:row>
    <x:row r="2450" ht="93" customHeight="1">
      <x:c r="A2450" s="19" t="n">
        <x:v>2447</x:v>
      </x:c>
      <x:c r="B2450" s="22" t="e">
        <x:f>HYPERLINK("https://cdn.shopify.com/s/files/1/0918/6066/4603/files/O1CN01Z56wNN2NGHn0I2S0f__4234819935-0-cib.jpg?v=1753432241","Open")</x:f>
        <x:v>HYPERLINK is not implemented. linkLocation=https://cdn.shopify.com/s/files/1/0918/6066/4603/files/O1CN01Z56wNN2NGHn0I2S0f__4234819935-0-cib.jpg?v=1753432241, friendlyName=Open</x:v>
      </x:c>
      <x:c r="C2450" s="24" t="e">
        <x:f>HYPERLINK("https://365nails.com/products/medium-and-long-ballet-nail-art-cross-border-foreign-trade-nail-wear-special-nail-art-piece-nail-sticker-fake-nail-wholesale-365nails","Medium and long ballet nail art   nail wear special nail art piece   wholesale｜365nails")</x:f>
        <x:v>HYPERLINK is not implemented. linkLocation=https://365nails.com/products/medium-and-long-ballet-nail-art-cross-border-foreign-trade-nail-wear-special-nail-art-piece-nail-sticker-fake-nail-wholesale-365nails, friendlyName=Medium and long ballet nail art   nail wear special nail art piece   wholesale｜365nails</x:v>
      </x:c>
      <x:c r="D2450" s="18" t="str">
        <x:v>color: JP2749</x:v>
      </x:c>
      <x:c r="E2450" s="25" t="str">
        <x:v>$2.11</x:v>
      </x:c>
      <x:c r="F2450" s="19" t="str">
        <x:v>1</x:v>
      </x:c>
    </x:row>
    <x:row r="2451" ht="93" customHeight="1">
      <x:c r="A2451" s="19" t="n">
        <x:v>2448</x:v>
      </x:c>
      <x:c r="B2451" s="22" t="e">
        <x:f>HYPERLINK("https://cdn.shopify.com/s/files/1/0918/6066/4603/files/O1CN01VkfDn42NGHmVrLbOq__4234819935-0-cib.jpg?v=1753432225","Open")</x:f>
        <x:v>HYPERLINK is not implemented. linkLocation=https://cdn.shopify.com/s/files/1/0918/6066/4603/files/O1CN01VkfDn42NGHmVrLbOq__4234819935-0-cib.jpg?v=1753432225, friendlyName=Open</x:v>
      </x:c>
      <x:c r="C2451" s="24" t="e">
        <x:f>HYPERLINK("https://365nails.com/products/nail-piece-wear-nail-gray-pink-cats-eye-love-rhinestone-stack-drill-wear-nail-piece-false-nail-removable-finished-product-365nails","Nail piece  gray pink cat eye love rhinestone stack drill  piece False nail removable finished product｜365nails")</x:f>
        <x:v>HYPERLINK is not implemented. linkLocation=https://365nails.com/products/nail-piece-wear-nail-gray-pink-cats-eye-love-rhinestone-stack-drill-wear-nail-piece-false-nail-removable-finished-product-365nails, friendlyName=Nail piece  gray pink cat eye love rhinestone stack drill  piece False nail removable finished product｜365nails</x:v>
      </x:c>
      <x:c r="D2451" s="18" t="str">
        <x:v>color: JP2651</x:v>
      </x:c>
      <x:c r="E2451" s="25" t="str">
        <x:v>$1.68</x:v>
      </x:c>
      <x:c r="F2451" s="19" t="str">
        <x:v>1</x:v>
      </x:c>
    </x:row>
    <x:row r="2452" ht="93" customHeight="1">
      <x:c r="A2452" s="19" t="n">
        <x:v>2449</x:v>
      </x:c>
      <x:c r="B2452" s="22" t="e">
        <x:f>HYPERLINK("https://cdn.shopify.com/s/files/1/0918/6066/4603/files/O1CN01QKGNgZ2NGHn1SkSUx__4234819935-0-cib.jpg?v=1753432229","Open")</x:f>
        <x:v>HYPERLINK is not implemented. linkLocation=https://cdn.shopify.com/s/files/1/0918/6066/4603/files/O1CN01QKGNgZ2NGHn1SkSUx__4234819935-0-cib.jpg?v=1753432229, friendlyName=Open</x:v>
      </x:c>
      <x:c r="C2452" s="24" t="e">
        <x:f>HYPERLINK("https://365nails.com/products/cross-border-fake-nail-manicure-ballet-nail-type-wearable-nail-removable-nail-piece-nail-sticker-finished-product-wholesale-365nails","fake nail manicure ballet nail type wearable nail removable nail piece nail sticker finished product wholesale｜365nails")</x:f>
        <x:v>HYPERLINK is not implemented. linkLocation=https://365nails.com/products/cross-border-fake-nail-manicure-ballet-nail-type-wearable-nail-removable-nail-piece-nail-sticker-finished-product-wholesale-365nails, friendlyName=fake nail manicure ballet nail type wearable nail removable nail piece nail sticker finished product wholesale｜365nails</x:v>
      </x:c>
      <x:c r="D2452" s="18" t="str">
        <x:v>color: JP2746</x:v>
      </x:c>
      <x:c r="E2452" s="25" t="str">
        <x:v>$1.11</x:v>
      </x:c>
      <x:c r="F2452" s="19" t="str">
        <x:v>1</x:v>
      </x:c>
    </x:row>
    <x:row r="2453" ht="93" customHeight="1">
      <x:c r="A2453" s="19" t="n">
        <x:v>2450</x:v>
      </x:c>
      <x:c r="B2453" s="22" t="e">
        <x:f>HYPERLINK("https://cdn.shopify.com/s/files/1/0918/6066/4603/files/O1CN01W8aE9L2NGHhWyXpcz__4234819935-0-cib.jpg?v=1753432187","Open")</x:f>
        <x:v>HYPERLINK is not implemented. linkLocation=https://cdn.shopify.com/s/files/1/0918/6066/4603/files/O1CN01W8aE9L2NGHhWyXpcz__4234819935-0-cib.jpg?v=1753432187, friendlyName=Open</x:v>
      </x:c>
      <x:c r="C2453" s="24" t="e">
        <x:f>HYPERLINK("https://365nails.com/products/wear-fake-nail-piece-cross-empress-dowager-west-hollowed-out-star-nail-piece-finished-nail-piece-press-on-nails-365nails","Wear fake nail piece cross Empress Dowager West hollowed out star nail piece finished nail piece press on nails｜365nails")</x:f>
        <x:v>HYPERLINK is not implemented. linkLocation=https://365nails.com/products/wear-fake-nail-piece-cross-empress-dowager-west-hollowed-out-star-nail-piece-finished-nail-piece-press-on-nails-365nails, friendlyName=Wear fake nail piece cross Empress Dowager West hollowed out star nail piece finished nail piece press on nails｜365nails</x:v>
      </x:c>
      <x:c r="D2453" s="18" t="str">
        <x:v>color: JP2053</x:v>
      </x:c>
      <x:c r="E2453" s="25" t="str">
        <x:v>$1.08</x:v>
      </x:c>
      <x:c r="F2453" s="19" t="str">
        <x:v>1</x:v>
      </x:c>
    </x:row>
    <x:row r="2454" ht="93" customHeight="1">
      <x:c r="A2454" s="19" t="n">
        <x:v>2451</x:v>
      </x:c>
      <x:c r="B2454" s="22" t="e">
        <x:f>HYPERLINK("https://cdn.shopify.com/s/files/1/0918/6066/4603/files/O1CN01hvzbqT2NGHhXLhWp8__4234819935-0-cib.jpg?v=1753432197","Open")</x:f>
        <x:v>HYPERLINK is not implemented. linkLocation=https://cdn.shopify.com/s/files/1/0918/6066/4603/files/O1CN01hvzbqT2NGHhXLhWp8__4234819935-0-cib.jpg?v=1753432197, friendlyName=Open</x:v>
      </x:c>
      <x:c r="C2454" s="24" t="e">
        <x:f>HYPERLINK("https://365nails.com/products/nail-art-wearing-nail-wholesale-short-green-wave-white-flower-wearing-nail-art-nail-piece-wearing-nail-piece-365nails","Nail Art  Wholesale Short Green Wave White Flower  Art Nail Piece ｜365nails")</x:f>
        <x:v>HYPERLINK is not implemented. linkLocation=https://365nails.com/products/nail-art-wearing-nail-wholesale-short-green-wave-white-flower-wearing-nail-art-nail-piece-wearing-nail-piece-365nails, friendlyName=Nail Art  Wholesale Short Green Wave White Flower  Art Nail Piece ｜365nails</x:v>
      </x:c>
      <x:c r="D2454" s="18" t="str">
        <x:v>color: JP2018</x:v>
      </x:c>
      <x:c r="E2454" s="25" t="str">
        <x:v>$0.70</x:v>
      </x:c>
      <x:c r="F2454" s="19" t="str">
        <x:v>1</x:v>
      </x:c>
    </x:row>
    <x:row r="2455" ht="93" customHeight="1">
      <x:c r="A2455" s="19" t="n">
        <x:v>2452</x:v>
      </x:c>
      <x:c r="B2455" s="22" t="e">
        <x:f>HYPERLINK("https://cdn.shopify.com/s/files/1/0918/6066/4603/files/O1CN01hV03so2NGHkCt4XBb__4234819935-0-cib.jpg?v=1753432170","Open")</x:f>
        <x:v>HYPERLINK is not implemented. linkLocation=https://cdn.shopify.com/s/files/1/0918/6066/4603/files/O1CN01hV03so2NGHkCt4XBb__4234819935-0-cib.jpg?v=1753432170, friendlyName=Open</x:v>
      </x:c>
      <x:c r="C2455" s="24" t="e">
        <x:f>HYPERLINK("https://365nails.com/products/wearing-nail-piece-white-french-short-ballet-rhinestone-manicure-wearing-nail-piece-nail-piece-wholesale-fake-nail-nail-365nails","White French short ballet rhinestone manicure  Nail piece Wholesale fake nail nail｜365nails")</x:f>
        <x:v>HYPERLINK is not implemented. linkLocation=https://365nails.com/products/wearing-nail-piece-white-french-short-ballet-rhinestone-manicure-wearing-nail-piece-nail-piece-wholesale-fake-nail-nail-365nails, friendlyName=White French short ballet rhinestone manicure  Nail piece Wholesale fake nail nail｜365nails</x:v>
      </x:c>
      <x:c r="D2455" s="18" t="str">
        <x:v>color: JP2355</x:v>
      </x:c>
      <x:c r="E2455" s="25" t="str">
        <x:v>$1.03</x:v>
      </x:c>
      <x:c r="F2455" s="19" t="str">
        <x:v>1</x:v>
      </x:c>
    </x:row>
    <x:row r="2456" ht="93" customHeight="1">
      <x:c r="A2456" s="19" t="n">
        <x:v>2453</x:v>
      </x:c>
      <x:c r="B2456" s="22" t="e">
        <x:f>HYPERLINK("https://cdn.shopify.com/s/files/1/0918/6066/4603/files/O1CN01Hje5bw2NGHxFewqxg__4234819935-0-cib.jpg?v=1753432206","Open")</x:f>
        <x:v>HYPERLINK is not implemented. linkLocation=https://cdn.shopify.com/s/files/1/0918/6066/4603/files/O1CN01Hje5bw2NGHxFewqxg__4234819935-0-cib.jpg?v=1753432206, friendlyName=Open</x:v>
      </x:c>
      <x:c r="C2456" s="24" t="e">
        <x:f>HYPERLINK("https://365nails.com/products/naked-white-gradual-change-wearing-nail-piece-short-ballet-manicure-fake-nail-cute-cat-three-dimensional-bow-wearing-nail-piece-365nails","Naked white gradual change  short ballet manicure fake nail cute cat three-dimensional bow ｜365nails")</x:f>
        <x:v>HYPERLINK is not implemented. linkLocation=https://365nails.com/products/naked-white-gradual-change-wearing-nail-piece-short-ballet-manicure-fake-nail-cute-cat-three-dimensional-bow-wearing-nail-piece-365nails, friendlyName=Naked white gradual change  short ballet manicure fake nail cute cat three-dimensional bow ｜365nails</x:v>
      </x:c>
      <x:c r="D2456" s="18" t="str">
        <x:v>color: JP3596</x:v>
      </x:c>
      <x:c r="E2456" s="25" t="str">
        <x:v>$1.03</x:v>
      </x:c>
      <x:c r="F2456" s="19" t="str">
        <x:v>1</x:v>
      </x:c>
    </x:row>
    <x:row r="2457" ht="93" customHeight="1">
      <x:c r="A2457" s="19" t="n">
        <x:v>2454</x:v>
      </x:c>
      <x:c r="B2457" s="22" t="e">
        <x:f>HYPERLINK("https://cdn.shopify.com/s/files/1/0918/6066/4603/files/20968740211_2037667256.jpg?v=1753432168","Open")</x:f>
        <x:v>HYPERLINK is not implemented. linkLocation=https://cdn.shopify.com/s/files/1/0918/6066/4603/files/20968740211_2037667256.jpg?v=1753432168, friendlyName=Open</x:v>
      </x:c>
      <x:c r="C2457" s="24" t="e">
        <x:f>HYPERLINK("https://365nails.com/products/nude-short-ballet-love-wearing-nail-finished-product-value-nail-nail-nail-patch-nail-patch-foreign-trade-model-waterproof-and-removable-365nails","Nude short ballet love wearing nail finished product value nail nail    model  and removable｜365nails")</x:f>
        <x:v>HYPERLINK is not implemented. linkLocation=https://365nails.com/products/nude-short-ballet-love-wearing-nail-finished-product-value-nail-nail-nail-patch-nail-patch-foreign-trade-model-waterproof-and-removable-365nails, friendlyName=Nude short ballet love wearing nail finished product value nail nail    model  and removable｜365nails</x:v>
      </x:c>
      <x:c r="D2457" s="18" t="str">
        <x:v>color: JP908</x:v>
      </x:c>
      <x:c r="E2457" s="25" t="str">
        <x:v>$0.70</x:v>
      </x:c>
      <x:c r="F2457" s="19" t="str">
        <x:v>1</x:v>
      </x:c>
    </x:row>
    <x:row r="2458" ht="93" customHeight="1">
      <x:c r="A2458" s="19" t="n">
        <x:v>2455</x:v>
      </x:c>
      <x:c r="B2458" s="22" t="e">
        <x:f>HYPERLINK("https://cdn.shopify.com/s/files/1/0918/6066/4603/files/O1CN01V7P9Zs2NGHhOufqGm__4234819935-0-cib.jpg?v=1753432165","Open")</x:f>
        <x:v>HYPERLINK is not implemented. linkLocation=https://cdn.shopify.com/s/files/1/0918/6066/4603/files/O1CN01V7P9Zs2NGHhOufqGm__4234819935-0-cib.jpg?v=1753432165, friendlyName=Open</x:v>
      </x:c>
      <x:c r="C2458" s="24" t="e">
        <x:f>HYPERLINK("https://365nails.com/products/nail-patch-wholesale-brown-french-wear-nail-white-starry-dot-nail-patch-press-on-nails-365nails","Nail Patch Wholesale Brown French, Wear Nail White Starry Dot Nail Patch Press on nails｜365nails")</x:f>
        <x:v>HYPERLINK is not implemented. linkLocation=https://365nails.com/products/nail-patch-wholesale-brown-french-wear-nail-white-starry-dot-nail-patch-press-on-nails-365nails, friendlyName=Nail Patch Wholesale Brown French, Wear Nail White Starry Dot Nail Patch Press on nails｜365nails</x:v>
      </x:c>
      <x:c r="D2458" s="18" t="str">
        <x:v>color: JP2025</x:v>
      </x:c>
      <x:c r="E2458" s="25" t="str">
        <x:v>$0.82</x:v>
      </x:c>
      <x:c r="F2458" s="19" t="str">
        <x:v>1</x:v>
      </x:c>
    </x:row>
    <x:row r="2459" ht="93" customHeight="1">
      <x:c r="A2459" s="19" t="n">
        <x:v>2456</x:v>
      </x:c>
      <x:c r="B2459" s="22" t="e">
        <x:f>HYPERLINK("https://cdn.shopify.com/s/files/1/0918/6066/4603/files/O1CN01NUWVrv2NGHjZ4CRuN__4234819935-0-cib.jpg?v=1753432156","Open")</x:f>
        <x:v>HYPERLINK is not implemented. linkLocation=https://cdn.shopify.com/s/files/1/0918/6066/4603/files/O1CN01NUWVrv2NGHjZ4CRuN__4234819935-0-cib.jpg?v=1753432156, friendlyName=Open</x:v>
      </x:c>
      <x:c r="C2459" s="24" t="e">
        <x:f>HYPERLINK("https://365nails.com/products/wearing-nail-piece-hollow-love-white-french-gold-thread-nail-patch-nail-piece-finished-product-detachable-advanced-365nails","Hollow love White French gold thread nail patch Nail piece Finished product Detachable advanced｜365nails")</x:f>
        <x:v>HYPERLINK is not implemented. linkLocation=https://365nails.com/products/wearing-nail-piece-hollow-love-white-french-gold-thread-nail-patch-nail-piece-finished-product-detachable-advanced-365nails, friendlyName=Hollow love White French gold thread nail patch Nail piece Finished product Detachable advanced｜365nails</x:v>
      </x:c>
      <x:c r="D2459" s="18" t="str">
        <x:v>color: JP2368</x:v>
      </x:c>
      <x:c r="E2459" s="25" t="str">
        <x:v>$0.76</x:v>
      </x:c>
      <x:c r="F2459" s="19" t="str">
        <x:v>1</x:v>
      </x:c>
    </x:row>
    <x:row r="2460" ht="93" customHeight="1">
      <x:c r="A2460" s="19" t="n">
        <x:v>2457</x:v>
      </x:c>
      <x:c r="B2460" s="22" t="e">
        <x:f>HYPERLINK("https://cdn.shopify.com/s/files/1/0918/6066/4603/files/O1CN01lUgqTk2NGHmVNbf7A__4234819935-0-cib.jpg?v=1753432162","Open")</x:f>
        <x:v>HYPERLINK is not implemented. linkLocation=https://cdn.shopify.com/s/files/1/0918/6066/4603/files/O1CN01lUgqTk2NGHmVNbf7A__4234819935-0-cib.jpg?v=1753432162, friendlyName=Open</x:v>
      </x:c>
      <x:c r="C2460" s="24" t="e">
        <x:f>HYPERLINK("https://365nails.com/products/wearing-armor-cute-blue-flowing-heart-yellow-and-purple-double-spell-french-white-star-ins-wind-wearing-armor-wholesale-365nails","Wearing armor, cute blue flowing heart, yellow and purple double spell, French white, star ins wind wearing armor, wholesale.｜365nails")</x:f>
        <x:v>HYPERLINK is not implemented. linkLocation=https://365nails.com/products/wearing-armor-cute-blue-flowing-heart-yellow-and-purple-double-spell-french-white-star-ins-wind-wearing-armor-wholesale-365nails, friendlyName=Wearing armor, cute blue flowing heart, yellow and purple double spell, French white, star ins wind wearing armor, wholesale.｜365nails</x:v>
      </x:c>
      <x:c r="D2460" s="18" t="str">
        <x:v>color: JP2627</x:v>
      </x:c>
      <x:c r="E2460" s="25" t="str">
        <x:v>$0.94</x:v>
      </x:c>
      <x:c r="F2460" s="19" t="str">
        <x:v>1</x:v>
      </x:c>
    </x:row>
    <x:row r="2461" ht="93" customHeight="1">
      <x:c r="A2461" s="19" t="n">
        <x:v>2458</x:v>
      </x:c>
      <x:c r="B2461" s="22" t="e">
        <x:f>HYPERLINK("https://cdn.shopify.com/s/files/1/0918/6066/4603/files/19738414830_2037667256.jpg?v=1753432148","Open")</x:f>
        <x:v>HYPERLINK is not implemented. linkLocation=https://cdn.shopify.com/s/files/1/0918/6066/4603/files/19738414830_2037667256.jpg?v=1753432148, friendlyName=Open</x:v>
      </x:c>
      <x:c r="C2461" s="24" t="e">
        <x:f>HYPERLINK("https://365nails.com/products/pink-flame-short-ballet-wearing-nail-finished-fake-nail-manicure-patch-nail-patch-waterproof-removable-nail-piece-365nails","Pink flame short ballet press on nails finished fake nail manicure patch nail patch waterproof removable nail piece｜365nails")</x:f>
        <x:v>HYPERLINK is not implemented. linkLocation=https://365nails.com/products/pink-flame-short-ballet-wearing-nail-finished-fake-nail-manicure-patch-nail-patch-waterproof-removable-nail-piece-365nails, friendlyName=Pink flame short ballet press on nails finished fake nail manicure patch nail patch waterproof removable nail piece｜365nails</x:v>
      </x:c>
      <x:c r="D2461" s="18" t="str">
        <x:v>color: JP845</x:v>
      </x:c>
      <x:c r="E2461" s="25" t="str">
        <x:v>$0.70</x:v>
      </x:c>
      <x:c r="F2461" s="19" t="str">
        <x:v>1</x:v>
      </x:c>
    </x:row>
    <x:row r="2462" ht="93" customHeight="1">
      <x:c r="A2462" s="19" t="n">
        <x:v>2459</x:v>
      </x:c>
      <x:c r="B2462" s="22" t="e">
        <x:f>HYPERLINK("https://cdn.shopify.com/s/files/1/0918/6066/4603/files/O1CN01rn1jQT2NGHjng9MRA__4234819935-0-cib.jpg?v=1753432139","Open")</x:f>
        <x:v>HYPERLINK is not implemented. linkLocation=https://cdn.shopify.com/s/files/1/0918/6066/4603/files/O1CN01rn1jQT2NGHjng9MRA__4234819935-0-cib.jpg?v=1753432139, friendlyName=Open</x:v>
      </x:c>
      <x:c r="C2462" s="24" t="e">
        <x:f>HYPERLINK("https://365nails.com/products/nail-art-pieces-nail-art-finished-wear-nail-french-black-edge-nail-art-finished-fake-nail-cross-border-wear-nail-fake-nail-pieces-365nails","Nail art pieces Nail art finished wear nail, French black edge nail art finished fake nail  wear nail fake nail pieces｜365nails")</x:f>
        <x:v>HYPERLINK is not implemented. linkLocation=https://365nails.com/products/nail-art-pieces-nail-art-finished-wear-nail-french-black-edge-nail-art-finished-fake-nail-cross-border-wear-nail-fake-nail-pieces-365nails, friendlyName=Nail art pieces Nail art finished wear nail, French black edge nail art finished fake nail  wear nail fake nail pieces｜365nails</x:v>
      </x:c>
      <x:c r="D2462" s="18" t="str">
        <x:v>color: JP2521</x:v>
      </x:c>
      <x:c r="E2462" s="25" t="str">
        <x:v>$0.70</x:v>
      </x:c>
      <x:c r="F2462" s="19" t="str">
        <x:v>1</x:v>
      </x:c>
    </x:row>
    <x:row r="2463" ht="93" customHeight="1">
      <x:c r="A2463" s="19" t="n">
        <x:v>2460</x:v>
      </x:c>
      <x:c r="B2463" s="22" t="e">
        <x:f>HYPERLINK("https://cdn.shopify.com/s/files/1/0918/6066/4603/files/O1CN01tbjg5b2NGHmPpCUPi__4234819935-0-cib.jpg?v=1753432110","Open")</x:f>
        <x:v>HYPERLINK is not implemented. linkLocation=https://cdn.shopify.com/s/files/1/0918/6066/4603/files/O1CN01tbjg5b2NGHmPpCUPi__4234819935-0-cib.jpg?v=1753432110, friendlyName=Open</x:v>
      </x:c>
      <x:c r="C2463" s="24" t="e">
        <x:f>HYPERLINK("https://365nails.com/products/wearable-nail-sticker-black-and-white-mandarin-duck-nail-patch-star-three-dimensional-cross-wearable-nail-wholesale-nail-patch-365nails","Wearable nail sticker Black and white mandarin duck nail patch Star three-dimensional cross Wearable nail wholesale nail patch｜365nails")</x:f>
        <x:v>HYPERLINK is not implemented. linkLocation=https://365nails.com/products/wearable-nail-sticker-black-and-white-mandarin-duck-nail-patch-star-three-dimensional-cross-wearable-nail-wholesale-nail-patch-365nails, friendlyName=Wearable nail sticker Black and white mandarin duck nail patch Star three-dimensional cross Wearable nail wholesale nail patch｜365nails</x:v>
      </x:c>
      <x:c r="D2463" s="18" t="str">
        <x:v>color: JP2618</x:v>
      </x:c>
      <x:c r="E2463" s="25" t="str">
        <x:v>$1.11</x:v>
      </x:c>
      <x:c r="F2463" s="19" t="str">
        <x:v>1</x:v>
      </x:c>
    </x:row>
    <x:row r="2464" ht="93" customHeight="1">
      <x:c r="A2464" s="19" t="n">
        <x:v>2461</x:v>
      </x:c>
      <x:c r="B2464" s="22" t="e">
        <x:f>HYPERLINK("https://cdn.shopify.com/s/files/1/0918/6066/4603/files/21924998689_2037667256.jpg?v=1753432126","Open")</x:f>
        <x:v>HYPERLINK is not implemented. linkLocation=https://cdn.shopify.com/s/files/1/0918/6066/4603/files/21924998689_2037667256.jpg?v=1753432126, friendlyName=Open</x:v>
      </x:c>
      <x:c r="C2464" s="24" t="e">
        <x:f>HYPERLINK("https://365nails.com/products/milk-coffee-french-pearl-wear-nail-art-removable-nail-patch-nail-patch-waterproof-nail-patch-fake-nail-365nails","Milk Coffee French Pearl Wear Nail Art Removable Nail Patch Nail Patch Waterproof Nail Patch Fake Nail｜365nails")</x:f>
        <x:v>HYPERLINK is not implemented. linkLocation=https://365nails.com/products/milk-coffee-french-pearl-wear-nail-art-removable-nail-patch-nail-patch-waterproof-nail-patch-fake-nail-365nails, friendlyName=Milk Coffee French Pearl Wear Nail Art Removable Nail Patch Nail Patch Waterproof Nail Patch Fake Nail｜365nails</x:v>
      </x:c>
      <x:c r="D2464" s="18" t="str">
        <x:v>color: JP926</x:v>
      </x:c>
      <x:c r="E2464" s="25" t="str">
        <x:v>$0.86</x:v>
      </x:c>
      <x:c r="F2464" s="19" t="str">
        <x:v>1</x:v>
      </x:c>
    </x:row>
    <x:row r="2465" ht="93" customHeight="1">
      <x:c r="A2465" s="19" t="n">
        <x:v>2462</x:v>
      </x:c>
      <x:c r="B2465" s="22" t="e">
        <x:f>HYPERLINK("https://cdn.shopify.com/s/files/1/0918/6066/4603/files/O1CN01esYvOC2NGHt0ygCQv__4234819935-0-cib.jpg?v=1753432120","Open")</x:f>
        <x:v>HYPERLINK is not implemented. linkLocation=https://cdn.shopify.com/s/files/1/0918/6066/4603/files/O1CN01esYvOC2NGHt0ygCQv__4234819935-0-cib.jpg?v=1753432120, friendlyName=Open</x:v>
      </x:c>
      <x:c r="C2465" s="24" t="e">
        <x:f>HYPERLINK("https://365nails.com/products/peach-princess-french-wear-nail-art-finished-fake-nail-nail-patch-nail-patch-waterproof-removable-nail-patch-365nails","Peach Princess French Wear Nail Art Finished Fake Nail Nail Patch Nail Patch Waterproof Removable Nail Patch｜365nails")</x:f>
        <x:v>HYPERLINK is not implemented. linkLocation=https://365nails.com/products/peach-princess-french-wear-nail-art-finished-fake-nail-nail-patch-nail-patch-waterproof-removable-nail-patch-365nails, friendlyName=Peach Princess French Wear Nail Art Finished Fake Nail Nail Patch Nail Patch Waterproof Removable Nail Patch｜365nails</x:v>
      </x:c>
      <x:c r="D2465" s="18" t="str">
        <x:v>color: JP833</x:v>
      </x:c>
      <x:c r="E2465" s="25" t="str">
        <x:v>$0.70</x:v>
      </x:c>
      <x:c r="F2465" s="19" t="str">
        <x:v>1</x:v>
      </x:c>
    </x:row>
    <x:row r="2466" ht="93" customHeight="1">
      <x:c r="A2466" s="19" t="n">
        <x:v>2463</x:v>
      </x:c>
      <x:c r="B2466" s="22" t="e">
        <x:f>HYPERLINK("https://cdn.shopify.com/s/files/1/0918/6066/4603/files/O1CN01IVcR3B2NGHmhtakRH__4234819935-0-cib.jpg?v=1753432114","Open")</x:f>
        <x:v>HYPERLINK is not implemented. linkLocation=https://cdn.shopify.com/s/files/1/0918/6066/4603/files/O1CN01IVcR3B2NGHmhtakRH__4234819935-0-cib.jpg?v=1753432114, friendlyName=Open</x:v>
      </x:c>
      <x:c r="C2466" s="24" t="e">
        <x:f>HYPERLINK("https://365nails.com/products/new-christmas-elk-nail-art-removable-wearable-nail-cross-border-special-for-ballet-false-nail-nail-products-wholesale-of-finished-products-365nails","New Christmas Elk Nail Art Removable Wearable Nail  Special for Ballet False Nail Nail Products Wholesale of Finished Products｜365nails")</x:f>
        <x:v>HYPERLINK is not implemented. linkLocation=https://365nails.com/products/new-christmas-elk-nail-art-removable-wearable-nail-cross-border-special-for-ballet-false-nail-nail-products-wholesale-of-finished-products-365nails, friendlyName=New Christmas Elk Nail Art Removable Wearable Nail  Special for Ballet False Nail Nail Products Wholesale of Finished Products｜365nails</x:v>
      </x:c>
      <x:c r="D2466" s="18" t="str">
        <x:v>color: JP2690</x:v>
      </x:c>
      <x:c r="E2466" s="25" t="str">
        <x:v>$0.97</x:v>
      </x:c>
      <x:c r="F2466" s="19" t="str">
        <x:v>1</x:v>
      </x:c>
    </x:row>
    <x:row r="2467" ht="93" customHeight="1">
      <x:c r="A2467" s="19" t="n">
        <x:v>2464</x:v>
      </x:c>
      <x:c r="B2467" s="22" t="e">
        <x:f>HYPERLINK("https://cdn.shopify.com/s/files/1/0918/6066/4603/files/21404243490_2037667256.jpg?v=1753432104","Open")</x:f>
        <x:v>HYPERLINK is not implemented. linkLocation=https://cdn.shopify.com/s/files/1/0918/6066/4603/files/21404243490_2037667256.jpg?v=1753432104, friendlyName=Open</x:v>
      </x:c>
      <x:c r="C2467" s="24" t="e">
        <x:f>HYPERLINK("https://365nails.com/products/mandarin-duck-flame-cool-play-wearing-nail-finished-nail-art-patch-fake-nail-nail-patch-waterproof-removable-nail-piece-365nails","Mandarin duck flame cool play press on nails finished nail art patch fake nail nail patch waterproof removable nail piece｜365nails")</x:f>
        <x:v>HYPERLINK is not implemented. linkLocation=https://365nails.com/products/mandarin-duck-flame-cool-play-wearing-nail-finished-nail-art-patch-fake-nail-nail-patch-waterproof-removable-nail-piece-365nails, friendlyName=Mandarin duck flame cool play press on nails finished nail art patch fake nail nail patch waterproof removable nail piece｜365nails</x:v>
      </x:c>
      <x:c r="D2467" s="18" t="str">
        <x:v>color: JP918</x:v>
      </x:c>
      <x:c r="E2467" s="25" t="str">
        <x:v>$0.76</x:v>
      </x:c>
      <x:c r="F2467" s="19" t="str">
        <x:v>1</x:v>
      </x:c>
    </x:row>
    <x:row r="2468" ht="93" customHeight="1">
      <x:c r="A2468" s="19" t="n">
        <x:v>2465</x:v>
      </x:c>
      <x:c r="B2468" s="22" t="e">
        <x:f>HYPERLINK("https://cdn.shopify.com/s/files/1/0918/6066/4603/files/O1CN01RuAZFH2NGHasbrp8E__4234819935-0-cib.jpg?v=1753432089","Open")</x:f>
        <x:v>HYPERLINK is not implemented. linkLocation=https://cdn.shopify.com/s/files/1/0918/6066/4603/files/O1CN01RuAZFH2NGHasbrp8E__4234819935-0-cib.jpg?v=1753432089, friendlyName=Open</x:v>
      </x:c>
      <x:c r="C2468" s="24" t="e">
        <x:f>HYPERLINK("https://365nails.com/products/cross-border-wavy-lines-blue-and-white-wearing-nail-products-fake-nails-nail-patches-nail-patches-removable-nail-patches-365nails","wavy lines, blue and white  products, nail patches, removable nail patches｜365nails")</x:f>
        <x:v>HYPERLINK is not implemented. linkLocation=https://365nails.com/products/cross-border-wavy-lines-blue-and-white-wearing-nail-products-fake-nails-nail-patches-nail-patches-removable-nail-patches-365nails, friendlyName=wavy lines, blue and white  products, nail patches, removable nail patches｜365nails</x:v>
      </x:c>
      <x:c r="D2468" s="18" t="str">
        <x:v>color: JP1094</x:v>
      </x:c>
      <x:c r="E2468" s="25" t="str">
        <x:v>$1.25</x:v>
      </x:c>
      <x:c r="F2468" s="19" t="str">
        <x:v>1</x:v>
      </x:c>
    </x:row>
    <x:row r="2469" ht="93" customHeight="1">
      <x:c r="A2469" s="19" t="n">
        <x:v>2466</x:v>
      </x:c>
      <x:c r="B2469" s="22" t="e">
        <x:f>HYPERLINK("https://cdn.shopify.com/s/files/1/0918/6066/4603/files/O1CN01MKHcI22NGHxm1uFaJ__4234819935-0-cib.jpg?v=1753432089","Open")</x:f>
        <x:v>HYPERLINK is not implemented. linkLocation=https://cdn.shopify.com/s/files/1/0918/6066/4603/files/O1CN01MKHcI22NGHxm1uFaJ__4234819935-0-cib.jpg?v=1753432089, friendlyName=Open</x:v>
      </x:c>
      <x:c r="C2469" s="24" t="e">
        <x:f>HYPERLINK("https://365nails.com/products/rose-red-gradual-change-wearing-nail-short-ballet-nail-piece-simple-cross-border-hot-selling-wearing-fake-nail-wholesale-365nails","Rose red gradual change wearing nail short ballet nail piece simple  hot-selling wearing fake nail wholesale｜365nails")</x:f>
        <x:v>HYPERLINK is not implemented. linkLocation=https://365nails.com/products/rose-red-gradual-change-wearing-nail-short-ballet-nail-piece-simple-cross-border-hot-selling-wearing-fake-nail-wholesale-365nails, friendlyName=Rose red gradual change wearing nail short ballet nail piece simple  hot-selling wearing fake nail wholesale｜365nails</x:v>
      </x:c>
      <x:c r="D2469" s="18" t="str">
        <x:v>color: JP3982</x:v>
      </x:c>
      <x:c r="E2469" s="25" t="str">
        <x:v>$1.28</x:v>
      </x:c>
      <x:c r="F2469" s="19" t="str">
        <x:v>1</x:v>
      </x:c>
    </x:row>
    <x:row r="2470" ht="93" customHeight="1">
      <x:c r="A2470" s="19" t="n">
        <x:v>2467</x:v>
      </x:c>
      <x:c r="B2470" s="22" t="e">
        <x:f>HYPERLINK("https://cdn.shopify.com/s/files/1/0918/6066/4603/files/O1CN013Ea9hr2NGHmmIO3QP__4234819935-0-cib.jpg?v=1753432074","Open")</x:f>
        <x:v>HYPERLINK is not implemented. linkLocation=https://cdn.shopify.com/s/files/1/0918/6066/4603/files/O1CN013Ea9hr2NGHmmIO3QP__4234819935-0-cib.jpg?v=1753432074, friendlyName=Open</x:v>
      </x:c>
      <x:c r="C2470" s="24" t="e">
        <x:f>HYPERLINK("https://365nails.com/products/false-nail-pastoral-style-false-nail-foreign-trade-cross-mirror-direct-supply-nail-patch-nail-patch-wearing-nail-product-365nails","False nail pastoral style false nail  cross mirror direct supply nail patch  product｜365nails")</x:f>
        <x:v>HYPERLINK is not implemented. linkLocation=https://365nails.com/products/false-nail-pastoral-style-false-nail-foreign-trade-cross-mirror-direct-supply-nail-patch-nail-patch-wearing-nail-product-365nails, friendlyName=False nail pastoral style false nail  cross mirror direct supply nail patch  product｜365nails</x:v>
      </x:c>
      <x:c r="D2470" s="18" t="str">
        <x:v>color: JP1150</x:v>
      </x:c>
      <x:c r="E2470" s="25" t="str">
        <x:v>$0.91</x:v>
      </x:c>
      <x:c r="F2470" s="19" t="str">
        <x:v>1</x:v>
      </x:c>
    </x:row>
    <x:row r="2471" ht="93" customHeight="1">
      <x:c r="A2471" s="19" t="n">
        <x:v>2468</x:v>
      </x:c>
      <x:c r="B2471" s="22" t="e">
        <x:f>HYPERLINK("https://cdn.shopify.com/s/files/1/0918/6066/4603/files/O1CN01gSiCZg2NGHaPscWGq__4234819935-0-cib.jpg?v=1753432057","Open")</x:f>
        <x:v>HYPERLINK is not implemented. linkLocation=https://cdn.shopify.com/s/files/1/0918/6066/4603/files/O1CN01gSiCZg2NGHaPscWGq__4234819935-0-cib.jpg?v=1753432057, friendlyName=Open</x:v>
      </x:c>
      <x:c r="C2471" s="24" t="e">
        <x:f>HYPERLINK("https://365nails.com/products/french-cream-jade-short-ballet-soft-nail-wear-nail-art-finished-fake-nail-nail-patch-nail-patch-removable-365nails","French Cream Jade Short Ballet Soft Nail Wear Nail Art Finished Fake Nail Nail Patch Nail Patch Removable｜365nails")</x:f>
        <x:v>HYPERLINK is not implemented. linkLocation=https://365nails.com/products/french-cream-jade-short-ballet-soft-nail-wear-nail-art-finished-fake-nail-nail-patch-nail-patch-removable-365nails, friendlyName=French Cream Jade Short Ballet Soft Nail Wear Nail Art Finished Fake Nail Nail Patch Nail Patch Removable｜365nails</x:v>
      </x:c>
      <x:c r="D2471" s="18" t="str">
        <x:v>color: JP1047</x:v>
      </x:c>
      <x:c r="E2471" s="25" t="str">
        <x:v>$0.70</x:v>
      </x:c>
      <x:c r="F2471" s="19" t="str">
        <x:v>1</x:v>
      </x:c>
    </x:row>
    <x:row r="2472" ht="93" customHeight="1">
      <x:c r="A2472" s="19" t="n">
        <x:v>2469</x:v>
      </x:c>
      <x:c r="B2472" s="22" t="e">
        <x:f>HYPERLINK("https://cdn.shopify.com/s/files/1/0918/6066/4603/files/O1CN01ou1rVG2NGHmpT5ikb__4234819935-0-cib_539b37a8-a3dd-4146-b522-3dc638da49b8.jpg?v=1753432052","Open")</x:f>
        <x:v>HYPERLINK is not implemented. linkLocation=https://cdn.shopify.com/s/files/1/0918/6066/4603/files/O1CN01ou1rVG2NGHmpT5ikb__4234819935-0-cib_539b37a8-a3dd-4146-b522-3dc638da49b8.jpg?v=1753432052, friendlyName=Open</x:v>
      </x:c>
      <x:c r="C2472" s="24" t="e">
        <x:f>HYPERLINK("https://365nails.com/products/wear-nail-christmas-snowflake-nail-art-fake-nail-piece-finished-product-removable-nail-patch-fake-nail-wholesale-365nails","Wear nail Christmas snowflake nail art fake nail piece finished product removable nail patch fake nail wholesale｜365nails")</x:f>
        <x:v>HYPERLINK is not implemented. linkLocation=https://365nails.com/products/wear-nail-christmas-snowflake-nail-art-fake-nail-piece-finished-product-removable-nail-patch-fake-nail-wholesale-365nails, friendlyName=Wear nail Christmas snowflake nail art fake nail piece finished product removable nail patch fake nail wholesale｜365nails</x:v>
      </x:c>
      <x:c r="D2472" s="18" t="str">
        <x:v>color: JP2687</x:v>
      </x:c>
      <x:c r="E2472" s="25" t="str">
        <x:v>$1.08</x:v>
      </x:c>
      <x:c r="F2472" s="19" t="str">
        <x:v>1</x:v>
      </x:c>
    </x:row>
    <x:row r="2473" ht="93" customHeight="1">
      <x:c r="A2473" s="19" t="n">
        <x:v>2470</x:v>
      </x:c>
      <x:c r="B2473" s="22" t="e">
        <x:f>HYPERLINK("https://cdn.shopify.com/s/files/1/0918/6066/4603/files/O1CN01zqPngH2NGHy8SpRNg__4234819935-0-cib.jpg?v=1753432047","Open")</x:f>
        <x:v>HYPERLINK is not implemented. linkLocation=https://cdn.shopify.com/s/files/1/0918/6066/4603/files/O1CN01zqPngH2NGHy8SpRNg__4234819935-0-cib.jpg?v=1753432047, friendlyName=Open</x:v>
      </x:c>
      <x:c r="C2473" s="24" t="e">
        <x:f>HYPERLINK("https://365nails.com/products/cats-eye-flash-wears-nail-and-foot-nail-glitter-powder-sequins-foot-manicure-foreign-trade-hot-selling-toenail-and-foot-nail-wholesale-365nails","cat eye flash wears nail and foot nail glitter powder sequins foot manicure  hot-selling toenail and foot nail wholesale｜365nails")</x:f>
        <x:v>HYPERLINK is not implemented. linkLocation=https://365nails.com/products/cats-eye-flash-wears-nail-and-foot-nail-glitter-powder-sequins-foot-manicure-foreign-trade-hot-selling-toenail-and-foot-nail-wholesale-365nails, friendlyName=cat eye flash wears nail and foot nail glitter powder sequins foot manicure  hot-selling toenail and foot nail wholesale｜365nails</x:v>
      </x:c>
      <x:c r="D2473" s="18" t="str">
        <x:v>color: JP3702</x:v>
      </x:c>
      <x:c r="E2473" s="25" t="str">
        <x:v>$1.25</x:v>
      </x:c>
      <x:c r="F2473" s="19" t="str">
        <x:v>1</x:v>
      </x:c>
    </x:row>
    <x:row r="2474" ht="93" customHeight="1">
      <x:c r="A2474" s="19" t="n">
        <x:v>2471</x:v>
      </x:c>
      <x:c r="B2474" s="22" t="e">
        <x:f>HYPERLINK("https://cdn.shopify.com/s/files/1/0918/6066/4603/files/O1CN01ygHd0Y2NGHf9ZQoxw__4234819935-0-cib.jpg?v=1753432049","Open")</x:f>
        <x:v>HYPERLINK is not implemented. linkLocation=https://cdn.shopify.com/s/files/1/0918/6066/4603/files/O1CN01ygHd0Y2NGHf9ZQoxw__4234819935-0-cib.jpg?v=1753432049, friendlyName=Open</x:v>
      </x:c>
      <x:c r="C2474" s="24" t="e">
        <x:f>HYPERLINK("https://365nails.com/products/wearing-nail-long-ballet-white-red-stacked-diamond-nail-pieces-finished-nail-pieces-wholesale-nail-patches-wearing-nail-pieces-365nails","Long Ballet White Red Stacked Diamond Nail Pieces Finished Nail Pieces Wholesale Nail Patches s｜365nails")</x:f>
        <x:v>HYPERLINK is not implemented. linkLocation=https://365nails.com/products/wearing-nail-long-ballet-white-red-stacked-diamond-nail-pieces-finished-nail-pieces-wholesale-nail-patches-wearing-nail-pieces-365nails, friendlyName=Long Ballet White Red Stacked Diamond Nail Pieces Finished Nail Pieces Wholesale Nail Patches s｜365nails</x:v>
      </x:c>
      <x:c r="D2474" s="18" t="str">
        <x:v>color: JP1609</x:v>
      </x:c>
      <x:c r="E2474" s="25" t="str">
        <x:v>$1.25</x:v>
      </x:c>
      <x:c r="F2474" s="19" t="str">
        <x:v>1</x:v>
      </x:c>
    </x:row>
    <x:row r="2475" ht="93" customHeight="1">
      <x:c r="A2475" s="19" t="n">
        <x:v>2472</x:v>
      </x:c>
      <x:c r="B2475" s="22" t="e">
        <x:f>HYPERLINK("https://cdn.shopify.com/s/files/1/0918/6066/4603/files/O1CN01bfMLou2NGHbPNJBN2__4234819935-0-cib.jpg?v=1753432046","Open")</x:f>
        <x:v>HYPERLINK is not implemented. linkLocation=https://cdn.shopify.com/s/files/1/0918/6066/4603/files/O1CN01bfMLou2NGHbPNJBN2__4234819935-0-cib.jpg?v=1753432046, friendlyName=Open</x:v>
      </x:c>
      <x:c r="C2475" s="24" t="e">
        <x:f>HYPERLINK("https://365nails.com/products/spice-girl-ice-through-peach-heart-wearing-nail-art-finished-fake-nail-nail-nail-patch-nail-patch-removable-fake-nail-365nails","Spice girl ice through peach heart press on nails art finished fake nail nail nail patch nail patch removable fake nail｜365nails")</x:f>
        <x:v>HYPERLINK is not implemented. linkLocation=https://365nails.com/products/spice-girl-ice-through-peach-heart-wearing-nail-art-finished-fake-nail-nail-nail-patch-nail-patch-removable-fake-nail-365nails, friendlyName=Spice girl ice through peach heart press on nails art finished fake nail nail nail patch nail patch removable fake nail｜365nails</x:v>
      </x:c>
      <x:c r="D2475" s="18" t="str">
        <x:v>color: JP1105</x:v>
      </x:c>
      <x:c r="E2475" s="25" t="str">
        <x:v>$1.03</x:v>
      </x:c>
      <x:c r="F2475" s="19" t="str">
        <x:v>1</x:v>
      </x:c>
    </x:row>
    <x:row r="2476" ht="93" customHeight="1">
      <x:c r="A2476" s="19" t="n">
        <x:v>2473</x:v>
      </x:c>
      <x:c r="B2476" s="22" t="e">
        <x:f>HYPERLINK("https://cdn.shopify.com/s/files/1/0918/6066/4603/files/O1CN01rI4Vq92NGHmlihNtT__4234819935-0-cib.jpg?v=1753432036","Open")</x:f>
        <x:v>HYPERLINK is not implemented. linkLocation=https://cdn.shopify.com/s/files/1/0918/6066/4603/files/O1CN01rI4Vq92NGHmlihNtT__4234819935-0-cib.jpg?v=1753432036, friendlyName=Open</x:v>
      </x:c>
      <x:c r="C2476" s="24" t="e">
        <x:f>HYPERLINK("https://365nails.com/products/french-christmas-nail-patch-false-nail-wholesale-cross-border-wear-nail-patch-nail-patch-finished-nail-patch-nail-patch-nail-patch-365nails","French Christmas Nail Patch False Nail Wholesale  Wear Nail Patch Nail Patch Finished Nail Patch Nail Patch Nail Patch｜365nails")</x:f>
        <x:v>HYPERLINK is not implemented. linkLocation=https://365nails.com/products/french-christmas-nail-patch-false-nail-wholesale-cross-border-wear-nail-patch-nail-patch-finished-nail-patch-nail-patch-nail-patch-365nails, friendlyName=French Christmas Nail Patch False Nail Wholesale  Wear Nail Patch Nail Patch Finished Nail Patch Nail Patch Nail Patch｜365nails</x:v>
      </x:c>
      <x:c r="D2476" s="18" t="str">
        <x:v>color: JP2689</x:v>
      </x:c>
      <x:c r="E2476" s="25" t="str">
        <x:v>$0.86</x:v>
      </x:c>
      <x:c r="F2476" s="19" t="str">
        <x:v>1</x:v>
      </x:c>
    </x:row>
    <x:row r="2477" ht="93" customHeight="1">
      <x:c r="A2477" s="19" t="n">
        <x:v>2474</x:v>
      </x:c>
      <x:c r="B2477" s="22" t="e">
        <x:f>HYPERLINK("https://cdn.shopify.com/s/files/1/0918/6066/4603/files/19227543774_2037667256.jpg?v=1753432032","Open")</x:f>
        <x:v>HYPERLINK is not implemented. linkLocation=https://cdn.shopify.com/s/files/1/0918/6066/4603/files/19227543774_2037667256.jpg?v=1753432032, friendlyName=Open</x:v>
      </x:c>
      <x:c r="C2477" s="24" t="e">
        <x:f>HYPERLINK("https://365nails.com/products/french-matte-purple-internet-celebrity-wearing-nail-finished-fake-nail-nail-patch-nail-patch-waterproof-removable-365nails","French matte purple Internet celebrity press on nails finished fake nail nail patch nail patch waterproof removable｜365nails")</x:f>
        <x:v>HYPERLINK is not implemented. linkLocation=https://365nails.com/products/french-matte-purple-internet-celebrity-wearing-nail-finished-fake-nail-nail-patch-nail-patch-waterproof-removable-365nails, friendlyName=French matte purple Internet celebrity press on nails finished fake nail nail patch nail patch waterproof removable｜365nails</x:v>
      </x:c>
      <x:c r="D2477" s="18" t="str">
        <x:v>color: JP831</x:v>
      </x:c>
      <x:c r="E2477" s="25" t="str">
        <x:v>$0.70</x:v>
      </x:c>
      <x:c r="F2477" s="19" t="str">
        <x:v>1</x:v>
      </x:c>
    </x:row>
    <x:row r="2478" ht="93" customHeight="1">
      <x:c r="A2478" s="19" t="n">
        <x:v>2475</x:v>
      </x:c>
      <x:c r="B2478" s="22" t="e">
        <x:f>HYPERLINK("https://cdn.shopify.com/s/files/1/0918/6066/4603/files/O1CN012J8ira2NGHjrXpCAv__4234819935-0-cib.jpg?v=1753431999","Open")</x:f>
        <x:v>HYPERLINK is not implemented. linkLocation=https://cdn.shopify.com/s/files/1/0918/6066/4603/files/O1CN012J8ira2NGHjrXpCAv__4234819935-0-cib.jpg?v=1753431999, friendlyName=Open</x:v>
      </x:c>
      <x:c r="C2478" s="24" t="e">
        <x:f>HYPERLINK("https://365nails.com/products/wearing-nail-piece-rose-red-french-edge-glitter-nail-art-wearing-nail-piece-wholesale-nail-piece-wholesale-nail-art-finished-product-365nails","Rose Red French Edge Glitter Nail Art  Wholesale Nail Piece Wholesale Nail Art Finished Product｜365nails")</x:f>
        <x:v>HYPERLINK is not implemented. linkLocation=https://365nails.com/products/wearing-nail-piece-rose-red-french-edge-glitter-nail-art-wearing-nail-piece-wholesale-nail-piece-wholesale-nail-art-finished-product-365nails, friendlyName=Rose Red French Edge Glitter Nail Art  Wholesale Nail Piece Wholesale Nail Art Finished Product｜365nails</x:v>
      </x:c>
      <x:c r="D2478" s="18" t="str">
        <x:v>color: JP2359</x:v>
      </x:c>
      <x:c r="E2478" s="25" t="str">
        <x:v>$0.71</x:v>
      </x:c>
      <x:c r="F2478" s="19" t="str">
        <x:v>1</x:v>
      </x:c>
    </x:row>
    <x:row r="2479" ht="93" customHeight="1">
      <x:c r="A2479" s="19" t="n">
        <x:v>2476</x:v>
      </x:c>
      <x:c r="B2479" s="22" t="e">
        <x:f>HYPERLINK("https://cdn.shopify.com/s/files/1/0918/6066/4603/files/O1CN01xPmasa2NGHl3m6pK0__4234819935-0-cib.jpg?v=1753431966","Open")</x:f>
        <x:v>HYPERLINK is not implemented. linkLocation=https://cdn.shopify.com/s/files/1/0918/6066/4603/files/O1CN01xPmasa2NGHl3m6pK0__4234819935-0-cib.jpg?v=1753431966, friendlyName=Open</x:v>
      </x:c>
      <x:c r="C2479" s="24" t="e">
        <x:f>HYPERLINK("https://365nails.com/products/nail-piece-wear-nail-halloween-nail-art-pink-gradual-change-love-pumpkin-spider-web-skeleton-press-on-nails-365nails","Nail piece Wear nail Halloween nail art pink gradual change love pumpkin spider web skeleton press on nails｜365nails")</x:f>
        <x:v>HYPERLINK is not implemented. linkLocation=https://365nails.com/products/nail-piece-wear-nail-halloween-nail-art-pink-gradual-change-love-pumpkin-spider-web-skeleton-press-on-nails-365nails, friendlyName=Nail piece Wear nail Halloween nail art pink gradual change love pumpkin spider web skeleton press on nails｜365nails</x:v>
      </x:c>
      <x:c r="D2479" s="18" t="str">
        <x:v>color: JP2510</x:v>
      </x:c>
      <x:c r="E2479" s="25" t="str">
        <x:v>$1.03</x:v>
      </x:c>
      <x:c r="F2479" s="19" t="str">
        <x:v>1</x:v>
      </x:c>
    </x:row>
    <x:row r="2480" ht="93" customHeight="1">
      <x:c r="A2480" s="19" t="n">
        <x:v>2477</x:v>
      </x:c>
      <x:c r="B2480" s="22" t="e">
        <x:f>HYPERLINK("https://cdn.shopify.com/s/files/1/0918/6066/4603/files/O1CN01mwG9Ij2NGHxc5a0p8__4234819935-0-cib.jpg?v=1753431936","Open")</x:f>
        <x:v>HYPERLINK is not implemented. linkLocation=https://cdn.shopify.com/s/files/1/0918/6066/4603/files/O1CN01mwG9Ij2NGHxc5a0p8__4234819935-0-cib.jpg?v=1753431936, friendlyName=Open</x:v>
      </x:c>
      <x:c r="C2480" s="24" t="e">
        <x:f>HYPERLINK("https://365nails.com/products/cross-border-foreign-trade-hot-selling-wearing-nail-short-almond-nail-europe-and-america-summer-press-on-nails-nail-film-365nails","Short almond nail summer press on nails ｜365nails")</x:f>
        <x:v>HYPERLINK is not implemented. linkLocation=https://365nails.com/products/cross-border-foreign-trade-hot-selling-wearing-nail-short-almond-nail-europe-and-america-summer-press-on-nails-nail-film-365nails, friendlyName=Short almond nail summer press on nails ｜365nails</x:v>
      </x:c>
      <x:c r="D2480" s="18" t="str">
        <x:v>color: JP3867</x:v>
      </x:c>
      <x:c r="E2480" s="25" t="str">
        <x:v>$0.68</x:v>
      </x:c>
      <x:c r="F2480" s="19" t="str">
        <x:v>1</x:v>
      </x:c>
    </x:row>
    <x:row r="2481" ht="93" customHeight="1">
      <x:c r="A2481" s="19" t="n">
        <x:v>2478</x:v>
      </x:c>
      <x:c r="B2481" s="22" t="e">
        <x:f>HYPERLINK("https://cdn.shopify.com/s/files/1/0918/6066/4603/files/O1CN01FdCwLt2NGHxc4AfXf__4234819935-0-cib.jpg?v=1753431928","Open")</x:f>
        <x:v>HYPERLINK is not implemented. linkLocation=https://cdn.shopify.com/s/files/1/0918/6066/4603/files/O1CN01FdCwLt2NGHxc4AfXf__4234819935-0-cib.jpg?v=1753431928, friendlyName=Open</x:v>
      </x:c>
      <x:c r="C2481" s="24" t="e">
        <x:f>HYPERLINK("https://365nails.com/products/small-fresh-ins-wind-toenail-slices-simple-white-flower-toenail-slices-hot-selling-french-toenail-slices-wholesale-365nails","Small fresh ins wind toenail slices Simple white flower toenail slices Hot-selling French toenail slices Wholesale｜365nails")</x:f>
        <x:v>HYPERLINK is not implemented. linkLocation=https://365nails.com/products/small-fresh-ins-wind-toenail-slices-simple-white-flower-toenail-slices-hot-selling-french-toenail-slices-wholesale-365nails, friendlyName=Small fresh ins wind toenail slices Simple white flower toenail slices Hot-selling French toenail slices Wholesale｜365nails</x:v>
      </x:c>
      <x:c r="D2481" s="18" t="str">
        <x:v>color: JP3804</x:v>
      </x:c>
      <x:c r="E2481" s="25" t="str">
        <x:v>$0.45</x:v>
      </x:c>
      <x:c r="F2481" s="19" t="str">
        <x:v>1</x:v>
      </x:c>
    </x:row>
    <x:row r="2482" ht="93" customHeight="1">
      <x:c r="A2482" s="19" t="n">
        <x:v>2479</x:v>
      </x:c>
      <x:c r="B2482" s="22" t="e">
        <x:f>HYPERLINK("https://cdn.shopify.com/s/files/1/0918/6066/4603/files/O1CN01NoMmt42NGHyAo8t0s__4234819935-0-cib.jpg?v=1753431896","Open")</x:f>
        <x:v>HYPERLINK is not implemented. linkLocation=https://cdn.shopify.com/s/files/1/0918/6066/4603/files/O1CN01NoMmt42NGHyAo8t0s__4234819935-0-cib.jpg?v=1753431896, friendlyName=Open</x:v>
      </x:c>
      <x:c r="C2482" s="24" t="e">
        <x:f>HYPERLINK("https://365nails.com/products/pure-desire-3d-three-dimensional-flower-wearing-nail-short-almond-nail-art-internet-celebrity-explosion-wearable-nail-finished-product-wholesale-365nails","Pure desire 3D three-dimensional flower  short almond nail art Internet celebrity explosion  finished product wholesale｜365nails")</x:f>
        <x:v>HYPERLINK is not implemented. linkLocation=https://365nails.com/products/pure-desire-3d-three-dimensional-flower-wearing-nail-short-almond-nail-art-internet-celebrity-explosion-wearable-nail-finished-product-wholesale-365nails, friendlyName=Pure desire 3D three-dimensional flower  short almond nail art Internet celebrity explosion  finished product wholesale｜365nails</x:v>
      </x:c>
      <x:c r="D2482" s="18" t="str">
        <x:v>color: JL0684</x:v>
      </x:c>
      <x:c r="E2482" s="25" t="str">
        <x:v>$1.25</x:v>
      </x:c>
      <x:c r="F2482" s="19" t="str">
        <x:v>1</x:v>
      </x:c>
    </x:row>
    <x:row r="2483" ht="93" customHeight="1">
      <x:c r="A2483" s="19" t="n">
        <x:v>2480</x:v>
      </x:c>
      <x:c r="B2483" s="22" t="e">
        <x:f>HYPERLINK("https://cdn.shopify.com/s/files/1/0918/6066/4603/files/O1CN015rZAtD2NGHk8GuJ0a__4234819935-0-cib.jpg?v=1753431886","Open")</x:f>
        <x:v>HYPERLINK is not implemented. linkLocation=https://cdn.shopify.com/s/files/1/0918/6066/4603/files/O1CN015rZAtD2NGHk8GuJ0a__4234819935-0-cib.jpg?v=1753431886, friendlyName=Open</x:v>
      </x:c>
      <x:c r="C2483" s="24" t="e">
        <x:f>HYPERLINK("https://365nails.com/products/wearing-nail-wholesale-finished-product-nude-white-edge-french-nail-piece-silver-glitter-toenail-patch-nail-art-wearing-nail-365nails","wholesale finished product Nude white edge French  Silver glitter toenail patch Nail art ｜365nails")</x:f>
        <x:v>HYPERLINK is not implemented. linkLocation=https://365nails.com/products/wearing-nail-wholesale-finished-product-nude-white-edge-french-nail-piece-silver-glitter-toenail-patch-nail-art-wearing-nail-365nails, friendlyName=wholesale finished product Nude white edge French  Silver glitter toenail patch Nail art ｜365nails</x:v>
      </x:c>
      <x:c r="D2483" s="18" t="str">
        <x:v>color: JP2474</x:v>
      </x:c>
      <x:c r="E2483" s="25" t="str">
        <x:v>$0.71</x:v>
      </x:c>
      <x:c r="F2483" s="19" t="str">
        <x:v>1</x:v>
      </x:c>
    </x:row>
    <x:row r="2484" ht="93" customHeight="1">
      <x:c r="A2484" s="19" t="n">
        <x:v>2481</x:v>
      </x:c>
      <x:c r="B2484" s="22" t="e">
        <x:f>HYPERLINK("https://cdn.shopify.com/s/files/1/0918/6066/4603/files/O1CN01K2SqfB2NGHhtOuwfy__4234819935-0-cib.jpg?v=1753431872","Open")</x:f>
        <x:v>HYPERLINK is not implemented. linkLocation=https://cdn.shopify.com/s/files/1/0918/6066/4603/files/O1CN01K2SqfB2NGHhtOuwfy__4234819935-0-cib.jpg?v=1753431872, friendlyName=Open</x:v>
      </x:c>
      <x:c r="C2484" s="24" t="e">
        <x:f>HYPERLINK("https://365nails.com/products/wearing-nail-scrub-solid-color-collection-nail-patch-wearing-nail-patch-wholesale-wearing-nail-art-advanced-nail-patch-wholesale-365nails","Wearing Nail Scrub Solid Color Collection Nail Patch Wearing Nail Patch Wholesale Wearing Nail Art Advanced Nail Patch Wholesale｜365nails")</x:f>
        <x:v>HYPERLINK is not implemented. linkLocation=https://365nails.com/products/wearing-nail-scrub-solid-color-collection-nail-patch-wearing-nail-patch-wholesale-wearing-nail-art-advanced-nail-patch-wholesale-365nails, friendlyName=Wearing Nail Scrub Solid Color Collection Nail Patch Wearing Nail Patch Wholesale Wearing Nail Art Advanced Nail Patch Wholesale｜365nails</x:v>
      </x:c>
      <x:c r="D2484" s="18" t="str">
        <x:v>color: JP1822 / JP1823 / JP1824 / JP1825 / JP1839 / JP1840 / JP1942 / JP1981 / JP1982</x:v>
      </x:c>
      <x:c r="E2484" s="25" t="str">
        <x:v>$0.70–$0.76</x:v>
      </x:c>
      <x:c r="F2484" s="19" t="str">
        <x:v>1</x:v>
      </x:c>
    </x:row>
    <x:row r="2485" ht="93" customHeight="1">
      <x:c r="A2485" s="19" t="n">
        <x:v>2482</x:v>
      </x:c>
      <x:c r="B2485" s="22" t="e">
        <x:f>HYPERLINK("https://cdn.shopify.com/s/files/1/0918/6066/4603/files/O1CN01vprZUV2NGHlQTu1F0__4234819935-0-cib.jpg?v=1753431871","Open")</x:f>
        <x:v>HYPERLINK is not implemented. linkLocation=https://cdn.shopify.com/s/files/1/0918/6066/4603/files/O1CN01vprZUV2NGHlQTu1F0__4234819935-0-cib.jpg?v=1753431871, friendlyName=Open</x:v>
      </x:c>
      <x:c r="C2485" s="24" t="e">
        <x:f>HYPERLINK("https://365nails.com/products/wear-nail-short-white-french-rhinestone-wear-nail-and-foot-nail-piece-nail-piece-removable-wearable-nail-sticker-365nails","Wear nail short white French rhinestone wear nail and foot nail piece Nail piece Removable wearable nail sticker｜365nails")</x:f>
        <x:v>HYPERLINK is not implemented. linkLocation=https://365nails.com/products/wear-nail-short-white-french-rhinestone-wear-nail-and-foot-nail-piece-nail-piece-removable-wearable-nail-sticker-365nails, friendlyName=Wear nail short white French rhinestone wear nail and foot nail piece Nail piece Removable wearable nail sticker｜365nails</x:v>
      </x:c>
      <x:c r="D2485" s="18" t="str">
        <x:v>color: JP2438</x:v>
      </x:c>
      <x:c r="E2485" s="25" t="str">
        <x:v>$1.03</x:v>
      </x:c>
      <x:c r="F2485" s="19" t="str">
        <x:v>1</x:v>
      </x:c>
    </x:row>
    <x:row r="2486" ht="93" customHeight="1">
      <x:c r="A2486" s="19" t="n">
        <x:v>2483</x:v>
      </x:c>
      <x:c r="B2486" s="22" t="e">
        <x:f>HYPERLINK("https://cdn.shopify.com/s/files/1/0918/6066/4603/files/O1CN01XMftf02NGHxbD5WpA__4234819935-0-cib.jpg?v=1753431845","Open")</x:f>
        <x:v>HYPERLINK is not implemented. linkLocation=https://cdn.shopify.com/s/files/1/0918/6066/4603/files/O1CN01XMftf02NGHxbD5WpA__4234819935-0-cib.jpg?v=1753431845, friendlyName=Open</x:v>
      </x:c>
      <x:c r="C2486" s="24" t="e">
        <x:f>HYPERLINK("https://365nails.com/products/maillard-french-leopard-print-wearing-nail-piece-advanced-sense-box-30-pieces-of-nail-art-hot-selling-fake-nails-wholesale-in-europe-and-america-365nails","Maillard French leopard print , advanced sense box, 30 pieces of nail art, hot-selling fake nails wholesale in Europe and America｜365nails")</x:f>
        <x:v>HYPERLINK is not implemented. linkLocation=https://365nails.com/products/maillard-french-leopard-print-wearing-nail-piece-advanced-sense-box-30-pieces-of-nail-art-hot-selling-fake-nails-wholesale-in-europe-and-america-365nails, friendlyName=Maillard French leopard print , advanced sense box, 30 pieces of nail art, hot-selling fake nails wholesale in Europe and America｜365nails</x:v>
      </x:c>
      <x:c r="D2486" s="18" t="str">
        <x:v>color: GN042</x:v>
      </x:c>
      <x:c r="E2486" s="25" t="str">
        <x:v>$0.70</x:v>
      </x:c>
      <x:c r="F2486" s="19" t="str">
        <x:v>1</x:v>
      </x:c>
    </x:row>
    <x:row r="2487" ht="93" customHeight="1">
      <x:c r="A2487" s="19" t="n">
        <x:v>2484</x:v>
      </x:c>
      <x:c r="B2487" s="22" t="e">
        <x:f>HYPERLINK("https://cdn.shopify.com/s/files/1/0918/6066/4603/files/O1CN01yyaoCu2NGHvWVRQfE__4234819935-0-cib.jpg?v=1753431836","Open")</x:f>
        <x:v>HYPERLINK is not implemented. linkLocation=https://cdn.shopify.com/s/files/1/0918/6066/4603/files/O1CN01yyaoCu2NGHvWVRQfE__4234819935-0-cib.jpg?v=1753431836, friendlyName=Open</x:v>
      </x:c>
      <x:c r="C2487" s="24" t="e">
        <x:f>HYPERLINK("https://365nails.com/products/european-and-american-cross-border-short-smudged-almond-shaped-wearing-nail-piece-french-glitter-fake-nail-press-on-nails-365nails","short smudged almond-shaped  French glitter fake nail press on nails｜365nails")</x:f>
        <x:v>HYPERLINK is not implemented. linkLocation=https://365nails.com/products/european-and-american-cross-border-short-smudged-almond-shaped-wearing-nail-piece-french-glitter-fake-nail-press-on-nails-365nails, friendlyName=short smudged almond-shaped  French glitter fake nail press on nails｜365nails</x:v>
      </x:c>
      <x:c r="D2487" s="18" t="str">
        <x:v>color: JP3612</x:v>
      </x:c>
      <x:c r="E2487" s="25" t="str">
        <x:v>$1.08</x:v>
      </x:c>
      <x:c r="F2487" s="19" t="str">
        <x:v>1</x:v>
      </x:c>
    </x:row>
    <x:row r="2488" ht="93" customHeight="1">
      <x:c r="A2488" s="19" t="n">
        <x:v>2485</x:v>
      </x:c>
      <x:c r="B2488" s="22" t="e">
        <x:f>HYPERLINK("https://cdn.shopify.com/s/files/1/0918/6066/4603/files/O1CN01gQG3bz2NGHvUE2z1Z__4234819935-0-cib.jpg?v=1753431835","Open")</x:f>
        <x:v>HYPERLINK is not implemented. linkLocation=https://cdn.shopify.com/s/files/1/0918/6066/4603/files/O1CN01gQG3bz2NGHvUE2z1Z__4234819935-0-cib.jpg?v=1753431835, friendlyName=Open</x:v>
      </x:c>
      <x:c r="C2488" s="24" t="e">
        <x:f>HYPERLINK("https://365nails.com/products/cross-border-europe-america-autumn-and-winter-popular-manicure-french-simple-white-wearable-nail-piece-leopard-print-3d-flower-fake-nail-365nails","Europe, America, autumn and winter popular manicure French simple white wearable nail piece leopard print 3D flower fake nail｜365nails")</x:f>
        <x:v>HYPERLINK is not implemented. linkLocation=https://365nails.com/products/cross-border-europe-america-autumn-and-winter-popular-manicure-french-simple-white-wearable-nail-piece-leopard-print-3d-flower-fake-nail-365nails, friendlyName=Europe, America, autumn and winter popular manicure French simple white wearable nail piece leopard print 3D flower fake nail｜365nails</x:v>
      </x:c>
      <x:c r="D2488" s="18" t="str">
        <x:v>color: JP3558</x:v>
      </x:c>
      <x:c r="E2488" s="25" t="str">
        <x:v>$1.54</x:v>
      </x:c>
      <x:c r="F2488" s="19" t="str">
        <x:v>1</x:v>
      </x:c>
    </x:row>
    <x:row r="2489" ht="93" customHeight="1">
      <x:c r="A2489" s="19" t="n">
        <x:v>2486</x:v>
      </x:c>
      <x:c r="B2489" s="22" t="e">
        <x:f>HYPERLINK("https://cdn.shopify.com/s/files/1/0918/6066/4603/files/O1CN0128NPoQ2NGHkWl2dUs__4234819935-0-cib.jpg?v=1753431841","Open")</x:f>
        <x:v>HYPERLINK is not implemented. linkLocation=https://cdn.shopify.com/s/files/1/0918/6066/4603/files/O1CN0128NPoQ2NGHkWl2dUs__4234819935-0-cib.jpg?v=1753431841, friendlyName=Open</x:v>
      </x:c>
      <x:c r="C2489" s="24" t="e">
        <x:f>HYPERLINK("https://365nails.com/products/wearable-nail-piece-short-pink-blue-purple-splicing-wave-nail-sticker-removable-nail-piece-golden-glitter-nail-piece-365nails","Wearable nail piece short pink blue purple splicing wave nail sticker removable nail piece golden glitter nail piece｜365nails")</x:f>
        <x:v>HYPERLINK is not implemented. linkLocation=https://365nails.com/products/wearable-nail-piece-short-pink-blue-purple-splicing-wave-nail-sticker-removable-nail-piece-golden-glitter-nail-piece-365nails, friendlyName=Wearable nail piece short pink blue purple splicing wave nail sticker removable nail piece golden glitter nail piece｜365nails</x:v>
      </x:c>
      <x:c r="D2489" s="18" t="str">
        <x:v>color: JP2548</x:v>
      </x:c>
      <x:c r="E2489" s="25" t="str">
        <x:v>$0.94</x:v>
      </x:c>
      <x:c r="F2489" s="19" t="str">
        <x:v>1</x:v>
      </x:c>
    </x:row>
    <x:row r="2490" ht="93" customHeight="1">
      <x:c r="A2490" s="19" t="n">
        <x:v>2487</x:v>
      </x:c>
      <x:c r="B2490" s="22" t="e">
        <x:f>HYPERLINK("https://cdn.shopify.com/s/files/1/0918/6066/4603/files/O1CN01akc0zF2NGHyGMG36t__4234819935-0-cib.jpg?v=1753431777","Open")</x:f>
        <x:v>HYPERLINK is not implemented. linkLocation=https://cdn.shopify.com/s/files/1/0918/6066/4603/files/O1CN01akc0zF2NGHyGMG36t__4234819935-0-cib.jpg?v=1753431777, friendlyName=Open</x:v>
      </x:c>
      <x:c r="C2490" s="24" t="e">
        <x:f>HYPERLINK("https://365nails.com/products/smudge-and-dye-nail-art-fake-nails-cross-border-hot-selling-almond-nail-short-wearable-nail-piece-foreign-trade-european-and-american-wearable-nail-wholesale-365nails","Smudge and dye nail art s  hot-selling almond nail short wearable    wearable nail wholesale｜365nails")</x:f>
        <x:v>HYPERLINK is not implemented. linkLocation=https://365nails.com/products/smudge-and-dye-nail-art-fake-nails-cross-border-hot-selling-almond-nail-short-wearable-nail-piece-foreign-trade-european-and-american-wearable-nail-wholesale-365nails, friendlyName=Smudge and dye nail art s  hot-selling almond nail short wearable    wearable nail wholesale｜365nails</x:v>
      </x:c>
      <x:c r="D2490" s="18" t="str">
        <x:v>color: JP3957</x:v>
      </x:c>
      <x:c r="E2490" s="25" t="str">
        <x:v>$1.30</x:v>
      </x:c>
      <x:c r="F2490" s="19" t="str">
        <x:v>1</x:v>
      </x:c>
    </x:row>
    <x:row r="2491" ht="93" customHeight="1">
      <x:c r="A2491" s="19" t="n">
        <x:v>2488</x:v>
      </x:c>
      <x:c r="B2491" s="22" t="e">
        <x:f>HYPERLINK("https://cdn.shopify.com/s/files/1/0918/6066/4603/files/O1CN01008D8A2NGHw8qwABC__4234819935-0-cib.jpg?v=1753431786","Open")</x:f>
        <x:v>HYPERLINK is not implemented. linkLocation=https://cdn.shopify.com/s/files/1/0918/6066/4603/files/O1CN01008D8A2NGHw8qwABC__4234819935-0-cib.jpg?v=1753431786, friendlyName=Open</x:v>
      </x:c>
      <x:c r="C2491" s="24" t="e">
        <x:f>HYPERLINK("https://365nails.com/products/french-black-and-white-zebra-pattern-wearing-nail-flash-diamond-explosion-flash-wearing-nail-film-short-square-manicure-fake-nail-wholesale-365nails","French black and white zebra pattern  flash diamond explosion flash  film short square manicure  wholesale｜365nails")</x:f>
        <x:v>HYPERLINK is not implemented. linkLocation=https://365nails.com/products/french-black-and-white-zebra-pattern-wearing-nail-flash-diamond-explosion-flash-wearing-nail-film-short-square-manicure-fake-nail-wholesale-365nails, friendlyName=French black and white zebra pattern  flash diamond explosion flash  film short square manicure  wholesale｜365nails</x:v>
      </x:c>
      <x:c r="D2491" s="18" t="str">
        <x:v>color: JP3654</x:v>
      </x:c>
      <x:c r="E2491" s="25" t="str">
        <x:v>$0.76</x:v>
      </x:c>
      <x:c r="F2491" s="19" t="str">
        <x:v>1</x:v>
      </x:c>
    </x:row>
    <x:row r="2492" ht="93" customHeight="1">
      <x:c r="A2492" s="19" t="n">
        <x:v>2489</x:v>
      </x:c>
      <x:c r="B2492" s="22" t="e">
        <x:f>HYPERLINK("https://cdn.shopify.com/s/files/1/0918/6066/4603/files/O1CN01NpJAtq2NGHgqqEMJ8__4234819935-0-cib.jpg?v=1753431777","Open")</x:f>
        <x:v>HYPERLINK is not implemented. linkLocation=https://cdn.shopify.com/s/files/1/0918/6066/4603/files/O1CN01NpJAtq2NGHgqqEMJ8__4234819935-0-cib.jpg?v=1753431777, friendlyName=Open</x:v>
      </x:c>
      <x:c r="C2492" s="24" t="e">
        <x:f>HYPERLINK("https://365nails.com/products/wearing-nail-piece-wholesale-wearing-nail-cat-eye-nail-piece-finished-product-removable-advanced-press-on-nails-365nails","Wholesale , cat eye nail piece Finished product removable advanced press on nails｜365nails")</x:f>
        <x:v>HYPERLINK is not implemented. linkLocation=https://365nails.com/products/wearing-nail-piece-wholesale-wearing-nail-cat-eye-nail-piece-finished-product-removable-advanced-press-on-nails-365nails, friendlyName=Wholesale , cat eye nail piece Finished product removable advanced press on nails｜365nails</x:v>
      </x:c>
      <x:c r="D2492" s="18" t="str">
        <x:v>color: JP1978</x:v>
      </x:c>
      <x:c r="E2492" s="25" t="str">
        <x:v>$1.51</x:v>
      </x:c>
      <x:c r="F2492" s="19" t="str">
        <x:v>1</x:v>
      </x:c>
    </x:row>
    <x:row r="2493" ht="93" customHeight="1">
      <x:c r="A2493" s="19" t="n">
        <x:v>2490</x:v>
      </x:c>
      <x:c r="B2493" s="22" t="e">
        <x:f>HYPERLINK("https://cdn.shopify.com/s/files/1/0918/6066/4603/files/O1CN01qdshlM2NGHx2jcOHo__4234819935-0-cib.jpg?v=1753431773","Open")</x:f>
        <x:v>HYPERLINK is not implemented. linkLocation=https://cdn.shopify.com/s/files/1/0918/6066/4603/files/O1CN01qdshlM2NGHx2jcOHo__4234819935-0-cib.jpg?v=1753431773, friendlyName=Open</x:v>
      </x:c>
      <x:c r="C2493" s="24" t="e">
        <x:f>HYPERLINK("https://365nails.com/products/minimalist-classic-french-white-edge-manicure-short-almond-nail-foreign-trade-hot-selling-wearing-nail-fake-nails-nail-wholesale-365nails","Minimalist classic French white edge manicure short almond nail  hot-selling   nail wholesale｜365nails")</x:f>
        <x:v>HYPERLINK is not implemented. linkLocation=https://365nails.com/products/minimalist-classic-french-white-edge-manicure-short-almond-nail-foreign-trade-hot-selling-wearing-nail-fake-nails-nail-wholesale-365nails, friendlyName=Minimalist classic French white edge manicure short almond nail  hot-selling   nail wholesale｜365nails</x:v>
      </x:c>
      <x:c r="D2493" s="18" t="str">
        <x:v>color: JP3691</x:v>
      </x:c>
      <x:c r="E2493" s="25" t="str">
        <x:v>$0.70</x:v>
      </x:c>
      <x:c r="F2493" s="19" t="str">
        <x:v>1</x:v>
      </x:c>
    </x:row>
    <x:row r="2494" ht="93" customHeight="1">
      <x:c r="A2494" s="19" t="n">
        <x:v>2491</x:v>
      </x:c>
      <x:c r="B2494" s="22" t="e">
        <x:f>HYPERLINK("https://cdn.shopify.com/s/files/1/0918/6066/4603/files/O1CN01ByihFj2NGHlZ6arq8__4234819935-0-cib.jpg?v=1753431753","Open")</x:f>
        <x:v>HYPERLINK is not implemented. linkLocation=https://cdn.shopify.com/s/files/1/0918/6066/4603/files/O1CN01ByihFj2NGHlZ6arq8__4234819935-0-cib.jpg?v=1753431753, friendlyName=Open</x:v>
      </x:c>
      <x:c r="C2494" s="24" t="e">
        <x:f>HYPERLINK("https://365nails.com/products/french-v-shaped-beveled-edge-wearing-nail-flash-diamond-rhinestone-manicure-fake-nail-foreign-trade-hot-selling-repeatable-nail-wholesale-365nails","French V-shaped beveled edge press-on nails flash diamond rhinestone manicure   hot-selling repeatable nail wholesale｜365nails")</x:f>
        <x:v>HYPERLINK is not implemented. linkLocation=https://365nails.com/products/french-v-shaped-beveled-edge-wearing-nail-flash-diamond-rhinestone-manicure-fake-nail-foreign-trade-hot-selling-repeatable-nail-wholesale-365nails, friendlyName=French V-shaped beveled edge press-on nails flash diamond rhinestone manicure   hot-selling repeatable nail wholesale｜365nails</x:v>
      </x:c>
      <x:c r="D2494" s="18" t="str">
        <x:v>color: JP2350</x:v>
      </x:c>
      <x:c r="E2494" s="25" t="str">
        <x:v>$1.25</x:v>
      </x:c>
      <x:c r="F2494" s="19" t="str">
        <x:v>1</x:v>
      </x:c>
    </x:row>
    <x:row r="2495" ht="93" customHeight="1">
      <x:c r="A2495" s="19" t="n">
        <x:v>2492</x:v>
      </x:c>
      <x:c r="B2495" s="22" t="e">
        <x:f>HYPERLINK("https://cdn.shopify.com/s/files/1/0918/6066/4603/files/O1CN01emRD9b2NGHx2GgA9U__4234819935-0-cib.jpg?v=1753431750","Open")</x:f>
        <x:v>HYPERLINK is not implemented. linkLocation=https://cdn.shopify.com/s/files/1/0918/6066/4603/files/O1CN01emRD9b2NGHx2GgA9U__4234819935-0-cib.jpg?v=1753431750, friendlyName=Open</x:v>
      </x:c>
      <x:c r="C2495" s="24" t="e">
        <x:f>HYPERLINK("https://365nails.com/products/cross-border-hot-selling-wearing-nail-pads-rose-red-smudge-fake-nails-silver-french-circle-almond-nail-pads-wholesale-365nails","hot-selling  pads, rose red smudge , silver French circle, almond nail pads, wholesale.｜365nails")</x:f>
        <x:v>HYPERLINK is not implemented. linkLocation=https://365nails.com/products/cross-border-hot-selling-wearing-nail-pads-rose-red-smudge-fake-nails-silver-french-circle-almond-nail-pads-wholesale-365nails, friendlyName=hot-selling  pads, rose red smudge , silver French circle, almond nail pads, wholesale.｜365nails</x:v>
      </x:c>
      <x:c r="D2495" s="18" t="str">
        <x:v>color: JP3565</x:v>
      </x:c>
      <x:c r="E2495" s="25" t="str">
        <x:v>$1.11</x:v>
      </x:c>
      <x:c r="F2495" s="19" t="str">
        <x:v>1</x:v>
      </x:c>
    </x:row>
    <x:row r="2496" ht="93" customHeight="1">
      <x:c r="A2496" s="19" t="n">
        <x:v>2493</x:v>
      </x:c>
      <x:c r="B2496" s="22" t="e">
        <x:f>HYPERLINK("https://cdn.shopify.com/s/files/1/0918/6066/4603/files/O1CN01VrZ8pn2NGHw7402gf__4234819935-0-cib.jpg?v=1753431730","Open")</x:f>
        <x:v>HYPERLINK is not implemented. linkLocation=https://cdn.shopify.com/s/files/1/0918/6066/4603/files/O1CN01VrZ8pn2NGHw7402gf__4234819935-0-cib.jpg?v=1753431730, friendlyName=Open</x:v>
      </x:c>
      <x:c r="C2496" s="24" t="e">
        <x:f>HYPERLINK("https://365nails.com/products/3d-three-dimensional-fruit-wearing-nail-french-lemon-orange-wearing-nail-piece-fresh-short-almond-nail-piece-wholesale-365nails","3D three-dimensional fruit  French lemon orange  fresh short almond nail piece wholesale｜365nails")</x:f>
        <x:v>HYPERLINK is not implemented. linkLocation=https://365nails.com/products/3d-three-dimensional-fruit-wearing-nail-french-lemon-orange-wearing-nail-piece-fresh-short-almond-nail-piece-wholesale-365nails, friendlyName=3D three-dimensional fruit  French lemon orange  fresh short almond nail piece wholesale｜365nails</x:v>
      </x:c>
      <x:c r="D2496" s="18" t="str">
        <x:v>color: JP3649</x:v>
      </x:c>
      <x:c r="E2496" s="25" t="str">
        <x:v>$0.65</x:v>
      </x:c>
      <x:c r="F2496" s="19" t="str">
        <x:v>1</x:v>
      </x:c>
    </x:row>
    <x:row r="2497" ht="93" customHeight="1">
      <x:c r="A2497" s="19" t="n">
        <x:v>2494</x:v>
      </x:c>
      <x:c r="B2497" s="22" t="e">
        <x:f>HYPERLINK("https://cdn.shopify.com/s/files/1/0918/6066/4603/files/O1CN01MuiSj82NGHwrjJnvW__4234819935-0-cib.jpg?v=1753431727","Open")</x:f>
        <x:v>HYPERLINK is not implemented. linkLocation=https://cdn.shopify.com/s/files/1/0918/6066/4603/files/O1CN01MuiSj82NGHwrjJnvW__4234819935-0-cib.jpg?v=1753431727, friendlyName=Open</x:v>
      </x:c>
      <x:c r="C2497" s="24" t="e">
        <x:f>HYPERLINK("https://365nails.com/products/simple-pink-star-nail-art-piece-short-round-nail-piece-finished-product-wholesale-cross-border-hot-selling-wearing-nail-fake-nail-piece-365nails","Simple pink star nail art piece, short round , finished product wholesale,  hot-selling,  fake ｜365nails")</x:f>
        <x:v>HYPERLINK is not implemented. linkLocation=https://365nails.com/products/simple-pink-star-nail-art-piece-short-round-nail-piece-finished-product-wholesale-cross-border-hot-selling-wearing-nail-fake-nail-piece-365nails, friendlyName=Simple pink star nail art piece, short round , finished product wholesale,  hot-selling,  fake ｜365nails</x:v>
      </x:c>
      <x:c r="D2497" s="18" t="str">
        <x:v>color: JP3743</x:v>
      </x:c>
      <x:c r="E2497" s="25" t="str">
        <x:v>$0.68</x:v>
      </x:c>
      <x:c r="F2497" s="19" t="str">
        <x:v>1</x:v>
      </x:c>
    </x:row>
    <x:row r="2498" ht="93" customHeight="1">
      <x:c r="A2498" s="19" t="n">
        <x:v>2495</x:v>
      </x:c>
      <x:c r="B2498" s="22" t="e">
        <x:f>HYPERLINK("https://cdn.shopify.com/s/files/1/0918/6066/4603/files/O1CN01xDvHTL2NGHfqNQ1iR__4234819935-0-cib.jpg?v=1753431720","Open")</x:f>
        <x:v>HYPERLINK is not implemented. linkLocation=https://cdn.shopify.com/s/files/1/0918/6066/4603/files/O1CN01xDvHTL2NGHfqNQ1iR__4234819935-0-cib.jpg?v=1753431720, friendlyName=Open</x:v>
      </x:c>
      <x:c r="C2498" s="24" t="e">
        <x:f>HYPERLINK("https://365nails.com/products/wearing-nail-white-polka-dots-red-love-nail-patch-wholesale-nail-art-nail-piece-finished-fake-nail-removable-365nails","white polka dots red love nail patch wholesale nail art  finished  removable｜365nails")</x:f>
        <x:v>HYPERLINK is not implemented. linkLocation=https://365nails.com/products/wearing-nail-white-polka-dots-red-love-nail-patch-wholesale-nail-art-nail-piece-finished-fake-nail-removable-365nails, friendlyName=white polka dots red love nail patch wholesale nail art  finished  removable｜365nails</x:v>
      </x:c>
      <x:c r="D2498" s="18" t="str">
        <x:v>color: JP1501</x:v>
      </x:c>
      <x:c r="E2498" s="25" t="str">
        <x:v>$0.70</x:v>
      </x:c>
      <x:c r="F2498" s="19" t="str">
        <x:v>1</x:v>
      </x:c>
    </x:row>
    <x:row r="2499" ht="93" customHeight="1">
      <x:c r="A2499" s="19" t="n">
        <x:v>2496</x:v>
      </x:c>
      <x:c r="B2499" s="22" t="e">
        <x:f>HYPERLINK("https://cdn.shopify.com/s/files/1/0918/6066/4603/files/O1CN01YzwqrG2NGHiWJSpo4__4234819935-0-cib.jpg?v=1753431678","Open")</x:f>
        <x:v>HYPERLINK is not implemented. linkLocation=https://cdn.shopify.com/s/files/1/0918/6066/4603/files/O1CN01YzwqrG2NGHiWJSpo4__4234819935-0-cib.jpg?v=1753431678, friendlyName=Open</x:v>
      </x:c>
      <x:c r="C2499" s="24" t="e">
        <x:f>HYPERLINK("https://365nails.com/products/wearing-nail-art-simple-white-edge-french-wearing-nail-finished-detachable-nail-art-false-nail-press-on-nails-365nails","Wearing Nail Art Simple white edge French Wearing Nail Finished Detachable Nail Art False Nail Press on nails｜365nails")</x:f>
        <x:v>HYPERLINK is not implemented. linkLocation=https://365nails.com/products/wearing-nail-art-simple-white-edge-french-wearing-nail-finished-detachable-nail-art-false-nail-press-on-nails-365nails, friendlyName=Wearing Nail Art Simple white edge French Wearing Nail Finished Detachable Nail Art False Nail Press on nails｜365nails</x:v>
      </x:c>
      <x:c r="D2499" s="18" t="str">
        <x:v>color: JP2150</x:v>
      </x:c>
      <x:c r="E2499" s="25" t="str">
        <x:v>$0.91</x:v>
      </x:c>
      <x:c r="F2499" s="19" t="str">
        <x:v>1</x:v>
      </x:c>
    </x:row>
    <x:row r="2500" ht="93" customHeight="1">
      <x:c r="A2500" s="19" t="n">
        <x:v>2497</x:v>
      </x:c>
      <x:c r="B2500" s="22" t="e">
        <x:f>HYPERLINK("https://cdn.shopify.com/s/files/1/0918/6066/4603/files/O1CN01BtOyZC2NGHuYWbk37__4234819935-0-cib.jpg?v=1753431663","Open")</x:f>
        <x:v>HYPERLINK is not implemented. linkLocation=https://cdn.shopify.com/s/files/1/0918/6066/4603/files/O1CN01BtOyZC2NGHuYWbk37__4234819935-0-cib.jpg?v=1753431663, friendlyName=Open</x:v>
      </x:c>
      <x:c r="C2500" s="24" t="e">
        <x:f>HYPERLINK("https://365nails.com/products/short-silver-snow-elk-wearing-nail-glitter-gradual-change-short-round-nail-patch-european-and-american-cross-border-fake-nail-nail-wholesale-365nails","Short silver snow elk press-on nails glitter gradual change short round nail patch   fake nail nail wholesale｜365nails")</x:f>
        <x:v>HYPERLINK is not implemented. linkLocation=https://365nails.com/products/short-silver-snow-elk-wearing-nail-glitter-gradual-change-short-round-nail-patch-european-and-american-cross-border-fake-nail-nail-wholesale-365nails, friendlyName=Short silver snow elk press-on nails glitter gradual change short round nail patch   fake nail nail wholesale｜365nails</x:v>
      </x:c>
      <x:c r="D2500" s="18" t="str">
        <x:v>color: JP672</x:v>
      </x:c>
      <x:c r="E2500" s="25" t="str">
        <x:v>$0.91</x:v>
      </x:c>
      <x:c r="F2500" s="19" t="str">
        <x:v>1</x:v>
      </x:c>
    </x:row>
    <x:row r="2501" ht="93" customHeight="1">
      <x:c r="A2501" s="19" t="n">
        <x:v>2498</x:v>
      </x:c>
      <x:c r="B2501" s="22" t="e">
        <x:f>HYPERLINK("https://cdn.shopify.com/s/files/1/0918/6066/4603/files/O1CN01FBFnYE2NGHkhJnU63__4234819935-0-cib.jpg?v=1753431652","Open")</x:f>
        <x:v>HYPERLINK is not implemented. linkLocation=https://cdn.shopify.com/s/files/1/0918/6066/4603/files/O1CN01FBFnYE2NGHkhJnU63__4234819935-0-cib.jpg?v=1753431652, friendlyName=Open</x:v>
      </x:c>
      <x:c r="C2501" s="24" t="e">
        <x:f>HYPERLINK("https://365nails.com/products/nail-art-wearing-nail-pink-gradual-change-foot-nail-piece-white-love-wearable-nail-piece-finished-nail-art-patch-short-365nails","Nail art  pink gradual change foot  white love  piece finished nail art patch short｜365nails")</x:f>
        <x:v>HYPERLINK is not implemented. linkLocation=https://365nails.com/products/nail-art-wearing-nail-pink-gradual-change-foot-nail-piece-white-love-wearable-nail-piece-finished-nail-art-patch-short-365nails, friendlyName=Nail art  pink gradual change foot  white love  piece finished nail art patch short｜365nails</x:v>
      </x:c>
      <x:c r="D2501" s="18" t="str">
        <x:v>color: JP2477</x:v>
      </x:c>
      <x:c r="E2501" s="25" t="str">
        <x:v>$0.70</x:v>
      </x:c>
      <x:c r="F2501" s="19" t="str">
        <x:v>1</x:v>
      </x:c>
    </x:row>
    <x:row r="2502" ht="93" customHeight="1">
      <x:c r="A2502" s="19" t="n">
        <x:v>2499</x:v>
      </x:c>
      <x:c r="B2502" s="22" t="e">
        <x:f>HYPERLINK("https://cdn.shopify.com/s/files/1/0918/6066/4603/files/O1CN014E7GPZ2NGHvmOYkrv__4234819935-0-cib.jpg?v=1753431610","Open")</x:f>
        <x:v>HYPERLINK is not implemented. linkLocation=https://cdn.shopify.com/s/files/1/0918/6066/4603/files/O1CN014E7GPZ2NGHvmOYkrv__4234819935-0-cib.jpg?v=1753431610, friendlyName=Open</x:v>
      </x:c>
      <x:c r="C2502" s="24" t="e">
        <x:f>HYPERLINK("https://365nails.com/products/autumn-and-winter-sweet-cat-wearing-nail-three-dimensional-point-diamond-bow-removable-manicure-red-polka-dot-nail-piece-wholesale-365nails","Autumn and winter sweet cat press-on nails three-dimensional point diamond bow removable manicure red polka dot nail piece wholesale｜365nails")</x:f>
        <x:v>HYPERLINK is not implemented. linkLocation=https://365nails.com/products/autumn-and-winter-sweet-cat-wearing-nail-three-dimensional-point-diamond-bow-removable-manicure-red-polka-dot-nail-piece-wholesale-365nails, friendlyName=Autumn and winter sweet cat press-on nails three-dimensional point diamond bow removable manicure red polka dot nail piece wholesale｜365nails</x:v>
      </x:c>
      <x:c r="D2502" s="18" t="str">
        <x:v>color: JP3597</x:v>
      </x:c>
      <x:c r="E2502" s="25" t="str">
        <x:v>$1.30</x:v>
      </x:c>
      <x:c r="F2502" s="19" t="str">
        <x:v>1</x:v>
      </x:c>
    </x:row>
    <x:row r="2503" ht="93" customHeight="1">
      <x:c r="A2503" s="19" t="n">
        <x:v>2500</x:v>
      </x:c>
      <x:c r="B2503" s="22" t="e">
        <x:f>HYPERLINK("https://cdn.shopify.com/s/files/1/0918/6066/4603/files/O1CN01niIhHO2NGHmgiyuoK__4234819935-0-cib_70fb5f3a-6074-4529-b133-299d16b6ff44.jpg?v=1753431324","Open")</x:f>
        <x:v>HYPERLINK is not implemented. linkLocation=https://cdn.shopify.com/s/files/1/0918/6066/4603/files/O1CN01niIhHO2NGHmgiyuoK__4234819935-0-cib_70fb5f3a-6074-4529-b133-299d16b6ff44.jpg?v=1753431324, friendlyName=Open</x:v>
      </x:c>
      <x:c r="C2503" s="24" t="e">
        <x:f>HYPERLINK("https://365nails.com/products/short-fake-nail-manicure-wholesale-cross-border-hot-selling-christmas-nail-piece-finished-product-removable-wearable-nail-24-pieces-wholesale-365nails","Short fake nail manicure wholesale  hot-selling Christmas nail piece finished product removable wearable nail 24 pieces wholesale｜365nails")</x:f>
        <x:v>HYPERLINK is not implemented. linkLocation=https://365nails.com/products/short-fake-nail-manicure-wholesale-cross-border-hot-selling-christmas-nail-piece-finished-product-removable-wearable-nail-24-pieces-wholesale-365nails, friendlyName=Short fake nail manicure wholesale  hot-selling Christmas nail piece finished product removable wearable nail 24 pieces wholesale｜365nails</x:v>
      </x:c>
      <x:c r="D2503" s="18" t="str">
        <x:v>color: JP2683</x:v>
      </x:c>
      <x:c r="E2503" s="25" t="str">
        <x:v>$1.30</x:v>
      </x:c>
      <x:c r="F2503" s="19" t="str">
        <x:v>1</x:v>
      </x:c>
    </x:row>
    <x:row r="2504" ht="93" customHeight="1">
      <x:c r="A2504" s="19" t="n">
        <x:v>2501</x:v>
      </x:c>
      <x:c r="B2504" s="22" t="e">
        <x:f>HYPERLINK("https://cdn.shopify.com/s/files/1/0918/6066/4603/files/O1CN01wteeLf2NGHdfN3amI__4234819935-0-cib.jpg?v=1753431105","Open")</x:f>
        <x:v>HYPERLINK is not implemented. linkLocation=https://cdn.shopify.com/s/files/1/0918/6066/4603/files/O1CN01wteeLf2NGHdfN3amI__4234819935-0-cib.jpg?v=1753431105, friendlyName=Open</x:v>
      </x:c>
      <x:c r="C2504" s="24" t="e">
        <x:f>HYPERLINK("https://365nails.com/products/wearing-finished-nail-fake-nail-french-manicure-simple-style-nail-patch-press-on-nails-cross-border-direct-supply-365nails","Wearing finished nail fake nail French manicure simple style nail patch press on nails  direct supply｜365nails")</x:f>
        <x:v>HYPERLINK is not implemented. linkLocation=https://365nails.com/products/wearing-finished-nail-fake-nail-french-manicure-simple-style-nail-patch-press-on-nails-cross-border-direct-supply-365nails, friendlyName=Wearing finished nail fake nail French manicure simple style nail patch press on nails  direct supply｜365nails</x:v>
      </x:c>
      <x:c r="D2504" s="18" t="str">
        <x:v>color: JP1348</x:v>
      </x:c>
      <x:c r="E2504" s="25" t="str">
        <x:v>$0.76</x:v>
      </x:c>
      <x:c r="F2504" s="19" t="str">
        <x:v>1</x:v>
      </x:c>
    </x:row>
    <x:row r="2505" ht="93" customHeight="1">
      <x:c r="A2505" s="19" t="n">
        <x:v>2502</x:v>
      </x:c>
      <x:c r="B2505" s="22" t="e">
        <x:f>HYPERLINK("https://cdn.shopify.com/s/files/1/0918/6066/4603/files/O1CN01bGKbhy2NGHeeqO8Mx__4234819935-0-cib.jpg?v=1753431108","Open")</x:f>
        <x:v>HYPERLINK is not implemented. linkLocation=https://cdn.shopify.com/s/files/1/0918/6066/4603/files/O1CN01bGKbhy2NGHeeqO8Mx__4234819935-0-cib.jpg?v=1753431108, friendlyName=Open</x:v>
      </x:c>
      <x:c r="C2505" s="24" t="e">
        <x:f>HYPERLINK("https://365nails.com/products/wearing-nail-finished-nail-art-patch-white-french-nail-art-simple-wind-nail-patch-false-nail-foreign-trade-nail-art-wholesale-365nails","press-on nails Finished Nail Art Patch White French Nail Art Simple Wind  False Nail  Nail Art Wholesale｜365nails")</x:f>
        <x:v>HYPERLINK is not implemented. linkLocation=https://365nails.com/products/wearing-nail-finished-nail-art-patch-white-french-nail-art-simple-wind-nail-patch-false-nail-foreign-trade-nail-art-wholesale-365nails, friendlyName=press-on nails Finished Nail Art Patch White French Nail Art Simple Wind  False Nail  Nail Art Wholesale｜365nails</x:v>
      </x:c>
      <x:c r="D2505" s="18" t="str">
        <x:v>color: JP1525</x:v>
      </x:c>
      <x:c r="E2505" s="25" t="str">
        <x:v>$0.70</x:v>
      </x:c>
      <x:c r="F2505" s="19" t="str">
        <x:v>1</x:v>
      </x:c>
    </x:row>
    <x:row r="2506" ht="93" customHeight="1">
      <x:c r="A2506" s="19" t="n">
        <x:v>2503</x:v>
      </x:c>
      <x:c r="B2506" s="22" t="e">
        <x:f>HYPERLINK("https://cdn.shopify.com/s/files/1/0918/6066/4603/files/O1CN01jl8p8o2NGHf0KukK0__4234819935-0-cib.jpg?v=1753431099","Open")</x:f>
        <x:v>HYPERLINK is not implemented. linkLocation=https://cdn.shopify.com/s/files/1/0918/6066/4603/files/O1CN01jl8p8o2NGHf0KukK0__4234819935-0-cib.jpg?v=1753431099, friendlyName=Open</x:v>
      </x:c>
      <x:c r="C2506" s="24" t="e">
        <x:f>HYPERLINK("https://365nails.com/products/wearing-nail-patch-white-french-nail-art-water-drop-nail-pearl-wearing-nail-wholesale-cross-border-nail-art-foreign-trade-nails-365nails","press-on nails Patch White French Nail Art Water Drop Nail Pearl press-on nails Wholesale  Nail Art  Nails｜365nails")</x:f>
        <x:v>HYPERLINK is not implemented. linkLocation=https://365nails.com/products/wearing-nail-patch-white-french-nail-art-water-drop-nail-pearl-wearing-nail-wholesale-cross-border-nail-art-foreign-trade-nails-365nails, friendlyName=press-on nails Patch White French Nail Art Water Drop Nail Pearl press-on nails Wholesale  Nail Art  Nails｜365nails</x:v>
      </x:c>
      <x:c r="D2506" s="18" t="str">
        <x:v>color: JP1463</x:v>
      </x:c>
      <x:c r="E2506" s="25" t="str">
        <x:v>$1.03</x:v>
      </x:c>
      <x:c r="F2506" s="19" t="str">
        <x:v>1</x:v>
      </x:c>
    </x:row>
    <x:row r="2507" ht="93" customHeight="1">
      <x:c r="A2507" s="19" t="n">
        <x:v>2504</x:v>
      </x:c>
      <x:c r="B2507" s="22" t="e">
        <x:f>HYPERLINK("https://cdn.shopify.com/s/files/1/0918/6066/4603/files/O1CN01ligSSb2NGHcLez7q0__4234819935-0-cib.jpg?v=1753431050","Open")</x:f>
        <x:v>HYPERLINK is not implemented. linkLocation=https://cdn.shopify.com/s/files/1/0918/6066/4603/files/O1CN01ligSSb2NGHcLez7q0__4234819935-0-cib.jpg?v=1753431050, friendlyName=Open</x:v>
      </x:c>
      <x:c r="C2507" s="24" t="e">
        <x:f>HYPERLINK("https://365nails.com/products/hazelnut-graffiti-fake-nail-nail-patch-nail-patch-wearing-nail-art-finished-product-removable-nail-piece-factory-sales-365nails","Hazelnut graffiti fake nail nail patch nail patch press-on nails art finished product removable nail piece factory sales｜365nails")</x:f>
        <x:v>HYPERLINK is not implemented. linkLocation=https://365nails.com/products/hazelnut-graffiti-fake-nail-nail-patch-nail-patch-wearing-nail-art-finished-product-removable-nail-piece-factory-sales-365nails, friendlyName=Hazelnut graffiti fake nail nail patch nail patch press-on nails art finished product removable nail piece factory sales｜365nails</x:v>
      </x:c>
      <x:c r="D2507" s="18" t="str">
        <x:v>color: JP1019</x:v>
      </x:c>
      <x:c r="E2507" s="25" t="str">
        <x:v>$0.70</x:v>
      </x:c>
      <x:c r="F2507" s="19" t="str">
        <x:v>1</x:v>
      </x:c>
    </x:row>
    <x:row r="2508" ht="93" customHeight="1">
      <x:c r="A2508" s="19" t="n">
        <x:v>2505</x:v>
      </x:c>
      <x:c r="B2508" s="22" t="e">
        <x:f>HYPERLINK("https://cdn.shopify.com/s/files/1/0918/6066/4603/files/O1CN019fojgW2NGHcJoT3st__4234819935-0-cib.jpg?v=1753431077","Open")</x:f>
        <x:v>HYPERLINK is not implemented. linkLocation=https://cdn.shopify.com/s/files/1/0918/6066/4603/files/O1CN019fojgW2NGHcJoT3st__4234819935-0-cib.jpg?v=1753431077, friendlyName=Open</x:v>
      </x:c>
      <x:c r="C2508" s="24" t="e">
        <x:f>HYPERLINK("https://365nails.com/products/cream-powder-leopard-print-pearl-nail-patch-nail-patch-cute-wear-nail-art-finished-false-nail-removable-nail-patch-365nails","Cream Powder Leopard Print Pearl Nail Patch Nail Patch Cute Wear Nail Art Finished False Nail Removable Nail Patch｜365nails")</x:f>
        <x:v>HYPERLINK is not implemented. linkLocation=https://365nails.com/products/cream-powder-leopard-print-pearl-nail-patch-nail-patch-cute-wear-nail-art-finished-false-nail-removable-nail-patch-365nails, friendlyName=Cream Powder Leopard Print Pearl Nail Patch Nail Patch Cute Wear Nail Art Finished False Nail Removable Nail Patch｜365nails</x:v>
      </x:c>
      <x:c r="D2508" s="18" t="str">
        <x:v>color: JP1316</x:v>
      </x:c>
      <x:c r="E2508" s="25" t="str">
        <x:v>$1.08</x:v>
      </x:c>
      <x:c r="F2508" s="19" t="str">
        <x:v>1</x:v>
      </x:c>
    </x:row>
    <x:row r="2509" ht="93" customHeight="1">
      <x:c r="A2509" s="19" t="n">
        <x:v>2506</x:v>
      </x:c>
      <x:c r="B2509" s="22" t="e">
        <x:f>HYPERLINK("https://cdn.shopify.com/s/files/1/0918/6066/4603/files/O1CN01Nc8m6Q2NGHbEBOCCH__4234819935-0-cib.jpg?v=1753431022","Open")</x:f>
        <x:v>HYPERLINK is not implemented. linkLocation=https://cdn.shopify.com/s/files/1/0918/6066/4603/files/O1CN01Nc8m6Q2NGHbEBOCCH__4234819935-0-cib.jpg?v=1753431022, friendlyName=Open</x:v>
      </x:c>
      <x:c r="C2509" s="24" t="e">
        <x:f>HYPERLINK("https://365nails.com/products/morandi-color-blue-and-white-wear-nail-art-finished-fake-nail-toenail-patch-nail-patch-removable-nail-piece-365nails","Morandi color blue and white wear nail art finished fake nail toenail patch nail patch removable nail piece｜365nails")</x:f>
        <x:v>HYPERLINK is not implemented. linkLocation=https://365nails.com/products/morandi-color-blue-and-white-wear-nail-art-finished-fake-nail-toenail-patch-nail-patch-removable-nail-piece-365nails, friendlyName=Morandi color blue and white wear nail art finished fake nail toenail patch nail patch removable nail piece｜365nails</x:v>
      </x:c>
      <x:c r="D2509" s="18" t="str">
        <x:v>color: JP1133</x:v>
      </x:c>
      <x:c r="E2509" s="25" t="str">
        <x:v>$0.76</x:v>
      </x:c>
      <x:c r="F2509" s="19" t="str">
        <x:v>1</x:v>
      </x:c>
    </x:row>
    <x:row r="2510" ht="93" customHeight="1">
      <x:c r="A2510" s="19" t="n">
        <x:v>2507</x:v>
      </x:c>
      <x:c r="B2510" s="22" t="e">
        <x:f>HYPERLINK("https://cdn.shopify.com/s/files/1/0918/6066/4603/files/O1CN01JWswR52NGHcekErbY__4234819935-0-cib.jpg?v=1753431068","Open")</x:f>
        <x:v>HYPERLINK is not implemented. linkLocation=https://cdn.shopify.com/s/files/1/0918/6066/4603/files/O1CN01JWswR52NGHcekErbY__4234819935-0-cib.jpg?v=1753431068, friendlyName=Open</x:v>
      </x:c>
      <x:c r="C2510" s="24" t="e">
        <x:f>HYPERLINK("https://365nails.com/products/french-false-nail-white-orange-color-scheme-wearing-nail-art-finished-fake-nail-nail-patch-nail-patch-nail-patch-nail-patch-365nails","French False nail white orange color scheme press-on nails Art Finished Fake Nail Nail Patch Nail Patch Nail Patch Nail Patch｜365nails")</x:f>
        <x:v>HYPERLINK is not implemented. linkLocation=https://365nails.com/products/french-false-nail-white-orange-color-scheme-wearing-nail-art-finished-fake-nail-nail-patch-nail-patch-nail-patch-nail-patch-365nails, friendlyName=French False nail white orange color scheme press-on nails Art Finished Fake Nail Nail Patch Nail Patch Nail Patch Nail Patch｜365nails</x:v>
      </x:c>
      <x:c r="D2510" s="18" t="str">
        <x:v>color: JP1350</x:v>
      </x:c>
      <x:c r="E2510" s="25" t="str">
        <x:v>$0.70</x:v>
      </x:c>
      <x:c r="F2510" s="19" t="str">
        <x:v>1</x:v>
      </x:c>
    </x:row>
    <x:row r="2511" ht="93" customHeight="1">
      <x:c r="A2511" s="19" t="n">
        <x:v>2508</x:v>
      </x:c>
      <x:c r="B2511" s="22" t="e">
        <x:f>HYPERLINK("https://cdn.shopify.com/s/files/1/0918/6066/4603/files/O1CN01lDowHX2NGHdHZug52__4234819935-0-cib.jpg?v=1753431064","Open")</x:f>
        <x:v>HYPERLINK is not implemented. linkLocation=https://cdn.shopify.com/s/files/1/0918/6066/4603/files/O1CN01lDowHX2NGHdHZug52__4234819935-0-cib.jpg?v=1753431064, friendlyName=Open</x:v>
      </x:c>
      <x:c r="C2511" s="24" t="e">
        <x:f>HYPERLINK("https://365nails.com/products/french-wear-nail-lake-blue-nail-art-white-false-nail-nail-patch-removable-nail-pad-false-nail-nail-nails-365nails","French Wear Nail Lake Blue Nail Art White False Nail Nail Patch Removable Nail Pad False Nail Nail Nails｜365nails")</x:f>
        <x:v>HYPERLINK is not implemented. linkLocation=https://365nails.com/products/french-wear-nail-lake-blue-nail-art-white-false-nail-nail-patch-removable-nail-pad-false-nail-nail-nails-365nails, friendlyName=French Wear Nail Lake Blue Nail Art White False Nail Nail Patch Removable Nail Pad False Nail Nail Nails｜365nails</x:v>
      </x:c>
      <x:c r="D2511" s="18" t="str">
        <x:v>color: JP1431</x:v>
      </x:c>
      <x:c r="E2511" s="25" t="str">
        <x:v>$0.86</x:v>
      </x:c>
      <x:c r="F2511" s="19" t="str">
        <x:v>1</x:v>
      </x:c>
    </x:row>
    <x:row r="2512" ht="93" customHeight="1">
      <x:c r="A2512" s="19" t="n">
        <x:v>2509</x:v>
      </x:c>
      <x:c r="B2512" s="22" t="e">
        <x:f>HYPERLINK("https://cdn.shopify.com/s/files/1/0918/6066/4603/files/O1CN01dCBF4s2NGHZdDZexa__4234819935-0-cib.jpg?v=1753431034","Open")</x:f>
        <x:v>HYPERLINK is not implemented. linkLocation=https://cdn.shopify.com/s/files/1/0918/6066/4603/files/O1CN01dCBF4s2NGHZdDZexa__4234819935-0-cib.jpg?v=1753431034, friendlyName=Open</x:v>
      </x:c>
      <x:c r="C2512" s="24" t="e">
        <x:f>HYPERLINK("https://365nails.com/products/snoopy-cartoon-stick-contrast-matte-wear-nail-art-fake-nail-nail-patch-nail-art-finished-product-removable-365nails","Snoopy cartoon stick contrast matte wear nail art fake nail nail patch nail art finished product removable｜365nails")</x:f>
        <x:v>HYPERLINK is not implemented. linkLocation=https://365nails.com/products/snoopy-cartoon-stick-contrast-matte-wear-nail-art-fake-nail-nail-patch-nail-art-finished-product-removable-365nails, friendlyName=Snoopy cartoon stick contrast matte wear nail art fake nail nail patch nail art finished product removable｜365nails</x:v>
      </x:c>
      <x:c r="D2512" s="18" t="str">
        <x:v>color: JP998</x:v>
      </x:c>
      <x:c r="E2512" s="25" t="str">
        <x:v>$0.91</x:v>
      </x:c>
      <x:c r="F2512" s="19" t="str">
        <x:v>1</x:v>
      </x:c>
    </x:row>
    <x:row r="2513" ht="93" customHeight="1">
      <x:c r="A2513" s="19" t="n">
        <x:v>2510</x:v>
      </x:c>
      <x:c r="B2513" s="22" t="e">
        <x:f>HYPERLINK("https://cdn.shopify.com/s/files/1/0918/6066/4603/files/O1CN01r9e5no2NGHak8Q4Jv__4234819935-0-cib.jpg?v=1753431009","Open")</x:f>
        <x:v>HYPERLINK is not implemented. linkLocation=https://cdn.shopify.com/s/files/1/0918/6066/4603/files/O1CN01r9e5no2NGHak8Q4Jv__4234819935-0-cib.jpg?v=1753431009, friendlyName=Open</x:v>
      </x:c>
      <x:c r="C2513" s="24" t="e">
        <x:f>HYPERLINK("https://365nails.com/products/naked-love-series-wearing-nail-art-finished-fake-nail-nail-patch-nail-patch-removable-nail-patch-soft-nail-365nails","Naked Love Series press-on nails Art Finished Fake Nail Nail Patch Nail Patch Removable Nail Patch Soft Nail｜365nails")</x:f>
        <x:v>HYPERLINK is not implemented. linkLocation=https://365nails.com/products/naked-love-series-wearing-nail-art-finished-fake-nail-nail-patch-nail-patch-removable-nail-patch-soft-nail-365nails, friendlyName=Naked Love Series press-on nails Art Finished Fake Nail Nail Patch Nail Patch Removable Nail Patch Soft Nail｜365nails</x:v>
      </x:c>
      <x:c r="D2513" s="18" t="str">
        <x:v>color: JP1055</x:v>
      </x:c>
      <x:c r="E2513" s="25" t="str">
        <x:v>$0.70</x:v>
      </x:c>
      <x:c r="F2513" s="19" t="str">
        <x:v>1</x:v>
      </x:c>
    </x:row>
    <x:row r="2514" ht="93" customHeight="1">
      <x:c r="A2514" s="19" t="n">
        <x:v>2511</x:v>
      </x:c>
      <x:c r="B2514" s="22" t="e">
        <x:f>HYPERLINK("https://cdn.shopify.com/s/files/1/0918/6066/4603/files/O1CN01r6BT4k2NGHlIqKclq__4234819935-0-cib.jpg?v=1753431048","Open")</x:f>
        <x:v>HYPERLINK is not implemented. linkLocation=https://cdn.shopify.com/s/files/1/0918/6066/4603/files/O1CN01r6BT4k2NGHlIqKclq__4234819935-0-cib.jpg?v=1753431048, friendlyName=Open</x:v>
      </x:c>
      <x:c r="C2514" s="24" t="e">
        <x:f>HYPERLINK("https://365nails.com/products/wearing-nail-piece-black-french-foot-nail-piece-white-love-wearing-nail-piece-wholesale-fake-nail-finished-patch-365nails","Black French foot nail piece White love  Wholesale fake nail finished patch｜365nails")</x:f>
        <x:v>HYPERLINK is not implemented. linkLocation=https://365nails.com/products/wearing-nail-piece-black-french-foot-nail-piece-white-love-wearing-nail-piece-wholesale-fake-nail-finished-patch-365nails, friendlyName=Black French foot nail piece White love  Wholesale fake nail finished patch｜365nails</x:v>
      </x:c>
      <x:c r="D2514" s="18" t="str">
        <x:v>color: JP2440</x:v>
      </x:c>
      <x:c r="E2514" s="25" t="str">
        <x:v>$0.70</x:v>
      </x:c>
      <x:c r="F2514" s="19" t="str">
        <x:v>1</x:v>
      </x:c>
    </x:row>
    <x:row r="2515" ht="93" customHeight="1">
      <x:c r="A2515" s="19" t="n">
        <x:v>2512</x:v>
      </x:c>
      <x:c r="B2515" s="22" t="e">
        <x:f>HYPERLINK("https://cdn.shopify.com/s/files/1/0918/6066/4603/files/O1CN01FVj4mU2NGHbCiPsqV__4234819935-0-cib.jpg?v=1753431037","Open")</x:f>
        <x:v>HYPERLINK is not implemented. linkLocation=https://cdn.shopify.com/s/files/1/0918/6066/4603/files/O1CN01FVj4mU2NGHbCiPsqV__4234819935-0-cib.jpg?v=1753431037, friendlyName=Open</x:v>
      </x:c>
      <x:c r="C2515" s="24" t="e">
        <x:f>HYPERLINK("https://365nails.com/products/fake-nail-presson-nail-simple-wave-series-foreign-trade-cross-border-direct-supply-whitening-nail-patch-nail-piece-365nails","presson nail simple wave series   direct supply whitening  ｜365nails")</x:f>
        <x:v>HYPERLINK is not implemented. linkLocation=https://365nails.com/products/fake-nail-presson-nail-simple-wave-series-foreign-trade-cross-border-direct-supply-whitening-nail-patch-nail-piece-365nails, friendlyName=presson nail simple wave series   direct supply whitening  ｜365nails</x:v>
      </x:c>
      <x:c r="D2515" s="18" t="str">
        <x:v>color: JP1188</x:v>
      </x:c>
      <x:c r="E2515" s="25" t="str">
        <x:v>$0.76</x:v>
      </x:c>
      <x:c r="F2515" s="19" t="str">
        <x:v>1</x:v>
      </x:c>
    </x:row>
    <x:row r="2516" ht="93" customHeight="1">
      <x:c r="A2516" s="19" t="n">
        <x:v>2513</x:v>
      </x:c>
      <x:c r="B2516" s="22" t="e">
        <x:f>HYPERLINK("https://cdn.shopify.com/s/files/1/0918/6066/4603/files/O1CN01kbSHrR2NGHZfiO51M__4234819935-0-cib.jpg?v=1753430991","Open")</x:f>
        <x:v>HYPERLINK is not implemented. linkLocation=https://cdn.shopify.com/s/files/1/0918/6066/4603/files/O1CN01kbSHrR2NGHZfiO51M__4234819935-0-cib.jpg?v=1753430991, friendlyName=Open</x:v>
      </x:c>
      <x:c r="C2516" s="24" t="e">
        <x:f>HYPERLINK("https://365nails.com/products/cow-millennium-soft-girl-wear-nail-art-finished-fake-nail-nail-art-patch-nail-patch-waterproof-removable-nail-patch-365nails","Cow Millennium Soft Girl Wear Nail Art Finished Fake Nail Nail Art Patch Nail Patch Waterproof Removable Nail Patch｜365nails")</x:f>
        <x:v>HYPERLINK is not implemented. linkLocation=https://365nails.com/products/cow-millennium-soft-girl-wear-nail-art-finished-fake-nail-nail-art-patch-nail-patch-waterproof-removable-nail-patch-365nails, friendlyName=Cow Millennium Soft Girl Wear Nail Art Finished Fake Nail Nail Art Patch Nail Patch Waterproof Removable Nail Patch｜365nails</x:v>
      </x:c>
      <x:c r="D2516" s="18" t="str">
        <x:v>color: JP995</x:v>
      </x:c>
      <x:c r="E2516" s="25" t="str">
        <x:v>$0.70</x:v>
      </x:c>
      <x:c r="F2516" s="19" t="str">
        <x:v>1</x:v>
      </x:c>
    </x:row>
    <x:row r="2517" ht="93" customHeight="1">
      <x:c r="A2517" s="19" t="n">
        <x:v>2514</x:v>
      </x:c>
      <x:c r="B2517" s="22" t="e">
        <x:f>HYPERLINK("https://cdn.shopify.com/s/files/1/0918/6066/4603/files/18712211468_2037667256.jpg?v=1753430952","Open")</x:f>
        <x:v>HYPERLINK is not implemented. linkLocation=https://cdn.shopify.com/s/files/1/0918/6066/4603/files/18712211468_2037667256.jpg?v=1753430952, friendlyName=Open</x:v>
      </x:c>
      <x:c r="C2517" s="24" t="e">
        <x:f>HYPERLINK("https://365nails.com/products/rattan-purple-glitter-short-wear-nail-finished-fake-nail-nail-patch-nail-patch-waterproof-removable-nail-patch-365nails","Rattan Purple Glitter Short Wear Nail Finished Fake Nail Nail Patch Nail Patch Waterproof Removable Nail Patch｜365nails")</x:f>
        <x:v>HYPERLINK is not implemented. linkLocation=https://365nails.com/products/rattan-purple-glitter-short-wear-nail-finished-fake-nail-nail-patch-nail-patch-waterproof-removable-nail-patch-365nails, friendlyName=Rattan Purple Glitter Short Wear Nail Finished Fake Nail Nail Patch Nail Patch Waterproof Removable Nail Patch｜365nails</x:v>
      </x:c>
      <x:c r="D2517" s="18" t="str">
        <x:v>color: JP827</x:v>
      </x:c>
      <x:c r="E2517" s="25" t="str">
        <x:v>$0.70</x:v>
      </x:c>
      <x:c r="F2517" s="19" t="str">
        <x:v>1</x:v>
      </x:c>
    </x:row>
    <x:row r="2518" ht="93" customHeight="1">
      <x:c r="A2518" s="19" t="n">
        <x:v>2515</x:v>
      </x:c>
      <x:c r="B2518" s="22" t="e">
        <x:f>HYPERLINK("https://cdn.shopify.com/s/files/1/0918/6066/4603/files/O1CN012b3x5X1RXShUV0aDE__6000000002121-0-cib.jpg?v=1753430969","Open")</x:f>
        <x:v>HYPERLINK is not implemented. linkLocation=https://cdn.shopify.com/s/files/1/0918/6066/4603/files/O1CN012b3x5X1RXShUV0aDE__6000000002121-0-cib.jpg?v=1753430969, friendlyName=Open</x:v>
      </x:c>
      <x:c r="C2518" s="24" t="e">
        <x:f>HYPERLINK("https://365nails.com/products/long-island-iced-tea-short-wear-nail-art-finished-fake-nail-nail-patch-nail-patch-waterproof-removable-nail-patch-365nails","Long Island Iced Tea Short Wear Nail Art Finished Fake Nail Nail Patch Nail Patch Waterproof Removable Nail Patch｜365nails")</x:f>
        <x:v>HYPERLINK is not implemented. linkLocation=https://365nails.com/products/long-island-iced-tea-short-wear-nail-art-finished-fake-nail-nail-patch-nail-patch-waterproof-removable-nail-patch-365nails, friendlyName=Long Island Iced Tea Short Wear Nail Art Finished Fake Nail Nail Patch Nail Patch Waterproof Removable Nail Patch｜365nails</x:v>
      </x:c>
      <x:c r="D2518" s="18" t="str">
        <x:v>color: JP968</x:v>
      </x:c>
      <x:c r="E2518" s="25" t="str">
        <x:v>$0.97</x:v>
      </x:c>
      <x:c r="F2518" s="19" t="str">
        <x:v>1</x:v>
      </x:c>
    </x:row>
    <x:row r="2519" ht="93" customHeight="1">
      <x:c r="A2519" s="19" t="n">
        <x:v>2516</x:v>
      </x:c>
      <x:c r="B2519" s="22" t="e">
        <x:f>HYPERLINK("https://cdn.shopify.com/s/files/1/0918/6066/4603/files/23018070120_2037667256.jpg?v=1753430954","Open")</x:f>
        <x:v>HYPERLINK is not implemented. linkLocation=https://cdn.shopify.com/s/files/1/0918/6066/4603/files/23018070120_2037667256.jpg?v=1753430954, friendlyName=Open</x:v>
      </x:c>
      <x:c r="C2519" s="24" t="e">
        <x:f>HYPERLINK("https://365nails.com/products/naked-jelly-purple-blue-french-wear-nail-art-finished-fake-nail-nail-art-patch-nail-patch-waterproof-removable-365nails","Naked Jelly Purple Blue French Wear Nail Art Finished Fake Nail Nail Art Patch Nail Patch Waterproof Removable｜365nails")</x:f>
        <x:v>HYPERLINK is not implemented. linkLocation=https://365nails.com/products/naked-jelly-purple-blue-french-wear-nail-art-finished-fake-nail-nail-art-patch-nail-patch-waterproof-removable-365nails, friendlyName=Naked Jelly Purple Blue French Wear Nail Art Finished Fake Nail Nail Art Patch Nail Patch Waterproof Removable｜365nails</x:v>
      </x:c>
      <x:c r="D2519" s="18" t="str">
        <x:v>color: JP976</x:v>
      </x:c>
      <x:c r="E2519" s="25" t="str">
        <x:v>$0.70</x:v>
      </x:c>
      <x:c r="F2519" s="19" t="str">
        <x:v>1</x:v>
      </x:c>
    </x:row>
    <x:row r="2520" ht="93" customHeight="1">
      <x:c r="A2520" s="19" t="n">
        <x:v>2517</x:v>
      </x:c>
      <x:c r="B2520" s="22" t="e">
        <x:f>HYPERLINK("https://cdn.shopify.com/s/files/1/0918/6066/4603/files/12989172886_2037667256.jpg?v=1753430933","Open")</x:f>
        <x:v>HYPERLINK is not implemented. linkLocation=https://cdn.shopify.com/s/files/1/0918/6066/4603/files/12989172886_2037667256.jpg?v=1753430933, friendlyName=Open</x:v>
      </x:c>
      <x:c r="C2520" s="24" t="e">
        <x:f>HYPERLINK("https://365nails.com/products/burgundy-star-shell-whitening-nail-patch-press-on-nails-finished-fake-nail-waterproof-removable-pregnant-women-can-wear-365nails","Burgundy star shell whitening nail patch press on nails finished fake nail waterproof removable pregnant women can wear｜365nails")</x:f>
        <x:v>HYPERLINK is not implemented. linkLocation=https://365nails.com/products/burgundy-star-shell-whitening-nail-patch-press-on-nails-finished-fake-nail-waterproof-removable-pregnant-women-can-wear-365nails, friendlyName=Burgundy star shell whitening nail patch press on nails finished fake nail waterproof removable pregnant women can wear｜365nails</x:v>
      </x:c>
      <x:c r="D2520" s="18" t="str">
        <x:v>color: Burgundy Shell Short; Color classification: JP688</x:v>
      </x:c>
      <x:c r="E2520" s="25" t="str">
        <x:v>$1.30</x:v>
      </x:c>
      <x:c r="F2520" s="19" t="str">
        <x:v>1</x:v>
      </x:c>
    </x:row>
    <x:row r="2521" ht="93" customHeight="1">
      <x:c r="A2521" s="19" t="n">
        <x:v>2518</x:v>
      </x:c>
      <x:c r="B2521" s="22" t="e">
        <x:f>HYPERLINK("https://cdn.shopify.com/s/files/1/0918/6066/4603/files/O1CN01FcWycP2NGHffqoRQW__4234819935-0-cib.jpg?v=1753430761","Open")</x:f>
        <x:v>HYPERLINK is not implemented. linkLocation=https://cdn.shopify.com/s/files/1/0918/6066/4603/files/O1CN01FcWycP2NGHffqoRQW__4234819935-0-cib.jpg?v=1753430761, friendlyName=Open</x:v>
      </x:c>
      <x:c r="C2521" s="24" t="e">
        <x:f>HYPERLINK("https://365nails.com/products/simple-yellow-french-manicure-press-on-nails-wholesale-press-on-nails-special-nail-piece-press-on-nails-finished-product-false-nail-365nails","Simple yellow French manicure press on nails Wholesale press on nails Special nail piece press on nails finished product false nail｜365nails")</x:f>
        <x:v>HYPERLINK is not implemented. linkLocation=https://365nails.com/products/simple-yellow-french-manicure-press-on-nails-wholesale-press-on-nails-special-nail-piece-press-on-nails-finished-product-false-nail-365nails, friendlyName=Simple yellow French manicure press on nails Wholesale press on nails Special nail piece press on nails finished product false nail｜365nails</x:v>
      </x:c>
      <x:c r="D2521" s="18" t="str">
        <x:v>color: JP1498</x:v>
      </x:c>
      <x:c r="E2521" s="25" t="str">
        <x:v>$0.70</x:v>
      </x:c>
      <x:c r="F2521" s="19" t="str">
        <x:v>1</x:v>
      </x:c>
    </x:row>
    <x:row r="2522" ht="93" customHeight="1">
      <x:c r="A2522" s="19" t="n">
        <x:v>2519</x:v>
      </x:c>
      <x:c r="B2522" s="22" t="e">
        <x:f>HYPERLINK("https://cdn.shopify.com/s/files/1/0918/6066/4603/files/O1CN018aJTvD2NGHz58ap8t__4234819935-0-cib.jpg?v=1753430722","Open")</x:f>
        <x:v>HYPERLINK is not implemented. linkLocation=https://cdn.shopify.com/s/files/1/0918/6066/4603/files/O1CN018aJTvD2NGHz58ap8t__4234819935-0-cib.jpg?v=1753430722, friendlyName=Open</x:v>
      </x:c>
      <x:c r="C2522" s="24" t="e">
        <x:f>HYPERLINK("https://365nails.com/products/simple-french-rose-pink-press-on-nails-color-flower-fresh-wearing-false-nail-short-round-nail-art-nail-film-365nails","Simple French Rose Pink press on nails Color Flower Fresh Wearing False Nail Short Round Nail Art Nail Film｜365nails")</x:f>
        <x:v>HYPERLINK is not implemented. linkLocation=https://365nails.com/products/simple-french-rose-pink-press-on-nails-color-flower-fresh-wearing-false-nail-short-round-nail-art-nail-film-365nails, friendlyName=Simple French Rose Pink press on nails Color Flower Fresh Wearing False Nail Short Round Nail Art Nail Film｜365nails</x:v>
      </x:c>
      <x:c r="D2522" s="18" t="str">
        <x:v>color: JP3929</x:v>
      </x:c>
      <x:c r="E2522" s="25" t="str">
        <x:v>$0.86</x:v>
      </x:c>
      <x:c r="F2522" s="19" t="str">
        <x:v>1</x:v>
      </x:c>
    </x:row>
    <x:row r="2523" ht="93" customHeight="1">
      <x:c r="A2523" s="19" t="n">
        <x:v>2520</x:v>
      </x:c>
      <x:c r="B2523" s="22" t="e">
        <x:f>HYPERLINK("https://cdn.shopify.com/s/files/1/0918/6066/4603/files/O1CN01T40nAs2NGHg7MXU8G__4234819935-0-cib.jpg?v=1753430576","Open")</x:f>
        <x:v>HYPERLINK is not implemented. linkLocation=https://cdn.shopify.com/s/files/1/0918/6066/4603/files/O1CN01T40nAs2NGHg7MXU8G__4234819935-0-cib.jpg?v=1753430576, friendlyName=Open</x:v>
      </x:c>
      <x:c r="C2523" s="24" t="e">
        <x:f>HYPERLINK("https://365nails.com/products/nail-patch-press-on-nails-french-white-edge-press-on-nails-finished-product-wholesale-rhinestone-star-light-removable-nail-nails-365nails","Nail patch press on nails, French white edge press on nails finished product wholesale rhinestone star light removable nail nails｜365nails")</x:f>
        <x:v>HYPERLINK is not implemented. linkLocation=https://365nails.com/products/nail-patch-press-on-nails-french-white-edge-press-on-nails-finished-product-wholesale-rhinestone-star-light-removable-nail-nails-365nails, friendlyName=Nail patch press on nails, French white edge press on nails finished product wholesale rhinestone star light removable nail nails｜365nails</x:v>
      </x:c>
      <x:c r="D2523" s="18" t="str">
        <x:v>color: JP1740</x:v>
      </x:c>
      <x:c r="E2523" s="25" t="str">
        <x:v>$1.10</x:v>
      </x:c>
      <x:c r="F2523" s="19" t="str">
        <x:v>1</x:v>
      </x:c>
    </x:row>
    <x:row r="2524" ht="93" customHeight="1">
      <x:c r="A2524" s="19" t="n">
        <x:v>2521</x:v>
      </x:c>
      <x:c r="B2524" s="22" t="e">
        <x:f>HYPERLINK("https://cdn.shopify.com/s/files/1/0918/6066/4603/files/O1CN01npNm3v2NGHn7fOlXH__4234819935-0-cib.jpg?v=1753430553","Open")</x:f>
        <x:v>HYPERLINK is not implemented. linkLocation=https://cdn.shopify.com/s/files/1/0918/6066/4603/files/O1CN01npNm3v2NGHn7fOlXH__4234819935-0-cib.jpg?v=1753430553, friendlyName=Open</x:v>
      </x:c>
      <x:c r="C2524" s="24" t="e">
        <x:f>HYPERLINK("https://365nails.com/products/french-nails-art-press-on-nails-medium-and-long-fake-nails-nails-art-sheet-nails-sheet-cross-border-press-on-nails-sheet-nails-sticker-nails-sheet-365nails","French nails Art press on nails Medium and Long Fake nails nails Art Sheet nails Sheet  press on nails Sheet nails Sticker nails Sheet｜365nails")</x:f>
        <x:v>HYPERLINK is not implemented. linkLocation=https://365nails.com/products/french-nails-art-press-on-nails-medium-and-long-fake-nails-nails-art-sheet-nails-sheet-cross-border-press-on-nails-sheet-nails-sticker-nails-sheet-365nails, friendlyName=French nails Art press on nails Medium and Long Fake nails nails Art Sheet nails Sheet  press on nails Sheet nails Sticker nails Sheet｜365nails</x:v>
      </x:c>
      <x:c r="D2524" s="18" t="str">
        <x:v>color: JP1920</x:v>
      </x:c>
      <x:c r="E2524" s="25" t="str">
        <x:v>$0.86</x:v>
      </x:c>
      <x:c r="F2524" s="19" t="str">
        <x:v>1</x:v>
      </x:c>
    </x:row>
    <x:row r="2525" ht="93" customHeight="1">
      <x:c r="A2525" s="19" t="n">
        <x:v>2522</x:v>
      </x:c>
      <x:c r="B2525" s="22" t="e">
        <x:f>HYPERLINK("https://cdn.shopify.com/s/files/1/0918/6066/4603/files/O1CN01DrCg742NGHmnxPqnx__4234819935-0-cib_d70ca3f0-eb80-49fb-8018-0237ecbed7f1.jpg?v=1753430511","Open")</x:f>
        <x:v>HYPERLINK is not implemented. linkLocation=https://cdn.shopify.com/s/files/1/0918/6066/4603/files/O1CN01DrCg742NGHmnxPqnx__4234819935-0-cib_d70ca3f0-eb80-49fb-8018-0237ecbed7f1.jpg?v=1753430511, friendlyName=Open</x:v>
      </x:c>
      <x:c r="C2525" s="24" t="e">
        <x:f>HYPERLINK("https://365nails.com/products/cross-border-popular-nails-art-finished-product-wholesale-european-and-american-flash-diamond-fake-nails-nails-patch-finished-product-press-on-nails-removable-365nails","popular nails art finished product wholesale,  flash diamond fake nails nails patch finished product, press on nails removable｜365nails")</x:f>
        <x:v>HYPERLINK is not implemented. linkLocation=https://365nails.com/products/cross-border-popular-nails-art-finished-product-wholesale-european-and-american-flash-diamond-fake-nails-nails-patch-finished-product-press-on-nails-removable-365nails, friendlyName=popular nails art finished product wholesale,  flash diamond fake nails nails patch finished product, press on nails removable｜365nails</x:v>
      </x:c>
      <x:c r="D2525" s="18" t="str">
        <x:v>color: JP2679</x:v>
      </x:c>
      <x:c r="E2525" s="25" t="str">
        <x:v>$1.16</x:v>
      </x:c>
      <x:c r="F2525" s="19" t="str">
        <x:v>1</x:v>
      </x:c>
    </x:row>
    <x:row r="2526" ht="93" customHeight="1">
      <x:c r="A2526" s="19" t="n">
        <x:v>2523</x:v>
      </x:c>
      <x:c r="B2526" s="22" t="e">
        <x:f>HYPERLINK("https://cdn.shopify.com/s/files/1/0918/6066/4603/files/O1CN01K5oLKR2NGHmqmfIwg__4234819935-0-cib.jpg?v=1753430548","Open")</x:f>
        <x:v>HYPERLINK is not implemented. linkLocation=https://cdn.shopify.com/s/files/1/0918/6066/4603/files/O1CN01K5oLKR2NGHmqmfIwg__4234819935-0-cib.jpg?v=1753430548, friendlyName=Open</x:v>
      </x:c>
      <x:c r="C2526" s="24" t="e">
        <x:f>HYPERLINK("https://365nails.com/products/independence-day-press-on-nails-short-square-nails-art-false-nails-cross-border-foreign-trade-nails-stickers-nails-products-finished-nails-products-wholesale-365nails","Indpndnc Day  Short Squar nails Art Fals nails   nails Stickrs nails Products Finishd nails Products Wholsal｜365nails")</x:f>
        <x:v>HYPERLINK is not implemented. linkLocation=https://365nails.com/products/independence-day-press-on-nails-short-square-nails-art-false-nails-cross-border-foreign-trade-nails-stickers-nails-products-finished-nails-products-wholesale-365nails, friendlyName=Indpndnc Day  Short Squar nails Art Fals nails   nails Stickrs nails Products Finishd nails Products Wholsal｜365nails</x:v>
      </x:c>
      <x:c r="D2526" s="18" t="str">
        <x:v>color: JP2775</x:v>
      </x:c>
      <x:c r="E2526" s="25" t="str">
        <x:v>$1.80</x:v>
      </x:c>
      <x:c r="F2526" s="19" t="str">
        <x:v>1</x:v>
      </x:c>
    </x:row>
    <x:row r="2527" ht="93" customHeight="1">
      <x:c r="A2527" s="19" t="n">
        <x:v>2524</x:v>
      </x:c>
      <x:c r="B2527" s="22" t="e">
        <x:f>HYPERLINK("https://cdn.shopify.com/s/files/1/0918/6066/4603/files/O1CN012LTNea2NGHmacqid2__4234819935-0-cib.jpg?v=1753430545","Open")</x:f>
        <x:v>HYPERLINK is not implemented. linkLocation=https://cdn.shopify.com/s/files/1/0918/6066/4603/files/O1CN012LTNea2NGHmacqid2__4234819935-0-cib.jpg?v=1753430545, friendlyName=Open</x:v>
      </x:c>
      <x:c r="C2527" s="24" t="e">
        <x:f>HYPERLINK("https://365nails.com/products/french-nude-whitening-nails-art-fake-nails-internet-celebrities-ins-wind-press-on-nails-removable-nails-film-finished-product-wholesale-365nails","French Nude Whitening nails Art Fake nails Internet celebrities ins Wind press on nails Removable nails Film Finished Product Wholesale｜365nails")</x:f>
        <x:v>HYPERLINK is not implemented. linkLocation=https://365nails.com/products/french-nude-whitening-nails-art-fake-nails-internet-celebrities-ins-wind-press-on-nails-removable-nails-film-finished-product-wholesale-365nails, friendlyName=French Nude Whitening nails Art Fake nails Internet celebrities ins Wind press on nails Removable nails Film Finished Product Wholesale｜365nails</x:v>
      </x:c>
      <x:c r="D2527" s="18" t="str">
        <x:v>color: JP2718</x:v>
      </x:c>
      <x:c r="E2527" s="25" t="str">
        <x:v>$1.25</x:v>
      </x:c>
      <x:c r="F2527" s="19" t="str">
        <x:v>1</x:v>
      </x:c>
    </x:row>
    <x:row r="2528" ht="93" customHeight="1">
      <x:c r="A2528" s="19" t="n">
        <x:v>2525</x:v>
      </x:c>
      <x:c r="B2528" s="22" t="e">
        <x:f>HYPERLINK("https://cdn.shopify.com/s/files/1/0918/6066/4603/files/O1CN01pU0vsC2NGHmgiwQp6__4234819935-0-cib.jpg?v=1753430505","Open")</x:f>
        <x:v>HYPERLINK is not implemented. linkLocation=https://cdn.shopify.com/s/files/1/0918/6066/4603/files/O1CN01pU0vsC2NGHmgiwQp6__4234819935-0-cib.jpg?v=1753430505, friendlyName=Open</x:v>
      </x:c>
      <x:c r="C2528" s="24" t="e">
        <x:f>HYPERLINK("https://365nails.com/products/factory-direct-sales-christmas-fake-nails-manicure-sequined-nails-sticker-press-on-nails-removable-nails-piece-finished-product-wholesale-365nails","Factory direct sales Christmas fake nails manicure sequined nails sticker press on nails removable nails piece finished product wholesale｜365nails")</x:f>
        <x:v>HYPERLINK is not implemented. linkLocation=https://365nails.com/products/factory-direct-sales-christmas-fake-nails-manicure-sequined-nails-sticker-press-on-nails-removable-nails-piece-finished-product-wholesale-365nails, friendlyName=Factory direct sales Christmas fake nails manicure sequined nails sticker press on nails removable nails piece finished product wholesale｜365nails</x:v>
      </x:c>
      <x:c r="D2528" s="18" t="str">
        <x:v>color: JP2682</x:v>
      </x:c>
      <x:c r="E2528" s="25" t="str">
        <x:v>$0.97</x:v>
      </x:c>
      <x:c r="F2528" s="19" t="str">
        <x:v>1</x:v>
      </x:c>
    </x:row>
    <x:row r="2529" ht="93" customHeight="1">
      <x:c r="A2529" s="19" t="n">
        <x:v>2526</x:v>
      </x:c>
      <x:c r="B2529" s="22" t="e">
        <x:f>HYPERLINK("https://cdn.shopify.com/s/files/1/0918/6066/4603/files/O1CN01ZGsnMZ2NGHc0VTE9c__4234819935-0-cib.jpg?v=1753430501","Open")</x:f>
        <x:v>HYPERLINK is not implemented. linkLocation=https://cdn.shopify.com/s/files/1/0918/6066/4603/files/O1CN01ZGsnMZ2NGHc0VTE9c__4234819935-0-cib.jpg?v=1753430501, friendlyName=Open</x:v>
      </x:c>
      <x:c r="C2529" s="24" t="e">
        <x:f>HYPERLINK("https://365nails.com/products/nude-orange-french-pearl-press-on-nails-finished-nail-art-patch-false-nail-nail-patch-waterproof-removable-365nails","Nude Orange French Pearl press on nails Finished Nail Art Patch False Nail Nail Patch Waterproof Removable｜365nails")</x:f>
        <x:v>HYPERLINK is not implemented. linkLocation=https://365nails.com/products/nude-orange-french-pearl-press-on-nails-finished-nail-art-patch-false-nail-nail-patch-waterproof-removable-365nails, friendlyName=Nude Orange French Pearl press on nails Finished Nail Art Patch False Nail Nail Patch Waterproof Removable｜365nails</x:v>
      </x:c>
      <x:c r="D2529" s="18" t="str">
        <x:v>color: JP1223</x:v>
      </x:c>
      <x:c r="E2529" s="25" t="str">
        <x:v>$0.70</x:v>
      </x:c>
      <x:c r="F2529" s="19" t="str">
        <x:v>1</x:v>
      </x:c>
    </x:row>
    <x:row r="2530" ht="93" customHeight="1">
      <x:c r="A2530" s="19" t="n">
        <x:v>2527</x:v>
      </x:c>
      <x:c r="B2530" s="22" t="e">
        <x:f>HYPERLINK("https://cdn.shopify.com/s/files/1/0918/6066/4603/files/O1CN01irBs9m2NGHlLduGua__4234819935-0-cib.jpg?v=1753430475","Open")</x:f>
        <x:v>HYPERLINK is not implemented. linkLocation=https://cdn.shopify.com/s/files/1/0918/6066/4603/files/O1CN01irBs9m2NGHlLduGua__4234819935-0-cib.jpg?v=1753430475, friendlyName=Open</x:v>
      </x:c>
      <x:c r="C2530" s="24" t="e">
        <x:f>HYPERLINK("https://365nails.com/products/press-on-fake-nails-piece-matte-orange-gradual-change-nails-piece-wholesale-white-flame-french-press-on-fake-nails-piece-nails-365nails","Press on fake nails piece matte orange gradual change nails piece wholesale white flame French Press on fake nails piece nails｜365nails")</x:f>
        <x:v>HYPERLINK is not implemented. linkLocation=https://365nails.com/products/press-on-fake-nails-piece-matte-orange-gradual-change-nails-piece-wholesale-white-flame-french-press-on-fake-nails-piece-nails-365nails, friendlyName=Press on fake nails piece matte orange gradual change nails piece wholesale white flame French Press on fake nails piece nails｜365nails</x:v>
      </x:c>
      <x:c r="D2530" s="18" t="str">
        <x:v>color: JP2609</x:v>
      </x:c>
      <x:c r="E2530" s="25" t="str">
        <x:v>$0.86</x:v>
      </x:c>
      <x:c r="F2530" s="19" t="str">
        <x:v>1</x:v>
      </x:c>
    </x:row>
    <x:row r="2531" ht="93" customHeight="1">
      <x:c r="A2531" s="19" t="n">
        <x:v>2528</x:v>
      </x:c>
      <x:c r="B2531" s="22" t="e">
        <x:f>HYPERLINK("https://cdn.shopify.com/s/files/1/0918/6066/4603/files/O1CN010pwwvz2NGHlmvBGrr__4234819935-0-cib.jpg?v=1753430424","Open")</x:f>
        <x:v>HYPERLINK is not implemented. linkLocation=https://cdn.shopify.com/s/files/1/0918/6066/4603/files/O1CN010pwwvz2NGHlmvBGrr__4234819935-0-cib.jpg?v=1753430424, friendlyName=Open</x:v>
      </x:c>
      <x:c r="C2531" s="24" t="e">
        <x:f>HYPERLINK("https://365nails.com/products/nails-art-piece-wholesale-white-purple-contrasting-color-silver-glitter-press-onable-nails-sticker-short-fake-nails-patch-nails-piece-finished-product-365nails","nails art piece wholesale white purple contrasting color silver glitter Press onable nails sticker short fake nails patch nails piece finished product｜365nails")</x:f>
        <x:v>HYPERLINK is not implemented. linkLocation=https://365nails.com/products/nails-art-piece-wholesale-white-purple-contrasting-color-silver-glitter-press-onable-nails-sticker-short-fake-nails-patch-nails-piece-finished-product-365nails, friendlyName=nails art piece wholesale white purple contrasting color silver glitter Press onable nails sticker short fake nails patch nails piece finished product｜365nails</x:v>
      </x:c>
      <x:c r="D2531" s="18" t="str">
        <x:v>color: JP2565</x:v>
      </x:c>
      <x:c r="E2531" s="25" t="str">
        <x:v>$0.86</x:v>
      </x:c>
      <x:c r="F2531" s="19" t="str">
        <x:v>1</x:v>
      </x:c>
    </x:row>
    <x:row r="2532" ht="93" customHeight="1">
      <x:c r="A2532" s="19" t="n">
        <x:v>2529</x:v>
      </x:c>
      <x:c r="B2532" s="22" t="e">
        <x:f>HYPERLINK("https://cdn.shopify.com/s/files/1/0918/6066/4603/files/19374674177_2037667256.jpg?v=1753430403","Open")</x:f>
        <x:v>HYPERLINK is not implemented. linkLocation=https://cdn.shopify.com/s/files/1/0918/6066/4603/files/19374674177_2037667256.jpg?v=1753430403, friendlyName=Open</x:v>
      </x:c>
      <x:c r="C2532" s="24" t="e">
        <x:f>HYPERLINK("https://365nails.com/products/spar-cats-eye-long-press-on-nails-art-finished-fake-nail-nail-patch-nail-patch-waterproof-removable-nail-patch-365nails","Spar cat eye Long Press on nails Art Finished    Waterproof ｜365nails")</x:f>
        <x:v>HYPERLINK is not implemented. linkLocation=https://365nails.com/products/spar-cats-eye-long-press-on-nails-art-finished-fake-nail-nail-patch-nail-patch-waterproof-removable-nail-patch-365nails, friendlyName=Spar cat eye Long Press on nails Art Finished    Waterproof ｜365nails</x:v>
      </x:c>
      <x:c r="D2532" s="18" t="str">
        <x:v>color: JP832</x:v>
      </x:c>
      <x:c r="E2532" s="25" t="str">
        <x:v>$1.73</x:v>
      </x:c>
      <x:c r="F2532" s="19" t="str">
        <x:v>1</x:v>
      </x:c>
    </x:row>
    <x:row r="2533" ht="93" customHeight="1">
      <x:c r="A2533" s="19" t="n">
        <x:v>2530</x:v>
      </x:c>
      <x:c r="B2533" s="22" t="e">
        <x:f>HYPERLINK("https://cdn.shopify.com/s/files/1/0918/6066/4603/files/O1CN01jQujpl2NGHbPQaV2B__4234819935-0-cib_c13df42c-0946-4cba-a4e4-c8d4f4cfc762.jpg?v=1753430400","Open")</x:f>
        <x:v>HYPERLINK is not implemented. linkLocation=https://cdn.shopify.com/s/files/1/0918/6066/4603/files/O1CN01jQujpl2NGHbPQaV2B__4234819935-0-cib_c13df42c-0946-4cba-a4e4-c8d4f4cfc762.jpg?v=1753430400, friendlyName=Open</x:v>
      </x:c>
      <x:c r="C2533" s="24" t="e">
        <x:f>HYPERLINK("https://365nails.com/products/summer-charm-deep-red-full-gold-diamond-foot-nail-press-on-nails-art-finished-fake-nail-nail-patch-removable-nail-patch-365nails","Summer Charm Deep Red Full Gold Diamond Foot Nail Press on nails Art Finished Fake Nail Nail Patch Removable Nail Patch｜365nails")</x:f>
        <x:v>HYPERLINK is not implemented. linkLocation=https://365nails.com/products/summer-charm-deep-red-full-gold-diamond-foot-nail-press-on-nails-art-finished-fake-nail-nail-patch-removable-nail-patch-365nails, friendlyName=Summer Charm Deep Red Full Gold Diamond Foot Nail Press on nails Art Finished Fake Nail Nail Patch Removable Nail Patch｜365nails</x:v>
      </x:c>
      <x:c r="D2533" s="18" t="str">
        <x:v>color: JP1185</x:v>
      </x:c>
      <x:c r="E2533" s="25" t="str">
        <x:v>$0.70</x:v>
      </x:c>
      <x:c r="F2533" s="19" t="str">
        <x:v>1</x:v>
      </x:c>
    </x:row>
    <x:row r="2534" ht="93" customHeight="1">
      <x:c r="A2534" s="19" t="n">
        <x:v>2531</x:v>
      </x:c>
      <x:c r="B2534" s="22" t="e">
        <x:f>HYPERLINK("https://cdn.shopify.com/s/files/1/0918/6066/4603/files/O1CN01MVQ9Jr2NGHhsBVNEU__4234819935-0-cib.jpg?v=1753430221","Open")</x:f>
        <x:v>HYPERLINK is not implemented. linkLocation=https://cdn.shopify.com/s/files/1/0918/6066/4603/files/O1CN01MVQ9Jr2NGHhsBVNEU__4234819935-0-cib.jpg?v=1753430221, friendlyName=Open</x:v>
      </x:c>
      <x:c r="C2534" s="24" t="e">
        <x:f>HYPERLINK("https://365nails.com/products/nails-piece-press-on-nails-red-short-nails-smudge-bow-pearl-press-on-nails-piece-wholesale-removable-nails-piece-365nails","nails piece Press on nails red short nails smudge bow pearl Press on nails piece Wholesale removable nails piece｜365nails")</x:f>
        <x:v>HYPERLINK is not implemented. linkLocation=https://365nails.com/products/nails-piece-press-on-nails-red-short-nails-smudge-bow-pearl-press-on-nails-piece-wholesale-removable-nails-piece-365nails, friendlyName=nails piece Press on nails red short nails smudge bow pearl Press on nails piece Wholesale removable nails piece｜365nails</x:v>
      </x:c>
      <x:c r="D2534" s="18" t="str">
        <x:v>color: JP1116</x:v>
      </x:c>
      <x:c r="E2534" s="25" t="str">
        <x:v>$1.03</x:v>
      </x:c>
      <x:c r="F2534" s="19" t="str">
        <x:v>1</x:v>
      </x:c>
    </x:row>
    <x:row r="2535" ht="93" customHeight="1">
      <x:c r="A2535" s="19" t="n">
        <x:v>2532</x:v>
      </x:c>
      <x:c r="B2535" s="22" t="e">
        <x:f>HYPERLINK("https://cdn.shopify.com/s/files/1/0918/6066/4603/files/O1CN01ML6uVV2NGHgEeD1M2__4234819935-0-cib.jpg?v=1753430127","Open")</x:f>
        <x:v>HYPERLINK is not implemented. linkLocation=https://cdn.shopify.com/s/files/1/0918/6066/4603/files/O1CN01ML6uVV2NGHgEeD1M2__4234819935-0-cib.jpg?v=1753430127, friendlyName=Open</x:v>
      </x:c>
      <x:c r="C2535" s="24" t="e">
        <x:f>HYPERLINK("https://365nails.com/products/press-on-nails-pads-pink-love-nails-pads-press-on-nails-pads-wholesale-nails-pads-finished-products-detachable-nails-pads-press-on-nails-pads-365nails","press on nails pads Pink love nails pads press on nails pads Wholesale nails pads Finished products Detachable nails pads, press on nails pads｜365nails")</x:f>
        <x:v>HYPERLINK is not implemented. linkLocation=https://365nails.com/products/press-on-nails-pads-pink-love-nails-pads-press-on-nails-pads-wholesale-nails-pads-finished-products-detachable-nails-pads-press-on-nails-pads-365nails, friendlyName=press on nails pads Pink love nails pads press on nails pads Wholesale nails pads Finished products Detachable nails pads, press on nails pads｜365nails</x:v>
      </x:c>
      <x:c r="D2535" s="18" t="str">
        <x:v>color: JP1785</x:v>
      </x:c>
      <x:c r="E2535" s="25" t="str">
        <x:v>$0.70</x:v>
      </x:c>
      <x:c r="F2535" s="19" t="str">
        <x:v>1</x:v>
      </x:c>
    </x:row>
    <x:row r="2536" ht="93" customHeight="1">
      <x:c r="A2536" s="19" t="n">
        <x:v>2533</x:v>
      </x:c>
      <x:c r="B2536" s="22" t="e">
        <x:f>HYPERLINK("https://cdn.shopify.com/s/files/1/0918/6066/4603/files/O1CN01mbSuiH2NGHfABTxMP__4234819935-0-cib.jpg?v=1753430050","Open")</x:f>
        <x:v>HYPERLINK is not implemented. linkLocation=https://cdn.shopify.com/s/files/1/0918/6066/4603/files/O1CN01mbSuiH2NGHfABTxMP__4234819935-0-cib.jpg?v=1753430050, friendlyName=Open</x:v>
      </x:c>
      <x:c r="C2536" s="24" t="e">
        <x:f>HYPERLINK("https://365nails.com/products/bare-powder-foot-nails-black-and-white-lines-press-on-nails-nails-piece-wholesale-fake-nails-nails-piece-removable-press-on-nails-piece-365nails","Bare powder foot nails, black and white lines, press on nails, nails piece, wholesale fake nails, nails piece, removable press on nails piece｜365nails")</x:f>
        <x:v>HYPERLINK is not implemented. linkLocation=https://365nails.com/products/bare-powder-foot-nails-black-and-white-lines-press-on-nails-nails-piece-wholesale-fake-nails-nails-piece-removable-press-on-nails-piece-365nails, friendlyName=Bare powder foot nails, black and white lines, press on nails, nails piece, wholesale fake nails, nails piece, removable press on nails piece｜365nails</x:v>
      </x:c>
      <x:c r="D2536" s="18" t="str">
        <x:v>color: JP1673</x:v>
      </x:c>
      <x:c r="E2536" s="25" t="str">
        <x:v>$0.76</x:v>
      </x:c>
      <x:c r="F2536" s="19" t="str">
        <x:v>1</x:v>
      </x:c>
    </x:row>
    <x:row r="2537" ht="93" customHeight="1">
      <x:c r="A2537" s="19" t="n">
        <x:v>2534</x:v>
      </x:c>
      <x:c r="B2537" s="22" t="e">
        <x:f>HYPERLINK("https://cdn.shopify.com/s/files/1/0918/6066/4603/files/O1CN01EDty0F2NGHhJIXfy8__4234819935-0-cib.jpg?v=1753430047","Open")</x:f>
        <x:v>HYPERLINK is not implemented. linkLocation=https://cdn.shopify.com/s/files/1/0918/6066/4603/files/O1CN01EDty0F2NGHhJIXfy8__4234819935-0-cib.jpg?v=1753430047, friendlyName=Open</x:v>
      </x:c>
      <x:c r="C2537" s="24" t="e">
        <x:f>HYPERLINK("https://365nails.com/products/press-on-nails-art-simple-french-gold-powder-cross-border-nails-patch-advanced-press-on-nails-press-on-nails-removable-nails-patch-365nails","press on nails Art Simple French Gold Powder  nails Patch Advanced press on nails press on nails Removable nails Patch｜365nails")</x:f>
        <x:v>HYPERLINK is not implemented. linkLocation=https://365nails.com/products/press-on-nails-art-simple-french-gold-powder-cross-border-nails-patch-advanced-press-on-nails-press-on-nails-removable-nails-patch-365nails, friendlyName=press on nails Art Simple French Gold Powder  nails Patch Advanced press on nails press on nails Removable nails Patch｜365nails</x:v>
      </x:c>
      <x:c r="D2537" s="18" t="str">
        <x:v>color: JP1755</x:v>
      </x:c>
      <x:c r="E2537" s="25" t="str">
        <x:v>$0.70</x:v>
      </x:c>
      <x:c r="F2537" s="19" t="str">
        <x:v>1</x:v>
      </x:c>
    </x:row>
    <x:row r="2538" ht="93" customHeight="1">
      <x:c r="A2538" s="19" t="n">
        <x:v>2535</x:v>
      </x:c>
      <x:c r="B2538" s="22" t="e">
        <x:f>HYPERLINK("https://cdn.shopify.com/s/files/1/0918/6066/4603/files/O1CN01piNHf12NGHh7jjhQ8__4234819935-0-cib.jpg?v=1753430025","Open")</x:f>
        <x:v>HYPERLINK is not implemented. linkLocation=https://cdn.shopify.com/s/files/1/0918/6066/4603/files/O1CN01piNHf12NGHh7jjhQ8__4234819935-0-cib.jpg?v=1753430025, friendlyName=Open</x:v>
      </x:c>
      <x:c r="C2538" s="24" t="e">
        <x:f>HYPERLINK("https://365nails.com/products/nails-art-press-on-nails-wholesale-simple-red-edge-french-christmas-tree-stars-fake-nails-sheets-wholesale-nails-sheets-365nails","nails Art Press on nails Wholesale Simple Red Edge French Christmas Tree Stars Fake nails Sheets Wholesale nails Sheets｜365nails")</x:f>
        <x:v>HYPERLINK is not implemented. linkLocation=https://365nails.com/products/nails-art-press-on-nails-wholesale-simple-red-edge-french-christmas-tree-stars-fake-nails-sheets-wholesale-nails-sheets-365nails, friendlyName=nails Art Press on nails Wholesale Simple Red Edge French Christmas Tree Stars Fake nails Sheets Wholesale nails Sheets｜365nails</x:v>
      </x:c>
      <x:c r="D2538" s="18" t="str">
        <x:v>color: JP1888</x:v>
      </x:c>
      <x:c r="E2538" s="25" t="str">
        <x:v>$0.94</x:v>
      </x:c>
      <x:c r="F2538" s="19" t="str">
        <x:v>1</x:v>
      </x:c>
    </x:row>
    <x:row r="2539" ht="93" customHeight="1">
      <x:c r="A2539" s="19" t="n">
        <x:v>2536</x:v>
      </x:c>
      <x:c r="B2539" s="22" t="e">
        <x:f>HYPERLINK("https://cdn.shopify.com/s/files/1/0918/6066/4603/files/O1CN01vAR4r42NGHcQee9zh__4234819935-0-cib.jpg?v=1753429995","Open")</x:f>
        <x:v>HYPERLINK is not implemented. linkLocation=https://cdn.shopify.com/s/files/1/0918/6066/4603/files/O1CN01vAR4r42NGHcQee9zh__4234819935-0-cib.jpg?v=1753429995, friendlyName=Open</x:v>
      </x:c>
      <x:c r="C2539" s="24" t="e">
        <x:f>HYPERLINK("https://365nails.com/products/rock-sugar-bear-cute-press-on-finished-fake-nail-factory-pin-nail-removable-nail-365nails","Rock Sugar Bear Cute Press on  Finished Fake Nail   Factory Pin Nail  Removable Nail ｜365nails")</x:f>
        <x:v>HYPERLINK is not implemented. linkLocation=https://365nails.com/products/rock-sugar-bear-cute-press-on-finished-fake-nail-factory-pin-nail-removable-nail-365nails, friendlyName=Rock Sugar Bear Cute Press on  Finished Fake Nail   Factory Pin Nail  Removable Nail ｜365nails</x:v>
      </x:c>
      <x:c r="D2539" s="18" t="str">
        <x:v>color: JP1323</x:v>
      </x:c>
      <x:c r="E2539" s="25" t="str">
        <x:v>$1.05</x:v>
      </x:c>
      <x:c r="F2539" s="19" t="str">
        <x:v>1</x:v>
      </x:c>
    </x:row>
    <x:row r="2540" ht="93" customHeight="1">
      <x:c r="A2540" s="19" t="n">
        <x:v>2537</x:v>
      </x:c>
      <x:c r="B2540" s="22" t="e">
        <x:f>HYPERLINK("https://cdn.shopify.com/s/files/1/0918/6066/4603/files/O1CN019SC5vI2NGHcwsUCqn__4234819935-0-cib.jpg?v=1753429992","Open")</x:f>
        <x:v>HYPERLINK is not implemented. linkLocation=https://cdn.shopify.com/s/files/1/0918/6066/4603/files/O1CN019SC5vI2NGHcwsUCqn__4234819935-0-cib.jpg?v=1753429992, friendlyName=Open</x:v>
      </x:c>
      <x:c r="C2540" s="24" t="e">
        <x:f>HYPERLINK("https://365nails.com/products/raspberry-bow-cute-press-on-finished-fake-nail-nail-removable-nail-piece-365nails","Raspberry bow cute Press on  finished fake nail   nail  removable nail piece｜365nails")</x:f>
        <x:v>HYPERLINK is not implemented. linkLocation=https://365nails.com/products/raspberry-bow-cute-press-on-finished-fake-nail-nail-removable-nail-piece-365nails, friendlyName=Raspberry bow cute Press on  finished fake nail   nail  removable nail piece｜365nails</x:v>
      </x:c>
      <x:c r="D2540" s="18" t="str">
        <x:v>color: JP1367</x:v>
      </x:c>
      <x:c r="E2540" s="25" t="str">
        <x:v>$1.03</x:v>
      </x:c>
      <x:c r="F2540" s="19" t="str">
        <x:v>1</x:v>
      </x:c>
    </x:row>
    <x:row r="2541" ht="93" customHeight="1">
      <x:c r="A2541" s="19" t="n">
        <x:v>2538</x:v>
      </x:c>
      <x:c r="B2541" s="22" t="e">
        <x:f>HYPERLINK("https://cdn.shopify.com/s/files/1/0918/6066/4603/files/O1CN01WPnbDW2NGHdRz4ST7__4234819935-0-cib.jpg?v=1753429979","Open")</x:f>
        <x:v>HYPERLINK is not implemented. linkLocation=https://cdn.shopify.com/s/files/1/0918/6066/4603/files/O1CN01WPnbDW2NGHdRz4ST7__4234819935-0-cib.jpg?v=1753429979, friendlyName=Open</x:v>
      </x:c>
      <x:c r="C2541" s="24" t="e">
        <x:f>HYPERLINK("https://365nails.com/products/abstract-face-series-press-on-nails-graffiti-color-block-line-nail-nail-press-on-nails-wholesale-365nails","Abstract Face Series Press on nails Graffiti Color Block  Line Nail  Nail  Press on nails Wholesale｜365nails")</x:f>
        <x:v>HYPERLINK is not implemented. linkLocation=https://365nails.com/products/abstract-face-series-press-on-nails-graffiti-color-block-line-nail-nail-press-on-nails-wholesale-365nails, friendlyName=Abstract Face Series Press on nails Graffiti Color Block  Line Nail  Nail  Press on nails Wholesale｜365nails</x:v>
      </x:c>
      <x:c r="D2541" s="18" t="str">
        <x:v>color: JP1433</x:v>
      </x:c>
      <x:c r="E2541" s="25" t="str">
        <x:v>$0.94</x:v>
      </x:c>
      <x:c r="F2541" s="19" t="str">
        <x:v>1</x:v>
      </x:c>
    </x:row>
    <x:row r="2542" ht="93" customHeight="1">
      <x:c r="A2542" s="19" t="n">
        <x:v>2539</x:v>
      </x:c>
      <x:c r="B2542" s="22" t="e">
        <x:f>HYPERLINK("https://cdn.shopify.com/s/files/1/0918/6066/4603/files/O1CN01ZmiDqJ2NGHdFPptGT__4234819935-0-cib.jpg?v=1753429985","Open")</x:f>
        <x:v>HYPERLINK is not implemented. linkLocation=https://cdn.shopify.com/s/files/1/0918/6066/4603/files/O1CN01ZmiDqJ2NGHdFPptGT__4234819935-0-cib.jpg?v=1753429985, friendlyName=Open</x:v>
      </x:c>
      <x:c r="C2542" s="24" t="e">
        <x:f>HYPERLINK("https://365nails.com/products/mung-bean-yellow-short-press-on-nails-graffiti-contrasting-nail-pieces-press-on-wholesale-fake-nail-nails-365nails","Mung bean yellow short Press on nails graffiti  contrasting nail pieces  Press on  wholesale fake nail nails｜365nails")</x:f>
        <x:v>HYPERLINK is not implemented. linkLocation=https://365nails.com/products/mung-bean-yellow-short-press-on-nails-graffiti-contrasting-nail-pieces-press-on-wholesale-fake-nail-nails-365nails, friendlyName=Mung bean yellow short Press on nails graffiti  contrasting nail pieces  Press on  wholesale fake nail nails｜365nails</x:v>
      </x:c>
      <x:c r="D2542" s="18" t="str">
        <x:v>color: JP1441</x:v>
      </x:c>
      <x:c r="E2542" s="25" t="str">
        <x:v>$0.70</x:v>
      </x:c>
      <x:c r="F2542" s="19" t="str">
        <x:v>1</x:v>
      </x:c>
    </x:row>
    <x:row r="2543" ht="93" customHeight="1">
      <x:c r="A2543" s="19" t="n">
        <x:v>2540</x:v>
      </x:c>
      <x:c r="B2543" s="22" t="e">
        <x:f>HYPERLINK("https://cdn.shopify.com/s/files/1/0918/6066/4603/files/O1CN01HULWRA2NGHdOMeZeu__4234819935-0-cib.jpg?v=1753429962","Open")</x:f>
        <x:v>HYPERLINK is not implemented. linkLocation=https://cdn.shopify.com/s/files/1/0918/6066/4603/files/O1CN01HULWRA2NGHdOMeZeu__4234819935-0-cib.jpg?v=1753429962, friendlyName=Open</x:v>
      </x:c>
      <x:c r="C2543" s="24" t="e">
        <x:f>HYPERLINK("https://365nails.com/products/taoxin-series-square-sweetheart-brand-press-on-nails-valentines-day-temperament-piece-finished-piece-removable-365nails","Taoxin series square sweetheart brand Press on nails Valentine's Day  temperament  piece finished  piece, removable｜365nails")</x:f>
        <x:v>HYPERLINK is not implemented. linkLocation=https://365nails.com/products/taoxin-series-square-sweetheart-brand-press-on-nails-valentines-day-temperament-piece-finished-piece-removable-365nails, friendlyName=Taoxin series square sweetheart brand Press on nails Valentine's Day  temperament  piece finished  piece, removable｜365nails</x:v>
      </x:c>
      <x:c r="D2543" s="18" t="str">
        <x:v>color: JP 1432</x:v>
      </x:c>
      <x:c r="E2543" s="25" t="str">
        <x:v>$1.11</x:v>
      </x:c>
      <x:c r="F2543" s="19" t="str">
        <x:v>1</x:v>
      </x:c>
    </x:row>
    <x:row r="2544" ht="93" customHeight="1">
      <x:c r="A2544" s="19" t="n">
        <x:v>2541</x:v>
      </x:c>
      <x:c r="B2544" s="22" t="e">
        <x:f>HYPERLINK("https://cdn.shopify.com/s/files/1/0918/6066/4603/files/O1CN01RIqSHS2NGHfVyGSS9__4234819935-0-cib.jpg?v=1753429966","Open")</x:f>
        <x:v>HYPERLINK is not implemented. linkLocation=https://cdn.shopify.com/s/files/1/0918/6066/4603/files/O1CN01RIqSHS2NGHfVyGSS9__4234819935-0-cib.jpg?v=1753429966, friendlyName=Open</x:v>
      </x:c>
      <x:c r="C2544" s="24" t="e">
        <x:f>HYPERLINK("https://365nails.com/products/yellow-french-star-wholesale-press-onable-false-nail-false-nail-nail-365nails","Yellow French Star  Wholesale Press onable  False Nail   False Nail Nail｜365nails")</x:f>
        <x:v>HYPERLINK is not implemented. linkLocation=https://365nails.com/products/yellow-french-star-wholesale-press-onable-false-nail-false-nail-nail-365nails, friendlyName=Yellow French Star  Wholesale Press onable  False Nail   False Nail Nail｜365nails</x:v>
      </x:c>
      <x:c r="D2544" s="18" t="str">
        <x:v>color: JP1608</x:v>
      </x:c>
      <x:c r="E2544" s="25" t="str">
        <x:v>$0.70</x:v>
      </x:c>
      <x:c r="F2544" s="19" t="str">
        <x:v>1</x:v>
      </x:c>
    </x:row>
    <x:row r="2545" ht="93" customHeight="1">
      <x:c r="A2545" s="19" t="n">
        <x:v>2542</x:v>
      </x:c>
      <x:c r="B2545" s="22" t="e">
        <x:f>HYPERLINK("https://cdn.shopify.com/s/files/1/0918/6066/4603/files/O1CN01IDI0oE2NGHcUhIfmP__4234819935-0-cib.jpg?v=1753429956","Open")</x:f>
        <x:v>HYPERLINK is not implemented. linkLocation=https://cdn.shopify.com/s/files/1/0918/6066/4603/files/O1CN01IDI0oE2NGHcUhIfmP__4234819935-0-cib.jpg?v=1753429956, friendlyName=Open</x:v>
      </x:c>
      <x:c r="C2545" s="24" t="e">
        <x:f>HYPERLINK("https://365nails.com/products/milk-coffee-leopard-print-contrasting-color-press-on-finished-fake-nail-nail-waterproof-removable-nail-piece-365nails","Milk coffee leopard print contrasting color Press on  finished fake nail   nail  waterproof removable nail piece｜365nails")</x:f>
        <x:v>HYPERLINK is not implemented. linkLocation=https://365nails.com/products/milk-coffee-leopard-print-contrasting-color-press-on-finished-fake-nail-nail-waterproof-removable-nail-piece-365nails, friendlyName=Milk coffee leopard print contrasting color Press on  finished fake nail   nail  waterproof removable nail piece｜365nails</x:v>
      </x:c>
      <x:c r="D2545" s="18" t="str">
        <x:v>color: JP1363</x:v>
      </x:c>
      <x:c r="E2545" s="25" t="str">
        <x:v>$0.76</x:v>
      </x:c>
      <x:c r="F2545" s="19" t="str">
        <x:v>1</x:v>
      </x:c>
    </x:row>
    <x:row r="2546" ht="93" customHeight="1">
      <x:c r="A2546" s="19" t="n">
        <x:v>2543</x:v>
      </x:c>
      <x:c r="B2546" s="22" t="e">
        <x:f>HYPERLINK("https://cdn.shopify.com/s/files/1/0918/6066/4603/files/O1CN01P12nsN2NGHcTZwNI6__4234819935-0-cib.jpg?v=1753429953","Open")</x:f>
        <x:v>HYPERLINK is not implemented. linkLocation=https://cdn.shopify.com/s/files/1/0918/6066/4603/files/O1CN01P12nsN2NGHcTZwNI6__4234819935-0-cib.jpg?v=1753429953, friendlyName=Open</x:v>
      </x:c>
      <x:c r="C2546" s="24" t="e">
        <x:f>HYPERLINK("https://365nails.com/products/cute-bear-peach-heart-bow-press-on-finished-fake-nail-nail-removable-nail-365nails","Cute Bear Peach Heart Bow Press on  Finished Fake Nail   Nail  Removable Nail ｜365nails")</x:f>
        <x:v>HYPERLINK is not implemented. linkLocation=https://365nails.com/products/cute-bear-peach-heart-bow-press-on-finished-fake-nail-nail-removable-nail-365nails, friendlyName=Cute Bear Peach Heart Bow Press on  Finished Fake Nail   Nail  Removable Nail ｜365nails</x:v>
      </x:c>
      <x:c r="D2546" s="18" t="str">
        <x:v>color: JP1378</x:v>
      </x:c>
      <x:c r="E2546" s="25" t="str">
        <x:v>$1.03</x:v>
      </x:c>
      <x:c r="F2546" s="19" t="str">
        <x:v>1</x:v>
      </x:c>
    </x:row>
    <x:row r="2547" ht="93" customHeight="1">
      <x:c r="A2547" s="19" t="n">
        <x:v>2544</x:v>
      </x:c>
      <x:c r="B2547" s="22" t="e">
        <x:f>HYPERLINK("https://cdn.shopify.com/s/files/1/0918/6066/4603/files/O1CN01H1Zikj2NGHfGhf0m3__4234819935-0-cib.jpg?v=1753429952","Open")</x:f>
        <x:v>HYPERLINK is not implemented. linkLocation=https://cdn.shopify.com/s/files/1/0918/6066/4603/files/O1CN01H1Zikj2NGHfGhf0m3__4234819935-0-cib.jpg?v=1753429952, friendlyName=Open</x:v>
      </x:c>
      <x:c r="C2547" s="24" t="e">
        <x:f>HYPERLINK("https://365nails.com/products/green-french-press-onable-nail-nail-nail-removable-nail-365nails","Green French Press onable Nail  Nail  Nail  Removable Nail｜365nails")</x:f>
        <x:v>HYPERLINK is not implemented. linkLocation=https://365nails.com/products/green-french-press-onable-nail-nail-nail-removable-nail-365nails, friendlyName=Green French Press onable Nail  Nail  Nail  Removable Nail｜365nails</x:v>
      </x:c>
      <x:c r="D2547" s="18" t="str">
        <x:v>color: JP1562</x:v>
      </x:c>
      <x:c r="E2547" s="25" t="str">
        <x:v>$0.88</x:v>
      </x:c>
      <x:c r="F2547" s="19" t="str">
        <x:v>1</x:v>
      </x:c>
    </x:row>
    <x:row r="2548" ht="93" customHeight="1">
      <x:c r="A2548" s="19" t="n">
        <x:v>2545</x:v>
      </x:c>
      <x:c r="B2548" s="22" t="e">
        <x:f>HYPERLINK("https://cdn.shopify.com/s/files/1/0918/6066/4603/files/O1CN01FVvFev2NGHcOUJwpV__4234819935-0-cib.jpg?v=1753429945","Open")</x:f>
        <x:v>HYPERLINK is not implemented. linkLocation=https://cdn.shopify.com/s/files/1/0918/6066/4603/files/O1CN01FVvFev2NGHcOUJwpV__4234819935-0-cib.jpg?v=1753429945, friendlyName=Open</x:v>
      </x:c>
      <x:c r="C2548" s="24" t="e">
        <x:f>HYPERLINK("https://365nails.com/products/rock-sugar-red-bear-cute-wind-press-on-finished-fake-nail-nail-removable-nail-365nails","Rock Sugar Red Bear Cute Wind Press on  Finished Fake Nail   Nail  Removable Nail ｜365nails")</x:f>
        <x:v>HYPERLINK is not implemented. linkLocation=https://365nails.com/products/rock-sugar-red-bear-cute-wind-press-on-finished-fake-nail-nail-removable-nail-365nails, friendlyName=Rock Sugar Red Bear Cute Wind Press on  Finished Fake Nail   Nail  Removable Nail ｜365nails</x:v>
      </x:c>
      <x:c r="D2548" s="18" t="str">
        <x:v>color: JP1323</x:v>
      </x:c>
      <x:c r="E2548" s="25" t="str">
        <x:v>$1.08</x:v>
      </x:c>
      <x:c r="F2548" s="19" t="str">
        <x:v>1</x:v>
      </x:c>
    </x:row>
    <x:row r="2549" ht="93" customHeight="1">
      <x:c r="A2549" s="19" t="n">
        <x:v>2546</x:v>
      </x:c>
      <x:c r="B2549" s="22" t="e">
        <x:f>HYPERLINK("https://cdn.shopify.com/s/files/1/0918/6066/4603/files/O1CN01w01hv82NGHc3d1mLy__4234819935-0-cib.jpg?v=1753429942","Open")</x:f>
        <x:v>HYPERLINK is not implemented. linkLocation=https://cdn.shopify.com/s/files/1/0918/6066/4603/files/O1CN01w01hv82NGHc3d1mLy__4234819935-0-cib.jpg?v=1753429942, friendlyName=Open</x:v>
      </x:c>
      <x:c r="C2549" s="24" t="e">
        <x:f>HYPERLINK("https://365nails.com/products/premium-blue-grey-jelly-press-on-finished-fake-nail-nail-waterproof-removable-nail-365nails","Premium Blue Grey Jelly Press on  Finished Fake Nail   Nail  Waterproof Removable Nail ｜365nails")</x:f>
        <x:v>HYPERLINK is not implemented. linkLocation=https://365nails.com/products/premium-blue-grey-jelly-press-on-finished-fake-nail-nail-waterproof-removable-nail-365nails, friendlyName=Premium Blue Grey Jelly Press on  Finished Fake Nail   Nail  Waterproof Removable Nail ｜365nails</x:v>
      </x:c>
      <x:c r="D2549" s="18" t="str">
        <x:v>color: JP1091</x:v>
      </x:c>
      <x:c r="E2549" s="25" t="str">
        <x:v>$0.70</x:v>
      </x:c>
      <x:c r="F2549" s="19" t="str">
        <x:v>1</x:v>
      </x:c>
    </x:row>
    <x:row r="2550" ht="93" customHeight="1">
      <x:c r="A2550" s="19" t="n">
        <x:v>2547</x:v>
      </x:c>
      <x:c r="B2550" s="22" t="e">
        <x:f>HYPERLINK("https://cdn.shopify.com/s/files/1/0918/6066/4603/files/O1CN01fNE7lf2NGHbVITYQ5__4234819935-0-cib.jpg?v=1753429895","Open")</x:f>
        <x:v>HYPERLINK is not implemented. linkLocation=https://cdn.shopify.com/s/files/1/0918/6066/4603/files/O1CN01fNE7lf2NGHbVITYQ5__4234819935-0-cib.jpg?v=1753429895, friendlyName=Open</x:v>
      </x:c>
      <x:c r="C2550" s="24" t="e">
        <x:f>HYPERLINK("https://365nails.com/products/cream-coffee-press-on-finished-fake-nail-nail-removable-nail-nail-removable-nail-365nails","Cream Coffee Press on  Finished Fake Nail Nail  Removable Nail  Nail  Removable Nail｜365nails")</x:f>
        <x:v>HYPERLINK is not implemented. linkLocation=https://365nails.com/products/cream-coffee-press-on-finished-fake-nail-nail-removable-nail-nail-removable-nail-365nails, friendlyName=Cream Coffee Press on  Finished Fake Nail Nail  Removable Nail  Nail  Removable Nail｜365nails</x:v>
      </x:c>
      <x:c r="D2550" s="18" t="str">
        <x:v>color: JP1222</x:v>
      </x:c>
      <x:c r="E2550" s="25" t="str">
        <x:v>$0.76</x:v>
      </x:c>
      <x:c r="F2550" s="19" t="str">
        <x:v>1</x:v>
      </x:c>
    </x:row>
    <x:row r="2551" ht="93" customHeight="1">
      <x:c r="A2551" s="19" t="n">
        <x:v>2548</x:v>
      </x:c>
      <x:c r="B2551" s="22" t="e">
        <x:f>HYPERLINK("https://cdn.shopify.com/s/files/1/0918/6066/4603/files/O1CN01GU43jk2NGHep8dX9R__4234819935-0-cib.jpg?v=1753429912","Open")</x:f>
        <x:v>HYPERLINK is not implemented. linkLocation=https://cdn.shopify.com/s/files/1/0918/6066/4603/files/O1CN01GU43jk2NGHep8dX9R__4234819935-0-cib.jpg?v=1753429912, friendlyName=Open</x:v>
      </x:c>
      <x:c r="C2551" s="24" t="e">
        <x:f>HYPERLINK("https://365nails.com/products/fake-nail-nail-white-french-nail-meat-pink-nail-false-nail-foreign-trade-direct-supply-365nails","Fak nail nail  whit Frnch nail mat pink nail  fals nail   dirct supply｜365nails")</x:f>
        <x:v>HYPERLINK is not implemented. linkLocation=https://365nails.com/products/fake-nail-nail-white-french-nail-meat-pink-nail-false-nail-foreign-trade-direct-supply-365nails, friendlyName=Fak nail nail  whit Frnch nail mat pink nail  fals nail   dirct supply｜365nails</x:v>
      </x:c>
      <x:c r="D2551" s="18" t="str">
        <x:v>color: JP1557</x:v>
      </x:c>
      <x:c r="E2551" s="25" t="str">
        <x:v>$0.86</x:v>
      </x:c>
      <x:c r="F2551" s="19" t="str">
        <x:v>1</x:v>
      </x:c>
    </x:row>
    <x:row r="2552" ht="93" customHeight="1">
      <x:c r="A2552" s="19" t="n">
        <x:v>2549</x:v>
      </x:c>
      <x:c r="B2552" s="22" t="e">
        <x:f>HYPERLINK("https://cdn.shopify.com/s/files/1/0918/6066/4603/files/O1CN017gMGzj2NGHb5iJIb7__4234819935-0-cib.jpg?v=1753429907","Open")</x:f>
        <x:v>HYPERLINK is not implemented. linkLocation=https://cdn.shopify.com/s/files/1/0918/6066/4603/files/O1CN017gMGzj2NGHb5iJIb7__4234819935-0-cib.jpg?v=1753429907, friendlyName=Open</x:v>
      </x:c>
      <x:c r="C2552" s="24" t="e">
        <x:f>HYPERLINK("https://365nails.com/products/purple-polka-dot-strawberry-butterfly-short-press-on-finished-fake-nail-nail-film-removable-nail-film-365nails","Purple Polka Dot Strawberry Butterfly Short Press on  Finished Fake Nail   Nail Film Removable Nail Film｜365nails")</x:f>
        <x:v>HYPERLINK is not implemented. linkLocation=https://365nails.com/products/purple-polka-dot-strawberry-butterfly-short-press-on-finished-fake-nail-nail-film-removable-nail-film-365nails, friendlyName=Purple Polka Dot Strawberry Butterfly Short Press on  Finished Fake Nail   Nail Film Removable Nail Film｜365nails</x:v>
      </x:c>
      <x:c r="D2552" s="18" t="str">
        <x:v>color: JP1073</x:v>
      </x:c>
      <x:c r="E2552" s="25" t="str">
        <x:v>$1.03</x:v>
      </x:c>
      <x:c r="F2552" s="19" t="str">
        <x:v>1</x:v>
      </x:c>
    </x:row>
    <x:row r="2553" ht="93" customHeight="1">
      <x:c r="A2553" s="19" t="n">
        <x:v>2550</x:v>
      </x:c>
      <x:c r="B2553" s="22" t="e">
        <x:f>HYPERLINK("https://cdn.shopify.com/s/files/1/0918/6066/4603/files/O1CN01lqWcbH2NGHbeWdg1l__4234819935-0-cib.jpg?v=1753429886","Open")</x:f>
        <x:v>HYPERLINK is not implemented. linkLocation=https://cdn.shopify.com/s/files/1/0918/6066/4603/files/O1CN01lqWcbH2NGHbeWdg1l__4234819935-0-cib.jpg?v=1753429886, friendlyName=Open</x:v>
      </x:c>
      <x:c r="C2553" s="24" t="e">
        <x:f>HYPERLINK("https://365nails.com/products/milk-orange-leopard-print-short-fake-nail-manicure-nail-press-on-finished-removable-nail-piece-for-nail-365nails","Milk orange leopard print short fake nail manicure  nail  Press on  finished removable nail piece for nail｜365nails")</x:f>
        <x:v>HYPERLINK is not implemented. linkLocation=https://365nails.com/products/milk-orange-leopard-print-short-fake-nail-manicure-nail-press-on-finished-removable-nail-piece-for-nail-365nails, friendlyName=Milk orange leopard print short fake nail manicure  nail  Press on  finished removable nail piece for nail｜365nails</x:v>
      </x:c>
      <x:c r="D2553" s="18" t="str">
        <x:v>color: JP1138</x:v>
      </x:c>
      <x:c r="E2553" s="25" t="str">
        <x:v>$0.70</x:v>
      </x:c>
      <x:c r="F2553" s="19" t="str">
        <x:v>1</x:v>
      </x:c>
    </x:row>
    <x:row r="2554" ht="93" customHeight="1">
      <x:c r="A2554" s="19" t="n">
        <x:v>2551</x:v>
      </x:c>
      <x:c r="B2554" s="22" t="e">
        <x:f>HYPERLINK("https://cdn.shopify.com/s/files/1/0918/6066/4603/files/O1CN01cGemWg2NGHbVZKIwz__4234819935-0-cib.jpg?v=1753429877","Open")</x:f>
        <x:v>HYPERLINK is not implemented. linkLocation=https://cdn.shopify.com/s/files/1/0918/6066/4603/files/O1CN01cGemWg2NGHbVZKIwz__4234819935-0-cib.jpg?v=1753429877, friendlyName=Open</x:v>
      </x:c>
      <x:c r="C2554" s="24" t="e">
        <x:f>HYPERLINK("https://365nails.com/products/lemonade-summer-press-on-nails-finished-fake-nail-nail-nail-false-nail-nail-365nails","Lemonade Summer Press on nails Finished Fake Nail Nail  Nail  False nail  Nail ｜365nails")</x:f>
        <x:v>HYPERLINK is not implemented. linkLocation=https://365nails.com/products/lemonade-summer-press-on-nails-finished-fake-nail-nail-nail-false-nail-nail-365nails, friendlyName=Lemonade Summer Press on nails Finished Fake Nail Nail  Nail  False nail  Nail ｜365nails</x:v>
      </x:c>
      <x:c r="D2554" s="18" t="str">
        <x:v>color: JP1190</x:v>
      </x:c>
      <x:c r="E2554" s="25" t="str">
        <x:v>$0.82</x:v>
      </x:c>
      <x:c r="F2554" s="19" t="str">
        <x:v>1</x:v>
      </x:c>
    </x:row>
    <x:row r="2555" ht="93" customHeight="1">
      <x:c r="A2555" s="19" t="n">
        <x:v>2552</x:v>
      </x:c>
      <x:c r="B2555" s="22" t="e">
        <x:f>HYPERLINK("https://cdn.shopify.com/s/files/1/0918/6066/4603/files/O1CN010TmUrA2NGHbRhO1o8__4234819935-0-cib.jpg?v=1753429880","Open")</x:f>
        <x:v>HYPERLINK is not implemented. linkLocation=https://cdn.shopify.com/s/files/1/0918/6066/4603/files/O1CN010TmUrA2NGHbRhO1o8__4234819935-0-cib.jpg?v=1753429880, friendlyName=Open</x:v>
      </x:c>
      <x:c r="C2555" s="24" t="e">
        <x:f>HYPERLINK("https://365nails.com/products/dead-leaf-yellow-french-for-press-on-finished-fake-nail-nail-nail-false-nail-365nails","Dead leaf yellow French  for Press on, finished , fake nail, nail , nail , false nail.｜365nails")</x:f>
        <x:v>HYPERLINK is not implemented. linkLocation=https://365nails.com/products/dead-leaf-yellow-french-for-press-on-finished-fake-nail-nail-nail-false-nail-365nails, friendlyName=Dead leaf yellow French  for Press on, finished , fake nail, nail , nail , false nail.｜365nails</x:v>
      </x:c>
      <x:c r="D2555" s="18" t="str">
        <x:v>color: JP1090</x:v>
      </x:c>
      <x:c r="E2555" s="25" t="str">
        <x:v>$0.70</x:v>
      </x:c>
      <x:c r="F2555" s="19" t="str">
        <x:v>1</x:v>
      </x:c>
    </x:row>
    <x:row r="2556" ht="93" customHeight="1">
      <x:c r="A2556" s="19" t="n">
        <x:v>2553</x:v>
      </x:c>
      <x:c r="B2556" s="22" t="e">
        <x:f>HYPERLINK("https://cdn.shopify.com/s/files/1/0918/6066/4603/files/O1CN01twZRWQ2NGHeYt2bV8__4234819935-0-cib.jpg?v=1753429885","Open")</x:f>
        <x:v>HYPERLINK is not implemented. linkLocation=https://cdn.shopify.com/s/files/1/0918/6066/4603/files/O1CN01twZRWQ2NGHeYt2bV8__4234819935-0-cib.jpg?v=1753429885, friendlyName=Open</x:v>
      </x:c>
      <x:c r="C2556" s="24" t="e">
        <x:f>HYPERLINK("https://365nails.com/products/fake-nail-nail-french-simple-wavy-nail-press-on-nails-foreign-trade-direct-supply-365nails","Fak nail nail  Frnch simpl  wavy nail    dirct supply｜365nails")</x:f>
        <x:v>HYPERLINK is not implemented. linkLocation=https://365nails.com/products/fake-nail-nail-french-simple-wavy-nail-press-on-nails-foreign-trade-direct-supply-365nails, friendlyName=Fak nail nail  Frnch simpl  wavy nail    dirct supply｜365nails</x:v>
      </x:c>
      <x:c r="D2556" s="18" t="str">
        <x:v>color: JP1340</x:v>
      </x:c>
      <x:c r="E2556" s="25" t="str">
        <x:v>$0.86</x:v>
      </x:c>
      <x:c r="F2556" s="19" t="str">
        <x:v>1</x:v>
      </x:c>
    </x:row>
    <x:row r="2557" ht="93" customHeight="1">
      <x:c r="A2557" s="19" t="n">
        <x:v>2554</x:v>
      </x:c>
      <x:c r="B2557" s="22" t="e">
        <x:f>HYPERLINK("https://cdn.shopify.com/s/files/1/0918/6066/4603/files/O1CN01cBmrzX2NGHepu0hz7__4234819935-0-cib.jpg?v=1753429879","Open")</x:f>
        <x:v>HYPERLINK is not implemented. linkLocation=https://cdn.shopify.com/s/files/1/0918/6066/4603/files/O1CN01cBmrzX2NGHepu0hz7__4234819935-0-cib.jpg?v=1753429879, friendlyName=Open</x:v>
      </x:c>
      <x:c r="C2557" s="24" t="e">
        <x:f>HYPERLINK("https://365nails.com/products/fake-nail-nail-color-matching-simple-french-nail-false-nail-foreign-trade-wholesale-365nails","Fak nail nail  color matching  simpl Frnch nail  fals nail   wholsal｜365nails")</x:f>
        <x:v>HYPERLINK is not implemented. linkLocation=https://365nails.com/products/fake-nail-nail-color-matching-simple-french-nail-false-nail-foreign-trade-wholesale-365nails, friendlyName=Fak nail nail  color matching  simpl Frnch nail  fals nail   wholsal｜365nails</x:v>
      </x:c>
      <x:c r="D2557" s="18" t="str">
        <x:v>color: JP1349</x:v>
      </x:c>
      <x:c r="E2557" s="25" t="str">
        <x:v>$0.70</x:v>
      </x:c>
      <x:c r="F2557" s="19" t="str">
        <x:v>1</x:v>
      </x:c>
    </x:row>
    <x:row r="2558" ht="93" customHeight="1">
      <x:c r="A2558" s="19" t="n">
        <x:v>2555</x:v>
      </x:c>
      <x:c r="B2558" s="22" t="e">
        <x:f>HYPERLINK("https://cdn.shopify.com/s/files/1/0918/6066/4603/files/O1CN01rOiapX2NGHelBcWcW__4234819935-0-cib.jpg?v=1753429876","Open")</x:f>
        <x:v>HYPERLINK is not implemented. linkLocation=https://cdn.shopify.com/s/files/1/0918/6066/4603/files/O1CN01rOiapX2NGHelBcWcW__4234819935-0-cib.jpg?v=1753429876, friendlyName=Open</x:v>
      </x:c>
      <x:c r="C2558" s="24" t="e">
        <x:f>HYPERLINK("https://365nails.com/products/fake-nail-nail-simple-graffiti-nail-whitening-nail-false-nail-foreign-trade-nail-wholesale-365nails","Fak nail nail  simpl graffiti nail whitning nail  fals nail  nail wholsal｜365nails")</x:f>
        <x:v>HYPERLINK is not implemented. linkLocation=https://365nails.com/products/fake-nail-nail-simple-graffiti-nail-whitening-nail-false-nail-foreign-trade-nail-wholesale-365nails, friendlyName=Fak nail nail  simpl graffiti nail whitning nail  fals nail  nail wholsal｜365nails</x:v>
      </x:c>
      <x:c r="D2558" s="18" t="str">
        <x:v>color: JP1605</x:v>
      </x:c>
      <x:c r="E2558" s="25" t="str">
        <x:v>$0.82</x:v>
      </x:c>
      <x:c r="F2558" s="19" t="str">
        <x:v>1</x:v>
      </x:c>
    </x:row>
    <x:row r="2559" ht="93" customHeight="1">
      <x:c r="A2559" s="19" t="n">
        <x:v>2556</x:v>
      </x:c>
      <x:c r="B2559" s="22" t="e">
        <x:f>HYPERLINK("https://cdn.shopify.com/s/files/1/0918/6066/4603/files/O1CN0132WdxG2NGHaNLhvnF__4234819935-0-cib.jpg?v=1753429863","Open")</x:f>
        <x:v>HYPERLINK is not implemented. linkLocation=https://cdn.shopify.com/s/files/1/0918/6066/4603/files/O1CN0132WdxG2NGHaNLhvnF__4234819935-0-cib.jpg?v=1753429863, friendlyName=Open</x:v>
      </x:c>
      <x:c r="C2559" s="24" t="e">
        <x:f>HYPERLINK("https://365nails.com/products/peach-red-love-soft-nail-press-on-fake-nail-nail-removable-nail-film-factory-sales-365nails","Peach Red Love Soft Nail Press on  Fake Nail   Nail  Removable Nail Film Factory Sales｜365nails")</x:f>
        <x:v>HYPERLINK is not implemented. linkLocation=https://365nails.com/products/peach-red-love-soft-nail-press-on-fake-nail-nail-removable-nail-film-factory-sales-365nails, friendlyName=Peach Red Love Soft Nail Press on  Fake Nail   Nail  Removable Nail Film Factory Sales｜365nails</x:v>
      </x:c>
      <x:c r="D2559" s="18" t="str">
        <x:v>color: JP1036</x:v>
      </x:c>
      <x:c r="E2559" s="25" t="str">
        <x:v>$0.70</x:v>
      </x:c>
      <x:c r="F2559" s="19" t="str">
        <x:v>1</x:v>
      </x:c>
    </x:row>
    <x:row r="2560" ht="93" customHeight="1">
      <x:c r="A2560" s="19" t="n">
        <x:v>2557</x:v>
      </x:c>
      <x:c r="B2560" s="22" t="e">
        <x:f>HYPERLINK("https://cdn.shopify.com/s/files/1/0918/6066/4603/files/O1CN01ZKD4bq2NGHaAuxyVN__4234819935-0-cib.jpg?v=1753429854","Open")</x:f>
        <x:v>HYPERLINK is not implemented. linkLocation=https://cdn.shopify.com/s/files/1/0918/6066/4603/files/O1CN01ZKD4bq2NGHaAuxyVN__4234819935-0-cib.jpg?v=1753429854, friendlyName=Open</x:v>
      </x:c>
      <x:c r="C2560" s="24" t="e">
        <x:f>HYPERLINK("https://365nails.com/products/coffee-french-love-press-on-finished-soft-nail-fake-nail-nail-nail-removable-nail-365nails","Coffee French Love Press on  Finished Soft Nail Fake Nail Nail  Nail  Removable Nail ｜365nails")</x:f>
        <x:v>HYPERLINK is not implemented. linkLocation=https://365nails.com/products/coffee-french-love-press-on-finished-soft-nail-fake-nail-nail-nail-removable-nail-365nails, friendlyName=Coffee French Love Press on  Finished Soft Nail Fake Nail Nail  Nail  Removable Nail ｜365nails</x:v>
      </x:c>
      <x:c r="D2560" s="18" t="str">
        <x:v>color: JP1035</x:v>
      </x:c>
      <x:c r="E2560" s="25" t="str">
        <x:v>$0.70</x:v>
      </x:c>
      <x:c r="F2560" s="19" t="str">
        <x:v>1</x:v>
      </x:c>
    </x:row>
    <x:row r="2561" ht="93" customHeight="1">
      <x:c r="A2561" s="19" t="n">
        <x:v>2558</x:v>
      </x:c>
      <x:c r="B2561" s="22" t="e">
        <x:f>HYPERLINK("https://cdn.shopify.com/s/files/1/0918/6066/4603/files/O1CN019ZUJCR2NGHbGv8kAt__4234819935-0-cib.jpg?v=1753429845","Open")</x:f>
        <x:v>HYPERLINK is not implemented. linkLocation=https://cdn.shopify.com/s/files/1/0918/6066/4603/files/O1CN019ZUJCR2NGHbGv8kAt__4234819935-0-cib.jpg?v=1753429845, friendlyName=Open</x:v>
      </x:c>
      <x:c r="C2561" s="24" t="e">
        <x:f>HYPERLINK("https://365nails.com/products/dark-nude-cream-white-love-butterfly-press-on-finished-fake-nail-nail-removable-365nails","dark nude cream white love butterfly Press on finished  fake nail   nail  removable｜365nails")</x:f>
        <x:v>HYPERLINK is not implemented. linkLocation=https://365nails.com/products/dark-nude-cream-white-love-butterfly-press-on-finished-fake-nail-nail-removable-365nails, friendlyName=dark nude cream white love butterfly Press on finished  fake nail   nail  removable｜365nails</x:v>
      </x:c>
      <x:c r="D2561" s="18" t="str">
        <x:v>color: JP1075</x:v>
      </x:c>
      <x:c r="E2561" s="25" t="str">
        <x:v>$0.97</x:v>
      </x:c>
      <x:c r="F2561" s="19" t="str">
        <x:v>1</x:v>
      </x:c>
    </x:row>
    <x:row r="2562" ht="93" customHeight="1">
      <x:c r="A2562" s="19" t="n">
        <x:v>2559</x:v>
      </x:c>
      <x:c r="B2562" s="22" t="e">
        <x:f>HYPERLINK("https://cdn.shopify.com/s/files/1/0918/6066/4603/files/O1CN01bGCaoi2NGHaN7XKz8__4234819935-0-cib.jpg?v=1753429843","Open")</x:f>
        <x:v>HYPERLINK is not implemented. linkLocation=https://cdn.shopify.com/s/files/1/0918/6066/4603/files/O1CN01bGCaoi2NGHaN7XKz8__4234819935-0-cib.jpg?v=1753429843, friendlyName=Open</x:v>
      </x:c>
      <x:c r="C2562" s="24" t="e">
        <x:f>HYPERLINK("https://365nails.com/products/nude-transparent-peach-powder-press-on-nails-finished-fake-nail-nail-nail-nail-removable-nail-soft-nail-365nails","Nude transparent peach powder Press on nails finished fake nail nail nail  nail  removable nail soft nail｜365nails")</x:f>
        <x:v>HYPERLINK is not implemented. linkLocation=https://365nails.com/products/nude-transparent-peach-powder-press-on-nails-finished-fake-nail-nail-nail-nail-removable-nail-soft-nail-365nails, friendlyName=Nude transparent peach powder Press on nails finished fake nail nail nail  nail  removable nail soft nail｜365nails</x:v>
      </x:c>
      <x:c r="D2562" s="18" t="str">
        <x:v>color: JP1037</x:v>
      </x:c>
      <x:c r="E2562" s="25" t="str">
        <x:v>$0.70</x:v>
      </x:c>
      <x:c r="F2562" s="19" t="str">
        <x:v>1</x:v>
      </x:c>
    </x:row>
    <x:row r="2563" ht="93" customHeight="1">
      <x:c r="A2563" s="19" t="n">
        <x:v>2560</x:v>
      </x:c>
      <x:c r="B2563" s="22" t="e">
        <x:f>HYPERLINK("https://cdn.shopify.com/s/files/1/0918/6066/4603/files/O1CN01dYMT7A2NGHurewG8T__4234819935-0-cib.jpg?v=1753429630","Open")</x:f>
        <x:v>HYPERLINK is not implemented. linkLocation=https://cdn.shopify.com/s/files/1/0918/6066/4603/files/O1CN01dYMT7A2NGHurewG8T__4234819935-0-cib.jpg?v=1753429630, friendlyName=Open</x:v>
      </x:c>
      <x:c r="C2563" s="24" t="e">
        <x:f>HYPERLINK("https://365nails.com/products/sweet-three-dimensional-cartoon-star-moon-manicure-summer-wind-press-on-nails-piece-cute-cartoon-rabbit-press-on-armor-365nails","Sweet three-dimensional cartoon star moon manicure summer wind Press on nails piece cute cartoon rabbit Press on armor｜365nails")</x:f>
        <x:v>HYPERLINK is not implemented. linkLocation=https://365nails.com/products/sweet-three-dimensional-cartoon-star-moon-manicure-summer-wind-press-on-nails-piece-cute-cartoon-rabbit-press-on-armor-365nails, friendlyName=Sweet three-dimensional cartoon star moon manicure summer wind Press on nails piece cute cartoon rabbit Press on armor｜365nails</x:v>
      </x:c>
      <x:c r="D2563" s="18" t="str">
        <x:v>color: JP2801</x:v>
      </x:c>
      <x:c r="E2563" s="25" t="str">
        <x:v>$1.94</x:v>
      </x:c>
      <x:c r="F2563" s="19" t="str">
        <x:v>1</x:v>
      </x:c>
    </x:row>
    <x:row r="2564" ht="93" customHeight="1">
      <x:c r="A2564" s="19" t="n">
        <x:v>2561</x:v>
      </x:c>
      <x:c r="B2564" s="22" t="e">
        <x:f>HYPERLINK("https://cdn.shopify.com/s/files/1/0918/6066/4603/files/O1CN01ltw9AE2NGHucxu1rv__4234819935-0-cib.jpg?v=1753429624","Open")</x:f>
        <x:v>HYPERLINK is not implemented. linkLocation=https://cdn.shopify.com/s/files/1/0918/6066/4603/files/O1CN01ltw9AE2NGHucxu1rv__4234819935-0-cib.jpg?v=1753429624, friendlyName=Open</x:v>
      </x:c>
      <x:c r="C2564" s="24" t="e">
        <x:f>HYPERLINK("https://365nails.com/products/super-long-red-bow-press-on-nails-european-and-american-christmas-candy-striped-glitter-fake-nail-nail-piece-365nails","Extra long red bow Press on nails   Christmas  candy striped glitter fake nail nail piece｜365nails")</x:f>
        <x:v>HYPERLINK is not implemented. linkLocation=https://365nails.com/products/super-long-red-bow-press-on-nails-european-and-american-christmas-candy-striped-glitter-fake-nail-nail-piece-365nails, friendlyName=Extra long red bow Press on nails   Christmas  candy striped glitter fake nail nail piece｜365nails</x:v>
      </x:c>
      <x:c r="D2564" s="18" t="str">
        <x:v>color: JP3450</x:v>
      </x:c>
      <x:c r="E2564" s="25" t="str">
        <x:v>$1.08</x:v>
      </x:c>
      <x:c r="F2564" s="19" t="str">
        <x:v>1</x:v>
      </x:c>
    </x:row>
    <x:row r="2565" ht="93" customHeight="1">
      <x:c r="A2565" s="19" t="n">
        <x:v>2562</x:v>
      </x:c>
      <x:c r="B2565" s="22" t="e">
        <x:f>HYPERLINK("https://cdn.shopify.com/s/files/1/0918/6066/4603/files/O1CN01bYDiMC2NGHiRhyLCI__4234819935-0-cib.jpg?v=1753429407","Open")</x:f>
        <x:v>HYPERLINK is not implemented. linkLocation=https://cdn.shopify.com/s/files/1/0918/6066/4603/files/O1CN01bYDiMC2NGHiRhyLCI__4234819935-0-cib.jpg?v=1753429407, friendlyName=Open</x:v>
      </x:c>
      <x:c r="C2565" s="24" t="e">
        <x:f>HYPERLINK("https://365nails.com/products/press-on-nails-aurora-collection-press-on-nails-nail-sheet-wholesale-nail-sheet-finished-product-removable-press-on-nails-365nails","Press on nails Aurora Collection Press on nails Nail Sheet Wholesale Nail Sheet Finished product Removable Press on nails｜365nails")</x:f>
        <x:v>HYPERLINK is not implemented. linkLocation=https://365nails.com/products/press-on-nails-aurora-collection-press-on-nails-nail-sheet-wholesale-nail-sheet-finished-product-removable-press-on-nails-365nails, friendlyName=Press on nails Aurora Collection Press on nails Nail Sheet Wholesale Nail Sheet Finished product Removable Press on nails｜365nails</x:v>
      </x:c>
      <x:c r="D2565" s="18" t="str">
        <x:v>color: JP2165 / JP2166 / JP2167 / JP2168 / JP2169 / JP2170 / JP2171</x:v>
      </x:c>
      <x:c r="E2565" s="25" t="str">
        <x:v>$0.86</x:v>
      </x:c>
      <x:c r="F2565" s="19" t="str">
        <x:v>1</x:v>
      </x:c>
    </x:row>
    <x:row r="2566" ht="93" customHeight="1">
      <x:c r="A2566" s="19" t="n">
        <x:v>2563</x:v>
      </x:c>
      <x:c r="B2566" s="22" t="e">
        <x:f>HYPERLINK("https://cdn.shopify.com/s/files/1/0918/6066/4603/files/O1CN01klcpY32NGHmZeud7u__4234819935-0-cib.jpg?v=1753429204","Open")</x:f>
        <x:v>HYPERLINK is not implemented. linkLocation=https://cdn.shopify.com/s/files/1/0918/6066/4603/files/O1CN01klcpY32NGHmZeud7u__4234819935-0-cib.jpg?v=1753429204, friendlyName=Open</x:v>
      </x:c>
      <x:c r="C2566" s="24" t="e">
        <x:f>HYPERLINK("https://365nails.com/products/cross-border-hot-selling-wearable-nail-removable-manicure-new-prefabricated-french-manicure-fake-nail-nail-piece-finished-product-wholesale-365nails","Hot-selling wearable nail removable manicure new prefabricated French manicure fake nail nail piece finished product wholesale｜365nails")</x:f>
        <x:v>HYPERLINK is not implemented. linkLocation=https://365nails.com/products/cross-border-hot-selling-wearable-nail-removable-manicure-new-prefabricated-french-manicure-fake-nail-nail-piece-finished-product-wholesale-365nails, friendlyName=Hot-selling wearable nail removable manicure new prefabricated French manicure fake nail nail piece finished product wholesale｜365nails</x:v>
      </x:c>
      <x:c r="D2566" s="18" t="str">
        <x:v>Color: YMS021 (300 pieces)</x:v>
      </x:c>
      <x:c r="E2566" s="25" t="str">
        <x:v>$4.60</x:v>
      </x:c>
      <x:c r="F2566" s="19" t="str">
        <x:v>1</x:v>
      </x:c>
    </x:row>
    <x:row r="2567" ht="93" customHeight="1">
      <x:c r="A2567" s="19" t="n">
        <x:v>2564</x:v>
      </x:c>
      <x:c r="B2567" s="22" t="e">
        <x:f>HYPERLINK("https://cdn.shopify.com/s/files/1/0918/6066/4603/files/O1CN01YYdg9g2NGHgSRWPmx__4234819935-0-cib.jpg?v=1753429209","Open")</x:f>
        <x:v>HYPERLINK is not implemented. linkLocation=https://cdn.shopify.com/s/files/1/0918/6066/4603/files/O1CN01YYdg9g2NGHgSRWPmx__4234819935-0-cib.jpg?v=1753429209, friendlyName=Open</x:v>
      </x:c>
      <x:c r="C2567" s="24" t="e">
        <x:f>HYPERLINK("https://365nails.com/products/wearing-armor-long-simple-red-edge-french-wearing-armor-white-wearing-nail-nail-patch-finished-fake-nail-nail-365nails","Wearing armor long simple red edge French wearing armor white  nail patch finished  nail｜365nails")</x:f>
        <x:v>HYPERLINK is not implemented. linkLocation=https://365nails.com/products/wearing-armor-long-simple-red-edge-french-wearing-armor-white-wearing-nail-nail-patch-finished-fake-nail-nail-365nails, friendlyName=Wearing armor long simple red edge French wearing armor white  nail patch finished  nail｜365nails</x:v>
      </x:c>
      <x:c r="D2567" s="18" t="str">
        <x:v>color: JP1028</x:v>
      </x:c>
      <x:c r="E2567" s="25" t="str">
        <x:v>$0.91</x:v>
      </x:c>
      <x:c r="F2567" s="19" t="str">
        <x:v>1</x:v>
      </x:c>
    </x:row>
    <x:row r="2568" ht="93" customHeight="1">
      <x:c r="A2568" s="19" t="n">
        <x:v>2565</x:v>
      </x:c>
      <x:c r="B2568" s="22" t="e">
        <x:f>HYPERLINK("https://cdn.shopify.com/s/files/1/0918/6066/4603/files/O1CN01hOlyaA2NGHmnarMw4__4234819935-0-cib_13453ba5-bdda-4248-9757-ec94f534c5c9.jpg?v=1753429199","Open")</x:f>
        <x:v>HYPERLINK is not implemented. linkLocation=https://cdn.shopify.com/s/files/1/0918/6066/4603/files/O1CN01hOlyaA2NGHmnarMw4__4234819935-0-cib_13453ba5-bdda-4248-9757-ec94f534c5c9.jpg?v=1753429199, friendlyName=Open</x:v>
      </x:c>
      <x:c r="C2568" s="24" t="e">
        <x:f>HYPERLINK("https://365nails.com/products/christmas-wear-nail-nail-sticker-fake-nail-advanced-patch-nail-nail-patch-removable-wear-nail-nail-wholesale-365nails","Christmas Wear Nail Nail Sticker Fake Nail Advanced Patch Nail Nail Patch Removable Wear Nail Nail Wholesale｜365nails")</x:f>
        <x:v>HYPERLINK is not implemented. linkLocation=https://365nails.com/products/christmas-wear-nail-nail-sticker-fake-nail-advanced-patch-nail-nail-patch-removable-wear-nail-nail-wholesale-365nails, friendlyName=Christmas Wear Nail Nail Sticker Fake Nail Advanced Patch Nail Nail Patch Removable Wear Nail Nail Wholesale｜365nails</x:v>
      </x:c>
      <x:c r="D2568" s="18" t="str">
        <x:v>color: JP2685</x:v>
      </x:c>
      <x:c r="E2568" s="25" t="str">
        <x:v>$1.03</x:v>
      </x:c>
      <x:c r="F2568" s="19" t="str">
        <x:v>1</x:v>
      </x:c>
    </x:row>
    <x:row r="2569" ht="93" customHeight="1">
      <x:c r="A2569" s="19" t="n">
        <x:v>2566</x:v>
      </x:c>
      <x:c r="B2569" s="22" t="e">
        <x:f>HYPERLINK("https://cdn.shopify.com/s/files/1/0918/6066/4603/files/O1CN01Ng4aho2NGHmrC7tTa__4234819935-0-cib.jpg?v=1753429186","Open")</x:f>
        <x:v>HYPERLINK is not implemented. linkLocation=https://cdn.shopify.com/s/files/1/0918/6066/4603/files/O1CN01Ng4aho2NGHmrC7tTa__4234819935-0-cib.jpg?v=1753429186, friendlyName=Open</x:v>
      </x:c>
      <x:c r="C2569" s="24" t="e">
        <x:f>HYPERLINK("https://365nails.com/products/cross-border-explosion-christmas-fake-nail-piece-finished-ballet-nail-french-manicure-sticker-nail-sticker-removable-wearable-nail-365nails","explosion Christmas fake nail piece Finished ballet nail French manicure sticker Nail sticker Removable wearable nail｜365nails")</x:f>
        <x:v>HYPERLINK is not implemented. linkLocation=https://365nails.com/products/cross-border-explosion-christmas-fake-nail-piece-finished-ballet-nail-french-manicure-sticker-nail-sticker-removable-wearable-nail-365nails, friendlyName=explosion Christmas fake nail piece Finished ballet nail French manicure sticker Nail sticker Removable wearable nail｜365nails</x:v>
      </x:c>
      <x:c r="D2569" s="18" t="str">
        <x:v>color: JP2691</x:v>
      </x:c>
      <x:c r="E2569" s="25" t="str">
        <x:v>$1.25</x:v>
      </x:c>
      <x:c r="F2569" s="19" t="str">
        <x:v>1</x:v>
      </x:c>
    </x:row>
    <x:row r="2570" ht="93" customHeight="1">
      <x:c r="A2570" s="19" t="n">
        <x:v>2567</x:v>
      </x:c>
      <x:c r="B2570" s="22" t="e">
        <x:f>HYPERLINK("https://cdn.shopify.com/s/files/1/0918/6066/4603/files/19373915068_2037667256.jpg?v=1753429192","Open")</x:f>
        <x:v>HYPERLINK is not implemented. linkLocation=https://cdn.shopify.com/s/files/1/0918/6066/4603/files/19373915068_2037667256.jpg?v=1753429192, friendlyName=Open</x:v>
      </x:c>
      <x:c r="C2570" s="24" t="e">
        <x:f>HYPERLINK("https://365nails.com/products/red-flame-wearing-nail-finished-fake-nail-nail-patch-nail-patch-waterproof-removable-foreign-trade-stall-supply-365nails","Red Flame  Finished  nail patch Waterproof Removable  Stall Supply｜365nails")</x:f>
        <x:v>HYPERLINK is not implemented. linkLocation=https://365nails.com/products/red-flame-wearing-nail-finished-fake-nail-nail-patch-nail-patch-waterproof-removable-foreign-trade-stall-supply-365nails, friendlyName=Red Flame  Finished  nail patch Waterproof Removable  Stall Supply｜365nails</x:v>
      </x:c>
      <x:c r="D2570" s="18" t="str">
        <x:v>color: JP822</x:v>
      </x:c>
      <x:c r="E2570" s="25" t="str">
        <x:v>$0.70</x:v>
      </x:c>
      <x:c r="F2570" s="19" t="str">
        <x:v>1</x:v>
      </x:c>
    </x:row>
    <x:row r="2571" ht="93" customHeight="1">
      <x:c r="A2571" s="19" t="n">
        <x:v>2568</x:v>
      </x:c>
      <x:c r="B2571" s="22" t="e">
        <x:f>HYPERLINK("https://cdn.shopify.com/s/files/1/0918/6066/4603/files/O1CN01fmZkA02NGHkBTKpd2__4234819935-0-cib.jpg?v=1753429188","Open")</x:f>
        <x:v>HYPERLINK is not implemented. linkLocation=https://cdn.shopify.com/s/files/1/0918/6066/4603/files/O1CN01fmZkA02NGHkBTKpd2__4234819935-0-cib.jpg?v=1753429188, friendlyName=Open</x:v>
      </x:c>
      <x:c r="C2571" s="24" t="e">
        <x:f>HYPERLINK("https://365nails.com/products/wear-nail-pads-pink-gradual-change-pile-drill-wear-nail-pads-wholesale-nail-pads-finished-removable-advanced-nails-365nails","Wear nail pads pink gradual change pile drill wear nail pads wholesale nail pads finished removable advanced nails｜365nails")</x:f>
        <x:v>HYPERLINK is not implemented. linkLocation=https://365nails.com/products/wear-nail-pads-pink-gradual-change-pile-drill-wear-nail-pads-wholesale-nail-pads-finished-removable-advanced-nails-365nails, friendlyName=Wear nail pads pink gradual change pile drill wear nail pads wholesale nail pads finished removable advanced nails｜365nails</x:v>
      </x:c>
      <x:c r="D2571" s="18" t="str">
        <x:v>color: JP2373</x:v>
      </x:c>
      <x:c r="E2571" s="25" t="str">
        <x:v>$1.08</x:v>
      </x:c>
      <x:c r="F2571" s="19" t="str">
        <x:v>1</x:v>
      </x:c>
    </x:row>
    <x:row r="2572" ht="93" customHeight="1">
      <x:c r="A2572" s="19" t="n">
        <x:v>2569</x:v>
      </x:c>
      <x:c r="B2572" s="22" t="e">
        <x:f>HYPERLINK("https://cdn.shopify.com/s/files/1/0918/6066/4603/files/O1CN01QlTq7I2NGHmnarREI__4234819935-0-cib.jpg?v=1753429170","Open")</x:f>
        <x:v>HYPERLINK is not implemented. linkLocation=https://cdn.shopify.com/s/files/1/0918/6066/4603/files/O1CN01QlTq7I2NGHmnarREI__4234819935-0-cib.jpg?v=1753429170, friendlyName=Open</x:v>
      </x:c>
      <x:c r="C2572" s="24" t="e">
        <x:f>HYPERLINK("https://365nails.com/products/factory-wholesale-christmas-manicure-short-ballet-fake-nail-wearing-nail-removable-nail-patch-finished-product-wholesale-365nails","Factory wholesale Christmas manicure short ballet fake nail press on nails removable nail patch finished product wholesale｜365nails")</x:f>
        <x:v>HYPERLINK is not implemented. linkLocation=https://365nails.com/products/factory-wholesale-christmas-manicure-short-ballet-fake-nail-wearing-nail-removable-nail-patch-finished-product-wholesale-365nails, friendlyName=Factory wholesale Christmas manicure short ballet fake nail press on nails removable nail patch finished product wholesale｜365nails</x:v>
      </x:c>
      <x:c r="D2572" s="18" t="str">
        <x:v>color: JP2686</x:v>
      </x:c>
      <x:c r="E2572" s="25" t="str">
        <x:v>$1.11</x:v>
      </x:c>
      <x:c r="F2572" s="19" t="str">
        <x:v>1</x:v>
      </x:c>
    </x:row>
    <x:row r="2573" ht="93" customHeight="1">
      <x:c r="A2573" s="19" t="n">
        <x:v>2570</x:v>
      </x:c>
      <x:c r="B2573" s="22" t="e">
        <x:f>HYPERLINK("https://cdn.shopify.com/s/files/1/0918/6066/4603/files/O1CN01HSjjAD2NGHxcTlvnO__4234819935-0-cib.jpg?v=1753429144","Open")</x:f>
        <x:v>HYPERLINK is not implemented. linkLocation=https://cdn.shopify.com/s/files/1/0918/6066/4603/files/O1CN01HSjjAD2NGHxcTlvnO__4234819935-0-cib.jpg?v=1753429144, friendlyName=Open</x:v>
      </x:c>
      <x:c r="C2573" s="24" t="e">
        <x:f>HYPERLINK("https://365nails.com/products/small-fresh-white-petals-flower-foot-nail-piece-european-and-american-foreign-trade-removable-toenail-piece-wearable-toenail-piece-365nails","Small fresh white petals flower foot    removable toe Wearable toe｜365nails")</x:f>
        <x:v>HYPERLINK is not implemented. linkLocation=https://365nails.com/products/small-fresh-white-petals-flower-foot-nail-piece-european-and-american-foreign-trade-removable-toenail-piece-wearable-toenail-piece-365nails, friendlyName=Small fresh white petals flower foot    removable toe Wearable toe｜365nails</x:v>
      </x:c>
      <x:c r="D2573" s="18" t="str">
        <x:v>color: JP3801</x:v>
      </x:c>
      <x:c r="E2573" s="25" t="str">
        <x:v>$0.68</x:v>
      </x:c>
      <x:c r="F2573" s="19" t="str">
        <x:v>1</x:v>
      </x:c>
    </x:row>
    <x:row r="2574" ht="93" customHeight="1">
      <x:c r="A2574" s="19" t="n">
        <x:v>2571</x:v>
      </x:c>
      <x:c r="B2574" s="22" t="e">
        <x:f>HYPERLINK("https://cdn.shopify.com/s/files/1/0918/6066/4603/files/O1CN01hYptCM2NGHcGV53mJ__4234819935-0-cib.jpg?v=1753429135","Open")</x:f>
        <x:v>HYPERLINK is not implemented. linkLocation=https://cdn.shopify.com/s/files/1/0918/6066/4603/files/O1CN01hYptCM2NGHcGV53mJ__4234819935-0-cib.jpg?v=1753429135, friendlyName=Open</x:v>
      </x:c>
      <x:c r="C2574" s="24" t="e">
        <x:f>HYPERLINK("https://365nails.com/products/strawberry-gold-powder-bow-wear-nail-finished-fake-nail-nail-patch-nail-patch-removable-nail-patch-factory-sales-365nails","Strawberry Gold Powder Bow Wear Nail Finished Fake Nail Nail Patch Nail Patch Removable Nail Patch Factory Sales｜365nails")</x:f>
        <x:v>HYPERLINK is not implemented. linkLocation=https://365nails.com/products/strawberry-gold-powder-bow-wear-nail-finished-fake-nail-nail-patch-nail-patch-removable-nail-patch-factory-sales-365nails, friendlyName=Strawberry Gold Powder Bow Wear Nail Finished Fake Nail Nail Patch Nail Patch Removable Nail Patch Factory Sales｜365nails</x:v>
      </x:c>
      <x:c r="D2574" s="18" t="str">
        <x:v>color: JP1319</x:v>
      </x:c>
      <x:c r="E2574" s="25" t="str">
        <x:v>$1.03</x:v>
      </x:c>
      <x:c r="F2574" s="19" t="str">
        <x:v>1</x:v>
      </x:c>
    </x:row>
    <x:row r="2575" ht="93" customHeight="1">
      <x:c r="A2575" s="19" t="n">
        <x:v>2572</x:v>
      </x:c>
      <x:c r="B2575" s="22" t="e">
        <x:f>HYPERLINK("https://cdn.shopify.com/s/files/1/0918/6066/4603/files/O1CN01RiM4xp2NGHdHjrfYJ__4234819935-0-cib.jpg?v=1753429116","Open")</x:f>
        <x:v>HYPERLINK is not implemented. linkLocation=https://cdn.shopify.com/s/files/1/0918/6066/4603/files/O1CN01RiM4xp2NGHdHjrfYJ__4234819935-0-cib.jpg?v=1753429116, friendlyName=Open</x:v>
      </x:c>
      <x:c r="C2575" s="24" t="e">
        <x:f>HYPERLINK("https://365nails.com/products/french-wear-nail-autumn-and-winter-nail-patch-amber-nail-patch-flame-nail-patch-nail-patch-finished-product-removable-365nails","French Wear Nail Autumn and Winter Nail Patch Amber Nail Patch Flame Nail Patch Nail Patch Finished product, removable｜365nails")</x:f>
        <x:v>HYPERLINK is not implemented. linkLocation=https://365nails.com/products/french-wear-nail-autumn-and-winter-nail-patch-amber-nail-patch-flame-nail-patch-nail-patch-finished-product-removable-365nails, friendlyName=French Wear Nail Autumn and Winter Nail Patch Amber Nail Patch Flame Nail Patch Nail Patch Finished product, removable｜365nails</x:v>
      </x:c>
      <x:c r="D2575" s="18" t="str">
        <x:v>color: JP1424</x:v>
      </x:c>
      <x:c r="E2575" s="25" t="str">
        <x:v>$0.97</x:v>
      </x:c>
      <x:c r="F2575" s="19" t="str">
        <x:v>1</x:v>
      </x:c>
    </x:row>
    <x:row r="2576" ht="93" customHeight="1">
      <x:c r="A2576" s="19" t="n">
        <x:v>2573</x:v>
      </x:c>
      <x:c r="B2576" s="22" t="e">
        <x:f>HYPERLINK("https://cdn.shopify.com/s/files/1/0918/6066/4603/files/O1CN01iyROqE2NGHbIYSnzQ__4234819935-0-cib.jpg?v=1753429120","Open")</x:f>
        <x:v>HYPERLINK is not implemented. linkLocation=https://cdn.shopify.com/s/files/1/0918/6066/4603/files/O1CN01iyROqE2NGHbIYSnzQ__4234819935-0-cib.jpg?v=1753429120, friendlyName=Open</x:v>
      </x:c>
      <x:c r="C2576" s="24" t="e">
        <x:f>HYPERLINK("https://365nails.com/products/summer-sweet-peach-tender-orange-foot-nail-wearing-nail-art-finished-fake-nail-nail-nail-patch-removable-nail-piece-365nails","Summer sweet peach tender orange foot nail press-on nails art finished fake nail nail nail patch removable nail piece｜365nails")</x:f>
        <x:v>HYPERLINK is not implemented. linkLocation=https://365nails.com/products/summer-sweet-peach-tender-orange-foot-nail-wearing-nail-art-finished-fake-nail-nail-nail-patch-removable-nail-piece-365nails, friendlyName=Summer sweet peach tender orange foot nail press-on nails art finished fake nail nail nail patch removable nail piece｜365nails</x:v>
      </x:c>
      <x:c r="D2576" s="18" t="str">
        <x:v>color: JP1183</x:v>
      </x:c>
      <x:c r="E2576" s="25" t="str">
        <x:v>$0.70</x:v>
      </x:c>
      <x:c r="F2576" s="19" t="str">
        <x:v>1</x:v>
      </x:c>
    </x:row>
    <x:row r="2577" ht="93" customHeight="1">
      <x:c r="A2577" s="19" t="n">
        <x:v>2574</x:v>
      </x:c>
      <x:c r="B2577" s="22" t="e">
        <x:f>HYPERLINK("https://cdn.shopify.com/s/files/1/0918/6066/4603/files/O1CN01A4UZsQ2NGHjEWGsb1__4234819935-0-cib.jpg?v=1753429114","Open")</x:f>
        <x:v>HYPERLINK is not implemented. linkLocation=https://cdn.shopify.com/s/files/1/0918/6066/4603/files/O1CN01A4UZsQ2NGHjEWGsb1__4234819935-0-cib.jpg?v=1753429114, friendlyName=Open</x:v>
      </x:c>
      <x:c r="C2577" s="24" t="e">
        <x:f>HYPERLINK("https://365nails.com/products/wear-nail-pads-wholesale-cat-eye-foot-nail-wear-nail-flash-nail-patch-wholesale-press-on-nails-365nails","Wear nail pads wholesale cat eye foot nail wear nail flash nail patch wholesale press on nails｜365nails")</x:f>
        <x:v>HYPERLINK is not implemented. linkLocation=https://365nails.com/products/wear-nail-pads-wholesale-cat-eye-foot-nail-wear-nail-flash-nail-patch-wholesale-press-on-nails-365nails, friendlyName=Wear nail pads wholesale cat eye foot nail wear nail flash nail patch wholesale press on nails｜365nails</x:v>
      </x:c>
      <x:c r="D2577" s="18" t="str">
        <x:v>color: JP2311</x:v>
      </x:c>
      <x:c r="E2577" s="25" t="str">
        <x:v>$1.51</x:v>
      </x:c>
      <x:c r="F2577" s="19" t="str">
        <x:v>1</x:v>
      </x:c>
    </x:row>
    <x:row r="2578" ht="93" customHeight="1">
      <x:c r="A2578" s="19" t="n">
        <x:v>2575</x:v>
      </x:c>
      <x:c r="B2578" s="22" t="e">
        <x:f>HYPERLINK("https://cdn.shopify.com/s/files/1/0918/6066/4603/files/O1CN01KVOjvJ2NGHbFOvKUq__4234819935-0-cib.jpg?v=1753429110","Open")</x:f>
        <x:v>HYPERLINK is not implemented. linkLocation=https://cdn.shopify.com/s/files/1/0918/6066/4603/files/O1CN01KVOjvJ2NGHbFOvKUq__4234819935-0-cib.jpg?v=1753429110, friendlyName=Open</x:v>
      </x:c>
      <x:c r="C2578" s="24" t="e">
        <x:f>HYPERLINK("https://365nails.com/products/summer-fresh-flower-yellow-plaid-foot-nail-wear-nail-art-finished-fake-nail-nail-nail-patch-removable-nail-piece-365nails","Summer fresh flower yellow plaid foot nail wear nail art finished fake nail nail nail patch removable nail piece｜365nails")</x:f>
        <x:v>HYPERLINK is not implemented. linkLocation=https://365nails.com/products/summer-fresh-flower-yellow-plaid-foot-nail-wear-nail-art-finished-fake-nail-nail-nail-patch-removable-nail-piece-365nails, friendlyName=Summer fresh flower yellow plaid foot nail wear nail art finished fake nail nail nail patch removable nail piece｜365nails</x:v>
      </x:c>
      <x:c r="D2578" s="18" t="str">
        <x:v>color: JP1175</x:v>
      </x:c>
      <x:c r="E2578" s="25" t="str">
        <x:v>$0.70</x:v>
      </x:c>
      <x:c r="F2578" s="19" t="str">
        <x:v>1</x:v>
      </x:c>
    </x:row>
    <x:row r="2579" ht="93" customHeight="1">
      <x:c r="A2579" s="19" t="n">
        <x:v>2576</x:v>
      </x:c>
      <x:c r="B2579" s="22" t="e">
        <x:f>HYPERLINK("https://cdn.shopify.com/s/files/1/0918/6066/4603/files/O1CN01mFapGR2NGHjSXVDoE__4234819935-0-cib.jpg?v=1753429088","Open")</x:f>
        <x:v>HYPERLINK is not implemented. linkLocation=https://cdn.shopify.com/s/files/1/0918/6066/4603/files/O1CN01mFapGR2NGHjSXVDoE__4234819935-0-cib.jpg?v=1753429088, friendlyName=Open</x:v>
      </x:c>
      <x:c r="C2579" s="24" t="e">
        <x:f>HYPERLINK("https://365nails.com/products/wearing-nail-wholesale-nude-phnom-penh-glitter-foot-nail-piece-wholesale-europe-and-america-wearing-nail-manicure-fake-piece-nail-piece-sticker-365nails","Press-on nails wholesale Nude Phnom Penh glitter foot nail piece wholesale Europe and America press on nails manicure fake piece nail piece sticker｜365nails")</x:f>
        <x:v>HYPERLINK is not implemented. linkLocation=https://365nails.com/products/wearing-nail-wholesale-nude-phnom-penh-glitter-foot-nail-piece-wholesale-europe-and-america-wearing-nail-manicure-fake-piece-nail-piece-sticker-365nails, friendlyName=Press-on nails wholesale Nude Phnom Penh glitter foot nail piece wholesale Europe and America press on nails manicure fake piece nail piece sticker｜365nails</x:v>
      </x:c>
      <x:c r="D2579" s="18" t="str">
        <x:v>color: JP2339</x:v>
      </x:c>
      <x:c r="E2579" s="25" t="str">
        <x:v>$0.76</x:v>
      </x:c>
      <x:c r="F2579" s="19" t="str">
        <x:v>1</x:v>
      </x:c>
    </x:row>
    <x:row r="2580" ht="93" customHeight="1">
      <x:c r="A2580" s="19" t="n">
        <x:v>2577</x:v>
      </x:c>
      <x:c r="B2580" s="22" t="e">
        <x:f>HYPERLINK("https://cdn.shopify.com/s/files/1/0918/6066/4603/files/O1CN01M3E1Gp2NGHkIcZrI0__4234819935-0-cib.jpg?v=1753429074","Open")</x:f>
        <x:v>HYPERLINK is not implemented. linkLocation=https://cdn.shopify.com/s/files/1/0918/6066/4603/files/O1CN01M3E1Gp2NGHkIcZrI0__4234819935-0-cib.jpg?v=1753429074, friendlyName=Open</x:v>
      </x:c>
      <x:c r="C2580" s="24" t="e">
        <x:f>HYPERLINK("https://365nails.com/products/nails-art-press-on-nails-black-french-press-on-nails-piece-dollar-pattern-three-dimensional-rhinestone-press-on-nails-365nails","nails Art Press on nails Black French Press on nails Piece Dollar Pattern Three-dimensional Rhinestone press on nails｜365nails")</x:f>
        <x:v>HYPERLINK is not implemented. linkLocation=https://365nails.com/products/nails-art-press-on-nails-black-french-press-on-nails-piece-dollar-pattern-three-dimensional-rhinestone-press-on-nails-365nails, friendlyName=nails Art Press on nails Black French Press on nails Piece Dollar Pattern Three-dimensional Rhinestone press on nails｜365nails</x:v>
      </x:c>
      <x:c r="D2580" s="18" t="str">
        <x:v>color: JP2468</x:v>
      </x:c>
      <x:c r="E2580" s="25" t="str">
        <x:v>$1.16</x:v>
      </x:c>
      <x:c r="F2580" s="19" t="str">
        <x:v>1</x:v>
      </x:c>
    </x:row>
    <x:row r="2581" ht="93" customHeight="1">
      <x:c r="A2581" s="19" t="n">
        <x:v>2578</x:v>
      </x:c>
      <x:c r="B2581" s="22" t="e">
        <x:f>HYPERLINK("https://cdn.shopify.com/s/files/1/0918/6066/4603/files/O1CN01UJ3eSd2NGHeFnoRtJ__4234819935-0-cib.jpg?v=1753429043","Open")</x:f>
        <x:v>HYPERLINK is not implemented. linkLocation=https://cdn.shopify.com/s/files/1/0918/6066/4603/files/O1CN01UJ3eSd2NGHeFnoRtJ__4234819935-0-cib.jpg?v=1753429043, friendlyName=Open</x:v>
      </x:c>
      <x:c r="C2581" s="24" t="e">
        <x:f>HYPERLINK("https://365nails.com/products/press-on-nails-finished-nail-butterfly-nail-naked-powder-whitening-nail-false-nail-direct-supply-365nails","Press on nails finished nail  Butterfly nail naked powder whitening nail  false nail  direct supply｜365nails")</x:f>
        <x:v>HYPERLINK is not implemented. linkLocation=https://365nails.com/products/press-on-nails-finished-nail-butterfly-nail-naked-powder-whitening-nail-false-nail-direct-supply-365nails, friendlyName=Press on nails finished nail  Butterfly nail naked powder whitening nail  false nail  direct supply｜365nails</x:v>
      </x:c>
      <x:c r="D2581" s="18" t="str">
        <x:v>color: JP1514</x:v>
      </x:c>
      <x:c r="E2581" s="25" t="str">
        <x:v>$0.94</x:v>
      </x:c>
      <x:c r="F2581" s="19" t="str">
        <x:v>1</x:v>
      </x:c>
    </x:row>
    <x:row r="2582" ht="93" customHeight="1">
      <x:c r="A2582" s="19" t="n">
        <x:v>2579</x:v>
      </x:c>
      <x:c r="B2582" s="22" t="e">
        <x:f>HYPERLINK("https://cdn.shopify.com/s/files/1/0918/6066/4603/files/O1CN01rs1MU72NGHafeNcO0__4234819935-0-cib.jpg?v=1753429009","Open")</x:f>
        <x:v>HYPERLINK is not implemented. linkLocation=https://cdn.shopify.com/s/files/1/0918/6066/4603/files/O1CN01rs1MU72NGHafeNcO0__4234819935-0-cib.jpg?v=1753429009, friendlyName=Open</x:v>
      </x:c>
      <x:c r="C2582" s="24" t="e">
        <x:f>HYPERLINK("https://365nails.com/products/color-matching-wine-red-powder-press-on-manicure-fake-nail-manicure-foot-nail-toenail-removable-foot-nail-365nails","Color matching wine red powder Press on manicure fake nail manicure  foot nail  toenail  removable foot nail｜365nails")</x:f>
        <x:v>HYPERLINK is not implemented. linkLocation=https://365nails.com/products/color-matching-wine-red-powder-press-on-manicure-fake-nail-manicure-foot-nail-toenail-removable-foot-nail-365nails, friendlyName=Color matching wine red powder Press on manicure fake nail manicure  foot nail  toenail  removable foot nail｜365nails</x:v>
      </x:c>
      <x:c r="D2582" s="18" t="str">
        <x:v>color: JP1065</x:v>
      </x:c>
      <x:c r="E2582" s="25" t="str">
        <x:v>$0.76</x:v>
      </x:c>
      <x:c r="F2582" s="19" t="str">
        <x:v>1</x:v>
      </x:c>
    </x:row>
    <x:row r="2583" ht="93" customHeight="1">
      <x:c r="A2583" s="19" t="n">
        <x:v>2580</x:v>
      </x:c>
      <x:c r="B2583" s="22" t="e">
        <x:f>HYPERLINK("https://cdn.shopify.com/s/files/1/0918/6066/4603/files/O1CN01IxOyrb2NGHacA6ORL__4234819935-0-cib.jpg?v=1753429004","Open")</x:f>
        <x:v>HYPERLINK is not implemented. linkLocation=https://cdn.shopify.com/s/files/1/0918/6066/4603/files/O1CN01IxOyrb2NGHacA6ORL__4234819935-0-cib.jpg?v=1753429004, friendlyName=Open</x:v>
      </x:c>
      <x:c r="C2583" s="24" t="e">
        <x:f>HYPERLINK("https://365nails.com/products/pop-series-simple-pink-white-press-on-finished-fake-nail-nail-nail-removable-nail-365nails","Pop Series Simple Pink White Press on  Finished Fake Nail Nail  Nail  Removable Nail｜365nails")</x:f>
        <x:v>HYPERLINK is not implemented. linkLocation=https://365nails.com/products/pop-series-simple-pink-white-press-on-finished-fake-nail-nail-nail-removable-nail-365nails, friendlyName=Pop Series Simple Pink White Press on  Finished Fake Nail Nail  Nail  Removable Nail｜365nails</x:v>
      </x:c>
      <x:c r="D2583" s="18" t="str">
        <x:v>color: JP1077</x:v>
      </x:c>
      <x:c r="E2583" s="25" t="str">
        <x:v>$0.91</x:v>
      </x:c>
      <x:c r="F2583" s="19" t="str">
        <x:v>1</x:v>
      </x:c>
    </x:row>
    <x:row r="2584" ht="93" customHeight="1">
      <x:c r="A2584" s="19" t="n">
        <x:v>2581</x:v>
      </x:c>
      <x:c r="B2584" s="22" t="e">
        <x:f>HYPERLINK("https://cdn.shopify.com/s/files/1/0918/6066/4603/files/O1CN014My9cF2NGHbQSCjgW__4234819935-0-cib.jpg?v=1753428937","Open")</x:f>
        <x:v>HYPERLINK is not implemented. linkLocation=https://cdn.shopify.com/s/files/1/0918/6066/4603/files/O1CN014My9cF2NGHbQSCjgW__4234819935-0-cib.jpg?v=1753428937, friendlyName=Open</x:v>
      </x:c>
      <x:c r="C2584" s="24" t="e">
        <x:f>HYPERLINK("https://365nails.com/products/halloween-round-nail-collection-press-on-nails-art-finished-products-press-on-nails-fake-nails-nail-art-patches-nail-patches-365nails","Halloween Round Nail Collection Press on nails Art Finished Products Press on Nails Fake Nails Nail Art Patches Nail Patches｜365nails")</x:f>
        <x:v>HYPERLINK is not implemented. linkLocation=https://365nails.com/products/halloween-round-nail-collection-press-on-nails-art-finished-products-press-on-nails-fake-nails-nail-art-patches-nail-patches-365nails, friendlyName=Halloween Round Nail Collection Press on nails Art Finished Products Press on Nails Fake Nails Nail Art Patches Nail Patches｜365nails</x:v>
      </x:c>
      <x:c r="D2584" s="18" t="str">
        <x:v>color: JP1231 / JP1232 / JP1233 / JP1234 / JP1237 / JP1238 / JP1255 / JP1256 / JP1262</x:v>
      </x:c>
      <x:c r="E2584" s="25" t="str">
        <x:v>$0.70–$0.91</x:v>
      </x:c>
      <x:c r="F2584" s="19" t="str">
        <x:v>1</x:v>
      </x:c>
    </x:row>
    <x:row r="2585" ht="93" customHeight="1">
      <x:c r="A2585" s="19" t="n">
        <x:v>2582</x:v>
      </x:c>
      <x:c r="B2585" s="22" t="e">
        <x:f>HYPERLINK("https://cdn.shopify.com/s/files/1/0918/6066/4603/files/O1CN01wmdc4h2NGHgfk5EBQ__4234819935-0-cib.jpg?v=1753428958","Open")</x:f>
        <x:v>HYPERLINK is not implemented. linkLocation=https://cdn.shopify.com/s/files/1/0918/6066/4603/files/O1CN01wmdc4h2NGHgfk5EBQ__4234819935-0-cib.jpg?v=1753428958, friendlyName=Open</x:v>
      </x:c>
      <x:c r="C2585" s="24" t="e">
        <x:f>HYPERLINK("https://365nails.com/products/nails-piece-finished-product-wholesale-christmas-snowflake-polka-dot-press-on-nails-piece-wholesale-nails-patch-wholesale-nails-piece-fake-nails-365nails","nails piece finished product wholesale Christmas snowflake polka dot press on nails piece wholesale nails patch wholesale nails piece fake nails｜365nails")</x:f>
        <x:v>HYPERLINK is not implemented. linkLocation=https://365nails.com/products/nails-piece-finished-product-wholesale-christmas-snowflake-polka-dot-press-on-nails-piece-wholesale-nails-patch-wholesale-nails-piece-fake-nails-365nails, friendlyName=nails piece finished product wholesale Christmas snowflake polka dot press on nails piece wholesale nails patch wholesale nails piece fake nails｜365nails</x:v>
      </x:c>
      <x:c r="D2585" s="18" t="str">
        <x:v>color: JP1889</x:v>
      </x:c>
      <x:c r="E2585" s="25" t="str">
        <x:v>$0.86</x:v>
      </x:c>
      <x:c r="F2585" s="19" t="str">
        <x:v>1</x:v>
      </x:c>
    </x:row>
    <x:row r="2586" ht="93" customHeight="1">
      <x:c r="A2586" s="19" t="n">
        <x:v>2583</x:v>
      </x:c>
      <x:c r="B2586" s="22" t="e">
        <x:f>HYPERLINK("https://cdn.shopify.com/s/files/1/0918/6066/4603/files/O1CN016sulcg2NGHgjB7n07__4234819935-0-cib.jpg?v=1753428898","Open")</x:f>
        <x:v>HYPERLINK is not implemented. linkLocation=https://cdn.shopify.com/s/files/1/0918/6066/4603/files/O1CN016sulcg2NGHgjB7n07__4234819935-0-cib.jpg?v=1753428898, friendlyName=Open</x:v>
      </x:c>
      <x:c r="C2586" s="24" t="e">
        <x:f>HYPERLINK("https://365nails.com/products/nails-piece-wholesale-press-on-nails-french-blue-edge-gradual-change-press-on-nails-piece-wholesale-press-onable-nails-fake-nails-365nails","nails piece wholesale Press on nails, French blue edge gradual change Press on nails piece wholesale Press onable nails fake nails｜365nails")</x:f>
        <x:v>HYPERLINK is not implemented. linkLocation=https://365nails.com/products/nails-piece-wholesale-press-on-nails-french-blue-edge-gradual-change-press-on-nails-piece-wholesale-press-onable-nails-fake-nails-365nails, friendlyName=nails piece wholesale Press on nails, French blue edge gradual change Press on nails piece wholesale Press onable nails fake nails｜365nails</x:v>
      </x:c>
      <x:c r="D2586" s="18" t="str">
        <x:v>color: JP1751</x:v>
      </x:c>
      <x:c r="E2586" s="25" t="str">
        <x:v>$0.70</x:v>
      </x:c>
      <x:c r="F2586" s="19" t="str">
        <x:v>1</x:v>
      </x:c>
    </x:row>
    <x:row r="2587" ht="93" customHeight="1">
      <x:c r="A2587" s="19" t="n">
        <x:v>2584</x:v>
      </x:c>
      <x:c r="B2587" s="22" t="e">
        <x:f>HYPERLINK("https://cdn.shopify.com/s/files/1/0918/6066/4603/files/O1CN01DwwF3z2NGHgPC43cV__4234819935-0-cib.jpg?v=1753428895","Open")</x:f>
        <x:v>HYPERLINK is not implemented. linkLocation=https://cdn.shopify.com/s/files/1/0918/6066/4603/files/O1CN01DwwF3z2NGHgPC43cV__4234819935-0-cib.jpg?v=1753428895, friendlyName=Open</x:v>
      </x:c>
      <x:c r="C2587" s="24" t="e">
        <x:f>HYPERLINK("https://365nails.com/products/nails-art-press-on-nails-french-red-edge-press-on-nails-wholesale-red-love-nails-wholesale-nails-365nails","nails art Press on nails, French red edge Press on nails wholesale, red love nails wholesale nails｜365nails")</x:f>
        <x:v>HYPERLINK is not implemented. linkLocation=https://365nails.com/products/nails-art-press-on-nails-french-red-edge-press-on-nails-wholesale-red-love-nails-wholesale-nails-365nails, friendlyName=nails art Press on nails, French red edge Press on nails wholesale, red love nails wholesale nails｜365nails</x:v>
      </x:c>
      <x:c r="D2587" s="18" t="str">
        <x:v>color: JP1879</x:v>
      </x:c>
      <x:c r="E2587" s="25" t="str">
        <x:v>$0.70</x:v>
      </x:c>
      <x:c r="F2587" s="19" t="str">
        <x:v>1</x:v>
      </x:c>
    </x:row>
    <x:row r="2588" ht="93" customHeight="1">
      <x:c r="A2588" s="19" t="n">
        <x:v>2585</x:v>
      </x:c>
      <x:c r="B2588" s="22" t="e">
        <x:f>HYPERLINK("https://cdn.shopify.com/s/files/1/0918/6066/4603/files/O1CN01brZ5BP2NGHfZVzLGs__4234819935-0-cib.jpg?v=1753428871","Open")</x:f>
        <x:v>HYPERLINK is not implemented. linkLocation=https://cdn.shopify.com/s/files/1/0918/6066/4603/files/O1CN01brZ5BP2NGHfZVzLGs__4234819935-0-cib.jpg?v=1753428871, friendlyName=Open</x:v>
      </x:c>
      <x:c r="C2588" s="24" t="e">
        <x:f>HYPERLINK("https://365nails.com/products/multicolor-french-press-onable-nails-art-tablets-detachable-press-onable-nails-wholesale-finished-nails-tablets-press-onable-nails-nails-tablets-365nails","Multicolor French Press onable nails Art Tablets Detachable Press onable nails Wholesale Finished nails Tablets, Press onable nails nails Tablets｜365nails")</x:f>
        <x:v>HYPERLINK is not implemented. linkLocation=https://365nails.com/products/multicolor-french-press-onable-nails-art-tablets-detachable-press-onable-nails-wholesale-finished-nails-tablets-press-onable-nails-nails-tablets-365nails, friendlyName=Multicolor French Press onable nails Art Tablets Detachable Press onable nails Wholesale Finished nails Tablets, Press onable nails nails Tablets｜365nails</x:v>
      </x:c>
      <x:c r="D2588" s="18" t="str">
        <x:v>color: JP1354</x:v>
      </x:c>
      <x:c r="E2588" s="25" t="str">
        <x:v>$0.88</x:v>
      </x:c>
      <x:c r="F2588" s="19" t="str">
        <x:v>1</x:v>
      </x:c>
    </x:row>
    <x:row r="2589" ht="93" customHeight="1">
      <x:c r="A2589" s="19" t="n">
        <x:v>2586</x:v>
      </x:c>
      <x:c r="B2589" s="22" t="e">
        <x:f>HYPERLINK("https://cdn.shopify.com/s/files/1/0918/6066/4603/files/O1CN013ByWYJ2NGHfft3r0F__4234819935-0-cib.jpg?v=1753428844","Open")</x:f>
        <x:v>HYPERLINK is not implemented. linkLocation=https://cdn.shopify.com/s/files/1/0918/6066/4603/files/O1CN013ByWYJ2NGHfft3r0F__4234819935-0-cib.jpg?v=1753428844, friendlyName=Open</x:v>
      </x:c>
      <x:c r="C2589" s="24" t="e">
        <x:f>HYPERLINK("https://365nails.com/products/press-on-nails-blue-small-daisy-nails-piece-wholesale-finished-fake-nails-removable-nails-piece-nails-piece-nails-piece-nails-patch-365nails","press on nails blue small daisy nails piece wholesale finished fake nails removable nails piece nails piece nails piece nails patch｜365nails")</x:f>
        <x:v>HYPERLINK is not implemented. linkLocation=https://365nails.com/products/press-on-nails-blue-small-daisy-nails-piece-wholesale-finished-fake-nails-removable-nails-piece-nails-piece-nails-piece-nails-patch-365nails, friendlyName=press on nails blue small daisy nails piece wholesale finished fake nails removable nails piece nails piece nails piece nails patch｜365nails</x:v>
      </x:c>
      <x:c r="D2589" s="18" t="str">
        <x:v>color: JP1494</x:v>
      </x:c>
      <x:c r="E2589" s="25" t="str">
        <x:v>$0.70</x:v>
      </x:c>
      <x:c r="F2589" s="19" t="str">
        <x:v>1</x:v>
      </x:c>
    </x:row>
    <x:row r="2590" ht="93" customHeight="1">
      <x:c r="A2590" s="19" t="n">
        <x:v>2587</x:v>
      </x:c>
      <x:c r="B2590" s="22" t="e">
        <x:f>HYPERLINK("https://cdn.shopify.com/s/files/1/0918/6066/4603/files/O1CN01r8erOT2NGHfFGCcre__4234819935-0-cib.jpg?v=1753428836","Open")</x:f>
        <x:v>HYPERLINK is not implemented. linkLocation=https://cdn.shopify.com/s/files/1/0918/6066/4603/files/O1CN01r8erOT2NGHfFGCcre__4234819935-0-cib.jpg?v=1753428836, friendlyName=Open</x:v>
      </x:c>
      <x:c r="C2590" s="24" t="e">
        <x:f>HYPERLINK("https://365nails.com/products/foot-nails-black-and-white-whale-press-on-nails-nails-nails-piece-wholesale-nails-piece-nails-piece-nails-piece-removable-365nails","Foot nails black and white whale press on nails nails nails piece wholesale nails piece nails piece nails piece removable｜365nails")</x:f>
        <x:v>HYPERLINK is not implemented. linkLocation=https://365nails.com/products/foot-nails-black-and-white-whale-press-on-nails-nails-nails-piece-wholesale-nails-piece-nails-piece-nails-piece-removable-365nails, friendlyName=Foot nails black and white whale press on nails nails nails piece wholesale nails piece nails piece nails piece removable｜365nails</x:v>
      </x:c>
      <x:c r="D2590" s="18" t="str">
        <x:v>color: JP1644</x:v>
      </x:c>
      <x:c r="E2590" s="25" t="str">
        <x:v>$0.70</x:v>
      </x:c>
      <x:c r="F2590" s="19" t="str">
        <x:v>1</x:v>
      </x:c>
    </x:row>
    <x:row r="2591" ht="93" customHeight="1">
      <x:c r="A2591" s="19" t="n">
        <x:v>2588</x:v>
      </x:c>
      <x:c r="B2591" s="22" t="e">
        <x:f>HYPERLINK("https://cdn.shopify.com/s/files/1/0918/6066/4603/files/O1CN01SHAOb72NGHf0vAu5l__4234819935-0-cib.jpg?v=1753428827","Open")</x:f>
        <x:v>HYPERLINK is not implemented. linkLocation=https://cdn.shopify.com/s/files/1/0918/6066/4603/files/O1CN01SHAOb72NGHf0vAu5l__4234819935-0-cib.jpg?v=1753428827, friendlyName=Open</x:v>
      </x:c>
      <x:c r="C2591" s="24" t="e">
        <x:f>HYPERLINK("https://365nails.com/products/press-on-nails-art-cream-orange-whitening-nails-art-bow-nails-press-on-nails-art-wholesale-365nails","Press on nails Art  Cream Orange Whitening nails Art  Bow nails  Press on nails Art Wholesale｜365nails")</x:f>
        <x:v>HYPERLINK is not implemented. linkLocation=https://365nails.com/products/press-on-nails-art-cream-orange-whitening-nails-art-bow-nails-press-on-nails-art-wholesale-365nails, friendlyName=Press on nails Art  Cream Orange Whitening nails Art  Bow nails  Press on nails Art Wholesale｜365nails</x:v>
      </x:c>
      <x:c r="D2591" s="18" t="str">
        <x:v>color: JP1370</x:v>
      </x:c>
      <x:c r="E2591" s="25" t="str">
        <x:v>$1.03</x:v>
      </x:c>
      <x:c r="F2591" s="19" t="str">
        <x:v>1</x:v>
      </x:c>
    </x:row>
    <x:row r="2592" ht="93" customHeight="1">
      <x:c r="A2592" s="19" t="n">
        <x:v>2589</x:v>
      </x:c>
      <x:c r="B2592" s="22" t="e">
        <x:f>HYPERLINK("https://cdn.shopify.com/s/files/1/0918/6066/4603/files/O1CN01AaDXnx1CTbbylAzDt__2215013420082-0-cib.jpg?v=1779178144","Open")</x:f>
        <x:v>HYPERLINK is not implemented. linkLocation=https://cdn.shopify.com/s/files/1/0918/6066/4603/files/O1CN01AaDXnx1CTbbylAzDt__2215013420082-0-cib.jpg?v=1779178144, friendlyName=Open</x:v>
      </x:c>
      <x:c r="C2592" s="24" t="e">
        <x:f>HYPERLINK("https://365nails.com/products/world-cup-cute-pink-floral-heart-football-press-on-nails-sweet-24pcs-oval","World Cup Cute Pink Floral Heart Football Press-On Nails (Sweet/24pcs/Oval)")</x:f>
        <x:v>HYPERLINK is not implemented. linkLocation=https://365nails.com/products/world-cup-cute-pink-floral-heart-football-press-on-nails-sweet-24pcs-oval, friendlyName=World Cup Cute Pink Floral Heart Football Press-On Nails (Sweet/24pcs/Oval)</x:v>
      </x:c>
      <x:c r="D2592" s="18" t="str">
        <x:v>Color: Ys866 (without tools)</x:v>
      </x:c>
      <x:c r="E2592" s="25" t="str">
        <x:v>$0.99</x:v>
      </x:c>
      <x:c r="F2592" s="19" t="str">
        <x:v>3</x:v>
      </x:c>
    </x:row>
    <x:row r="2593" ht="93" customHeight="1">
      <x:c r="A2593" s="19" t="n">
        <x:v>2590</x:v>
      </x:c>
      <x:c r="B2593" s="22" t="e">
        <x:f>HYPERLINK("https://cdn.shopify.com/s/files/1/0918/6066/4603/files/O1CN01UGqvWC2NGHolP5EG3__4234819935-0-cib.jpg?v=1753433440","Open")</x:f>
        <x:v>HYPERLINK is not implemented. linkLocation=https://cdn.shopify.com/s/files/1/0918/6066/4603/files/O1CN01UGqvWC2NGHolP5EG3__4234819935-0-cib.jpg?v=1753433440, friendlyName=Open</x:v>
      </x:c>
      <x:c r="C2593" s="24" t="e">
        <x:f>HYPERLINK("https://365nails.com/products/super-long-ballet-french-wearing-nail-piece-autumn-and-winter-warm-color-patch-splicing-nail-piece-european-and-american-cross-border-nail-piece-365nails","extra long ballet French  autumn and winter warm color patch splicing nail piece   nail piece｜365nails")</x:f>
        <x:v>HYPERLINK is not implemented. linkLocation=https://365nails.com/products/super-long-ballet-french-wearing-nail-piece-autumn-and-winter-warm-color-patch-splicing-nail-piece-european-and-american-cross-border-nail-piece-365nails, friendlyName=extra long ballet French  autumn and winter warm color patch splicing nail piece   nail piece｜365nails</x:v>
      </x:c>
      <x:c r="D2593" s="18" t="str">
        <x:v>Color: JP3058</x:v>
      </x:c>
      <x:c r="E2593" s="25" t="str">
        <x:v>$1.51</x:v>
      </x:c>
      <x:c r="F2593" s="19" t="str">
        <x:v>1</x:v>
      </x:c>
    </x:row>
    <x:row r="2594" ht="93" customHeight="1">
      <x:c r="A2594" s="19" t="n">
        <x:v>2591</x:v>
      </x:c>
      <x:c r="B2594" s="22" t="e">
        <x:f>HYPERLINK("https://cdn.shopify.com/s/files/1/0918/6066/4603/files/O1CN01cAkrCW2NGHs5sfaOZ__4234819935-0-cib.jpg?v=1753433227","Open")</x:f>
        <x:v>HYPERLINK is not implemented. linkLocation=https://cdn.shopify.com/s/files/1/0918/6066/4603/files/O1CN01cAkrCW2NGHs5sfaOZ__4234819935-0-cib.jpg?v=1753433227, friendlyName=Open</x:v>
      </x:c>
      <x:c r="C2594" s="24" t="e">
        <x:f>HYPERLINK("https://365nails.com/products/short-rectangular-a-type-wearable-nail-pads-wholesale-simple-french-pink-nail-art-cross-border-hot-selling-wearable-nail-pads-365nails","Short rectangular A-type wearable nail pads wholesale simple French pink nail art  hot-selling wearable nail pads｜365nails")</x:f>
        <x:v>HYPERLINK is not implemented. linkLocation=https://365nails.com/products/short-rectangular-a-type-wearable-nail-pads-wholesale-simple-french-pink-nail-art-cross-border-hot-selling-wearable-nail-pads-365nails, friendlyName=Short rectangular A-type wearable nail pads wholesale simple French pink nail art  hot-selling wearable nail pads｜365nails</x:v>
      </x:c>
      <x:c r="D2594" s="18" t="str">
        <x:v>Color: JP3321</x:v>
      </x:c>
      <x:c r="E2594" s="25" t="str">
        <x:v>$0.70</x:v>
      </x:c>
      <x:c r="F2594" s="19" t="str">
        <x:v>1</x:v>
      </x:c>
    </x:row>
    <x:row r="2595" ht="93" customHeight="1">
      <x:c r="A2595" s="19" t="n">
        <x:v>2592</x:v>
      </x:c>
      <x:c r="B2595" s="22" t="e">
        <x:f>HYPERLINK("https://cdn.shopify.com/s/files/1/0918/6066/4603/files/O1CN01S2AlZM2NGHs5sQY1C__4234819935-0-cib.jpg?v=1753433223","Open")</x:f>
        <x:v>HYPERLINK is not implemented. linkLocation=https://cdn.shopify.com/s/files/1/0918/6066/4603/files/O1CN01S2AlZM2NGHs5sQY1C__4234819935-0-cib.jpg?v=1753433223, friendlyName=Open</x:v>
      </x:c>
      <x:c r="C2595" s="24" t="e">
        <x:f>HYPERLINK("https://365nails.com/products/simple-french-pink-white-gradual-change-wear-nail-art-fake-nail-glitter-removable-wear-nail-short-short-tip-nail-piece-365nails","Simple French pink white gradual change wear nail art fake nail glitter removable wear nail short short tip nail piece｜365nails")</x:f>
        <x:v>HYPERLINK is not implemented. linkLocation=https://365nails.com/products/simple-french-pink-white-gradual-change-wear-nail-art-fake-nail-glitter-removable-wear-nail-short-short-tip-nail-piece-365nails, friendlyName=Simple French pink white gradual change wear nail art fake nail glitter removable wear nail short short tip nail piece｜365nails</x:v>
      </x:c>
      <x:c r="D2595" s="18" t="str">
        <x:v>Color: JP3320</x:v>
      </x:c>
      <x:c r="E2595" s="25" t="str">
        <x:v>$0.80</x:v>
      </x:c>
      <x:c r="F2595" s="19" t="str">
        <x:v>1</x:v>
      </x:c>
    </x:row>
    <x:row r="2596" ht="93" customHeight="1">
      <x:c r="A2596" s="19" t="n">
        <x:v>2593</x:v>
      </x:c>
      <x:c r="B2596" s="22" t="e">
        <x:f>HYPERLINK("https://cdn.shopify.com/s/files/1/0918/6066/4603/files/O1CN01P6SXX82NGHsFgX9uj__4234819935-0-cib.jpg?v=1753432507","Open")</x:f>
        <x:v>HYPERLINK is not implemented. linkLocation=https://cdn.shopify.com/s/files/1/0918/6066/4603/files/O1CN01P6SXX82NGHsFgX9uj__4234819935-0-cib.jpg?v=1753432507, friendlyName=Open</x:v>
      </x:c>
      <x:c r="C2596" s="24" t="e">
        <x:f>HYPERLINK("https://365nails.com/products/cross-border-special-for-nail-wearing-spice-girls-3d-three-dimensional-smudging-nail-art-hot-selling-rectangular-nail-wearing-nail-wholesale-in-europe-and-america-365nails","special for nail-wearing Spice Girls 3D three-dimensional smudging nail art, hot-selling rectangular nail- wholesale in Europe and America｜365nails")</x:f>
        <x:v>HYPERLINK is not implemented. linkLocation=https://365nails.com/products/cross-border-special-for-nail-wearing-spice-girls-3d-three-dimensional-smudging-nail-art-hot-selling-rectangular-nail-wearing-nail-wholesale-in-europe-and-america-365nails, friendlyName=special for nail-wearing Spice Girls 3D three-dimensional smudging nail art, hot-selling rectangular nail- wholesale in Europe and America｜365nails</x:v>
      </x:c>
      <x:c r="D2596" s="18" t="str">
        <x:v>Color: JP3332</x:v>
      </x:c>
      <x:c r="E2596" s="25" t="str">
        <x:v>$1.54</x:v>
      </x:c>
      <x:c r="F2596" s="19" t="str">
        <x:v>1</x:v>
      </x:c>
    </x:row>
    <x:row r="2597" ht="93" customHeight="1">
      <x:c r="A2597" s="19" t="n">
        <x:v>2594</x:v>
      </x:c>
      <x:c r="B2597" s="22" t="e">
        <x:f>HYPERLINK("https://cdn.shopify.com/s/files/1/0918/6066/4603/files/O1CN01c6MGM22NGHrNiRXg0__4234819935-0-cib.jpg?v=1753432527","Open")</x:f>
        <x:v>HYPERLINK is not implemented. linkLocation=https://cdn.shopify.com/s/files/1/0918/6066/4603/files/O1CN01c6MGM22NGHrNiRXg0__4234819935-0-cib.jpg?v=1753432527, friendlyName=Open</x:v>
      </x:c>
      <x:c r="C2597" s="24" t="e">
        <x:f>HYPERLINK("https://365nails.com/products/foot-manicure-wearing-nail-black-solid-color-cat-eye-foot-nail-cross-border-explosion-fake-nail-press-on-nails-365nails","Foot manicure  black solid color cat eye foot nail  explosion  press on nails｜365nails")</x:f>
        <x:v>HYPERLINK is not implemented. linkLocation=https://365nails.com/products/foot-manicure-wearing-nail-black-solid-color-cat-eye-foot-nail-cross-border-explosion-fake-nail-press-on-nails-365nails, friendlyName=Foot manicure  black solid color cat eye foot nail  explosion  press on nails｜365nails</x:v>
      </x:c>
      <x:c r="D2597" s="18" t="str">
        <x:v>Color: JP3219</x:v>
      </x:c>
      <x:c r="E2597" s="25" t="str">
        <x:v>$1.25</x:v>
      </x:c>
      <x:c r="F2597" s="19" t="str">
        <x:v>1</x:v>
      </x:c>
    </x:row>
    <x:row r="2598" ht="93" customHeight="1">
      <x:c r="A2598" s="19" t="n">
        <x:v>2595</x:v>
      </x:c>
      <x:c r="B2598" s="22" t="e">
        <x:f>HYPERLINK("https://cdn.shopify.com/s/files/1/0918/6066/4603/files/O1CN01GOXfyS2NGHoxbAOhK__4234819935-0-cib.jpg?v=1753432473","Open")</x:f>
        <x:v>HYPERLINK is not implemented. linkLocation=https://cdn.shopify.com/s/files/1/0918/6066/4603/files/O1CN01GOXfyS2NGHoxbAOhK__4234819935-0-cib.jpg?v=1753432473, friendlyName=Open</x:v>
      </x:c>
      <x:c r="C2598" s="24" t="e">
        <x:f>HYPERLINK("https://365nails.com/products/naked-pink-solid-color-wearing-nail-white-bow-love-manicure-wearing-nail-piece-removable-fake-nail-wholesale-365nails","Naked pink solid color  white bow love manicure  removable fake nail wholesale｜365nails")</x:f>
        <x:v>HYPERLINK is not implemented. linkLocation=https://365nails.com/products/naked-pink-solid-color-wearing-nail-white-bow-love-manicure-wearing-nail-piece-removable-fake-nail-wholesale-365nails, friendlyName=Naked pink solid color  white bow love manicure  removable fake nail wholesale｜365nails</x:v>
      </x:c>
      <x:c r="D2598" s="18" t="str">
        <x:v>Color: JP3099</x:v>
      </x:c>
      <x:c r="E2598" s="25" t="str">
        <x:v>$1.03</x:v>
      </x:c>
      <x:c r="F2598" s="19" t="str">
        <x:v>1</x:v>
      </x:c>
    </x:row>
    <x:row r="2599" ht="93" customHeight="1">
      <x:c r="A2599" s="19" t="n">
        <x:v>2596</x:v>
      </x:c>
      <x:c r="B2599" s="22" t="e">
        <x:f>HYPERLINK("https://cdn.shopify.com/s/files/1/0918/6066/4603/files/O1CN01VQhGQS2NGHr8IlxoZ__4234819935-0-cib.jpg?v=1753432367","Open")</x:f>
        <x:v>HYPERLINK is not implemented. linkLocation=https://cdn.shopify.com/s/files/1/0918/6066/4603/files/O1CN01VQhGQS2NGHr8IlxoZ__4234819935-0-cib.jpg?v=1753432367, friendlyName=Open</x:v>
      </x:c>
      <x:c r="C2599" s="24" t="e">
        <x:f>HYPERLINK("https://365nails.com/products/2024-new-product-summer-little-bee-flower-wearing-nail-piece-wholesale-short-star-wearing-nail-art-fake-nail-365nails","product summer little bee flower  wholesale short star  art fake nail｜365nails")</x:f>
        <x:v>HYPERLINK is not implemented. linkLocation=https://365nails.com/products/2024-new-product-summer-little-bee-flower-wearing-nail-piece-wholesale-short-star-wearing-nail-art-fake-nail-365nails, friendlyName=product summer little bee flower  wholesale short star  art fake nail｜365nails</x:v>
      </x:c>
      <x:c r="D2599" s="18" t="str">
        <x:v>Color: JP3287</x:v>
      </x:c>
      <x:c r="E2599" s="25" t="str">
        <x:v>$0.77</x:v>
      </x:c>
      <x:c r="F2599" s="19" t="str">
        <x:v>1</x:v>
      </x:c>
    </x:row>
    <x:row r="2600" ht="93" customHeight="1">
      <x:c r="A2600" s="19" t="n">
        <x:v>2597</x:v>
      </x:c>
      <x:c r="B2600" s="22" t="e">
        <x:f>HYPERLINK("https://cdn.shopify.com/s/files/1/0918/6066/4603/files/O1CN01YfqtJ12NGHni2S6wV__4234819935-0-cib.jpg?v=1753432325","Open")</x:f>
        <x:v>HYPERLINK is not implemented. linkLocation=https://cdn.shopify.com/s/files/1/0918/6066/4603/files/O1CN01YfqtJ12NGHni2S6wV__4234819935-0-cib.jpg?v=1753432325, friendlyName=Open</x:v>
      </x:c>
      <x:c r="C2600" s="24" t="e">
        <x:f>HYPERLINK("https://365nails.com/products/leaf-simple-brown-wearable-nail-piece-cross-border-nail-piece-nail-piece-nail-piece-wearable-nail-piece-nail-piece-wholesale-365nails","Leaf simple brown wearable nail piece  nail piece Nail piece Nail piece Wearable nail piece Nail piece Wholesale｜365nails")</x:f>
        <x:v>HYPERLINK is not implemented. linkLocation=https://365nails.com/products/leaf-simple-brown-wearable-nail-piece-cross-border-nail-piece-nail-piece-nail-piece-wearable-nail-piece-nail-piece-wholesale-365nails, friendlyName=Leaf simple brown wearable nail piece  nail piece Nail piece Nail piece Wearable nail piece Nail piece Wholesale｜365nails</x:v>
      </x:c>
      <x:c r="D2600" s="18" t="str">
        <x:v>Color: JP2873</x:v>
      </x:c>
      <x:c r="E2600" s="25" t="str">
        <x:v>$0.86</x:v>
      </x:c>
      <x:c r="F2600" s="19" t="str">
        <x:v>1</x:v>
      </x:c>
    </x:row>
    <x:row r="2601" ht="93" customHeight="1">
      <x:c r="A2601" s="19" t="n">
        <x:v>2598</x:v>
      </x:c>
      <x:c r="B2601" s="22" t="e">
        <x:f>HYPERLINK("https://cdn.shopify.com/s/files/1/0918/6066/4603/files/O1CN01YirvhF2NGHsG4IRyX__4234819935-0-cib.jpg?v=1753432334","Open")</x:f>
        <x:v>HYPERLINK is not implemented. linkLocation=https://cdn.shopify.com/s/files/1/0918/6066/4603/files/O1CN01YirvhF2NGHsG4IRyX__4234819935-0-cib.jpg?v=1753432334, friendlyName=Open</x:v>
      </x:c>
      <x:c r="C2601" s="24" t="e">
        <x:f>HYPERLINK("https://365nails.com/products/simple-french-white-wearing-nail-toenail-summer-new-foot-manicure-flower-flash-drill-toenail-wholesale-365nails","Simple French white press on nails toenail summer new foot manicure flower flash drill toenail wholesale｜365nails")</x:f>
        <x:v>HYPERLINK is not implemented. linkLocation=https://365nails.com/products/simple-french-white-wearing-nail-toenail-summer-new-foot-manicure-flower-flash-drill-toenail-wholesale-365nails, friendlyName=Simple French white press on nails toenail summer new foot manicure flower flash drill toenail wholesale｜365nails</x:v>
      </x:c>
      <x:c r="D2601" s="18" t="str">
        <x:v>Color: JP3344</x:v>
      </x:c>
      <x:c r="E2601" s="25" t="str">
        <x:v>$1.25</x:v>
      </x:c>
      <x:c r="F2601" s="19" t="str">
        <x:v>1</x:v>
      </x:c>
    </x:row>
    <x:row r="2602" ht="93" customHeight="1">
      <x:c r="A2602" s="19" t="n">
        <x:v>2599</x:v>
      </x:c>
      <x:c r="B2602" s="22" t="e">
        <x:f>HYPERLINK("https://cdn.shopify.com/s/files/1/0918/6066/4603/files/O1CN01TlICtF2NGHpvoDMtu__4234819935-0-cib.jpg?v=1753432303","Open")</x:f>
        <x:v>HYPERLINK is not implemented. linkLocation=https://cdn.shopify.com/s/files/1/0918/6066/4603/files/O1CN01TlICtF2NGHpvoDMtu__4234819935-0-cib.jpg?v=1753432303, friendlyName=Open</x:v>
      </x:c>
      <x:c r="C2602" s="24" t="e">
        <x:f>HYPERLINK("https://365nails.com/products/naked-foot-nail-piece-wholesale-gold-line-foot-wear-nail-champagne-glitter-gradual-change-nail-art-toenail-piece-365nails","Naked foot nail piece wholesale gold line foot wear nail champagne glitter gradual change nail art toenail piece｜365nails")</x:f>
        <x:v>HYPERLINK is not implemented. linkLocation=https://365nails.com/products/naked-foot-nail-piece-wholesale-gold-line-foot-wear-nail-champagne-glitter-gradual-change-nail-art-toenail-piece-365nails, friendlyName=Naked foot nail piece wholesale gold line foot wear nail champagne glitter gradual change nail art toenail piece｜365nails</x:v>
      </x:c>
      <x:c r="D2602" s="18" t="str">
        <x:v>Color: JP3215</x:v>
      </x:c>
      <x:c r="E2602" s="25" t="str">
        <x:v>$0.91</x:v>
      </x:c>
      <x:c r="F2602" s="19" t="str">
        <x:v>1</x:v>
      </x:c>
    </x:row>
    <x:row r="2603" ht="93" customHeight="1">
      <x:c r="A2603" s="19" t="n">
        <x:v>2600</x:v>
      </x:c>
      <x:c r="B2603" s="22" t="e">
        <x:f>HYPERLINK("https://cdn.shopify.com/s/files/1/0918/6066/4603/files/O1CN018YTpDR2NGHoMZm4CO__4234819935-0-cib.jpg?v=1753432208","Open")</x:f>
        <x:v>HYPERLINK is not implemented. linkLocation=https://cdn.shopify.com/s/files/1/0918/6066/4603/files/O1CN018YTpDR2NGHoMZm4CO__4234819935-0-cib.jpg?v=1753432208, friendlyName=Open</x:v>
      </x:c>
      <x:c r="C2603" s="24" t="e">
        <x:f>HYPERLINK("https://365nails.com/products/french-wearing-nail-love-flash-diamond-explosive-flash-nail-patch-detachable-wearable-nail-patch-xiaohongshu-nail-art-false-nail-365nails","French Wearing Nail Love Flash Diamond Explosive Flash Nail Patch Detachable Wearable Nail Patch  Nail Art False Nail｜365nails")</x:f>
        <x:v>HYPERLINK is not implemented. linkLocation=https://365nails.com/products/french-wearing-nail-love-flash-diamond-explosive-flash-nail-patch-detachable-wearable-nail-patch-xiaohongshu-nail-art-false-nail-365nails, friendlyName=French Wearing Nail Love Flash Diamond Explosive Flash Nail Patch Detachable Wearable Nail Patch  Nail Art False Nail｜365nails</x:v>
      </x:c>
      <x:c r="D2603" s="18" t="str">
        <x:v>Color: JP2897</x:v>
      </x:c>
      <x:c r="E2603" s="25" t="str">
        <x:v>$1.54</x:v>
      </x:c>
      <x:c r="F2603" s="19" t="str">
        <x:v>1</x:v>
      </x:c>
    </x:row>
    <x:row r="2604" ht="93" customHeight="1">
      <x:c r="A2604" s="19" t="n">
        <x:v>2601</x:v>
      </x:c>
      <x:c r="B2604" s="22" t="e">
        <x:f>HYPERLINK("https://cdn.shopify.com/s/files/1/0918/6066/4603/files/O1CN01N55fSJ2NGHo0zPfmP__4234819935-0-cib.jpg?v=1753432264","Open")</x:f>
        <x:v>HYPERLINK is not implemented. linkLocation=https://cdn.shopify.com/s/files/1/0918/6066/4603/files/O1CN01N55fSJ2NGHo0zPfmP__4234819935-0-cib.jpg?v=1753432264, friendlyName=Open</x:v>
      </x:c>
      <x:c r="C2604" s="24" t="e">
        <x:f>HYPERLINK("https://365nails.com/products/pink-gradual-change-nail-wear-nail-autumn-new-nail-patch-nail-piece-three-dimensional-petal-wearing-nail-piece-365nails","Pink gradual change nail wear nail autumn new nail patch nail piece three-dimensional petal ｜365nails")</x:f>
        <x:v>HYPERLINK is not implemented. linkLocation=https://365nails.com/products/pink-gradual-change-nail-wear-nail-autumn-new-nail-patch-nail-piece-three-dimensional-petal-wearing-nail-piece-365nails, friendlyName=Pink gradual change nail wear nail autumn new nail patch nail piece three-dimensional petal ｜365nails</x:v>
      </x:c>
      <x:c r="D2604" s="18" t="str">
        <x:v>Color: JP2789</x:v>
      </x:c>
      <x:c r="E2604" s="25" t="str">
        <x:v>$2.73</x:v>
      </x:c>
      <x:c r="F2604" s="19" t="str">
        <x:v>1</x:v>
      </x:c>
    </x:row>
    <x:row r="2605" ht="93" customHeight="1">
      <x:c r="A2605" s="19" t="n">
        <x:v>2602</x:v>
      </x:c>
      <x:c r="B2605" s="22" t="e">
        <x:f>HYPERLINK("https://cdn.shopify.com/s/files/1/0918/6066/4603/files/O1CN01gi6G5c2NGHooM3xPo__4234819935-0-cib.jpg?v=1753432211","Open")</x:f>
        <x:v>HYPERLINK is not implemented. linkLocation=https://cdn.shopify.com/s/files/1/0918/6066/4603/files/O1CN01gi6G5c2NGHooM3xPo__4234819935-0-cib.jpg?v=1753432211, friendlyName=Open</x:v>
      </x:c>
      <x:c r="C2605" s="24" t="e">
        <x:f>HYPERLINK("https://365nails.com/products/maillard-white-y2k-wearing-nail-snake-pattern-medium-and-long-ballet-nail-piece-heavy-metal-nail-piece-factory-wholesale-365nails","Maillard white  wearing nail snake pattern medium and long ballet nail piece heavy metal nail piece factory wholesale｜365nails")</x:f>
        <x:v>HYPERLINK is not implemented. linkLocation=https://365nails.com/products/maillard-white-y2k-wearing-nail-snake-pattern-medium-and-long-ballet-nail-piece-heavy-metal-nail-piece-factory-wholesale-365nails, friendlyName=Maillard white  wearing nail snake pattern medium and long ballet nail piece heavy metal nail piece factory wholesale｜365nails</x:v>
      </x:c>
      <x:c r="D2605" s="18" t="str">
        <x:v>Color: GN019</x:v>
      </x:c>
      <x:c r="E2605" s="25" t="str">
        <x:v>$1.51</x:v>
      </x:c>
      <x:c r="F2605" s="19" t="str">
        <x:v>1</x:v>
      </x:c>
    </x:row>
    <x:row r="2606" ht="93" customHeight="1">
      <x:c r="A2606" s="19" t="n">
        <x:v>2603</x:v>
      </x:c>
      <x:c r="B2606" s="22" t="e">
        <x:f>HYPERLINK("https://cdn.shopify.com/s/files/1/0918/6066/4603/files/O1CN01aRmoct2NGHrMwGnar__4234819935-0-cib.jpg?v=1753432239","Open")</x:f>
        <x:v>HYPERLINK is not implemented. linkLocation=https://cdn.shopify.com/s/files/1/0918/6066/4603/files/O1CN01aRmoct2NGHrMwGnar__4234819935-0-cib.jpg?v=1753432239, friendlyName=Open</x:v>
      </x:c>
      <x:c r="C2606" s="24" t="e">
        <x:f>HYPERLINK("https://365nails.com/products/wear-nail-pads-wholesale-new-y2k-cool-spicy-planet-flash-diamond-explosion-flash-nail-art-fake-nail-star-smudge-nail-pads-365nails","Wear nail pads wholesale new  cool spicy planet flash diamond explosion flash nail art fake nail star smudge nail pads｜365nails")</x:f>
        <x:v>HYPERLINK is not implemented. linkLocation=https://365nails.com/products/wear-nail-pads-wholesale-new-y2k-cool-spicy-planet-flash-diamond-explosion-flash-nail-art-fake-nail-star-smudge-nail-pads-365nails, friendlyName=Wear nail pads wholesale new  cool spicy planet flash diamond explosion flash nail art fake nail star smudge nail pads｜365nails</x:v>
      </x:c>
      <x:c r="D2606" s="18" t="str">
        <x:v>Color: JP3271</x:v>
      </x:c>
      <x:c r="E2606" s="25" t="str">
        <x:v>$1.51</x:v>
      </x:c>
      <x:c r="F2606" s="19" t="str">
        <x:v>1</x:v>
      </x:c>
    </x:row>
    <x:row r="2607" ht="93" customHeight="1">
      <x:c r="A2607" s="19" t="n">
        <x:v>2604</x:v>
      </x:c>
      <x:c r="B2607" s="22" t="e">
        <x:f>HYPERLINK("https://cdn.shopify.com/s/files/1/0918/6066/4603/files/O1CN01ZD3H7c2NGHr2qUW1s__4234819935-0-cib.jpg?v=1753432139","Open")</x:f>
        <x:v>HYPERLINK is not implemented. linkLocation=https://cdn.shopify.com/s/files/1/0918/6066/4603/files/O1CN01ZD3H7c2NGHr2qUW1s__4234819935-0-cib.jpg?v=1753432139, friendlyName=Open</x:v>
      </x:c>
      <x:c r="C2607" s="24" t="e">
        <x:f>HYPERLINK("https://365nails.com/products/sweet-ins-wind-bow-nail-art-piece-wholesale-star-blush-wearing-nail-wholesale-new-wearing-fake-nails-365nails","Sweet ins wind bow nail art piece wholesale star blush press on nails wholesale new wearing fake nails｜365nails")</x:f>
        <x:v>HYPERLINK is not implemented. linkLocation=https://365nails.com/products/sweet-ins-wind-bow-nail-art-piece-wholesale-star-blush-wearing-nail-wholesale-new-wearing-fake-nails-365nails, friendlyName=Sweet ins wind bow nail art piece wholesale star blush press on nails wholesale new wearing fake nails｜365nails</x:v>
      </x:c>
      <x:c r="D2607" s="18" t="str">
        <x:v>Color: JP3256</x:v>
      </x:c>
      <x:c r="E2607" s="25" t="str">
        <x:v>$1.33</x:v>
      </x:c>
      <x:c r="F2607" s="19" t="str">
        <x:v>1</x:v>
      </x:c>
    </x:row>
    <x:row r="2608" ht="93" customHeight="1">
      <x:c r="A2608" s="19" t="n">
        <x:v>2605</x:v>
      </x:c>
      <x:c r="B2608" s="22" t="e">
        <x:f>HYPERLINK("https://cdn.shopify.com/s/files/1/0918/6066/4603/files/O1CN01kGVZh32NGHooPE7eU__4234819935-0-cib.jpg?v=1753432191","Open")</x:f>
        <x:v>HYPERLINK is not implemented. linkLocation=https://cdn.shopify.com/s/files/1/0918/6066/4603/files/O1CN01kGVZh32NGHooPE7eU__4234819935-0-cib.jpg?v=1753432191, friendlyName=Open</x:v>
      </x:c>
      <x:c r="C2608" s="24" t="e">
        <x:f>HYPERLINK("https://365nails.com/products/new-nude-french-white-edge-wearing-nail-colorful-purple-glitter-sequins-nail-piece-ballet-nail-piece-wholesale-365nails","New nude French white edge press on nails colorful purple glitter sequins nail piece ballet nail piece wholesale｜365nails")</x:f>
        <x:v>HYPERLINK is not implemented. linkLocation=https://365nails.com/products/new-nude-french-white-edge-wearing-nail-colorful-purple-glitter-sequins-nail-piece-ballet-nail-piece-wholesale-365nails, friendlyName=New nude French white edge press on nails colorful purple glitter sequins nail piece ballet nail piece wholesale｜365nails</x:v>
      </x:c>
      <x:c r="D2608" s="18" t="str">
        <x:v>Color: JP3119</x:v>
      </x:c>
      <x:c r="E2608" s="25" t="str">
        <x:v>$0.77</x:v>
      </x:c>
      <x:c r="F2608" s="19" t="str">
        <x:v>1</x:v>
      </x:c>
    </x:row>
    <x:row r="2609" ht="93" customHeight="1">
      <x:c r="A2609" s="19" t="n">
        <x:v>2606</x:v>
      </x:c>
      <x:c r="B2609" s="22" t="e">
        <x:f>HYPERLINK("https://cdn.shopify.com/s/files/1/0918/6066/4603/files/O1CN01kCWcyT2NGHs8plCRs__4234819935-0-cib.jpg?v=1753432154","Open")</x:f>
        <x:v>HYPERLINK is not implemented. linkLocation=https://cdn.shopify.com/s/files/1/0918/6066/4603/files/O1CN01kCWcyT2NGHs8plCRs__4234819935-0-cib.jpg?v=1753432154, friendlyName=Open</x:v>
      </x:c>
      <x:c r="C2609" s="24" t="e">
        <x:f>HYPERLINK("https://365nails.com/products/white-french-ballet-wear-nail-cross-border-explosion-24-boxed-nail-art-wholesale-press-on-nails-365nails","White French Ballet Wear Nail  Explosion 24 Boxed Nail Art Wholesale press on nails｜365nails")</x:f>
        <x:v>HYPERLINK is not implemented. linkLocation=https://365nails.com/products/white-french-ballet-wear-nail-cross-border-explosion-24-boxed-nail-art-wholesale-press-on-nails-365nails, friendlyName=White French Ballet Wear Nail  Explosion 24 Boxed Nail Art Wholesale press on nails｜365nails</x:v>
      </x:c>
      <x:c r="D2609" s="18" t="str">
        <x:v>Color: JP3371</x:v>
      </x:c>
      <x:c r="E2609" s="25" t="str">
        <x:v>$0.70</x:v>
      </x:c>
      <x:c r="F2609" s="19" t="str">
        <x:v>1</x:v>
      </x:c>
    </x:row>
    <x:row r="2610" ht="93" customHeight="1">
      <x:c r="A2610" s="19" t="n">
        <x:v>2607</x:v>
      </x:c>
      <x:c r="B2610" s="22" t="e">
        <x:f>HYPERLINK("https://cdn.shopify.com/s/files/1/0918/6066/4603/files/17809272078_2037667256.jpg?v=1753432130","Open")</x:f>
        <x:v>HYPERLINK is not implemented. linkLocation=https://cdn.shopify.com/s/files/1/0918/6066/4603/files/17809272078_2037667256.jpg?v=1753432130, friendlyName=Open</x:v>
      </x:c>
      <x:c r="C2610" s="24" t="e">
        <x:f>HYPERLINK("https://365nails.com/products/bevel-french-short-ballet-water-red-wearing-nail-finished-fake-nail-manicure-patch-nail-patch-waterproof-stall-365nails","Bevel French short ballet water red press on nails finished fake nail manicure patch nail patch waterproof stall｜365nails")</x:f>
        <x:v>HYPERLINK is not implemented. linkLocation=https://365nails.com/products/bevel-french-short-ballet-water-red-wearing-nail-finished-fake-nail-manicure-patch-nail-patch-waterproof-stall-365nails, friendlyName=Bevel French short ballet water red press on nails finished fake nail manicure patch nail patch waterproof stall｜365nails</x:v>
      </x:c>
      <x:c r="D2610" s="18" t="str">
        <x:v>Color: JP817</x:v>
      </x:c>
      <x:c r="E2610" s="25" t="str">
        <x:v>$0.70</x:v>
      </x:c>
      <x:c r="F2610" s="19" t="str">
        <x:v>1</x:v>
      </x:c>
    </x:row>
    <x:row r="2611" ht="93" customHeight="1">
      <x:c r="A2611" s="19" t="n">
        <x:v>2608</x:v>
      </x:c>
      <x:c r="B2611" s="22" t="e">
        <x:f>HYPERLINK("https://cdn.shopify.com/s/files/1/0918/6066/4603/files/17714463602_2037667256.jpg?v=1753432092","Open")</x:f>
        <x:v>HYPERLINK is not implemented. linkLocation=https://cdn.shopify.com/s/files/1/0918/6066/4603/files/17714463602_2037667256.jpg?v=1753432092, friendlyName=Open</x:v>
      </x:c>
      <x:c r="C2611" s="24" t="e">
        <x:f>HYPERLINK("https://365nails.com/products/naked-oblique-french-lake-blue-green-wearing-nail-finished-fake-nail-nail-patch-nail-patch-stall-source-nail-patch-365nails","Naked Oblique French Lake Blue-Green Wearing Nail Finished Fake Nail Nail Patch Nail Patch Stall Source Nail Patch｜365nails")</x:f>
        <x:v>HYPERLINK is not implemented. linkLocation=https://365nails.com/products/naked-oblique-french-lake-blue-green-wearing-nail-finished-fake-nail-nail-patch-nail-patch-stall-source-nail-patch-365nails, friendlyName=Naked Oblique French Lake Blue-Green Wearing Nail Finished Fake Nail Nail Patch Nail Patch Stall Source Nail Patch｜365nails</x:v>
      </x:c>
      <x:c r="D2611" s="18" t="str">
        <x:v>Color: JP807</x:v>
      </x:c>
      <x:c r="E2611" s="25" t="str">
        <x:v>$0.70</x:v>
      </x:c>
      <x:c r="F2611" s="19" t="str">
        <x:v>1</x:v>
      </x:c>
    </x:row>
    <x:row r="2612" ht="93" customHeight="1">
      <x:c r="A2612" s="19" t="n">
        <x:v>2609</x:v>
      </x:c>
      <x:c r="B2612" s="22" t="e">
        <x:f>HYPERLINK("https://cdn.shopify.com/s/files/1/0918/6066/4603/files/O1CN01qk95ks2NGHtcEr7Uo__4234819935-0-cib.jpg?v=1753432086","Open")</x:f>
        <x:v>HYPERLINK is not implemented. linkLocation=https://cdn.shopify.com/s/files/1/0918/6066/4603/files/O1CN01qk95ks2NGHtcEr7Uo__4234819935-0-cib.jpg?v=1753432086, friendlyName=Open</x:v>
      </x:c>
      <x:c r="C2612" s="24" t="e">
        <x:f>HYPERLINK("https://365nails.com/products/french-3d-three-dimensional-water-drop-ripple-wearing-nail-blush-nail-art-fake-nail-chinese-character-nail-patch-nail-piece-finished-product-365nails","French 3D three-dimensional water drop ripple press on nails blush nail art fake nail Chinese character nail patch nail piece finished product｜365nails")</x:f>
        <x:v>HYPERLINK is not implemented. linkLocation=https://365nails.com/products/french-3d-three-dimensional-water-drop-ripple-wearing-nail-blush-nail-art-fake-nail-chinese-character-nail-patch-nail-piece-finished-product-365nails, friendlyName=French 3D three-dimensional water drop ripple press on nails blush nail art fake nail Chinese character nail patch nail piece finished product｜365nails</x:v>
      </x:c>
      <x:c r="D2612" s="18" t="str">
        <x:v>Color: JP3439</x:v>
      </x:c>
      <x:c r="E2612" s="25" t="str">
        <x:v>$1.47</x:v>
      </x:c>
      <x:c r="F2612" s="19" t="str">
        <x:v>1</x:v>
      </x:c>
    </x:row>
    <x:row r="2613" ht="93" customHeight="1">
      <x:c r="A2613" s="19" t="n">
        <x:v>2610</x:v>
      </x:c>
      <x:c r="B2613" s="22" t="e">
        <x:f>HYPERLINK("https://cdn.shopify.com/s/files/1/0918/6066/4603/files/O1CN01Ksfc8i2NGHo7FJlQj__4234819935-0-cib.jpg?v=1753432070","Open")</x:f>
        <x:v>HYPERLINK is not implemented. linkLocation=https://cdn.shopify.com/s/files/1/0918/6066/4603/files/O1CN01Ksfc8i2NGHo7FJlQj__4234819935-0-cib.jpg?v=1753432070, friendlyName=Open</x:v>
      </x:c>
      <x:c r="C2613" s="24" t="e">
        <x:f>HYPERLINK("https://365nails.com/products/xiaohongshu-simple-wear-nail-false-nail-short-blush-nail-art-nail-patch-nail-patch-diamond-wear-nail-patch-365nails","Simple Wear Nail False Nail Short Blush Nail Art Nail Patch Nail Patch Diamond Wear Nail Patch｜365nails")</x:f>
        <x:v>HYPERLINK is not implemented. linkLocation=https://365nails.com/products/xiaohongshu-simple-wear-nail-false-nail-short-blush-nail-art-nail-patch-nail-patch-diamond-wear-nail-patch-365nails, friendlyName=Simple Wear Nail False Nail Short Blush Nail Art Nail Patch Nail Patch Diamond Wear Nail Patch｜365nails</x:v>
      </x:c>
      <x:c r="D2613" s="18" t="str">
        <x:v>Color: JP2634</x:v>
      </x:c>
      <x:c r="E2613" s="25" t="str">
        <x:v>$0.97</x:v>
      </x:c>
      <x:c r="F2613" s="19" t="str">
        <x:v>1</x:v>
      </x:c>
    </x:row>
    <x:row r="2614" ht="93" customHeight="1">
      <x:c r="A2614" s="19" t="n">
        <x:v>2611</x:v>
      </x:c>
      <x:c r="B2614" s="22" t="e">
        <x:f>HYPERLINK("https://cdn.shopify.com/s/files/1/0918/6066/4603/files/O1CN01qpMW402NGHnU9z7Yr__4234819935-0-cib.jpg?v=1753432011","Open")</x:f>
        <x:v>HYPERLINK is not implemented. linkLocation=https://cdn.shopify.com/s/files/1/0918/6066/4603/files/O1CN01qpMW402NGHnU9z7Yr__4234819935-0-cib.jpg?v=1753432011, friendlyName=Open</x:v>
      </x:c>
      <x:c r="C2614" s="24" t="e">
        <x:f>HYPERLINK("https://365nails.com/products/french-white-edge-manicure-piece-pure-desire-butterfly-flash-diamond-wearing-nail-piece-rectangular-nail-wearing-nail-piece-365nails","French white edge manicure piece Pure desire butterfly flash diamond  Rectangular nail ｜365nails")</x:f>
        <x:v>HYPERLINK is not implemented. linkLocation=https://365nails.com/products/french-white-edge-manicure-piece-pure-desire-butterfly-flash-diamond-wearing-nail-piece-rectangular-nail-wearing-nail-piece-365nails, friendlyName=French white edge manicure piece Pure desire butterfly flash diamond  Rectangular nail ｜365nails</x:v>
      </x:c>
      <x:c r="D2614" s="18" t="str">
        <x:v>Color: JP2768</x:v>
      </x:c>
      <x:c r="E2614" s="25" t="str">
        <x:v>$1.16</x:v>
      </x:c>
      <x:c r="F2614" s="19" t="str">
        <x:v>1</x:v>
      </x:c>
    </x:row>
    <x:row r="2615" ht="93" customHeight="1">
      <x:c r="A2615" s="19" t="n">
        <x:v>2612</x:v>
      </x:c>
      <x:c r="B2615" s="22" t="e">
        <x:f>HYPERLINK("https://cdn.shopify.com/s/files/1/0918/6066/4603/files/O1CN01whOQnT2NGHpWy76LR__4234819935-0-cib.jpg?v=1753431982","Open")</x:f>
        <x:v>HYPERLINK is not implemented. linkLocation=https://cdn.shopify.com/s/files/1/0918/6066/4603/files/O1CN01whOQnT2NGHpWy76LR__4234819935-0-cib.jpg?v=1753431982, friendlyName=Open</x:v>
      </x:c>
      <x:c r="C2615" s="24" t="e">
        <x:f>HYPERLINK("https://365nails.com/products/european-and-american-french-wearing-nail-pads-3d-pink-fake-nail-manicure-patches-detachable-finished-products-24-nail-pads-wholesale-365nails","French wearing nail pads 3D pink fake nail manicure patches detachable finished products 24 nail pads wholesale｜365nails")</x:f>
        <x:v>HYPERLINK is not implemented. linkLocation=https://365nails.com/products/european-and-american-french-wearing-nail-pads-3d-pink-fake-nail-manicure-patches-detachable-finished-products-24-nail-pads-wholesale-365nails, friendlyName=French wearing nail pads 3D pink fake nail manicure patches detachable finished products 24 nail pads wholesale｜365nails</x:v>
      </x:c>
      <x:c r="D2615" s="18" t="str">
        <x:v>Color: JP3038</x:v>
      </x:c>
      <x:c r="E2615" s="25" t="str">
        <x:v>$2.13</x:v>
      </x:c>
      <x:c r="F2615" s="19" t="str">
        <x:v>1</x:v>
      </x:c>
    </x:row>
    <x:row r="2616" ht="93" customHeight="1">
      <x:c r="A2616" s="19" t="n">
        <x:v>2613</x:v>
      </x:c>
      <x:c r="B2616" s="22" t="e">
        <x:f>HYPERLINK("https://cdn.shopify.com/s/files/1/0918/6066/4603/files/O1CN0199wQse2NGHsIZigna__4234819935-0-cib.jpg?v=1753431866","Open")</x:f>
        <x:v>HYPERLINK is not implemented. linkLocation=https://cdn.shopify.com/s/files/1/0918/6066/4603/files/O1CN0199wQse2NGHsIZigna__4234819935-0-cib.jpg?v=1753431866, friendlyName=Open</x:v>
      </x:c>
      <x:c r="C2616" s="24" t="e">
        <x:f>HYPERLINK("https://365nails.com/products/french-flash-diamond-explosive-flash-wearing-nail-cross-border-special-for-nail-art-nail-patch-planet-love-gem-nail-wholesale-365nails","French flash diamond explosive flash wearing nail  special for nail art nail patch planet love gem nail wholesale｜365nails")</x:f>
        <x:v>HYPERLINK is not implemented. linkLocation=https://365nails.com/products/french-flash-diamond-explosive-flash-wearing-nail-cross-border-special-for-nail-art-nail-patch-planet-love-gem-nail-wholesale-365nails, friendlyName=French flash diamond explosive flash wearing nail  special for nail art nail patch planet love gem nail wholesale｜365nails</x:v>
      </x:c>
      <x:c r="D2616" s="18" t="str">
        <x:v>Color: JP3342</x:v>
      </x:c>
      <x:c r="E2616" s="25" t="str">
        <x:v>$3.22</x:v>
      </x:c>
      <x:c r="F2616" s="19" t="str">
        <x:v>1</x:v>
      </x:c>
    </x:row>
    <x:row r="2617" ht="93" customHeight="1">
      <x:c r="A2617" s="19" t="n">
        <x:v>2614</x:v>
      </x:c>
      <x:c r="B2617" s="22" t="e">
        <x:f>HYPERLINK("https://cdn.shopify.com/s/files/1/0918/6066/4603/files/O1CN01j6PhV42NGHuKOJPcW__4234819935-0-cib.jpg?v=1753431823","Open")</x:f>
        <x:v>HYPERLINK is not implemented. linkLocation=https://cdn.shopify.com/s/files/1/0918/6066/4603/files/O1CN01j6PhV42NGHuKOJPcW__4234819935-0-cib.jpg?v=1753431823, friendlyName=Open</x:v>
      </x:c>
      <x:c r="C2617" s="24" t="e">
        <x:f>HYPERLINK("https://365nails.com/products/cross-border-hot-selling-fishtail-wearable-manicure-short-3d-fake-nail-pearl-flash-diamond-wearable-nail-piece-finished-product-wholesale-365nails","hot-selling fishtail wearable manicure short 3D fake nail pearl flash diamond wearable nail piece finished product wholesale｜365nails")</x:f>
        <x:v>HYPERLINK is not implemented. linkLocation=https://365nails.com/products/cross-border-hot-selling-fishtail-wearable-manicure-short-3d-fake-nail-pearl-flash-diamond-wearable-nail-piece-finished-product-wholesale-365nails, friendlyName=hot-selling fishtail wearable manicure short 3D fake nail pearl flash diamond wearable nail piece finished product wholesale｜365nails</x:v>
      </x:c>
      <x:c r="D2617" s="18" t="str">
        <x:v>Color: JP3433</x:v>
      </x:c>
      <x:c r="E2617" s="25" t="str">
        <x:v>$1.68</x:v>
      </x:c>
      <x:c r="F2617" s="19" t="str">
        <x:v>1</x:v>
      </x:c>
    </x:row>
    <x:row r="2618" ht="93" customHeight="1">
      <x:c r="A2618" s="19" t="n">
        <x:v>2615</x:v>
      </x:c>
      <x:c r="B2618" s="22" t="e">
        <x:f>HYPERLINK("https://cdn.shopify.com/s/files/1/0918/6066/4603/files/O1CN01pERHCc2NGHpajfgGs__4234819935-0-cib.jpg?v=1753431805","Open")</x:f>
        <x:v>HYPERLINK is not implemented. linkLocation=https://cdn.shopify.com/s/files/1/0918/6066/4603/files/O1CN01pERHCc2NGHpajfgGs__4234819935-0-cib.jpg?v=1753431805, friendlyName=Open</x:v>
      </x:c>
      <x:c r="C2618" s="24" t="e">
        <x:f>HYPERLINK("https://365nails.com/products/simple-solid-color-foot-nail-patch-wholesale-pattern-classic-black-splicing-nail-glitter-short-wearing-nail-365nails","Simple solid color foot nail patch wholesale pattern classic black splicing nail glitter short ｜365nails")</x:f>
        <x:v>HYPERLINK is not implemented. linkLocation=https://365nails.com/products/simple-solid-color-foot-nail-patch-wholesale-pattern-classic-black-splicing-nail-glitter-short-wearing-nail-365nails, friendlyName=Simple solid color foot nail patch wholesale pattern classic black splicing nail glitter short ｜365nails</x:v>
      </x:c>
      <x:c r="D2618" s="18" t="str">
        <x:v>Color: JP3214</x:v>
      </x:c>
      <x:c r="E2618" s="25" t="str">
        <x:v>$0.77</x:v>
      </x:c>
      <x:c r="F2618" s="19" t="str">
        <x:v>1</x:v>
      </x:c>
    </x:row>
    <x:row r="2619" ht="93" customHeight="1">
      <x:c r="A2619" s="19" t="n">
        <x:v>2616</x:v>
      </x:c>
      <x:c r="B2619" s="22" t="e">
        <x:f>HYPERLINK("https://cdn.shopify.com/s/files/1/0918/6066/4603/files/O1CN01qqBTT82NGHpuTKa3q__4234819935-0-cib.jpg?v=1753431719","Open")</x:f>
        <x:v>HYPERLINK is not implemented. linkLocation=https://cdn.shopify.com/s/files/1/0918/6066/4603/files/O1CN01qqBTT82NGHpuTKa3q__4234819935-0-cib.jpg?v=1753431719, friendlyName=Open</x:v>
      </x:c>
      <x:c r="C2619" s="24" t="e">
        <x:f>HYPERLINK("https://365nails.com/products/new-2024-toenail-caramel-color-white-smudging-wearing-nail-and-foot-manicure-wearing-nail-piece-finished-product-wholesale-365nails","New  toenail caramel color white smudging  and foot manicure  finished product wholesale｜365nails")</x:f>
        <x:v>HYPERLINK is not implemented. linkLocation=https://365nails.com/products/new-2024-toenail-caramel-color-white-smudging-wearing-nail-and-foot-manicure-wearing-nail-piece-finished-product-wholesale-365nails, friendlyName=New  toenail caramel color white smudging  and foot manicure  finished product wholesale｜365nails</x:v>
      </x:c>
      <x:c r="D2619" s="18" t="str">
        <x:v>Color: JP3218</x:v>
      </x:c>
      <x:c r="E2619" s="25" t="str">
        <x:v>$1.30</x:v>
      </x:c>
      <x:c r="F2619" s="19" t="str">
        <x:v>1</x:v>
      </x:c>
    </x:row>
    <x:row r="2620" ht="93" customHeight="1">
      <x:c r="A2620" s="19" t="n">
        <x:v>2617</x:v>
      </x:c>
      <x:c r="B2620" s="22" t="e">
        <x:f>HYPERLINK("https://cdn.shopify.com/s/files/1/0918/6066/4603/files/O1CN01b9myZ92NGHpT7DDtP__4234819935-0-cib.jpg?v=1753431733","Open")</x:f>
        <x:v>HYPERLINK is not implemented. linkLocation=https://cdn.shopify.com/s/files/1/0918/6066/4603/files/O1CN01b9myZ92NGHpT7DDtP__4234819935-0-cib.jpg?v=1753431733, friendlyName=Open</x:v>
      </x:c>
      <x:c r="C2620" s="24" t="e">
        <x:f>HYPERLINK("https://365nails.com/products/peach-love-french-wearing-nail-3d-almond-fake-nail-mermaid-bubble-bead-nail-art-piece-finished-product-wholesale-365nails","Peach love French  3D almond  mermaid bubble bead nail art piece finished product wholesale｜365nails")</x:f>
        <x:v>HYPERLINK is not implemented. linkLocation=https://365nails.com/products/peach-love-french-wearing-nail-3d-almond-fake-nail-mermaid-bubble-bead-nail-art-piece-finished-product-wholesale-365nails, friendlyName=Peach love French  3D almond  mermaid bubble bead nail art piece finished product wholesale｜365nails</x:v>
      </x:c>
      <x:c r="D2620" s="18" t="str">
        <x:v>Color: JP2950</x:v>
      </x:c>
      <x:c r="E2620" s="25" t="str">
        <x:v>$2.13</x:v>
      </x:c>
      <x:c r="F2620" s="19" t="str">
        <x:v>1</x:v>
      </x:c>
    </x:row>
    <x:row r="2621" ht="93" customHeight="1">
      <x:c r="A2621" s="19" t="n">
        <x:v>2618</x:v>
      </x:c>
      <x:c r="B2621" s="22" t="e">
        <x:f>HYPERLINK("https://cdn.shopify.com/s/files/1/0918/6066/4603/files/O1CN01sDpLhm2NGHorgtTHc__4234819935-0-cib.jpg?v=1753431757","Open")</x:f>
        <x:v>HYPERLINK is not implemented. linkLocation=https://cdn.shopify.com/s/files/1/0918/6066/4603/files/O1CN01sDpLhm2NGHorgtTHc__4234819935-0-cib.jpg?v=1753431757, friendlyName=Open</x:v>
      </x:c>
      <x:c r="C2621" s="24" t="e">
        <x:f>HYPERLINK("https://365nails.com/products/black-three-dimensional-bow-wearing-nail-pearl-love-star-nail-art-piece-gradual-change-sequins-letter-almond-nail-piece-365nails","Black three-dimensional bow  pearl love star nail art piece gradual change sequins letter almond ｜365nails")</x:f>
        <x:v>HYPERLINK is not implemented. linkLocation=https://365nails.com/products/black-three-dimensional-bow-wearing-nail-pearl-love-star-nail-art-piece-gradual-change-sequins-letter-almond-nail-piece-365nails, friendlyName=Black three-dimensional bow  pearl love star nail art piece gradual change sequins letter almond ｜365nails</x:v>
      </x:c>
      <x:c r="D2621" s="18" t="str">
        <x:v>Color: JP3076</x:v>
      </x:c>
      <x:c r="E2621" s="25" t="str">
        <x:v>$1.37</x:v>
      </x:c>
      <x:c r="F2621" s="19" t="str">
        <x:v>1</x:v>
      </x:c>
    </x:row>
    <x:row r="2622" ht="93" customHeight="1">
      <x:c r="A2622" s="19" t="n">
        <x:v>2619</x:v>
      </x:c>
      <x:c r="B2622" s="22" t="e">
        <x:f>HYPERLINK("https://cdn.shopify.com/s/files/1/0918/6066/4603/files/O1CN01jbkaDF2NGHsYXm51A__4234819935-0-cib_052c7c45-a5ac-46fe-8b47-1542306e7692.jpg?v=1753431555","Open")</x:f>
        <x:v>HYPERLINK is not implemented. linkLocation=https://cdn.shopify.com/s/files/1/0918/6066/4603/files/O1CN01jbkaDF2NGHsYXm51A__4234819935-0-cib_052c7c45-a5ac-46fe-8b47-1542306e7692.jpg?v=1753431555, friendlyName=Open</x:v>
      </x:c>
      <x:c r="C2622" s="24" t="e">
        <x:f>HYPERLINK("https://365nails.com/products/french-blue-repeatable-nail-piece-finished-product-3d-wearing-nail-nail-piece-fake-nail-wholesale-press-on-nail-365nails","French blue repeatable nail piece finished product 3D press-on nails nail piece fake nail wholesale press on nail｜365nails")</x:f>
        <x:v>HYPERLINK is not implemented. linkLocation=https://365nails.com/products/french-blue-repeatable-nail-piece-finished-product-3d-wearing-nail-nail-piece-fake-nail-wholesale-press-on-nail-365nails, friendlyName=French blue repeatable nail piece finished product 3D press-on nails nail piece fake nail wholesale press on nail｜365nails</x:v>
      </x:c>
      <x:c r="D2622" s="18" t="str">
        <x:v>Color: DIY29</x:v>
      </x:c>
      <x:c r="E2622" s="25" t="str">
        <x:v>$1.25</x:v>
      </x:c>
      <x:c r="F2622" s="19" t="str">
        <x:v>1</x:v>
      </x:c>
    </x:row>
    <x:row r="2623" ht="93" customHeight="1">
      <x:c r="A2623" s="19" t="n">
        <x:v>2620</x:v>
      </x:c>
      <x:c r="B2623" s="22" t="e">
        <x:f>HYPERLINK("https://cdn.shopify.com/s/files/1/0918/6066/4603/files/O1CN01GJSpve2NGHpfsevZ1__4234819935-0-cib.jpg?v=1753431727","Open")</x:f>
        <x:v>HYPERLINK is not implemented. linkLocation=https://cdn.shopify.com/s/files/1/0918/6066/4603/files/O1CN01GJSpve2NGHpfsevZ1__4234819935-0-cib.jpg?v=1753431727, friendlyName=Open</x:v>
      </x:c>
      <x:c r="C2623" s="24" t="e">
        <x:f>HYPERLINK("https://365nails.com/products/wearing-nail-pads-wholesale-medium-and-long-glitter-striped-french-fake-nail-patches-finished-24-pieces-european-and-american-style-nail-art-365nails","pads  medium and long glitter striped French fake es finished 24 pieces  style nail art｜365nails")</x:f>
        <x:v>HYPERLINK is not implemented. linkLocation=https://365nails.com/products/wearing-nail-pads-wholesale-medium-and-long-glitter-striped-french-fake-nail-patches-finished-24-pieces-european-and-american-style-nail-art-365nails, friendlyName=pads  medium and long glitter striped French fake es finished 24 pieces  style nail art｜365nails</x:v>
      </x:c>
      <x:c r="D2623" s="18" t="str">
        <x:v>Color: JP3229</x:v>
      </x:c>
      <x:c r="E2623" s="25" t="str">
        <x:v>$0.77</x:v>
      </x:c>
      <x:c r="F2623" s="19" t="str">
        <x:v>1</x:v>
      </x:c>
    </x:row>
    <x:row r="2624" ht="93" customHeight="1">
      <x:c r="A2624" s="19" t="n">
        <x:v>2621</x:v>
      </x:c>
      <x:c r="B2624" s="22" t="e">
        <x:f>HYPERLINK("https://cdn.shopify.com/s/files/1/0918/6066/4603/files/O1CN010L7suj2NGHsxJIOUB__4234819935-0-cib.jpg?v=1753431717","Open")</x:f>
        <x:v>HYPERLINK is not implemented. linkLocation=https://cdn.shopify.com/s/files/1/0918/6066/4603/files/O1CN010L7suj2NGHsxJIOUB__4234819935-0-cib.jpg?v=1753431717, friendlyName=Open</x:v>
      </x:c>
      <x:c r="C2624" s="24" t="e">
        <x:f>HYPERLINK("https://365nails.com/products/smudge-gradual-change-wearing-nail-piece-halloween-french-manicure-repeatable-wearable-nail-piece-press-on-nail-365nails","Smudge gradual change  Halloween French manicure Repeatable  piece press on nail｜365nails")</x:f>
        <x:v>HYPERLINK is not implemented. linkLocation=https://365nails.com/products/smudge-gradual-change-wearing-nail-piece-halloween-french-manicure-repeatable-wearable-nail-piece-press-on-nail-365nails, friendlyName=Smudge gradual change  Halloween French manicure Repeatable  piece press on nail｜365nails</x:v>
      </x:c>
      <x:c r="D2624" s="18" t="str">
        <x:v>Color: JP3420</x:v>
      </x:c>
      <x:c r="E2624" s="25" t="str">
        <x:v>$0.99</x:v>
      </x:c>
      <x:c r="F2624" s="19" t="str">
        <x:v>1</x:v>
      </x:c>
    </x:row>
    <x:row r="2625" ht="93" customHeight="1">
      <x:c r="A2625" s="19" t="n">
        <x:v>2622</x:v>
      </x:c>
      <x:c r="B2625" s="22" t="e">
        <x:f>HYPERLINK("https://cdn.shopify.com/s/files/1/0918/6066/4603/files/O1CN0148kxrH2NGHssjuqMa__4234819935-0-cib.jpg?v=1753431577","Open")</x:f>
        <x:v>HYPERLINK is not implemented. linkLocation=https://cdn.shopify.com/s/files/1/0918/6066/4603/files/O1CN0148kxrH2NGHssjuqMa__4234819935-0-cib.jpg?v=1753431577, friendlyName=Open</x:v>
      </x:c>
      <x:c r="C2625" s="24" t="e">
        <x:f>HYPERLINK("https://365nails.com/products/repeatable-wearable-halloween-manicure-french-long-pointed-wearing-nail-red-flame-smudge-fake-nail-wholesale-365nails","Repeatable wearable Halloween manicure French long pointed  red flame smudge  ｜365nails")</x:f>
        <x:v>HYPERLINK is not implemented. linkLocation=https://365nails.com/products/repeatable-wearable-halloween-manicure-french-long-pointed-wearing-nail-red-flame-smudge-fake-nail-wholesale-365nails, friendlyName=Repeatable wearable Halloween manicure French long pointed  red flame smudge  ｜365nails</x:v>
      </x:c>
      <x:c r="D2625" s="18" t="str">
        <x:v>Color: JP3410</x:v>
      </x:c>
      <x:c r="E2625" s="25" t="str">
        <x:v>$0.77</x:v>
      </x:c>
      <x:c r="F2625" s="19" t="str">
        <x:v>1</x:v>
      </x:c>
    </x:row>
    <x:row r="2626" ht="93" customHeight="1">
      <x:c r="A2626" s="19" t="n">
        <x:v>2623</x:v>
      </x:c>
      <x:c r="B2626" s="22" t="e">
        <x:f>HYPERLINK("https://cdn.shopify.com/s/files/1/0918/6066/4603/files/O1CN01inLL4j2NGHoiRidOE__4234819935-0-cib.jpg?v=1753431485","Open")</x:f>
        <x:v>HYPERLINK is not implemented. linkLocation=https://cdn.shopify.com/s/files/1/0918/6066/4603/files/O1CN01inLL4j2NGHoiRidOE__4234819935-0-cib.jpg?v=1753431485, friendlyName=Open</x:v>
      </x:c>
      <x:c r="C2626" s="24" t="e">
        <x:f>HYPERLINK("https://365nails.com/products/silver-glitter-point-drill-wearing-nail-wholesale-white-splicing-black-line-nail-piece-press-on-nails-365nails","Silver glitter point drill press-on nails wholesale white splicing black line nail piece press on nails｜365nails")</x:f>
        <x:v>HYPERLINK is not implemented. linkLocation=https://365nails.com/products/silver-glitter-point-drill-wearing-nail-wholesale-white-splicing-black-line-nail-piece-press-on-nails-365nails, friendlyName=Silver glitter point drill press-on nails wholesale white splicing black line nail piece press on nails｜365nails</x:v>
      </x:c>
      <x:c r="D2626" s="18" t="str">
        <x:v>Color: JP3045</x:v>
      </x:c>
      <x:c r="E2626" s="25" t="str">
        <x:v>$1.11</x:v>
      </x:c>
      <x:c r="F2626" s="19" t="str">
        <x:v>1</x:v>
      </x:c>
    </x:row>
    <x:row r="2627" ht="93" customHeight="1">
      <x:c r="A2627" s="19" t="n">
        <x:v>2624</x:v>
      </x:c>
      <x:c r="B2627" s="22" t="e">
        <x:f>HYPERLINK("https://cdn.shopify.com/s/files/1/0918/6066/4603/files/O1CN011zPV0d2NGHnUhafMt__4234819935-0-cib.jpg?v=1753431427","Open")</x:f>
        <x:v>HYPERLINK is not implemented. linkLocation=https://cdn.shopify.com/s/files/1/0918/6066/4603/files/O1CN011zPV0d2NGHnUhafMt__4234819935-0-cib.jpg?v=1753431427, friendlyName=Open</x:v>
      </x:c>
      <x:c r="C2627" s="24" t="e">
        <x:f>HYPERLINK("https://365nails.com/products/easter-manicure-cute-cartoon-rabbit-wearing-nail-fake-nail-nail-piece-wearable-nail-sticker-nail-piece-365nails","Easter manicure cute cartoon rabbit press-on nails fake nail nail piece wearable nail sticker nail piece｜365nails")</x:f>
        <x:v>HYPERLINK is not implemented. linkLocation=https://365nails.com/products/easter-manicure-cute-cartoon-rabbit-wearing-nail-fake-nail-nail-piece-wearable-nail-sticker-nail-piece-365nails, friendlyName=Easter manicure cute cartoon rabbit press-on nails fake nail nail piece wearable nail sticker nail piece｜365nails</x:v>
      </x:c>
      <x:c r="D2627" s="18" t="str">
        <x:v>Color: JP2838</x:v>
      </x:c>
      <x:c r="E2627" s="25" t="str">
        <x:v>$1.25</x:v>
      </x:c>
      <x:c r="F2627" s="19" t="str">
        <x:v>1</x:v>
      </x:c>
    </x:row>
    <x:row r="2628" ht="93" customHeight="1">
      <x:c r="A2628" s="19" t="n">
        <x:v>2625</x:v>
      </x:c>
      <x:c r="B2628" s="22" t="e">
        <x:f>HYPERLINK("https://cdn.shopify.com/s/files/1/0918/6066/4603/files/O1CN01y9u57S2NGHnzS4vCT__4234819935-0-cib.jpg?v=1753431305","Open")</x:f>
        <x:v>HYPERLINK is not implemented. linkLocation=https://cdn.shopify.com/s/files/1/0918/6066/4603/files/O1CN01y9u57S2NGHnzS4vCT__4234819935-0-cib.jpg?v=1753431305, friendlyName=Open</x:v>
      </x:c>
      <x:c r="C2628" s="24" t="e">
        <x:f>HYPERLINK("https://365nails.com/products/cross-border-europe-america-wearing-nail-pieces-fake-nails-halloween-short-nail-patches-nail-art-special-nail-pieces-wholesale-365nails","Europe, America, s, fake nails, Halloween short nail patches, nail art special nail pieces wholesale｜365nails")</x:f>
        <x:v>HYPERLINK is not implemented. linkLocation=https://365nails.com/products/cross-border-europe-america-wearing-nail-pieces-fake-nails-halloween-short-nail-patches-nail-art-special-nail-pieces-wholesale-365nails, friendlyName=Europe, America, s, fake nails, Halloween short nail patches, nail art special nail pieces wholesale｜365nails</x:v>
      </x:c>
      <x:c r="D2628" s="18" t="str">
        <x:v>Color: JP2675</x:v>
      </x:c>
      <x:c r="E2628" s="25" t="str">
        <x:v>$0.70</x:v>
      </x:c>
      <x:c r="F2628" s="19" t="str">
        <x:v>1</x:v>
      </x:c>
    </x:row>
    <x:row r="2629" ht="93" customHeight="1">
      <x:c r="A2629" s="19" t="n">
        <x:v>2626</x:v>
      </x:c>
      <x:c r="B2629" s="22" t="e">
        <x:f>HYPERLINK("https://cdn.shopify.com/s/files/1/0918/6066/4603/files/16897118225_2037667256.jpg?v=1753431185","Open")</x:f>
        <x:v>HYPERLINK is not implemented. linkLocation=https://cdn.shopify.com/s/files/1/0918/6066/4603/files/16897118225_2037667256.jpg?v=1753431185, friendlyName=Open</x:v>
      </x:c>
      <x:c r="C2629" s="24" t="e">
        <x:f>HYPERLINK("https://365nails.com/products/naked-jelly-color-pointed-tip-semi-transparent-temperament-wearing-nail-finished-fake-nail-nail-polish-glue-sealing-nail-piece-street-stall-supply-365nails","Naked jelly color pointed tip semi-transparent temperament press-on nails finished fake nail nail polish glue sealing nail piece street stall supply｜365nails")</x:f>
        <x:v>HYPERLINK is not implemented. linkLocation=https://365nails.com/products/naked-jelly-color-pointed-tip-semi-transparent-temperament-wearing-nail-finished-fake-nail-nail-polish-glue-sealing-nail-piece-street-stall-supply-365nails, friendlyName=Naked jelly color pointed tip semi-transparent temperament press-on nails finished fake nail nail polish glue sealing nail piece street stall supply｜365nails</x:v>
      </x:c>
      <x:c r="D2629" s="18" t="str">
        <x:v>Color: JP778</x:v>
      </x:c>
      <x:c r="E2629" s="25" t="str">
        <x:v>$0.97</x:v>
      </x:c>
      <x:c r="F2629" s="19" t="str">
        <x:v>1</x:v>
      </x:c>
    </x:row>
    <x:row r="2630" ht="93" customHeight="1">
      <x:c r="A2630" s="19" t="n">
        <x:v>2627</x:v>
      </x:c>
      <x:c r="B2630" s="22" t="e">
        <x:f>HYPERLINK("https://cdn.shopify.com/s/files/1/0918/6066/4603/files/15239140148_2037667256.jpg?v=1753430984","Open")</x:f>
        <x:v>HYPERLINK is not implemented. linkLocation=https://cdn.shopify.com/s/files/1/0918/6066/4603/files/15239140148_2037667256.jpg?v=1753430984, friendlyName=Open</x:v>
      </x:c>
      <x:c r="C2630" s="24" t="e">
        <x:f>HYPERLINK("https://365nails.com/products/solid-color-short-beige-simple-nail-patch-nail-patch-fake-nail-wearing-nail-finished-product-waterproof-and-removable-365nails","Solid color short beige simple nail patch nail patch fake nail press-on nails finished product waterproof and removable｜365nails")</x:f>
        <x:v>HYPERLINK is not implemented. linkLocation=https://365nails.com/products/solid-color-short-beige-simple-nail-patch-nail-patch-fake-nail-wearing-nail-finished-product-waterproof-and-removable-365nails, friendlyName=Solid color short beige simple nail patch nail patch fake nail press-on nails finished product waterproof and removable｜365nails</x:v>
      </x:c>
      <x:c r="D2630" s="18" t="str">
        <x:v>Color: JP776</x:v>
      </x:c>
      <x:c r="E2630" s="25" t="str">
        <x:v>$0.83</x:v>
      </x:c>
      <x:c r="F2630" s="19" t="str">
        <x:v>1</x:v>
      </x:c>
    </x:row>
    <x:row r="2631" ht="93" customHeight="1">
      <x:c r="A2631" s="19" t="n">
        <x:v>2628</x:v>
      </x:c>
      <x:c r="B2631" s="22" t="e">
        <x:f>HYPERLINK("https://cdn.shopify.com/s/files/1/0918/6066/4603/files/O1CN010V4Rcb2NGHo80Xll6__4234819935-0-cib.jpg?v=1753430862","Open")</x:f>
        <x:v>HYPERLINK is not implemented. linkLocation=https://cdn.shopify.com/s/files/1/0918/6066/4603/files/O1CN010V4Rcb2NGHo80Xll6__4234819935-0-cib.jpg?v=1753430862, friendlyName=Open</x:v>
      </x:c>
      <x:c r="C2631" s="24" t="e">
        <x:f>HYPERLINK("https://365nails.com/products/yiwu-nail-piece-press-on-nails-nude-hot-silver-flame-press-on-nails-piece-square-nail-patch-fake-nail-wholesale-365nails","press on nails nude hot silver flame press on nails piece square nail patch fake nail wholesale｜365nails")</x:f>
        <x:v>HYPERLINK is not implemented. linkLocation=https://365nails.com/products/yiwu-nail-piece-press-on-nails-nude-hot-silver-flame-press-on-nails-piece-square-nail-patch-fake-nail-wholesale-365nails, friendlyName=press on nails nude hot silver flame press on nails piece square nail patch fake nail wholesale｜365nails</x:v>
      </x:c>
      <x:c r="D2631" s="18" t="str">
        <x:v>Color: JP2921</x:v>
      </x:c>
      <x:c r="E2631" s="25" t="str">
        <x:v>$1.16</x:v>
      </x:c>
      <x:c r="F2631" s="19" t="str">
        <x:v>1</x:v>
      </x:c>
    </x:row>
    <x:row r="2632" ht="93" customHeight="1">
      <x:c r="A2632" s="19" t="n">
        <x:v>2629</x:v>
      </x:c>
      <x:c r="B2632" s="22" t="e">
        <x:f>HYPERLINK("https://cdn.shopify.com/s/files/1/0918/6066/4603/files/O1CN01nHNhzX2NGHorxGueL__4234819935-0-cib.jpg?v=1753430705","Open")</x:f>
        <x:v>HYPERLINK is not implemented. linkLocation=https://cdn.shopify.com/s/files/1/0918/6066/4603/files/O1CN01nHNhzX2NGHorxGueL__4234819935-0-cib.jpg?v=1753430705, friendlyName=Open</x:v>
      </x:c>
      <x:c r="C2632" s="24" t="e">
        <x:f>HYPERLINK("https://365nails.com/products/gypsy-purple-almond-press-on-nails-pearl-love-nail-piece-white-flower-camellia-nail-piece-fake-nail-wholesale-365nails","Gypsy purple almond press on nails pearl love nail piece white flower camellia nail piece fake nail wholesale｜365nails")</x:f>
        <x:v>HYPERLINK is not implemented. linkLocation=https://365nails.com/products/gypsy-purple-almond-press-on-nails-pearl-love-nail-piece-white-flower-camellia-nail-piece-fake-nail-wholesale-365nails, friendlyName=Gypsy purple almond press on nails pearl love nail piece white flower camellia nail piece fake nail wholesale｜365nails</x:v>
      </x:c>
      <x:c r="D2632" s="18" t="str">
        <x:v>Color: JP2959</x:v>
      </x:c>
      <x:c r="E2632" s="25" t="str">
        <x:v>$1.30</x:v>
      </x:c>
      <x:c r="F2632" s="19" t="str">
        <x:v>1</x:v>
      </x:c>
    </x:row>
    <x:row r="2633" ht="93" customHeight="1">
      <x:c r="A2633" s="19" t="n">
        <x:v>2630</x:v>
      </x:c>
      <x:c r="B2633" s="22" t="e">
        <x:f>HYPERLINK("https://cdn.shopify.com/s/files/1/0918/6066/4603/files/O1CN01XYogFJ2NGHoPxtNwp__4234819935-0-cib.jpg?v=1753430632","Open")</x:f>
        <x:v>HYPERLINK is not implemented. linkLocation=https://cdn.shopify.com/s/files/1/0918/6066/4603/files/O1CN01XYogFJ2NGHoPxtNwp__4234819935-0-cib.jpg?v=1753430632, friendlyName=Open</x:v>
      </x:c>
      <x:c r="C2633" s="24" t="e">
        <x:f>HYPERLINK("https://365nails.com/products/short-mini-nails-press-on-nails-cute-cartoon-rabbit-nails-piece-star-glitter-love-nails-piece-nails-piece-wholesale-365nails","Short MINI nails press on nails Cute Cartoon Rabbit nails Piece Star Glitter Love nails Piece nails Piece Wholesale｜365nails")</x:f>
        <x:v>HYPERLINK is not implemented. linkLocation=https://365nails.com/products/short-mini-nails-press-on-nails-cute-cartoon-rabbit-nails-piece-star-glitter-love-nails-piece-nails-piece-wholesale-365nails, friendlyName=Short MINI nails press on nails Cute Cartoon Rabbit nails Piece Star Glitter Love nails Piece nails Piece Wholesale｜365nails</x:v>
      </x:c>
      <x:c r="D2633" s="18" t="str">
        <x:v>Color: JP3026</x:v>
      </x:c>
      <x:c r="E2633" s="25" t="str">
        <x:v>$0.71</x:v>
      </x:c>
      <x:c r="F2633" s="19" t="str">
        <x:v>1</x:v>
      </x:c>
    </x:row>
    <x:row r="2634" ht="93" customHeight="1">
      <x:c r="A2634" s="19" t="n">
        <x:v>2631</x:v>
      </x:c>
      <x:c r="B2634" s="22" t="e">
        <x:f>HYPERLINK("https://cdn.shopify.com/s/files/1/0918/6066/4603/files/O1CN01b4EJKZ2NGHnfNN5A9__4234819935-0-cib.jpg?v=1753430557","Open")</x:f>
        <x:v>HYPERLINK is not implemented. linkLocation=https://cdn.shopify.com/s/files/1/0918/6066/4603/files/O1CN01b4EJKZ2NGHnfNN5A9__4234819935-0-cib.jpg?v=1753430557, friendlyName=Open</x:v>
      </x:c>
      <x:c r="C2634" s="24" t="e">
        <x:f>HYPERLINK("https://365nails.com/products/solid-color-press-on-nails-fake-nails-nails-film-short-simple-line-press-on-nails-sticker-nails-film-wholesale-365nails","Solid color press on nails fake nails nails film short simple line press on nails sticker nails film wholesale｜365nails")</x:f>
        <x:v>HYPERLINK is not implemented. linkLocation=https://365nails.com/products/solid-color-press-on-nails-fake-nails-nails-film-short-simple-line-press-on-nails-sticker-nails-film-wholesale-365nails, friendlyName=Solid color press on nails fake nails nails film short simple line press on nails sticker nails film wholesale｜365nails</x:v>
      </x:c>
      <x:c r="D2634" s="18" t="str">
        <x:v>Color: JP2907</x:v>
      </x:c>
      <x:c r="E2634" s="25" t="str">
        <x:v>$0.77</x:v>
      </x:c>
      <x:c r="F2634" s="19" t="str">
        <x:v>1</x:v>
      </x:c>
    </x:row>
    <x:row r="2635" ht="93" customHeight="1">
      <x:c r="A2635" s="19" t="n">
        <x:v>2632</x:v>
      </x:c>
      <x:c r="B2635" s="22" t="e">
        <x:f>HYPERLINK("https://cdn.shopify.com/s/files/1/0918/6066/4603/files/O1CN01WnC10Q2NGHpmTNiAh__4234819935-0-cib.jpg?v=1753430287","Open")</x:f>
        <x:v>HYPERLINK is not implemented. linkLocation=https://cdn.shopify.com/s/files/1/0918/6066/4603/files/O1CN01WnC10Q2NGHpmTNiAh__4234819935-0-cib.jpg?v=1753430287, friendlyName=Open</x:v>
      </x:c>
      <x:c r="C2635" s="24" t="e">
        <x:f>HYPERLINK("https://365nails.com/products/red-french-cross-border-hot-sale-press-on-nails-patch-white-star-pentagram-nail-patch-finished-product-wholesale-365nails","Red French  Hot Sale press on nails Patch White Star Pentagram Nail Patch Finished Product Wholesale｜365nails")</x:f>
        <x:v>HYPERLINK is not implemented. linkLocation=https://365nails.com/products/red-french-cross-border-hot-sale-press-on-nails-patch-white-star-pentagram-nail-patch-finished-product-wholesale-365nails, friendlyName=Red French  Hot Sale press on nails Patch White Star Pentagram Nail Patch Finished Product Wholesale｜365nails</x:v>
      </x:c>
      <x:c r="D2635" s="18" t="str">
        <x:v>Color: JP3230</x:v>
      </x:c>
      <x:c r="E2635" s="25" t="str">
        <x:v>$0.86</x:v>
      </x:c>
      <x:c r="F2635" s="19" t="str">
        <x:v>1</x:v>
      </x:c>
    </x:row>
    <x:row r="2636" ht="93" customHeight="1">
      <x:c r="A2636" s="19" t="n">
        <x:v>2633</x:v>
      </x:c>
      <x:c r="B2636" s="22" t="e">
        <x:f>HYPERLINK("https://cdn.shopify.com/s/files/1/0918/6066/4603/files/O1CN01AMpbfQ2NGHoPgHPmw__4234819935-0-cib.jpg?v=1753429594","Open")</x:f>
        <x:v>HYPERLINK is not implemented. linkLocation=https://cdn.shopify.com/s/files/1/0918/6066/4603/files/O1CN01AMpbfQ2NGHoPgHPmw__4234819935-0-cib.jpg?v=1753429594, friendlyName=Open</x:v>
      </x:c>
      <x:c r="C2636" s="24" t="e">
        <x:f>HYPERLINK("https://365nails.com/products/press-on-nail-piece-sweet-fairy-nail-piece-cute-girl-pure-desire-blush-nail-ice-through-new-fake-nails-365nails","Press on  nail piece Sweet fairy nail piece Cute girl pure desire blush nail ice through new fake nails｜365nails")</x:f>
        <x:v>HYPERLINK is not implemented. linkLocation=https://365nails.com/products/press-on-nail-piece-sweet-fairy-nail-piece-cute-girl-pure-desire-blush-nail-ice-through-new-fake-nails-365nails, friendlyName=Press on  nail piece Sweet fairy nail piece Cute girl pure desire blush nail ice through new fake nails｜365nails</x:v>
      </x:c>
      <x:c r="D2636" s="18" t="str">
        <x:v>Color: JP2973 / JP1389 / JP1326 / JP1376 / JP1387</x:v>
      </x:c>
      <x:c r="E2636" s="25" t="str">
        <x:v>$1.94</x:v>
      </x:c>
      <x:c r="F2636" s="19" t="str">
        <x:v>1</x:v>
      </x:c>
    </x:row>
    <x:row r="2637" ht="93" customHeight="1">
      <x:c r="A2637" s="19" t="n">
        <x:v>2634</x:v>
      </x:c>
      <x:c r="B2637" s="22" t="e">
        <x:f>HYPERLINK("https://cdn.shopify.com/s/files/1/0918/6066/4603/files/O1CN01SI1r9e2NGHorswNiC__4234819935-0-cib.jpg?v=1753429194","Open")</x:f>
        <x:v>HYPERLINK is not implemented. linkLocation=https://cdn.shopify.com/s/files/1/0918/6066/4603/files/O1CN01SI1r9e2NGHorswNiC__4234819935-0-cib.jpg?v=1753429194, friendlyName=Open</x:v>
      </x:c>
      <x:c r="C2637" s="24" t="e">
        <x:f>HYPERLINK("https://365nails.com/products/french-white-edge-nail-piece-wholesale-maillard-brown-smudged-transparent-wearing-nail-butterfly-flower-aurora-fake-nail-365nails","French white edge nail piece wholesale Maillard brown smudged transparent press on nails butterfly flower aurora fake nail｜365nails")</x:f>
        <x:v>HYPERLINK is not implemented. linkLocation=https://365nails.com/products/french-white-edge-nail-piece-wholesale-maillard-brown-smudged-transparent-wearing-nail-butterfly-flower-aurora-fake-nail-365nails, friendlyName=French white edge nail piece wholesale Maillard brown smudged transparent press on nails butterfly flower aurora fake nail｜365nails</x:v>
      </x:c>
      <x:c r="D2637" s="18" t="str">
        <x:v>Color: JP2969</x:v>
      </x:c>
      <x:c r="E2637" s="25" t="str">
        <x:v>$1.25</x:v>
      </x:c>
      <x:c r="F2637" s="19" t="str">
        <x:v>1</x:v>
      </x:c>
    </x:row>
    <x:row r="2638" ht="93" customHeight="1">
      <x:c r="A2638" s="19" t="n">
        <x:v>2635</x:v>
      </x:c>
      <x:c r="B2638" s="22" t="e">
        <x:f>HYPERLINK("https://cdn.shopify.com/s/files/1/0918/6066/4603/files/O1CN01AR3sel2NGHotyCtnu__4234819935-0-cib.jpg?v=1753429182","Open")</x:f>
        <x:v>HYPERLINK is not implemented. linkLocation=https://cdn.shopify.com/s/files/1/0918/6066/4603/files/O1CN01AR3sel2NGHotyCtnu__4234819935-0-cib.jpg?v=1753429182, friendlyName=Open</x:v>
      </x:c>
      <x:c r="C2638" s="24" t="e">
        <x:f>HYPERLINK("https://365nails.com/products/small-fresh-french-green-edge-wearing-nail-solid-color-green-manicure-short-ballet-human-fish-bead-love-nail-wholesale-365nails","Small fresh French green edge press on nails solid color green manicure short ballet human fish bead love nail wholesale｜365nails")</x:f>
        <x:v>HYPERLINK is not implemented. linkLocation=https://365nails.com/products/small-fresh-french-green-edge-wearing-nail-solid-color-green-manicure-short-ballet-human-fish-bead-love-nail-wholesale-365nails, friendlyName=Small fresh French green edge press on nails solid color green manicure short ballet human fish bead love nail wholesale｜365nails</x:v>
      </x:c>
      <x:c r="D2638" s="18" t="str">
        <x:v>Color: JP3017</x:v>
      </x:c>
      <x:c r="E2638" s="25" t="str">
        <x:v>$1.08</x:v>
      </x:c>
      <x:c r="F2638" s="19" t="str">
        <x:v>1</x:v>
      </x:c>
    </x:row>
    <x:row r="2639" ht="93" customHeight="1">
      <x:c r="A2639" s="19" t="n">
        <x:v>2636</x:v>
      </x:c>
      <x:c r="B2639" s="22" t="e">
        <x:f>HYPERLINK("https://cdn.shopify.com/s/files/1/0918/6066/4603/files/O1CN01ZGAvPr2NGHopk3CRE__4234819935-0-cib.jpg?v=1753429057","Open")</x:f>
        <x:v>HYPERLINK is not implemented. linkLocation=https://cdn.shopify.com/s/files/1/0918/6066/4603/files/O1CN01ZGAvPr2NGHopk3CRE__4234819935-0-cib.jpg?v=1753429057, friendlyName=Open</x:v>
      </x:c>
      <x:c r="C2639" s="24" t="e">
        <x:f>HYPERLINK("https://365nails.com/products/ripped-denim-blue-wearing-nail-cross-fringed-nail-art-french-super-long-removable-nail-piece-finished-product-wholesale-365nails","Ripped denim blue press-on nails cross fringed nail art French extra long removable nail piece finished product wholesale｜365nails")</x:f>
        <x:v>HYPERLINK is not implemented. linkLocation=https://365nails.com/products/ripped-denim-blue-wearing-nail-cross-fringed-nail-art-french-super-long-removable-nail-piece-finished-product-wholesale-365nails, friendlyName=Ripped denim blue press-on nails cross fringed nail art French extra long removable nail piece finished product wholesale｜365nails</x:v>
      </x:c>
      <x:c r="D2639" s="18" t="str">
        <x:v>Color: JP2833</x:v>
      </x:c>
      <x:c r="E2639" s="25" t="str">
        <x:v>$1.54</x:v>
      </x:c>
      <x:c r="F2639" s="19" t="str">
        <x:v>1</x:v>
      </x:c>
    </x:row>
    <x:row r="2640" ht="93" customHeight="1">
      <x:c r="A2640" s="19" t="n">
        <x:v>2637</x:v>
      </x:c>
      <x:c r="B2640" s="22" t="e">
        <x:f>HYPERLINK("https://cdn.shopify.com/s/files/1/0918/6066/4603/files/O1CN010NbCwS2NGHpXoRSzZ__4234819935-0-cib.jpg?v=1753429042","Open")</x:f>
        <x:v>HYPERLINK is not implemented. linkLocation=https://cdn.shopify.com/s/files/1/0918/6066/4603/files/O1CN010NbCwS2NGHpXoRSzZ__4234819935-0-cib.jpg?v=1753429042, friendlyName=Open</x:v>
      </x:c>
      <x:c r="C2640" s="24" t="e">
        <x:f>HYPERLINK("https://365nails.com/products/classic-simple-nude-french-white-edge-foot-manicure-wear-nail-wear-nail-wear-foot-nail-piece-finished-product-wholesale-365nails","Classic simple nude French white edge foot manicure wear nail wear nail wear foot nail piece finished product wholesale｜365nails")</x:f>
        <x:v>HYPERLINK is not implemented. linkLocation=https://365nails.com/products/classic-simple-nude-french-white-edge-foot-manicure-wear-nail-wear-nail-wear-foot-nail-piece-finished-product-wholesale-365nails, friendlyName=Classic simple nude French white edge foot manicure wear nail wear nail wear foot nail piece finished product wholesale｜365nails</x:v>
      </x:c>
      <x:c r="D2640" s="18" t="str">
        <x:v>Color: JP3213</x:v>
      </x:c>
      <x:c r="E2640" s="25" t="str">
        <x:v>$0.70</x:v>
      </x:c>
      <x:c r="F2640" s="19" t="str">
        <x:v>1</x:v>
      </x:c>
    </x:row>
    <x:row r="2641" ht="93" customHeight="1">
      <x:c r="A2641" s="19" t="n">
        <x:v>2638</x:v>
      </x:c>
      <x:c r="B2641" s="22" t="e">
        <x:f>HYPERLINK("https://cdn.shopify.com/s/files/1/0918/6066/4603/files/O1CN01MKU5OV2NGHkFKRvsQ__4234819935-0-cib.jpg?v=1753429055","Open")</x:f>
        <x:v>HYPERLINK is not implemented. linkLocation=https://cdn.shopify.com/s/files/1/0918/6066/4603/files/O1CN01MKU5OV2NGHkFKRvsQ__4234819935-0-cib.jpg?v=1753429055, friendlyName=Open</x:v>
      </x:c>
      <x:c r="C2641" s="24" t="e">
        <x:f>HYPERLINK("https://365nails.com/products/nails-art-piece-wholesale-red-gradual-change-blush-nails-patch-hollow-love-rhinestone-plaid-nails-art-piece-nails-365nails","nails art piece wholesale red gradual change blush nails patch hollow love rhinestone plaid nails art piece nails｜365nails")</x:f>
        <x:v>HYPERLINK is not implemented. linkLocation=https://365nails.com/products/nails-art-piece-wholesale-red-gradual-change-blush-nails-patch-hollow-love-rhinestone-plaid-nails-art-piece-nails-365nails, friendlyName=nails art piece wholesale red gradual change blush nails patch hollow love rhinestone plaid nails art piece nails｜365nails</x:v>
      </x:c>
      <x:c r="D2641" s="18" t="str">
        <x:v>Color: JP2310</x:v>
      </x:c>
      <x:c r="E2641" s="25" t="str">
        <x:v>$1.08</x:v>
      </x:c>
      <x:c r="F2641" s="19" t="str">
        <x:v>1</x:v>
      </x:c>
    </x:row>
    <x:row r="2642" ht="93" customHeight="1">
      <x:c r="A2642" s="19" t="n">
        <x:v>2639</x:v>
      </x:c>
      <x:c r="B2642" s="22" t="e">
        <x:f>HYPERLINK("https://cdn.shopify.com/s/files/1/0918/6066/4603/files/O1CN012rnzby2NGHntrgDks__4234819935-0-cib.jpg?v=1753429037","Open")</x:f>
        <x:v>HYPERLINK is not implemented. linkLocation=https://cdn.shopify.com/s/files/1/0918/6066/4603/files/O1CN012rnzby2NGHntrgDks__4234819935-0-cib.jpg?v=1753429037, friendlyName=Open</x:v>
      </x:c>
      <x:c r="C2642" s="24" t="e">
        <x:f>HYPERLINK("https://365nails.com/products/yiwu-nail-art-wearing-nail-special-nail-piece-wearable-nail-sticker-wearable-nail-piece-removable-nail-piece-fake-nail-365nails","special nail piece wearable nail sticker wearable nail piece removable nail piece fake nail｜365nails")</x:f>
        <x:v>HYPERLINK is not implemented. linkLocation=https://365nails.com/products/yiwu-nail-art-wearing-nail-special-nail-piece-wearable-nail-sticker-wearable-nail-piece-removable-nail-piece-fake-nail-365nails, friendlyName=special nail piece wearable nail sticker wearable nail piece removable nail piece fake nail｜365nails</x:v>
      </x:c>
      <x:c r="D2642" s="18" t="str">
        <x:v>Color: JP2827</x:v>
      </x:c>
      <x:c r="E2642" s="25" t="str">
        <x:v>$1.11</x:v>
      </x:c>
      <x:c r="F2642" s="19" t="str">
        <x:v>1</x:v>
      </x:c>
    </x:row>
    <x:row r="2643" ht="93" customHeight="1">
      <x:c r="A2643" s="19" t="n">
        <x:v>2640</x:v>
      </x:c>
      <x:c r="B2643" s="22" t="e">
        <x:f>HYPERLINK("https://cdn.shopify.com/s/files/1/0918/6066/4603/files/O1CN01tgMaOY2NGHsGp6hLN__4234819935-0-cib.jpg?v=1753428947","Open")</x:f>
        <x:v>HYPERLINK is not implemented. linkLocation=https://cdn.shopify.com/s/files/1/0918/6066/4603/files/O1CN01tgMaOY2NGHsGp6hLN__4234819935-0-cib.jpg?v=1753428947, friendlyName=Open</x:v>
      </x:c>
      <x:c r="C2643" s="24" t="e">
        <x:f>HYPERLINK("https://365nails.com/products/french-purple-feet-wear-nail-flash-diamond-colored-diamond-flash-manicure-nail-patch-point-drill-butterfly-toenail-piece-365nails","French purple feet wear nail flash diamond colored diamond flash manicure nail patch point drill butterfly toenail piece｜365nails")</x:f>
        <x:v>HYPERLINK is not implemented. linkLocation=https://365nails.com/products/french-purple-feet-wear-nail-flash-diamond-colored-diamond-flash-manicure-nail-patch-point-drill-butterfly-toenail-piece-365nails, friendlyName=French purple feet wear nail flash diamond colored diamond flash manicure nail patch point drill butterfly toenail piece｜365nails</x:v>
      </x:c>
      <x:c r="D2643" s="18" t="str">
        <x:v>Color: JP3347</x:v>
      </x:c>
      <x:c r="E2643" s="25" t="str">
        <x:v>$1.40</x:v>
      </x:c>
      <x:c r="F2643" s="19" t="str">
        <x:v>1</x:v>
      </x:c>
    </x:row>
    <x:row r="2644" ht="93" customHeight="1">
      <x:c r="A2644" s="19" t="n">
        <x:v>2641</x:v>
      </x:c>
      <x:c r="B2644" s="22" t="e">
        <x:f>HYPERLINK("https://cdn.shopify.com/s/files/1/0918/6066/4603/files/O1CN01REgxnt1CTbbyGwJFr__2215013420082-0-cib.jpg?v=1779177950","Open")</x:f>
        <x:v>HYPERLINK is not implemented. linkLocation=https://cdn.shopify.com/s/files/1/0918/6066/4603/files/O1CN01REgxnt1CTbbyGwJFr__2215013420082-0-cib.jpg?v=1779177950, friendlyName=Open</x:v>
      </x:c>
      <x:c r="C2644" s="24" t="e">
        <x:f>HYPERLINK("https://365nails.com/products/world-cup-classic-black-white-football-elements-press-on-nails-matte-24pcs-oval","World Cup Classic Black White Football Elements Press-On Nails (Matte/24pcs/Oval)")</x:f>
        <x:v>HYPERLINK is not implemented. linkLocation=https://365nails.com/products/world-cup-classic-black-white-football-elements-press-on-nails-matte-24pcs-oval, friendlyName=World Cup Classic Black White Football Elements Press-On Nails (Matte/24pcs/Oval)</x:v>
      </x:c>
      <x:c r="D2644" s="18" t="str">
        <x:v>Color: Ys865 (without tools)</x:v>
      </x:c>
      <x:c r="E2644" s="25" t="str">
        <x:v>$0.99</x:v>
      </x:c>
      <x:c r="F2644" s="19" t="str">
        <x:v>3</x:v>
      </x:c>
    </x:row>
    <x:row r="2645" ht="93" customHeight="1">
      <x:c r="A2645" s="19" t="n">
        <x:v>2642</x:v>
      </x:c>
      <x:c r="B2645" s="22" t="e">
        <x:f>HYPERLINK("https://cdn.shopify.com/s/files/1/0918/6066/4603/files/O1CN01ptGNBX1nRturub0XO__3334755087-0-cib.jpg?v=1779177423","Open")</x:f>
        <x:v>HYPERLINK is not implemented. linkLocation=https://cdn.shopify.com/s/files/1/0918/6066/4603/files/O1CN01ptGNBX1nRturub0XO__3334755087-0-cib.jpg?v=1779177423, friendlyName=Open</x:v>
      </x:c>
      <x:c r="C2645" s="24" t="e">
        <x:f>HYPERLINK("https://365nails.com/products/world-cup-blue-white-soccer-text-football-press-on-nails-long-square-24pcs-sporty","World Cup Blue White SOCCER Text Football Press-On Nails (Long Square/24pcs/Sporty)")</x:f>
        <x:v>HYPERLINK is not implemented. linkLocation=https://365nails.com/products/world-cup-blue-white-soccer-text-football-press-on-nails-long-square-24pcs-sporty, friendlyName=World Cup Blue White SOCCER Text Football Press-On Nails (Long Square/24pcs/Sporty)</x:v>
      </x:c>
      <x:c r="D2645" s="18" t="str">
        <x:v>Color: 24 pieces in small white box (with jelly glue + rubbing strips)</x:v>
      </x:c>
      <x:c r="E2645" s="25" t="str">
        <x:v>$0.99</x:v>
      </x:c>
      <x:c r="F2645" s="19" t="str">
        <x:v>10</x:v>
      </x:c>
    </x:row>
    <x:row r="2646" ht="93" customHeight="1">
      <x:c r="A2646" s="19" t="n">
        <x:v>2643</x:v>
      </x:c>
      <x:c r="B2646" s="22" t="e">
        <x:f>HYPERLINK("https://cdn.shopify.com/s/files/1/0918/6066/4603/files/O1CN01dOpQOB2IcCv7MhBmy__2216612099306-0-cib.jpg?v=1779172563","Open")</x:f>
        <x:v>HYPERLINK is not implemented. linkLocation=https://cdn.shopify.com/s/files/1/0918/6066/4603/files/O1CN01dOpQOB2IcCv7MhBmy__2216612099306-0-cib.jpg?v=1779172563, friendlyName=Open</x:v>
      </x:c>
      <x:c r="C2646" s="24" t="e">
        <x:f>HYPERLINK("https://365nails.com/products/world-cup-usa-stars-and-stripes-football-fan-press-on-nails-glitter-24pcs-short-square","World Cup USA Stars and Stripes Football Fan Press-On Nails (Glitter/24pcs/Short Square)")</x:f>
        <x:v>HYPERLINK is not implemented. linkLocation=https://365nails.com/products/world-cup-usa-stars-and-stripes-football-fan-press-on-nails-glitter-24pcs-short-square, friendlyName=World Cup USA Stars and Stripes Football Fan Press-On Nails (Glitter/24pcs/Short Square)</x:v>
      </x:c>
      <x:c r="D2646" s="18" t="str">
        <x:v>Color classification: C1663</x:v>
      </x:c>
      <x:c r="E2646" s="25" t="str">
        <x:v>$0.99</x:v>
      </x:c>
      <x:c r="F2646" s="19" t="str">
        <x:v>3</x:v>
      </x:c>
    </x:row>
    <x:row r="2647" ht="93" customHeight="1">
      <x:c r="A2647" s="19" t="n">
        <x:v>2644</x:v>
      </x:c>
      <x:c r="B2647" s="22" t="e">
        <x:f>HYPERLINK("https://cdn.shopify.com/s/files/1/0918/6066/4603/files/O1CN012918a61nRtusKXKzH__3334755087-0-cib.jpg?v=1779177744","Open")</x:f>
        <x:v>HYPERLINK is not implemented. linkLocation=https://cdn.shopify.com/s/files/1/0918/6066/4603/files/O1CN012918a61nRtusKXKzH__3334755087-0-cib.jpg?v=1779177744, friendlyName=Open</x:v>
      </x:c>
      <x:c r="C2647" s="24" t="e">
        <x:f>HYPERLINK("https://365nails.com/products/world-cup-sky-blue-10-jersey-football-press-on-nails-glossy-24pcs-medium-coffin","World Cup Sky Blue #10 Jersey Football Press-On Nails (Glossy/24pcs/Medium Coffin)")</x:f>
        <x:v>HYPERLINK is not implemented. linkLocation=https://365nails.com/products/world-cup-sky-blue-10-jersey-football-press-on-nails-glossy-24pcs-medium-coffin, friendlyName=World Cup Sky Blue #10 Jersey Football Press-On Nails (Glossy/24pcs/Medium Coffin)</x:v>
      </x:c>
      <x:c r="D2647" s="18" t="str">
        <x:v>Color: 24 pieces in small white box (with jelly glue + rubbing strips)</x:v>
      </x:c>
      <x:c r="E2647" s="25" t="str">
        <x:v>$0.99</x:v>
      </x:c>
      <x:c r="F2647" s="19" t="str">
        <x:v>10</x:v>
      </x:c>
    </x:row>
    <x:row r="2648" ht="93" customHeight="1">
      <x:c r="A2648" s="19" t="n">
        <x:v>2645</x:v>
      </x:c>
      <x:c r="B2648" s="22" t="e">
        <x:f>HYPERLINK("https://cdn.shopify.com/s/files/1/0918/6066/4603/files/O1CN011deWfO2IcCvBZ0dlw__2216612099306-0-cib.jpg?v=1779172222","Open")</x:f>
        <x:v>HYPERLINK is not implemented. linkLocation=https://cdn.shopify.com/s/files/1/0918/6066/4603/files/O1CN011deWfO2IcCvBZ0dlw__2216612099306-0-cib.jpg?v=1779172222, friendlyName=Open</x:v>
      </x:c>
      <x:c r="C2648" s="24" t="e">
        <x:f>HYPERLINK("https://365nails.com/products/world-cup-football-mixed-flag-elements-press-on-nails-glitter-24pcs-short-square","World Cup Football Mixed Flag Elements Press-On Nails (Glitter/24pcs/Short Square)")</x:f>
        <x:v>HYPERLINK is not implemented. linkLocation=https://365nails.com/products/world-cup-football-mixed-flag-elements-press-on-nails-glitter-24pcs-short-square, friendlyName=World Cup Football Mixed Flag Elements Press-On Nails (Glitter/24pcs/Short Square)</x:v>
      </x:c>
      <x:c r="D2648" s="18" t="str">
        <x:v>Color classification: C1667</x:v>
      </x:c>
      <x:c r="E2648" s="25" t="str">
        <x:v>$1.29</x:v>
      </x:c>
      <x:c r="F2648" s="19" t="str">
        <x:v>3</x:v>
      </x:c>
    </x:row>
    <x:row r="2649" ht="93" customHeight="1">
      <x:c r="A2649" s="19" t="n">
        <x:v>2646</x:v>
      </x:c>
      <x:c r="B2649" s="22" t="e">
        <x:f>HYPERLINK("https://cdn.shopify.com/s/files/1/0918/6066/4603/files/272996b7ec10742bf7cdddb0dfda08ed.jpg?v=1764730316","Open")</x:f>
        <x:v>HYPERLINK is not implemented. linkLocation=https://cdn.shopify.com/s/files/1/0918/6066/4603/files/272996b7ec10742bf7cdddb0dfda08ed.jpg?v=1764730316, friendlyName=Open</x:v>
      </x:c>
      <x:c r="C2649" s="24" t="e">
        <x:f>HYPERLINK("https://365nails.com/products/moonlight-jelly-dragon-claw-stiletto-press-on-nails-sheer-milky-white-with-subtle-sparkle-365nails-premium-handmade-dragon-series","Moonlight Jelly Dragon Claw Stiletto Press On Nails｜Sheer Milky White with Subtle Sparkle｜365Nails Premium Handmade Dragon Series")</x:f>
        <x:v>HYPERLINK is not implemented. linkLocation=https://365nails.com/products/moonlight-jelly-dragon-claw-stiletto-press-on-nails-sheer-milky-white-with-subtle-sparkle-365nails-premium-handmade-dragon-series, friendlyName=Moonlight Jelly Dragon Claw Stiletto Press On Nails｜Sheer Milky White with Subtle Sparkle｜365Nails Premium Handmade Dragon Series</x:v>
      </x:c>
      <x:c r="D2649" s="18" t="str">
        <x:v>Size: XS / S / M / L; Length: 50mm / 40mm</x:v>
      </x:c>
      <x:c r="E2649" s="25" t="str">
        <x:v>$6.99</x:v>
      </x:c>
      <x:c r="F2649" s="19" t="str">
        <x:v>1</x:v>
      </x:c>
    </x:row>
    <x:row r="2650" ht="93" customHeight="1">
      <x:c r="A2650" s="19" t="n">
        <x:v>2647</x:v>
      </x:c>
      <x:c r="B2650" s="22" t="e">
        <x:f>HYPERLINK("https://cdn.shopify.com/s/files/1/0918/6066/4603/files/O1CN018bCk321GyWoJBvDn1__2217076680691-0-cib.jpg?v=1779163408","Open")</x:f>
        <x:v>HYPERLINK is not implemented. linkLocation=https://cdn.shopify.com/s/files/1/0918/6066/4603/files/O1CN018bCk321GyWoJBvDn1__2217076680691-0-cib.jpg?v=1779163408, friendlyName=Open</x:v>
      </x:c>
      <x:c r="C2650" s="24" t="e">
        <x:f>HYPERLINK("https://365nails.com/products/world-cup-brazil-flag-inspired-fan-press-on-nails-glossy-24pcs-almond","World Cup Brazil Flag Inspired Fan Press-On Nails (Glossy/24pcs/Almond)")</x:f>
        <x:v>HYPERLINK is not implemented. linkLocation=https://365nails.com/products/world-cup-brazil-flag-inspired-fan-press-on-nails-glossy-24pcs-almond, friendlyName=World Cup Brazil Flag Inspired Fan Press-On Nails (Glossy/24pcs/Almond)</x:v>
      </x:c>
      <x:c r="D2650" s="18" t="str">
        <x:v>Color: Lc 536; Color classification: Ordinary jelly glue + rubbing strips</x:v>
      </x:c>
      <x:c r="E2650" s="25" t="str">
        <x:v>$0.99</x:v>
      </x:c>
      <x:c r="F2650" s="19" t="str">
        <x:v>3</x:v>
      </x:c>
    </x:row>
    <x:row r="2651" ht="93" customHeight="1">
      <x:c r="A2651" s="19" t="n">
        <x:v>2648</x:v>
      </x:c>
      <x:c r="B2651" s="22" t="e">
        <x:f>HYPERLINK("https://cdn.shopify.com/s/files/1/0918/6066/4603/files/O1CN01tFFD291CTbbySHCfj__2215013420082-0-cib.jpg?v=1779178239","Open")</x:f>
        <x:v>HYPERLINK is not implemented. linkLocation=https://cdn.shopify.com/s/files/1/0918/6066/4603/files/O1CN01tFFD291CTbbySHCfj__2215013420082-0-cib.jpg?v=1779178239, friendlyName=Open</x:v>
      </x:c>
      <x:c r="C2651" s="24" t="e">
        <x:f>HYPERLINK("https://365nails.com/products/world-cup-minimalist-white-stars-football-pattern-press-on-nails-clean-24pcs-oval","World Cup Minimalist White Stars Football Pattern Press-On Nails (Clean/24pcs/Oval)")</x:f>
        <x:v>HYPERLINK is not implemented. linkLocation=https://365nails.com/products/world-cup-minimalist-white-stars-football-pattern-press-on-nails-clean-24pcs-oval, friendlyName=World Cup Minimalist White Stars Football Pattern Press-On Nails (Clean/24pcs/Oval)</x:v>
      </x:c>
      <x:c r="D2651" s="18" t="str">
        <x:v>Color: Ys864 (without tools)</x:v>
      </x:c>
      <x:c r="E2651" s="25" t="str">
        <x:v>$0.99</x:v>
      </x:c>
      <x:c r="F2651" s="19" t="str">
        <x:v>3</x:v>
      </x:c>
    </x:row>
    <x:row r="2652" ht="93" customHeight="1">
      <x:c r="A2652" s="19" t="n">
        <x:v>2649</x:v>
      </x:c>
      <x:c r="B2652" s="22" t="e">
        <x:f>HYPERLINK("https://cdn.shopify.com/s/files/1/0918/6066/4603/files/O1CN012F2uiZ1nRtuuDcsYZ__3334755087-0-cib.jpg?v=1779177281","Open")</x:f>
        <x:v>HYPERLINK is not implemented. linkLocation=https://cdn.shopify.com/s/files/1/0918/6066/4603/files/O1CN012F2uiZ1nRtuuDcsYZ__3334755087-0-cib.jpg?v=1779177281, friendlyName=Open</x:v>
      </x:c>
      <x:c r="C2652" s="24" t="e">
        <x:f>HYPERLINK("https://365nails.com/products/world-cup-italy-flag-football-elements-press-on-nails-medium-square-24pcs-dynamic","World Cup Italy Flag Football Elements Press-On Nails (Medium Square/24pcs/Dynamic)")</x:f>
        <x:v>HYPERLINK is not implemented. linkLocation=https://365nails.com/products/world-cup-italy-flag-football-elements-press-on-nails-medium-square-24pcs-dynamic, friendlyName=World Cup Italy Flag Football Elements Press-On Nails (Medium Square/24pcs/Dynamic)</x:v>
      </x:c>
      <x:c r="D2652" s="18" t="str">
        <x:v>Color: 24 pieces of opp bag strips (without jelly glue and rubbing strips)</x:v>
      </x:c>
      <x:c r="E2652" s="25" t="str">
        <x:v>$0.99</x:v>
      </x:c>
      <x:c r="F2652" s="19" t="str">
        <x:v>10</x:v>
      </x:c>
    </x:row>
    <x:row r="2653" ht="93" customHeight="1">
      <x:c r="A2653" s="19" t="n">
        <x:v>2650</x:v>
      </x:c>
      <x:c r="B2653" s="22" t="e">
        <x:f>HYPERLINK("https://cdn.shopify.com/s/files/1/0918/6066/4603/files/O1CN01jIUMzp1MNmjKTvvN3__2218014201423-0-cib.jpg?v=1779181415","Open")</x:f>
        <x:v>HYPERLINK is not implemented. linkLocation=https://cdn.shopify.com/s/files/1/0918/6066/4603/files/O1CN01jIUMzp1MNmjKTvvN3__2218014201423-0-cib.jpg?v=1779181415, friendlyName=Open</x:v>
      </x:c>
      <x:c r="C2653" s="24" t="e">
        <x:f>HYPERLINK("https://365nails.com/products/world-cup-usa-stars-stripes-cute-football-short-press-on-nails-lively-24pcs-casual","World Cup USA Stars &amp; Stripes Cute Football Short Press-On Nails (Lively/24pcs/Casual)")</x:f>
        <x:v>HYPERLINK is not implemented. linkLocation=https://365nails.com/products/world-cup-usa-stars-stripes-cute-football-short-press-on-nails-lively-24pcs-casual, friendlyName=World Cup USA Stars &amp; Stripes Cute Football Short Press-On Nails (Lively/24pcs/Casual)</x:v>
      </x:c>
      <x:c r="D2653" s="18" t="str">
        <x:v>Color: A-1501 [naked strips/24 pieces]; Color classification: Naked strips</x:v>
      </x:c>
      <x:c r="E2653" s="25" t="str">
        <x:v>$0.99</x:v>
      </x:c>
      <x:c r="F2653" s="19" t="str">
        <x:v>3</x:v>
      </x:c>
    </x:row>
    <x:row r="2654" ht="93" customHeight="1">
      <x:c r="A2654" s="19" t="n">
        <x:v>2651</x:v>
      </x:c>
      <x:c r="B2654" s="22" t="e">
        <x:f>HYPERLINK("https://cdn.shopify.com/s/files/1/0918/6066/4603/files/O1CN01FUnVcj1GyWoLdeD9B__2217076680691-0-cib.jpg?v=1779176591","Open")</x:f>
        <x:v>HYPERLINK is not implemented. linkLocation=https://cdn.shopify.com/s/files/1/0918/6066/4603/files/O1CN01FUnVcj1GyWoLdeD9B__2217076680691-0-cib.jpg?v=1779176591, friendlyName=Open</x:v>
      </x:c>
      <x:c r="C2654" s="24" t="e">
        <x:f>HYPERLINK("https://365nails.com/products/world-cup-usa-flag-football-emblem-press-on-nails-long-square-24pcs-patriotic","World Cup USA Flag Football Emblem Press-On Nails (Long Square/24pcs/Patriotic)")</x:f>
        <x:v>HYPERLINK is not implemented. linkLocation=https://365nails.com/products/world-cup-usa-flag-football-emblem-press-on-nails-long-square-24pcs-patriotic, friendlyName=World Cup USA Flag Football Emblem Press-On Nails (Long Square/24pcs/Patriotic)</x:v>
      </x:c>
      <x:c r="D2654" s="18" t="str">
        <x:v>Color: Lc 562; Color classification: Ordinary jelly glue + rubbing strips</x:v>
      </x:c>
      <x:c r="E2654" s="25" t="str">
        <x:v>$0.99</x:v>
      </x:c>
      <x:c r="F2654" s="19" t="str">
        <x:v>3</x:v>
      </x:c>
    </x:row>
    <x:row r="2655" ht="93" customHeight="1">
      <x:c r="A2655" s="19" t="n">
        <x:v>2652</x:v>
      </x:c>
      <x:c r="B2655" s="22" t="e">
        <x:f>HYPERLINK("https://cdn.shopify.com/s/files/1/0918/6066/4603/files/O1CN01Tl60xR1CTbbhO8SmX__2215013420082-0-cib.jpg?v=1779177873","Open")</x:f>
        <x:v>HYPERLINK is not implemented. linkLocation=https://cdn.shopify.com/s/files/1/0918/6066/4603/files/O1CN01Tl60xR1CTbbhO8SmX__2215013420082-0-cib.jpg?v=1779177873, friendlyName=Open</x:v>
      </x:c>
      <x:c r="C2655" s="24" t="e">
        <x:f>HYPERLINK("https://365nails.com/products/world-cup-dynamic-deep-blue-contrast-football-art-press-on-nails-glossy-24pcs-square-oval","World Cup Dynamic Deep Blue Contrast Football Art Press-On Nails (Glossy/24pcs/Square Oval)")</x:f>
        <x:v>HYPERLINK is not implemented. linkLocation=https://365nails.com/products/world-cup-dynamic-deep-blue-contrast-football-art-press-on-nails-glossy-24pcs-square-oval, friendlyName=World Cup Dynamic Deep Blue Contrast Football Art Press-On Nails (Glossy/24pcs/Square Oval)</x:v>
      </x:c>
      <x:c r="D2655" s="18" t="str">
        <x:v>Color: Ys851 (without tools)</x:v>
      </x:c>
      <x:c r="E2655" s="25" t="str">
        <x:v>$0.99</x:v>
      </x:c>
      <x:c r="F2655" s="19" t="str">
        <x:v>3</x:v>
      </x:c>
    </x:row>
    <x:row r="2656" ht="93" customHeight="1">
      <x:c r="A2656" s="19" t="n">
        <x:v>2653</x:v>
      </x:c>
      <x:c r="B2656" s="22" t="e">
        <x:f>HYPERLINK("https://cdn.shopify.com/s/files/1/0918/6066/4603/files/1dec0e860c2ac912b8ac16cc0b2fbd9a_55ade8db-16d9-4c6f-8952-c349e1406b38.jpg?v=1766808208","Open")</x:f>
        <x:v>HYPERLINK is not implemented. linkLocation=https://cdn.shopify.com/s/files/1/0918/6066/4603/files/1dec0e860c2ac912b8ac16cc0b2fbd9a_55ade8db-16d9-4c6f-8952-c349e1406b38.jpg?v=1766808208, friendlyName=Open</x:v>
      </x:c>
      <x:c r="C2656" s="24" t="e">
        <x:f>HYPERLINK("https://365nails.com/products/gold-embossed-rose-seal-stickers-for-luxury-packaging","Gold Embossed Rose Seal Stickers for Luxury Packaging (MOQ=10)")</x:f>
        <x:v>HYPERLINK is not implemented. linkLocation=https://365nails.com/products/gold-embossed-rose-seal-stickers-for-luxury-packaging, friendlyName=Gold Embossed Rose Seal Stickers for Luxury Packaging (MOQ=10)</x:v>
      </x:c>
      <x:c r="D2656" s="18" t="str">
        <x:v>Specifications and models: Rose metal stickers (1 piece of 10); Rose 1 piece/10 stickers; Quantity: 10pcs</x:v>
      </x:c>
      <x:c r="E2656" s="25" t="str">
        <x:v>$2.30</x:v>
      </x:c>
      <x:c r="F2656" s="19" t="str">
        <x:v>1</x:v>
      </x:c>
    </x:row>
    <x:row r="2657" ht="93" customHeight="1">
      <x:c r="A2657" s="19" t="n">
        <x:v>2654</x:v>
      </x:c>
      <x:c r="B2657" s="22" t="e">
        <x:f>HYPERLINK("https://cdn.shopify.com/s/files/1/0918/6066/4603/files/O1CN01FM7GAN1nYJNe5poWX__2217958295101-0-cib.jpg?v=1766293453","Open")</x:f>
        <x:v>HYPERLINK is not implemented. linkLocation=https://cdn.shopify.com/s/files/1/0918/6066/4603/files/O1CN01FM7GAN1nYJNe5poWX__2217958295101-0-cib.jpg?v=1766293453, friendlyName=Open</x:v>
      </x:c>
      <x:c r="C2657" s="24" t="e">
        <x:f>HYPERLINK("https://365nails.com/products/sanrio-rainbow-kuromi-melody-kids-press-on-nails-set","Sanrio Rainbow Kuromi Melody Kids Press On Nails Set")</x:f>
        <x:v>HYPERLINK is not implemented. linkLocation=https://365nails.com/products/sanrio-rainbow-kuromi-melody-kids-press-on-nails-set, friendlyName=Sanrio Rainbow Kuromi Melody Kids Press On Nails Set</x:v>
      </x:c>
      <x:c r="D2657" s="18" t="str">
        <x:v>Color: 031 Naked Pink Melody / 032 Blue Melody / 033M beans / 036 Shirley Mei Fat Rabbit / 039 Ice transparent smudged bear / 045 Melody / 048 Powder KT / 049 Blue KT; Color classification: XS (2-3 years old) / S (4-6 years old) / M (7-8 years old) / L (9-12 years old)</x:v>
      </x:c>
      <x:c r="E2657" s="25" t="str">
        <x:v>$1.99</x:v>
      </x:c>
      <x:c r="F2657" s="19" t="str">
        <x:v>1</x:v>
      </x:c>
    </x:row>
    <x:row r="2658" ht="93" customHeight="1">
      <x:c r="A2658" s="19" t="n">
        <x:v>2655</x:v>
      </x:c>
      <x:c r="B2658" s="22" t="e">
        <x:f>HYPERLINK("https://cdn.shopify.com/s/files/1/0918/6066/4603/files/15fef3fe0efac625ccc404a8ff2920cb.jpg?v=1779262174","Open")</x:f>
        <x:v>HYPERLINK is not implemented. linkLocation=https://cdn.shopify.com/s/files/1/0918/6066/4603/files/15fef3fe0efac625ccc404a8ff2920cb.jpg?v=1779262174, friendlyName=Open</x:v>
      </x:c>
      <x:c r="C2658" s="24" t="e">
        <x:f>HYPERLINK("https://365nails.com/products/world-cup-argentina-messi-10-fan-square-press-on-nails-stylish-24pcs-short-square","World Cup Argentina Messi #10 Fan Square Press-On Nails (Stylish/24pcs/Short Square)")</x:f>
        <x:v>HYPERLINK is not implemented. linkLocation=https://365nails.com/products/world-cup-argentina-messi-10-fan-square-press-on-nails-stylish-24pcs-short-square, friendlyName=World Cup Argentina Messi #10 Fan Square Press-On Nails (Stylish/24pcs/Short Square)</x:v>
      </x:c>
      <x:c r="D2658" s="18" t="str">
        <x:v>Color: Blue and white starburst</x:v>
      </x:c>
      <x:c r="E2658" s="25" t="str">
        <x:v>$0.99</x:v>
      </x:c>
      <x:c r="F2658" s="19" t="str">
        <x:v>3</x:v>
      </x:c>
    </x:row>
    <x:row r="2659" ht="93" customHeight="1">
      <x:c r="A2659" s="19" t="n">
        <x:v>2656</x:v>
      </x:c>
      <x:c r="B2659" s="22" t="e">
        <x:f>HYPERLINK("https://cdn.shopify.com/s/files/1/0918/6066/4603/files/O1CN01xL7uf01nRtuoUzP9b__3334755087-0-cib.jpg?v=1779176756","Open")</x:f>
        <x:v>HYPERLINK is not implemented. linkLocation=https://cdn.shopify.com/s/files/1/0918/6066/4603/files/O1CN01xL7uf01nRtuoUzP9b__3334755087-0-cib.jpg?v=1779176756, friendlyName=Open</x:v>
      </x:c>
      <x:c r="C2659" s="24" t="e">
        <x:f>HYPERLINK("https://365nails.com/products/world-cup-uk-union-jack-rose-football-press-on-nails-stiletto-24pcs-elegant","World Cup UK Union Jack Rose Football Press-On Nails (Stiletto/24pcs/Elegant)")</x:f>
        <x:v>HYPERLINK is not implemented. linkLocation=https://365nails.com/products/world-cup-uk-union-jack-rose-football-press-on-nails-stiletto-24pcs-elegant, friendlyName=World Cup UK Union Jack Rose Football Press-On Nails (Stiletto/24pcs/Elegant)</x:v>
      </x:c>
      <x:c r="D2659" s="18" t="str">
        <x:v>Color: 24 pieces in small white box (with jelly glue + rubbing strips)</x:v>
      </x:c>
      <x:c r="E2659" s="25" t="str">
        <x:v>$0.99</x:v>
      </x:c>
      <x:c r="F2659" s="19" t="str">
        <x:v>10</x:v>
      </x:c>
    </x:row>
    <x:row r="2660" ht="93" customHeight="1">
      <x:c r="A2660" s="19" t="n">
        <x:v>2657</x:v>
      </x:c>
      <x:c r="B2660" s="22" t="e">
        <x:f>HYPERLINK("https://cdn.shopify.com/s/files/1/0918/6066/4603/files/34a6c18bdc4e8f24a37f3e5974e85eee.png?v=1764032365","Open")</x:f>
        <x:v>HYPERLINK is not implemented. linkLocation=https://cdn.shopify.com/s/files/1/0918/6066/4603/files/34a6c18bdc4e8f24a37f3e5974e85eee.png?v=1764032365, friendlyName=Open</x:v>
      </x:c>
      <x:c r="C2660" s="24" t="e">
        <x:f>HYPERLINK("https://365nails.com/products/the-essential-solids-long-coffin-handmade-press-on-nails","The Essential Solids | Long Coffin ｜Handmade Press-on Nails")</x:f>
        <x:v>HYPERLINK is not implemented. linkLocation=https://365nails.com/products/the-essential-solids-long-coffin-handmade-press-on-nails, friendlyName=The Essential Solids | Long Coffin ｜Handmade Press-on Nails</x:v>
      </x:c>
      <x:c r="D2660" s="18" t="str">
        <x:v>Color: pepper white / Bright black / Cardamom / Cherry red / Milk blue / Milk tea / No blue no green / Mint Green / grape purple / Pippi powder / taro purple / Ebony sauce / BLUE; Size: XS / S / M / L</x:v>
      </x:c>
      <x:c r="E2660" s="25" t="str">
        <x:v>$2.49</x:v>
      </x:c>
      <x:c r="F2660" s="19" t="str">
        <x:v>1</x:v>
      </x:c>
    </x:row>
    <x:row r="2661" ht="93" customHeight="1">
      <x:c r="A2661" s="19" t="n">
        <x:v>2658</x:v>
      </x:c>
      <x:c r="B2661" s="22" t="e">
        <x:f>HYPERLINK("https://cdn.shopify.com/s/files/1/0918/6066/4603/files/b83d371be33646540619c546bcba335f.jpg?v=1764730255","Open")</x:f>
        <x:v>HYPERLINK is not implemented. linkLocation=https://cdn.shopify.com/s/files/1/0918/6066/4603/files/b83d371be33646540619c546bcba335f.jpg?v=1764730255, friendlyName=Open</x:v>
      </x:c>
      <x:c r="C2661" s="24" t="e">
        <x:f>HYPERLINK("https://365nails.com/products/obsidian-mist-dragon-claw-stiletto-press-on-nails-clear-base-with-black-marble-swirl-365nails-premium-handmade-dragon-series","Obsidian Mist Dragon Claw Stiletto Press On Nails｜Clear Base with Black Marble Swirl｜365Nails Premium Handmade Dragon Series")</x:f>
        <x:v>HYPERLINK is not implemented. linkLocation=https://365nails.com/products/obsidian-mist-dragon-claw-stiletto-press-on-nails-clear-base-with-black-marble-swirl-365nails-premium-handmade-dragon-series, friendlyName=Obsidian Mist Dragon Claw Stiletto Press On Nails｜Clear Base with Black Marble Swirl｜365Nails Premium Handmade Dragon Series</x:v>
      </x:c>
      <x:c r="D2661" s="18" t="str">
        <x:v>Size: XS / S / M / L; Length: 40mm / 25mm</x:v>
      </x:c>
      <x:c r="E2661" s="25" t="str">
        <x:v>$9.99</x:v>
      </x:c>
      <x:c r="F2661" s="19" t="str">
        <x:v>1</x:v>
      </x:c>
    </x:row>
    <x:row r="2662" ht="93" customHeight="1">
      <x:c r="A2662" s="19" t="n">
        <x:v>2659</x:v>
      </x:c>
      <x:c r="B2662" s="22" t="e">
        <x:f>HYPERLINK("https://cdn.shopify.com/s/files/1/0918/6066/4603/files/20a10acf62f39c6169000c3654bb4d24.jpg?v=1764730300","Open")</x:f>
        <x:v>HYPERLINK is not implemented. linkLocation=https://cdn.shopify.com/s/files/1/0918/6066/4603/files/20a10acf62f39c6169000c3654bb4d24.jpg?v=1764730300, friendlyName=Open</x:v>
      </x:c>
      <x:c r="C2662" s="24" t="e">
        <x:f>HYPERLINK("https://365nails.com/products/glossy-midnight-dragon-claw-stiletto-press-on-nails-mirror-jet-black-365nails-premium-handmade-dragon-series","Glossy Midnight Dragon Claw Stiletto Press On Nails｜Mirror Jet Black｜365Nails Premium Handmade Dragon Series")</x:f>
        <x:v>HYPERLINK is not implemented. linkLocation=https://365nails.com/products/glossy-midnight-dragon-claw-stiletto-press-on-nails-mirror-jet-black-365nails-premium-handmade-dragon-series, friendlyName=Glossy Midnight Dragon Claw Stiletto Press On Nails｜Mirror Jet Black｜365Nails Premium Handmade Dragon Series</x:v>
      </x:c>
      <x:c r="D2662" s="18" t="str">
        <x:v>Size: XS / S / M / L; Length: 50mm / 45mm</x:v>
      </x:c>
      <x:c r="E2662" s="25" t="str">
        <x:v>$6.99</x:v>
      </x:c>
      <x:c r="F2662" s="19" t="str">
        <x:v>1</x:v>
      </x:c>
    </x:row>
    <x:row r="2663" ht="93" customHeight="1">
      <x:c r="A2663" s="19" t="n">
        <x:v>2660</x:v>
      </x:c>
      <x:c r="B2663" s="22" t="e">
        <x:f>HYPERLINK("https://cdn.shopify.com/s/files/1/0918/6066/4603/files/O1CN01DfP5xr1oyFSGg7hls__2217080665293-0-cib.jpg?v=1766808557","Open")</x:f>
        <x:v>HYPERLINK is not implemented. linkLocation=https://cdn.shopify.com/s/files/1/0918/6066/4603/files/O1CN01DfP5xr1oyFSGg7hls__2217080665293-0-cib.jpg?v=1766808557, friendlyName=Open</x:v>
      </x:c>
      <x:c r="C2663" s="24" t="e">
        <x:f>HYPERLINK("https://365nails.com/products/elegant-floral-display-cards-for-press-on-nail-sets","Elegant Floral Display Cards for Press On Nail Sets (MOQ=50)")</x:f>
        <x:v>HYPERLINK is not implemented. linkLocation=https://365nails.com/products/elegant-floral-display-cards-for-press-on-nail-sets, friendlyName=Elegant Floral Display Cards for Press On Nail Sets (MOQ=50)</x:v>
      </x:c>
      <x:c r="D2663" s="18" t="str">
        <x:v>Color: 80 * 80Mm (50/bag) / 90 * 110Mm (50/bag) / 90 * 130Mm (50/bag) / 110 * 80Mm (50/bag); Specifications and models: 80 blue roses; 80 * 80mm (50/pack) / 90 * 110M Kenka-1; 90 * 110mm (50/pack) / 90 * 110M Kenka-2; 90 * 110mm (50/pack) / 90 * 110M Kenka-3; 90 * 110mm (50/pack) / 90 * 110M Kenka-4; 90 * 110mm (50/pack) / 90 * 110M Kenka-6; 90 * 110mm (50/pack) / 90 * 110M Kenka-7; 90 * 110mm (50/pack) / 90 * 110M Kenka-8; 90 * 110mm (50/pack) / 90 * 110M Kenka-9; 90 * 110mm (50/pack) / 90 * 110M Kenka-10; 90 * 110mm (50/pack) / 90 * 130 floral border; 90 * 130mm (50/pack) / 110 * 80 Sunset Rose; 110 * 80mm (50/pack) / 110 * 80 smudged roses; 110 * 80mm (50/pack)</x:v>
      </x:c>
      <x:c r="E2663" s="25" t="str">
        <x:v>$3.85–$4.62</x:v>
      </x:c>
      <x:c r="F2663" s="19" t="str">
        <x:v>1</x:v>
      </x:c>
    </x:row>
    <x:row r="2664" ht="93" customHeight="1">
      <x:c r="A2664" s="19" t="n">
        <x:v>2661</x:v>
      </x:c>
      <x:c r="B2664" s="22" t="e">
        <x:f>HYPERLINK("https://cdn.shopify.com/s/files/1/0918/6066/4603/files/9f466ab14eeb41ad743ab9e0e2fbdd8c.jpg?v=1764730175","Open")</x:f>
        <x:v>HYPERLINK is not implemented. linkLocation=https://cdn.shopify.com/s/files/1/0918/6066/4603/files/9f466ab14eeb41ad743ab9e0e2fbdd8c.jpg?v=1764730175, friendlyName=Open</x:v>
      </x:c>
      <x:c r="C2664" s="24" t="e">
        <x:f>HYPERLINK("https://365nails.com/products/fog-shadow-dragon-claw-stiletto-press-on-nails-gray-matte-gradient-365nails-premium-handmade-dragon-series","Fog Shadow Dragon Claw Stiletto Press On Nails｜Gray Matte Gradient｜365Nails Premium Handmade Dragon Series")</x:f>
        <x:v>HYPERLINK is not implemented. linkLocation=https://365nails.com/products/fog-shadow-dragon-claw-stiletto-press-on-nails-gray-matte-gradient-365nails-premium-handmade-dragon-series, friendlyName=Fog Shadow Dragon Claw Stiletto Press On Nails｜Gray Matte Gradient｜365Nails Premium Handmade Dragon Series</x:v>
      </x:c>
      <x:c r="D2664" s="18" t="str">
        <x:v>Size: XS / S / M / L; Length: 50mm / 40mm</x:v>
      </x:c>
      <x:c r="E2664" s="25" t="str">
        <x:v>$6.99</x:v>
      </x:c>
      <x:c r="F2664" s="19" t="str">
        <x:v>1</x:v>
      </x:c>
    </x:row>
    <x:row r="2665" ht="93" customHeight="1">
      <x:c r="A2665" s="19" t="n">
        <x:v>2662</x:v>
      </x:c>
      <x:c r="B2665" s="22" t="e">
        <x:f>HYPERLINK("https://cdn.shopify.com/s/files/1/0918/6066/4603/files/748c65205475c417939c25efff1209e3.jpg?v=1764730147","Open")</x:f>
        <x:v>HYPERLINK is not implemented. linkLocation=https://cdn.shopify.com/s/files/1/0918/6066/4603/files/748c65205475c417939c25efff1209e3.jpg?v=1764730147, friendlyName=Open</x:v>
      </x:c>
      <x:c r="C2665" s="24" t="e">
        <x:f>HYPERLINK("https://365nails.com/products/amethyst-flow-dragon-claw-stiletto-press-on-nails-deep-purple-marble-jelly-365nails-premium-handmade-dragon-series","Amethyst Flow Dragon Claw Stiletto Press On Nails｜Deep Purple Marble Jelly｜365Nails Premium Handmade Dragon Series")</x:f>
        <x:v>HYPERLINK is not implemented. linkLocation=https://365nails.com/products/amethyst-flow-dragon-claw-stiletto-press-on-nails-deep-purple-marble-jelly-365nails-premium-handmade-dragon-series, friendlyName=Amethyst Flow Dragon Claw Stiletto Press On Nails｜Deep Purple Marble Jelly｜365Nails Premium Handmade Dragon Series</x:v>
      </x:c>
      <x:c r="D2665" s="18" t="str">
        <x:v>Size: XS / S / M / L; Length: 40mm / 25mm</x:v>
      </x:c>
      <x:c r="E2665" s="25" t="str">
        <x:v>$9.99</x:v>
      </x:c>
      <x:c r="F2665" s="19" t="str">
        <x:v>1</x:v>
      </x:c>
    </x:row>
    <x:row r="2666" ht="93" customHeight="1">
      <x:c r="A2666" s="19" t="n">
        <x:v>2663</x:v>
      </x:c>
      <x:c r="B2666" s="22" t="e">
        <x:f>HYPERLINK("https://cdn.shopify.com/s/files/1/0918/6066/4603/files/O1CN01hKx9Ua2IcCv1cNDXK__2216612099306-0-cib.jpg?v=1779172736","Open")</x:f>
        <x:v>HYPERLINK is not implemented. linkLocation=https://cdn.shopify.com/s/files/1/0918/6066/4603/files/O1CN01hKx9Ua2IcCv1cNDXK__2216612099306-0-cib.jpg?v=1779172736, friendlyName=Open</x:v>
      </x:c>
      <x:c r="C2666" s="24" t="e">
        <x:f>HYPERLINK("https://365nails.com/products/world-cup-canada-maple-leaf-football-fan-press-on-nails-gradient-24pcs-short-square","World Cup Canada Maple Leaf Football Fan Press-On Nails (Gradient/24pcs/Short Square)")</x:f>
        <x:v>HYPERLINK is not implemented. linkLocation=https://365nails.com/products/world-cup-canada-maple-leaf-football-fan-press-on-nails-gradient-24pcs-short-square, friendlyName=World Cup Canada Maple Leaf Football Fan Press-On Nails (Gradient/24pcs/Short Square)</x:v>
      </x:c>
      <x:c r="D2666" s="18" t="str">
        <x:v>Color classification: C1658</x:v>
      </x:c>
      <x:c r="E2666" s="25" t="str">
        <x:v>$1.29</x:v>
      </x:c>
      <x:c r="F2666" s="19" t="str">
        <x:v>3</x:v>
      </x:c>
    </x:row>
    <x:row r="2667" ht="93" customHeight="1">
      <x:c r="A2667" s="19" t="n">
        <x:v>2664</x:v>
      </x:c>
      <x:c r="B2667" s="22" t="e">
        <x:f>HYPERLINK("https://cdn.shopify.com/s/files/1/0918/6066/4603/files/O1CN01XLutwt1fYIX1K7lgQ__2221646754018-0-cib.jpg?v=1779264394","Open")</x:f>
        <x:v>HYPERLINK is not implemented. linkLocation=https://cdn.shopify.com/s/files/1/0918/6066/4603/files/O1CN01XLutwt1fYIX1K7lgQ__2221646754018-0-cib.jpg?v=1779264394, friendlyName=Open</x:v>
      </x:c>
      <x:c r="C2667" s="24" t="e">
        <x:f>HYPERLINK("https://365nails.com/products/world-cup-argentina-messi-10-emblem-stiletto-press-on-nails-elegant-24pcs-stiletto","World Cup Argentina Messi #10 Emblem Stiletto Press-On Nails (Elegant/24pcs/Stiletto)")</x:f>
        <x:v>HYPERLINK is not implemented. linkLocation=https://365nails.com/products/world-cup-argentina-messi-10-emblem-stiletto-press-on-nails-elegant-24pcs-stiletto, friendlyName=World Cup Argentina Messi #10 Emblem Stiletto Press-On Nails (Elegant/24pcs/Stiletto)</x:v>
      </x:c>
      <x:c r="D2667" s="18" t="str">
        <x:v>Color: Pampas glory</x:v>
      </x:c>
      <x:c r="E2667" s="25" t="str">
        <x:v>$0.99</x:v>
      </x:c>
      <x:c r="F2667" s="19" t="str">
        <x:v>3</x:v>
      </x:c>
    </x:row>
    <x:row r="2668" ht="93" customHeight="1">
      <x:c r="A2668" s="19" t="n">
        <x:v>2665</x:v>
      </x:c>
      <x:c r="B2668" s="22" t="e">
        <x:f>HYPERLINK("https://cdn.shopify.com/s/files/1/0918/6066/4603/files/O1CN01rxBAwT1GyWoJWMLcJ__2217076680691-0-cib_476d14e2-a083-4a24-8a70-d5a0e81e8115.jpg?v=1779172255","Open")</x:f>
        <x:v>HYPERLINK is not implemented. linkLocation=https://cdn.shopify.com/s/files/1/0918/6066/4603/files/O1CN01rxBAwT1GyWoJWMLcJ__2217076680691-0-cib_476d14e2-a083-4a24-8a70-d5a0e81e8115.jpg?v=1779172255, friendlyName=Open</x:v>
      </x:c>
      <x:c r="C2668" s="24" t="e">
        <x:f>HYPERLINK("https://365nails.com/products/world-cup-argentina-team-fan-press-on-nails-with-footballs-daisies-short-square-24pcs-cute","World Cup Argentina Team Fan Press-On Nails with Footballs &amp; Daisies (Short Square/24pcs/Cute)")</x:f>
        <x:v>HYPERLINK is not implemented. linkLocation=https://365nails.com/products/world-cup-argentina-team-fan-press-on-nails-with-footballs-daisies-short-square-24pcs-cute, friendlyName=World Cup Argentina Team Fan Press-On Nails with Footballs &amp; Daisies (Short Square/24pcs/Cute)</x:v>
      </x:c>
      <x:c r="D2668" s="18" t="str">
        <x:v>Color: Lc 551; Color classification: Ordinary jelly glue + rubbing strips</x:v>
      </x:c>
      <x:c r="E2668" s="25" t="str">
        <x:v>$0.99</x:v>
      </x:c>
      <x:c r="F2668" s="19" t="str">
        <x:v>3</x:v>
      </x:c>
    </x:row>
    <x:row r="2669" ht="93" customHeight="1">
      <x:c r="A2669" s="19" t="n">
        <x:v>2666</x:v>
      </x:c>
      <x:c r="B2669" s="22" t="e">
        <x:f>HYPERLINK("https://cdn.shopify.com/s/files/1/0918/6066/4603/files/a74dfc8964afb7a394b4f7cfa4c91d96.jpg?v=1764730345","Open")</x:f>
        <x:v>HYPERLINK is not implemented. linkLocation=https://cdn.shopify.com/s/files/1/0918/6066/4603/files/a74dfc8964afb7a394b4f7cfa4c91d96.jpg?v=1764730345, friendlyName=Open</x:v>
      </x:c>
      <x:c r="C2669" s="24" t="e">
        <x:f>HYPERLINK("https://365nails.com/products/rose-marble-dragon-claw-stiletto-press-on-nails-pink-white-swirl-365nails-premium-handmade-dragon-series","Rose Marble Dragon Claw Stiletto Press On Nails｜Pink &amp; White Swirl｜365Nails Premium Handmade Dragon Series")</x:f>
        <x:v>HYPERLINK is not implemented. linkLocation=https://365nails.com/products/rose-marble-dragon-claw-stiletto-press-on-nails-pink-white-swirl-365nails-premium-handmade-dragon-series, friendlyName=Rose Marble Dragon Claw Stiletto Press On Nails｜Pink &amp; White Swirl｜365Nails Premium Handmade Dragon Series</x:v>
      </x:c>
      <x:c r="D2669" s="18" t="str">
        <x:v>Size: XS / S / M / L; Length: 40mm / 25mm</x:v>
      </x:c>
      <x:c r="E2669" s="25" t="str">
        <x:v>$9.99</x:v>
      </x:c>
      <x:c r="F2669" s="19" t="str">
        <x:v>1</x:v>
      </x:c>
    </x:row>
    <x:row r="2670" ht="93" customHeight="1">
      <x:c r="A2670" s="19" t="n">
        <x:v>2667</x:v>
      </x:c>
      <x:c r="B2670" s="22" t="e">
        <x:f>HYPERLINK("https://cdn.shopify.com/s/files/1/0918/6066/4603/files/6c4d38fd1a965482018f454f0b0545e1.jpg?v=1766819159","Open")</x:f>
        <x:v>HYPERLINK is not implemented. linkLocation=https://cdn.shopify.com/s/files/1/0918/6066/4603/files/6c4d38fd1a965482018f454f0b0545e1.jpg?v=1766819159, friendlyName=Open</x:v>
      </x:c>
      <x:c r="C2670" s="24" t="e">
        <x:f>HYPERLINK("https://365nails.com/products/clear-opp-press-on-nail-packaging-display-bags","Clear OPP Press On Nail Packaging Display Bags (MOQ=50)")</x:f>
        <x:v>HYPERLINK is not implemented. linkLocation=https://365nails.com/products/clear-opp-press-on-nail-packaging-display-bags, friendlyName=Clear OPP Press On Nail Packaging Display Bags (MOQ=50)</x:v>
      </x:c>
      <x:c r="D2670" s="18" t="str">
        <x:v>Specifications and models: 80 × 80 thin with hanging ears (50 pcs/pack) / 95 × 100 thin hanging ears (50 pcs/pack) / 95 × 130 thin with hanging ears (50 pcs/pack) / 100 × 130 thin hanging ears (50 pcs/pack) / 100 × 135 thin hanging ears (50 pcs/pack) / 110 × 130 thin with hanging ears (50 pcs/pack) / 110 × 160 thin hanging ears (50 pcs/pack) / 80X80 hanging ears (50 pcs/pack) / 95X100 hanging ears (50 pcs/pack) / 95X120g ear hanging model (50 pcs/pack) / 95X125 hanging ears (50 pcs/pack) / 95 × 125 No hanging ears (50 pcs/pack) / 95X130 hanging ears (50 pcs/pack) / 90X140 hanging ears (50 pcs/pack) / 95X100 thickened without hanging ears (50 pcs/pack) / 95X120 thickened without hanging ears (50 pcs/pack) / 100X135 thickened without hanging ears (50 pcs/pack) / 105X155 thickened version on the hole (50 pcs/pack) / Under the hole 105x155 thickened (50 pcs/pack) / Gold chain beads (50 pieces/pack) / Silver Chain Beads (50 pieces/pack)</x:v>
      </x:c>
      <x:c r="E2670" s="25" t="str">
        <x:v>$0.57–$1.52</x:v>
      </x:c>
      <x:c r="F2670" s="19" t="str">
        <x:v>1</x:v>
      </x:c>
    </x:row>
    <x:row r="2671" ht="93" customHeight="1">
      <x:c r="A2671" s="19" t="n">
        <x:v>2668</x:v>
      </x:c>
      <x:c r="B2671" s="22" t="e">
        <x:f>HYPERLINK("https://cdn.shopify.com/s/files/1/0918/6066/4603/files/O1CN01xwBqN01oyFRi9Jqoa__2217080665293-0-cib.jpg?v=1766819657","Open")</x:f>
        <x:v>HYPERLINK is not implemented. linkLocation=https://cdn.shopify.com/s/files/1/0918/6066/4603/files/O1CN01xwBqN01oyFRi9Jqoa__2217080665293-0-cib.jpg?v=1766819657, friendlyName=Open</x:v>
      </x:c>
      <x:c r="C2671" s="24" t="e">
        <x:f>HYPERLINK("https://365nails.com/products/horizontal-textured-press-on-nail-display-cards","Horizontal Textured Press On Nail Display Cards (MOQ=50)")</x:f>
        <x:v>HYPERLINK is not implemented. linkLocation=https://365nails.com/products/horizontal-textured-press-on-nail-display-cards, friendlyName=Horizontal Textured Press On Nail Display Cards (MOQ=50)</x:v>
      </x:c>
      <x:c r="D2671" s="18" t="str">
        <x:v>Color: 50 sheets/pack; Specifications and models: 100 * 80 cotton pattern English version Japanese; 50 sheets/bag / 100 * 80 cotton pattern Japanese embossing; 50 sheets/pack / 115 * 88 cotton pattern small fragrant wind; 50 sheets/bag / 95 * 70 egg special-shaped blue; 50 sheets/bag / 95 * 70 egg shaped white; 50 sheets/bag / 110 * 80 eggs 01; 50 sheets/bag / 110 * 80 eggs 02; 50 sheets/bag / 110 * 80 eggs 03; 50 sheets/bag / 110 * 80 eggs 04; 50 sheets/bag / 110 * 80 eggs 05; 50 sheets/bag / 110 * 80 eggs 06; 50 sheets/bag / 110 * 80M Solid Sunset Roses; 50 sheets/pack / 110 * 80M stained roses; 50 sheets/bag / 115 * 88 cotton pattern thickened smiley face; 50 sheets/pack / 110 * 80 thickened white card horizontal version A; 50 sheets/pack / 110 * 80 thickened white card horizontal version B; 50 sheets/pack / 110 * 80 Thickened White Card Minimalist White A; 50 sheets/pack / 110 * 80 Thickened White Card Minimalist White B; 50 sheets/pack / 110 * 80 Thickened White Card Minimalist White C; 50 sheets/pack / 110 × 85 pearlescent purple; 50 sheets/pack / 110 × 85 pearlescent pink; 50 sheets/bag / 110 × 85 pearlescent green; 50 sheets/pack / 110 × 85 pearlescent orange; 50 sheets/pack / 110 × 85 black card hot silver; 50 sheets/pack / Galaxy; 50 sheets/pack / 130 * 85 night; 50 sheets/bag / 130 * 85 Jinjin purple; 50 sheets/bag / 130 * 85 mulberry fat; 50 sheets/bag / 130 * 85 Wu green; 50 sheets/bag / 130 * 85 Xia gray; 50 sheets/bag / 130 * 85 shadow green; 50 sheets/bag / 130 * 85 Iris; 50 sheets/bag</x:v>
      </x:c>
      <x:c r="E2671" s="25" t="str">
        <x:v>$1.68–$5.60</x:v>
      </x:c>
      <x:c r="F2671" s="19" t="str">
        <x:v>1</x:v>
      </x:c>
    </x:row>
    <x:row r="2672" ht="93" customHeight="1">
      <x:c r="A2672" s="19" t="n">
        <x:v>2669</x:v>
      </x:c>
      <x:c r="B2672" s="22" t="e">
        <x:f>HYPERLINK("https://cdn.shopify.com/s/files/1/0918/6066/4603/files/021fc3dde070c6e2b28da7cc047520a0.jpg?v=1766818791","Open")</x:f>
        <x:v>HYPERLINK is not implemented. linkLocation=https://cdn.shopify.com/s/files/1/0918/6066/4603/files/021fc3dde070c6e2b28da7cc047520a0.jpg?v=1766818791, friendlyName=Open</x:v>
      </x:c>
      <x:c r="C2672" s="24" t="e">
        <x:f>HYPERLINK("https://365nails.com/products/arch-pearl-shimmer-press-on-nail-display-cards","Arch Pearl Shimmer Press On Nail Display Cards (MOQ=50)")</x:f>
        <x:v>HYPERLINK is not implemented. linkLocation=https://365nails.com/products/arch-pearl-shimmer-press-on-nail-display-cards, friendlyName=Arch Pearl Shimmer Press On Nail Display Cards (MOQ=50)</x:v>
      </x:c>
      <x:c r="D2672" s="18" t="str">
        <x:v>Color: [400G pearlescent paper] pink smudge / [400G pearlescent paper] Maillard / [400G pearlescent paper] luxury gray / [400G pearlescent paper] flower element</x:v>
      </x:c>
      <x:c r="E2672" s="25" t="str">
        <x:v>$3.60</x:v>
      </x:c>
      <x:c r="F2672" s="19" t="str">
        <x:v>1</x:v>
      </x:c>
    </x:row>
    <x:row r="2673" ht="93" customHeight="1">
      <x:c r="A2673" s="19" t="n">
        <x:v>2670</x:v>
      </x:c>
      <x:c r="B2673" s="22" t="e">
        <x:f>HYPERLINK("https://cdn.shopify.com/s/files/1/0918/6066/4603/files/O1CN011YzATo1oyFRhJQHP4__2217080665293-0-cib.jpg?v=1766814825","Open")</x:f>
        <x:v>HYPERLINK is not implemented. linkLocation=https://cdn.shopify.com/s/files/1/0918/6066/4603/files/O1CN011YzATo1oyFRhJQHP4__2217080665293-0-cib.jpg?v=1766814825, friendlyName=Open</x:v>
      </x:c>
      <x:c r="C2673" s="24" t="e">
        <x:f>HYPERLINK("https://365nails.com/products/classic-white-display-cards-for-press-on-nail-sets","Classic White Display Cards for Press On Nail Sets (MOQ=50)")</x:f>
        <x:v>HYPERLINK is not implemented. linkLocation=https://365nails.com/products/classic-white-display-cards-for-press-on-nail-sets, friendlyName=Classic White Display Cards for Press On Nail Sets (MOQ=50)</x:v>
      </x:c>
      <x:c r="D2673" s="18" t="str">
        <x:v>Color: 80 * 80mm50 sheets/bag; Specifications and models: 80 eggshell pattern A; 80 * 80mm50 sheets/bag / 80 eggshell pattern B type; 80 * 80mm50 sheets/bag / 80 eggshell pattern white background simple; 80 * 80mm50 sheets/bag / 80 eggshell pattern corrugated model; 80 * 80mm50 sheets/bag / 80 pink bears; 80 * 80mm50 sheets/bag / 80 green crocodile; 80 * 80mm50 sheets/pack / 80 blue rabbit; 80 * 80mm50 sheets/pack / 80 purple bears; 80 * 80mm50 sheets/bag / 80 copper plate beige; 80 * 80mm50 sheets/pack / 80 copper plate purple arch; 80 * 80mm50 sheets/pack / 80 copper plate frame; 80 * 80mm50 sheets/bag / 80 copper plate is simple; 80 * 80mm50 sheets/pack / 80 copper plate marble pattern; 80 * 80mm50 sheets/bag / 80 copper plate simple leaves; 80 * 80mm50 sheets/pack / 80 copperplate ins black; 80 * 80mm50 sheets/pack / 80 tulips; 80 * 80mm50 sheets/bag / 80 love puppy; 80 * 80mm50 sheets/bag / 80 Leap Puppy; 80 * 80mm50 sheets/pack / 80 pearlescent pink; 80 * 80mm50 sheets/bag / 80 pearlescent black; 80 * 80mm50 sheets/bag / 80 pearlescent butterfly; 80 * 80mm50 sheets/bag / 80 gradual change love dream love; 80 * 80mm50 sheets/bag / 80 pearlescent butterfly frame; 80 * 80mm50 sheets/bag / 80 pearlescent gradual change butterfly; 80 * 80mm50 sheets/bag / 80 pearlescent gradual change roses; 80 * 80mm50 sheets/pack / 80 pearlescent cute face; 80 * 80mm50 sheets/bag / 80 pearlescent blue puppy; 80 * 80mm50 sheets/pack / 80 pearlescent love; 80 * 80mm50 sheets/bag / 80 black butterflies; 80 * 80mm50 sheets/bag / 85 round pink butterfly; 80 * 80mm50 sheets/bag / 85 round pink bear; 80 * 80mm50 sheets/bag / 85 round blush gradual change; 80 * 80mm50 sheets/pack / 85 round blue butterfly; 80 * 80mm50 sheets/bag / 80-Flower butterfly; 80 * 80mm50 sheets/bag / 80-Green butterfly; 80 * 80mm50 sheets/bag / 80-White flowers; 80 * 80mm50 sheets/bag / 80 pearlescent hot silver; 80 * 80mm50 sheets/bag / 80 pearlescent rose gold; 80 * 80mm50 sheets/bag / 80 pearlescent hot black frame; 80 * 80mm50 sheets/bag / 80M Strong Blue Rose; 80 * 80mm50 sheets/bag / 80 cotton paper lily of the valley; 80 * 80mm50 sheets/bag / 80 cotton paper lily of the valley right; 80 * 80mm50 sheets/bag / 80 cotton paper lily of the valley left; 80 * 80mm50 sheets/bag / 80 cotton paper full version of lily of the valley; 80 * 80mm50 sheets/bag / 80 cotton paper full version rose; 80 * 80mm50 sheets/bag / 80 cotton paper rose frame; 80 * 80mm50 sheets/bag / 80 black card European border; 80 * 80mm50 sheets/pack / 80 black card astrolabe; 80 * 80mm50 sheets/pack / 80 Right Angle Hot Silver Rainbow - English Version; 80 * 80mm50 sheets/pack / 80 Right Angle Hot Silver Rainbow - Chinese Version; 80 * 80mm50 sheets/pack / 80 bar badge display card-A type; 80 * 80mm50 sheets/bag / 80 bar badge display card-B type; 80 * 80mm50 sheets/bag / 80 bar badge display card-C type; 80 * 80mm50 sheets/bag / 80 bar badge display card-D type; 80 * 80mm50 sheets/bag / 80 bar badge display card-E type; 80 * 80mm50 sheets/bag / 80 bar badge display card-F type; 80 * 80mm50 sheets/bag / 80 bar badge display card-G model; 80 * 80mm50 sheets/bag / 80 bar badge display card-H type; 80 * 80mm50 sheets/bag</x:v>
      </x:c>
      <x:c r="E2673" s="25" t="str">
        <x:v>$1.50–$2.50</x:v>
      </x:c>
      <x:c r="F2673" s="19" t="str">
        <x:v>1</x:v>
      </x:c>
    </x:row>
    <x:row r="2674" ht="93" customHeight="1">
      <x:c r="A2674" s="19" t="n">
        <x:v>2671</x:v>
      </x:c>
      <x:c r="B2674" s="22" t="e">
        <x:f>HYPERLINK("https://cdn.shopify.com/s/files/1/0918/6066/4603/files/2d1f0adc1bf1632007e10ccb494adf67.jpg?v=1766810924","Open")</x:f>
        <x:v>HYPERLINK is not implemented. linkLocation=https://cdn.shopify.com/s/files/1/0918/6066/4603/files/2d1f0adc1bf1632007e10ccb494adf67.jpg?v=1766810924, friendlyName=Open</x:v>
      </x:c>
      <x:c r="C2674" s="24" t="e">
        <x:f>HYPERLINK("https://365nails.com/products/translucent-glassine-envelopes-with-gold-seal-closure","Translucent Glassine Envelopes with Gold Seal Closure (MOQ=20)")</x:f>
        <x:v>HYPERLINK is not implemented. linkLocation=https://365nails.com/products/translucent-glassine-envelopes-with-gold-seal-closure, friendlyName=Translucent Glassine Envelopes with Gold Seal Closure (MOQ=20)</x:v>
      </x:c>
      <x:c r="D2674" s="18" t="str">
        <x:v>Color: [95X95mm] 1 sheet/(20 sheets/pack) / [95X120mm] 1 sheet/(20 sheets/pack) / [160X110mm] 1 sheet/(20 sheets/pack)</x:v>
      </x:c>
      <x:c r="E2674" s="25" t="str">
        <x:v>$2.16–$4.00</x:v>
      </x:c>
      <x:c r="F2674" s="19" t="str">
        <x:v>1</x:v>
      </x:c>
    </x:row>
    <x:row r="2675" ht="93" customHeight="1">
      <x:c r="A2675" s="19" t="n">
        <x:v>2672</x:v>
      </x:c>
      <x:c r="B2675" s="22" t="e">
        <x:f>HYPERLINK("https://cdn.shopify.com/s/files/1/0918/6066/4603/files/4c65b533603b7938f265e0d9f2089683.jpg?v=1766815526","Open")</x:f>
        <x:v>HYPERLINK is not implemented. linkLocation=https://cdn.shopify.com/s/files/1/0918/6066/4603/files/4c65b533603b7938f265e0d9f2089683.jpg?v=1766815526, friendlyName=Open</x:v>
      </x:c>
      <x:c r="C2675" s="24" t="e">
        <x:f>HYPERLINK("https://365nails.com/products/pearl-finish-display-cards-for-handmade-press-on-nails","Pearl Finish Display Cards for Handmade Press On Nails (MOQ=50)")</x:f>
        <x:v>HYPERLINK is not implemented. linkLocation=https://365nails.com/products/pearl-finish-display-cards-for-handmade-press-on-nails, friendlyName=Pearl Finish Display Cards for Handmade Press On Nails (MOQ=50)</x:v>
      </x:c>
      <x:c r="D2675" s="18" t="str">
        <x:v>Color: 65 * 65Mm (50/sheet) / 75 * 75Mm (50/sheet) / 80 * 80Mm (50/sheet) / 85 * 85Mm (50/sheet) / 80 * 110Mm (50/sheet) / 80 * 115Mm (50/sheet) / 85 * 100Mm (50/sheet) / 85 * 110Mm (50/sheet) / 85 * 115Mm (50/sheet) / 110 * 85Mm (50/sheet); Specifications and models: [400G pearlescent paper] 65 pink pure printing; 65 * 65mm (50/sheet) / [400G pearlescent paper] 65 black pure printing; 65 * 65mm (50/sheet) / [400G pearlescent paper] 65 hot rose gold; 65 * 65mm (50/sheet) / [400G pearlescent paper] 65 hot black gold; 65 * 65mm (50/sheet) / [400G pearlescent paper] 65 hot silver; 65 * 65mm (50/sheet) / [400G pearlescent paper] 75 pink pure printing; 75 * 75mm (50/sheet) / [400G pearlescent paper] 75 black pure printing; 75 * 75mm (50/sheet) / [400G pearlescent paper] 75 hot rose gold; 75 * 75mm (50/sheet) / [400G pearlescent paper] 75 hot black gold; 75 * 75mm (50/sheet) / [400G pearlescent paper] 75 smudged green; 75 * 75mm (50/sheet) / [400G pearlescent paper] 75 purple heart; 75 * 75mm (50/sheet) / [400G pearlescent paper] 80 pink pure printing; 80 * 80mm (50/sheet) / [400G pearlescent paper] 80 black pure printing; 80 * 80mm (50/sheet) / [400G pearlescent paper] 80 hot rose gold; 80 * 80mm (50/sheet) / [400G pearlescent paper] 80 hot black gold; 80 * 80mm (50/sheet) / [400G pearlescent paper] 80 hot silver; 80 * 80mm (50/sheet) / [400G pearlescent paper] 80 pink butterfly; 80 * 80mm (50/sheet) / [400G pearlescent paper] 80 frame butterfly; 80 * 80mm (50/sheet) / [400G pearlescent paper] 80 purple butterfly; 80 * 80mm (50/sheet) / [400G pearlescent paper] 80 hearts; 80 * 80mm (50/sheet) / [400G pearlescent paper] 80 gradual change roses; 80 * 80mm (50/sheet) / [400G pearlescent paper] 80 cute face; 80 * 80mm (50/sheet) / [400G pearlescent paper] 80 blue puppy; 80 * 80mm (50/sheet) / [400G pearlescent paper] round pink butterfly; 85 * 85mm (50/sheet) / [400G pearlescent paper] round pink bear; 85 * 85mm (50/sheet) / [400G pearlescent paper] round purple butterfly; 85 * 85mm (50/sheet) / [400G pearlescent paper] Round blush gradual change; 85 * 85mm (50/sheet) / [400G pearlescent paper] 80 × 110 pink pure printing; 80 * 110mm (50/sheet) / [400G pearlescent paper] 80 × 110 black pure printing; 80 * 110mm (50/sheet) / [400G pearlescent paper] 80 × 110 hot black gold; 80 * 110mm (50/sheet) / [400G pearlescent paper] 80 × 110 hot rose gold; 80 * 110mm (50/sheet) / [400G pearlescent paper] 80 × 115 lilies; 80 * 115mm (50/sheet) / [400G pearlescent paper] 80 × 115 leaves; 80 * 115mm (50/sheet) / [400G pearlescent paper] 80 × 115 rose frame; 80 * 115mm (50/sheet) / [400G pearlescent paper] 80 × 115 arch 01; 80 * 115mm (50/sheet) / [400G pearlescent paper] 80 × 115 arched flowers; 80 * 115mm (50/sheet) / [400G pearlescent paper] 85 × 100 special-shaped smudging powder; 85 * 100mm (50/sheet) / [400G pearlescent paper] 85 × 110 pink; 85 * 110mm (50/sheet) / [400G pearlescent paper] 85 × 110 green; 85 * 110mm (50/sheet) / [400G pearlescent paper] 85 × 110 blue; 85 * 110mm (50/sheet) / [400G pearlescent paper] 85 × 115ins; 85 * 115mm (50/sheet) / [400G pearlescent paper] 85 × 115 Phnom Penh smudge powder; 85 * 115mm (50/sheet) / [400G pearlescent paper] 85 × 115 smudged butterfly; 85 * 115mm (50/sheet) / [400G pearlescent paper] 85 × 115 tie-dye; 85 * 115mm (50/sheet) / [400G pearlescent paper] 85 × 115 pearlescent paper 04; 85 * 115mm (50/sheet) / [400G pearlescent paper] 85 × 115 pearlescent paper 06; 85 * 115mm (50/sheet) / [400G pearlescent paper] 110 × 85 green; 110 * 85mm (50/sheet) / [400G pearlescent paper] 110 × 85 purple; 110 * 85mm (50/sheet) / [400G pearlescent paper] 110 × 85 orange; 110 * 85mm (50/sheet) / [400G pearlescent paper] 110 × 85 pink; 110 * 85mm (50/sheet)</x:v>
      </x:c>
      <x:c r="E2675" s="25" t="str">
        <x:v>$1.50–$2.50</x:v>
      </x:c>
      <x:c r="F2675" s="19" t="str">
        <x:v>1</x:v>
      </x:c>
    </x:row>
    <x:row r="2676" ht="93" customHeight="1">
      <x:c r="A2676" s="19" t="n">
        <x:v>2673</x:v>
      </x:c>
      <x:c r="B2676" s="22" t="e">
        <x:f>HYPERLINK("https://cdn.shopify.com/s/files/1/0918/6066/4603/files/a9070f258cb91fc1a94698ccfd557595.jpg?v=1766815909","Open")</x:f>
        <x:v>HYPERLINK is not implemented. linkLocation=https://cdn.shopify.com/s/files/1/0918/6066/4603/files/a9070f258cb91fc1a94698ccfd557595.jpg?v=1766815909, friendlyName=Open</x:v>
      </x:c>
      <x:c r="C2676" s="24" t="e">
        <x:f>HYPERLINK("https://365nails.com/products/galaxy-black-display-cards-for-press-on-nail-collections","Galaxy Black Display Cards for Press On Nail Collections (MOQ=50)")</x:f>
        <x:v>HYPERLINK is not implemented. linkLocation=https://365nails.com/products/galaxy-black-display-cards-for-press-on-nail-collections, friendlyName=Galaxy Black Display Cards for Press On Nail Collections (MOQ=50)</x:v>
      </x:c>
      <x:c r="D2676" s="18" t="str">
        <x:v>Color: 85 * 110Mm (50 sheets/pack) / 110 * 85Mm (50 sheets/pack) / 75 * 75Mm (50 sheets/pack) / 65 * 65Mm (50 sheets/pack); Specifications and models: [Vertical Star Paper] gradual change; 85 * 110mm (50 sheets/bag) / [Vertical Star Paper] Black style 1; 85 * 110mm (50 sheets/pack) / [Vertical Star Paper] Black style 2; 85 * 110mm (50 sheets/pack) / [Horizontal Starry Sky Paper] Black style 1; 110 * 85mm (50 sheets/pack) / [Horizontal Starry Sky Paper] Black style 2; 110 * 85mm (50 sheets/pack) / [Horizontal Starry Sky Paper] Black style 3; 110 * 85mm (50 sheets/pack) / [Horizontal Starry Sky Paper] White style 1; 110 * 85mm (50 sheets/pack) / [Horizontal Starry Sky Paper] White Style 2; 110 * 85mm (50 sheets/pack) / [Rounded Star Paper] 75 simple yellow letters; 75 * 75mm (50 sheets/pack) / [Rounded Star Paper] 75 simple frame; 75 * 75mm (50 sheets/pack) / [Rounded Star Paper] 65 black simple art characters; 65 * 65mm (50 sheets/pack)</x:v>
      </x:c>
      <x:c r="E2676" s="25" t="str">
        <x:v>$2.50</x:v>
      </x:c>
      <x:c r="F2676" s="19" t="str">
        <x:v>1</x:v>
      </x:c>
    </x:row>
    <x:row r="2677" ht="93" customHeight="1">
      <x:c r="A2677" s="19" t="n">
        <x:v>2674</x:v>
      </x:c>
      <x:c r="B2677" s="22" t="e">
        <x:f>HYPERLINK("https://cdn.shopify.com/s/files/1/0918/6066/4603/files/O1CN01K93RJk1oyFSDHUAjw__2217080665293-0-cib_998aa9e1-31ae-4ecd-b1b2-74c6143418dd.jpg?v=1766808416","Open")</x:f>
        <x:v>HYPERLINK is not implemented. linkLocation=https://cdn.shopify.com/s/files/1/0918/6066/4603/files/O1CN01K93RJk1oyFSDHUAjw__2217080665293-0-cib_998aa9e1-31ae-4ecd-b1b2-74c6143418dd.jpg?v=1766808416, friendlyName=Open</x:v>
      </x:c>
      <x:c r="C2677" s="24" t="e">
        <x:f>HYPERLINK("https://365nails.com/products/luxury-rectangular-display-cards-for-press-on-nail-sets","Luxury Rectangular Display Cards for Press On Nail Sets (MOQ=10)")</x:f>
        <x:v>HYPERLINK is not implemented. linkLocation=https://365nails.com/products/luxury-rectangular-display-cards-for-press-on-nail-sets, friendlyName=Luxury Rectangular Display Cards for Press On Nail Sets (MOQ=10)</x:v>
      </x:c>
      <x:c r="D2677" s="18" t="str">
        <x:v>Color: 10 sheets/pack; Specifications and models: Woodcut display cards; 10 sheets/pack</x:v>
      </x:c>
      <x:c r="E2677" s="25" t="str">
        <x:v>$2.20</x:v>
      </x:c>
      <x:c r="F2677" s="19" t="str">
        <x:v>1</x:v>
      </x:c>
    </x:row>
    <x:row r="2678" ht="93" customHeight="1">
      <x:c r="A2678" s="19" t="n">
        <x:v>2675</x:v>
      </x:c>
      <x:c r="B2678" s="22" t="e">
        <x:f>HYPERLINK("https://cdn.shopify.com/s/files/1/0918/6066/4603/files/f48786f49ae74f876712cec7dc8571fc_f9dc20c5-093b-4a4b-8975-55b6af939d9f.jpg?v=1766808412","Open")</x:f>
        <x:v>HYPERLINK is not implemented. linkLocation=https://cdn.shopify.com/s/files/1/0918/6066/4603/files/f48786f49ae74f876712cec7dc8571fc_f9dc20c5-093b-4a4b-8975-55b6af939d9f.jpg?v=1766808412, friendlyName=Open</x:v>
      </x:c>
      <x:c r="C2678" s="24" t="e">
        <x:f>HYPERLINK("https://365nails.com/products/premium-nail-display-cards-with-artistic-gradient-background","Premium Nail Display Cards with Artistic Gradient Background (MOQ=50)")</x:f>
        <x:v>HYPERLINK is not implemented. linkLocation=https://365nails.com/products/premium-nail-display-cards-with-artistic-gradient-background, friendlyName=Premium Nail Display Cards with Artistic Gradient Background (MOQ=50)</x:v>
      </x:c>
      <x:c r="D2678" s="18" t="str">
        <x:v>Color: 75 * 75Mm (50 sheets/pack) / 80 * 80Mm (50 sheets/pack) / 110 * 80Mm (50 sheets/pack); Specifications and models: [350G white beautiful special paper] letter model; 75 * 75mm (50 sheets/pack) / [350G ice-white special paper] blue butterfly; 80 * 80mm (50 sheets/pack) / [350G ice-white special paper] pink butterfly; 80 * 80mm (50 sheets/pack) / [350G ice-white special paper] letter butterfly; 80 * 80mm (50 sheets/pack) / [350G hemp yarn pattern special paper] literary letters; 110 * 80mm (50 sheets/pack) / [350G hemp yarn pattern special paper] art letters; 110 * 80mm (50 sheets/pack) / [700G white beautiful special paper] simple letters; 110 * 80mm (50 sheets/pack) / [700G hemp yarn pattern special paper] simple letters; 110 * 80mm (50 sheets/pack) / [700G pinhole ultra-white special paper] simple letters; 110 * 80mm (50 sheets/pack)</x:v>
      </x:c>
      <x:c r="E2678" s="25" t="str">
        <x:v>$3.85–$6.16</x:v>
      </x:c>
      <x:c r="F2678" s="19" t="str">
        <x:v>1</x:v>
      </x:c>
    </x:row>
    <x:row r="2679" ht="93" customHeight="1">
      <x:c r="A2679" s="19" t="n">
        <x:v>2676</x:v>
      </x:c>
      <x:c r="B2679" s="22" t="e">
        <x:f>HYPERLINK("https://cdn.shopify.com/s/files/1/0918/6066/4603/files/O1CN018uRLyS1oyFQWjfyne__2217080665293-0-cib_b9a8a496-6e79-4a35-b6e6-5ea4064234a2.jpg?v=1766808357","Open")</x:f>
        <x:v>HYPERLINK is not implemented. linkLocation=https://cdn.shopify.com/s/files/1/0918/6066/4603/files/O1CN018uRLyS1oyFQWjfyne__2217080665293-0-cib_b9a8a496-6e79-4a35-b6e6-5ea4064234a2.jpg?v=1766808357, friendlyName=Open</x:v>
      </x:c>
      <x:c r="C2679" s="24" t="e">
        <x:f>HYPERLINK("https://365nails.com/products/arch-shape-display-cards-for-handmade-press-on-nails","Arch Shape Display Cards for Handmade Press On Nails (MOQ=50)")</x:f>
        <x:v>HYPERLINK is not implemented. linkLocation=https://365nails.com/products/arch-shape-display-cards-for-handmade-press-on-nails, friendlyName=Arch Shape Display Cards for Handmade Press On Nails (MOQ=50)</x:v>
      </x:c>
      <x:c r="D2679" s="18" t="str">
        <x:v>Color: 85 * 115Mm (50 sheets/pack); Specifications and models: [400G cotton grain paper] arched light green; 85 * 115mm (50 sheets/pack) / [400G cotton grain paper] arched pink; 85 * 115mm (50 sheets/pack) / [400G cotton grain paper] arch powder color matching; 85 * 115mm (50 sheets/pack) / [400G cotton grain paper] arched blue color matching; 85 * 115mm (50 sheets/pack) / [400G cotton pattern paper] Arch coffee color matching; 85 * 115mm (50 sheets/pack) / [400G cotton paper] blush - rose; 85 * 115mm (50 sheets/pack) / [400G cotton paper] smudged - carnation; 85 * 115mm (50 sheets/pack) / [400G cotton paper] blue butterfly; 85 * 115mm (50 sheets/pack) / [400G cotton paper] Eros Cupid - English version; 85 * 115mm (50 sheets/pack) / [400G Cotton Paper] Sun Muse - English version; 85 * 115mm (50 sheets/pack) / [400G cotton paper] Flower Angel - English version; 85 * 115mm (50 sheets/pack)</x:v>
      </x:c>
      <x:c r="E2679" s="25" t="str">
        <x:v>$2.31</x:v>
      </x:c>
      <x:c r="F2679" s="19" t="str">
        <x:v>1</x:v>
      </x:c>
    </x:row>
    <x:row r="2680" ht="93" customHeight="1">
      <x:c r="A2680" s="19" t="n">
        <x:v>2677</x:v>
      </x:c>
      <x:c r="B2680" s="22" t="e">
        <x:f>HYPERLINK("https://cdn.shopify.com/s/files/1/0918/6066/4603/files/O1CN01bz1gOs1MNmj4WjVbV__2218014201423-0-cib.jpg?v=1779180855","Open")</x:f>
        <x:v>HYPERLINK is not implemented. linkLocation=https://cdn.shopify.com/s/files/1/0918/6066/4603/files/O1CN01bz1gOs1MNmj4WjVbV__2218014201423-0-cib.jpg?v=1779180855, friendlyName=Open</x:v>
      </x:c>
      <x:c r="C2680" s="24" t="e">
        <x:f>HYPERLINK("https://365nails.com/products/world-cup-usa-stars-stripes-heart-football-stiletto-press-on-nails-long-stiletto-24pcs-unique","World Cup USA Stars &amp; Stripes Heart Football Stiletto Press-On Nails (Long Stiletto/24pcs/Unique)")</x:f>
        <x:v>HYPERLINK is not implemented. linkLocation=https://365nails.com/products/world-cup-usa-stars-stripes-heart-football-stiletto-press-on-nails-long-stiletto-24pcs-unique, friendlyName=World Cup USA Stars &amp; Stripes Heart Football Stiletto Press-On Nails (Long Stiletto/24pcs/Unique)</x:v>
      </x:c>
      <x:c r="D2680" s="18" t="str">
        <x:v>Color: A-1464【naked strips/24 pieces】</x:v>
      </x:c>
      <x:c r="E2680" s="25" t="str">
        <x:v>$0.99</x:v>
      </x:c>
      <x:c r="F2680" s="19" t="str">
        <x:v>3</x:v>
      </x:c>
    </x:row>
    <x:row r="2681" ht="93" customHeight="1">
      <x:c r="A2681" s="19" t="n">
        <x:v>2678</x:v>
      </x:c>
      <x:c r="B2681" s="22" t="e">
        <x:f>HYPERLINK("https://cdn.shopify.com/s/files/1/0918/6066/4603/files/6c20b5fb4b166bfb60d2e82d9f0edc85.jpg?v=1764730377","Open")</x:f>
        <x:v>HYPERLINK is not implemented. linkLocation=https://cdn.shopify.com/s/files/1/0918/6066/4603/files/6c20b5fb4b166bfb60d2e82d9f0edc85.jpg?v=1764730377, friendlyName=Open</x:v>
      </x:c>
      <x:c r="C2681" s="24" t="e">
        <x:f>HYPERLINK("https://365nails.com/products/black-cherry-wine-dragon-claw-stiletto-press-on-nails-sheer-deep-wine-red-jelly-365nails-premium-handmade-dragon-series","Black Cherry Wine Dragon Claw Stiletto Press On Nails｜Sheer Deep Wine Red Jelly｜365Nails Premium Handmade Dragon Series")</x:f>
        <x:v>HYPERLINK is not implemented. linkLocation=https://365nails.com/products/black-cherry-wine-dragon-claw-stiletto-press-on-nails-sheer-deep-wine-red-jelly-365nails-premium-handmade-dragon-series, friendlyName=Black Cherry Wine Dragon Claw Stiletto Press On Nails｜Sheer Deep Wine Red Jelly｜365Nails Premium Handmade Dragon Series</x:v>
      </x:c>
      <x:c r="D2681" s="18" t="str">
        <x:v>Size: XS / S / M / L; Length: 40mm / 25mm</x:v>
      </x:c>
      <x:c r="E2681" s="25" t="str">
        <x:v>$9.99</x:v>
      </x:c>
      <x:c r="F2681" s="19" t="str">
        <x:v>1</x:v>
      </x:c>
    </x:row>
    <x:row r="2682" ht="93" customHeight="1">
      <x:c r="A2682" s="19" t="n">
        <x:v>2679</x:v>
      </x:c>
      <x:c r="B2682" s="22" t="e">
        <x:f>HYPERLINK("https://cdn.shopify.com/s/files/1/0918/6066/4603/files/O1CN01te8fp31oyFSRKCcat__2217080665293-0-cib_e4562fd8-8eda-42bf-9e17-8c7b2d42546a.jpg?v=1766754738","Open")</x:f>
        <x:v>HYPERLINK is not implemented. linkLocation=https://cdn.shopify.com/s/files/1/0918/6066/4603/files/O1CN01te8fp31oyFSRKCcat__2217080665293-0-cib_e4562fd8-8eda-42bf-9e17-8c7b2d42546a.jpg?v=1766754738, friendlyName=Open</x:v>
      </x:c>
      <x:c r="C2682" s="24" t="e">
        <x:f>HYPERLINK("https://365nails.com/products/square-minimal-display-cards-for-handmade-press-on-nails","Square Minimal Display Cards for Handmade Press On Nails (MOQ=50)")</x:f>
        <x:v>HYPERLINK is not implemented. linkLocation=https://365nails.com/products/square-minimal-display-cards-for-handmade-press-on-nails, friendlyName=Square Minimal Display Cards for Handmade Press On Nails (MOQ=50)</x:v>
      </x:c>
      <x:c r="D2682" s="18" t="str">
        <x:v>Color: 50 sheets/pack; Specifications and models: 65 full version of lily of the valley; 50 sheets/pack / 65 small butterflies; 50 sheets/bag / 65 minimalist leaves; 50 sheets/pack / 65 camellias; 50 sheets/bag / 65 small daisies; 50 sheets/bag / 65 Reverse Blank - Lily of the Valley; 50 sheets/pack / 65 Reverse blank - flower line draft; 50 sheets/pack / 65 Reverse Blank - Small Daisies; 50 sheets/pack / 65 reverse blank - camellia; 50 sheets/bag / 65 Reverse blank - simple leaves; 50 sheets/pack / 65 Reverse blank - full version of lily of the valley; 50 sheets/pack / 65 Reverse blank - rose border; 50 sheets/pack / 65 gradual change of powder border; 50 sheets/pack / 65 black frame printing; 50 sheets/pack / 65 powder frame printing; 50 sheets/pack / 65 color smudges in English; 50 sheets/pack / 65 pink smudge, Chinese version; 50 sheets/pack / 65 pink smudge, English version; 50 sheets/pack / 65 blush gradual change - Chinese; 50 sheets/pack / 65 blush gradual change - English; 50 sheets/pack / 65 leaves - Chinese version; 50 sheets/pack / 65-Leaves - English version; 50 sheets/pack / 65 black bronzing; 50 sheets/bag / 65 hot rose gold; 50 sheets/bag</x:v>
      </x:c>
      <x:c r="E2682" s="25" t="str">
        <x:v>$2.31–$3.08</x:v>
      </x:c>
      <x:c r="F2682" s="19" t="str">
        <x:v>1</x:v>
      </x:c>
    </x:row>
    <x:row r="2683" ht="93" customHeight="1">
      <x:c r="A2683" s="19" t="n">
        <x:v>2680</x:v>
      </x:c>
      <x:c r="B2683" s="22" t="e">
        <x:f>HYPERLINK("https://cdn.shopify.com/s/files/1/0918/6066/4603/files/O1CN01RVnSGB1oyFSGbOBf1__2217080665293-0-cib_dac52f9a-18a5-4c14-af8d-e3def46bb9c0.jpg?v=1766808348","Open")</x:f>
        <x:v>HYPERLINK is not implemented. linkLocation=https://cdn.shopify.com/s/files/1/0918/6066/4603/files/O1CN01RVnSGB1oyFSGbOBf1__2217080665293-0-cib_dac52f9a-18a5-4c14-af8d-e3def46bb9c0.jpg?v=1766808348, friendlyName=Open</x:v>
      </x:c>
      <x:c r="C2683" s="24" t="e">
        <x:f>HYPERLINK("https://365nails.com/products/art-texture-display-cards-for-press-on-nail-sets","Art Texture Display Cards for Press On Nail Sets (MOQ=50)")</x:f>
        <x:v>HYPERLINK is not implemented. linkLocation=https://365nails.com/products/art-texture-display-cards-for-press-on-nail-sets, friendlyName=Art Texture Display Cards for Press On Nail Sets (MOQ=50)</x:v>
      </x:c>
      <x:c r="D2683" s="18" t="str">
        <x:v>Color: 80 * 110Mm (50/bag); Specifications and models: 80 * 110Ins pattern; 80 * 110mm (50/pack) / 80 * 110 beige; 80 * 110mm (50/pack) / 80 * 110 light green; 80 * 110mm (50/pack) / 80 * 110 marble pattern; 80 * 110mm (50/pack) / 80 * 110 pink leaves; 80 * 110mm (50/pack) / 80 * 110 green smudge; 80 * 110mm (50/pack) / 80 * 110 Japanese simple leaves; 80 * 110mm (50/pack) / 80*110ins简约款;80*110mm（50/包） / 80*110ins简约款02;80*110mm（50/包） / 80 * 110 pink smudge; 80 * 110mm (50/pack) / 80 * 110 light blue; 80 * 110mm (50/pack)</x:v>
      </x:c>
      <x:c r="E2683" s="25" t="str">
        <x:v>$2.31</x:v>
      </x:c>
      <x:c r="F2683" s="19" t="str">
        <x:v>1</x:v>
      </x:c>
    </x:row>
    <x:row r="2684" ht="93" customHeight="1">
      <x:c r="A2684" s="19" t="n">
        <x:v>2681</x:v>
      </x:c>
      <x:c r="B2684" s="22" t="e">
        <x:f>HYPERLINK("https://cdn.shopify.com/s/files/1/0918/6066/4603/files/O1CN01GzDlFV1oyFSKT1sYM__2217080665293-0-cib.jpg?v=1766814117","Open")</x:f>
        <x:v>HYPERLINK is not implemented. linkLocation=https://cdn.shopify.com/s/files/1/0918/6066/4603/files/O1CN01GzDlFV1oyFSKT1sYM__2217080665293-0-cib.jpg?v=1766814117, friendlyName=Open</x:v>
      </x:c>
      <x:c r="C2684" s="24" t="e">
        <x:f>HYPERLINK("https://365nails.com/products/european-style-display-cards-for-press-on-nail-sets","European Style Display Cards for Press On Nail Sets (MOQ=50)")</x:f>
        <x:v>HYPERLINK is not implemented. linkLocation=https://365nails.com/products/european-style-display-cards-for-press-on-nail-sets, friendlyName=European Style Display Cards for Press On Nail Sets (MOQ=50)</x:v>
      </x:c>
      <x:c r="D2684" s="18" t="str">
        <x:v>Color: 50 sheets/pack; 规格型号: 75 English version - red smudge; 50 sheets/pack / 75 English version - blue smudge; 50 sheets/pack / 75 English version - Tulips; 50 sheets/bag / 75 English version - purple smudge; 50 sheets/pack / 75 English version - Magnolia; 50 sheets/pack / 75 English version - Brown minimalist; 50 sheets/pack / 75 English version - beige minimalist; 50 sheets/pack / 75 National Style - Drama; 50 sheets/pack / 80 * 75 European style - Cupid; 50 sheets/pack / 80-White flowers; 50 sheets/pack / 80-Flower butterfly; 50 sheets/bag / 80 green butterflies; 50 sheets/pack / 85X110 Chinese version; 50 sheets/pack / 85X110 Pink and White Oil Painting Chinese Version; 50 sheets/pack / 85X110 pink flower Chinese version; 50 sheets/pack / 85X110 flower border Chinese version; 50 sheets/pack / 85X110 Small Daisies Chinese Version; 50 sheets/pack / 85X110 oil painting flower Chinese version; 50 sheets/pack / 85 * 110 Green Flowers English version; 50 sheets/bag / 85 * 110 pink flower English version; 50 sheets/bag / 88 * 115 Flower Series 01; 50 sheets/bag / 88*115繁花系列02;50张/包 / 88*115繁花系列03;50张/包 / 88*115繁花系列04;50张/包 / 88 * 115 Flower Series 05; 50 sheets/bag / 88 * 115 Flower Series 06; 50 sheets/bag / 88 * 115 Flower Series 07; 50 sheets/bag / 88 * 115 Flower Series 08; 50 sheets/bag / 88 * 115 Flower Series 09; 50 sheets/bag / 88 * 115 retro style; 50 sheets/pack / 88 * 115 European style wind; 50 sheets/bag / 90 * 115 brown; 50 sheets/bag / 90 * 115 dark green; 50 sheets/pack / 90 * 115 roses; 50 sheets/bag / 80 blue roses; 50 sheets/pack / 90 * 110M Kenka-1; 50 sheets/pack / 90 * 110M Kenka-2; 50 sheets/pack / 90 * 110M Kenka-3; 50 sheets/pack / 90 * 110M Kenka-4; 50 sheets/pack / 90 * 110M Kenka-6; 50 sheets/pack / 90 * 110M Kenka-7; 50 sheets/bag / 90 * 110M Kenka-8; 50 sheets/bag / 90 * 110M Kenka-9; 50 sheets/bag / 90 * 110M Kenka-10; 50 sheets/pack / 90 * 130 flower border; 50 sheets/bag / 110 * 80 sunset roses; 50 sheets/pack / 110*80晕染玫瑰;50张/包</x:v>
      </x:c>
      <x:c r="E2684" s="25" t="str">
        <x:v>$1.50–$3.00</x:v>
      </x:c>
      <x:c r="F2684" s="19" t="str">
        <x:v>1</x:v>
      </x:c>
    </x:row>
    <x:row r="2685" ht="93" customHeight="1">
      <x:c r="A2685" s="19" t="n">
        <x:v>2682</x:v>
      </x:c>
      <x:c r="B2685" s="22" t="e">
        <x:f>HYPERLINK("https://cdn.shopify.com/s/files/1/0918/6066/4603/files/b2d82179d2a96855b42e5437c4c43a11.jpg?v=1766813397","Open")</x:f>
        <x:v>HYPERLINK is not implemented. linkLocation=https://cdn.shopify.com/s/files/1/0918/6066/4603/files/b2d82179d2a96855b42e5437c4c43a11.jpg?v=1766813397, friendlyName=Open</x:v>
      </x:c>
      <x:c r="C2685" s="24" t="e">
        <x:f>HYPERLINK("https://365nails.com/products/embossed-gold-cotton-display-cards-for-press-on-nails","Embossed Gold Cotton Display Cards for Press On Nails (MOQ=50)")</x:f>
        <x:v>HYPERLINK is not implemented. linkLocation=https://365nails.com/products/embossed-gold-cotton-display-cards-for-press-on-nails, friendlyName=Embossed Gold Cotton Display Cards for Press On Nails (MOQ=50)</x:v>
      </x:c>
      <x:c r="D2685" s="18" t="str">
        <x:v>Color: Love Rose - Golden Labyrinth / Love Rose - Light Bronze / Love Rose - Light Golden Quicksand / Love Rose - Light Purple / Love Rose - Dumb Gold / Love Rose - Silver Rainbow / Lily Gold Labyrinth / Lily light bronze / Lily light gold quicksand / Lily light purple / Lily Silver Rainbow / Big Butterfly Golden Labyrinth / Big Butterfly Light Bronze / Big Butterfly Light Golden Quicksand / Big butterfly light purple / Big butterfly dumb gold / Big Butterfly Silver Rainbow / Big Rose 3 Golden Labyrinth / Big Rose 3 Light Bronze / Big Rose 3 Light Gold Quicksand / Big Rose 3 Light Purple / Big Rose 3 Matte Gold / Big Rose 3 Silver Rainbow / Big Rose Gold Labyrinth / Big Rose Light Bronze / Big Rose Light Golden Quicksand / Big Rose Light Purple / Big Rose Matte Gold / Big Rose Silver Rainbow / Square rose gold maze / Square Rose Light Purple / Square rose dumb gold / Square Rose Silver Rainbow / Orchid gold maze / Orchid light bronze / Orchid light gold quicksand / Orchid light purple / Orchid silver rainbow / Rose Light Bronze / Rose Light Gold Quicksand / Rose light purple / Rose Silver Rainbow / Little Butterfly Golden Labyrinth / Small Butterfly Light Bronze / Small butterfly light golden quicksand / Small butterfly light purple / Little butterfly dumb gold / Butterfly Silver Rainbow / Little Rose Gold Labyrinth / Little Rose Light Bronze / Little Rose Light Gold Quicksand / Little Rose Light Purple / Little Rose Matte Gold / Little Rose Silver Rainbow / Long rose gold maze / Long rose light gold quicksand / Long Rose Light Purple / Long Rose Matte Gold / Long Rose Silver Rainbow</x:v>
      </x:c>
      <x:c r="E2685" s="25" t="str">
        <x:v>$2.00–$3.00</x:v>
      </x:c>
      <x:c r="F2685" s="19" t="str">
        <x:v>1</x:v>
      </x:c>
    </x:row>
    <x:row r="2686" ht="93" customHeight="1">
      <x:c r="A2686" s="19" t="n">
        <x:v>2683</x:v>
      </x:c>
      <x:c r="B2686" s="22" t="e">
        <x:f>HYPERLINK("https://cdn.shopify.com/s/files/1/0918/6066/4603/files/c6633ed2af5f64c01b166f8687931ec8.jpg?v=1766818561","Open")</x:f>
        <x:v>HYPERLINK is not implemented. linkLocation=https://cdn.shopify.com/s/files/1/0918/6066/4603/files/c6633ed2af5f64c01b166f8687931ec8.jpg?v=1766818561, friendlyName=Open</x:v>
      </x:c>
      <x:c r="C2686" s="24" t="e">
        <x:f>HYPERLINK("https://365nails.com/products/gradient-pearl-butterfly-press-on-nail-display-cards","Gradient Pearl Butterfly Press On Nail Display Cards (MOQ=50)")</x:f>
        <x:v>HYPERLINK is not implemented. linkLocation=https://365nails.com/products/gradient-pearl-butterfly-press-on-nail-display-cards, friendlyName=Gradient Pearl Butterfly Press On Nail Display Cards (MOQ=50)</x:v>
      </x:c>
      <x:c r="D2686" s="18" t="str">
        <x:v>Color: 75 * 75mm50 sheets/bag / 80 * 80mm50 sheets/bag; Specifications and models: [400G pearlescent paper] 75-Y2K butterfly; 75 * 75mm50 sheets/bag / [400G pearlescent paper] 75-pink love; 75 * 75mm50 sheets/bag / [400G pearlescent paper] 75-Purple love; 75 * 75mm50 sheets/bag / [400G pearlescent paper] 75-smudged green; 75 * 75mm50 sheets/bag / [400G pearlescent paper] 75-smudged purple; 75 * 75mm50 sheets/bag / [400G pearlescent paper] 80 pink butterflies; 80 * 80mm50 sheets/bag / [400G pearlescent paper] 80 frame butterfly; 80 * 80mm50 sheets/bag / [400G pearlescent paper] 80 hearts; 80 * 80mm50 sheets/bag</x:v>
      </x:c>
      <x:c r="E2686" s="25" t="str">
        <x:v>$1.50</x:v>
      </x:c>
      <x:c r="F2686" s="19" t="str">
        <x:v>1</x:v>
      </x:c>
    </x:row>
    <x:row r="2687" ht="93" customHeight="1">
      <x:c r="A2687" s="19" t="n">
        <x:v>2684</x:v>
      </x:c>
      <x:c r="B2687" s="22" t="e">
        <x:f>HYPERLINK("https://cdn.shopify.com/s/files/1/0918/6066/4603/files/cf3a787da80cf0f849c108a46e9a3e50.jpg?v=1766816437","Open")</x:f>
        <x:v>HYPERLINK is not implemented. linkLocation=https://cdn.shopify.com/s/files/1/0918/6066/4603/files/cf3a787da80cf0f849c108a46e9a3e50.jpg?v=1766816437, friendlyName=Open</x:v>
      </x:c>
      <x:c r="C2687" s="24" t="e">
        <x:f>HYPERLINK("https://365nails.com/products/japanese-style-display-cards-for-press-on-nail-presentation","Galaxy Black Display Cards for Press On Nail Collections (MOQ=50)")</x:f>
        <x:v>HYPERLINK is not implemented. linkLocation=https://365nails.com/products/japanese-style-display-cards-for-press-on-nail-presentation, friendlyName=Galaxy Black Display Cards for Press On Nail Collections (MOQ=50)</x:v>
      </x:c>
      <x:c r="D2687" s="18" t="str">
        <x:v>Color: 65 * 65Mm (50 sheets/pack) / 75 * 75Mm (50 sheets/pack) / 80 * 80Mm (50 sheets/pack) / 80 * 110Mm (50 sheets/pack); Specifications and models: [Pearl paper pure printing] 65 pink rounded border; 65 * 65mm (50 sheets/pack) / [Pearl paper pure printing] 65 black rounded border; 65 * 65mm (50 sheets/pack) / [Pearl paper pure printing] 75 pink rounded corner frame; 75 * 75mm (50 sheets/pack) / [Pearl paper pure printing] 75 black rounded corner frame; 75 * 75mm (50 sheets/pack) / [Double copper paper lychee embossing] 75 orange rounded corner frame; 75 * 75mm (50 sheets/pack) / [Double copper paper lychee embossing] 75 pink rounded corner frame; 75 * 75mm (50 sheets/pack) / [Pearl paper pure printing] 80 pink square frame; 80 * 80mm (50 sheets/pack) / [Pearl paper pure printing] 80 black square frame; 80 * 80mm (50 sheets/pack) / [Pure printing on coated paper] 80 black square frame; 80 * 80mm (50 sheets/pack) / [Pearl paper pure printing] 110 black rectangular frame; 80 * 110mm (50 sheets/pack) / [Pearl paper pure printing] 110 pink rectangular frame; 80 * 110mm (50 sheets/pack) / [Pure printing on coated paper] 110 pink rectangular frame; 80 * 110mm (50 sheets/pack) / [Pure printing on coated paper] 110 black rectangular frame; 80 * 110mm (50 sheets/pack) / [Pure printing on coated paper] 110 black powder rectangular frame; 80 * 110mm (50 sheets/pack)</x:v>
      </x:c>
      <x:c r="E2687" s="25" t="str">
        <x:v>$1.00–$1.50</x:v>
      </x:c>
      <x:c r="F2687" s="19" t="str">
        <x:v>1</x:v>
      </x:c>
    </x:row>
    <x:row r="2688" ht="93" customHeight="1">
      <x:c r="A2688" s="19" t="n">
        <x:v>2685</x:v>
      </x:c>
      <x:c r="B2688" s="22" t="e">
        <x:f>HYPERLINK("https://cdn.shopify.com/s/files/1/0918/6066/4603/files/0d2e2ed9d163ff4632c365787d466b40.jpg?v=1766808338","Open")</x:f>
        <x:v>HYPERLINK is not implemented. linkLocation=https://cdn.shopify.com/s/files/1/0918/6066/4603/files/0d2e2ed9d163ff4632c365787d466b40.jpg?v=1766808338, friendlyName=Open</x:v>
      </x:c>
      <x:c r="C2688" s="24" t="e">
        <x:f>HYPERLINK("https://365nails.com/products/minimal-packaging-cards-for-press-on-nail-sets","Minimal Packaging Cards for Press On Nail Sets (MOQ=50)")</x:f>
        <x:v>HYPERLINK is not implemented. linkLocation=https://365nails.com/products/minimal-packaging-cards-for-press-on-nail-sets, friendlyName=Minimal Packaging Cards for Press On Nail Sets (MOQ=50)</x:v>
      </x:c>
      <x:c r="D2688" s="18" t="str">
        <x:v>Color: 50 sets/bag; Specifications and models: Cardboard; 50 sets/pack / Cardboard pvc bag buckle pin vanilla paper - set; 50 sets/bag</x:v>
      </x:c>
      <x:c r="E2688" s="25" t="str">
        <x:v>$3.85–$15.40</x:v>
      </x:c>
      <x:c r="F2688" s="19" t="str">
        <x:v>1</x:v>
      </x:c>
    </x:row>
    <x:row r="2689" ht="93" customHeight="1">
      <x:c r="A2689" s="19" t="n">
        <x:v>2686</x:v>
      </x:c>
      <x:c r="B2689" s="22" t="e">
        <x:f>HYPERLINK("https://cdn.shopify.com/s/files/1/0918/6066/4603/files/358669149bf39ac11a88989f46ab3851.jpg?v=1766813682","Open")</x:f>
        <x:v>HYPERLINK is not implemented. linkLocation=https://cdn.shopify.com/s/files/1/0918/6066/4603/files/358669149bf39ac11a88989f46ab3851.jpg?v=1766813682, friendlyName=Open</x:v>
      </x:c>
      <x:c r="C2689" s="24" t="e">
        <x:f>HYPERLINK("https://365nails.com/products/artistic-white-display-cards-for-press-on-nail-presentation","Artistic White Display Cards for Press On Nail Presentation (MOQ=50)")</x:f>
        <x:v>HYPERLINK is not implemented. linkLocation=https://365nails.com/products/artistic-white-display-cards-for-press-on-nail-presentation, friendlyName=Artistic White Display Cards for Press On Nail Presentation (MOQ=50)</x:v>
      </x:c>
      <x:c r="D2689" s="18" t="str">
        <x:v>Color: 50 sheets/pack; Specifications and models: 75 English - Silver; 50 sheets/pack / 75 Chinese - Silver; 50 sheets/pack / 75 English - Black; 50 sheets/pack / 75 Chinese - Black; 50 sheets/pack / 75-Chinese - Silver + White; 50 sheets/pack / 75 English - Silver + White; 50 sheets/pack / 75 eggs - English; 50 sheets/pack / 75 eggs - Chinese; 50 sheets/bag / 75 Thickened White Card A; 50 sheets/pack / 75 Thickened White Card B; 50 sheets/pack / 75 thickened white card C; 50 sheets/pack / 80 eggshell pattern white background A; 50 sheets/bag / 80 eggshell pattern white background B; 50 sheets/bag / 80 eggshell pattern C; 50 sheets/bag / 80 eggshell pattern corrugated models; 50 sheets/bag / 80 × 110 eggshell pattern - light green arch; 50 sheets/pack / 80 × 110 eggshell pattern - light blue arch; 50 sheets/pack / 80 × 110 eggshell pattern - ins pattern; 50 sheets/pack / 80 × 110 eggshell pattern - beige; 50 sheets/pack / 80×110大理石纹;50张/包 / 80×110粉色叶子;50张/包 / 80×110粉色晕染;50张/包 / 80×110简约款;50张/包 / 80*110简约ins款02;50张/包 / 80×110简约叶子;50张/包 / 80×110绿色晕染;50张/包 / 80 × 110 thickened 01; 50 sheets/pack / 80 × 110 thickened 02; 50 sheets/pack / 80 × 110 thickened 03; 50 sheets/pack / 80 × 110 thickened 04; 50 sheets/pack / 80 × 110 thickened 05; 50 sheets/pack / 85 × 115 eggshell pattern arched marble pattern; 50 sheets/pack / 85 × 115 eggshell arched marble gray; 50 sheets/pack / 85 × 115 Eggshell Arch Blue; 50 sheets/pack / 85 × 115 Eggshell Arch Vanilla; 50 sheets/pack / 85 × 115 eggshell pattern arch smudge powder; 50 sheets/pack / 95 × 70 special-shaped eggshell pattern white; 50 sheets/pack / 95 × 70 special-shaped eggshell pattern blue; 50 sheets/pack / 110 * 80 horizontal version A egg-01; 50 sheets/bag / 110 * 80 horizontal version simple egg-02; 50 sheets/bag / 110 * 80 horizontal version C egg-03; 50 sheets/bag / 110 * 80 horizontal smudge egg -04; 50 sheets/bag / 110 * 80 egg-05; 50 sheets/bag / 110 * 80 egg-06; 50 sheets/bag / 110 * 80 horizontal thickened white card 01; 50 sheets/pack / 110 * 80 horizontal thickened white card 02; 50 sheets/pack / 110 * 80 horizontal thickened minimalist white A; 50 sheets/pack / 110 * 80 horizontal thickened minimalist white B; 50 sheets/pack / 110 * 80 horizontal thickened minimalist white C; 50 sheets/pack</x:v>
      </x:c>
      <x:c r="E2689" s="25" t="str">
        <x:v>$1.50–$2.00</x:v>
      </x:c>
      <x:c r="F2689" s="19" t="str">
        <x:v>1</x:v>
      </x:c>
    </x:row>
    <x:row r="2690" ht="93" customHeight="1">
      <x:c r="A2690" s="19" t="n">
        <x:v>2687</x:v>
      </x:c>
      <x:c r="B2690" s="22" t="e">
        <x:f>HYPERLINK("https://cdn.shopify.com/s/files/1/0918/6066/4603/files/c83a3eb7a620ec5df0ccc615478da45c_6a9ec756-8ab3-48e4-b6ad-320ec8786764.jpg?v=1766754875","Open")</x:f>
        <x:v>HYPERLINK is not implemented. linkLocation=https://cdn.shopify.com/s/files/1/0918/6066/4603/files/c83a3eb7a620ec5df0ccc615478da45c_6a9ec756-8ab3-48e4-b6ad-320ec8786764.jpg?v=1766754875, friendlyName=Open</x:v>
      </x:c>
      <x:c r="C2690" s="24" t="e">
        <x:f>HYPERLINK("https://365nails.com/products/minimal-white-display-cards-for-handmade-press-on-nails","Minimal White Display Cards for Handmade Press On Nails (MOQ=50)")</x:f>
        <x:v>HYPERLINK is not implemented. linkLocation=https://365nails.com/products/minimal-white-display-cards-for-handmade-press-on-nails, friendlyName=Minimal White Display Cards for Handmade Press On Nails (MOQ=50)</x:v>
      </x:c>
      <x:c r="D2690" s="18" t="str">
        <x:v>Color: 75 * 75Mm (50/bag) / 110 * 80Mm (50/bag); Specifications and models: 75 simple A type; 75 * 75mm (50/pack) / 75 simple B type; 75 * 75mm (50/bag) / 75 simple C type; 75 * 75mm (50/bag) / 110 * 80 minimalist white A type; 110 * 80mm (50/pack) / 110 * 80 minimalist white B type; 110 * 80mm (50/pack) / 110 * 80 minimalist white C type; 110 * 80mm (50/pack) / 110 * 80 horizontal version A; 110 * 80mm (50/pack) / 110 * 80 horizontal version B; 110 * 80mm (50/pack)</x:v>
      </x:c>
      <x:c r="E2690" s="25" t="str">
        <x:v>$2.31</x:v>
      </x:c>
      <x:c r="F2690" s="19" t="str">
        <x:v>1</x:v>
      </x:c>
    </x:row>
    <x:row r="2691" ht="93" customHeight="1">
      <x:c r="A2691" s="19" t="n">
        <x:v>2688</x:v>
      </x:c>
      <x:c r="B2691" s="22" t="e">
        <x:f>HYPERLINK("https://cdn.shopify.com/s/files/1/0918/6066/4603/files/41bd41c19d526e7737ae16929cc3e418.jpg?v=1764730223","Open")</x:f>
        <x:v>HYPERLINK is not implemented. linkLocation=https://cdn.shopify.com/s/files/1/0918/6066/4603/files/41bd41c19d526e7737ae16929cc3e418.jpg?v=1764730223, friendlyName=Open</x:v>
      </x:c>
      <x:c r="C2691" s="24" t="e">
        <x:f>HYPERLINK("https://365nails.com/products/peach-cream-dragon-claw-stiletto-press-on-nails-soft-nude-jelly-finish-365nails-premium-handmade-dragon-series","Peach Cream Dragon Claw Stiletto Press On Nails｜Soft Nude Jelly Finish｜365Nails Premium Handmade Dragon Series")</x:f>
        <x:v>HYPERLINK is not implemented. linkLocation=https://365nails.com/products/peach-cream-dragon-claw-stiletto-press-on-nails-soft-nude-jelly-finish-365nails-premium-handmade-dragon-series, friendlyName=Peach Cream Dragon Claw Stiletto Press On Nails｜Soft Nude Jelly Finish｜365Nails Premium Handmade Dragon Series</x:v>
      </x:c>
      <x:c r="D2691" s="18" t="str">
        <x:v>Size: XS / S / M / L; Length: 50mm / 40mm</x:v>
      </x:c>
      <x:c r="E2691" s="25" t="str">
        <x:v>$6.99</x:v>
      </x:c>
      <x:c r="F2691" s="19" t="str">
        <x:v>1</x:v>
      </x:c>
    </x:row>
    <x:row r="2692" ht="93" customHeight="1">
      <x:c r="A2692" s="19" t="n">
        <x:v>2689</x:v>
      </x:c>
      <x:c r="B2692" s="22" t="e">
        <x:f>HYPERLINK("https://cdn.shopify.com/s/files/1/0918/6066/4603/files/O1CN012YlMOZ1oyFSHvlv91__2217080665293-0-cib_802006ea-ca63-4236-8c58-171c6d8aa470.jpg?v=1766754838","Open")</x:f>
        <x:v>HYPERLINK is not implemented. linkLocation=https://cdn.shopify.com/s/files/1/0918/6066/4603/files/O1CN012YlMOZ1oyFSHvlv91__2217080665293-0-cib_802006ea-ca63-4236-8c58-171c6d8aa470.jpg?v=1766754838, friendlyName=Open</x:v>
      </x:c>
      <x:c r="C2692" s="24" t="e">
        <x:f>HYPERLINK("https://365nails.com/products/horizontal-white-display-cards-for-press-on-nail-sets","Horizontal White Display Cards for Press On Nail Sets (MOQ=50)")</x:f>
        <x:v>HYPERLINK is not implemented. linkLocation=https://365nails.com/products/horizontal-white-display-cards-for-press-on-nail-sets, friendlyName=Horizontal White Display Cards for Press On Nail Sets (MOQ=50)</x:v>
      </x:c>
      <x:c r="D2692" s="18" t="str">
        <x:v>Color: 110 * 80Mm (50/bag); Specifications and models: 110 * 80 eggshell pattern -01; 110 * 80mm (50/pack) / 110 * 80 eggshell pattern -02; 110 * 80mm (50/pack) / 110 * 80 eggshell pattern -03; 110 * 80mm (50/pack) / 110 * 80 eggshell pattern -04; 110 * 80mm (50/pack) / 110 * 80 eggshell pattern -05; 110 * 80mm (50/pack) / 110 * 80 eggshell pattern -06; 110 * 80mm (50/pack)</x:v>
      </x:c>
      <x:c r="E2692" s="25" t="str">
        <x:v>$2.31</x:v>
      </x:c>
      <x:c r="F2692" s="19" t="str">
        <x:v>1</x:v>
      </x:c>
    </x:row>
    <x:row r="2693" ht="93" customHeight="1">
      <x:c r="A2693" s="19" t="n">
        <x:v>2690</x:v>
      </x:c>
      <x:c r="B2693" s="22" t="e">
        <x:f>HYPERLINK("https://cdn.shopify.com/s/files/1/0918/6066/4603/files/O1CN01SYDXi72IcCvApZ6EL__2216612099306-0-cib.jpg?v=1779172401","Open")</x:f>
        <x:v>HYPERLINK is not implemented. linkLocation=https://cdn.shopify.com/s/files/1/0918/6066/4603/files/O1CN01SYDXi72IcCvApZ6EL__2216612099306-0-cib.jpg?v=1779172401, friendlyName=Open</x:v>
      </x:c>
      <x:c r="C2693" s="24" t="e">
        <x:f>HYPERLINK("https://365nails.com/products/world-cup-international-flags-football-mixed-press-on-nails-glossy-24pcs-short-square","World Cup International Flags Football Mixed Press-On Nails (Glossy/24pcs/Short Square)")</x:f>
        <x:v>HYPERLINK is not implemented. linkLocation=https://365nails.com/products/world-cup-international-flags-football-mixed-press-on-nails-glossy-24pcs-short-square, friendlyName=World Cup International Flags Football Mixed Press-On Nails (Glossy/24pcs/Short Square)</x:v>
      </x:c>
      <x:c r="D2693" s="18" t="str">
        <x:v>Color classification: C1665</x:v>
      </x:c>
      <x:c r="E2693" s="25" t="str">
        <x:v>$1.29</x:v>
      </x:c>
      <x:c r="F2693" s="19" t="str">
        <x:v>3</x:v>
      </x:c>
    </x:row>
    <x:row r="2694" ht="93" customHeight="1">
      <x:c r="A2694" s="19" t="n">
        <x:v>2691</x:v>
      </x:c>
      <x:c r="B2694" s="22" t="e">
        <x:f>HYPERLINK("https://cdn.shopify.com/s/files/1/0918/6066/4603/files/O1CN01LegCsj1oyFSCZBP60__2217080665293-0-cib.jpg?v=1766818027","Open")</x:f>
        <x:v>HYPERLINK is not implemented. linkLocation=https://cdn.shopify.com/s/files/1/0918/6066/4603/files/O1CN01LegCsj1oyFSCZBP60__2217080665293-0-cib.jpg?v=1766818027, friendlyName=Open</x:v>
      </x:c>
      <x:c r="C2694" s="24" t="e">
        <x:f>HYPERLINK("https://365nails.com/products/embossed-hot-foil-cotton-paper-display-cards-for-press-on-nails","Embossed Hot Foil Cotton Paper Display Cards for Press On Nails (MOQ=50)")</x:f>
        <x:v>HYPERLINK is not implemented. linkLocation=https://365nails.com/products/embossed-hot-foil-cotton-paper-display-cards-for-press-on-nails, friendlyName=Embossed Hot Foil Cotton Paper Display Cards for Press On Nails (MOQ=50)</x:v>
      </x:c>
      <x:c r="D2694" s="18" t="str">
        <x:v>Color: 75 * 75Mm (50/bag); Specifications and models: 75Ins butterfly embossing Chinese and English version; 75 * 75mm (50/pack) / 75Nail laser gold model; 75 * 75mm (50/bag) / 75 lily embossed; 75 * 75mm (50/pack) / 75 flower embossing; 75 * 75mm (50/pack) / 75 Lily of the Valley embossing; 75 * 75mm (50/pack) / 75 rose frame in Chinese and English; 75 * 75mm (50/pack) / 75 branch embossing; 75 * 75mm (50/pack) / 75 four-leaf clover embossed; 75 * 75mm (50/pack) / 75 small daisy embossing; 75 * 75mm (50/pack) / 75 leaf embossing; 75 * 75mm (50/pack) / 75 tulip embossing; 75 * 75mm (50/pack) / 75 English version - Rose border; 75 * 75mm (50/pack) / 75 English version - Butterfly (dumb gold); 75 * 75mm (50/pack) / 75 English version - Flowers; 75 * 75mm (50/pack) / 75 English version - Rose; 75 * 75mm (50/pack)</x:v>
      </x:c>
      <x:c r="E2694" s="25" t="str">
        <x:v>$2.20</x:v>
      </x:c>
      <x:c r="F2694" s="19" t="str">
        <x:v>1</x:v>
      </x:c>
    </x:row>
    <x:row r="2695" ht="93" customHeight="1">
      <x:c r="A2695" s="19" t="n">
        <x:v>2692</x:v>
      </x:c>
      <x:c r="B2695" s="22" t="e">
        <x:f>HYPERLINK("https://cdn.shopify.com/s/files/1/0918/6066/4603/files/O1CN01hvdBqZ1oyFQ5QJHZH__2217080665293-0-cib.jpg?v=1766813126","Open")</x:f>
        <x:v>HYPERLINK is not implemented. linkLocation=https://cdn.shopify.com/s/files/1/0918/6066/4603/files/O1CN01hvdBqZ1oyFQ5QJHZH__2217080665293-0-cib.jpg?v=1766813126, friendlyName=Open</x:v>
      </x:c>
      <x:c r="C2695" s="24" t="e">
        <x:f>HYPERLINK("https://365nails.com/products/custom-printed-display-cards-for-press-on-nail-packaging","Custom Printed Display Cards for Press On Nail Packaging (MOQ=50)")</x:f>
        <x:v>HYPERLINK is not implemented. linkLocation=https://365nails.com/products/custom-printed-display-cards-for-press-on-nail-packaging, friendlyName=Custom Printed Display Cards for Press On Nail Packaging (MOQ=50)</x:v>
      </x:c>
      <x:c r="D2695" s="18" t="str">
        <x:v>Color: 50 sets/bag; Specifications and models: 70 × 90 coated paper marble pattern; 50 sets/pack / 75 × 105 coated paper black - marble; 50 sets/bag / 80 × 110 eggshell pattern ins pattern; 50 sets/bag / 80 × 110 eggshell pattern - marble pattern; 50 sets/bag / 80 × 110 eggshell pattern - pink leaves; 50 sets/bag / 80 × 110 eggshell pattern - pink smudge; 50 sets/bag / 80 × 110 eggshell pattern - simple; 50 sets/bag / 80 × 110 eggshell pattern - simple leaves; 50 sets/bag / 80 × 110 eggshell pattern - green smudge; 50 sets/bag / 80X100 eggshell pattern - light green arch; 50 sets/bag / 80X100 eggshell pattern - beige arch; 50 sets/bag / 80×110加厚蛋-01;50套/包 / 80×110加厚蛋-02;50套/包 / 80×110加厚蛋-03;50套/包 / 80 × 110 Thickened Egg-04; 50 sets/bag / 80 × 110 Thickened Egg-05; 50 sets/bag / 80 × 110 coated paper - pink border; 50 sets/bag / 80 × 110 coated paper with pink and white borders; 50 sets/pack / 80 × 110 coated paper with black and white borders; 50 sets/pack / 80 * 115 vanilla paper - two-color round; 50 sets/bag / 80 * 115 Vanilla Paper - Deep Square; 50 Sets/Pack / 80 * 115 vanilla paper - light square; 50 sets/bag / 85 × 110 coated paper black powder ins; 50 sets/bag / 85 × 110 coated paper black powder simple; 50 sets/bag / 85 × 110 coated paper black powder sweet cool; 50 sets/bag / 85X110 black and white gradual change; 50 sets/pack / 85X110 black powder gradual change; 50 sets/pack / 85X110 black and blue gradual change; 50 sets/bag / 85X110 black and green gradual change; 50 sets/pack / 85 × 100 pearl shaped gradual change powder; 50 sets/pack / 80 × 110 pearlescent bronzing model - black gold; 50 sets/bag / 80 × 110 pearlescent bronzing model - rose gold; 50 sets/bag / 80 × 110 pearlescent printing powder frame; 50 sets/pack / 80 × 110 pearlescent printed black frame; 50 sets/pack / 80 × 115 Pearlescent Lilies; 50 sets/pack / 80 × 115 pearlescent rose frame; 50 sets/bag / 80 × 115 pearlescent leaves; 50 sets/pack / 80*125邮票款~浅紫;50套/包 / 80*125邮票款~镭射金;50套/包 / 80*125烫蓝金A款;50套/包 / 85 * 110 leaves; 50 sets/bag / 85 * 110 oil painting flowers; 50 sets/bag / 85 * 110 small daisies; 50 sets/bag / 85 * 110 flower border; 50 sets/bag / 85 * 110 pink and white flowers; 50 sets/bag / 88 * 115 retro style; 50 sets/bag / 88 * 115 European style wind; 50 sets/bag / 88 * 115 flowers 01; 50 sets/bag / 88 * 115 Flowers 02; 50 sets/bag / 88 * 115 Flowers 03; 50 sets/bag / 88 * 115 Flowers 04; 50 sets/bag / 88 * 115 Flowers 05; 50 sets/bag / 88 * 115 Flowers 06; 50 sets/bag / 88 * 115 Flowers 07; 50 sets/bag / 88 * 115 Flowers 08; 50 sets/bag / 88 * 115 Flowers 09; 50 sets/bag / 85 * 110 gradual change powder; 50 sets/pack / 85 * 110 gradual change green; 50 sets/pack / 85 * 110 gradual change blue; 50 sets/pack / 85 * 115 pearlescent paper - simple 01; 50 sets/bag / 85 * 115 pearlescent paper simple 02; 50 sets/bag / 85 * 115 pearlescent paper * simple 03; 50 sets/bag / 85 * 110 white simple model; 50 sets/bag / 85 * 110 blue Polaroid; 50 sets/bag / 85 * 110 pink Polaroid; 50 sets/bag / 85*115晕染01;50套/包 / 85*115晕染02;50套/包 / 85*115晕染03;50套/包 / 85*110渐变星空;50套/包 / 85 * 110 black 1 starry sky; 50 sets/pack / 85 * 110 Black 2 Starry Sky; 50 sets/pack</x:v>
      </x:c>
      <x:c r="E2695" s="25" t="str">
        <x:v>$1.50–$5.00</x:v>
      </x:c>
      <x:c r="F2695" s="19" t="str">
        <x:v>1</x:v>
      </x:c>
    </x:row>
    <x:row r="2696" ht="93" customHeight="1">
      <x:c r="A2696" s="19" t="n">
        <x:v>2693</x:v>
      </x:c>
      <x:c r="B2696" s="22" t="e">
        <x:f>HYPERLINK("https://cdn.shopify.com/s/files/1/0918/6066/4603/files/O1CN01Wry9V21oyFSGuA6Fq__2217080665293-0-cib.jpg?v=1766754869","Open")</x:f>
        <x:v>HYPERLINK is not implemented. linkLocation=https://cdn.shopify.com/s/files/1/0918/6066/4603/files/O1CN01Wry9V21oyFSGuA6Fq__2217080665293-0-cib.jpg?v=1766754869, friendlyName=Open</x:v>
      </x:c>
      <x:c r="C2696" s="24" t="e">
        <x:f>HYPERLINK("https://365nails.com/products/european-style-display-cards-for-press-on-nail-collections","European Style Display Cards for Press On Nail Collections (MOQ=50)")</x:f>
        <x:v>HYPERLINK is not implemented. linkLocation=https://365nails.com/products/european-style-display-cards-for-press-on-nail-collections, friendlyName=European Style Display Cards for Press On Nail Collections (MOQ=50)</x:v>
      </x:c>
      <x:c r="D2696" s="18" t="str">
        <x:v>Color: 88 * 115Mm (50 sheets/pack) / 90 * 115Mm (50 sheets/pack); Specifications and models: 88 * 115 retro style; 88 * 115mm (50 sheets/pack) / 88 * 115 European style wind; 88 * 115mm (50 sheets/pack) / 90 * 115 brown; 90 * 115mm (50 sheets/pack) / 90 * 115 dark green; 90 * 115mm (50 sheets/pack) / 90 * 115 roses; 90 * 115mm (50 sheets/pack)</x:v>
      </x:c>
      <x:c r="E2696" s="25" t="str">
        <x:v>$3.08</x:v>
      </x:c>
      <x:c r="F2696" s="19" t="str">
        <x:v>1</x:v>
      </x:c>
    </x:row>
    <x:row r="2697" ht="93" customHeight="1">
      <x:c r="A2697" s="19" t="n">
        <x:v>2694</x:v>
      </x:c>
      <x:c r="B2697" s="22" t="e">
        <x:f>HYPERLINK("https://cdn.shopify.com/s/files/1/0918/6066/4603/files/O1CN011N8fhD1oyFSAP9ZFV__2217080665293-0-cib_389ac6dd-52d8-4ef1-9a91-a0d7343dc773.jpg?v=1766754932","Open")</x:f>
        <x:v>HYPERLINK is not implemented. linkLocation=https://cdn.shopify.com/s/files/1/0918/6066/4603/files/O1CN011N8fhD1oyFSAP9ZFV__2217080665293-0-cib_389ac6dd-52d8-4ef1-9a91-a0d7343dc773.jpg?v=1766754932, friendlyName=Open</x:v>
      </x:c>
      <x:c r="C2697" s="24" t="e">
        <x:f>HYPERLINK("https://365nails.com/products/embossed-white-display-cards-for-press-on-nail-sets","Embossed White Display Cards for Press On Nail Sets (MOQ=50)")</x:f>
        <x:v>HYPERLINK is not implemented. linkLocation=https://365nails.com/products/embossed-white-display-cards-for-press-on-nail-sets, friendlyName=Embossed White Display Cards for Press On Nail Sets (MOQ=50)</x:v>
      </x:c>
      <x:c r="D2697" s="18" t="str">
        <x:v>Color: 80 * 80Mm (50/bag); Specifications and models: 80 full version of roses; 80 * 80mm (50/pack) / 80 lily of the valley (left); 80 * 80mm (50/bag) / 80 lily of the valley (right); 80 * 80mm (50/bag) / 80 lily of the valley; 80 * 80mm (50/pack) / 80 full version Lily of the Valley; 80 * 80mm (50/pack) / 80 rose frame; 80 * 80mm (50/pack)</x:v>
      </x:c>
      <x:c r="E2697" s="25" t="str">
        <x:v>$3.85</x:v>
      </x:c>
      <x:c r="F2697" s="19" t="str">
        <x:v>1</x:v>
      </x:c>
    </x:row>
    <x:row r="2698" ht="93" customHeight="1">
      <x:c r="A2698" s="19" t="n">
        <x:v>2695</x:v>
      </x:c>
      <x:c r="B2698" s="22" t="e">
        <x:f>HYPERLINK("https://cdn.shopify.com/s/files/1/0918/6066/4603/files/39ca45388f434d024a76a3a2243ea0bd.jpg?v=1766808204","Open")</x:f>
        <x:v>HYPERLINK is not implemented. linkLocation=https://cdn.shopify.com/s/files/1/0918/6066/4603/files/39ca45388f434d024a76a3a2243ea0bd.jpg?v=1766808204, friendlyName=Open</x:v>
      </x:c>
      <x:c r="C2698" s="24" t="e">
        <x:f>HYPERLINK("https://365nails.com/products/embossed-gold-foil-display-cards-for-press-on-nails","Embossed Gold Foil Display Cards for Press On Nails (MOQ=50)")</x:f>
        <x:v>HYPERLINK is not implemented. linkLocation=https://365nails.com/products/embossed-gold-foil-display-cards-for-press-on-nails, friendlyName=Embossed Gold Foil Display Cards for Press On Nails (MOQ=50)</x:v>
      </x:c>
      <x:c r="D2698" s="18" t="str">
        <x:v>Color: 65 * 65Mm (50 sheets/pack); Specifications and models: [400G cotton paper] 65 small butterflies; 65 * 65mm (50 sheets/pack) / [400G cotton grain paper] 65 simple leaves; 65 * 65mm (50 sheets/pack) / [400G cotton paper] 65 full version lily of the valley; 65 * 65mm (50 sheets/pack) / [400G cotton grain paper] 65 camellia; 65 * 65mm (50 sheets/pack) / [400G cotton paper] 65 small daisies; 65 * 65mm (50 sheets/pack) / [400G cotton grain paper] 65 lily of the valley (blank on the reverse side); 65 * 65mm (50 sheets/pack) / [400G cotton pattern paper] 65 flower thread draft (blank on the reverse side); 65 * 65mm (50 sheets/pack) / [400G cotton paper] 65 small daisies (blank on the reverse side); 65 * 65mm (50 sheets/pack) / [400G cotton paper] 65 camellia (blank on the reverse side); 65 * 65mm (50 sheets/pack) / [400g cotton grain paper] 65 simple leaves (blank on the reverse side); 65 * 65mm (50 sheets/pack) / [400g cotton paper] 65 full screen lily of the valley (blank on the reverse side); 65 * 65mm (50 sheets/pack) / [400G cotton paper] 65 rose frame (blank on the reverse side); 65 * 65mm (50 sheets/pack)</x:v>
      </x:c>
      <x:c r="E2698" s="25" t="str">
        <x:v>$1.54</x:v>
      </x:c>
      <x:c r="F2698" s="19" t="str">
        <x:v>1</x:v>
      </x:c>
    </x:row>
    <x:row r="2699" ht="93" customHeight="1">
      <x:c r="A2699" s="19" t="n">
        <x:v>2696</x:v>
      </x:c>
      <x:c r="B2699" s="22" t="e">
        <x:f>HYPERLINK("https://cdn.shopify.com/s/files/1/0918/6066/4603/files/O1CN01UeJjIQ1oyFSFKi8Px__2217080665293-0-cib.jpg?v=1766754796","Open")</x:f>
        <x:v>HYPERLINK is not implemented. linkLocation=https://cdn.shopify.com/s/files/1/0918/6066/4603/files/O1CN01UeJjIQ1oyFSFKi8Px__2217080665293-0-cib.jpg?v=1766754796, friendlyName=Open</x:v>
      </x:c>
      <x:c r="C2699" s="24" t="e">
        <x:f>HYPERLINK("https://365nails.com/products/glossy-white-display-cards-for-press-on-nail-designs","Glossy White Display Cards for Press On Nail Designs (MOQ=50)")</x:f>
        <x:v>HYPERLINK is not implemented. linkLocation=https://365nails.com/products/glossy-white-display-cards-for-press-on-nail-designs, friendlyName=Glossy White Display Cards for Press On Nail Designs (MOQ=50)</x:v>
      </x:c>
      <x:c r="D2699" s="18" t="str">
        <x:v>Color: 80 * 110Mm (50/bag); Specifications and models: 80 * 110 eggshell pattern -01; 80 * 110mm (50/pack) / 80 * 110 eggshell pattern -02; 80 * 110mm (50/pack) / 80 * 110 eggshell pattern -03; 80 * 110mm (50/pack) / 80 * 110 eggshell pattern -04; 80 * 110mm (50/pack) / 80 * 110 eggshell pattern -05; 80 * 110mm (50/pack)</x:v>
      </x:c>
      <x:c r="E2699" s="25" t="str">
        <x:v>$2.31</x:v>
      </x:c>
      <x:c r="F2699" s="19" t="str">
        <x:v>1</x:v>
      </x:c>
    </x:row>
    <x:row r="2700" ht="93" customHeight="1">
      <x:c r="A2700" s="19" t="n">
        <x:v>2697</x:v>
      </x:c>
      <x:c r="B2700" s="22" t="e">
        <x:f>HYPERLINK("https://cdn.shopify.com/s/files/1/0918/6066/4603/files/O1CN01DSkJW92NGI0KDRKCr__4234819935-0-cib.jpg?v=1763452842","Open")</x:f>
        <x:v>HYPERLINK is not implemented. linkLocation=https://cdn.shopify.com/s/files/1/0918/6066/4603/files/O1CN01DSkJW92NGI0KDRKCr__4234819935-0-cib.jpg?v=1763452842, friendlyName=Open</x:v>
      </x:c>
      <x:c r="C2700" s="24" t="e">
        <x:f>HYPERLINK("https://365nails.com/products/black-white-star-nails-with-chic-animal-print-details","Black White Star Nails with Chic Animal Print Details")</x:f>
        <x:v>HYPERLINK is not implemented. linkLocation=https://365nails.com/products/black-white-star-nails-with-chic-animal-print-details, friendlyName=Black White Star Nails with Chic Animal Print Details</x:v>
      </x:c>
      <x:c r="D2700" s="18" t="str">
        <x:v>color: JP4096</x:v>
      </x:c>
      <x:c r="E2700" s="25" t="str">
        <x:v>$0.82</x:v>
      </x:c>
      <x:c r="F2700" s="19" t="str">
        <x:v>1</x:v>
      </x:c>
    </x:row>
    <x:row r="2701" ht="93" customHeight="1">
      <x:c r="A2701" s="19" t="n">
        <x:v>2698</x:v>
      </x:c>
      <x:c r="B2701" s="22" t="e">
        <x:f>HYPERLINK("https://cdn.shopify.com/s/files/1/0918/6066/4603/files/O1CN01gm6sw61GyWoJpvGbI__2217076680691-0-cib.jpg?v=1779173177","Open")</x:f>
        <x:v>HYPERLINK is not implemented. linkLocation=https://cdn.shopify.com/s/files/1/0918/6066/4603/files/O1CN01gm6sw61GyWoJpvGbI__2217076680691-0-cib.jpg?v=1779173177, friendlyName=Open</x:v>
      </x:c>
      <x:c r="C2701" s="24" t="e">
        <x:f>HYPERLINK("https://365nails.com/products/world-cup-qatar-mascot-laeeb-football-press-on-nails-cute-24pcs-short-square","World Cup Qatar Mascot La'eeb Football Press-On Nails (Cute/24pcs/Short Square)")</x:f>
        <x:v>HYPERLINK is not implemented. linkLocation=https://365nails.com/products/world-cup-qatar-mascot-laeeb-football-press-on-nails-cute-24pcs-short-square, friendlyName=World Cup Qatar Mascot La'eeb Football Press-On Nails (Cute/24pcs/Short Square)</x:v>
      </x:c>
      <x:c r="D2701" s="18" t="str">
        <x:v>Color: Lc–555; Color classification: Ordinary jelly glue + rubbing strips</x:v>
      </x:c>
      <x:c r="E2701" s="25" t="str">
        <x:v>$0.99</x:v>
      </x:c>
      <x:c r="F2701" s="19" t="str">
        <x:v>3</x:v>
      </x:c>
    </x:row>
    <x:row r="2702" ht="93" customHeight="1">
      <x:c r="A2702" s="19" t="n">
        <x:v>2699</x:v>
      </x:c>
      <x:c r="B2702" s="22" t="e">
        <x:f>HYPERLINK("https://cdn.shopify.com/s/files/1/0918/6066/4603/files/O1CN01byc0nu2NGI0JaOEnm__4234819935-0-cib.jpg?v=1763453478","Open")</x:f>
        <x:v>HYPERLINK is not implemented. linkLocation=https://cdn.shopify.com/s/files/1/0918/6066/4603/files/O1CN01byc0nu2NGI0JaOEnm__4234819935-0-cib.jpg?v=1763453478, friendlyName=Open</x:v>
      </x:c>
      <x:c r="C2702" s="24" t="e">
        <x:f>HYPERLINK("https://365nails.com/products/pearl-pink-soft-shimmer-natural-press-on-nails","Pearl Pink Soft Shimmer Natural Press On Nails")</x:f>
        <x:v>HYPERLINK is not implemented. linkLocation=https://365nails.com/products/pearl-pink-soft-shimmer-natural-press-on-nails, friendlyName=Pearl Pink Soft Shimmer Natural Press On Nails</x:v>
      </x:c>
      <x:c r="D2702" s="18" t="str">
        <x:v>color: JP4127</x:v>
      </x:c>
      <x:c r="E2702" s="25" t="str">
        <x:v>$1.01</x:v>
      </x:c>
      <x:c r="F2702" s="19" t="str">
        <x:v>1</x:v>
      </x:c>
    </x:row>
    <x:row r="2703" ht="93" customHeight="1">
      <x:c r="A2703" s="19" t="n">
        <x:v>2700</x:v>
      </x:c>
      <x:c r="B2703" s="22" t="e">
        <x:f>HYPERLINK("https://cdn.shopify.com/s/files/1/0918/6066/4603/files/O1CN01EHmAkW2NGI0LY1kFV__4234819935-0-cib.jpg?v=1763453416","Open")</x:f>
        <x:v>HYPERLINK is not implemented. linkLocation=https://cdn.shopify.com/s/files/1/0918/6066/4603/files/O1CN01EHmAkW2NGI0LY1kFV__4234819935-0-cib.jpg?v=1763453416, friendlyName=Open</x:v>
      </x:c>
      <x:c r="C2703" s="24" t="e">
        <x:f>HYPERLINK("https://365nails.com/products/black-white-star-accent-artistic-press-on-nails","Black White Star Accent Artistic Press On Nails")</x:f>
        <x:v>HYPERLINK is not implemented. linkLocation=https://365nails.com/products/black-white-star-accent-artistic-press-on-nails, friendlyName=Black White Star Accent Artistic Press On Nails</x:v>
      </x:c>
      <x:c r="D2703" s="18" t="str">
        <x:v>color: JP4116</x:v>
      </x:c>
      <x:c r="E2703" s="25" t="str">
        <x:v>$1.26</x:v>
      </x:c>
      <x:c r="F2703" s="19" t="str">
        <x:v>1</x:v>
      </x:c>
    </x:row>
    <x:row r="2704" ht="93" customHeight="1">
      <x:c r="A2704" s="19" t="n">
        <x:v>2701</x:v>
      </x:c>
      <x:c r="B2704" s="22" t="e">
        <x:f>HYPERLINK("https://cdn.shopify.com/s/files/1/0918/6066/4603/files/O1CN01lLsRH62NGHzczKlFu__4234819935-0-cib.jpg?v=1763454062","Open")</x:f>
        <x:v>HYPERLINK is not implemented. linkLocation=https://cdn.shopify.com/s/files/1/0918/6066/4603/files/O1CN01lLsRH62NGHzczKlFu__4234819935-0-cib.jpg?v=1763454062, friendlyName=Open</x:v>
      </x:c>
      <x:c r="C2704" s="24" t="e">
        <x:f>HYPERLINK("https://365nails.com/products/white-lace-gradient-nails-with-pearl-bow-details","White Lace Gradient Nails with Pearl Bow Details")</x:f>
        <x:v>HYPERLINK is not implemented. linkLocation=https://365nails.com/products/white-lace-gradient-nails-with-pearl-bow-details, friendlyName=White Lace Gradient Nails with Pearl Bow Details</x:v>
      </x:c>
      <x:c r="D2704" s="18" t="str">
        <x:v>color: JP3857</x:v>
      </x:c>
      <x:c r="E2704" s="25" t="str">
        <x:v>$1.70</x:v>
      </x:c>
      <x:c r="F2704" s="19" t="str">
        <x:v>1</x:v>
      </x:c>
    </x:row>
    <x:row r="2705" ht="93" customHeight="1">
      <x:c r="A2705" s="19" t="n">
        <x:v>2702</x:v>
      </x:c>
      <x:c r="B2705" s="22" t="e">
        <x:f>HYPERLINK("https://cdn.shopify.com/s/files/1/0918/6066/4603/files/O1CN01XNz8hj2NGI0K7PVoV__4234819935-0-cib.jpg?v=1763453895","Open")</x:f>
        <x:v>HYPERLINK is not implemented. linkLocation=https://cdn.shopify.com/s/files/1/0918/6066/4603/files/O1CN01XNz8hj2NGI0K7PVoV__4234819935-0-cib.jpg?v=1763453895, friendlyName=Open</x:v>
      </x:c>
      <x:c r="C2705" s="24" t="e">
        <x:f>HYPERLINK("https://365nails.com/products/leopard-nude-gradient-nails-with-cute-animal-detail","Leopard Nude Gradient Nails with Cute Animal Detail")</x:f>
        <x:v>HYPERLINK is not implemented. linkLocation=https://365nails.com/products/leopard-nude-gradient-nails-with-cute-animal-detail, friendlyName=Leopard Nude Gradient Nails with Cute Animal Detail</x:v>
      </x:c>
      <x:c r="D2705" s="18" t="str">
        <x:v>color: JP4061</x:v>
      </x:c>
      <x:c r="E2705" s="25" t="str">
        <x:v>$1.39</x:v>
      </x:c>
      <x:c r="F2705" s="19" t="str">
        <x:v>1</x:v>
      </x:c>
    </x:row>
    <x:row r="2706" ht="93" customHeight="1">
      <x:c r="A2706" s="19" t="n">
        <x:v>2703</x:v>
      </x:c>
      <x:c r="B2706" s="22" t="e">
        <x:f>HYPERLINK("https://cdn.shopify.com/s/files/1/0918/6066/4603/files/O1CN01Dm66Dm2NGHv1nMBYT__4234819935-0-cib_439de1cb-b6f8-4862-9a18-d6214adc8ca2.jpg?v=1761621457","Open")</x:f>
        <x:v>HYPERLINK is not implemented. linkLocation=https://cdn.shopify.com/s/files/1/0918/6066/4603/files/O1CN01Dm66Dm2NGHv1nMBYT__4234819935-0-cib_439de1cb-b6f8-4862-9a18-d6214adc8ca2.jpg?v=1761621457, friendlyName=Open</x:v>
      </x:c>
      <x:c r="C2706" s="24" t="e">
        <x:f>HYPERLINK("https://365nails.com/products/gothic-lace-bow-press-on-nails","Gothic Lace &amp; Bow Press-On Nails")</x:f>
        <x:v>HYPERLINK is not implemented. linkLocation=https://365nails.com/products/gothic-lace-bow-press-on-nails, friendlyName=Gothic Lace &amp; Bow Press-On Nails</x:v>
      </x:c>
      <x:c r="D2706" s="18" t="str">
        <x:v>code: SP175; size: XS / S / M</x:v>
      </x:c>
      <x:c r="E2706" s="25" t="str">
        <x:v>$1.52</x:v>
      </x:c>
      <x:c r="F2706" s="19" t="str">
        <x:v>1</x:v>
      </x:c>
    </x:row>
    <x:row r="2707" ht="93" customHeight="1">
      <x:c r="A2707" s="19" t="n">
        <x:v>2704</x:v>
      </x:c>
      <x:c r="B2707" s="22" t="e">
        <x:f>HYPERLINK("https://cdn.shopify.com/s/files/1/0918/6066/4603/files/O1CN01wj3tmc2NGI0DErVwR__4234819935-0-cib.jpg?v=1763453836","Open")</x:f>
        <x:v>HYPERLINK is not implemented. linkLocation=https://cdn.shopify.com/s/files/1/0918/6066/4603/files/O1CN01wj3tmc2NGI0DErVwR__4234819935-0-cib.jpg?v=1763453836, friendlyName=Open</x:v>
      </x:c>
      <x:c r="C2707" s="24" t="e">
        <x:f>HYPERLINK("https://365nails.com/products/mist-blue-pearl-accent-nails-with-floral-details","Mist Blue Pearl Accent Nails with Floral Details")</x:f>
        <x:v>HYPERLINK is not implemented. linkLocation=https://365nails.com/products/mist-blue-pearl-accent-nails-with-floral-details, friendlyName=Mist Blue Pearl Accent Nails with Floral Details</x:v>
      </x:c>
      <x:c r="D2707" s="18" t="str">
        <x:v>color: JP4125</x:v>
      </x:c>
      <x:c r="E2707" s="25" t="str">
        <x:v>$1.84</x:v>
      </x:c>
      <x:c r="F2707" s="19" t="str">
        <x:v>1</x:v>
      </x:c>
    </x:row>
    <x:row r="2708" ht="93" customHeight="1">
      <x:c r="A2708" s="19" t="n">
        <x:v>2705</x:v>
      </x:c>
      <x:c r="B2708" s="22" t="e">
        <x:f>HYPERLINK("https://cdn.shopify.com/s/files/1/0918/6066/4603/files/O1CN01SCZFnd2NGI2JJcfyq__4234819935-0-cib.jpg?v=1772116914","Open")</x:f>
        <x:v>HYPERLINK is not implemented. linkLocation=https://cdn.shopify.com/s/files/1/0918/6066/4603/files/O1CN01SCZFnd2NGI2JJcfyq__4234819935-0-cib.jpg?v=1772116914, friendlyName=Open</x:v>
      </x:c>
      <x:c r="C2708" s="24" t="e">
        <x:f>HYPERLINK("https://365nails.com/products/french-pink-black-polka-dot-duck-shaped-press-on-nails-24pcs-acrylic-fake-nails-with-gel-kit-1","French Pink Black Polka Dot Duck Shaped Press on Nails, 24Pcs Acrylic Fake Nails with Gel Kit")</x:f>
        <x:v>HYPERLINK is not implemented. linkLocation=https://365nails.com/products/french-pink-black-polka-dot-duck-shaped-press-on-nails-24pcs-acrylic-fake-nails-with-gel-kit-1, friendlyName=French Pink Black Polka Dot Duck Shaped Press on Nails, 24Pcs Acrylic Fake Nails with Gel Kit</x:v>
      </x:c>
      <x:c r="D2708" s="18" t="str">
        <x:v>Color: Jp 4321</x:v>
      </x:c>
      <x:c r="E2708" s="25" t="str">
        <x:v>$0.74</x:v>
      </x:c>
      <x:c r="F2708" s="19" t="str">
        <x:v>3</x:v>
      </x:c>
    </x:row>
    <x:row r="2709" ht="93" customHeight="1">
      <x:c r="A2709" s="19" t="n">
        <x:v>2706</x:v>
      </x:c>
      <x:c r="B2709" s="22" t="e">
        <x:f>HYPERLINK("https://cdn.shopify.com/s/files/1/0918/6066/4603/files/O1CN01jmT5BU27ZUmiJOF4d__2220024697811-0-cib.jpg?v=1772373494","Open")</x:f>
        <x:v>HYPERLINK is not implemented. linkLocation=https://cdn.shopify.com/s/files/1/0918/6066/4603/files/O1CN01jmT5BU27ZUmiJOF4d__2220024697811-0-cib.jpg?v=1772373494, friendlyName=Open</x:v>
      </x:c>
      <x:c r="C2709" s="24" t="e">
        <x:f>HYPERLINK("https://365nails.com/products/enchanted-garden-collection-floral-watercolor-short-square-press-on-nails","Enchanted Garden Collection: ""Floral Watercolor"" – Short Square Press-On Nails")</x:f>
        <x:v>HYPERLINK is not implemented. linkLocation=https://365nails.com/products/enchanted-garden-collection-floral-watercolor-short-square-press-on-nails, friendlyName=Enchanted Garden Collection: "Floral Watercolor" – Short Square Press-On Nails</x:v>
      </x:c>
      <x:c r="D2709" s="18" t="str">
        <x:v>Color: Duckbill; Color classification: X s / S / M / L</x:v>
      </x:c>
      <x:c r="E2709" s="25" t="str">
        <x:v>$4.43</x:v>
      </x:c>
      <x:c r="F2709" s="19" t="str">
        <x:v>1</x:v>
      </x:c>
    </x:row>
    <x:row r="2710" ht="93" customHeight="1">
      <x:c r="A2710" s="19" t="n">
        <x:v>2707</x:v>
      </x:c>
      <x:c r="B2710" s="22" t="e">
        <x:f>HYPERLINK("https://cdn.shopify.com/s/files/1/0918/6066/4603/files/O1CN01KC7MwA2NGI0LerzXH__4234819935-0-cib.jpg?v=1763452388","Open")</x:f>
        <x:v>HYPERLINK is not implemented. linkLocation=https://cdn.shopify.com/s/files/1/0918/6066/4603/files/O1CN01KC7MwA2NGI0LerzXH__4234819935-0-cib.jpg?v=1763452388, friendlyName=Open</x:v>
      </x:c>
      <x:c r="C2710" s="24" t="e">
        <x:f>HYPERLINK("https://365nails.com/products/silver-bow-accent-nude-pink-press-on-nails-set","Silver Bow Accent Nude Pink Press On Nails Set")</x:f>
        <x:v>HYPERLINK is not implemented. linkLocation=https://365nails.com/products/silver-bow-accent-nude-pink-press-on-nails-set, friendlyName=Silver Bow Accent Nude Pink Press On Nails Set</x:v>
      </x:c>
      <x:c r="D2710" s="18" t="str">
        <x:v>color: JP4101</x:v>
      </x:c>
      <x:c r="E2710" s="25" t="str">
        <x:v>$1.17</x:v>
      </x:c>
      <x:c r="F2710" s="19" t="str">
        <x:v>1</x:v>
      </x:c>
    </x:row>
    <x:row r="2711" ht="93" customHeight="1">
      <x:c r="A2711" s="19" t="n">
        <x:v>2708</x:v>
      </x:c>
      <x:c r="B2711" s="22" t="e">
        <x:f>HYPERLINK("https://cdn.shopify.com/s/files/1/0918/6066/4603/files/O1CN01ujC5Ht2NGI2JKf3fi__4234819935-0-cib.jpg?v=1772116968","Open")</x:f>
        <x:v>HYPERLINK is not implemented. linkLocation=https://cdn.shopify.com/s/files/1/0918/6066/4603/files/O1CN01ujC5Ht2NGI2JKf3fi__4234819935-0-cib.jpg?v=1772116968, friendlyName=Open</x:v>
      </x:c>
      <x:c r="C2711" s="24" t="e">
        <x:f>HYPERLINK("https://365nails.com/products/long-square-press-on-nails-with-pink-bows-pink-rhinestone-accents","Long Square Press On Nails with Pink Bows &amp; Pink Rhinestone Accents")</x:f>
        <x:v>HYPERLINK is not implemented. linkLocation=https://365nails.com/products/long-square-press-on-nails-with-pink-bows-pink-rhinestone-accents, friendlyName=Long Square Press On Nails with Pink Bows &amp; Pink Rhinestone Accents</x:v>
      </x:c>
      <x:c r="D2711" s="18" t="str">
        <x:v>Color: Jp 4289</x:v>
      </x:c>
      <x:c r="E2711" s="25" t="str">
        <x:v>$1.43</x:v>
      </x:c>
      <x:c r="F2711" s="19" t="str">
        <x:v>3</x:v>
      </x:c>
    </x:row>
    <x:row r="2712" ht="93" customHeight="1">
      <x:c r="A2712" s="19" t="n">
        <x:v>2709</x:v>
      </x:c>
      <x:c r="B2712" s="22" t="e">
        <x:f>HYPERLINK("https://cdn.shopify.com/s/files/1/0918/6066/4603/files/O1CN01Y3FKO02NGI2J3f7Nh__4234819935-0-cib.jpg?v=1772117007","Open")</x:f>
        <x:v>HYPERLINK is not implemented. linkLocation=https://cdn.shopify.com/s/files/1/0918/6066/4603/files/O1CN01Y3FKO02NGI2J3f7Nh__4234819935-0-cib.jpg?v=1772117007, friendlyName=Open</x:v>
      </x:c>
      <x:c r="C2712" s="24" t="e">
        <x:f>HYPERLINK("https://365nails.com/products/short-almond-press-on-nails-with-pink-base-red-polka-dot-plaid-accents","Short Almond Press On Nails with Pink Base &amp; Red Polka Dot &amp; Plaid Accents")</x:f>
        <x:v>HYPERLINK is not implemented. linkLocation=https://365nails.com/products/short-almond-press-on-nails-with-pink-base-red-polka-dot-plaid-accents, friendlyName=Short Almond Press On Nails with Pink Base &amp; Red Polka Dot &amp; Plaid Accents</x:v>
      </x:c>
      <x:c r="D2712" s="18" t="str">
        <x:v>Color: Jp 4305</x:v>
      </x:c>
      <x:c r="E2712" s="25" t="str">
        <x:v>$0.89</x:v>
      </x:c>
      <x:c r="F2712" s="19" t="str">
        <x:v>3</x:v>
      </x:c>
    </x:row>
    <x:row r="2713" ht="93" customHeight="1">
      <x:c r="A2713" s="19" t="n">
        <x:v>2710</x:v>
      </x:c>
      <x:c r="B2713" s="22" t="e">
        <x:f>HYPERLINK("https://cdn.shopify.com/s/files/1/0918/6066/4603/files/O1CN01eDPGYt2NGI2JJ8Ty7__4234819935-0-cib.jpg?v=1772116909","Open")</x:f>
        <x:v>HYPERLINK is not implemented. linkLocation=https://cdn.shopify.com/s/files/1/0918/6066/4603/files/O1CN01eDPGYt2NGI2JJ8Ty7__4234819935-0-cib.jpg?v=1772116909, friendlyName=Open</x:v>
      </x:c>
      <x:c r="C2713" s="24" t="e">
        <x:f>HYPERLINK("https://365nails.com/products/french-almond-press-on-nails-with-3d-pink-bows-rhinestone-details","French Almond Press On Nails with 3D Pink Bows &amp; Rhinestone Details")</x:f>
        <x:v>HYPERLINK is not implemented. linkLocation=https://365nails.com/products/french-almond-press-on-nails-with-3d-pink-bows-rhinestone-details, friendlyName=French Almond Press On Nails with 3D Pink Bows &amp; Rhinestone Details</x:v>
      </x:c>
      <x:c r="D2713" s="18" t="str">
        <x:v>Color: Jp 4318</x:v>
      </x:c>
      <x:c r="E2713" s="25" t="str">
        <x:v>$1.55</x:v>
      </x:c>
      <x:c r="F2713" s="19" t="str">
        <x:v>3</x:v>
      </x:c>
    </x:row>
    <x:row r="2714" ht="93" customHeight="1">
      <x:c r="A2714" s="19" t="n">
        <x:v>2711</x:v>
      </x:c>
      <x:c r="B2714" s="22" t="e">
        <x:f>HYPERLINK("https://cdn.shopify.com/s/files/1/0918/6066/4603/files/O1CN01egQwIX2NGI2JlvT7H__4234819935-0-cib.jpg?v=1772117002","Open")</x:f>
        <x:v>HYPERLINK is not implemented. linkLocation=https://cdn.shopify.com/s/files/1/0918/6066/4603/files/O1CN01egQwIX2NGI2JlvT7H__4234819935-0-cib.jpg?v=1772117002, friendlyName=Open</x:v>
      </x:c>
      <x:c r="C2714" s="24" t="e">
        <x:f>HYPERLINK("https://365nails.com/products/long-stiletto-press-on-nails-with-white-base-purple-floral-bow-accents-1","Long Stiletto Press On Nails with White Base &amp; Purple Floral &amp; Bow Accents")</x:f>
        <x:v>HYPERLINK is not implemented. linkLocation=https://365nails.com/products/long-stiletto-press-on-nails-with-white-base-purple-floral-bow-accents-1, friendlyName=Long Stiletto Press On Nails with White Base &amp; Purple Floral &amp; Bow Accents</x:v>
      </x:c>
      <x:c r="D2714" s="18" t="str">
        <x:v>Color: Jp 4288</x:v>
      </x:c>
      <x:c r="E2714" s="25" t="str">
        <x:v>$1.97</x:v>
      </x:c>
      <x:c r="F2714" s="19" t="str">
        <x:v>3</x:v>
      </x:c>
    </x:row>
    <x:row r="2715" ht="93" customHeight="1">
      <x:c r="A2715" s="19" t="n">
        <x:v>2712</x:v>
      </x:c>
      <x:c r="B2715" s="22" t="e">
        <x:f>HYPERLINK("https://cdn.shopify.com/s/files/1/0918/6066/4603/files/O1CN01QvJXLu2NGI2JaOZs2__4234819935-0-cib.jpg?v=1772116982","Open")</x:f>
        <x:v>HYPERLINK is not implemented. linkLocation=https://cdn.shopify.com/s/files/1/0918/6066/4603/files/O1CN01QvJXLu2NGI2JaOZs2__4234819935-0-cib.jpg?v=1772116982, friendlyName=Open</x:v>
      </x:c>
      <x:c r="C2715" s="24" t="e">
        <x:f>HYPERLINK("https://365nails.com/products/long-square-press-on-nails-with-purple-gradient-snowflake-accents-1","Long Square Press On Nails with Purple Gradient &amp; Snowflake Accents")</x:f>
        <x:v>HYPERLINK is not implemented. linkLocation=https://365nails.com/products/long-square-press-on-nails-with-purple-gradient-snowflake-accents-1, friendlyName=Long Square Press On Nails with Purple Gradient &amp; Snowflake Accents</x:v>
      </x:c>
      <x:c r="D2715" s="18" t="str">
        <x:v>Color: Jp 4302</x:v>
      </x:c>
      <x:c r="E2715" s="25" t="str">
        <x:v>$0.89</x:v>
      </x:c>
      <x:c r="F2715" s="19" t="str">
        <x:v>3</x:v>
      </x:c>
    </x:row>
    <x:row r="2716" ht="93" customHeight="1">
      <x:c r="A2716" s="19" t="n">
        <x:v>2713</x:v>
      </x:c>
      <x:c r="B2716" s="22" t="e">
        <x:f>HYPERLINK("https://cdn.shopify.com/s/files/1/0918/6066/4603/files/O1CN018MDJQm2NGI2IXjlg9__4234819935-0-cib.jpg?v=1772116918","Open")</x:f>
        <x:v>HYPERLINK is not implemented. linkLocation=https://cdn.shopify.com/s/files/1/0918/6066/4603/files/O1CN018MDJQm2NGI2IXjlg9__4234819935-0-cib.jpg?v=1772116918, friendlyName=Open</x:v>
      </x:c>
      <x:c r="C2716" s="24" t="e">
        <x:f>HYPERLINK("https://365nails.com/products/pink-ombre-stiletto-press-on-nails-with-silver-rhinestone-charms","Pink Ombre Stiletto Press On Nails with Silver Rhinestone Charms")</x:f>
        <x:v>HYPERLINK is not implemented. linkLocation=https://365nails.com/products/pink-ombre-stiletto-press-on-nails-with-silver-rhinestone-charms, friendlyName=Pink Ombre Stiletto Press On Nails with Silver Rhinestone Charms</x:v>
      </x:c>
      <x:c r="D2716" s="18" t="str">
        <x:v>Color: Jp 4272</x:v>
      </x:c>
      <x:c r="E2716" s="25" t="str">
        <x:v>$1.52</x:v>
      </x:c>
      <x:c r="F2716" s="19" t="str">
        <x:v>3</x:v>
      </x:c>
    </x:row>
    <x:row r="2717" ht="93" customHeight="1">
      <x:c r="A2717" s="19" t="n">
        <x:v>2714</x:v>
      </x:c>
      <x:c r="B2717" s="22" t="e">
        <x:f>HYPERLINK("https://cdn.shopify.com/s/files/1/0918/6066/4603/files/O1CN01MhcY8A27ZUmkqeB3A__2220024697811-0-cib.jpg?v=1772373498","Open")</x:f>
        <x:v>HYPERLINK is not implemented. linkLocation=https://cdn.shopify.com/s/files/1/0918/6066/4603/files/O1CN01MhcY8A27ZUmkqeB3A__2220024697811-0-cib.jpg?v=1772373498, friendlyName=Open</x:v>
      </x:c>
      <x:c r="C2717" s="24" t="e">
        <x:f>HYPERLINK("https://365nails.com/products/avant-garde-collection-edgy-abstract-extra-long-stiletto-press-on-nails","Avant-Garde Collection: ""Edgy Abstract"" – Extra Long Stiletto Press-On Nails")</x:f>
        <x:v>HYPERLINK is not implemented. linkLocation=https://365nails.com/products/avant-garde-collection-edgy-abstract-extra-long-stiletto-press-on-nails, friendlyName=Avant-Garde Collection: "Edgy Abstract" – Extra Long Stiletto Press-On Nails</x:v>
      </x:c>
      <x:c r="D2717" s="18" t="str">
        <x:v>Color: Long tip; Color classification: X s / S / M / L</x:v>
      </x:c>
      <x:c r="E2717" s="25" t="str">
        <x:v>$4.43</x:v>
      </x:c>
      <x:c r="F2717" s="19" t="str">
        <x:v>1</x:v>
      </x:c>
    </x:row>
    <x:row r="2718" ht="93" customHeight="1">
      <x:c r="A2718" s="19" t="n">
        <x:v>2715</x:v>
      </x:c>
      <x:c r="B2718" s="22" t="e">
        <x:f>HYPERLINK("https://cdn.shopify.com/s/files/1/0918/6066/4603/files/O1CN014m1Exa2NGI2J5SxqN__4234819935-0-cib.jpg?v=1772116990","Open")</x:f>
        <x:v>HYPERLINK is not implemented. linkLocation=https://cdn.shopify.com/s/files/1/0918/6066/4603/files/O1CN014m1Exa2NGI2J5SxqN__4234819935-0-cib.jpg?v=1772116990, friendlyName=Open</x:v>
      </x:c>
      <x:c r="C2718" s="24" t="e">
        <x:f>HYPERLINK("https://365nails.com/products/short-almond-press-on-nails-with-pink-base-white-floral-accents","Short Almond Press On Nails with Pink Base &amp; White Floral Accents")</x:f>
        <x:v>HYPERLINK is not implemented. linkLocation=https://365nails.com/products/short-almond-press-on-nails-with-pink-base-white-floral-accents, friendlyName=Short Almond Press On Nails with Pink Base &amp; White Floral Accents</x:v>
      </x:c>
      <x:c r="D2718" s="18" t="str">
        <x:v>Color: Jp 4315</x:v>
      </x:c>
      <x:c r="E2718" s="25" t="str">
        <x:v>$1.46</x:v>
      </x:c>
      <x:c r="F2718" s="19" t="str">
        <x:v>3</x:v>
      </x:c>
    </x:row>
    <x:row r="2719" ht="93" customHeight="1">
      <x:c r="A2719" s="19" t="n">
        <x:v>2716</x:v>
      </x:c>
      <x:c r="B2719" s="22" t="e">
        <x:f>HYPERLINK("https://cdn.shopify.com/s/files/1/0918/6066/4603/files/O1CN01PgDYzv22SYiJ72CKe__2219370087119-0-cib.jpg?v=1772373476","Open")</x:f>
        <x:v>HYPERLINK is not implemented. linkLocation=https://cdn.shopify.com/s/files/1/0918/6066/4603/files/O1CN01PgDYzv22SYiJ72CKe__2219370087119-0-cib.jpg?v=1772373476, friendlyName=Open</x:v>
      </x:c>
      <x:c r="C2719" s="24" t="e">
        <x:f>HYPERLINK("https://365nails.com/products/y2k-royal-collection-lavender-bow-bling-short-square-press-on-nails","Y2K Royal Collection: ""Lavender Bow Bling"" – Short Square Press-On Nails")</x:f>
        <x:v>HYPERLINK is not implemented. linkLocation=https://365nails.com/products/y2k-royal-collection-lavender-bow-bling-short-square-press-on-nails, friendlyName=Y2K Royal Collection: "Lavender Bow Bling" – Short Square Press-On Nails</x:v>
      </x:c>
      <x:c r="D2719" s="18" t="str">
        <x:v>Color: L / M / S</x:v>
      </x:c>
      <x:c r="E2719" s="25" t="str">
        <x:v>$5.52</x:v>
      </x:c>
      <x:c r="F2719" s="19" t="str">
        <x:v>1</x:v>
      </x:c>
    </x:row>
    <x:row r="2720" ht="93" customHeight="1">
      <x:c r="A2720" s="19" t="n">
        <x:v>2717</x:v>
      </x:c>
      <x:c r="B2720" s="22" t="e">
        <x:f>HYPERLINK("https://cdn.shopify.com/s/files/1/0918/6066/4603/files/O1CN01jn9xbI2NGI2B6gEcp__4234819935-0-cib.jpg?v=1772116964","Open")</x:f>
        <x:v>HYPERLINK is not implemented. linkLocation=https://cdn.shopify.com/s/files/1/0918/6066/4603/files/O1CN01jn9xbI2NGI2B6gEcp__4234819935-0-cib.jpg?v=1772116964, friendlyName=Open</x:v>
      </x:c>
      <x:c r="C2720" s="24" t="e">
        <x:f>HYPERLINK("https://365nails.com/products/almond-press-on-nails-with-pearl-finish-gold-butterfly-accents","Almond Press On Nails with Pearl Finish &amp; Gold Butterfly Accents")</x:f>
        <x:v>HYPERLINK is not implemented. linkLocation=https://365nails.com/products/almond-press-on-nails-with-pearl-finish-gold-butterfly-accents, friendlyName=Almond Press On Nails with Pearl Finish &amp; Gold Butterfly Accents</x:v>
      </x:c>
      <x:c r="D2720" s="18" t="str">
        <x:v>Color: Jp 4276</x:v>
      </x:c>
      <x:c r="E2720" s="25" t="str">
        <x:v>$1.66</x:v>
      </x:c>
      <x:c r="F2720" s="19" t="str">
        <x:v>3</x:v>
      </x:c>
    </x:row>
    <x:row r="2721" ht="93" customHeight="1">
      <x:c r="A2721" s="19" t="n">
        <x:v>2718</x:v>
      </x:c>
      <x:c r="B2721" s="22" t="e">
        <x:f>HYPERLINK("https://cdn.shopify.com/s/files/1/0918/6066/4603/files/O1CN01XVShh52NGI27Cv0ZR__4234819935-0-cib.jpg?v=1772117044","Open")</x:f>
        <x:v>HYPERLINK is not implemented. linkLocation=https://cdn.shopify.com/s/files/1/0918/6066/4603/files/O1CN01XVShh52NGI27Cv0ZR__4234819935-0-cib.jpg?v=1772117044, friendlyName=Open</x:v>
      </x:c>
      <x:c r="C2721" s="24" t="e">
        <x:f>HYPERLINK("https://365nails.com/products/long-almond-press-on-nails-with-nude-base-black-french-tip-gold-line-accents","Long Almond Press On Nails with Nude Base &amp; Black French Tip &amp; Gold Line Accents")</x:f>
        <x:v>HYPERLINK is not implemented. linkLocation=https://365nails.com/products/long-almond-press-on-nails-with-nude-base-black-french-tip-gold-line-accents, friendlyName=Long Almond Press On Nails with Nude Base &amp; Black French Tip &amp; Gold Line Accents</x:v>
      </x:c>
      <x:c r="D2721" s="18" t="str">
        <x:v>Color: Jp 4263</x:v>
      </x:c>
      <x:c r="E2721" s="25" t="str">
        <x:v>$1.46</x:v>
      </x:c>
      <x:c r="F2721" s="19" t="str">
        <x:v>3</x:v>
      </x:c>
    </x:row>
    <x:row r="2722" ht="93" customHeight="1">
      <x:c r="A2722" s="19" t="n">
        <x:v>2719</x:v>
      </x:c>
      <x:c r="B2722" s="22" t="e">
        <x:f>HYPERLINK("https://cdn.shopify.com/s/files/1/0918/6066/4603/files/O1CN019hWwq92NGI2AMWGtr__4234819935-0-cib.jpg?v=1772116932","Open")</x:f>
        <x:v>HYPERLINK is not implemented. linkLocation=https://cdn.shopify.com/s/files/1/0918/6066/4603/files/O1CN019hWwq92NGI2AMWGtr__4234819935-0-cib.jpg?v=1772116932, friendlyName=Open</x:v>
      </x:c>
      <x:c r="C2722" s="24" t="e">
        <x:f>HYPERLINK("https://365nails.com/products/glossy-nude-square-press-on-nails-with-silver-glitter-dots","Glossy Nude Square Press On Nails with Silver Glitter Dots")</x:f>
        <x:v>HYPERLINK is not implemented. linkLocation=https://365nails.com/products/glossy-nude-square-press-on-nails-with-silver-glitter-dots, friendlyName=Glossy Nude Square Press On Nails with Silver Glitter Dots</x:v>
      </x:c>
      <x:c r="D2722" s="18" t="str">
        <x:v>Color: Jp 4208</x:v>
      </x:c>
      <x:c r="E2722" s="25" t="str">
        <x:v>$1.12</x:v>
      </x:c>
      <x:c r="F2722" s="19" t="str">
        <x:v>3</x:v>
      </x:c>
    </x:row>
    <x:row r="2723" ht="93" customHeight="1">
      <x:c r="A2723" s="19" t="n">
        <x:v>2720</x:v>
      </x:c>
      <x:c r="B2723" s="22" t="e">
        <x:f>HYPERLINK("https://cdn.shopify.com/s/files/1/0918/6066/4603/files/O1CN01A64pYL2NGI29wwjkS__4234819935-0-cib_4e72bff1-f79d-49ac-bfc7-a8faa721262a.jpg?v=1772116843","Open")</x:f>
        <x:v>HYPERLINK is not implemented. linkLocation=https://cdn.shopify.com/s/files/1/0918/6066/4603/files/O1CN01A64pYL2NGI29wwjkS__4234819935-0-cib_4e72bff1-f79d-49ac-bfc7-a8faa721262a.jpg?v=1772116843, friendlyName=Open</x:v>
      </x:c>
      <x:c r="C2723" s="24" t="e">
        <x:f>HYPERLINK("https://365nails.com/products/french-pink-black-polka-dot-duck-shaped-press-on-nails-24pcs-acrylic-fake-nails-with-gel-kit","French Pink Black Polka Dot Duck Shaped Press on Nails, 24Pcs Acrylic Fake Nails with Gel Kit")</x:f>
        <x:v>HYPERLINK is not implemented. linkLocation=https://365nails.com/products/french-pink-black-polka-dot-duck-shaped-press-on-nails-24pcs-acrylic-fake-nails-with-gel-kit, friendlyName=French Pink Black Polka Dot Duck Shaped Press on Nails, 24Pcs Acrylic Fake Nails with Gel Kit</x:v>
      </x:c>
      <x:c r="D2723" s="18" t="str">
        <x:v>Color: Jp 4293</x:v>
      </x:c>
      <x:c r="E2723" s="25" t="str">
        <x:v>$1.22</x:v>
      </x:c>
      <x:c r="F2723" s="19" t="str">
        <x:v>1</x:v>
      </x:c>
    </x:row>
    <x:row r="2724" ht="93" customHeight="1">
      <x:c r="A2724" s="19" t="n">
        <x:v>2721</x:v>
      </x:c>
      <x:c r="B2724" s="22" t="e">
        <x:f>HYPERLINK("https://cdn.shopify.com/s/files/1/0918/6066/4603/files/O1CN01eSuhg32NGI262Xe4j__4234819935-0-cib.jpg?v=1772116941","Open")</x:f>
        <x:v>HYPERLINK is not implemented. linkLocation=https://cdn.shopify.com/s/files/1/0918/6066/4603/files/O1CN01eSuhg32NGI262Xe4j__4234819935-0-cib.jpg?v=1772116941, friendlyName=Open</x:v>
      </x:c>
      <x:c r="C2724" s="24" t="e">
        <x:f>HYPERLINK("https://365nails.com/products/glossy-nude-square-press-on-nails-with-silver-glitter-dots-2","Glossy Nude Square Press On Nails with Silver Glitter Dots")</x:f>
        <x:v>HYPERLINK is not implemented. linkLocation=https://365nails.com/products/glossy-nude-square-press-on-nails-with-silver-glitter-dots-2, friendlyName=Glossy Nude Square Press On Nails with Silver Glitter Dots</x:v>
      </x:c>
      <x:c r="D2724" s="18" t="str">
        <x:v>Color: Jp 4278</x:v>
      </x:c>
      <x:c r="E2724" s="25" t="str">
        <x:v>$0.80</x:v>
      </x:c>
      <x:c r="F2724" s="19" t="str">
        <x:v>3</x:v>
      </x:c>
    </x:row>
    <x:row r="2725" ht="93" customHeight="1">
      <x:c r="A2725" s="19" t="n">
        <x:v>2722</x:v>
      </x:c>
      <x:c r="B2725" s="22" t="e">
        <x:f>HYPERLINK("https://cdn.shopify.com/s/files/1/0918/6066/4603/files/O1CN01VQtBTt2NGI2JMpnXP__4234819935-0-cib.jpg?v=1772116945","Open")</x:f>
        <x:v>HYPERLINK is not implemented. linkLocation=https://cdn.shopify.com/s/files/1/0918/6066/4603/files/O1CN01VQtBTt2NGI2JMpnXP__4234819935-0-cib.jpg?v=1772116945, friendlyName=Open</x:v>
      </x:c>
      <x:c r="C2725" s="24" t="e">
        <x:f>HYPERLINK("https://365nails.com/products/pink-purple-almond-press-on-nails-with-butterfly-star-charms","Pink &amp; Purple Almond Press On Nails with Butterfly &amp; Star Charms")</x:f>
        <x:v>HYPERLINK is not implemented. linkLocation=https://365nails.com/products/pink-purple-almond-press-on-nails-with-butterfly-star-charms, friendlyName=Pink &amp; Purple Almond Press On Nails with Butterfly &amp; Star Charms</x:v>
      </x:c>
      <x:c r="D2725" s="18" t="str">
        <x:v>Color: Jp 4303</x:v>
      </x:c>
      <x:c r="E2725" s="25" t="str">
        <x:v>$1.97</x:v>
      </x:c>
      <x:c r="F2725" s="19" t="str">
        <x:v>3</x:v>
      </x:c>
    </x:row>
    <x:row r="2726" ht="93" customHeight="1">
      <x:c r="A2726" s="19" t="n">
        <x:v>2723</x:v>
      </x:c>
      <x:c r="B2726" s="22" t="e">
        <x:f>HYPERLINK("https://cdn.shopify.com/s/files/1/0918/6066/4603/files/O1CN01Wyfpfz2NGI2ABygCs__4234819935-0-cib.jpg?v=1772117031","Open")</x:f>
        <x:v>HYPERLINK is not implemented. linkLocation=https://cdn.shopify.com/s/files/1/0918/6066/4603/files/O1CN01Wyfpfz2NGI2ABygCs__4234819935-0-cib.jpg?v=1772117031, friendlyName=Open</x:v>
      </x:c>
      <x:c r="C2726" s="24" t="e">
        <x:f>HYPERLINK("https://365nails.com/products/long-square-press-on-nails-with-pink-base-gold-floral-white-3d-accents","Long Square Press On Nails with Pink Base &amp; Gold Floral &amp; White 3D Accents")</x:f>
        <x:v>HYPERLINK is not implemented. linkLocation=https://365nails.com/products/long-square-press-on-nails-with-pink-base-gold-floral-white-3d-accents, friendlyName=Long Square Press On Nails with Pink Base &amp; Gold Floral &amp; White 3D Accents</x:v>
      </x:c>
      <x:c r="D2726" s="18" t="str">
        <x:v>Color: Jp 4209</x:v>
      </x:c>
      <x:c r="E2726" s="25" t="str">
        <x:v>$1.75</x:v>
      </x:c>
      <x:c r="F2726" s="19" t="str">
        <x:v>3</x:v>
      </x:c>
    </x:row>
    <x:row r="2727" ht="93" customHeight="1">
      <x:c r="A2727" s="19" t="n">
        <x:v>2724</x:v>
      </x:c>
      <x:c r="B2727" s="22" t="e">
        <x:f>HYPERLINK("https://cdn.shopify.com/s/files/1/0918/6066/4603/files/O1CN01CnjZVl2NGI2JAFxUM__4234819935-0-cib.jpg?v=1772116905","Open")</x:f>
        <x:v>HYPERLINK is not implemented. linkLocation=https://cdn.shopify.com/s/files/1/0918/6066/4603/files/O1CN01CnjZVl2NGI2JAFxUM__4234819935-0-cib.jpg?v=1772116905, friendlyName=Open</x:v>
      </x:c>
      <x:c r="C2727" s="24" t="e">
        <x:f>HYPERLINK("https://365nails.com/products/minimalist-pink-ombre-french-almond-press-on-nails","Minimalist Pink Ombre French Almond Press On Nails")</x:f>
        <x:v>HYPERLINK is not implemented. linkLocation=https://365nails.com/products/minimalist-pink-ombre-french-almond-press-on-nails, friendlyName=Minimalist Pink Ombre French Almond Press On Nails</x:v>
      </x:c>
      <x:c r="D2727" s="18" t="str">
        <x:v>Color: Jp 4295</x:v>
      </x:c>
      <x:c r="E2727" s="25" t="str">
        <x:v>$0.74</x:v>
      </x:c>
      <x:c r="F2727" s="19" t="str">
        <x:v>3</x:v>
      </x:c>
    </x:row>
    <x:row r="2728" ht="93" customHeight="1">
      <x:c r="A2728" s="19" t="n">
        <x:v>2725</x:v>
      </x:c>
      <x:c r="B2728" s="22" t="e">
        <x:f>HYPERLINK("https://cdn.shopify.com/s/files/1/0918/6066/4603/files/O1CN01qp1y912NGI23Tb7Hm__4234819935-0-cib.jpg?v=1772117035","Open")</x:f>
        <x:v>HYPERLINK is not implemented. linkLocation=https://cdn.shopify.com/s/files/1/0918/6066/4603/files/O1CN01qp1y912NGI23Tb7Hm__4234819935-0-cib.jpg?v=1772117035, friendlyName=Open</x:v>
      </x:c>
      <x:c r="C2728" s="24" t="e">
        <x:f>HYPERLINK("https://365nails.com/products/long-almond-press-on-nails-with-red-base-cherry-bow-accents","Long Almond Press On Nails with Red Base &amp; Cherry &amp; Bow Accents")</x:f>
        <x:v>HYPERLINK is not implemented. linkLocation=https://365nails.com/products/long-almond-press-on-nails-with-red-base-cherry-bow-accents, friendlyName=Long Almond Press On Nails with Red Base &amp; Cherry &amp; Bow Accents</x:v>
      </x:c>
      <x:c r="D2728" s="18" t="str">
        <x:v>Color: Jp 4040</x:v>
      </x:c>
      <x:c r="E2728" s="25" t="str">
        <x:v>$1.62</x:v>
      </x:c>
      <x:c r="F2728" s="19" t="str">
        <x:v>3</x:v>
      </x:c>
    </x:row>
    <x:row r="2729" ht="93" customHeight="1">
      <x:c r="A2729" s="19" t="n">
        <x:v>2726</x:v>
      </x:c>
      <x:c r="B2729" s="22" t="e">
        <x:f>HYPERLINK("https://cdn.shopify.com/s/files/1/0918/6066/4603/files/O1CN01cztcNn2NGI29lpBc2__4234819935-0-cib.jpg?v=1772117040","Open")</x:f>
        <x:v>HYPERLINK is not implemented. linkLocation=https://cdn.shopify.com/s/files/1/0918/6066/4603/files/O1CN01cztcNn2NGI29lpBc2__4234819935-0-cib.jpg?v=1772117040, friendlyName=Open</x:v>
      </x:c>
      <x:c r="C2729" s="24" t="e">
        <x:f>HYPERLINK("https://365nails.com/products/long-almond-press-on-nails-with-pink-base-white-bunny-bow-floral-accents","Long Almond Press On Nails with Pink Base &amp; White Bunny &amp; Bow &amp; Floral Accents")</x:f>
        <x:v>HYPERLINK is not implemented. linkLocation=https://365nails.com/products/long-almond-press-on-nails-with-pink-base-white-bunny-bow-floral-accents, friendlyName=Long Almond Press On Nails with Pink Base &amp; White Bunny &amp; Bow &amp; Floral Accents</x:v>
      </x:c>
      <x:c r="D2729" s="18" t="str">
        <x:v>Color: Jp 4217</x:v>
      </x:c>
      <x:c r="E2729" s="25" t="str">
        <x:v>$1.97</x:v>
      </x:c>
      <x:c r="F2729" s="19" t="str">
        <x:v>3</x:v>
      </x:c>
    </x:row>
    <x:row r="2730" ht="93" customHeight="1">
      <x:c r="A2730" s="19" t="n">
        <x:v>2727</x:v>
      </x:c>
      <x:c r="B2730" s="22" t="e">
        <x:f>HYPERLINK("https://cdn.shopify.com/s/files/1/0918/6066/4603/files/O1CN01AZ3Tgb2NGI2J9gz4X__4234819935-0-cib.jpg?v=1772116950","Open")</x:f>
        <x:v>HYPERLINK is not implemented. linkLocation=https://cdn.shopify.com/s/files/1/0918/6066/4603/files/O1CN01AZ3Tgb2NGI2J9gz4X__4234819935-0-cib.jpg?v=1772116950, friendlyName=Open</x:v>
      </x:c>
      <x:c r="C2730" s="24" t="e">
        <x:f>HYPERLINK("https://365nails.com/products/short-almond-press-on-nails-with-black-bows-glitter-web-design","Short Almond Press On Nails with Black Bows &amp; Glitter Web Design")</x:f>
        <x:v>HYPERLINK is not implemented. linkLocation=https://365nails.com/products/short-almond-press-on-nails-with-black-bows-glitter-web-design, friendlyName=Short Almond Press On Nails with Black Bows &amp; Glitter Web Design</x:v>
      </x:c>
      <x:c r="D2730" s="18" t="str">
        <x:v>Color: Jp 4275</x:v>
      </x:c>
      <x:c r="E2730" s="25" t="str">
        <x:v>$1.75</x:v>
      </x:c>
      <x:c r="F2730" s="19" t="str">
        <x:v>3</x:v>
      </x:c>
    </x:row>
    <x:row r="2731" ht="93" customHeight="1">
      <x:c r="A2731" s="19" t="n">
        <x:v>2728</x:v>
      </x:c>
      <x:c r="B2731" s="22" t="e">
        <x:f>HYPERLINK("https://cdn.shopify.com/s/files/1/0918/6066/4603/files/O1CN01BXSuMF2NGI2IWv568__4234819935-0-cib.jpg?v=1772116977","Open")</x:f>
        <x:v>HYPERLINK is not implemented. linkLocation=https://cdn.shopify.com/s/files/1/0918/6066/4603/files/O1CN01BXSuMF2NGI2IWv568__4234819935-0-cib.jpg?v=1772116977, friendlyName=Open</x:v>
      </x:c>
      <x:c r="C2731" s="24" t="e">
        <x:f>HYPERLINK("https://365nails.com/products/long-square-press-on-nails-with-purple-gradient-snowflake-accents","Long Square Press On Nails with Purple Gradient &amp; Snowflake Accents")</x:f>
        <x:v>HYPERLINK is not implemented. linkLocation=https://365nails.com/products/long-square-press-on-nails-with-purple-gradient-snowflake-accents, friendlyName=Long Square Press On Nails with Purple Gradient &amp; Snowflake Accents</x:v>
      </x:c>
      <x:c r="D2731" s="18" t="str">
        <x:v>Color: Jp 4268</x:v>
      </x:c>
      <x:c r="E2731" s="25" t="str">
        <x:v>$1.66</x:v>
      </x:c>
      <x:c r="F2731" s="19" t="str">
        <x:v>3</x:v>
      </x:c>
    </x:row>
    <x:row r="2732" ht="93" customHeight="1">
      <x:c r="A2732" s="19" t="n">
        <x:v>2729</x:v>
      </x:c>
      <x:c r="B2732" s="22" t="e">
        <x:f>HYPERLINK("https://cdn.shopify.com/s/files/1/0918/6066/4603/files/O1CN012poCeE2NGI0KeF2dz__4234819935-0-cib.jpg?v=1763451014","Open")</x:f>
        <x:v>HYPERLINK is not implemented. linkLocation=https://cdn.shopify.com/s/files/1/0918/6066/4603/files/O1CN012poCeE2NGI0KeF2dz__4234819935-0-cib.jpg?v=1763451014, friendlyName=Open</x:v>
      </x:c>
      <x:c r="C2732" s="24" t="e">
        <x:f>HYPERLINK("https://365nails.com/products/black-plaid-and-polka-dot-chic-press-on-nails","Black Plaid and Polka Dot Chic Press On Nails")</x:f>
        <x:v>HYPERLINK is not implemented. linkLocation=https://365nails.com/products/black-plaid-and-polka-dot-chic-press-on-nails, friendlyName=Black Plaid and Polka Dot Chic Press On Nails</x:v>
      </x:c>
      <x:c r="D2732" s="18" t="str">
        <x:v>color: JP4120</x:v>
      </x:c>
      <x:c r="E2732" s="25" t="str">
        <x:v>$0.72</x:v>
      </x:c>
      <x:c r="F2732" s="19" t="str">
        <x:v>1</x:v>
      </x:c>
    </x:row>
    <x:row r="2733" ht="93" customHeight="1">
      <x:c r="A2733" s="19" t="n">
        <x:v>2730</x:v>
      </x:c>
      <x:c r="B2733" s="22" t="e">
        <x:f>HYPERLINK("https://cdn.shopify.com/s/files/1/0918/6066/4603/files/O1CN01P5107k2NGI2IzPxAe__4234819935-0-cib.jpg?v=1772117017","Open")</x:f>
        <x:v>HYPERLINK is not implemented. linkLocation=https://cdn.shopify.com/s/files/1/0918/6066/4603/files/O1CN01P5107k2NGI2IzPxAe__4234819935-0-cib.jpg?v=1772117017, friendlyName=Open</x:v>
      </x:c>
      <x:c r="C2733" s="24" t="e">
        <x:f>HYPERLINK("https://365nails.com/products/short-almond-press-on-nails-with-nude-base-gold-bow-dot-accents","Short Almond Press On Nails with Nude Base &amp; Gold Bow &amp; Dot Accents")</x:f>
        <x:v>HYPERLINK is not implemented. linkLocation=https://365nails.com/products/short-almond-press-on-nails-with-nude-base-gold-bow-dot-accents, friendlyName=Short Almond Press On Nails with Nude Base &amp; Gold Bow &amp; Dot Accents</x:v>
      </x:c>
      <x:c r="D2733" s="18" t="str">
        <x:v>Color: Jp 4281</x:v>
      </x:c>
      <x:c r="E2733" s="25" t="str">
        <x:v>$1.75</x:v>
      </x:c>
      <x:c r="F2733" s="19" t="str">
        <x:v>3</x:v>
      </x:c>
    </x:row>
    <x:row r="2734" ht="93" customHeight="1">
      <x:c r="A2734" s="19" t="n">
        <x:v>2731</x:v>
      </x:c>
      <x:c r="B2734" s="22" t="e">
        <x:f>HYPERLINK("https://cdn.shopify.com/s/files/1/0918/6066/4603/files/O1CN0103xKKV2NGI2EHxIHb__4234819935-0-cib.jpg?v=1772117022","Open")</x:f>
        <x:v>HYPERLINK is not implemented. linkLocation=https://cdn.shopify.com/s/files/1/0918/6066/4603/files/O1CN0103xKKV2NGI2EHxIHb__4234819935-0-cib.jpg?v=1772117022, friendlyName=Open</x:v>
      </x:c>
      <x:c r="C2734" s="24" t="e">
        <x:f>HYPERLINK("https://365nails.com/products/long-square-press-on-nails-with-pink-base-leopard-print-accents","Long Square Press On Nails with Pink Base &amp; Leopard Print Accents")</x:f>
        <x:v>HYPERLINK is not implemented. linkLocation=https://365nails.com/products/long-square-press-on-nails-with-pink-base-leopard-print-accents, friendlyName=Long Square Press On Nails with Pink Base &amp; Leopard Print Accents</x:v>
      </x:c>
      <x:c r="D2734" s="18" t="str">
        <x:v>Color: Jp 4322</x:v>
      </x:c>
      <x:c r="E2734" s="25" t="str">
        <x:v>$1.62</x:v>
      </x:c>
      <x:c r="F2734" s="19" t="str">
        <x:v>3</x:v>
      </x:c>
    </x:row>
    <x:row r="2735" ht="93" customHeight="1">
      <x:c r="A2735" s="19" t="n">
        <x:v>2732</x:v>
      </x:c>
      <x:c r="B2735" s="22" t="e">
        <x:f>HYPERLINK("https://cdn.shopify.com/s/files/1/0918/6066/4603/files/O1CN01FEWbCv2NGI26KnCDI__4234819935-0-cib.jpg?v=1772116866","Open")</x:f>
        <x:v>HYPERLINK is not implemented. linkLocation=https://cdn.shopify.com/s/files/1/0918/6066/4603/files/O1CN01FEWbCv2NGI26KnCDI__4234819935-0-cib.jpg?v=1772116866, friendlyName=Open</x:v>
      </x:c>
      <x:c r="C2735" s="24" t="e">
        <x:f>HYPERLINK("https://365nails.com/products/french-almond-press-on-nails-with-3d-pink-floral-gold-accents","French Almond Press On Nails with 3D Pink Floral &amp; Gold Accents")</x:f>
        <x:v>HYPERLINK is not implemented. linkLocation=https://365nails.com/products/french-almond-press-on-nails-with-3d-pink-floral-gold-accents, friendlyName=French Almond Press On Nails with 3D Pink Floral &amp; Gold Accents</x:v>
      </x:c>
      <x:c r="D2735" s="18" t="str">
        <x:v>Color: Jp 4266</x:v>
      </x:c>
      <x:c r="E2735" s="25" t="str">
        <x:v>$1.62</x:v>
      </x:c>
      <x:c r="F2735" s="19" t="str">
        <x:v>3</x:v>
      </x:c>
    </x:row>
    <x:row r="2736" ht="93" customHeight="1">
      <x:c r="A2736" s="19" t="n">
        <x:v>2733</x:v>
      </x:c>
      <x:c r="B2736" s="22" t="e">
        <x:f>HYPERLINK("https://cdn.shopify.com/s/files/1/0918/6066/4603/files/O1CN01OvuAsp1rlpXSzktct__2215158925672-0-cib.jpg?v=1754447016","Open")</x:f>
        <x:v>HYPERLINK is not implemented. linkLocation=https://cdn.shopify.com/s/files/1/0918/6066/4603/files/O1CN01OvuAsp1rlpXSzktct__2215158925672-0-cib.jpg?v=1754447016, friendlyName=Open</x:v>
      </x:c>
      <x:c r="C2736" s="24" t="e">
        <x:f>HYPERLINK("https://365nails.com/products/art-duck-beak-nail-art-sweet-bow-french-ice-through-handmade-press-on-nails-factory-wholesale-false-nails-365nails","Sweet Bow French Crystal Short Press-On Nails")</x:f>
        <x:v>HYPERLINK is not implemented. linkLocation=https://365nails.com/products/art-duck-beak-nail-art-sweet-bow-french-ice-through-handmade-press-on-nails-factory-wholesale-false-nails-365nails, friendlyName=Sweet Bow French Crystal Short Press-On Nails</x:v>
      </x:c>
      <x:c r="D2736" s="18" t="str">
        <x:v>Size: S / M / L</x:v>
      </x:c>
      <x:c r="E2736" s="25" t="str">
        <x:v>$3.49</x:v>
      </x:c>
      <x:c r="F2736" s="19" t="str">
        <x:v>30</x:v>
      </x:c>
    </x:row>
    <x:row r="2737" ht="93" customHeight="1">
      <x:c r="A2737" s="19" t="n">
        <x:v>2734</x:v>
      </x:c>
      <x:c r="B2737" s="22" t="e">
        <x:f>HYPERLINK("https://cdn.shopify.com/s/files/1/0918/6066/4603/files/d0beb7f205250fe1e4480cfaa3bf01ec.jpg?v=1772707852","Open")</x:f>
        <x:v>HYPERLINK is not implemented. linkLocation=https://cdn.shopify.com/s/files/1/0918/6066/4603/files/d0beb7f205250fe1e4480cfaa3bf01ec.jpg?v=1772707852, friendlyName=Open</x:v>
      </x:c>
      <x:c r="C2737" s="24" t="e">
        <x:f>HYPERLINK("https://365nails.com/products/365nails-short-clear-nail-tips-half-matte-french-manicure-base-tips-factory-wholesale","365nails Short Clear Nail Tips | Half-Matte French Manicure Base Tips (Factory Wholesale)")</x:f>
        <x:v>HYPERLINK is not implemented. linkLocation=https://365nails.com/products/365nails-short-clear-nail-tips-half-matte-french-manicure-base-tips-factory-wholesale, friendlyName=365nails Short Clear Nail Tips | Half-Matte French Manicure Base Tips (Factory Wholesale)</x:v>
      </x:c>
      <x:c r="D2737" s="18" t="str">
        <x:v>Color: Short square circle-half sand traceless-120 pieces in box / Short square circle-half sand traceless-240 pieces in box</x:v>
      </x:c>
      <x:c r="E2737" s="25" t="str">
        <x:v>$0.78–$1.23</x:v>
      </x:c>
      <x:c r="F2737" s="19" t="str">
        <x:v>3</x:v>
      </x:c>
    </x:row>
    <x:row r="2738" ht="93" customHeight="1">
      <x:c r="A2738" s="19" t="n">
        <x:v>2735</x:v>
      </x:c>
      <x:c r="B2738" s="22" t="e">
        <x:f>HYPERLINK("https://cdn.shopify.com/s/files/1/0918/6066/4603/files/f549046dd58e667beedf40051b594644.png?v=1755236395","Open")</x:f>
        <x:v>HYPERLINK is not implemented. linkLocation=https://cdn.shopify.com/s/files/1/0918/6066/4603/files/f549046dd58e667beedf40051b594644.png?v=1755236395, friendlyName=Open</x:v>
      </x:c>
      <x:c r="C2738" s="24" t="e">
        <x:f>HYPERLINK("https://365nails.com/products/custom-handcrafted-press-on-nails","Custom Handmade Press-On Nails | Design from Your Image")</x:f>
        <x:v>HYPERLINK is not implemented. linkLocation=https://365nails.com/products/custom-handcrafted-press-on-nails, friendlyName=Custom Handmade Press-On Nails | Design from Your Image</x:v>
      </x:c>
      <x:c r="D2738" s="18" t="str">
        <x:v>Type: Making samples; Quantity: 1pcs / 3.9 cat eye（50pcs）</x:v>
      </x:c>
      <x:c r="E2738" s="25" t="str">
        <x:v>$30.00–$195.00</x:v>
      </x:c>
      <x:c r="F2738" s="19" t="str">
        <x:v>1</x:v>
      </x:c>
    </x:row>
    <x:row r="2739" ht="93" customHeight="1">
      <x:c r="A2739" s="19" t="n">
        <x:v>2736</x:v>
      </x:c>
      <x:c r="B2739" s="22" t="e">
        <x:f>HYPERLINK("https://cdn.shopify.com/s/files/1/0918/6066/4603/files/O1CN01ie5KY61rlpQZC3zji__2215158925672-0-cib.jpg?v=1754446858","Open")</x:f>
        <x:v>HYPERLINK is not implemented. linkLocation=https://cdn.shopify.com/s/files/1/0918/6066/4603/files/O1CN01ie5KY61rlpQZC3zji__2215158925672-0-cib.jpg?v=1754446858, friendlyName=Open</x:v>
      </x:c>
      <x:c r="C2739" s="24" t="e">
        <x:f>HYPERLINK("https://365nails.com/products/light-luxury-heavy-industry-handmade-press-on-nails-watercolor-smudge-advanced-long-nail-art-patch-metal-three-dimensional-modeling-fake-nails-365nails","Midnight Marble Silver Frame Long Press-On Nails")</x:f>
        <x:v>HYPERLINK is not implemented. linkLocation=https://365nails.com/products/light-luxury-heavy-industry-handmade-press-on-nails-watercolor-smudge-advanced-long-nail-art-patch-metal-three-dimensional-modeling-fake-nails-365nails, friendlyName=Midnight Marble Silver Frame Long Press-On Nails</x:v>
      </x:c>
      <x:c r="D2739" s="18" t="str">
        <x:v>SIZE: XS / S / M / L</x:v>
      </x:c>
      <x:c r="E2739" s="25" t="str">
        <x:v>$4.49</x:v>
      </x:c>
      <x:c r="F2739" s="19" t="str">
        <x:v>30</x:v>
      </x:c>
    </x:row>
    <x:row r="2740" ht="93" customHeight="1">
      <x:c r="A2740" s="19" t="n">
        <x:v>2737</x:v>
      </x:c>
      <x:c r="B2740" s="22" t="e">
        <x:f>HYPERLINK("https://cdn.shopify.com/s/files/1/0918/6066/4603/files/O1CN01ckL9UJ1rlpUrbaH7R__2215158925672-0-cib.jpg?v=1754375232","Open")</x:f>
        <x:v>HYPERLINK is not implemented. linkLocation=https://cdn.shopify.com/s/files/1/0918/6066/4603/files/O1CN01ckL9UJ1rlpUrbaH7R__2215158925672-0-cib.jpg?v=1754375232, friendlyName=Open</x:v>
      </x:c>
      <x:c r="C2740" s="24" t="e">
        <x:f>HYPERLINK("https://365nails.com/products/handmade-press-on-nails-3d-three-dimensional-carving-ice-penetrating-french-nail-patch-almond-nail-wholesale-365nails","Sunset Blossom Butterfly Press-On Nails")</x:f>
        <x:v>HYPERLINK is not implemented. linkLocation=https://365nails.com/products/handmade-press-on-nails-3d-three-dimensional-carving-ice-penetrating-french-nail-patch-almond-nail-wholesale-365nails, friendlyName=Sunset Blossom Butterfly Press-On Nails</x:v>
      </x:c>
      <x:c r="D2740" s="18" t="str">
        <x:v>SIZE: XS / S / M / L</x:v>
      </x:c>
      <x:c r="E2740" s="25" t="str">
        <x:v>$4.49</x:v>
      </x:c>
      <x:c r="F2740" s="19" t="str">
        <x:v>30</x:v>
      </x:c>
    </x:row>
    <x:row r="2741" ht="93" customHeight="1">
      <x:c r="A2741" s="19" t="n">
        <x:v>2738</x:v>
      </x:c>
      <x:c r="B2741" s="22" t="e">
        <x:f>HYPERLINK("https://cdn.shopify.com/s/files/1/0918/6066/4603/files/tufan_2F5b93a248-ca69-11f0-b0c5-00163e1b4130.jpg?v=1764121594","Open")</x:f>
        <x:v>HYPERLINK is not implemented. linkLocation=https://cdn.shopify.com/s/files/1/0918/6066/4603/files/tufan_2F5b93a248-ca69-11f0-b0c5-00163e1b4130.jpg?v=1764121594, friendlyName=Open</x:v>
      </x:c>
      <x:c r="C2741" s="24" t="e">
        <x:f>HYPERLINK("https://365nails.com/products/classic-nude-pink-short-almond-nail-set","Classic Nude &amp; Pink Short Almond Nail Set")</x:f>
        <x:v>HYPERLINK is not implemented. linkLocation=https://365nails.com/products/classic-nude-pink-short-almond-nail-set, friendlyName=Classic Nude &amp; Pink Short Almond Nail Set</x:v>
      </x:c>
      <x:c r="D2741" s="18" t="str">
        <x:v>Color: Short almond E241 / Short almond E268 / Short almond E405; Quantity: 3pcs</x:v>
      </x:c>
      <x:c r="E2741" s="25" t="str">
        <x:v>$3.54</x:v>
      </x:c>
      <x:c r="F2741" s="19" t="str">
        <x:v>1</x:v>
      </x:c>
    </x:row>
    <x:row r="2742" ht="93" customHeight="1">
      <x:c r="A2742" s="19" t="n">
        <x:v>2739</x:v>
      </x:c>
      <x:c r="B2742" s="22" t="e">
        <x:f>HYPERLINK("https://cdn.shopify.com/s/files/1/0918/6066/4603/files/tufan_2F3d475fec-ca68-11f0-bfa7-00163e198bc2.jpg?v=1764121108","Open")</x:f>
        <x:v>HYPERLINK is not implemented. linkLocation=https://cdn.shopify.com/s/files/1/0918/6066/4603/files/tufan_2F3d475fec-ca68-11f0-bfa7-00163e198bc2.jpg?v=1764121108, friendlyName=Open</x:v>
      </x:c>
      <x:c r="C2742" s="24" t="e">
        <x:f>HYPERLINK("https://365nails.com/products/wine-red-wave-short-square-nail-set","Wine Red Wave Short Square Nail Set")</x:f>
        <x:v>HYPERLINK is not implemented. linkLocation=https://365nails.com/products/wine-red-wave-short-square-nail-set, friendlyName=Wine Red Wave Short Square Nail Set</x:v>
      </x:c>
      <x:c r="D2742" s="18" t="str">
        <x:v>color: 0072-A062; Quantity: 3pcs</x:v>
      </x:c>
      <x:c r="E2742" s="25" t="str">
        <x:v>$3.84</x:v>
      </x:c>
      <x:c r="F2742" s="19" t="str">
        <x:v>1</x:v>
      </x:c>
    </x:row>
    <x:row r="2743" ht="93" customHeight="1">
      <x:c r="A2743" s="19" t="n">
        <x:v>2740</x:v>
      </x:c>
      <x:c r="B2743" s="22" t="e">
        <x:f>HYPERLINK("https://cdn.shopify.com/s/files/1/0918/6066/4603/files/O1CN01uFSI9w1rlpJQhBTqb__2215158925672-0-cib.jpg?v=1754448038","Open")</x:f>
        <x:v>HYPERLINK is not implemented. linkLocation=https://cdn.shopify.com/s/files/1/0918/6066/4603/files/O1CN01uFSI9w1rlpJQhBTqb__2215158925672-0-cib.jpg?v=1754448038, friendlyName=Open</x:v>
      </x:c>
      <x:c r="C2743" s="24" t="e">
        <x:f>HYPERLINK("https://365nails.com/products/silver-glitter-cat-eye-press-on-nails-with-blue-gem-web-design","Silver Glitter Cat Eye Press‑On Nails with Blue Gem &amp; Web Design")</x:f>
        <x:v>HYPERLINK is not implemented. linkLocation=https://365nails.com/products/silver-glitter-cat-eye-press-on-nails-with-blue-gem-web-design, friendlyName=Silver Glitter Cat Eye Press‑On Nails with Blue Gem &amp; Web Design</x:v>
      </x:c>
      <x:c r="D2743" s="18" t="str">
        <x:v>shape: medium almond; size: XS / S / M / L</x:v>
      </x:c>
      <x:c r="E2743" s="25" t="str">
        <x:v>$3.99</x:v>
      </x:c>
      <x:c r="F2743" s="19" t="str">
        <x:v>30</x:v>
      </x:c>
    </x:row>
    <x:row r="2744" ht="93" customHeight="1">
      <x:c r="A2744" s="19" t="n">
        <x:v>2741</x:v>
      </x:c>
      <x:c r="B2744" s="22" t="e">
        <x:f>HYPERLINK("https://cdn.shopify.com/s/files/1/0918/6066/4603/files/O1CN01JPikk52NGI0qY3yAS__4234819935-0-cib.jpg?v=1763447502","Open")</x:f>
        <x:v>HYPERLINK is not implemented. linkLocation=https://cdn.shopify.com/s/files/1/0918/6066/4603/files/O1CN01JPikk52NGI0qY3yAS__4234819935-0-cib.jpg?v=1763447502, friendlyName=Open</x:v>
      </x:c>
      <x:c r="C2744" s="24" t="e">
        <x:f>HYPERLINK("https://365nails.com/products/soft-nude-gradient-daily-press-on-nails","Soft Nude Gradient Daily Press On Nails")</x:f>
        <x:v>HYPERLINK is not implemented. linkLocation=https://365nails.com/products/soft-nude-gradient-daily-press-on-nails, friendlyName=Soft Nude Gradient Daily Press On Nails</x:v>
      </x:c>
      <x:c r="D2744" s="18" t="str">
        <x:v>Color: JP4148</x:v>
      </x:c>
      <x:c r="E2744" s="25" t="str">
        <x:v>$0.72</x:v>
      </x:c>
      <x:c r="F2744" s="19" t="str">
        <x:v>1</x:v>
      </x:c>
    </x:row>
    <x:row r="2745" ht="93" customHeight="1">
      <x:c r="A2745" s="19" t="n">
        <x:v>2742</x:v>
      </x:c>
      <x:c r="B2745" s="22" t="e">
        <x:f>HYPERLINK("https://cdn.shopify.com/s/files/1/0918/6066/4603/files/O1CN01QMy14d2NGI0bPATBN__4234819935-0-cib.jpg?v=1763447348","Open")</x:f>
        <x:v>HYPERLINK is not implemented. linkLocation=https://cdn.shopify.com/s/files/1/0918/6066/4603/files/O1CN01QMy14d2NGI0bPATBN__4234819935-0-cib.jpg?v=1763447348, friendlyName=Open</x:v>
      </x:c>
      <x:c r="C2745" s="24" t="e">
        <x:f>HYPERLINK("https://365nails.com/products/pink-dotted-gradient-cute-press-on-nails","Pink Dotted Gradient Cute Press On Nails")</x:f>
        <x:v>HYPERLINK is not implemented. linkLocation=https://365nails.com/products/pink-dotted-gradient-cute-press-on-nails, friendlyName=Pink Dotted Gradient Cute Press On Nails</x:v>
      </x:c>
      <x:c r="D2745" s="18" t="str">
        <x:v>Color: JP4166</x:v>
      </x:c>
      <x:c r="E2745" s="25" t="str">
        <x:v>$0.72</x:v>
      </x:c>
      <x:c r="F2745" s="19" t="str">
        <x:v>1</x:v>
      </x:c>
    </x:row>
    <x:row r="2746" ht="93" customHeight="1">
      <x:c r="A2746" s="19" t="n">
        <x:v>2743</x:v>
      </x:c>
      <x:c r="B2746" s="22" t="e">
        <x:f>HYPERLINK("https://cdn.shopify.com/s/files/1/0918/6066/4603/files/O1CN01ht26Q52NGI0qIT09K__4234819935-0-cib.jpg?v=1763445631","Open")</x:f>
        <x:v>HYPERLINK is not implemented. linkLocation=https://cdn.shopify.com/s/files/1/0918/6066/4603/files/O1CN01ht26Q52NGI0qIT09K__4234819935-0-cib.jpg?v=1763445631, friendlyName=Open</x:v>
      </x:c>
      <x:c r="C2746" s="24" t="e">
        <x:f>HYPERLINK("https://365nails.com/products/elegant-burgundy-nails-with-floral-accent-art","Elegant Burgundy Nails with Floral Accent Art")</x:f>
        <x:v>HYPERLINK is not implemented. linkLocation=https://365nails.com/products/elegant-burgundy-nails-with-floral-accent-art, friendlyName=Elegant Burgundy Nails with Floral Accent Art</x:v>
      </x:c>
      <x:c r="D2746" s="18" t="str">
        <x:v>Color: JP4165</x:v>
      </x:c>
      <x:c r="E2746" s="25" t="str">
        <x:v>$1.01</x:v>
      </x:c>
      <x:c r="F2746" s="19" t="str">
        <x:v>1</x:v>
      </x:c>
    </x:row>
    <x:row r="2747" ht="93" customHeight="1">
      <x:c r="A2747" s="19" t="n">
        <x:v>2744</x:v>
      </x:c>
      <x:c r="B2747" s="22" t="e">
        <x:f>HYPERLINK("https://cdn.shopify.com/s/files/1/0918/6066/4603/files/O1CN01hkNmIr2NGI0cWX1MJ__4234819935-0-cib.jpg?v=1763444310","Open")</x:f>
        <x:v>HYPERLINK is not implemented. linkLocation=https://cdn.shopify.com/s/files/1/0918/6066/4603/files/O1CN01hkNmIr2NGI0cWX1MJ__4234819935-0-cib.jpg?v=1763444310, friendlyName=Open</x:v>
      </x:c>
      <x:c r="C2747" s="24" t="e">
        <x:f>HYPERLINK("https://365nails.com/products/wine-red-floral-accent-nails-with-chic-mixed-design","Wine Red Floral Accent Nails with Chic Mixed Design")</x:f>
        <x:v>HYPERLINK is not implemented. linkLocation=https://365nails.com/products/wine-red-floral-accent-nails-with-chic-mixed-design, friendlyName=Wine Red Floral Accent Nails with Chic Mixed Design</x:v>
      </x:c>
      <x:c r="D2747" s="18" t="str">
        <x:v>Color: JP4141</x:v>
      </x:c>
      <x:c r="E2747" s="25" t="str">
        <x:v>$1.54</x:v>
      </x:c>
      <x:c r="F2747" s="19" t="str">
        <x:v>1</x:v>
      </x:c>
    </x:row>
    <x:row r="2748" ht="93" customHeight="1">
      <x:c r="A2748" s="19" t="n">
        <x:v>2745</x:v>
      </x:c>
      <x:c r="B2748" s="22" t="e">
        <x:f>HYPERLINK("https://cdn.shopify.com/s/files/1/0918/6066/4603/files/O1CN01OsvtuI2NGI0ug5dSK__4234819935-0-cib.jpg?v=1763442343","Open")</x:f>
        <x:v>HYPERLINK is not implemented. linkLocation=https://cdn.shopify.com/s/files/1/0918/6066/4603/files/O1CN01OsvtuI2NGI0ug5dSK__4234819935-0-cib.jpg?v=1763442343, friendlyName=Open</x:v>
      </x:c>
      <x:c r="C2748" s="24" t="e">
        <x:f>HYPERLINK("https://365nails.com/products/soft-nude-gradient-almond-nails-for-everyday-elegance","Soft Nude Gradient Almond Nails for Everyday Elegance")</x:f>
        <x:v>HYPERLINK is not implemented. linkLocation=https://365nails.com/products/soft-nude-gradient-almond-nails-for-everyday-elegance, friendlyName=Soft Nude Gradient Almond Nails for Everyday Elegance</x:v>
      </x:c>
      <x:c r="D2748" s="18" t="str">
        <x:v>Color: JP4159</x:v>
      </x:c>
      <x:c r="E2748" s="25" t="str">
        <x:v>$0.72</x:v>
      </x:c>
      <x:c r="F2748" s="19" t="str">
        <x:v>1</x:v>
      </x:c>
    </x:row>
    <x:row r="2749" ht="93" customHeight="1">
      <x:c r="A2749" s="19" t="n">
        <x:v>2746</x:v>
      </x:c>
      <x:c r="B2749" s="22" t="e">
        <x:f>HYPERLINK("https://cdn.shopify.com/s/files/1/0918/6066/4603/files/O1CN01yzgxr22NGI12y659r__4234819935-0-cib.jpg?v=1763440285","Open")</x:f>
        <x:v>HYPERLINK is not implemented. linkLocation=https://cdn.shopify.com/s/files/1/0918/6066/4603/files/O1CN01yzgxr22NGI12y659r__4234819935-0-cib.jpg?v=1763440285, friendlyName=Open</x:v>
      </x:c>
      <x:c r="C2749" s="24" t="e">
        <x:f>HYPERLINK("https://365nails.com/products/wild-leopard-print-nails-with-cherry-accent-medium-almond-tips","Wild Leopard Print Nails with Cherry Accent Medium Almond Tips")</x:f>
        <x:v>HYPERLINK is not implemented. linkLocation=https://365nails.com/products/wild-leopard-print-nails-with-cherry-accent-medium-almond-tips, friendlyName=Wild Leopard Print Nails with Cherry Accent Medium Almond Tips</x:v>
      </x:c>
      <x:c r="D2749" s="18" t="str">
        <x:v>Color: JP4128</x:v>
      </x:c>
      <x:c r="E2749" s="25" t="str">
        <x:v>$1.47</x:v>
      </x:c>
      <x:c r="F2749" s="19" t="str">
        <x:v>1</x:v>
      </x:c>
    </x:row>
    <x:row r="2750" ht="93" customHeight="1">
      <x:c r="A2750" s="19" t="n">
        <x:v>2747</x:v>
      </x:c>
      <x:c r="B2750" s="22" t="e">
        <x:f>HYPERLINK("https://cdn.shopify.com/s/files/1/0918/6066/4603/files/O1CN01ZB6X6J2NGI0ugjjOY__4234819935-0-cib.jpg?v=1763440389","Open")</x:f>
        <x:v>HYPERLINK is not implemented. linkLocation=https://cdn.shopify.com/s/files/1/0918/6066/4603/files/O1CN01ZB6X6J2NGI0ugjjOY__4234819935-0-cib.jpg?v=1763440389, friendlyName=Open</x:v>
      </x:c>
      <x:c r="C2750" s="24" t="e">
        <x:f>HYPERLINK("https://365nails.com/products/wild-tiger-stripe-glossy-medium-almond-press-on-nails","Wild Tiger Stripe Glossy Medium Almond Press On Nails")</x:f>
        <x:v>HYPERLINK is not implemented. linkLocation=https://365nails.com/products/wild-tiger-stripe-glossy-medium-almond-press-on-nails, friendlyName=Wild Tiger Stripe Glossy Medium Almond Press On Nails</x:v>
      </x:c>
      <x:c r="D2750" s="18" t="str">
        <x:v>Color: JP4145</x:v>
      </x:c>
      <x:c r="E2750" s="25" t="str">
        <x:v>$1.31</x:v>
      </x:c>
      <x:c r="F2750" s="19" t="str">
        <x:v>1</x:v>
      </x:c>
    </x:row>
    <x:row r="2751" ht="93" customHeight="1">
      <x:c r="A2751" s="19" t="n">
        <x:v>2748</x:v>
      </x:c>
      <x:c r="B2751" s="22" t="e">
        <x:f>HYPERLINK("https://cdn.shopify.com/s/files/1/0918/6066/4603/files/O1CN01Y4dlxF2NGI0tQ8w54__4234819935-0-cib.jpg?v=1763442606","Open")</x:f>
        <x:v>HYPERLINK is not implemented. linkLocation=https://cdn.shopify.com/s/files/1/0918/6066/4603/files/O1CN01Y4dlxF2NGI0tQ8w54__4234819935-0-cib.jpg?v=1763442606, friendlyName=Open</x:v>
      </x:c>
      <x:c r="C2751" s="24" t="e">
        <x:f>HYPERLINK("https://365nails.com/products/brown-leopard-gradient-almond-nails-with-glossy-finish","Brown Leopard Gradient Almond Nails With Glossy Finish")</x:f>
        <x:v>HYPERLINK is not implemented. linkLocation=https://365nails.com/products/brown-leopard-gradient-almond-nails-with-glossy-finish, friendlyName=Brown Leopard Gradient Almond Nails With Glossy Finish</x:v>
      </x:c>
      <x:c r="D2751" s="18" t="str">
        <x:v>Color: JP4084</x:v>
      </x:c>
      <x:c r="E2751" s="25" t="str">
        <x:v>$1.14</x:v>
      </x:c>
      <x:c r="F2751" s="19" t="str">
        <x:v>1</x:v>
      </x:c>
    </x:row>
    <x:row r="2752" ht="93" customHeight="1">
      <x:c r="A2752" s="19" t="n">
        <x:v>2749</x:v>
      </x:c>
      <x:c r="B2752" s="22" t="e">
        <x:f>HYPERLINK("https://cdn.shopify.com/s/files/1/0918/6066/4603/files/tufan_2F520807ca-ca67-11f0-8216-00163e201129.jpg?v=1764120805","Open")</x:f>
        <x:v>HYPERLINK is not implemented. linkLocation=https://cdn.shopify.com/s/files/1/0918/6066/4603/files/tufan_2F520807ca-ca67-11f0-8216-00163e201129.jpg?v=1764120805, friendlyName=Open</x:v>
      </x:c>
      <x:c r="C2752" s="24" t="e">
        <x:f>HYPERLINK("https://365nails.com/products/hot-pink-flame-short-almond-nail-set","Hot Pink Flame Short Almond Nail Set")</x:f>
        <x:v>HYPERLINK is not implemented. linkLocation=https://365nails.com/products/hot-pink-flame-short-almond-nail-set, friendlyName=Hot Pink Flame Short Almond Nail Set</x:v>
      </x:c>
      <x:c r="D2752" s="18" t="str">
        <x:v>color: 0064-E109</x:v>
      </x:c>
      <x:c r="E2752" s="25" t="str">
        <x:v>$1.18</x:v>
      </x:c>
      <x:c r="F2752" s="19" t="str">
        <x:v>1</x:v>
      </x:c>
    </x:row>
    <x:row r="2753" ht="93" customHeight="1">
      <x:c r="A2753" s="19" t="n">
        <x:v>2750</x:v>
      </x:c>
      <x:c r="B2753" s="22" t="e">
        <x:f>HYPERLINK("https://cdn.shopify.com/s/files/1/0918/6066/4603/files/O1CN01Srervd2NGI0zMwoTK__4234819935-0-cib.jpg?v=1763442688","Open")</x:f>
        <x:v>HYPERLINK is not implemented. linkLocation=https://cdn.shopify.com/s/files/1/0918/6066/4603/files/O1CN01Srervd2NGI0zMwoTK__4234819935-0-cib.jpg?v=1763442688, friendlyName=Open</x:v>
      </x:c>
      <x:c r="C2753" s="24" t="e">
        <x:f>HYPERLINK("https://365nails.com/products/burgundy-bow-and-polka-dot-almond-nails-with-glossy-shine","Burgundy Bow and Polka Dot Almond Nails With Glossy Shine")</x:f>
        <x:v>HYPERLINK is not implemented. linkLocation=https://365nails.com/products/burgundy-bow-and-polka-dot-almond-nails-with-glossy-shine, friendlyName=Burgundy Bow and Polka Dot Almond Nails With Glossy Shine</x:v>
      </x:c>
      <x:c r="D2753" s="18" t="str">
        <x:v>Color: JP4161</x:v>
      </x:c>
      <x:c r="E2753" s="25" t="str">
        <x:v>$1.17</x:v>
      </x:c>
      <x:c r="F2753" s="19" t="str">
        <x:v>1</x:v>
      </x:c>
    </x:row>
    <x:row r="2754" ht="93" customHeight="1">
      <x:c r="A2754" s="19" t="n">
        <x:v>2751</x:v>
      </x:c>
      <x:c r="B2754" s="22" t="e">
        <x:f>HYPERLINK("https://cdn.shopify.com/s/files/1/0918/6066/4603/files/O1CN01d0EVDf2NGI16LMaQv__4234819935-0-cib.jpg?v=1763434544","Open")</x:f>
        <x:v>HYPERLINK is not implemented. linkLocation=https://cdn.shopify.com/s/files/1/0918/6066/4603/files/O1CN01d0EVDf2NGI16LMaQv__4234819935-0-cib.jpg?v=1763434544, friendlyName=Open</x:v>
      </x:c>
      <x:c r="C2754" s="24" t="e">
        <x:f>HYPERLINK("https://365nails.com/products/soft-nude-gradient-almond-nails-with-glossy-finish","Soft Nude Gradient Almond Nails with Glossy Finish")</x:f>
        <x:v>HYPERLINK is not implemented. linkLocation=https://365nails.com/products/soft-nude-gradient-almond-nails-with-glossy-finish, friendlyName=Soft Nude Gradient Almond Nails with Glossy Finish</x:v>
      </x:c>
      <x:c r="D2754" s="18" t="str">
        <x:v>Color: JP4176</x:v>
      </x:c>
      <x:c r="E2754" s="25" t="str">
        <x:v>$0.72</x:v>
      </x:c>
      <x:c r="F2754" s="19" t="str">
        <x:v>1</x:v>
      </x:c>
    </x:row>
    <x:row r="2755" ht="93" customHeight="1">
      <x:c r="A2755" s="19" t="n">
        <x:v>2752</x:v>
      </x:c>
      <x:c r="B2755" s="22" t="e">
        <x:f>HYPERLINK("https://cdn.shopify.com/s/files/1/0918/6066/4603/files/O1CN01EgePFy1JOkdP4dpF1__933261019-0-cib.jpg?v=1764123894","Open")</x:f>
        <x:v>HYPERLINK is not implemented. linkLocation=https://cdn.shopify.com/s/files/1/0918/6066/4603/files/O1CN01EgePFy1JOkdP4dpF1__933261019-0-cib.jpg?v=1764123894, friendlyName=Open</x:v>
      </x:c>
      <x:c r="C2755" s="24" t="e">
        <x:f>HYPERLINK("https://365nails.com/products/metallic-purple-french-short-almond-nail-set","Metallic Purple French Short Almond Nail Set")</x:f>
        <x:v>HYPERLINK is not implemented. linkLocation=https://365nails.com/products/metallic-purple-french-short-almond-nail-set, friendlyName=Metallic Purple French Short Almond Nail Set</x:v>
      </x:c>
      <x:c r="D2755" s="18" t="str">
        <x:v>Color: 0085-B018; Quantity: 3pcs</x:v>
      </x:c>
      <x:c r="E2755" s="25" t="str">
        <x:v>$3.54</x:v>
      </x:c>
      <x:c r="F2755" s="19" t="str">
        <x:v>1</x:v>
      </x:c>
    </x:row>
    <x:row r="2756" ht="93" customHeight="1">
      <x:c r="A2756" s="19" t="n">
        <x:v>2753</x:v>
      </x:c>
      <x:c r="B2756" s="22" t="e">
        <x:f>HYPERLINK("https://cdn.shopify.com/s/files/1/0918/6066/4603/files/O1CN01C6aHM42NGI12wixDV__4234819935-0-cib.jpg?v=1763440916","Open")</x:f>
        <x:v>HYPERLINK is not implemented. linkLocation=https://cdn.shopify.com/s/files/1/0918/6066/4603/files/O1CN01C6aHM42NGI12wixDV__4234819935-0-cib.jpg?v=1763440916, friendlyName=Open</x:v>
      </x:c>
      <x:c r="C2756" s="24" t="e">
        <x:f>HYPERLINK("https://365nails.com/products/soft-nude-glossy-oval-nails-for-everyday-elegance","Soft Nude Glossy Oval Nails for Everyday Elegance")</x:f>
        <x:v>HYPERLINK is not implemented. linkLocation=https://365nails.com/products/soft-nude-glossy-oval-nails-for-everyday-elegance, friendlyName=Soft Nude Glossy Oval Nails for Everyday Elegance</x:v>
      </x:c>
      <x:c r="D2756" s="18" t="str">
        <x:v>Color: JP4079</x:v>
      </x:c>
      <x:c r="E2756" s="25" t="str">
        <x:v>$1.02</x:v>
      </x:c>
      <x:c r="F2756" s="19" t="str">
        <x:v>1</x:v>
      </x:c>
    </x:row>
    <x:row r="2757" ht="93" customHeight="1">
      <x:c r="A2757" s="19" t="n">
        <x:v>2754</x:v>
      </x:c>
      <x:c r="B2757" s="22" t="e">
        <x:f>HYPERLINK("https://cdn.shopify.com/s/files/1/0918/6066/4603/files/O1CN01SPKH0c1JOkZVH7I6u__933261019-0-cib.jpg?v=1764119775","Open")</x:f>
        <x:v>HYPERLINK is not implemented. linkLocation=https://cdn.shopify.com/s/files/1/0918/6066/4603/files/O1CN01SPKH0c1JOkZVH7I6u__933261019-0-cib.jpg?v=1764119775, friendlyName=Open</x:v>
      </x:c>
      <x:c r="C2757" s="24" t="e">
        <x:f>HYPERLINK("https://365nails.com/products/red-chrome-french-short-almond-nail-set","Red Chrome French Short Almond Nail Set")</x:f>
        <x:v>HYPERLINK is not implemented. linkLocation=https://365nails.com/products/red-chrome-french-short-almond-nail-set, friendlyName=Red Chrome French Short Almond Nail Set</x:v>
      </x:c>
      <x:c r="D2757" s="18" t="str">
        <x:v>Color: 0085-B023; Quantity: 3pcs</x:v>
      </x:c>
      <x:c r="E2757" s="25" t="str">
        <x:v>$3.54</x:v>
      </x:c>
      <x:c r="F2757" s="19" t="str">
        <x:v>1</x:v>
      </x:c>
    </x:row>
    <x:row r="2758" ht="93" customHeight="1">
      <x:c r="A2758" s="19" t="n">
        <x:v>2755</x:v>
      </x:c>
      <x:c r="B2758" s="22" t="e">
        <x:f>HYPERLINK("https://cdn.shopify.com/s/files/1/0918/6066/4603/files/O1CN01PIJa0f1JOkdanbdhE__933261019-0-cib.jpg?v=1764124686","Open")</x:f>
        <x:v>HYPERLINK is not implemented. linkLocation=https://cdn.shopify.com/s/files/1/0918/6066/4603/files/O1CN01PIJa0f1JOkdanbdhE__933261019-0-cib.jpg?v=1764124686, friendlyName=Open</x:v>
      </x:c>
      <x:c r="C2758" s="24" t="e">
        <x:f>HYPERLINK("https://365nails.com/products/metallic-copper-french-short-almond-nail-set","Metallic Copper French Short Almond Nail Set")</x:f>
        <x:v>HYPERLINK is not implemented. linkLocation=https://365nails.com/products/metallic-copper-french-short-almond-nail-set, friendlyName=Metallic Copper French Short Almond Nail Set</x:v>
      </x:c>
      <x:c r="D2758" s="18" t="str">
        <x:v>Color: 0085-B022; Quantity: 3pcs</x:v>
      </x:c>
      <x:c r="E2758" s="25" t="str">
        <x:v>$3.54</x:v>
      </x:c>
      <x:c r="F2758" s="19" t="str">
        <x:v>1</x:v>
      </x:c>
    </x:row>
    <x:row r="2759" ht="93" customHeight="1">
      <x:c r="A2759" s="19" t="n">
        <x:v>2756</x:v>
      </x:c>
      <x:c r="B2759" s="22" t="e">
        <x:f>HYPERLINK("https://cdn.shopify.com/s/files/1/0918/6066/4603/files/O1CN01tpq4oI23g7zZUYLx0__2215671307284-0-cib.jpg?v=1775631900","Open")</x:f>
        <x:v>HYPERLINK is not implemented. linkLocation=https://cdn.shopify.com/s/files/1/0918/6066/4603/files/O1CN01tpq4oI23g7zZUYLx0__2215671307284-0-cib.jpg?v=1775631900, friendlyName=Open</x:v>
      </x:c>
      <x:c r="C2759" s="24" t="e">
        <x:f>HYPERLINK("https://365nails.com/products/365nails-independence-day-starlight-french-square-press-on-nails","365nails: Independence Day Starlight French Square Press-On Nails")</x:f>
        <x:v>HYPERLINK is not implemented. linkLocation=https://365nails.com/products/365nails-independence-day-starlight-french-square-press-on-nails, friendlyName=365nails: Independence Day Starlight French Square Press-On Nails</x:v>
      </x:c>
      <x:c r="D2759" s="18" t="str">
        <x:v>Color classification: W1256[jelly glue + strips]</x:v>
      </x:c>
      <x:c r="E2759" s="25" t="str">
        <x:v>$0.99</x:v>
      </x:c>
      <x:c r="F2759" s="19" t="str">
        <x:v>3</x:v>
      </x:c>
    </x:row>
    <x:row r="2760" ht="93" customHeight="1">
      <x:c r="A2760" s="19" t="n">
        <x:v>2757</x:v>
      </x:c>
      <x:c r="B2760" s="22" t="e">
        <x:f>HYPERLINK("https://cdn.shopify.com/s/files/1/0918/6066/4603/files/tufan_2F93946226-ca6f-11f0-987b-00163e1bb989.jpg?v=1764124205","Open")</x:f>
        <x:v>HYPERLINK is not implemented. linkLocation=https://cdn.shopify.com/s/files/1/0918/6066/4603/files/tufan_2F93946226-ca6f-11f0-987b-00163e1bb989.jpg?v=1764124205, friendlyName=Open</x:v>
      </x:c>
      <x:c r="C2760" s="24" t="e">
        <x:f>HYPERLINK("https://365nails.com/products/iridescent-lavender-chrome-medium-nail-set","Iridescent Lavender Chrome Medium Nail Set")</x:f>
        <x:v>HYPERLINK is not implemented. linkLocation=https://365nails.com/products/iridescent-lavender-chrome-medium-nail-set, friendlyName=Iridescent Lavender Chrome Medium Nail Set</x:v>
      </x:c>
      <x:c r="D2760" s="18" t="str">
        <x:v>color: 0064-E121</x:v>
      </x:c>
      <x:c r="E2760" s="25" t="str">
        <x:v>$1.18</x:v>
      </x:c>
      <x:c r="F2760" s="19" t="str">
        <x:v>1</x:v>
      </x:c>
    </x:row>
    <x:row r="2761" ht="93" customHeight="1">
      <x:c r="A2761" s="19" t="n">
        <x:v>2758</x:v>
      </x:c>
      <x:c r="B2761" s="22" t="e">
        <x:f>HYPERLINK("https://cdn.shopify.com/s/files/1/0918/6066/4603/files/6aca42315a863da5ea9a647425750f98.jpg?v=1775636555","Open")</x:f>
        <x:v>HYPERLINK is not implemented. linkLocation=https://cdn.shopify.com/s/files/1/0918/6066/4603/files/6aca42315a863da5ea9a647425750f98.jpg?v=1775636555, friendlyName=Open</x:v>
      </x:c>
      <x:c r="C2761" s="24" t="e">
        <x:f>HYPERLINK("https://365nails.com/products/365nails-mint-noir-french-mint-green-french-solid-black-handmade-almond-nails","365nails: ""Mint Noir French"" – Mint Green French &amp; Solid Black Handmade Almond Nails")</x:f>
        <x:v>HYPERLINK is not implemented. linkLocation=https://365nails.com/products/365nails-mint-noir-french-mint-green-french-solid-black-handmade-almond-nails, friendlyName=365nails: "Mint Noir French" – Mint Green French &amp; Solid Black Handmade Almond Nails</x:v>
      </x:c>
      <x:c r="D2761" s="18" t="str">
        <x:v>Size: XS / S / M / L</x:v>
      </x:c>
      <x:c r="E2761" s="25" t="str">
        <x:v>$2.49</x:v>
      </x:c>
      <x:c r="F2761" s="19" t="str">
        <x:v>5</x:v>
      </x:c>
    </x:row>
    <x:row r="2762" ht="93" customHeight="1">
      <x:c r="A2762" s="19" t="n">
        <x:v>2759</x:v>
      </x:c>
      <x:c r="B2762" s="22" t="e">
        <x:f>HYPERLINK("https://cdn.shopify.com/s/files/1/0918/6066/4603/files/O1CN01N1X9tv23g7zYkdyeR__2215671307284-0-cib.jpg?v=1775631817","Open")</x:f>
        <x:v>HYPERLINK is not implemented. linkLocation=https://cdn.shopify.com/s/files/1/0918/6066/4603/files/O1CN01N1X9tv23g7zYkdyeR__2215671307284-0-cib.jpg?v=1775631817, friendlyName=Open</x:v>
      </x:c>
      <x:c r="C2762" s="24" t="e">
        <x:f>HYPERLINK("https://365nails.com/products/365nails-independence-day-shimmering-starry-ombre-press-on-nails","365nails: Independence Day Shimmering Starry Ombre Press-On Nails")</x:f>
        <x:v>HYPERLINK is not implemented. linkLocation=https://365nails.com/products/365nails-independence-day-shimmering-starry-ombre-press-on-nails, friendlyName=365nails: Independence Day Shimmering Starry Ombre Press-On Nails</x:v>
      </x:c>
      <x:c r="D2762" s="18" t="str">
        <x:v>Color classification: W1260[jelly glue + strips]</x:v>
      </x:c>
      <x:c r="E2762" s="25" t="str">
        <x:v>$0.99</x:v>
      </x:c>
      <x:c r="F2762" s="19" t="str">
        <x:v>3</x:v>
      </x:c>
    </x:row>
    <x:row r="2763" ht="93" customHeight="1">
      <x:c r="A2763" s="19" t="n">
        <x:v>2760</x:v>
      </x:c>
      <x:c r="B2763" s="22" t="e">
        <x:f>HYPERLINK("https://cdn.shopify.com/s/files/1/0918/6066/4603/files/O1CN01zTwYN02NGI0iO7orM__4234819935-0-cib.jpg?v=1763445701","Open")</x:f>
        <x:v>HYPERLINK is not implemented. linkLocation=https://cdn.shopify.com/s/files/1/0918/6066/4603/files/O1CN01zTwYN02NGI0iO7orM__4234819935-0-cib.jpg?v=1763445701, friendlyName=Open</x:v>
      </x:c>
      <x:c r="C2763" s="24" t="e">
        <x:f>HYPERLINK("https://365nails.com/products/white-floral-embossed-sheer-pink-press-on-nails","White Floral Embossed Sheer Pink Press On Nails")</x:f>
        <x:v>HYPERLINK is not implemented. linkLocation=https://365nails.com/products/white-floral-embossed-sheer-pink-press-on-nails, friendlyName=White Floral Embossed Sheer Pink Press On Nails</x:v>
      </x:c>
      <x:c r="D2763" s="18" t="str">
        <x:v>Color: JP4109</x:v>
      </x:c>
      <x:c r="E2763" s="25" t="str">
        <x:v>$1.98</x:v>
      </x:c>
      <x:c r="F2763" s="19" t="str">
        <x:v>1</x:v>
      </x:c>
    </x:row>
    <x:row r="2764" ht="93" customHeight="1">
      <x:c r="A2764" s="19" t="n">
        <x:v>2761</x:v>
      </x:c>
      <x:c r="B2764" s="22" t="e">
        <x:f>HYPERLINK("https://cdn.shopify.com/s/files/1/0918/6066/4603/files/aa739e00b3eee861521000736bdbe34a.jpg?v=1775636636","Open")</x:f>
        <x:v>HYPERLINK is not implemented. linkLocation=https://cdn.shopify.com/s/files/1/0918/6066/4603/files/aa739e00b3eee861521000736bdbe34a.jpg?v=1775636636, friendlyName=Open</x:v>
      </x:c>
      <x:c r="C2764" s="24" t="e">
        <x:f>HYPERLINK("https://365nails.com/products/365nails-classic-blanc-french-pure-white-french-sheer-nude-handmade-almond-nails","365nails: ""Classic Blanc French"" – Pure White French &amp; Sheer Nude Handmade Almond Nails")</x:f>
        <x:v>HYPERLINK is not implemented. linkLocation=https://365nails.com/products/365nails-classic-blanc-french-pure-white-french-sheer-nude-handmade-almond-nails, friendlyName=365nails: "Classic Blanc French" – Pure White French &amp; Sheer Nude Handmade Almond Nails</x:v>
      </x:c>
      <x:c r="D2764" s="18" t="str">
        <x:v>Size: XS / S / M / L</x:v>
      </x:c>
      <x:c r="E2764" s="25" t="str">
        <x:v>$2.49</x:v>
      </x:c>
      <x:c r="F2764" s="19" t="str">
        <x:v>5</x:v>
      </x:c>
    </x:row>
    <x:row r="2765" ht="93" customHeight="1">
      <x:c r="A2765" s="19" t="n">
        <x:v>2762</x:v>
      </x:c>
      <x:c r="B2765" s="22" t="e">
        <x:f>HYPERLINK("https://cdn.shopify.com/s/files/1/0918/6066/4603/files/O1CN01H6hlls2NGI0wL0Nol__4234819935-0-cib.jpg?v=1763443815","Open")</x:f>
        <x:v>HYPERLINK is not implemented. linkLocation=https://cdn.shopify.com/s/files/1/0918/6066/4603/files/O1CN01H6hlls2NGI0wL0Nol__4234819935-0-cib.jpg?v=1763443815, friendlyName=Open</x:v>
      </x:c>
      <x:c r="C2765" s="24" t="e">
        <x:f>HYPERLINK("https://365nails.com/products/iridescent-black-shimmer-stiletto-press-on-nails","Iridescent Black Shimmer Stiletto Press On Nails")</x:f>
        <x:v>HYPERLINK is not implemented. linkLocation=https://365nails.com/products/iridescent-black-shimmer-stiletto-press-on-nails, friendlyName=Iridescent Black Shimmer Stiletto Press On Nails</x:v>
      </x:c>
      <x:c r="D2765" s="18" t="str">
        <x:v>Color: JP4146</x:v>
      </x:c>
      <x:c r="E2765" s="25" t="str">
        <x:v>$1.14</x:v>
      </x:c>
      <x:c r="F2765" s="19" t="str">
        <x:v>1</x:v>
      </x:c>
    </x:row>
    <x:row r="2766" ht="93" customHeight="1">
      <x:c r="A2766" s="19" t="n">
        <x:v>2763</x:v>
      </x:c>
      <x:c r="B2766" s="22" t="e">
        <x:f>HYPERLINK("https://cdn.shopify.com/s/files/1/0918/6066/4603/files/O1CN01i4weyc2NGI134dekR__4234819935-0-cib.jpg?v=1763440829","Open")</x:f>
        <x:v>HYPERLINK is not implemented. linkLocation=https://cdn.shopify.com/s/files/1/0918/6066/4603/files/O1CN01i4weyc2NGI134dekR__4234819935-0-cib.jpg?v=1763440829, friendlyName=Open</x:v>
      </x:c>
      <x:c r="C2766" s="24" t="e">
        <x:f>HYPERLINK("https://365nails.com/products/elegant-nude-square-nails-with-metallic-brown-french-tips","Elegant Nude Square Nails with Metallic Brown French Tips")</x:f>
        <x:v>HYPERLINK is not implemented. linkLocation=https://365nails.com/products/elegant-nude-square-nails-with-metallic-brown-french-tips, friendlyName=Elegant Nude Square Nails with Metallic Brown French Tips</x:v>
      </x:c>
      <x:c r="D2766" s="18" t="str">
        <x:v>Color: JP4198</x:v>
      </x:c>
      <x:c r="E2766" s="25" t="str">
        <x:v>$0.72</x:v>
      </x:c>
      <x:c r="F2766" s="19" t="str">
        <x:v>1</x:v>
      </x:c>
    </x:row>
    <x:row r="2767" ht="93" customHeight="1">
      <x:c r="A2767" s="19" t="n">
        <x:v>2764</x:v>
      </x:c>
      <x:c r="B2767" s="22" t="e">
        <x:f>HYPERLINK("https://cdn.shopify.com/s/files/1/0918/6066/4603/files/tufan_2Fe0b7e5c6-ca71-11f0-b9e9-00163e1bb989.jpg?v=1764132015","Open")</x:f>
        <x:v>HYPERLINK is not implemented. linkLocation=https://cdn.shopify.com/s/files/1/0918/6066/4603/files/tufan_2Fe0b7e5c6-ca71-11f0-b9e9-00163e1bb989.jpg?v=1764132015, friendlyName=Open</x:v>
      </x:c>
      <x:c r="C2767" s="24" t="e">
        <x:f>HYPERLINK("https://365nails.com/products/golden-red-cat-eye-french-short-nail-set","Golden Red Cat Eye French Short Nail Set")</x:f>
        <x:v>HYPERLINK is not implemented. linkLocation=https://365nails.com/products/golden-red-cat-eye-french-short-nail-set, friendlyName=Golden Red Cat Eye French Short Nail Set</x:v>
      </x:c>
      <x:c r="D2767" s="18" t="str">
        <x:v>Color: Black French gold cat's eye / Skin color French golden cat eyes / Red French gold cat's eye / Grey French golden cat's eyes / Cyan French gold cat's eye</x:v>
      </x:c>
      <x:c r="E2767" s="25" t="str">
        <x:v>$3.24</x:v>
      </x:c>
      <x:c r="F2767" s="19" t="str">
        <x:v>1</x:v>
      </x:c>
    </x:row>
    <x:row r="2768" ht="93" customHeight="1">
      <x:c r="A2768" s="19" t="n">
        <x:v>2765</x:v>
      </x:c>
      <x:c r="B2768" s="22" t="e">
        <x:f>HYPERLINK("https://cdn.shopify.com/s/files/1/0918/6066/4603/files/tufan_2F1d5f8354-ca6c-11f0-8635-00163e1f816f.jpg?v=1764122926","Open")</x:f>
        <x:v>HYPERLINK is not implemented. linkLocation=https://cdn.shopify.com/s/files/1/0918/6066/4603/files/tufan_2F1d5f8354-ca6c-11f0-8635-00163e1f816f.jpg?v=1764122926, friendlyName=Open</x:v>
      </x:c>
      <x:c r="C2768" s="24" t="e">
        <x:f>HYPERLINK("https://365nails.com/products/trendy-art-design-short-nail-set","Trendy Art Design Short Nail Set")</x:f>
        <x:v>HYPERLINK is not implemented. linkLocation=https://365nails.com/products/trendy-art-design-short-nail-set, friendlyName=Trendy Art Design Short Nail Set</x:v>
      </x:c>
      <x:c r="D2768" s="18" t="str">
        <x:v>color: A064-A062 / A064-C054 / A064-C055 / A064-C057 / A064-C058; Quantity: 3pcs</x:v>
      </x:c>
      <x:c r="E2768" s="25" t="str">
        <x:v>$3.84</x:v>
      </x:c>
      <x:c r="F2768" s="19" t="str">
        <x:v>1</x:v>
      </x:c>
    </x:row>
    <x:row r="2769" ht="93" customHeight="1">
      <x:c r="A2769" s="19" t="n">
        <x:v>2766</x:v>
      </x:c>
      <x:c r="B2769" s="22" t="e">
        <x:f>HYPERLINK("https://cdn.shopify.com/s/files/1/0918/6066/4603/files/641396b70f2b564df72693cd24618695.jpg?v=1775637189","Open")</x:f>
        <x:v>HYPERLINK is not implemented. linkLocation=https://cdn.shopify.com/s/files/1/0918/6066/4603/files/641396b70f2b564df72693cd24618695.jpg?v=1775637189, friendlyName=Open</x:v>
      </x:c>
      <x:c r="C2769" s="24" t="e">
        <x:f>HYPERLINK("https://365nails.com/products/365nails-pearl-starfish-3d-red-jelly-star-pink-pearl-handmade-almond-nails","365nails: ""Pearl Starfish"" – 3D Red Jelly Star &amp; Pink Pearl Handmade Almond Nails")</x:f>
        <x:v>HYPERLINK is not implemented. linkLocation=https://365nails.com/products/365nails-pearl-starfish-3d-red-jelly-star-pink-pearl-handmade-almond-nails, friendlyName=365nails: "Pearl Starfish" – 3D Red Jelly Star &amp; Pink Pearl Handmade Almond Nails</x:v>
      </x:c>
      <x:c r="D2769" s="18" t="str">
        <x:v>Size: XS / S / M / L</x:v>
      </x:c>
      <x:c r="E2769" s="25" t="str">
        <x:v>$2.99</x:v>
      </x:c>
      <x:c r="F2769" s="19" t="str">
        <x:v>5</x:v>
      </x:c>
    </x:row>
    <x:row r="2770" ht="93" customHeight="1">
      <x:c r="A2770" s="19" t="n">
        <x:v>2767</x:v>
      </x:c>
      <x:c r="B2770" s="22" t="e">
        <x:f>HYPERLINK("https://cdn.shopify.com/s/files/1/0918/6066/4603/files/O1CN01ngS7Ld2ABd0P54Xuf__2218458308165-0-cib.jpg?v=1776153958","Open")</x:f>
        <x:v>HYPERLINK is not implemented. linkLocation=https://cdn.shopify.com/s/files/1/0918/6066/4603/files/O1CN01ngS7Ld2ABd0P54Xuf__2218458308165-0-cib.jpg?v=1776153958, friendlyName=Open</x:v>
      </x:c>
      <x:c r="C2770" s="24" t="e">
        <x:f>HYPERLINK("https://365nails.com/products/%E8%B7%A8%E5%A2%83%E7%83%AD%E9%94%80%E6%A4%AD%E5%9C%86%E7%94%B2%E7%99%BD%E8%89%B2%E6%B3%95%E5%BC%8F%E6%98%9F%E6%98%9F%E7%BE%8E%E7%94%B2%E8%B4%B4%E7%89%87%E7%BA%A2%E8%93%9D%E6%9D%A1%E7%BA%B9%E7%8B%AC%E7%AB%8B%E6%97%A5%E6%AC%A7%E7%BE%8E%E7%A9%BF%E6%88%B4%E7%94%B2%E7%89%87","365nails: ""Liberty French""")</x:f>
        <x:v>HYPERLINK is not implemented. linkLocation=https://365nails.com/products/%E8%B7%A8%E5%A2%83%E7%83%AD%E9%94%80%E6%A4%AD%E5%9C%86%E7%94%B2%E7%99%BD%E8%89%B2%E6%B3%95%E5%BC%8F%E6%98%9F%E6%98%9F%E7%BE%8E%E7%94%B2%E8%B4%B4%E7%89%87%E7%BA%A2%E8%93%9D%E6%9D%A1%E7%BA%B9%E7%8B%AC%E7%AB%8B%E6%97%A5%E6%AC%A7%E7%BE%8E%E7%A9%BF%E6%88%B4%E7%94%B2%E7%89%87, friendlyName=365nails: "Liberty French"</x:v>
      </x:c>
      <x:c r="D2770" s="18" t="str">
        <x:v>Color: Jml531 (without tools) / Jml531 (glue type) / Jml531 (jelly glue rubbing strip)</x:v>
      </x:c>
      <x:c r="E2770" s="25" t="str">
        <x:v>$0.99</x:v>
      </x:c>
      <x:c r="F2770" s="19" t="str">
        <x:v>3</x:v>
      </x:c>
    </x:row>
    <x:row r="2771" ht="93" customHeight="1">
      <x:c r="A2771" s="19" t="n">
        <x:v>2768</x:v>
      </x:c>
      <x:c r="B2771" s="22" t="e">
        <x:f>HYPERLINK("https://cdn.shopify.com/s/files/1/0918/6066/4603/files/5c660d64f23477724b6e8ab48232c6d9.jpg?v=1773301447","Open")</x:f>
        <x:v>HYPERLINK is not implemented. linkLocation=https://cdn.shopify.com/s/files/1/0918/6066/4603/files/5c660d64f23477724b6e8ab48232c6d9.jpg?v=1773301447, friendlyName=Open</x:v>
      </x:c>
      <x:c r="C2771" s="24" t="e">
        <x:f>HYPERLINK("https://365nails.com/products/365nails-pink-punk-star-handmade-press-on-pedicure","365nails: ""pink punk star"" – handmade press-on pedicure")</x:f>
        <x:v>HYPERLINK is not implemented. linkLocation=https://365nails.com/products/365nails-pink-punk-star-handmade-press-on-pedicure, friendlyName=365nails: "pink punk star" – handmade press-on pedicure</x:v>
      </x:c>
      <x:c r="D2771" s="18" t="str">
        <x:v>Size: XS / S / M / L</x:v>
      </x:c>
      <x:c r="E2771" s="25" t="str">
        <x:v>$3.99</x:v>
      </x:c>
      <x:c r="F2771" s="19" t="str">
        <x:v>3</x:v>
      </x:c>
    </x:row>
    <x:row r="2772" ht="93" customHeight="1">
      <x:c r="A2772" s="19" t="n">
        <x:v>2769</x:v>
      </x:c>
      <x:c r="B2772" s="22" t="e">
        <x:f>HYPERLINK("https://cdn.shopify.com/s/files/1/0918/6066/4603/files/O1CN01qWpbS12NGI13Ph9lH__4234819935-0-cib.jpg?v=1763441816","Open")</x:f>
        <x:v>HYPERLINK is not implemented. linkLocation=https://cdn.shopify.com/s/files/1/0918/6066/4603/files/O1CN01qWpbS12NGI13Ph9lH__4234819935-0-cib.jpg?v=1763441816, friendlyName=Open</x:v>
      </x:c>
      <x:c r="C2772" s="24" t="e">
        <x:f>HYPERLINK("https://365nails.com/products/metallic-lavender-gradient-almond-nails-with-3d-charms","Metallic Lavender Gradient Almond Nails with 3D Charms")</x:f>
        <x:v>HYPERLINK is not implemented. linkLocation=https://365nails.com/products/metallic-lavender-gradient-almond-nails-with-3d-charms, friendlyName=Metallic Lavender Gradient Almond Nails with 3D Charms</x:v>
      </x:c>
      <x:c r="D2772" s="18" t="str">
        <x:v>Color: JP4075</x:v>
      </x:c>
      <x:c r="E2772" s="25" t="str">
        <x:v>$1.70</x:v>
      </x:c>
      <x:c r="F2772" s="19" t="str">
        <x:v>1</x:v>
      </x:c>
    </x:row>
    <x:row r="2773" ht="93" customHeight="1">
      <x:c r="A2773" s="19" t="n">
        <x:v>2770</x:v>
      </x:c>
      <x:c r="B2773" s="22" t="e">
        <x:f>HYPERLINK("https://cdn.shopify.com/s/files/1/0918/6066/4603/files/O1CN01PzjtJ22ABd0K0OtBb__2218458308165-0-cib.jpg?v=1776153791","Open")</x:f>
        <x:v>HYPERLINK is not implemented. linkLocation=https://cdn.shopify.com/s/files/1/0918/6066/4603/files/O1CN01PzjtJ22ABd0K0OtBb__2218458308165-0-cib.jpg?v=1776153791, friendlyName=Open</x:v>
      </x:c>
      <x:c r="C2773" s="24" t="e">
        <x:f>HYPERLINK("https://365nails.com/products/26%E6%96%B0%E6%AC%BE%E6%AC%A7%E7%BE%8E%E7%A9%BF%E6%88%B4%E7%94%B2%E7%BA%A2%E7%99%BD%E8%93%9D%E6%98%9F%E6%98%9F%E7%BE%8E%E7%94%B2%E8%B4%B4%E7%89%8724%E7%89%87%E5%8F%AF%E6%8B%86%E5%8D%B8%E7%BE%8E%E5%9B%BD%E7%8B%AC%E7%AB%8B%E6%97%A5%E5%81%87%E6%8C%87%E7%94%B2","365nails: ""Patriotic Stars""")</x:f>
        <x:v>HYPERLINK is not implemented. linkLocation=https://365nails.com/products/26%E6%96%B0%E6%AC%BE%E6%AC%A7%E7%BE%8E%E7%A9%BF%E6%88%B4%E7%94%B2%E7%BA%A2%E7%99%BD%E8%93%9D%E6%98%9F%E6%98%9F%E7%BE%8E%E7%94%B2%E8%B4%B4%E7%89%8724%E7%89%87%E5%8F%AF%E6%8B%86%E5%8D%B8%E7%BE%8E%E5%9B%BD%E7%8B%AC%E7%AB%8B%E6%97%A5%E5%81%87%E6%8C%87%E7%94%B2, friendlyName=365nails: "Patriotic Stars"</x:v>
      </x:c>
      <x:c r="D2773" s="18" t="str">
        <x:v>Color: Jml491 (without tools) / Jml491 (glue type) / Jml491 (jelly glue rubbing strip)</x:v>
      </x:c>
      <x:c r="E2773" s="25" t="str">
        <x:v>$0.99</x:v>
      </x:c>
      <x:c r="F2773" s="19" t="str">
        <x:v>3</x:v>
      </x:c>
    </x:row>
    <x:row r="2774" ht="93" customHeight="1">
      <x:c r="A2774" s="19" t="n">
        <x:v>2771</x:v>
      </x:c>
      <x:c r="B2774" s="22" t="e">
        <x:f>HYPERLINK("https://cdn.shopify.com/s/files/1/0918/6066/4603/files/O1CN015mazcJ2NGI19DrQC9__4234819935-0-cib.jpg?v=1764944944","Open")</x:f>
        <x:v>HYPERLINK is not implemented. linkLocation=https://cdn.shopify.com/s/files/1/0918/6066/4603/files/O1CN015mazcJ2NGI19DrQC9__4234819935-0-cib.jpg?v=1764944944, friendlyName=Open</x:v>
      </x:c>
      <x:c r="C2774" s="24" t="e">
        <x:f>HYPERLINK("https://365nails.com/products/brown-glossy-nails-with-soft-blue-french-tips","Brown Glossy Nails with Soft Blue French Tips")</x:f>
        <x:v>HYPERLINK is not implemented. linkLocation=https://365nails.com/products/brown-glossy-nails-with-soft-blue-french-tips, friendlyName=Brown Glossy Nails with Soft Blue French Tips</x:v>
      </x:c>
      <x:c r="D2774" s="18" t="str">
        <x:v>Color: JP4180</x:v>
      </x:c>
      <x:c r="E2774" s="25" t="str">
        <x:v>$0.69</x:v>
      </x:c>
      <x:c r="F2774" s="19" t="str">
        <x:v>1</x:v>
      </x:c>
    </x:row>
    <x:row r="2775" ht="93" customHeight="1">
      <x:c r="A2775" s="19" t="n">
        <x:v>2772</x:v>
      </x:c>
      <x:c r="B2775" s="22" t="e">
        <x:f>HYPERLINK("https://cdn.shopify.com/s/files/1/0918/6066/4603/files/tufan_2Fd5429992-ca68-11f0-8216-00163e201129.jpg?v=1764121345","Open")</x:f>
        <x:v>HYPERLINK is not implemented. linkLocation=https://cdn.shopify.com/s/files/1/0918/6066/4603/files/tufan_2Fd5429992-ca68-11f0-8216-00163e201129.jpg?v=1764121345, friendlyName=Open</x:v>
      </x:c>
      <x:c r="C2775" s="24" t="e">
        <x:f>HYPERLINK("https://365nails.com/products/ruby-red-chrome-aurora-medium-nail-set","Ruby Red Chrome Aurora Medium Nail Set")</x:f>
        <x:v>HYPERLINK is not implemented. linkLocation=https://365nails.com/products/ruby-red-chrome-aurora-medium-nail-set, friendlyName=Ruby Red Chrome Aurora Medium Nail Set</x:v>
      </x:c>
      <x:c r="D2775" s="18" t="str">
        <x:v>color: A064-NH-R-E130; quantity: 3pcs</x:v>
      </x:c>
      <x:c r="E2775" s="25" t="str">
        <x:v>$3.24</x:v>
      </x:c>
      <x:c r="F2775" s="19" t="str">
        <x:v>1</x:v>
      </x:c>
    </x:row>
    <x:row r="2776" ht="93" customHeight="1">
      <x:c r="A2776" s="19" t="n">
        <x:v>2773</x:v>
      </x:c>
      <x:c r="B2776" s="22" t="e">
        <x:f>HYPERLINK("https://cdn.shopify.com/s/files/1/0918/6066/4603/files/62cb77d5f3b9a81d01ceb2f200e2e6d5.jpg?v=1775636852","Open")</x:f>
        <x:v>HYPERLINK is not implemented. linkLocation=https://cdn.shopify.com/s/files/1/0918/6066/4603/files/62cb77d5f3b9a81d01ceb2f200e2e6d5.jpg?v=1775636852, friendlyName=Open</x:v>
      </x:c>
      <x:c r="C2776" s="24" t="e">
        <x:f>HYPERLINK("https://365nails.com/products/365nails-classic-noir-french-black-french-sheer-nude-handmade-almond-nails","365nails: ""Classic Noir French"" – Black French &amp; Sheer Nude Handmade Almond Nails")</x:f>
        <x:v>HYPERLINK is not implemented. linkLocation=https://365nails.com/products/365nails-classic-noir-french-black-french-sheer-nude-handmade-almond-nails, friendlyName=365nails: "Classic Noir French" – Black French &amp; Sheer Nude Handmade Almond Nails</x:v>
      </x:c>
      <x:c r="D2776" s="18" t="str">
        <x:v>Size: XS / S / M / L</x:v>
      </x:c>
      <x:c r="E2776" s="25" t="str">
        <x:v>$2.49</x:v>
      </x:c>
      <x:c r="F2776" s="19" t="str">
        <x:v>5</x:v>
      </x:c>
    </x:row>
    <x:row r="2777" ht="93" customHeight="1">
      <x:c r="A2777" s="19" t="n">
        <x:v>2774</x:v>
      </x:c>
      <x:c r="B2777" s="22" t="e">
        <x:f>HYPERLINK("https://cdn.shopify.com/s/files/1/0918/6066/4603/files/tufan_2Fab893a98-ca63-11f0-89db-00163e1989f2.jpg?v=1764119302","Open")</x:f>
        <x:v>HYPERLINK is not implemented. linkLocation=https://cdn.shopify.com/s/files/1/0918/6066/4603/files/tufan_2Fab893a98-ca63-11f0-89db-00163e1989f2.jpg?v=1764119302, friendlyName=Open</x:v>
      </x:c>
      <x:c r="C2777" s="24" t="e">
        <x:f>HYPERLINK("https://365nails.com/products/aurora-glow-short-nail-set","Aurora Glow Short Nail Set")</x:f>
        <x:v>HYPERLINK is not implemented. linkLocation=https://365nails.com/products/aurora-glow-short-nail-set, friendlyName=Aurora Glow Short Nail Set</x:v>
      </x:c>
      <x:c r="D2777" s="18" t="str">
        <x:v>color: Golden green JG09-E263 / Semi-translucent skin tone JG10-E97 / Black gold JG06-E25 / Pearl White JG10-E27 / Bean paste color JG10-E268 / Light pink JG10-E74 / Golden red JG09-E123 / Pink skin color JG09-E98 / Classic pink JG10-E117 / Almond A JG02-E307 / Almond A JG09-E98 / Amygdala JG10-E117 / Almond A JG18-E470</x:v>
      </x:c>
      <x:c r="E2777" s="25" t="str">
        <x:v>$0.97</x:v>
      </x:c>
      <x:c r="F2777" s="19" t="str">
        <x:v>1</x:v>
      </x:c>
    </x:row>
    <x:row r="2778" ht="93" customHeight="1">
      <x:c r="A2778" s="19" t="n">
        <x:v>2775</x:v>
      </x:c>
      <x:c r="B2778" s="22" t="e">
        <x:f>HYPERLINK("https://cdn.shopify.com/s/files/1/0918/6066/4603/files/tufan_2Fac38a364-ca65-11f0-8bf2-00163e1bb989.jpg?v=1764119982","Open")</x:f>
        <x:v>HYPERLINK is not implemented. linkLocation=https://cdn.shopify.com/s/files/1/0918/6066/4603/files/tufan_2Fac38a364-ca65-11f0-8bf2-00163e1bb989.jpg?v=1764119982, friendlyName=Open</x:v>
      </x:c>
      <x:c r="C2778" s="24" t="e">
        <x:f>HYPERLINK("https://365nails.com/products/lavender-aurora-short-nail-set","Lavender Aurora Short Nail Set")</x:f>
        <x:v>HYPERLINK is not implemented. linkLocation=https://365nails.com/products/lavender-aurora-short-nail-set, friendlyName=Lavender Aurora Short Nail Set</x:v>
      </x:c>
      <x:c r="D2778" s="18" t="str">
        <x:v>color: A064-NH-R-E14; Quantity: 3pcs</x:v>
      </x:c>
      <x:c r="E2778" s="25" t="str">
        <x:v>$3.24</x:v>
      </x:c>
      <x:c r="F2778" s="19" t="str">
        <x:v>1</x:v>
      </x:c>
    </x:row>
    <x:row r="2779" ht="93" customHeight="1">
      <x:c r="A2779" s="19" t="n">
        <x:v>2776</x:v>
      </x:c>
      <x:c r="B2779" s="22" t="e">
        <x:f>HYPERLINK("https://cdn.shopify.com/s/files/1/0918/6066/4603/files/O1CN0198IWL91rlpaIbaVFV__2215158925672-0-cib.jpg?v=1763177559","Open")</x:f>
        <x:v>HYPERLINK is not implemented. linkLocation=https://cdn.shopify.com/s/files/1/0918/6066/4603/files/O1CN0198IWL91rlpaIbaVFV__2215158925672-0-cib.jpg?v=1763177559, friendlyName=Open</x:v>
      </x:c>
      <x:c r="C2779" s="24" t="e">
        <x:f>HYPERLINK("https://365nails.com/products/sunset-petal-series-press-on-nails","Sunset Petal Series Press-On Nails")</x:f>
        <x:v>HYPERLINK is not implemented. linkLocation=https://365nails.com/products/sunset-petal-series-press-on-nails, friendlyName=Sunset Petal Series Press-On Nails</x:v>
      </x:c>
      <x:c r="D2779" s="18" t="str">
        <x:v>Size: S / M / L</x:v>
      </x:c>
      <x:c r="E2779" s="25" t="str">
        <x:v>$4.99</x:v>
      </x:c>
      <x:c r="F2779" s="19" t="str">
        <x:v>30</x:v>
      </x:c>
    </x:row>
    <x:row r="2780" ht="93" customHeight="1">
      <x:c r="A2780" s="19" t="n">
        <x:v>2777</x:v>
      </x:c>
      <x:c r="B2780" s="22" t="e">
        <x:f>HYPERLINK("https://cdn.shopify.com/s/files/1/0918/6066/4603/files/O1CN01JoYIxB1rlpaL5ML8c__2215158925672-0-cib.jpg?v=1763176305","Open")</x:f>
        <x:v>HYPERLINK is not implemented. linkLocation=https://cdn.shopify.com/s/files/1/0918/6066/4603/files/O1CN01JoYIxB1rlpaL5ML8c__2215158925672-0-cib.jpg?v=1763176305, friendlyName=Open</x:v>
      </x:c>
      <x:c r="C2780" s="24" t="e">
        <x:f>HYPERLINK("https://365nails.com/products/blush-ribbon-series-press-on-nails","Blush Ribbon Series Press-On Nails")</x:f>
        <x:v>HYPERLINK is not implemented. linkLocation=https://365nails.com/products/blush-ribbon-series-press-on-nails, friendlyName=Blush Ribbon Series Press-On Nails</x:v>
      </x:c>
      <x:c r="D2780" s="18" t="str">
        <x:v>颜色分类: S / M</x:v>
      </x:c>
      <x:c r="E2780" s="25" t="str">
        <x:v>$3.99</x:v>
      </x:c>
      <x:c r="F2780" s="19" t="str">
        <x:v>30</x:v>
      </x:c>
    </x:row>
    <x:row r="2781" ht="93" customHeight="1">
      <x:c r="A2781" s="19" t="n">
        <x:v>2778</x:v>
      </x:c>
      <x:c r="B2781" s="22" t="e">
        <x:f>HYPERLINK("https://cdn.shopify.com/s/files/1/0918/6066/4603/files/O1CN012zO5T023g7zaM4out__2215671307284-0-cib_5cfa2bfd-1779-4aef-aeae-bc75d0543989.jpg?v=1775634195","Open")</x:f>
        <x:v>HYPERLINK is not implemented. linkLocation=https://cdn.shopify.com/s/files/1/0918/6066/4603/files/O1CN012zO5T023g7zaM4out__2215671307284-0-cib_5cfa2bfd-1779-4aef-aeae-bc75d0543989.jpg?v=1775634195, friendlyName=Open</x:v>
      </x:c>
      <x:c r="C2781" s="24" t="e">
        <x:f>HYPERLINK("https://365nails.com/products/365nails-independence-day-star-stripes-glitter-ombre-press-on-nails","365nails: Independence Day Star-Stripes Glitter Ombre Press-On Nails")</x:f>
        <x:v>HYPERLINK is not implemented. linkLocation=https://365nails.com/products/365nails-independence-day-star-stripes-glitter-ombre-press-on-nails, friendlyName=365nails: Independence Day Star-Stripes Glitter Ombre Press-On Nails</x:v>
      </x:c>
      <x:c r="D2781" s="18" t="str">
        <x:v>Color classification: W1328[jelly glue + strips]</x:v>
      </x:c>
      <x:c r="E2781" s="25" t="str">
        <x:v>$0.99</x:v>
      </x:c>
      <x:c r="F2781" s="19" t="str">
        <x:v>3</x:v>
      </x:c>
    </x:row>
    <x:row r="2782" ht="93" customHeight="1">
      <x:c r="A2782" s="19" t="n">
        <x:v>2779</x:v>
      </x:c>
      <x:c r="B2782" s="22" t="e">
        <x:f>HYPERLINK("https://cdn.shopify.com/s/files/1/0918/6066/4603/files/O1CN01ZT9Xhp1CPwM6Vmss1__2213196780074-0-cib_59ddab16-d8f6-4f3c-9c32-b59b417ce96e.jpg?v=1774679081","Open")</x:f>
        <x:v>HYPERLINK is not implemented. linkLocation=https://cdn.shopify.com/s/files/1/0918/6066/4603/files/O1CN01ZT9Xhp1CPwM6Vmss1__2213196780074-0-cib_59ddab16-d8f6-4f3c-9c32-b59b417ce96e.jpg?v=1774679081, friendlyName=Open</x:v>
      </x:c>
      <x:c r="C2782" s="24" t="e">
        <x:f>HYPERLINK("https://365nails.com/products/365nails-strawberry-milkshake-3d-strawberry-bow-handmade-stiletto-nails","365nails: ""Strawberry Milkshake"" – 3D Strawberry &amp; Bow Handmade Stiletto Nails")</x:f>
        <x:v>HYPERLINK is not implemented. linkLocation=https://365nails.com/products/365nails-strawberry-milkshake-3d-strawberry-bow-handmade-stiletto-nails, friendlyName=365nails: "Strawberry Milkshake" – 3D Strawberry &amp; Bow Handmade Stiletto Nails</x:v>
      </x:c>
      <x:c r="D2782" s="18" t="str">
        <x:v>Color: 829-almond a / 277 - medium oval; Color classification: Xs / S / M / L</x:v>
      </x:c>
      <x:c r="E2782" s="25" t="str">
        <x:v>$3.49</x:v>
      </x:c>
      <x:c r="F2782" s="19" t="str">
        <x:v>1</x:v>
      </x:c>
    </x:row>
    <x:row r="2783" ht="93" customHeight="1">
      <x:c r="A2783" s="19" t="n">
        <x:v>2780</x:v>
      </x:c>
      <x:c r="B2783" s="22" t="e">
        <x:f>HYPERLINK("https://cdn.shopify.com/s/files/1/0918/6066/4603/files/12b0d8b051a0d1466ffdf1ee41cef2e2.png?v=1755265570","Open")</x:f>
        <x:v>HYPERLINK is not implemented. linkLocation=https://cdn.shopify.com/s/files/1/0918/6066/4603/files/12b0d8b051a0d1466ffdf1ee41cef2e2.png?v=1755265570, friendlyName=Open</x:v>
      </x:c>
      <x:c r="C2783" s="24" t="e">
        <x:f>HYPERLINK("https://365nails.com/products/nail-tips-nail-lengthening-super-long-flat-head-fake-nails-half-sticker-denim-nail-trapezoidal-press-on-nails-wholesale","Nail Tips nail lengthening,  super long flat head fake nails half sticker denim nail trapezoidal press on nails wholesale (MOQ=3)")</x:f>
        <x:v>HYPERLINK is not implemented. linkLocation=https://365nails.com/products/nail-tips-nail-lengthening-super-long-flat-head-fake-nails-half-sticker-denim-nail-trapezoidal-press-on-nails-wholesale, friendlyName=Nail Tips nail lengthening,  super long flat head fake nails half sticker denim nail trapezoidal press on nails wholesale (MOQ=3)</x:v>
      </x:c>
      <x:c r="D2783" s="18" t="str">
        <x:v>Color: 27-L-NO C-500 Tablets / 166-XL-NO C-550 Tablets / 132-XL-NO C-500 Tablets / 164-XXL-NO C-500 Tablets / 115-XXXL-NO C-bag 504 pieces - box 420 pieces / 159-XXL-C Arc - Bag 504 Pieces - Box 480 Pieces / 167-XL-C arc-504 pieces; Color classification: Transparent color bag / Transparent color box / Natural color bag / Natural color boxed; Quantity: 3pcs</x:v>
      </x:c>
      <x:c r="E2783" s="25" t="str">
        <x:v>$3.54–$7.62</x:v>
      </x:c>
      <x:c r="F2783" s="19" t="str">
        <x:v>1</x:v>
      </x:c>
    </x:row>
    <x:row r="2784" ht="93" customHeight="1">
      <x:c r="A2784" s="19" t="n">
        <x:v>2781</x:v>
      </x:c>
      <x:c r="B2784" s="22" t="e">
        <x:f>HYPERLINK("https://cdn.shopify.com/s/files/1/0918/6066/4603/files/47999b3013580e117016e48d0a10d099.jpg?v=1755246946","Open")</x:f>
        <x:v>HYPERLINK is not implemented. linkLocation=https://cdn.shopify.com/s/files/1/0918/6066/4603/files/47999b3013580e117016e48d0a10d099.jpg?v=1755246946, friendlyName=Open</x:v>
      </x:c>
      <x:c r="C2784" s="24" t="e">
        <x:f>HYPERLINK("https://365nails.com/products/nail-tips-press-on-nails-piece-denim-nail-240-pieces-boxed-extended-trapezoidal-seamless-transparent-semi-patch-nail-piece","Nail Tips Press on nails piece, denim nail 240 pieces, boxed extended trapezoidal seamless transparent semi-patch nail piece (MOQ=3)")</x:f>
        <x:v>HYPERLINK is not implemented. linkLocation=https://365nails.com/products/nail-tips-press-on-nails-piece-denim-nail-240-pieces-boxed-extended-trapezoidal-seamless-transparent-semi-patch-nail-piece, friendlyName=Nail Tips Press on nails piece, denim nail 240 pieces, boxed extended trapezoidal seamless transparent semi-patch nail piece (MOQ=3)</x:v>
      </x:c>
      <x:c r="D2784" s="18" t="str">
        <x:v>Color: 240 pieces - seamless transparent color - PP box / 240 pieces - transparent color - PP box / 240 pieces - natural color - PP box; Quantity: 3pcs</x:v>
      </x:c>
      <x:c r="E2784" s="25" t="str">
        <x:v>$3.00–$3.27</x:v>
      </x:c>
      <x:c r="F2784" s="19" t="str">
        <x:v>1</x:v>
      </x:c>
    </x:row>
    <x:row r="2785" ht="93" customHeight="1">
      <x:c r="A2785" s="19" t="n">
        <x:v>2782</x:v>
      </x:c>
      <x:c r="B2785" s="22" t="e">
        <x:f>HYPERLINK("https://cdn.shopify.com/s/files/1/0918/6066/4603/files/97804cecd76bae90f8d63181656f3ed4.jpg?v=1755241602","Open")</x:f>
        <x:v>HYPERLINK is not implemented. linkLocation=https://cdn.shopify.com/s/files/1/0918/6066/4603/files/97804cecd76bae90f8d63181656f3ed4.jpg?v=1755241602, friendlyName=Open</x:v>
      </x:c>
      <x:c r="C2785" s="24" t="e">
        <x:f>HYPERLINK("https://365nails.com/products/nail-tips-explosive-press-on-nails-pads-transparent-semi-sand-and-seamless-square-free-grinding-240-boxed-patch-nail-pads","Nail Tips Explosive press on nails pads, transparent semi-sand and seamless square free grinding 240 boxed patch nail pads (MOQ=3)")</x:f>
        <x:v>HYPERLINK is not implemented. linkLocation=https://365nails.com/products/nail-tips-explosive-press-on-nails-pads-transparent-semi-sand-and-seamless-square-free-grinding-240-boxed-patch-nail-pads, friendlyName=Nail Tips Explosive press on nails pads, transparent semi-sand and seamless square free grinding 240 boxed patch nail pads (MOQ=3)</x:v>
      </x:c>
      <x:c r="D2785" s="18" t="str">
        <x:v>Color: 120 pieces in a whole bag. / 120 pieces in a broken box / 240 pieces in a box / 504 pieces broken box; Quantity: 3pcs</x:v>
      </x:c>
      <x:c r="E2785" s="25" t="str">
        <x:v>$1.53–$5.97</x:v>
      </x:c>
      <x:c r="F2785" s="19" t="str">
        <x:v>1</x:v>
      </x:c>
    </x:row>
    <x:row r="2786" ht="93" customHeight="1">
      <x:c r="A2786" s="19" t="n">
        <x:v>2783</x:v>
      </x:c>
      <x:c r="B2786" s="22" t="e">
        <x:f>HYPERLINK("https://cdn.shopify.com/s/files/1/0918/6066/4603/files/a2412ffabf2b59901471cafd668a703e.jpg?v=1755245562","Open")</x:f>
        <x:v>HYPERLINK is not implemented. linkLocation=https://cdn.shopify.com/s/files/1/0918/6066/4603/files/a2412ffabf2b59901471cafd668a703e.jpg?v=1755245562, friendlyName=Open</x:v>
      </x:c>
      <x:c r="C2786" s="24" t="e">
        <x:f>HYPERLINK("https://365nails.com/products/nail-tips-amazon-hot-selling-nail-pads-plus-rectangular-nail-pads-seamless-transparent-360-pcs-boxed-seamless-fake-nails","Nail Tips Amazon hot-selling nail pads plus rectangular nail pads, seamless transparent 360 pcs, boxed seamless fake nails (MOQ=3)")</x:f>
        <x:v>HYPERLINK is not implemented. linkLocation=https://365nails.com/products/nail-tips-amazon-hot-selling-nail-pads-plus-rectangular-nail-pads-seamless-transparent-360-pcs-boxed-seamless-fake-nails, friendlyName=Nail Tips Amazon hot-selling nail pads plus rectangular nail pads, seamless transparent 360 pcs, boxed seamless fake nails (MOQ=3)</x:v>
      </x:c>
      <x:c r="D2786" s="18" t="str">
        <x:v>Color: YS-89 * 360 box (large quantity can be customized box); Quantity: 3pcs</x:v>
      </x:c>
      <x:c r="E2786" s="25" t="str">
        <x:v>$5.97</x:v>
      </x:c>
      <x:c r="F2786" s="19" t="str">
        <x:v>1</x:v>
      </x:c>
    </x:row>
    <x:row r="2787" ht="93" customHeight="1">
      <x:c r="A2787" s="19" t="n">
        <x:v>2784</x:v>
      </x:c>
      <x:c r="B2787" s="22" t="e">
        <x:f>HYPERLINK("https://cdn.shopify.com/s/files/1/0918/6066/4603/files/73cb703576f5d22ffc38a916aa9f5ea3.jpg?v=1755242029","Open")</x:f>
        <x:v>HYPERLINK is not implemented. linkLocation=https://cdn.shopify.com/s/files/1/0918/6066/4603/files/73cb703576f5d22ffc38a916aa9f5ea3.jpg?v=1755242029, friendlyName=Open</x:v>
      </x:c>
      <x:c r="C2787" s="24" t="e">
        <x:f>HYPERLINK("https://365nails.com/products/nail-tips-transparent-short-semi-matte-nail-piece-almond-free-of-grinding-and-non-marking-patch-press-on-nails-piece-patch-fake-nail-piece","Nail Tips transparent short semi-matte nail piece, almond free of grinding and non-marking patch, press on nails piece patch, fake nail piece. (MOQ=3)")</x:f>
        <x:v>HYPERLINK is not implemented. linkLocation=https://365nails.com/products/nail-tips-transparent-short-semi-matte-nail-piece-almond-free-of-grinding-and-non-marking-patch-press-on-nails-piece-patch-fake-nail-piece, friendlyName=Nail Tips transparent short semi-matte nail piece, almond free of grinding and non-marking patch, press on nails piece patch, fake nail piece. (MOQ=3)</x:v>
      </x:c>
      <x:c r="D2787" s="18" t="str">
        <x:v>Color: 156-Half sand short fat almonds; Color classification: 120 pieces in a box / 240 pieces in a box / Box of 600 pieces; Quantity: 3pcs</x:v>
      </x:c>
      <x:c r="E2787" s="25" t="str">
        <x:v>$1.92–$7.02</x:v>
      </x:c>
      <x:c r="F2787" s="19" t="str">
        <x:v>1</x:v>
      </x:c>
    </x:row>
    <x:row r="2788" ht="93" customHeight="1">
      <x:c r="A2788" s="19" t="n">
        <x:v>2785</x:v>
      </x:c>
      <x:c r="B2788" s="22" t="e">
        <x:f>HYPERLINK("https://cdn.shopify.com/s/files/1/0918/6066/4603/files/1ad041e6adc806a04779d7c1099a9377.jpg?v=1755241579","Open")</x:f>
        <x:v>HYPERLINK is not implemented. linkLocation=https://cdn.shopify.com/s/files/1/0918/6066/4603/files/1ad041e6adc806a04779d7c1099a9377.jpg?v=1755241579, friendlyName=Open</x:v>
      </x:c>
      <x:c r="C2788" s="24" t="e">
        <x:f>HYPERLINK("https://365nails.com/products/nail-tips-press-on-nails-french-five-color-finished-product-naked-fake-nails-traceless-advanced-simple-removable-prefabricated-nail-art-wholesale","Nail Tips Press on nails French five-color finished product Naked fake nails Traceless advanced simple removable prefabricated nail art wholesale (MOQ=3)")</x:f>
        <x:v>HYPERLINK is not implemented. linkLocation=https://365nails.com/products/nail-tips-press-on-nails-french-five-color-finished-product-naked-fake-nails-traceless-advanced-simple-removable-prefabricated-nail-art-wholesale, friendlyName=Nail Tips Press on nails French five-color finished product Naked fake nails Traceless advanced simple removable prefabricated nail art wholesale (MOQ=3)</x:v>
      </x:c>
      <x:c r="D2788" s="18" t="str">
        <x:v>Color: YS-411-442 bags * 150 pieces / YS-411-442 Boxed * 150 pieces / YS-512-442 bags * 150 pieces / YS-512-442 Boxed * 150 pieces / YS-515-442 bags * 160 pieces / YS-516-442 bags * 160 pieces; Quantity: 3pcs</x:v>
      </x:c>
      <x:c r="E2788" s="25" t="str">
        <x:v>$6.78–$7.62</x:v>
      </x:c>
      <x:c r="F2788" s="19" t="str">
        <x:v>1</x:v>
      </x:c>
    </x:row>
    <x:row r="2789" ht="93" customHeight="1">
      <x:c r="A2789" s="19" t="n">
        <x:v>2786</x:v>
      </x:c>
      <x:c r="B2789" s="22" t="e">
        <x:f>HYPERLINK("https://cdn.shopify.com/s/files/1/0918/6066/4603/files/6236d4b2df5c7d91883050d404691b19.jpg?v=1755228181","Open")</x:f>
        <x:v>HYPERLINK is not implemented. linkLocation=https://cdn.shopify.com/s/files/1/0918/6066/4603/files/6236d4b2df5c7d91883050d404691b19.jpg?v=1755228181, friendlyName=Open</x:v>
      </x:c>
      <x:c r="C2789" s="24" t="e">
        <x:f>HYPERLINK("https://365nails.com/products/nail-tips-new-french-matte-press-on-nails-pads-240-pieces-boxed-fake-nails-short-half-stickers-hand-worn-nail-pads","Nail Tips New French matte press on nails pads 240 pieces boxed fake nails short half stickers hand-worn nail pads (MOQ=3)")</x:f>
        <x:v>HYPERLINK is not implemented. linkLocation=https://365nails.com/products/nail-tips-new-french-matte-press-on-nails-pads-240-pieces-boxed-fake-nails-short-half-stickers-hand-worn-nail-pads, friendlyName=Nail Tips New French matte press on nails pads 240 pieces boxed fake nails short half stickers hand-worn nail pads (MOQ=3)</x:v>
      </x:c>
      <x:c r="D2789" s="18" t="str">
        <x:v>Color: 407-Shallow sticker short ladder-240 pieces boxed / 408-Shallow Stick Oval-240 Pieces Boxed; Quantity: 3pcs</x:v>
      </x:c>
      <x:c r="E2789" s="25" t="str">
        <x:v>$2.46</x:v>
      </x:c>
      <x:c r="F2789" s="19" t="str">
        <x:v>1</x:v>
      </x:c>
    </x:row>
    <x:row r="2790" ht="93" customHeight="1">
      <x:c r="A2790" s="19" t="n">
        <x:v>2787</x:v>
      </x:c>
      <x:c r="B2790" s="22" t="e">
        <x:f>HYPERLINK("https://cdn.shopify.com/s/files/1/0918/6066/4603/files/tufan_2F9044e990-ca80-11f0-a195-00163e1f8035.jpg?v=1764131587","Open")</x:f>
        <x:v>HYPERLINK is not implemented. linkLocation=https://cdn.shopify.com/s/files/1/0918/6066/4603/files/tufan_2F9044e990-ca80-11f0-a195-00163e1f8035.jpg?v=1764131587, friendlyName=Open</x:v>
      </x:c>
      <x:c r="C2790" s="24" t="e">
        <x:f>HYPERLINK("https://365nails.com/products/silver-french-stripe-nude-short-square-nail-set","Silver French Stripe Nude Short Square Nail Set")</x:f>
        <x:v>HYPERLINK is not implemented. linkLocation=https://365nails.com/products/silver-french-stripe-nude-short-square-nail-set, friendlyName=Silver French Stripe Nude Short Square Nail Set</x:v>
      </x:c>
      <x:c r="D2790" s="18" t="str">
        <x:v>Color: C058; Quantity: 3pcs</x:v>
      </x:c>
      <x:c r="E2790" s="25" t="str">
        <x:v>$6.51</x:v>
      </x:c>
      <x:c r="F2790" s="19" t="str">
        <x:v>1</x:v>
      </x:c>
    </x:row>
    <x:row r="2791" ht="93" customHeight="1">
      <x:c r="A2791" s="19" t="n">
        <x:v>2788</x:v>
      </x:c>
      <x:c r="B2791" s="22" t="e">
        <x:f>HYPERLINK("https://cdn.shopify.com/s/files/1/0918/6066/4603/files/e467a7c5875c3394d272e54f2505754b.jpg?v=1755247474","Open")</x:f>
        <x:v>HYPERLINK is not implemented. linkLocation=https://cdn.shopify.com/s/files/1/0918/6066/4603/files/e467a7c5875c3394d272e54f2505754b.jpg?v=1755247474, friendlyName=Open</x:v>
      </x:c>
      <x:c r="C2791" s="24" t="e">
        <x:f>HYPERLINK("https://365nails.com/products/nail-tips-hot-selling-ultra-rectangular-nail-pads-new-120-piece-square-head-full-sticker-fake-nail-lengthened-nail-pads","Nail Tips hot-selling ultra-rectangular nail pads,  new 120-piece square head full sticker fake nail lengthened nail pads (MOQ=3)")</x:f>
        <x:v>HYPERLINK is not implemented. linkLocation=https://365nails.com/products/nail-tips-hot-selling-ultra-rectangular-nail-pads-new-120-piece-square-head-full-sticker-fake-nail-lengthened-nail-pads, friendlyName=Nail Tips hot-selling ultra-rectangular nail pads,  new 120-piece square head full sticker fake nail lengthened nail pads (MOQ=3)</x:v>
      </x:c>
      <x:c r="D2791" s="18" t="str">
        <x:v>Color: 264-Extra long square head-transparent and seamless-120 pieces bag / 264-Extra Long Square Head-Natural No Trace-120 Pieces Bag; Quantity: 3pcs</x:v>
      </x:c>
      <x:c r="E2791" s="25" t="str">
        <x:v>$7.05</x:v>
      </x:c>
      <x:c r="F2791" s="19" t="str">
        <x:v>1</x:v>
      </x:c>
    </x:row>
    <x:row r="2792" ht="93" customHeight="1">
      <x:c r="A2792" s="19" t="n">
        <x:v>2789</x:v>
      </x:c>
      <x:c r="B2792" s="22" t="e">
        <x:f>HYPERLINK("https://cdn.shopify.com/s/files/1/0918/6066/4603/files/O1CN01uxSnas247bcVSJGrQ__2209064737344-0-cib.jpg?v=1755242280","Open")</x:f>
        <x:v>HYPERLINK is not implemented. linkLocation=https://cdn.shopify.com/s/files/1/0918/6066/4603/files/O1CN01uxSnas247bcVSJGrQ__2209064737344-0-cib.jpg?v=1755242280, friendlyName=Open</x:v>
      </x:c>
      <x:c r="C2792" s="24" t="e">
        <x:f>HYPERLINK("https://365nails.com/products/nail-tips-hot-selling-transparent-short-ladder-nail-pads-504-pieces-c-arc-seamless-nail-pads-full-stickers-trapezoidal-fake-nail-press-on-nails-pads","Nail Tips Hot-selling transparent short ladder nail pads 504 pieces C arc seamless nail pads full stickers trapezoidal fake nail press on nails pads (MOQ=3)")</x:f>
        <x:v>HYPERLINK is not implemented. linkLocation=https://365nails.com/products/nail-tips-hot-selling-transparent-short-ladder-nail-pads-504-pieces-c-arc-seamless-nail-pads-full-stickers-trapezoidal-fake-nail-press-on-nails-pads, friendlyName=Nail Tips Hot-selling transparent short ladder nail pads 504 pieces C arc seamless nail pads full stickers trapezoidal fake nail press on nails pads (MOQ=3)</x:v>
      </x:c>
      <x:c r="D2792" s="18" t="str">
        <x:v>Color: YS169-552 pieces - transparent and seamless / YS169-240 pieces - transparent and seamless / YS169-120 tablets - transparent and seamless; Quantity: 3pcs</x:v>
      </x:c>
      <x:c r="E2792" s="25" t="str">
        <x:v>$1.92–$6.51</x:v>
      </x:c>
      <x:c r="F2792" s="19" t="str">
        <x:v>1</x:v>
      </x:c>
    </x:row>
    <x:row r="2793" ht="93" customHeight="1">
      <x:c r="A2793" s="19" t="n">
        <x:v>2790</x:v>
      </x:c>
      <x:c r="B2793" s="22" t="e">
        <x:f>HYPERLINK("https://cdn.shopify.com/s/files/1/0918/6066/4603/files/f6b52531e5e378c045d74c13fc1cdb60.jpg?v=1755240504","Open")</x:f>
        <x:v>HYPERLINK is not implemented. linkLocation=https://cdn.shopify.com/s/files/1/0918/6066/4603/files/f6b52531e5e378c045d74c13fc1cdb60.jpg?v=1755240504, friendlyName=Open</x:v>
      </x:c>
      <x:c r="C2793" s="24" t="e">
        <x:f>HYPERLINK("https://365nails.com/products/nail-tips-nail-pads-are-light-and-seamless-504-pieces-of-porcelain-white-boxed-semi-matte-free-of-engraving-and-grinding-press-on-nails-pads-patches-fake-nails","Nail Tips nail pads are light and seamless 504 pieces of porcelain white boxed semi-matte, free of engraving and grinding, press on nails pads, patches, fake nails. (MOQ=3)")</x:f>
        <x:v>HYPERLINK is not implemented. linkLocation=https://365nails.com/products/nail-tips-nail-pads-are-light-and-seamless-504-pieces-of-porcelain-white-boxed-semi-matte-free-of-engraving-and-grinding-press-on-nails-pads-patches-fake-nails, friendlyName=Nail Tips nail pads are light and seamless 504 pieces of porcelain white boxed semi-matte, free of engraving and grinding, press on nails pads, patches, fake nails. (MOQ=3)</x:v>
      </x:c>
      <x:c r="D2793" s="18" t="str">
        <x:v>Color: 101-GT Traceless-504 tablets / 102-GT Traceless-504 Tablets / 103-GT Traceless-504 tablets / 104-GT Traceless-504 Tablets / 105-GT Traceless-504 Tablets / 106-GT Traceless-504 tablets / 107-GT Traceless-504 tablets / 108-GT Traceless-504 Tablets / 109-GT Traceless-504 tablets / 110-GT Traceless-504 Tablets / 180-GT Traceless-504 Tablets / 181-GT Traceless-504 tablets / 182-GT Traceless-504 Tablets / 183-GT Traceless-504 tablets; Quantity: 3pcs</x:v>
      </x:c>
      <x:c r="E2793" s="25" t="str">
        <x:v>$5.16</x:v>
      </x:c>
      <x:c r="F2793" s="19" t="str">
        <x:v>1</x:v>
      </x:c>
    </x:row>
    <x:row r="2794" ht="93" customHeight="1">
      <x:c r="A2794" s="19" t="n">
        <x:v>2791</x:v>
      </x:c>
      <x:c r="B2794" s="22" t="e">
        <x:f>HYPERLINK("https://cdn.shopify.com/s/files/1/0918/6066/4603/files/4abd392b9bc3c28b432d1523ae53d0b3.jpg?v=1775636722","Open")</x:f>
        <x:v>HYPERLINK is not implemented. linkLocation=https://cdn.shopify.com/s/files/1/0918/6066/4603/files/4abd392b9bc3c28b432d1523ae53d0b3.jpg?v=1775636722, friendlyName=Open</x:v>
      </x:c>
      <x:c r="C2794" s="24" t="e">
        <x:f>HYPERLINK("https://365nails.com/products/365nails-frost-pearl-solid-pearlescent-white-chrome-handmade-almond-nails","365nails: ""Frost Pearl"" – Solid Pearlescent White Chrome Handmade Almond Nails")</x:f>
        <x:v>HYPERLINK is not implemented. linkLocation=https://365nails.com/products/365nails-frost-pearl-solid-pearlescent-white-chrome-handmade-almond-nails, friendlyName=365nails: "Frost Pearl" – Solid Pearlescent White Chrome Handmade Almond Nails</x:v>
      </x:c>
      <x:c r="D2794" s="18" t="str">
        <x:v>Size: XS / S / M / L</x:v>
      </x:c>
      <x:c r="E2794" s="25" t="str">
        <x:v>$2.49</x:v>
      </x:c>
      <x:c r="F2794" s="19" t="str">
        <x:v>5</x:v>
      </x:c>
    </x:row>
    <x:row r="2795" ht="93" customHeight="1">
      <x:c r="A2795" s="19" t="n">
        <x:v>2792</x:v>
      </x:c>
      <x:c r="B2795" s="22" t="e">
        <x:f>HYPERLINK("https://cdn.shopify.com/s/files/1/0918/6066/4603/files/88d918b7c618385c97fa45dfcfa3f893_f3355e28-d001-42ed-9cf4-09a5ed622319.jpg?v=1755245983","Open")</x:f>
        <x:v>HYPERLINK is not implemented. linkLocation=https://cdn.shopify.com/s/files/1/0918/6066/4603/files/88d918b7c618385c97fa45dfcfa3f893_f3355e28-d001-42ed-9cf4-09a5ed622319.jpg?v=1755245983, friendlyName=Open</x:v>
      </x:c>
      <x:c r="C2795" s="24" t="e">
        <x:f>HYPERLINK("https://365nails.com/products/nail-tips-crystal-nail-mold-french-nail-art-with-scale-no-paper-holder-rapid-phototherapy-120-pieces-extension-nail-pieces-wholesale-nail-film","Nail Tips Crystal Nail Mold French Nail Art with Scale No Paper Holder Rapid Phototherapy 120 Pieces Extension Nail Pieces Wholesale Nail Film (MOQ=3)")</x:f>
        <x:v>HYPERLINK is not implemented. linkLocation=https://365nails.com/products/nail-tips-crystal-nail-mold-french-nail-art-with-scale-no-paper-holder-rapid-phototherapy-120-pieces-extension-nail-pieces-wholesale-nail-film, friendlyName=Nail Tips Crystal Nail Mold French Nail Art with Scale No Paper Holder Rapid Phototherapy 120 Pieces Extension Nail Pieces Wholesale Nail Film (MOQ=3)</x:v>
      </x:c>
      <x:c r="D2795" s="18" t="str">
        <x:v>Color: YS-JM41 * 120 pieces (pink) / YS-JM41 * 120 pieces (transparent); Quantity: 3pcs</x:v>
      </x:c>
      <x:c r="E2795" s="25" t="str">
        <x:v>$4.02</x:v>
      </x:c>
      <x:c r="F2795" s="19" t="str">
        <x:v>1</x:v>
      </x:c>
    </x:row>
    <x:row r="2796" ht="93" customHeight="1">
      <x:c r="A2796" s="19" t="n">
        <x:v>2793</x:v>
      </x:c>
      <x:c r="B2796" s="22" t="e">
        <x:f>HYPERLINK("https://cdn.shopify.com/s/files/1/0918/6066/4603/files/e219b859b1d7dc733d735df03af86ca5.jpg?v=1755141495","Open")</x:f>
        <x:v>HYPERLINK is not implemented. linkLocation=https://cdn.shopify.com/s/files/1/0918/6066/4603/files/e219b859b1d7dc733d735df03af86ca5.jpg?v=1755141495, friendlyName=Open</x:v>
      </x:c>
      <x:c r="C2796" s="24" t="e">
        <x:f>HYPERLINK("https://365nails.com/products/nail-tips-crystal-toenail-nail-mold-with-scale-extension-nail-mold-foreign-trade-special-nail-mold-120-pieces","Nail Tips Crystal toenail nail mold with scale extension nail mold, foreign trade special nail mold 120 pieces (MOQ=3)")</x:f>
        <x:v>HYPERLINK is not implemented. linkLocation=https://365nails.com/products/nail-tips-crystal-toenail-nail-mold-with-scale-extension-nail-mold-foreign-trade-special-nail-mold-120-pieces, friendlyName=Nail Tips Crystal toenail nail mold with scale extension nail mold, foreign trade special nail mold 120 pieces (MOQ=3)</x:v>
      </x:c>
      <x:c r="D2796" s="18" t="str">
        <x:v>Color: Pink JM-39 / Transparent JM-39; Quantity: 3pcs</x:v>
      </x:c>
      <x:c r="E2796" s="25" t="str">
        <x:v>$4.38</x:v>
      </x:c>
      <x:c r="F2796" s="19" t="str">
        <x:v>1</x:v>
      </x:c>
    </x:row>
    <x:row r="2797" ht="93" customHeight="1">
      <x:c r="A2797" s="19" t="n">
        <x:v>2794</x:v>
      </x:c>
      <x:c r="B2797" s="22" t="e">
        <x:f>HYPERLINK("https://cdn.shopify.com/s/files/1/0918/6066/4603/files/adb27250c03d36f346b7fffdd34ef1ae.jpg?v=1755142625","Open")</x:f>
        <x:v>HYPERLINK is not implemented. linkLocation=https://cdn.shopify.com/s/files/1/0918/6066/4603/files/adb27250c03d36f346b7fffdd34ef1ae.jpg?v=1755142625, friendlyName=Open</x:v>
      </x:c>
      <x:c r="C2797" s="24" t="e">
        <x:f>HYPERLINK("https://365nails.com/products/nail-tips-press-on-nails-pads-matte-240-pieces-full-stickers-transparent-oval-trapezoidal-non-marking-no-grinding-patches-nail-pads","Matte Press-On Nail Pads, Transparent Oval Trapezoid Full-Cover No-Marking Patches, 240 Pieces (MOQ=3)")</x:f>
        <x:v>HYPERLINK is not implemented. linkLocation=https://365nails.com/products/nail-tips-press-on-nails-pads-matte-240-pieces-full-stickers-transparent-oval-trapezoidal-non-marking-no-grinding-patches-nail-pads, friendlyName=Matte Press-On Nail Pads, Transparent Oval Trapezoid Full-Cover No-Marking Patches, 240 Pieces (MOQ=3)</x:v>
      </x:c>
      <x:c r="D2797" s="18" t="str">
        <x:v>Color: 191 short oval-PP transparent box / 191 Short Oval - Bagged / Short oval complement-PP transparent box / Short Oval Supplement - Bag / 192 trapezoidal-PP transparent box / 192 Keystone - Bagged / Trapezoidal complement-PP transparent box / Trapezoidal complement - bagged / 193 short trapezoidal-PP transparent box / 193 Short Trapezoid - Bagged / Short trapezoidal complement-PP transparent box / Short Trapezoidal Supplement - Bagged / 194 medium almond-PP transparent box / 194 medium almonds - bagged / Almond Supplement-PP Transparent Box / Almond Supplement - Bagged / 195 short round-PP transparent box / 195 Short Round - Bagged / 196 square-PP transparent box / 196 square - bagged / 197 short square circle-PP transparent box / 197 short square - bagged / 198 Long Almond-PP Transparent Box / 198 Long Almonds - Bagged / 199 Japanese fat oval-PP transparent box / 199 Japanese Fat Oval - Bag / 199-2 Japanese short fat oval-PP transparent box / 199-2 Japanese Short Fat Oval - Bag / 401 ultra-short ladder-full matte-PP transparent box / 401 Super Short Ladder - Full Scrub - Bag / 401 ultra-short ladder-semi-matte-PP transparent box / 402 new short ladder-semi-matte-PP transparent box / 402 new short ladder - semi-matte - bagged / 403-New Short Square-PP Transparent Box / 403-New Short Circle-Bag / 404-Short Ballet-PP Transparent Box / 404 Short Ballet - Bag / 405-Short Almond-PP Transparent Box / 405-Short Almonds - Bagged; Quantity: 3pcs</x:v>
      </x:c>
      <x:c r="E2797" s="25" t="str">
        <x:v>$1.92–$2.46</x:v>
      </x:c>
      <x:c r="F2797" s="19" t="str">
        <x:v>1</x:v>
      </x:c>
    </x:row>
    <x:row r="2798" ht="93" customHeight="1">
      <x:c r="A2798" s="19" t="n">
        <x:v>2795</x:v>
      </x:c>
      <x:c r="B2798" s="22" t="e">
        <x:f>HYPERLINK("https://cdn.shopify.com/s/files/1/0918/6066/4603/files/9f2c8377a6a56649b0a947ce613b3820.jpg?v=1755141872","Open")</x:f>
        <x:v>HYPERLINK is not implemented. linkLocation=https://cdn.shopify.com/s/files/1/0918/6066/4603/files/9f2c8377a6a56649b0a947ce613b3820.jpg?v=1755141872, friendlyName=Open</x:v>
      </x:c>
      <x:c r="C2798" s="24" t="e">
        <x:f>HYPERLINK("https://365nails.com/products/nail-tips-single-number-50-pieces-of-matte-nail-pads-bagged-trapezoidal-short-ladder-supplement-number-transparent-and-seamless-no-abrasion-patch-fake-nail-wholesale","Single-Size Matte Nail Pads, Trapezoidal Short Ladder Shape, Transparent Seamless No-Abrasion Patches, 50 Pieces Bagged Wholesale  (MOQ=3)")</x:f>
        <x:v>HYPERLINK is not implemented. linkLocation=https://365nails.com/products/nail-tips-single-number-50-pieces-of-matte-nail-pads-bagged-trapezoidal-short-ladder-supplement-number-transparent-and-seamless-no-abrasion-patch-fake-nail-wholesale, friendlyName=Single-Size Matte Nail Pads, Trapezoidal Short Ladder Shape, Transparent Seamless No-Abrasion Patches, 50 Pieces Bagged Wholesale  (MOQ=3)</x:v>
      </x:c>
      <x:c r="D2798" s="18" t="str">
        <x:v>Color: 192 Keystone #2-50 pieces / Trapezoidal #3-50 pieces / Trapezoidal #4-50 pieces / Trapezoidal #5-50 pieces / Trapezoidal #6-50 pieces / Trapezoidal #7-50 pieces / Trapezoidal #8-50 pieces / Trapezoidal #9-50 pieces / Short Trapezoidal #2 - 50 pieces / Short Trapezoidal #3-50 pieces / Short Trapezoidal #4-50 pieces / Short trapezoidal #5-50 pieces / Short trapezoidal #6-50 pieces / Short Trapezoidal #7-50 pieces / Short trapezoidal #8-50 pieces / Short Round #2-50 pieces / Short Round #3-50 pieces / Short Round #4-50 pieces / Short Round #5-50 pieces / Short Round #6-50 pieces / Short Round #7-50 pieces / Short Round #8-50 pieces / Short Square Circle #2-50 pieces / Short Square Circle #3-50 pieces / Short Square Circle #4-50 pieces / Short Square Circle #5-50 pieces / Short Square Circle #6-50 pieces / Short Square Circle #7-50 pieces / Short Square Circle #8-50 pieces / Super short ladder #2-50 pieces / Super short ladder #3-50 pieces / Super short ladder #4-50 pieces / Super short ladder #5-50 pieces / Super short ladder #6-50 pieces / Super short ladder #8-50 pieces; Quantity: 3pcs</x:v>
      </x:c>
      <x:c r="E2798" s="25" t="str">
        <x:v>$1.35</x:v>
      </x:c>
      <x:c r="F2798" s="19" t="str">
        <x:v>1</x:v>
      </x:c>
    </x:row>
    <x:row r="2799" ht="93" customHeight="1">
      <x:c r="A2799" s="19" t="n">
        <x:v>2796</x:v>
      </x:c>
      <x:c r="B2799" s="22" t="e">
        <x:f>HYPERLINK("https://cdn.shopify.com/s/files/1/0918/6066/4603/files/O1CN01iXlZ762NGHk6xTKGm__4234819935-0-cib.jpg?v=1753072664","Open")</x:f>
        <x:v>HYPERLINK is not implemented. linkLocation=https://cdn.shopify.com/s/files/1/0918/6066/4603/files/O1CN01iXlZ762NGHk6xTKGm__4234819935-0-cib.jpg?v=1753072664, friendlyName=Open</x:v>
      </x:c>
      <x:c r="C2799" s="24" t="e">
        <x:f>HYPERLINK("https://365nails.com/products/wearing-nail-matte-pink-french-water-drop-snake-pattern-rhinestone-nail-patch-wearing-nail-art-finished-product-wholesale","Press on nail matte pink French water drop snake pattern rhinestone nail patch Press-on nails art finished product wholesale")</x:f>
        <x:v>HYPERLINK is not implemented. linkLocation=https://365nails.com/products/wearing-nail-matte-pink-french-water-drop-snake-pattern-rhinestone-nail-patch-wearing-nail-art-finished-product-wholesale, friendlyName=Press on nail matte pink French water drop snake pattern rhinestone nail patch Press-on nails art finished product wholesale</x:v>
      </x:c>
      <x:c r="D2799" s="18" t="str">
        <x:v>Color: JP2282</x:v>
      </x:c>
      <x:c r="E2799" s="25" t="str">
        <x:v>$1.48</x:v>
      </x:c>
      <x:c r="F2799" s="19" t="str">
        <x:v>1</x:v>
      </x:c>
    </x:row>
    <x:row r="2800" ht="93" customHeight="1">
      <x:c r="A2800" s="19" t="n">
        <x:v>2797</x:v>
      </x:c>
      <x:c r="B2800" s="22" t="e">
        <x:f>HYPERLINK("https://cdn.shopify.com/s/files/1/0918/6066/4603/files/O1CN01Frbf1F2NGI1MM6I4l__4234819935-0-cib.jpg?v=1764944414","Open")</x:f>
        <x:v>HYPERLINK is not implemented. linkLocation=https://cdn.shopify.com/s/files/1/0918/6066/4603/files/O1CN01Frbf1F2NGI1MM6I4l__4234819935-0-cib.jpg?v=1764944414, friendlyName=Open</x:v>
      </x:c>
      <x:c r="C2800" s="24" t="e">
        <x:f>HYPERLINK("https://365nails.com/products/red-bow-and-polka-plaid-festive-press-on-nails","Red Bow and Polka Plaid Festive Press-On Nails")</x:f>
        <x:v>HYPERLINK is not implemented. linkLocation=https://365nails.com/products/red-bow-and-polka-plaid-festive-press-on-nails, friendlyName=Red Bow and Polka Plaid Festive Press-On Nails</x:v>
      </x:c>
      <x:c r="D2800" s="18" t="str">
        <x:v>Color: JP4062</x:v>
      </x:c>
      <x:c r="E2800" s="25" t="str">
        <x:v>$1.09</x:v>
      </x:c>
      <x:c r="F2800" s="19" t="str">
        <x:v>1</x:v>
      </x:c>
    </x:row>
    <x:row r="2801" ht="93" customHeight="1">
      <x:c r="A2801" s="19" t="n">
        <x:v>2798</x:v>
      </x:c>
      <x:c r="B2801" s="22" t="e">
        <x:f>HYPERLINK("https://cdn.shopify.com/s/files/1/0918/6066/4603/files/9a82ae412cfd9e76ae1d60639358c7fd.jpg?v=1755246341","Open")</x:f>
        <x:v>HYPERLINK is not implemented. linkLocation=https://cdn.shopify.com/s/files/1/0918/6066/4603/files/9a82ae412cfd9e76ae1d60639358c7fd.jpg?v=1755246341, friendlyName=Open</x:v>
      </x:c>
      <x:c r="C2801" s="24" t="e">
        <x:f>HYPERLINK("https://365nails.com/products/nail-tips-nail-pads-transparent-550-pieces-boxed-semi-stickers-long-non-marking-removable-extension-water-pipe-nail-fake-nails","Nail Tips Nail pads, transparent 550 pieces, boxed semi-stickers, long non-marking removable extension water pipe nail fake nails (MOQ=3)")</x:f>
        <x:v>HYPERLINK is not implemented. linkLocation=https://365nails.com/products/nail-tips-nail-pads-transparent-550-pieces-boxed-semi-stickers-long-non-marking-removable-extension-water-pipe-nail-fake-nails, friendlyName=Nail Tips Nail pads, transparent 550 pieces, boxed semi-stickers, long non-marking removable extension water pipe nail fake nails (MOQ=3)</x:v>
      </x:c>
      <x:c r="D2801" s="18" t="str">
        <x:v>Color: 157-Traceless Transparent-550 Pieces Boxed; Quantity: 3pcs</x:v>
      </x:c>
      <x:c r="E2801" s="25" t="str">
        <x:v>$5.97</x:v>
      </x:c>
      <x:c r="F2801" s="19" t="str">
        <x:v>1</x:v>
      </x:c>
    </x:row>
    <x:row r="2802" ht="93" customHeight="1">
      <x:c r="A2802" s="19" t="n">
        <x:v>2799</x:v>
      </x:c>
      <x:c r="B2802" s="22" t="e">
        <x:f>HYPERLINK("https://cdn.shopify.com/s/files/1/0918/6066/4603/files/9fa205d51ff95e7415a960a240279a52.jpg?v=1755249480","Open")</x:f>
        <x:v>HYPERLINK is not implemented. linkLocation=https://cdn.shopify.com/s/files/1/0918/6066/4603/files/9fa205d51ff95e7415a960a240279a52.jpg?v=1755249480, friendlyName=Open</x:v>
      </x:c>
      <x:c r="C2802" s="24" t="e">
        <x:f>HYPERLINK("https://365nails.com/products/nail-tips-nail-pads-super-long-504-pcs-boxed-seamless-transparent-extended-nail-pads-water-drop-art-nail-pads-pointed-patch-nail-art","Nail Tips Super Long Nail Pads, Seamless Transparent Extended Water Drop Pointed Nail Art Pads, 504 Pieces Boxed (MOQ=3)")</x:f>
        <x:v>HYPERLINK is not implemented. linkLocation=https://365nails.com/products/nail-tips-nail-pads-super-long-504-pcs-boxed-seamless-transparent-extended-nail-pads-water-drop-art-nail-pads-pointed-patch-nail-art, friendlyName=Nail Tips Super Long Nail Pads, Seamless Transparent Extended Water Drop Pointed Nail Art Pads, 504 Pieces Boxed (MOQ=3)</x:v>
      </x:c>
      <x:c r="D2802" s="18" t="str">
        <x:v>Color: 130-Transparent Color-No Trace-360 Pieces Boxed; Quantity: 3pcs</x:v>
      </x:c>
      <x:c r="E2802" s="25" t="str">
        <x:v>$5.97</x:v>
      </x:c>
      <x:c r="F2802" s="19" t="str">
        <x:v>1</x:v>
      </x:c>
    </x:row>
    <x:row r="2803" ht="93" customHeight="1">
      <x:c r="A2803" s="19" t="n">
        <x:v>2800</x:v>
      </x:c>
      <x:c r="B2803" s="22" t="e">
        <x:f>HYPERLINK("https://cdn.shopify.com/s/files/1/0918/6066/4603/files/f3882aa4963bfb0d156969e2da44236a.png?v=1755270788","Open")</x:f>
        <x:v>HYPERLINK is not implemented. linkLocation=https://cdn.shopify.com/s/files/1/0918/6066/4603/files/f3882aa4963bfb0d156969e2da44236a.png?v=1755270788, friendlyName=Open</x:v>
      </x:c>
      <x:c r="C2803" s="24" t="e">
        <x:f>HYPERLINK("https://365nails.com/products/nail-tips-nail-piece-semi-matte-504-pieces-boxed-trapezoidal-almond-fake-nail-patch-transparent-and-seamless-nail-art","Short Clear Matte Soft Gel Nail Tips Mixed Shapes Set (MOQ=3)")</x:f>
        <x:v>HYPERLINK is not implemented. linkLocation=https://365nails.com/products/nail-tips-nail-piece-semi-matte-504-pieces-boxed-trapezoidal-almond-fake-nail-patch-transparent-and-seamless-nail-art, friendlyName=Short Clear Matte Soft Gel Nail Tips Mixed Shapes Set (MOQ=3)</x:v>
      </x:c>
      <x:c r="D2803" s="18" t="str">
        <x:v>Color: YS-101-No Trace-504 Pieces Boxed / YS-102-Traceless-504 piece box / YS-103-No Trace-504 Pieces Boxed / YS-104-No Trace-504 Pieces Boxed / YS-105-No Trace-504 Pieces Boxed / YS-106-No Trace-504 Pieces Boxed / YS-107-No Trace-504 Pieces Boxed / YS-108-No trace-504 pieces boxed / YS-109-No trace-504 pieces boxed / YS-110-No trace-504 pieces boxed / YS-180-No trace-504 pieces boxed / YS-181-No trace-504 pieces boxed / YS-182-Traceless-504 piece box / YS-183-No trace-504 pieces boxed / YS-62-Traceless-240 piece box / YS-63-Traceless-240 piece box / YS-66-Traceless-240 pieces boxed / YS-67-No Trace-240 Pieces Box / YS-69-Traceless-240 pieces boxed / YS-73-No Trace-240 Pieces Box / YS-101-No Trace-240 Pieces Box / YS-102-Traceless-240 piece box / YS-103-No Trace-240 Pieces Box / YS-104-No Trace-240 Pieces Box / YS-105-Traceless-240 piece box / YS-106-Traceless-240 piece box / YS-107-No Trace-240 Pieces Box / YS-108-Traceless-240 piece box / YS-109-Traceless-240 pieces boxed / YS-110-No Trace-240 Pieces Box / YS-180-Traceless-240 piece box / YS-181-Traceless-240 piece box / YS-182-Traceless-240 piece box / YS-183-Traceless-240 piece box / YS-184-Traceless-240 piece box / YS-187-Traceless-240 piece box / YS-189-Traceless-240 piece box / YS-188-Traceless-240 piece box; Quantity: 3pcs</x:v>
      </x:c>
      <x:c r="E2803" s="25" t="str">
        <x:v>$3.00–$5.43</x:v>
      </x:c>
      <x:c r="F2803" s="19" t="str">
        <x:v>1</x:v>
      </x:c>
    </x:row>
    <x:row r="2804" ht="93" customHeight="1">
      <x:c r="A2804" s="19" t="n">
        <x:v>2801</x:v>
      </x:c>
      <x:c r="B2804" s="22" t="e">
        <x:f>HYPERLINK("https://cdn.shopify.com/s/files/1/0918/6066/4603/files/bf79ccbaff142e9a002ce1b9e2f2f7ad.png?v=1755270529","Open")</x:f>
        <x:v>HYPERLINK is not implemented. linkLocation=https://cdn.shopify.com/s/files/1/0918/6066/4603/files/bf79ccbaff142e9a002ce1b9e2f2f7ad.png?v=1755270529, friendlyName=Open</x:v>
      </x:c>
      <x:c r="C2804" s="24" t="e">
        <x:f>HYPERLINK("https://365nails.com/products/nail-tips-nail-plate-semi-sticker-light-sticker-transparent-xxl-water-pipe-nail-500-pieces-boxed-flat-head-fake-nail-extended-patch-nail-art","Long Clear Half Stick Water Pipe Nail Extension Tips (MOQ=3)")</x:f>
        <x:v>HYPERLINK is not implemented. linkLocation=https://365nails.com/products/nail-tips-nail-plate-semi-sticker-light-sticker-transparent-xxl-water-pipe-nail-500-pieces-boxed-flat-head-fake-nail-extended-patch-nail-art, friendlyName=Long Clear Half Stick Water Pipe Nail Extension Tips (MOQ=3)</x:v>
      </x:c>
      <x:c r="D2804" s="18" t="str">
        <x:v>Color: Transparent color - 500 pieces in a bag / Natural color - 500 pieces in a bag / Transparent color - 500 pieces in a box / Natural color - 500 pieces in a box / Traceless transparent color - 500 pieces in a box / Traceless Natural Color - 500 Pieces Boxed / Supplement number 4-7 transparent color bag of 600 pieces; Quantity: 3pcs</x:v>
      </x:c>
      <x:c r="E2804" s="25" t="str">
        <x:v>$6.24–$8.31</x:v>
      </x:c>
      <x:c r="F2804" s="19" t="str">
        <x:v>1</x:v>
      </x:c>
    </x:row>
    <x:row r="2805" ht="93" customHeight="1">
      <x:c r="A2805" s="19" t="n">
        <x:v>2802</x:v>
      </x:c>
      <x:c r="B2805" s="22" t="e">
        <x:f>HYPERLINK("https://cdn.shopify.com/s/files/1/0918/6066/4603/files/9cfe1a133858c0e3dcaaf6a04af4df90.png?v=1755269667","Open")</x:f>
        <x:v>HYPERLINK is not implemented. linkLocation=https://cdn.shopify.com/s/files/1/0918/6066/4603/files/9cfe1a133858c0e3dcaaf6a04af4df90.png?v=1755269667, friendlyName=Open</x:v>
      </x:c>
      <x:c r="C2805" s="24" t="e">
        <x:f>HYPERLINK("https://365nails.com/products/nail-tips-press-on-nails-almond-nail-amazon-popular-red-cats-eye-atmospheric-detachable-nail-piece-boxed-finished-prefabricated-nail-art","Red Cat Eye Short Almond Press On Nails (MOQ=3)")</x:f>
        <x:v>HYPERLINK is not implemented. linkLocation=https://365nails.com/products/nail-tips-press-on-nails-almond-nail-amazon-popular-red-cats-eye-atmospheric-detachable-nail-piece-boxed-finished-prefabricated-nail-art, friendlyName=Red Cat Eye Short Almond Press On Nails (MOQ=3)</x:v>
      </x:c>
      <x:c r="D2805" s="18" t="str">
        <x:v>Color: Red cat's eye wearing armor * 32 pieces; Quantity: 3pcs</x:v>
      </x:c>
      <x:c r="E2805" s="25" t="str">
        <x:v>$2.07</x:v>
      </x:c>
      <x:c r="F2805" s="19" t="str">
        <x:v>1</x:v>
      </x:c>
    </x:row>
    <x:row r="2806" ht="93" customHeight="1">
      <x:c r="A2806" s="19" t="n">
        <x:v>2803</x:v>
      </x:c>
      <x:c r="B2806" s="22" t="e">
        <x:f>HYPERLINK("https://cdn.shopify.com/s/files/1/0918/6066/4603/files/4250bf7108210ca9f4b3f932086c25bb.png?v=1755269624","Open")</x:f>
        <x:v>HYPERLINK is not implemented. linkLocation=https://cdn.shopify.com/s/files/1/0918/6066/4603/files/4250bf7108210ca9f4b3f932086c25bb.png?v=1755269624, friendlyName=Open</x:v>
      </x:c>
      <x:c r="C2806" s="24" t="e">
        <x:f>HYPERLINK("https://365nails.com/products/nail-tips-europe-and-the-united-states-press-on-nails-rectangular-ultra-thin-french-nail-piece-removable-nail-patch-fake-nail-factory-wholesale","French Nude Press On Nail Extensions (MOQ=3)")</x:f>
        <x:v>HYPERLINK is not implemented. linkLocation=https://365nails.com/products/nail-tips-europe-and-the-united-states-press-on-nails-rectangular-ultra-thin-french-nail-piece-removable-nail-patch-fake-nail-factory-wholesale, friendlyName=French Nude Press On Nail Extensions (MOQ=3)</x:v>
      </x:c>
      <x:c r="D2806" s="18" t="str">
        <x:v>Color: 411-3387-1 * 120 tablets / 411-3387-2 * 120 tablets; Quantity: 3pcs</x:v>
      </x:c>
      <x:c r="E2806" s="25" t="str">
        <x:v>$4.17</x:v>
      </x:c>
      <x:c r="F2806" s="19" t="str">
        <x:v>1</x:v>
      </x:c>
    </x:row>
    <x:row r="2807" ht="93" customHeight="1">
      <x:c r="A2807" s="19" t="n">
        <x:v>2804</x:v>
      </x:c>
      <x:c r="B2807" s="22" t="e">
        <x:f>HYPERLINK("https://cdn.shopify.com/s/files/1/0918/6066/4603/files/4866e25456c960feaa6991d4ade4082c.png?v=1755270476","Open")</x:f>
        <x:v>HYPERLINK is not implemented. linkLocation=https://cdn.shopify.com/s/files/1/0918/6066/4603/files/4866e25456c960feaa6991d4ade4082c.png?v=1755270476, friendlyName=Open</x:v>
      </x:c>
      <x:c r="C2807" s="24" t="e">
        <x:f>HYPERLINK("https://365nails.com/products/nail-tips-extended-denim-nail-piece-500-pieces-boxed-xxl-french-fake-nail-patch-transparent-flat-head-non-marking-nail-piece","Extra Long Clear Half Stick Nail Tips (MOQ=3)")</x:f>
        <x:v>HYPERLINK is not implemented. linkLocation=https://365nails.com/products/nail-tips-extended-denim-nail-piece-500-pieces-boxed-xxl-french-fake-nail-patch-transparent-flat-head-non-marking-nail-piece, friendlyName=Extra Long Clear Half Stick Nail Tips (MOQ=3)</x:v>
      </x:c>
      <x:c r="D2807" s="18" t="str">
        <x:v>Color: 164-Transparent 500-PP Bag / 164-Transparent 500-PS Boxed / 164 Traceless-200 Pieces Boxed Transparent Color / 164 Traceless-200 Pieces Boxed Natural Color / Transparent-4-7 Replenishment Pack-600 Piece Bag / Natural Color-No. 4-7 Refill Pack-600 Piece Bag; Quantity: 3pcs</x:v>
      </x:c>
      <x:c r="E2807" s="25" t="str">
        <x:v>$3.54–$8.31</x:v>
      </x:c>
      <x:c r="F2807" s="19" t="str">
        <x:v>1</x:v>
      </x:c>
    </x:row>
    <x:row r="2808" ht="93" customHeight="1">
      <x:c r="A2808" s="19" t="n">
        <x:v>2805</x:v>
      </x:c>
      <x:c r="B2808" s="22" t="e">
        <x:f>HYPERLINK("https://cdn.shopify.com/s/files/1/0918/6066/4603/files/ecfe4ff93a6aaf100424312846a9ca21.png?v=1755269651","Open")</x:f>
        <x:v>HYPERLINK is not implemented. linkLocation=https://cdn.shopify.com/s/files/1/0918/6066/4603/files/ecfe4ff93a6aaf100424312846a9ca21.png?v=1755269651, friendlyName=Open</x:v>
      </x:c>
      <x:c r="C2808" s="24" t="e">
        <x:f>HYPERLINK("https://365nails.com/products/nail-tips-xxxl-plus-rectangular-nail-fake-nails-full-stickers-square-nail-pads-trapezoidal-nail-art-square-head-transparent-nail-pads","Long Clear Nail Extension Tips Professional Set (MOQ=3)")</x:f>
        <x:v>HYPERLINK is not implemented. linkLocation=https://365nails.com/products/nail-tips-xxxl-plus-rectangular-nail-fake-nails-full-stickers-square-nail-pads-trapezoidal-nail-art-square-head-transparent-nail-pads, friendlyName=Long Clear Nail Extension Tips Professional Set (MOQ=3)</x:v>
      </x:c>
      <x:c r="D2808" s="18" t="str">
        <x:v>Color: Bag of 504 Pieces - Transparent Color / Bag of 504 Pieces - Natural Color / Boxed 360 Pieces - Transparent Color / Boxed 360 Pieces - Natural Color; Quantity: 3pcs</x:v>
      </x:c>
      <x:c r="E2808" s="25" t="str">
        <x:v>$6.51–$7.62</x:v>
      </x:c>
      <x:c r="F2808" s="19" t="str">
        <x:v>1</x:v>
      </x:c>
    </x:row>
    <x:row r="2809" ht="93" customHeight="1">
      <x:c r="A2809" s="19" t="n">
        <x:v>2806</x:v>
      </x:c>
      <x:c r="B2809" s="22" t="e">
        <x:f>HYPERLINK("https://cdn.shopify.com/s/files/1/0918/6066/4603/files/6ba5b32c0bd3682f1f41e7a8989afe72.png?v=1755269636","Open")</x:f>
        <x:v>HYPERLINK is not implemented. linkLocation=https://cdn.shopify.com/s/files/1/0918/6066/4603/files/6ba5b32c0bd3682f1f41e7a8989afe72.png?v=1755269636, friendlyName=Open</x:v>
      </x:c>
      <x:c r="C2809" s="24" t="e">
        <x:f>HYPERLINK("https://365nails.com/products/nail-tips-nail-plate-water-pipe-nail-natural-white-500-pieces-french-half-sticker-extended-patch-noc-high-arc-fake-nail","Long White Nail Extension Tips Half Cover Set (MOQ=3)")</x:f>
        <x:v>HYPERLINK is not implemented. linkLocation=https://365nails.com/products/nail-tips-nail-plate-water-pipe-nail-natural-white-500-pieces-french-half-sticker-extended-patch-noc-high-arc-fake-nail, friendlyName=Long White Nail Extension Tips Half Cover Set (MOQ=3)</x:v>
      </x:c>
      <x:c r="D2809" s="18" t="str">
        <x:v>Color classification: 133-Natural White-500 Boxed / 133-Natural White-500 Bags / 133-Transparent color-500 bags / 133-Transparent Color-500 Boxed; Quantity: 3pcs</x:v>
      </x:c>
      <x:c r="E2809" s="25" t="str">
        <x:v>$5.70–$6.24</x:v>
      </x:c>
      <x:c r="F2809" s="19" t="str">
        <x:v>1</x:v>
      </x:c>
    </x:row>
    <x:row r="2810" ht="93" customHeight="1">
      <x:c r="A2810" s="19" t="n">
        <x:v>2807</x:v>
      </x:c>
      <x:c r="B2810" s="22" t="e">
        <x:f>HYPERLINK("https://cdn.shopify.com/s/files/1/0918/6066/4603/files/bc5f1e55293ec1c9d5aa4229914eaf1a.png?v=1755270356","Open")</x:f>
        <x:v>HYPERLINK is not implemented. linkLocation=https://cdn.shopify.com/s/files/1/0918/6066/4603/files/bc5f1e55293ec1c9d5aa4229914eaf1a.png?v=1755270356, friendlyName=Open</x:v>
      </x:c>
      <x:c r="C2810" s="24" t="e">
        <x:f>HYPERLINK("https://365nails.com/products/nail-tips-wear-armor-french-five-color-manicure-fake-nails-prefabricated-nail-seamless-matte-color-nail-patches-150-pieces","Nail Tips French five-color manicure seamless matte color nail patches 150 pieces (MOQ=3)")</x:f>
        <x:v>HYPERLINK is not implemented. linkLocation=https://365nails.com/products/nail-tips-wear-armor-french-five-color-manicure-fake-nails-prefabricated-nail-seamless-matte-color-nail-patches-150-pieces, friendlyName=Nail Tips French five-color manicure seamless matte color nail patches 150 pieces (MOQ=3)</x:v>
      </x:c>
      <x:c r="D2810" s="18" t="str">
        <x:v>Color: 194 * 5 - Boxed / 194 * 5 - bagged / 197 * 5 pieces - boxed / 197 * 5 - bagged / 411 * 5 pieces - boxed / 411 * 5 pieces - bagged; quantity: 3pcs</x:v>
      </x:c>
      <x:c r="E2810" s="25" t="str">
        <x:v>$9.00</x:v>
      </x:c>
      <x:c r="F2810" s="19" t="str">
        <x:v>1</x:v>
      </x:c>
    </x:row>
    <x:row r="2811" ht="93" customHeight="1">
      <x:c r="A2811" s="19" t="n">
        <x:v>2808</x:v>
      </x:c>
      <x:c r="B2811" s="22" t="e">
        <x:f>HYPERLINK("https://cdn.shopify.com/s/files/1/0918/6066/4603/files/8eae4148122b6479791fb70dfc030455.png?v=1755269541","Open")</x:f>
        <x:v>HYPERLINK is not implemented. linkLocation=https://cdn.shopify.com/s/files/1/0918/6066/4603/files/8eae4148122b6479791fb70dfc030455.png?v=1755269541, friendlyName=Open</x:v>
      </x:c>
      <x:c r="C2811" s="24" t="e">
        <x:f>HYPERLINK("https://365nails.com/products/nail-tips-press-on-nails-pads-96-pieces-seamless-ultra-thin-almond-fake-nail-patches-removable-fully-transparent-matte-extended-manicure","Clear Press On Nail Tips Sculpted Shape (MOQ=3)")</x:f>
        <x:v>HYPERLINK is not implemented. linkLocation=https://365nails.com/products/nail-tips-press-on-nails-pads-96-pieces-seamless-ultra-thin-almond-fake-nail-patches-removable-fully-transparent-matte-extended-manicure, friendlyName=Clear Press On Nail Tips Sculpted Shape (MOQ=3)</x:v>
      </x:c>
      <x:c r="D2811" s="18" t="str">
        <x:v>Color: YS-62 * 96 pieces / YS-63 * 96 pieces / YS-67 * 96 pieces / YS-73 * 96 pieces / YS-101 * 96 pieces / YS-102 * 96 pieces / YS-103 * 96 pieces / YS-104 * 96 pieces / YS-105 * 96 pieces / YS-106 * 96 pieces / YS-107 * 96 pieces / YS-108 * 96 pieces / YS-109 * 96 pieces / YS-174 * 96 pieces / YS-175 * 96 pieces; Quantity: 3pcs</x:v>
      </x:c>
      <x:c r="E2811" s="25" t="str">
        <x:v>$1.83</x:v>
      </x:c>
      <x:c r="F2811" s="19" t="str">
        <x:v>1</x:v>
      </x:c>
    </x:row>
    <x:row r="2812" ht="93" customHeight="1">
      <x:c r="A2812" s="19" t="n">
        <x:v>2809</x:v>
      </x:c>
      <x:c r="B2812" s="22" t="e">
        <x:f>HYPERLINK("https://cdn.shopify.com/s/files/1/0918/6066/4603/files/52c9f446554df65fd47e06ce041b86df.png?v=1755268888","Open")</x:f>
        <x:v>HYPERLINK is not implemented. linkLocation=https://cdn.shopify.com/s/files/1/0918/6066/4603/files/52c9f446554df65fd47e06ce041b86df.png?v=1755268888, friendlyName=Open</x:v>
      </x:c>
      <x:c r="C2812" s="24" t="e">
        <x:f>HYPERLINK("https://365nails.com/products/nail-tips-transparent-semi-matte-nail-art-special-nail-piece-for-press-on-nails-piece-no-trace-240-pieces-broken-piece-box-full-sticker-matte-fake-nail","Clear Seamless Press On Nail Tips Set (MOQ=3)")</x:f>
        <x:v>HYPERLINK is not implemented. linkLocation=https://365nails.com/products/nail-tips-transparent-semi-matte-nail-art-special-nail-piece-for-press-on-nails-piece-no-trace-240-pieces-broken-piece-box-full-sticker-matte-fake-nail, friendlyName=Clear Seamless Press On Nail Tips Set (MOQ=3)</x:v>
      </x:c>
      <x:c r="D2812" s="18" t="str">
        <x:v>Color: 101-Almond-240 pieces in a box / 102-Short Ballet-240 Pieces Box / 103-Short Water Drops-240 Pieces Boxed / 104-Little Fat Round-240 Pieces Boxed / 105-Long Oval-240 Piece Box / 106-Square-240 piece box / 107-Long Ballet-240 Pieces Box / 108-Long Oval-240 Piece Box / 109-Whole Sand Almonds-240 Pieces Boxed / 110-Long Water Drops-240 Pieces Box / 174-Super Short Ladder-240 Pieces Boxed / 175-Extra Short Almonds-240 Pieces Boxed / 180-Half sand square-240 pieces boxed / 181-Half Sand Ballet-240 Pieces Box / 182-Half sand long water droplets-240 pieces boxed / 183-Long Almonds-240 Pieces Boxed / 184-Half Sand Short Ballet-240 Pieces Box / 401-Full Sand Short Ladder-240 Pieces Boxed / 402-Half sand new short ladder-240 pieces boxed / 188-Japanese Small Short Square-240 Pieces Boxed / 187 Half Sand Almonds - 240 Pieces Boxed / 189-Half sand plus rectangle-240 pieces boxed; Quantity: 3pcs</x:v>
      </x:c>
      <x:c r="E2812" s="25" t="str">
        <x:v>$3.00</x:v>
      </x:c>
      <x:c r="F2812" s="19" t="str">
        <x:v>1</x:v>
      </x:c>
    </x:row>
    <x:row r="2813" ht="93" customHeight="1">
      <x:c r="A2813" s="19" t="n">
        <x:v>2810</x:v>
      </x:c>
      <x:c r="B2813" s="22" t="e">
        <x:f>HYPERLINK("https://cdn.shopify.com/s/files/1/0918/6066/4603/files/e6a04d872605e13314f88d8388e99c74.png?v=1755268877","Open")</x:f>
        <x:v>HYPERLINK is not implemented. linkLocation=https://cdn.shopify.com/s/files/1/0918/6066/4603/files/e6a04d872605e13314f88d8388e99c74.png?v=1755268877, friendlyName=Open</x:v>
      </x:c>
      <x:c r="C2813" s="24" t="e">
        <x:f>HYPERLINK("https://365nails.com/products/nail-tips-semi-stick-water-pipe-nail-piece-french-c-arc-false-nail-press-on-nails-patch-extended-square-head-c-type-water-pipe-nail","C-Shape Extended Nail Tip Set (MOQ=3)")</x:f>
        <x:v>HYPERLINK is not implemented. linkLocation=https://365nails.com/products/nail-tips-semi-stick-water-pipe-nail-piece-french-c-arc-false-nail-press-on-nails-patch-extended-square-head-c-type-water-pipe-nail, friendlyName=C-Shape Extended Nail Tip Set (MOQ=3)</x:v>
      </x:c>
      <x:c r="D2813" s="18" t="str">
        <x:v>shape: 20-L-Transparent-500 piece bag / 20-L-Natural-500 Piece Bag / 20-L-Transparent-500 piece box / 20-L-Nature-500 Piece Box; Quantity: 3pcs</x:v>
      </x:c>
      <x:c r="E2813" s="25" t="str">
        <x:v>$4.11–$5.16</x:v>
      </x:c>
      <x:c r="F2813" s="19" t="str">
        <x:v>1</x:v>
      </x:c>
    </x:row>
    <x:row r="2814" ht="93" customHeight="1">
      <x:c r="A2814" s="19" t="n">
        <x:v>2811</x:v>
      </x:c>
      <x:c r="B2814" s="22" t="e">
        <x:f>HYPERLINK("https://cdn.shopify.com/s/files/1/0918/6066/4603/files/ae213fa958d047abf1cb95c9c273c5b2.png?v=1755268872","Open")</x:f>
        <x:v>HYPERLINK is not implemented. linkLocation=https://cdn.shopify.com/s/files/1/0918/6066/4603/files/ae213fa958d047abf1cb95c9c273c5b2.png?v=1755268872, friendlyName=Open</x:v>
      </x:c>
      <x:c r="C2814" s="24" t="e">
        <x:f>HYPERLINK("https://365nails.com/products/nail-tips-long-ballet-nail-piece-french-full-sticker-ballet-fake-nail-piece-new-extended-transparent-folded-seamless-ballet-nail","Extended Ballet Style Nail Tip Collection (MOQ=3)")</x:f>
        <x:v>HYPERLINK is not implemented. linkLocation=https://365nails.com/products/nail-tips-long-ballet-nail-piece-french-full-sticker-ballet-fake-nail-piece-new-extended-transparent-folded-seamless-ballet-nail, friendlyName=Extended Ballet Style Nail Tip Collection (MOQ=3)</x:v>
      </x:c>
      <x:c r="D2814" s="18" t="str">
        <x:v>Color: 63-Traceless Transparent-504 Pieces Boxed / 63-Traceless Transparent-504 Piece Bag / 63-Traceless Natural-504 Bags / 63-Traceless Natural-504 Boxed / 69-Traceless Transparent-504 Piece Bag / 69-Traceless Transparent-504 Pieces Boxed / 69-Traceless Natural-504 Piece Bag / 69-Traceless Natural-504 Pieces Boxed / 111-Transparent-360 piece box / 111-Transparent-504 piece bag / 111-Nature-360 piece box / 111-Nature-504 Piece Bag / 124-Transparent-120 piece box / 124-Transparent-120 piece bag / 124-Nature-120 Piece Box / 124-Nature-120 piece bag / 134-Transparent-300 piece box / 134-Transparent-360 piece bag / 134-Nature-300 piece box / 134-Nature-360 piece bag; Quantity: 3pcs</x:v>
      </x:c>
      <x:c r="E2814" s="25" t="str">
        <x:v>$4.65–$7.05</x:v>
      </x:c>
      <x:c r="F2814" s="19" t="str">
        <x:v>1</x:v>
      </x:c>
    </x:row>
    <x:row r="2815" ht="93" customHeight="1">
      <x:c r="A2815" s="19" t="n">
        <x:v>2812</x:v>
      </x:c>
      <x:c r="B2815" s="22" t="e">
        <x:f>HYPERLINK("https://cdn.shopify.com/s/files/1/0918/6066/4603/files/c2bd5dde46c1c1453b88a2add3c11b2e.png?v=1755268723","Open")</x:f>
        <x:v>HYPERLINK is not implemented. linkLocation=https://cdn.shopify.com/s/files/1/0918/6066/4603/files/c2bd5dde46c1c1453b88a2add3c11b2e.png?v=1755268723, friendlyName=Open</x:v>
      </x:c>
      <x:c r="C2815" s="24" t="e">
        <x:f>HYPERLINK("https://365nails.com/products/nail-tips-semi-matte-nail-pads-water-drop-nail-pads-504-pieces-boxed-non-engraving-and-grinding-ultra-thin-and-non-marking-fake-nail-patches-nail-pads","Semi-Matte Clear Stiletto Nail Tip Set (MOQ=3)")</x:f>
        <x:v>HYPERLINK is not implemented. linkLocation=https://365nails.com/products/nail-tips-semi-matte-nail-pads-water-drop-nail-pads-504-pieces-boxed-non-engraving-and-grinding-ultra-thin-and-non-marking-fake-nail-patches-nail-pads, friendlyName=Semi-Matte Clear Stiletto Nail Tip Set (MOQ=3)</x:v>
      </x:c>
      <x:c r="D2815" s="18" t="str">
        <x:v>Color: YS-182-Traceless-504 piece box; Quantity: 3pcs</x:v>
      </x:c>
      <x:c r="E2815" s="25" t="str">
        <x:v>$5.16</x:v>
      </x:c>
      <x:c r="F2815" s="19" t="str">
        <x:v>1</x:v>
      </x:c>
    </x:row>
    <x:row r="2816" ht="93" customHeight="1">
      <x:c r="A2816" s="19" t="n">
        <x:v>2813</x:v>
      </x:c>
      <x:c r="B2816" s="22" t="e">
        <x:f>HYPERLINK("https://cdn.shopify.com/s/files/1/0918/6066/4603/files/fb05f30d12771705a5cf8713a8fe5579.png?v=1755268045","Open")</x:f>
        <x:v>HYPERLINK is not implemented. linkLocation=https://cdn.shopify.com/s/files/1/0918/6066/4603/files/fb05f30d12771705a5cf8713a8fe5579.png?v=1755268045, friendlyName=Open</x:v>
      </x:c>
      <x:c r="C2816" s="24" t="e">
        <x:f>HYPERLINK("https://365nails.com/products/nail-tips-hot-selling-french-style-armor-simple-spray-oil-shiny-patch-manicure-removable-trapezoidal-nail-piece-120-pieces-in-a-box","French Style Natural Wearable Press On Nails (MOQ=3)")</x:f>
        <x:v>HYPERLINK is not implemented. linkLocation=https://365nails.com/products/nail-tips-hot-selling-french-style-armor-simple-spray-oil-shiny-patch-manicure-removable-trapezoidal-nail-piece-120-pieces-in-a-box, friendlyName=French Style Natural Wearable Press On Nails (MOQ=3)</x:v>
      </x:c>
      <x:c r="D2816" s="18" t="str">
        <x:v>Color: 193-61D * 120 pieces/4 boxes / 193-359 * 120 pieces/4 boxes / 193-390-2 * 120 pieces/4 boxes / 193-442 * 120 pieces/4 boxes / 193-3387 * 120 pieces/4 boxes / 193-3391 * 120 pieces/4 boxes / 193-C2 * 120 pieces/4 boxes / 193-61D * 120 pieces/4 bags / 193-359 * 120 pieces/4 bags / 193-390-2 * 120 pieces/4 bags / 193-442 * 120 pieces/4 bags / 193-3387 * 120 pieces/4 bags / 193-3391 * 120 pieces/4 bags / 193-C2 * 120 pieces/4 bags / 192-359 * 120 pieces/4 boxes / 192-390-2 * 120 pieces/4 boxes / 192-442 * 120 pieces/4 boxes / 192-3391-1 * 120 pieces/4 boxes / 192-C2 * 120 pieces/4 boxes / 405-359 * 120 pieces/4 boxes / 405-390-2 * 120 pieces/4 boxes / 405-3387 * 120 pieces/4 boxes / 405-442 * 120 pieces/4 boxes / 405-3391-1 * 120 pieces/4 boxes / 405-C2 * 120 pieces/4 boxes / 431-442 * 120 pieces/4 boxes thickened / 431-359 * 120 pieces/4 boxes thickened / 431-3391-1 * 120 pieces/4 boxes thickened / 431-61D-014 * 120 pieces/4 boxes thickened / 431-3387 * 120 pieces/4 boxes thickened / 431-C2 * 120 pieces/4 boxes thickened / 432-61D * 120 pieces/4 boxes thickened / 432-359 * 120 pieces/4 boxes thickened / 432-390-2 * 120 pieces/4 boxes thickened / 432-442 * 120 pieces/4 boxes thickened / 432-C2 * 120 pieces/4 boxes thickened / 434-359 * 120 pieces/4 boxes thickened / 434-3391-1 * 120 pieces/4 boxes thickened / 434-61D-014 * 120 pieces/4 boxes thickened / 434-390-2 * 120 pieces/4 boxes thickened / 434-442 * 120 pieces/4 boxes thickened / 434-C2 * 120 pieces/4 boxes thickened; Quantity: 3pcs</x:v>
      </x:c>
      <x:c r="E2816" s="25" t="str">
        <x:v>$4.65–$6.45</x:v>
      </x:c>
      <x:c r="F2816" s="19" t="str">
        <x:v>1</x:v>
      </x:c>
    </x:row>
    <x:row r="2817" ht="93" customHeight="1">
      <x:c r="A2817" s="19" t="n">
        <x:v>2814</x:v>
      </x:c>
      <x:c r="B2817" s="22" t="e">
        <x:f>HYPERLINK("https://cdn.shopify.com/s/files/1/0918/6066/4603/files/5a555b8154c95b90923ca2d4d65dd6eb.png?v=1755268492","Open")</x:f>
        <x:v>HYPERLINK is not implemented. linkLocation=https://cdn.shopify.com/s/files/1/0918/6066/4603/files/5a555b8154c95b90923ca2d4d65dd6eb.png?v=1755268492, friendlyName=Open</x:v>
      </x:c>
      <x:c r="C2817" s="24" t="e">
        <x:f>HYPERLINK("https://365nails.com/products/nail-tips-special-nail-pads-for-press-on-nails-200-pcs-without-engraving-and-grinding-standard-size-sub-size-patch-fake-nail-manicure","Clear Natural Curvature Nail Tip Set (MOQ=3)")</x:f>
        <x:v>HYPERLINK is not implemented. linkLocation=https://365nails.com/products/nail-tips-special-nail-pads-for-press-on-nails-200-pcs-without-engraving-and-grinding-standard-size-sub-size-patch-fake-nail-manicure, friendlyName=Clear Natural Curvature Nail Tip Set (MOQ=3)</x:v>
      </x:c>
      <x:c r="D2817" s="18" t="str">
        <x:v>shape: 191 short ellipse / 192 Keystone / 193 short trapezoid / 194 Almond Nail / 199-2 Japanese Short Fat Oval / 401 short ladder / 195 short round / 197 short square / 404 Short Ballet; size: XS / S / M / L; Quantity: 3pcs</x:v>
      </x:c>
      <x:c r="E2817" s="25" t="str">
        <x:v>$2.73</x:v>
      </x:c>
      <x:c r="F2817" s="19" t="str">
        <x:v>1</x:v>
      </x:c>
    </x:row>
    <x:row r="2818" ht="93" customHeight="1">
      <x:c r="A2818" s="19" t="n">
        <x:v>2815</x:v>
      </x:c>
      <x:c r="B2818" s="22" t="e">
        <x:f>HYPERLINK("https://cdn.shopify.com/s/files/1/0918/6066/4603/files/bc42beaeb149b2009bfc292730b275a5.png?v=1755268005","Open")</x:f>
        <x:v>HYPERLINK is not implemented. linkLocation=https://cdn.shopify.com/s/files/1/0918/6066/4603/files/bc42beaeb149b2009bfc292730b275a5.png?v=1755268005, friendlyName=Open</x:v>
      </x:c>
      <x:c r="C2818" s="24" t="e">
        <x:f>HYPERLINK("https://365nails.com/products/nail-tips-new-press-on-nails-french-ultra-thin-short-square-false-nails-32-pieces-simple-removable-extension-patch-nail-art","Natural Nude Press On Nail Set (MOQ=3)")</x:f>
        <x:v>HYPERLINK is not implemented. linkLocation=https://365nails.com/products/nail-tips-new-press-on-nails-french-ultra-thin-short-square-false-nails-32-pieces-simple-removable-extension-patch-nail-art, friendlyName=Natural Nude Press On Nail Set (MOQ=3)</x:v>
      </x:c>
      <x:c r="D2818" s="18" t="str">
        <x:v>Color: 515-61D-014 / 515-359 / 515-390-2 / 515-442 / 515-3391-1 / 515-C2; Quantity: 3pcs</x:v>
      </x:c>
      <x:c r="E2818" s="25" t="str">
        <x:v>$2.61</x:v>
      </x:c>
      <x:c r="F2818" s="19" t="str">
        <x:v>1</x:v>
      </x:c>
    </x:row>
    <x:row r="2819" ht="93" customHeight="1">
      <x:c r="A2819" s="19" t="n">
        <x:v>2816</x:v>
      </x:c>
      <x:c r="B2819" s="22" t="e">
        <x:f>HYPERLINK("https://cdn.shopify.com/s/files/1/0918/6066/4603/files/7684407fd061dbc9f4672b2bea8d3865.png?v=1755268068","Open")</x:f>
        <x:v>HYPERLINK is not implemented. linkLocation=https://cdn.shopify.com/s/files/1/0918/6066/4603/files/7684407fd061dbc9f4672b2bea8d3865.png?v=1755268068, friendlyName=Open</x:v>
      </x:c>
      <x:c r="C2819" s="24" t="e">
        <x:f>HYPERLINK("https://365nails.com/products/nail-tips-nail-pads-lengthened-xxl-not-c-denim-armor-200-pcs-boxed-seamless-transparent-french-semi-sticker-fake-nails-wholesale","Straight Square Nail Extension Tip Set (MOQ=3)")</x:f>
        <x:v>HYPERLINK is not implemented. linkLocation=https://365nails.com/products/nail-tips-nail-pads-lengthened-xxl-not-c-denim-armor-200-pcs-boxed-seamless-transparent-french-semi-sticker-fake-nails-wholesale, friendlyName=Straight Square Nail Extension Tip Set (MOQ=3)</x:v>
      </x:c>
      <x:c r="D2819" s="18" t="str">
        <x:v>Color: 200 pieces - seamless transparent color / 200 pieces - transparent color / 200 pieces - natural color; Quantity: 3pcs</x:v>
      </x:c>
      <x:c r="E2819" s="25" t="str">
        <x:v>$2.73–$3.54</x:v>
      </x:c>
      <x:c r="F2819" s="19" t="str">
        <x:v>1</x:v>
      </x:c>
    </x:row>
    <x:row r="2820" ht="93" customHeight="1">
      <x:c r="A2820" s="19" t="n">
        <x:v>2817</x:v>
      </x:c>
      <x:c r="B2820" s="22" t="e">
        <x:f>HYPERLINK("https://cdn.shopify.com/s/files/1/0918/6066/4603/files/3239db2912e197f4c5a028e7b42c7f33.png?v=1755268061","Open")</x:f>
        <x:v>HYPERLINK is not implemented. linkLocation=https://cdn.shopify.com/s/files/1/0918/6066/4603/files/3239db2912e197f4c5a028e7b42c7f33.png?v=1755268061, friendlyName=Open</x:v>
      </x:c>
      <x:c r="C2820" s="24" t="e">
        <x:f>HYPERLINK("https://365nails.com/products/nail-tips-nail-mold-crystal-without-paper-holder-rapid-phototherapy-60-nail-extension-tablets-bagged-with-graduated-nail-film-wholesale","Clear Nail Extension Mold Tip Set (MOQ=10)")</x:f>
        <x:v>HYPERLINK is not implemented. linkLocation=https://365nails.com/products/nail-tips-nail-mold-crystal-without-paper-holder-rapid-phototherapy-60-nail-extension-tablets-bagged-with-graduated-nail-film-wholesale, friendlyName=Clear Nail Extension Mold Tip Set (MOQ=10)</x:v>
      </x:c>
      <x:c r="D2820" s="18" t="str">
        <x:v>Color: JM-1 * 60 tablets / JM-2 * 60 tablets / JM-4 * 60 tablets / JM-5 * 60 tablets / JM-6 * 60 tablets / JM-7 * 60 tablets / JM-8 * 60 tablets / JM-9 * 60 tablets / JM-10 * 60 tablets / JM-11 * 60 tablets / JM-14 * 60 tablets / JM-15 * 60 pieces / JM-16 * 60 pieces; Quantity: 10pcs</x:v>
      </x:c>
      <x:c r="E2820" s="25" t="str">
        <x:v>$2.90</x:v>
      </x:c>
      <x:c r="F2820" s="19" t="str">
        <x:v>1</x:v>
      </x:c>
    </x:row>
    <x:row r="2821" ht="93" customHeight="1">
      <x:c r="A2821" s="19" t="n">
        <x:v>2818</x:v>
      </x:c>
      <x:c r="B2821" s="22" t="e">
        <x:f>HYPERLINK("https://cdn.shopify.com/s/files/1/0918/6066/4603/files/bfbbc2bb2f006602ebc2469711b1bce3.png?v=1755267958","Open")</x:f>
        <x:v>HYPERLINK is not implemented. linkLocation=https://cdn.shopify.com/s/files/1/0918/6066/4603/files/bfbbc2bb2f006602ebc2469711b1bce3.png?v=1755267958, friendlyName=Open</x:v>
      </x:c>
      <x:c r="C2821" s="24" t="e">
        <x:f>HYPERLINK("https://365nails.com/products/nail-tips-europe-and-the-united-states-popular-solid-color-press-on-nails-advanced-sense-versatile-patch-nail-art-short-oval-removable-fake-nail-piece-wholesale","Solid Color Press On Nail Armor Set (MOQ=3)")</x:f>
        <x:v>HYPERLINK is not implemented. linkLocation=https://365nails.com/products/nail-tips-europe-and-the-united-states-popular-solid-color-press-on-nails-advanced-sense-versatile-patch-nail-art-short-oval-removable-fake-nail-piece-wholesale, friendlyName=Solid Color Press On Nail Armor Set (MOQ=3)</x:v>
      </x:c>
      <x:c r="D2821" s="18" t="str">
        <x:v>Color: YS-510-107-003 / YS-510-2401870 / YS-510-1630 / YS-510-1174 / YS-510-5469337 / YS-510-2400205 / YS-510-010BSF-E29-1 / YS-510-5472161 / YS-510-5468240 / YS-510-168-15; Quantity: 3pcs</x:v>
      </x:c>
      <x:c r="E2821" s="25" t="str">
        <x:v>$2.46</x:v>
      </x:c>
      <x:c r="F2821" s="19" t="str">
        <x:v>1</x:v>
      </x:c>
    </x:row>
    <x:row r="2822" ht="93" customHeight="1">
      <x:c r="A2822" s="19" t="n">
        <x:v>2819</x:v>
      </x:c>
      <x:c r="B2822" s="22" t="e">
        <x:f>HYPERLINK("https://cdn.shopify.com/s/files/1/0918/6066/4603/files/69ccb0b5d252c6f9e689167eb0dd27b0.png?v=1755266986","Open")</x:f>
        <x:v>HYPERLINK is not implemented. linkLocation=https://cdn.shopify.com/s/files/1/0918/6066/4603/files/69ccb0b5d252c6f9e689167eb0dd27b0.png?v=1755266986, friendlyName=Open</x:v>
      </x:c>
      <x:c r="C2822" s="24" t="e">
        <x:f>HYPERLINK("https://365nails.com/products/nail-tips-new-non-marking-semi-matte-coarse-sand-almond-short-almond-nail-piece-manicure-fake-nail-extension-nail-piece-120-pieces","Semi-Matte Clear Press On Nail Tips (MOQ=3)")</x:f>
        <x:v>HYPERLINK is not implemented. linkLocation=https://365nails.com/products/nail-tips-new-non-marking-semi-matte-coarse-sand-almond-short-almond-nail-piece-manicure-fake-nail-extension-nail-piece-120-pieces, friendlyName=Semi-Matte Clear Press On Nail Tips (MOQ=3)</x:v>
      </x:c>
      <x:c r="D2822" s="18" t="str">
        <x:v>Color: 610-120 piece box / 610-240 pieces in a box / 611-120 piece box / 611-240 pieces in a box; Quantity: 3pcs</x:v>
      </x:c>
      <x:c r="E2822" s="25" t="str">
        <x:v>$1.92–$3.00</x:v>
      </x:c>
      <x:c r="F2822" s="19" t="str">
        <x:v>1</x:v>
      </x:c>
    </x:row>
    <x:row r="2823" ht="93" customHeight="1">
      <x:c r="A2823" s="19" t="n">
        <x:v>2820</x:v>
      </x:c>
      <x:c r="B2823" s="22" t="e">
        <x:f>HYPERLINK("https://cdn.shopify.com/s/files/1/0918/6066/4603/files/ff2172780fbda0aa87671465af64b864.png?v=1755267062","Open")</x:f>
        <x:v>HYPERLINK is not implemented. linkLocation=https://cdn.shopify.com/s/files/1/0918/6066/4603/files/ff2172780fbda0aa87671465af64b864.png?v=1755267062, friendlyName=Open</x:v>
      </x:c>
      <x:c r="C2823" s="24" t="e">
        <x:f>HYPERLINK("https://365nails.com/products/nail-tips-nail-pads-long-styles-full-stickers-transparent-pointed-pieces-light-folds-and-no-marks-water-drop-nail-patches-fake-nails-wholesale","Extended Water Drop Nail Tip Set (MOQ=3)")</x:f>
        <x:v>HYPERLINK is not implemented. linkLocation=https://365nails.com/products/nail-tips-nail-pads-long-styles-full-stickers-transparent-pointed-pieces-light-folds-and-no-marks-water-drop-nail-patches-fake-nails-wholesale, friendlyName=Extended Water Drop Nail Tip Set (MOQ=3)</x:v>
      </x:c>
      <x:c r="D2823" s="18" t="str">
        <x:v>Color: 66-XL-Traceless Transparent-504 Piece Bag / 66-XL-Traceless Transparent-504 Pieces Boxed / 78-L-Traceless Transparent-504 Piece Bag / 78-L-Traceless Transparent-504 Pieces Boxed / 78-L-Traceless Natural-504 Piece Bag / 78-L-Traceless Nature-504 Pieces Boxed / 112-XXL-Traceless Transparent-360 Pieces Box / 112-XXL-Traceless Transparent-504 Piece Bag / 130-XXXL-Transparent-504 Piece Box / 130-XXXL-Transparent-504 piece bag / 130-XXXL-Natural-504 Piece Bag; Quantity: 3pcs</x:v>
      </x:c>
      <x:c r="E2823" s="25" t="str">
        <x:v>$4.38–$7.62</x:v>
      </x:c>
      <x:c r="F2823" s="19" t="str">
        <x:v>1</x:v>
      </x:c>
    </x:row>
    <x:row r="2824" ht="93" customHeight="1">
      <x:c r="A2824" s="19" t="n">
        <x:v>2821</x:v>
      </x:c>
      <x:c r="B2824" s="22" t="e">
        <x:f>HYPERLINK("https://cdn.shopify.com/s/files/1/0918/6066/4603/files/4ab1b282ab157b8e7afa5a39a1e05b02.png?v=1755267038","Open")</x:f>
        <x:v>HYPERLINK is not implemented. linkLocation=https://cdn.shopify.com/s/files/1/0918/6066/4603/files/4ab1b282ab157b8e7afa5a39a1e05b02.png?v=1755267038, friendlyName=Open</x:v>
      </x:c>
      <x:c r="C2824" s="24" t="e">
        <x:f>HYPERLINK("https://365nails.com/products/nail-tips-nail-lengthened-french-550-pieces-boxed-square-transparent-semi-sticker-high-arc-flat-head-water-pipe-nail-fake-nail","Clear Straight Square Nail Extension Tips (MOQ=3)")</x:f>
        <x:v>HYPERLINK is not implemented. linkLocation=https://365nails.com/products/nail-tips-nail-lengthened-french-550-pieces-boxed-square-transparent-semi-sticker-high-arc-flat-head-water-pipe-nail-fake-nail, friendlyName=Clear Straight Square Nail Extension Tips (MOQ=3)</x:v>
      </x:c>
      <x:c r="D2824" s="18" t="str">
        <x:v>Color: Natural white 550 piece bag / Transparent color 550 pieces bag / Box of 550 pieces - transparent color / Box of 550 Pieces - Natural Color; Quantity: 3pcs</x:v>
      </x:c>
      <x:c r="E2824" s="25" t="str">
        <x:v>$6.51–$7.89</x:v>
      </x:c>
      <x:c r="F2824" s="19" t="str">
        <x:v>1</x:v>
      </x:c>
    </x:row>
    <x:row r="2825" ht="93" customHeight="1">
      <x:c r="A2825" s="19" t="n">
        <x:v>2822</x:v>
      </x:c>
      <x:c r="B2825" s="22" t="e">
        <x:f>HYPERLINK("https://cdn.shopify.com/s/files/1/0918/6066/4603/files/O1CN01mDnrU6247bUmf1z4Z__2209064737344-0-cib.jpg?v=1755267025","Open")</x:f>
        <x:v>HYPERLINK is not implemented. linkLocation=https://cdn.shopify.com/s/files/1/0918/6066/4603/files/O1CN01mDnrU6247bUmf1z4Z__2209064737344-0-cib.jpg?v=1755267025, friendlyName=Open</x:v>
      </x:c>
      <x:c r="C2825" s="24" t="e">
        <x:f>HYPERLINK("https://365nails.com/products/nail-tips-hand-worn-nail-pads-transparent-and-seamless-full-frosted-nail-pads-full-size-nail-pads-15-sample-bags-patch-nail-art","Sample Matte Clear Short Press On Nail Tips (MOQ=3)")</x:f>
        <x:v>HYPERLINK is not implemented. linkLocation=https://365nails.com/products/nail-tips-hand-worn-nail-pads-transparent-and-seamless-full-frosted-nail-pads-full-size-nail-pads-15-sample-bags-patch-nail-art, friendlyName=Sample Matte Clear Short Press On Nail Tips (MOQ=3)</x:v>
      </x:c>
      <x:c r="D2825" s="18" t="str">
        <x:v>Color: 191~ 405 mixed, 1 each, a total of 15 (samples); Quantity: 3pcs</x:v>
      </x:c>
      <x:c r="E2825" s="25" t="str">
        <x:v>$5.43</x:v>
      </x:c>
      <x:c r="F2825" s="19" t="str">
        <x:v>1</x:v>
      </x:c>
    </x:row>
    <x:row r="2826" ht="93" customHeight="1">
      <x:c r="A2826" s="19" t="n">
        <x:v>2823</x:v>
      </x:c>
      <x:c r="B2826" s="22" t="e">
        <x:f>HYPERLINK("https://cdn.shopify.com/s/files/1/0918/6066/4603/files/045262f83142b77ddff53e284cca49c7.png?v=1756540172","Open")</x:f>
        <x:v>HYPERLINK is not implemented. linkLocation=https://cdn.shopify.com/s/files/1/0918/6066/4603/files/045262f83142b77ddff53e284cca49c7.png?v=1756540172, friendlyName=Open</x:v>
      </x:c>
      <x:c r="C2826" s="24" t="e">
        <x:f>HYPERLINK("https://365nails.com/products/nail-tips-press-on-nails-toenail-gradual-change-wear-foot-nail-patch-spray-oil-prefabricated-manicure-120-pieces-fake-nail-piece","Natural Pink Press On Toenail Set (MOQ=3)")</x:f>
        <x:v>HYPERLINK is not implemented. linkLocation=https://365nails.com/products/nail-tips-press-on-nails-toenail-gradual-change-wear-foot-nail-patch-spray-oil-prefabricated-manicure-120-pieces-fake-nail-piece, friendlyName=Natural Pink Press On Toenail Set (MOQ=3)</x:v>
      </x:c>
      <x:c r="D2826" s="18" t="str">
        <x:v>Color: YS-406-61D-014 / YS-406-359 / YS-406-442 / YS-406-3387-New 1 / YS-406-C2; Quantity: 3pcs</x:v>
      </x:c>
      <x:c r="E2826" s="25" t="str">
        <x:v>$4.65</x:v>
      </x:c>
      <x:c r="F2826" s="19" t="str">
        <x:v>1</x:v>
      </x:c>
    </x:row>
    <x:row r="2827" ht="93" customHeight="1">
      <x:c r="A2827" s="19" t="n">
        <x:v>2824</x:v>
      </x:c>
      <x:c r="B2827" s="22" t="e">
        <x:f>HYPERLINK("https://cdn.shopify.com/s/files/1/0918/6066/4603/files/36e83829ac384443ad4de7a0b774f3df.png?v=1755266262","Open")</x:f>
        <x:v>HYPERLINK is not implemented. linkLocation=https://cdn.shopify.com/s/files/1/0918/6066/4603/files/36e83829ac384443ad4de7a0b774f3df.png?v=1755266262, friendlyName=Open</x:v>
      </x:c>
      <x:c r="C2827" s="24" t="e">
        <x:f>HYPERLINK("https://365nails.com/products/nail-tips-special-matte-nail-pads-for-nail-salons-full-number-seamless-short-almond-short-round-nail-120-pcs-bagged-patch-nail-pads","Matte Seamless Press On Nail Tips (MOQ=3)")</x:f>
        <x:v>HYPERLINK is not implemented. linkLocation=https://365nails.com/products/nail-tips-special-matte-nail-pads-for-nail-salons-full-number-seamless-short-almond-short-round-nail-120-pcs-bagged-patch-nail-pads, friendlyName=Matte Seamless Press On Nail Tips (MOQ=3)</x:v>
      </x:c>
      <x:c r="D2827" s="18" t="str">
        <x:v>Color: 419 Short Almonds * 120 Tablets / 421 short round * 120 pieces / 420 square meters * 120 pieces; Quantity: 3pcs</x:v>
      </x:c>
      <x:c r="E2827" s="25" t="str">
        <x:v>$2.19</x:v>
      </x:c>
      <x:c r="F2827" s="19" t="str">
        <x:v>1</x:v>
      </x:c>
    </x:row>
    <x:row r="2828" ht="93" customHeight="1">
      <x:c r="A2828" s="19" t="n">
        <x:v>2825</x:v>
      </x:c>
      <x:c r="B2828" s="22" t="e">
        <x:f>HYPERLINK("https://cdn.shopify.com/s/files/1/0918/6066/4603/files/a1f3a42c1b3518c33a45d3d55afc6e0f.png?v=1755266101","Open")</x:f>
        <x:v>HYPERLINK is not implemented. linkLocation=https://cdn.shopify.com/s/files/1/0918/6066/4603/files/a1f3a42c1b3518c33a45d3d55afc6e0f.png?v=1755266101, friendlyName=Open</x:v>
      </x:c>
      <x:c r="C2828" s="24" t="e">
        <x:f>HYPERLINK("https://365nails.com/products/nail-tips-hot-selling-nail-pieces-frosted-french-no-carving-and-grinding-nail-patches-prefabricated-nail-120-pieces-false-nail-wholesale","Nail Tips hot-selling nail pieces Frosted French, no-carving and grinding nail patches Prefabricated nail 120 pieces False nail wholesale (MOQ=3)")</x:f>
        <x:v>HYPERLINK is not implemented. linkLocation=https://365nails.com/products/nail-tips-hot-selling-nail-pieces-frosted-french-no-carving-and-grinding-nail-patches-prefabricated-nail-120-pieces-false-nail-wholesale, friendlyName=Nail Tips hot-selling nail pieces Frosted French, no-carving and grinding nail patches Prefabricated nail 120 pieces False nail wholesale (MOQ=3)</x:v>
      </x:c>
      <x:c r="D2828" s="18" t="str">
        <x:v>Color: 192-White French-120 pieces / 192-Black French-120 pieces / 193-White French-120 tablets / 193-Black French-120 pieces / 194-White French-120 tablets / 194-Black French-120 pieces / 197-White French-120 pieces / 197-Black French-120 pieces / 405-Black French-120 pieces / 411-White French-120 tablets / 411-Black French-120 pieces; Quantity: 3pcs</x:v>
      </x:c>
      <x:c r="E2828" s="25" t="str">
        <x:v>$2.88–$4.17</x:v>
      </x:c>
      <x:c r="F2828" s="19" t="str">
        <x:v>1</x:v>
      </x:c>
    </x:row>
    <x:row r="2829" ht="93" customHeight="1">
      <x:c r="A2829" s="19" t="n">
        <x:v>2826</x:v>
      </x:c>
      <x:c r="B2829" s="22" t="e">
        <x:f>HYPERLINK("https://cdn.shopify.com/s/files/1/0918/6066/4603/files/db44938414d314ddc3ec6e42e5f4161f.png?v=1755265559","Open")</x:f>
        <x:v>HYPERLINK is not implemented. linkLocation=https://cdn.shopify.com/s/files/1/0918/6066/4603/files/db44938414d314ddc3ec6e42e5f4161f.png?v=1755265559, friendlyName=Open</x:v>
      </x:c>
      <x:c r="C2829" s="24" t="e">
        <x:f>HYPERLINK("https://365nails.com/products/nail-tips-press-on-nails-is-hot-in-europe-and-america-fake-nail-patch-extension-nail-spice-girl-medium-rectangle-removable-24-pieces-with-drill-manicure","Press on nails fake nail patch extension nail Spice Girl medium rectangle removable 24 pieces with drill manicure (MOQ=3)")</x:f>
        <x:v>HYPERLINK is not implemented. linkLocation=https://365nails.com/products/nail-tips-press-on-nails-is-hot-in-europe-and-america-fake-nail-patch-extension-nail-spice-girl-medium-rectangle-removable-24-pieces-with-drill-manicure, friendlyName=Press on nails fake nail patch extension nail Spice Girl medium rectangle removable 24 pieces with drill manicure (MOQ=3)</x:v>
      </x:c>
      <x:c r="D2829" s="18" t="str">
        <x:v>Color: 173Z-002 / 173Z-005 / 173Z-021 / 173Z-022 / 173Z-023 / 173Z-024 / 173Z-025 / 173Z-026 / 173Z-027 / 173Z-028 / 173Z-029 / 173Z-030 / 173Z-031 / 173Z-032 / 173Z-033 / 173Z-034 / 173Z-035 / 173Z-036 / 173Z-037 / 173Z-038 / 173Z-039 / 173Z-040 / 173Z-041 / 173Z-042 / 173Z-043 / 173Z-044 / 173Z-045 / 173Z-046 / 173Z-047 / 173Z-048 / 173Z-049 / 173Z-050 / 173Z-051 / 173Z-052 / 173Z-053 / 173Z-054 / 173Z-055 / 173Z-056 / 173Z-057 / 173Z-058 / 173Z-059 / 173Z-060 / 173Z-061 / 173Z-062 / 173Z-063 / 173Z-064 / 173Z-065 / 173Z-066 / 173Z-067 / 173Z-068 / 173Z-069 / 173Z-070 / 173Z-071 / 173Z-072 / 173Z-073 / 173Z-074 / 173Z-075 / 173Z-076 / 173Z-077 / 173Z-078 / 173Z-079 / 173Z-080 / 173Z-081 / 173Z-082 / 173Z-083 / 173Z-084 / 173Z-085 / 173Z-086; Quantity: 3pcs</x:v>
      </x:c>
      <x:c r="E2829" s="25" t="str">
        <x:v>$2.73</x:v>
      </x:c>
      <x:c r="F2829" s="19" t="str">
        <x:v>1</x:v>
      </x:c>
    </x:row>
    <x:row r="2830" ht="93" customHeight="1">
      <x:c r="A2830" s="19" t="n">
        <x:v>2827</x:v>
      </x:c>
      <x:c r="B2830" s="22" t="e">
        <x:f>HYPERLINK("https://cdn.shopify.com/s/files/1/0918/6066/4603/files/481802616561785a6ba988e46ede4b62.png?v=1755266249","Open")</x:f>
        <x:v>HYPERLINK is not implemented. linkLocation=https://cdn.shopify.com/s/files/1/0918/6066/4603/files/481802616561785a6ba988e46ede4b62.png?v=1755266249, friendlyName=Open</x:v>
      </x:c>
      <x:c r="C2830" s="24" t="e">
        <x:f>HYPERLINK("https://365nails.com/products/nail-tips-hot-selling-french-wearable-manicure-30-pieces-whole-bulk-detachable-wearable-nail-seamless-fake-nail-patch","Nail Tips hot-selling French wearable manicure 30 pieces, whole bulk detachable wearable nail seamless fake nail patch (MOQ=50)")</x:f>
        <x:v>HYPERLINK is not implemented. linkLocation=https://365nails.com/products/nail-tips-hot-selling-french-wearable-manicure-30-pieces-whole-bulk-detachable-wearable-nail-seamless-fake-nail-patch, friendlyName=Nail Tips hot-selling French wearable manicure 30 pieces, whole bulk detachable wearable nail seamless fake nail patch (MOQ=50)</x:v>
      </x:c>
      <x:c r="D2830" s="18" t="str">
        <x:v>Color: Old Ink Pad Printing/French Square-411-3 White / Old ink pad printing/French square-390-2 black / Old Ink Pad Printing/French Square-411-4-Black; Quantity: 50pcs</x:v>
      </x:c>
      <x:c r="E2830" s="25" t="str">
        <x:v>$16.50</x:v>
      </x:c>
      <x:c r="F2830" s="19" t="str">
        <x:v>1</x:v>
      </x:c>
    </x:row>
    <x:row r="2831" ht="93" customHeight="1">
      <x:c r="A2831" s="19" t="n">
        <x:v>2828</x:v>
      </x:c>
      <x:c r="B2831" s="22" t="e">
        <x:f>HYPERLINK("https://cdn.shopify.com/s/files/1/0918/6066/4603/files/6ad6a07cc55274c40e14f15d3fe93265.png?v=1755266111","Open")</x:f>
        <x:v>HYPERLINK is not implemented. linkLocation=https://cdn.shopify.com/s/files/1/0918/6066/4603/files/6ad6a07cc55274c40e14f15d3fe93265.png?v=1755266111, friendlyName=Open</x:v>
      </x:c>
      <x:c r="C2831" s="24" t="e">
        <x:f>HYPERLINK("https://365nails.com/products/nail-tips-popular-nail-film-short-almond-120-pieces-boxed-ultra-thin-and-seamless-transparent-semi-matte-free-engraving-and-grinding-nail-film","Nail Tips Popular Short Almond Nail Film, Ultra-Thin Seamless Semi-Matte Transparent, No Engraving or Grinding, 120 Pieces Boxed (MOQ=3)")</x:f>
        <x:v>HYPERLINK is not implemented. linkLocation=https://365nails.com/products/nail-tips-popular-nail-film-short-almond-120-pieces-boxed-ultra-thin-and-seamless-transparent-semi-matte-free-engraving-and-grinding-nail-film, friendlyName=Nail Tips Popular Short Almond Nail Film, Ultra-Thin Seamless Semi-Matte Transparent, No Engraving or Grinding, 120 Pieces Boxed (MOQ=3)</x:v>
      </x:c>
      <x:c r="D2831" s="18" t="str">
        <x:v>Color: YS-149-No Trace-120 Pieces Box / YS-149-Traceless-240 piece box; Quantity: 3pcs</x:v>
      </x:c>
      <x:c r="E2831" s="25" t="str">
        <x:v>$1.92–$3.00</x:v>
      </x:c>
      <x:c r="F2831" s="19" t="str">
        <x:v>1</x:v>
      </x:c>
    </x:row>
    <x:row r="2832" ht="93" customHeight="1">
      <x:c r="A2832" s="19" t="n">
        <x:v>2829</x:v>
      </x:c>
      <x:c r="B2832" s="22" t="e">
        <x:f>HYPERLINK("https://cdn.shopify.com/s/files/1/0918/6066/4603/files/73ea8cbb4f7306e5377bd6e1114f5a5b.png?v=1755265589","Open")</x:f>
        <x:v>HYPERLINK is not implemented. linkLocation=https://cdn.shopify.com/s/files/1/0918/6066/4603/files/73ea8cbb4f7306e5377bd6e1114f5a5b.png?v=1755265589, friendlyName=Open</x:v>
      </x:c>
      <x:c r="C2832" s="24" t="e">
        <x:f>HYPERLINK("https://365nails.com/products/nail-tips-transparent-nail-piece-semi-sticker-light-sticker-square-nail-504-pieces-boxed-seamless-and-light-specially-for-patch-worn-nail-pieces","Nail TipsTransparent Semi-Sticker Square Nail Tips, Seamless Lightweight Patch-Wear Nail Pieces, 504 Pieces Boxed (MOQ=3)")</x:f>
        <x:v>HYPERLINK is not implemented. linkLocation=https://365nails.com/products/nail-tips-transparent-nail-piece-semi-sticker-light-sticker-square-nail-504-pieces-boxed-seamless-and-light-specially-for-patch-worn-nail-pieces, friendlyName=Nail TipsTransparent Semi-Sticker Square Nail Tips, Seamless Lightweight Patch-Wear Nail Pieces, 504 Pieces Boxed (MOQ=3)</x:v>
      </x:c>
      <x:c r="D2832" s="18" t="str">
        <x:v>Color: YS-552-Traceless transparent * 504 pieces boxed / YS-552-Natural color * 504 pieces boxed; Quantity: 3pcs</x:v>
      </x:c>
      <x:c r="E2832" s="25" t="str">
        <x:v>$5.97</x:v>
      </x:c>
      <x:c r="F2832" s="19" t="str">
        <x:v>1</x:v>
      </x:c>
    </x:row>
    <x:row r="2833" ht="93" customHeight="1">
      <x:c r="A2833" s="19" t="n">
        <x:v>2830</x:v>
      </x:c>
      <x:c r="B2833" s="22" t="e">
        <x:f>HYPERLINK("https://cdn.shopify.com/s/files/1/0918/6066/4603/files/83ede670ff2c82f623fbc25e5b167e6f.png?v=1755265605","Open")</x:f>
        <x:v>HYPERLINK is not implemented. linkLocation=https://cdn.shopify.com/s/files/1/0918/6066/4603/files/83ede670ff2c82f623fbc25e5b167e6f.png?v=1755265605, friendlyName=Open</x:v>
      </x:c>
      <x:c r="C2833" s="24" t="e">
        <x:f>HYPERLINK("https://365nails.com/products/nail-tips-press-on-nails-advanced-aurora-fine-flash-almond-short-nail-film-removable-fake-nail-prefabricated-solid-color-nail-art-wholesale","Press on nails Advanced Aurora Fine Flash Almond Short Nail Film Removable Fake Nail Prefabricated Solid Color  Nail Art Wholesale (MOQ=3)")</x:f>
        <x:v>HYPERLINK is not implemented. linkLocation=https://365nails.com/products/nail-tips-press-on-nails-advanced-aurora-fine-flash-almond-short-nail-film-removable-fake-nail-prefabricated-solid-color-nail-art-wholesale, friendlyName=Press on nails Advanced Aurora Fine Flash Almond Short Nail Film Removable Fake Nail Prefabricated Solid Color  Nail Art Wholesale (MOQ=3)</x:v>
      </x:c>
      <x:c r="D2833" s="18" t="str">
        <x:v>Color: YS-516-321646 / YS-516-321646 fine flash / YS-516-321649 / YS-516-321649 fine flash / YS-516-321652 / YS-516-321652 fine flash / YS-516-321653 / YS-516-321653 fine flash / YS-516-321655 / YS-516-321655 fine flash / YS-516-322488 / YS-516-322488 fine flash / YS-516-321647 / YS-516-321647 fine flash / YS-516-349533 / YS-516-349533 fine flash / YS-516-349534 / YS-516-349534 fine flash / YS-516-349535 / YS-516-349535 fine flash / YS-516-349536 / YS-516-349536 fine flash / YS-516-349537 / YS-516-349537 fine flash / YS-516-349538 / YS-516-349538 fine flash / YS-516-349539 / YS-516-349539 fine flash / YS-516-168-15 (White Moonlight Cat Eye) / YS-516-510-8240 (White Moonlight Cat Eye) / YS-516-321646 (White Moonlight Cat Eye) / YS-516-321652 (White Moonlight Cat Eye) / YS-516-321653 (White Moonlight Cat Eye) / YS-516-322488 (White Moonlight Cat Eye) / YS-516-349538- (small light bulb cat eye) / YS-516-349539- (small light bulb cat eye) / YS-516-349689- (small light bulb cat eye) / YS-516-349691- (small light bulb cat eye); Quantity: 3pcs</x:v>
      </x:c>
      <x:c r="E2833" s="25" t="str">
        <x:v>$2.10–$2.64</x:v>
      </x:c>
      <x:c r="F2833" s="19" t="str">
        <x:v>1</x:v>
      </x:c>
    </x:row>
    <x:row r="2834" ht="93" customHeight="1">
      <x:c r="A2834" s="19" t="n">
        <x:v>2831</x:v>
      </x:c>
      <x:c r="B2834" s="22" t="e">
        <x:f>HYPERLINK("https://cdn.shopify.com/s/files/1/0918/6066/4603/files/3ca723683fb08692cc9d0b20a8f92b00.png?v=1755265583","Open")</x:f>
        <x:v>HYPERLINK is not implemented. linkLocation=https://cdn.shopify.com/s/files/1/0918/6066/4603/files/3ca723683fb08692cc9d0b20a8f92b00.png?v=1755265583, friendlyName=Open</x:v>
      </x:c>
      <x:c r="C2834" s="24" t="e">
        <x:f>HYPERLINK("https://365nails.com/products/nail-tips-new-french-press-on-nails-piece-half-sticker-full-sticker-fake-nail-nail-patch-extended-press-on-nails-piece","Nail Tips New French press on nails piece,  half sticker full sticker fake nail nail patch extended press on nails piece (MOQ=3)")</x:f>
        <x:v>HYPERLINK is not implemented. linkLocation=https://365nails.com/products/nail-tips-new-french-press-on-nails-piece-half-sticker-full-sticker-fake-nail-nail-patch-extended-press-on-nails-piece, friendlyName=Nail Tips New French press on nails piece,  half sticker full sticker fake nail nail patch extended press on nails piece (MOQ=3)</x:v>
      </x:c>
      <x:c r="D2834" s="18" t="str">
        <x:v>Color: YS-02 Porcelain White-500 bags / YS-02 Ordinary-500 bags / YS-02 Natural-500 bags / YS-20 transparent-500 bags / YS-20 Natural-500 bags / YS-34 transparent-600 bags / YS-34 Natural-600 bags / YS-61 Porcelain White-600 bags / YS-61 Transparent-600 bags / YS-61 Natural-600 bags / YS-62 Transparent-500 bags / YS-62 Natural-500 bags / YS-63 Transparent-500 bags / YS-63 Natural-500 bags / YS-67 Natural-500 bags / YS-69 Transparent-500 bags / YS-73 Transparent-500 bags / YS-74 Transparent-504 bags / YS-74 Natural-504 Bags / YS-76 Natural-550 bags / YS-88 Transparent-504 bags / YS-88 Natural-504 Bags / YS-90 transparent-504 bags / YS-90 Natural-504 Bags / YS-92 Transparent-504 bags / YS-92 Natural-504 Bags / YS-111 Natural-504 Bags / YS-111 Transparent-360 Boxed / YS-111 Natural-360 Boxed / YS-112 Transparent-360 Boxed / YS-112 Natural-360 Boxed / YS-113 Transparent-500 Boxed / YS-126 transparent-504 bags; Quantity: 3pcs</x:v>
      </x:c>
      <x:c r="E2834" s="25" t="str">
        <x:v>$3.27–$7.62</x:v>
      </x:c>
      <x:c r="F2834" s="19" t="str">
        <x:v>1</x:v>
      </x:c>
    </x:row>
    <x:row r="2835" ht="93" customHeight="1">
      <x:c r="A2835" s="19" t="n">
        <x:v>2832</x:v>
      </x:c>
      <x:c r="B2835" s="22" t="e">
        <x:f>HYPERLINK("https://cdn.shopify.com/s/files/1/0918/6066/4603/files/4b567a51e2e6b6b7c2c598f5c8aca6df.png?v=1755265347","Open")</x:f>
        <x:v>HYPERLINK is not implemented. linkLocation=https://cdn.shopify.com/s/files/1/0918/6066/4603/files/4b567a51e2e6b6b7c2c598f5c8aca6df.png?v=1755265347, friendlyName=Open</x:v>
      </x:c>
      <x:c r="C2835" s="24" t="e">
        <x:f>HYPERLINK("https://365nails.com/products/nail-tips-hot-selling-wearing-toenail-pieces-half-sticker-matte-no-carving-and-grinding-short-120-piece-boxed-patch-foot-fake-nails","Nail Tips hot-selling wearing toenail pieces, half-sticker matte, no-carving and grinding short 120-piece boxed patch foot fake nails (MOQ=3)")</x:f>
        <x:v>HYPERLINK is not implemented. linkLocation=https://365nails.com/products/nail-tips-hot-selling-wearing-toenail-pieces-half-sticker-matte-no-carving-and-grinding-short-120-piece-boxed-patch-foot-fake-nails, friendlyName=Nail Tips hot-selling wearing toenail pieces, half-sticker matte, no-carving and grinding short 120-piece boxed patch foot fake nails (MOQ=3)</x:v>
      </x:c>
      <x:c r="D2835" s="18" t="str">
        <x:v>Color: YS-290 Half Sticker Foot Armor-No Trace-120 Pieces Boxed / YS-290 Half Sticker Foot Armor - No Trace - 240 Pieces Boxed; Quantity: 3pcs</x:v>
      </x:c>
      <x:c r="E2835" s="25" t="str">
        <x:v>$1.92–$3.54</x:v>
      </x:c>
      <x:c r="F2835" s="19" t="str">
        <x:v>1</x:v>
      </x:c>
    </x:row>
    <x:row r="2836" ht="93" customHeight="1">
      <x:c r="A2836" s="19" t="n">
        <x:v>2833</x:v>
      </x:c>
      <x:c r="B2836" s="22" t="e">
        <x:f>HYPERLINK("https://cdn.shopify.com/s/files/1/0918/6066/4603/files/f465ae8dd7f0eac41459a0cc5a420698.png?v=1755264676","Open")</x:f>
        <x:v>HYPERLINK is not implemented. linkLocation=https://cdn.shopify.com/s/files/1/0918/6066/4603/files/f465ae8dd7f0eac41459a0cc5a420698.png?v=1755264676, friendlyName=Open</x:v>
      </x:c>
      <x:c r="C2836" s="24" t="e">
        <x:f>HYPERLINK("https://365nails.com/products/nail-tips-frosted-nail-pads-free-grinding-flat-nail-traceless-water-drop-ballet-press-on-nails-pads-500-boxed-nail-art-fake-nails","Nail Tips Frosted nail pads Free grinding Flat nail Traceless water drop Ballet press on nails pads 500 boxed nail art fake nails (MOQ=3)")</x:f>
        <x:v>HYPERLINK is not implemented. linkLocation=https://365nails.com/products/nail-tips-frosted-nail-pads-free-grinding-flat-nail-traceless-water-drop-ballet-press-on-nails-pads-500-boxed-nail-art-fake-nails, friendlyName=Nail Tips Frosted nail pads Free grinding Flat nail Traceless water drop Ballet press on nails pads 500 boxed nail art fake nails (MOQ=3)</x:v>
      </x:c>
      <x:c r="D2836" s="18" t="str">
        <x:v>Color: Scrub No Trace - Ballet Nail - 500 Pieces / Scrub No Trace - Water Drop Armor - 500 Pieces / Frosted and seamless - square head - 500 pieces / Scrub No Trace - Short Water Drop - 500 Pieces / Scrub No Trace - Long Oval - 500 Pieces / Frosted and seamless - square head - 360 pieces in a box; Quantity: 3pcs</x:v>
      </x:c>
      <x:c r="E2836" s="25" t="str">
        <x:v>$4.80–$5.16</x:v>
      </x:c>
      <x:c r="F2836" s="19" t="str">
        <x:v>1</x:v>
      </x:c>
    </x:row>
    <x:row r="2837" ht="93" customHeight="1">
      <x:c r="A2837" s="19" t="n">
        <x:v>2834</x:v>
      </x:c>
      <x:c r="B2837" s="22" t="e">
        <x:f>HYPERLINK("https://cdn.shopify.com/s/files/1/0918/6066/4603/files/1a7f66518d89235faf8bd7544dbf9e65.png?v=1755263724","Open")</x:f>
        <x:v>HYPERLINK is not implemented. linkLocation=https://cdn.shopify.com/s/files/1/0918/6066/4603/files/1a7f66518d89235faf8bd7544dbf9e65.png?v=1755263724, friendlyName=Open</x:v>
      </x:c>
      <x:c r="C2837" s="24" t="e">
        <x:f>HYPERLINK("https://365nails.com/products/nail-tips-new-nude-matte-no-carving-press-on-nails-pads-240-pieces-boxed-solid-color-seamless-fake-nail-press-on-nails-pads","Nail Tips New nude matte, no-carving press on nails pads 240 pieces, boxed solid color seamless fake nail press on nails pads (MOQ=3)")</x:f>
        <x:v>HYPERLINK is not implemented. linkLocation=https://365nails.com/products/nail-tips-new-nude-matte-no-carving-press-on-nails-pads-240-pieces-boxed-solid-color-seamless-fake-nail-press-on-nails-pads, friendlyName=Nail Tips New nude matte, no-carving press on nails pads 240 pieces, boxed solid color seamless fake nail press on nails pads (MOQ=3)</x:v>
      </x:c>
      <x:c r="D2837" s="18" t="str">
        <x:v>Color: 192-Medium and Long Ladder-Light Pink-240 Piece Box / 193-Short Trapezoidal-Light Pink-240 Piece Box / 194-Almond Nail-Light Pink-240 Piece Box / 196-Medium Square-Light Pink-240 Piece Box / 192-Medium Ladder-White-240 Piece Box / 193 - Short Trapezoidal - White - 240 Piece Box / 194-Almond Nail-White-240 Piece Box / 196-Medium Square-White-240 Piece Box / 192-Medium and Long Ladder-Apricot-240 Piece Box / 193-Short Trapezoidal-Apricot-240 Piece Box / 194-Almond Nail-Almond-240 Piece Box / 196-Medium Square-Apricot-240 Piece Box / 192 Medium Ladder Skin Tone - 240 Pieces Boxed / 193 Short Ladder Skin Skin New 1-240 Pieces Boxed / 193 Short Ladder Skin Tone New 2-240 Pieces Boxed / 193 Short Ladder Skin Tone - 240 Pieces Boxed / 193 Short Ladder Transparent Black - 240 Pieces Boxed / 194 Almond Skin Tone - 240 Pieces Boxed; Quantity: 3pcs</x:v>
      </x:c>
      <x:c r="E2837" s="25" t="str">
        <x:v>$4.11</x:v>
      </x:c>
      <x:c r="F2837" s="19" t="str">
        <x:v>1</x:v>
      </x:c>
    </x:row>
    <x:row r="2838" ht="93" customHeight="1">
      <x:c r="A2838" s="19" t="n">
        <x:v>2835</x:v>
      </x:c>
      <x:c r="B2838" s="22" t="e">
        <x:f>HYPERLINK("https://cdn.shopify.com/s/files/1/0918/6066/4603/files/04958017100b85edc2d5069ed98208fe.png?v=1755264074","Open")</x:f>
        <x:v>HYPERLINK is not implemented. linkLocation=https://cdn.shopify.com/s/files/1/0918/6066/4603/files/04958017100b85edc2d5069ed98208fe.png?v=1755264074, friendlyName=Open</x:v>
      </x:c>
      <x:c r="C2838" s="24" t="e">
        <x:f>HYPERLINK("https://365nails.com/products/nail-tips-nail-film-short-transparent-semi-matte-and-semi-sticker-french-non-marking-ultra-thin-nail-film-simple-120-fake-nails","Nail Tips nail film short transparent semi-matte and semi-sticker French non-marking ultra-thin nail film simple 120 fake nails (MOQ=3)")</x:f>
        <x:v>HYPERLINK is not implemented. linkLocation=https://365nails.com/products/nail-tips-nail-film-short-transparent-semi-matte-and-semi-sticker-french-non-marking-ultra-thin-nail-film-simple-120-fake-nails, friendlyName=Nail Tips nail film short transparent semi-matte and semi-sticker French non-marking ultra-thin nail film simple 120 fake nails (MOQ=3)</x:v>
      </x:c>
      <x:c r="D2838" s="18" t="str">
        <x:v>Color: YS-570 * 120 piece box; Quantity: 3pcs</x:v>
      </x:c>
      <x:c r="E2838" s="25" t="str">
        <x:v>$1.92</x:v>
      </x:c>
      <x:c r="F2838" s="19" t="str">
        <x:v>1</x:v>
      </x:c>
    </x:row>
    <x:row r="2839" ht="93" customHeight="1">
      <x:c r="A2839" s="19" t="n">
        <x:v>2836</x:v>
      </x:c>
      <x:c r="B2839" s="22" t="e">
        <x:f>HYPERLINK("https://cdn.shopify.com/s/files/1/0918/6066/4603/files/efba657777eafe7b850481884505a4e8.png?v=1755263511","Open")</x:f>
        <x:v>HYPERLINK is not implemented. linkLocation=https://cdn.shopify.com/s/files/1/0918/6066/4603/files/efba657777eafe7b850481884505a4e8.png?v=1755263511, friendlyName=Open</x:v>
      </x:c>
      <x:c r="C2839" s="24" t="e">
        <x:f>HYPERLINK("https://365nails.com/products/nail-tips-new-extended-denim-nail-piece-xxxl-fake-nail-transparent-flat-head-nail-piece-french-semi-sticker-denim-nail","Nail Tips New extended denim nail piece,  XXXL fake nail transparent flat head nail piece French semi-sticker denim nail (MOQ=3)")</x:f>
        <x:v>HYPERLINK is not implemented. linkLocation=https://365nails.com/products/nail-tips-new-extended-denim-nail-piece-xxxl-fake-nail-transparent-flat-head-nail-piece-french-semi-sticker-denim-nail, friendlyName=Nail Tips New extended denim nail piece,  XXXL fake nail transparent flat head nail piece French semi-sticker denim nail (MOQ=3)</x:v>
      </x:c>
      <x:c r="D2839" s="18" t="str">
        <x:v>Color: Bag of 504 Pieces - Natural Color / Bag of 504 Pieces - Transparent Color / Box 420 Pieces - Natural Color / Box 420 Pieces - Transparent Color; Quantity: 3pcs</x:v>
      </x:c>
      <x:c r="E2839" s="25" t="str">
        <x:v>$6.51</x:v>
      </x:c>
      <x:c r="F2839" s="19" t="str">
        <x:v>1</x:v>
      </x:c>
    </x:row>
    <x:row r="2840" ht="93" customHeight="1">
      <x:c r="A2840" s="19" t="n">
        <x:v>2837</x:v>
      </x:c>
      <x:c r="B2840" s="22" t="e">
        <x:f>HYPERLINK("https://cdn.shopify.com/s/files/1/0918/6066/4603/files/8f590e9c060257eb265b64ef5196530e.png?v=1755263705","Open")</x:f>
        <x:v>HYPERLINK is not implemented. linkLocation=https://cdn.shopify.com/s/files/1/0918/6066/4603/files/8f590e9c060257eb265b64ef5196530e.png?v=1755263705, friendlyName=Open</x:v>
      </x:c>
      <x:c r="C2840" s="24" t="e">
        <x:f>HYPERLINK("https://365nails.com/products/nail-tips-nail-piece-square-nail-transparent-extended-flat-head-fake-nail-nail-art-patch-full-half-sticker-dual-purpose-nail-art-shop-special","Nail TipsSquare Transparent Extended Flat Nail Tips, Dual-Purpose Full or Half-Cover Nail Art Patches for Salon Use (MOQ=3)")</x:f>
        <x:v>HYPERLINK is not implemented. linkLocation=https://365nails.com/products/nail-tips-nail-piece-square-nail-transparent-extended-flat-head-fake-nail-nail-art-patch-full-half-sticker-dual-purpose-nail-art-shop-special, friendlyName=Nail TipsSquare Transparent Extended Flat Nail Tips, Dual-Purpose Full or Half-Cover Nail Art Patches for Salon Use (MOQ=3)</x:v>
      </x:c>
      <x:c r="D2840" s="18" t="str">
        <x:v>Color: 67-Traceless Transparent-500 Piece Bag / 67-Traceless Transparent-504 Pieces Boxed / 89-Traceless Transparent-504 Piece Bag / 89-Traceless Transparent-360 Piece Box / 126-Transparent-360 piece box / 126-Transparent-504 piece bag / 126-Nature-360 piece box / 168-Transparent-360 piece box / 168-Transparent-504 piece bag / 168-Nature-360 piece box / 168-Nature-504 piece bag; Quantity: 3pcs</x:v>
      </x:c>
      <x:c r="E2840" s="25" t="str">
        <x:v>$4.38–$7.62</x:v>
      </x:c>
      <x:c r="F2840" s="19" t="str">
        <x:v>1</x:v>
      </x:c>
    </x:row>
    <x:row r="2841" ht="93" customHeight="1">
      <x:c r="A2841" s="19" t="n">
        <x:v>2838</x:v>
      </x:c>
      <x:c r="B2841" s="22" t="e">
        <x:f>HYPERLINK("https://cdn.shopify.com/s/files/1/0918/6066/4603/files/a4996b42e5a3e8d873ad35f1cc508510.png?v=1755262974","Open")</x:f>
        <x:v>HYPERLINK is not implemented. linkLocation=https://cdn.shopify.com/s/files/1/0918/6066/4603/files/a4996b42e5a3e8d873ad35f1cc508510.png?v=1755262974, friendlyName=Open</x:v>
      </x:c>
      <x:c r="C2841" s="24" t="e">
        <x:f>HYPERLINK("https://365nails.com/products/nail-tips-press-on-nails-pads-240-pieces-free-of-engraving-and-grinding-boxed-long-matte-non-marking-with-scale-lines-and-half-pasted-fake-nails","Nail Tips Press-On Nail Pads, Long Matte Non-Marking Half-Cover with Scale Lines, No Engraving or Grinding, 240 Pieces Boxed (MOQ=3)")</x:f>
        <x:v>HYPERLINK is not implemented. linkLocation=https://365nails.com/products/nail-tips-press-on-nails-pads-240-pieces-free-of-engraving-and-grinding-boxed-long-matte-non-marking-with-scale-lines-and-half-pasted-fake-nails, friendlyName=Nail Tips Press-On Nail Pads, Long Matte Non-Marking Half-Cover with Scale Lines, No Engraving or Grinding, 240 Pieces Boxed (MOQ=3)</x:v>
      </x:c>
      <x:c r="D2841" s="18" t="str">
        <x:v>Color: 415-Half sticker denim-240 pieces/box / 416-Semi-sticker long ladder armor-240 pieces/box / 417-Half Stick Long Oval-240 pieces/box; Quantity: 3pcs</x:v>
      </x:c>
      <x:c r="E2841" s="25" t="str">
        <x:v>$3.51</x:v>
      </x:c>
      <x:c r="F2841" s="19" t="str">
        <x:v>1</x:v>
      </x:c>
    </x:row>
    <x:row r="2842" ht="93" customHeight="1">
      <x:c r="A2842" s="19" t="n">
        <x:v>2839</x:v>
      </x:c>
      <x:c r="B2842" s="22" t="e">
        <x:f>HYPERLINK("https://cdn.shopify.com/s/files/1/0918/6066/4603/files/48015e2723e93f2d4a03be4d29052fc3.jpg?v=1755251075","Open")</x:f>
        <x:v>HYPERLINK is not implemented. linkLocation=https://cdn.shopify.com/s/files/1/0918/6066/4603/files/48015e2723e93f2d4a03be4d29052fc3.jpg?v=1755251075, friendlyName=Open</x:v>
      </x:c>
      <x:c r="C2842" s="24" t="e">
        <x:f>HYPERLINK("https://365nails.com/products/nail-tips-press-on-nails-solid-color-12-palace-grid-fuel-injection-simple-high-sense-removable-prefabricated-nail-art-piece-fake-nail-wholesale","Nail Tips press on nails solid color 12 palace grid fuel injection simple high sense removable prefabricated nail art piece fake nail wholesale (MOQ=3)")</x:f>
        <x:v>HYPERLINK is not implemented. linkLocation=https://365nails.com/products/nail-tips-press-on-nails-solid-color-12-palace-grid-fuel-injection-simple-high-sense-removable-prefabricated-nail-art-piece-fake-nail-wholesale, friendlyName=Nail Tips press on nails solid color 12 palace grid fuel injection simple high sense removable prefabricated nail art piece fake nail wholesale (MOQ=3)</x:v>
      </x:c>
      <x:c r="D2842" s="18" t="str">
        <x:v>Color: 12 palace grid wearing armor * 288 pieces; Quantity: 3pcs</x:v>
      </x:c>
      <x:c r="E2842" s="25" t="str">
        <x:v>$4.11</x:v>
      </x:c>
      <x:c r="F2842" s="19" t="str">
        <x:v>1</x:v>
      </x:c>
    </x:row>
    <x:row r="2843" ht="93" customHeight="1">
      <x:c r="A2843" s="19" t="n">
        <x:v>2840</x:v>
      </x:c>
      <x:c r="B2843" s="22" t="e">
        <x:f>HYPERLINK("https://cdn.shopify.com/s/files/1/0918/6066/4603/files/2b71fd676558e11b7587e08af94d64bd.png?v=1755262790","Open")</x:f>
        <x:v>HYPERLINK is not implemented. linkLocation=https://cdn.shopify.com/s/files/1/0918/6066/4603/files/2b71fd676558e11b7587e08af94d64bd.png?v=1755262790, friendlyName=Open</x:v>
      </x:c>
      <x:c r="C2843" s="24" t="e">
        <x:f>HYPERLINK("https://365nails.com/products/nail-tips-press-on-nails-explosion-five-color-french-manicure-glossy-high-end-square-removable-patch-fake-nail-nail-piece","Nail Tips press on nails  explosion five-color French manicure glossy high-end square removable patch fake nail nail piece (MOQ=3)")</x:f>
        <x:v>HYPERLINK is not implemented. linkLocation=https://365nails.com/products/nail-tips-press-on-nails-explosion-five-color-french-manicure-glossy-high-end-square-removable-patch-fake-nail-nail-piece, friendlyName=Nail Tips press on nails  explosion five-color French manicure glossy high-end square removable patch fake nail nail piece (MOQ=3)</x:v>
      </x:c>
      <x:c r="D2843" s="18" t="str">
        <x:v>Color: Bag 411-442 * 150 pieces / Bag 411-3387-1 * 150 pieces / Bag 424-442 * 150 pieces / Bag 424-3387-1 * 150 pieces / Bag 515-442 * 160 pieces / Bag 515-3387-1 * 160 pieces / Box 411-442 * 150 pieces / Box 411-3387-1 * 150 pieces / Boxed 424-442 * 150 pieces / Box 424-3387-1 * 150 pieces / Bag 512-442 * 150 pieces / Bag 512-3387-1 * 150 pieces / Bag 516-442 * 160 pieces / Bag 516-3387-1 * 160 pieces; Quantity: 3pcs</x:v>
      </x:c>
      <x:c r="E2843" s="25" t="str">
        <x:v>$6.78–$7.62</x:v>
      </x:c>
      <x:c r="F2843" s="19" t="str">
        <x:v>1</x:v>
      </x:c>
    </x:row>
    <x:row r="2844" ht="93" customHeight="1">
      <x:c r="A2844" s="19" t="n">
        <x:v>2841</x:v>
      </x:c>
      <x:c r="B2844" s="22" t="e">
        <x:f>HYPERLINK("https://cdn.shopify.com/s/files/1/0918/6066/4603/files/43d68c8926ceb56f3c80b3f44adae3ac.jpg?v=1780392110","Open")</x:f>
        <x:v>HYPERLINK is not implemented. linkLocation=https://cdn.shopify.com/s/files/1/0918/6066/4603/files/43d68c8926ceb56f3c80b3f44adae3ac.jpg?v=1780392110, friendlyName=Open</x:v>
      </x:c>
      <x:c r="C2844" s="24" t="e">
        <x:f>HYPERLINK("https://365nails.com/products/mini-c-shape-single-finger-uv-led-nail-lamp-fast-curing-press-on-tool","""Mini C-Shape Single Finger UV/LED Nail Lamp"" - Fast Curing Press-On Tool")</x:f>
        <x:v>HYPERLINK is not implemented. linkLocation=https://365nails.com/products/mini-c-shape-single-finger-uv-led-nail-lamp-fast-curing-press-on-tool, friendlyName="Mini C-Shape Single Finger UV/LED Nail Lamp" - Fast Curing Press-On Tool</x:v>
      </x:c>
      <x:c r="D2844" s="18" t="str">
        <x:v>Color: Xzm-uv1mini/single finger baking lamp white / Xzm-uv1mini/single finger baking lamp black / Xzm-uv1mini/single finger baking lamp pink / Xzm-uv1mini/single finger baking lamp blue / Xzm-uv1mini/single finger baking lamp purple / Xzm-r1/nail lamp / Sun-2max white/explosive single finger manicure lamp / Mini-rs1b white rose/single finger manicure lamp / Mini-rs1f pink rose/single finger manicure lamp / Mini-tv1b white tv/single finger manicure lamp / Mini-tv1f pink tv/single finger manicure lamp / Mini-q8bcw white/c-shaped mini small nail lamp / Mini-q8fcw pink/c-shaped mini small nail lamp / Mini-q8lcw blue/c-shaped mini small nail lamp / Mini-q8zcw purple/c-shaped mini small nail lamp / Mini-xm1b white panda/single finger manicure lamp / Mini-xm1f pink panda/single finger manicure lamp / Mini-tz1b white rabbit/single finger manicure lamp / Mini-tz1f pink rabbit/single finger manicure lamp / Mini-ca19b white lace mushroom/single finger nail art lamp / Mini-ca19f pink lace mushroom/single finger manicure lamp / Mini-ca9b white jade/single finger manicure lamp / Mini-ca9f pink jade/single finger manicure lamp / Mini-ca1b white butterfly/single finger manicure lamp / Mini-ca1f pink butterfly/single finger manicure lamp</x:v>
      </x:c>
      <x:c r="E2844" s="25" t="str">
        <x:v>$0.99–$1.39</x:v>
      </x:c>
      <x:c r="F2844" s="19" t="str">
        <x:v>1</x:v>
      </x:c>
    </x:row>
    <x:row r="2845" ht="93" customHeight="1">
      <x:c r="A2845" s="19" t="n">
        <x:v>2842</x:v>
      </x:c>
      <x:c r="B2845" s="22" t="e">
        <x:f>HYPERLINK("https://cdn.shopify.com/s/files/1/0918/6066/4603/files/O1CN017rwwde2LY28sGWB5f__2201548409703-0-cib.jpg?v=1775632945","Open")</x:f>
        <x:v>HYPERLINK is not implemented. linkLocation=https://cdn.shopify.com/s/files/1/0918/6066/4603/files/O1CN017rwwde2LY28sGWB5f__2201548409703-0-cib.jpg?v=1775632945, friendlyName=Open</x:v>
      </x:c>
      <x:c r="C2845" s="24" t="e">
        <x:f>HYPERLINK("https://365nails.com/products/365nails-independence-day-patriotic-decal-nail-sticker-set","365nails: Independence Day Patriotic Decal Nail Sticker Set")</x:f>
        <x:v>HYPERLINK is not implemented. linkLocation=https://365nails.com/products/365nails-independence-day-patriotic-decal-nail-sticker-set, friendlyName=365nails: Independence Day Patriotic Decal Nail Sticker Set</x:v>
      </x:c>
      <x:c r="D2845" s="18" t="str">
        <x:v>Color: Naked chip + nail; Specification type: Ze–0971 / Ze–0972 / Ze–0973 / Ze–0974</x:v>
      </x:c>
      <x:c r="E2845" s="25" t="str">
        <x:v>$0.99</x:v>
      </x:c>
      <x:c r="F2845" s="19" t="str">
        <x:v>3</x:v>
      </x:c>
    </x:row>
    <x:row r="2846" ht="93" customHeight="1">
      <x:c r="A2846" s="19" t="n">
        <x:v>2843</x:v>
      </x:c>
      <x:c r="B2846" s="22" t="e">
        <x:f>HYPERLINK("https://cdn.shopify.com/s/files/1/0918/6066/4603/files/O1CN01DbS33x2ABd0YM6nb0__2218458308165-0-cib.jpg?v=1776155642","Open")</x:f>
        <x:v>HYPERLINK is not implemented. linkLocation=https://cdn.shopify.com/s/files/1/0918/6066/4603/files/O1CN01DbS33x2ABd0YM6nb0__2218458308165-0-cib.jpg?v=1776155642, friendlyName=Open</x:v>
      </x:c>
      <x:c r="C2846" s="24" t="e">
        <x:f>HYPERLINK("https://365nails.com/products/%E8%B7%A8%E5%A2%83%E7%83%AD%E9%94%80%E8%84%9A%E8%B6%BE%E7%94%B2%E7%89%87%E8%93%9D%E7%BA%A2%E6%8B%BC%E8%89%B2%E6%9D%A1%E7%BA%B9%E6%98%9F%E8%8A%92%E5%81%87%E6%8C%87%E7%94%B2%E6%98%A5%E5%A4%8F%E6%B8%85%E6%96%B0%E7%BE%8E%E5%9B%BD%E7%8B%AC%E7%AB%8B%E6%97%A5%E8%84%9A%E7%94%B2","365nails: ""Patriotic Stars""")</x:f>
        <x:v>HYPERLINK is not implemented. linkLocation=https://365nails.com/products/%E8%B7%A8%E5%A2%83%E7%83%AD%E9%94%80%E8%84%9A%E8%B6%BE%E7%94%B2%E7%89%87%E8%93%9D%E7%BA%A2%E6%8B%BC%E8%89%B2%E6%9D%A1%E7%BA%B9%E6%98%9F%E8%8A%92%E5%81%87%E6%8C%87%E7%94%B2%E6%98%A5%E5%A4%8F%E6%B8%85%E6%96%B0%E7%BE%8E%E5%9B%BD%E7%8B%AC%E7%AB%8B%E6%97%A5%E8%84%9A%E7%94%B2, friendlyName=365nails: "Patriotic Stars"</x:v>
      </x:c>
      <x:c r="D2846" s="18" t="str">
        <x:v>Color: Jml538 (without tools) / Jml538(glue type) / Jml538 (jelly glue rubbing strip)</x:v>
      </x:c>
      <x:c r="E2846" s="25" t="str">
        <x:v>$0.99</x:v>
      </x:c>
      <x:c r="F2846" s="19" t="str">
        <x:v>3</x:v>
      </x:c>
    </x:row>
    <x:row r="2847" ht="93" customHeight="1">
      <x:c r="A2847" s="19" t="n">
        <x:v>2844</x:v>
      </x:c>
      <x:c r="B2847" s="22" t="e">
        <x:f>HYPERLINK("https://cdn.shopify.com/s/files/1/0918/6066/4603/files/O1CN010eVT3R1rlpaHNTv8q__2215158925672-0-cib.jpg?v=1763178168","Open")</x:f>
        <x:v>HYPERLINK is not implemented. linkLocation=https://cdn.shopify.com/s/files/1/0918/6066/4603/files/O1CN010eVT3R1rlpaHNTv8q__2215158925672-0-cib.jpg?v=1763178168, friendlyName=Open</x:v>
      </x:c>
      <x:c r="C2847" s="24" t="e">
        <x:f>HYPERLINK("https://365nails.com/products/lunar-chrome-series-press-on-nails","Lunar Chrome Series Press-On Nails")</x:f>
        <x:v>HYPERLINK is not implemented. linkLocation=https://365nails.com/products/lunar-chrome-series-press-on-nails, friendlyName=Lunar Chrome Series Press-On Nails</x:v>
      </x:c>
      <x:c r="D2847" s="18" t="str">
        <x:v>SIZE: S / M / L</x:v>
      </x:c>
      <x:c r="E2847" s="25" t="str">
        <x:v>$3.99</x:v>
      </x:c>
      <x:c r="F2847" s="19" t="str">
        <x:v>30</x:v>
      </x:c>
    </x:row>
    <x:row r="2848" ht="93" customHeight="1">
      <x:c r="A2848" s="19" t="n">
        <x:v>2845</x:v>
      </x:c>
      <x:c r="B2848" s="22" t="e">
        <x:f>HYPERLINK("https://cdn.shopify.com/s/files/1/0918/6066/4603/files/tufan_2F032e9bb8-ca13-11f0-ac3d-00163e201129.jpg?v=1764084740","Open")</x:f>
        <x:v>HYPERLINK is not implemented. linkLocation=https://cdn.shopify.com/s/files/1/0918/6066/4603/files/tufan_2F032e9bb8-ca13-11f0-ac3d-00163e201129.jpg?v=1764084740, friendlyName=Open</x:v>
      </x:c>
      <x:c r="C2848" s="24" t="e">
        <x:f>HYPERLINK("https://365nails.com/products/neon-glow-short-nail-set","Neon Glow Short Nail Set")</x:f>
        <x:v>HYPERLINK is not implemented. linkLocation=https://365nails.com/products/neon-glow-short-nail-set, friendlyName=Neon Glow Short Nail Set</x:v>
      </x:c>
      <x:c r="D2848" s="18" t="str">
        <x:v>color: Occidental Green E721 / Desert Pollen S155 / Chambray Blue S529 / Lilac Pink Purple S14 / Marin Blue S401 / Lemon Candy Yellow S695 / Capri Blue S153 / Fluorescent yellow S373 / Fluorescent green S374 / Fluorescent Orange S375 / Fluorescent blue S376; Quantity: 3pcs</x:v>
      </x:c>
      <x:c r="E2848" s="25" t="str">
        <x:v>$3.09</x:v>
      </x:c>
      <x:c r="F2848" s="19" t="str">
        <x:v>1</x:v>
      </x:c>
    </x:row>
    <x:row r="2849" ht="93" customHeight="1">
      <x:c r="A2849" s="19" t="n">
        <x:v>2846</x:v>
      </x:c>
      <x:c r="B2849" s="22" t="e">
        <x:f>HYPERLINK("https://cdn.shopify.com/s/files/1/0918/6066/4603/files/tufan_2Fcb45aaee-ca7f-11f0-912b-00163e15d921.jpg?v=1764131322","Open")</x:f>
        <x:v>HYPERLINK is not implemented. linkLocation=https://cdn.shopify.com/s/files/1/0918/6066/4603/files/tufan_2Fcb45aaee-ca7f-11f0-912b-00163e15d921.jpg?v=1764131322, friendlyName=Open</x:v>
      </x:c>
      <x:c r="C2849" s="24" t="e">
        <x:f>HYPERLINK("https://365nails.com/products/chocolate-pearl-accent-short-square-nail-set","Chocolate &amp; Pearl Accent Short Square Nail Set")</x:f>
        <x:v>HYPERLINK is not implemented. linkLocation=https://365nails.com/products/chocolate-pearl-accent-short-square-nail-set, friendlyName=Chocolate &amp; Pearl Accent Short Square Nail Set</x:v>
      </x:c>
      <x:c r="D2849" s="18" t="str">
        <x:v>Color: C057</x:v>
      </x:c>
      <x:c r="E2849" s="25" t="str">
        <x:v>$1.42</x:v>
      </x:c>
      <x:c r="F2849" s="19" t="str">
        <x:v>1</x:v>
      </x:c>
    </x:row>
    <x:row r="2850" ht="93" customHeight="1">
      <x:c r="A2850" s="19" t="n">
        <x:v>2847</x:v>
      </x:c>
      <x:c r="B2850" s="22" t="e">
        <x:f>HYPERLINK("https://cdn.shopify.com/s/files/1/0918/6066/4603/files/O1CN01PJ8j031rlpaIxiCIg__2215158925672-0-cib.jpg?v=1763177304","Open")</x:f>
        <x:v>HYPERLINK is not implemented. linkLocation=https://cdn.shopify.com/s/files/1/0918/6066/4603/files/O1CN01PJ8j031rlpaIxiCIg__2215158925672-0-cib.jpg?v=1763177304, friendlyName=Open</x:v>
      </x:c>
      <x:c r="C2850" s="24" t="e">
        <x:f>HYPERLINK("https://365nails.com/products/tropical-blossom-series-press-on-nails","Tropical Blossom Series Press-On Nails")</x:f>
        <x:v>HYPERLINK is not implemented. linkLocation=https://365nails.com/products/tropical-blossom-series-press-on-nails, friendlyName=Tropical Blossom Series Press-On Nails</x:v>
      </x:c>
      <x:c r="D2850" s="18" t="str">
        <x:v>Size: S / M / L</x:v>
      </x:c>
      <x:c r="E2850" s="25" t="str">
        <x:v>$4.99</x:v>
      </x:c>
      <x:c r="F2850" s="19" t="str">
        <x:v>30</x:v>
      </x:c>
    </x:row>
    <x:row r="2851" ht="93" customHeight="1">
      <x:c r="A2851" s="19" t="n">
        <x:v>2848</x:v>
      </x:c>
      <x:c r="B2851" s="22" t="e">
        <x:f>HYPERLINK("https://cdn.shopify.com/s/files/1/0918/6066/4603/files/O1CN01E0azt11rlpaH0Lld0__2215158925672-0-cib.jpg?v=1763185483","Open")</x:f>
        <x:v>HYPERLINK is not implemented. linkLocation=https://cdn.shopify.com/s/files/1/0918/6066/4603/files/O1CN01E0azt11rlpaH0Lld0__2215158925672-0-cib.jpg?v=1763185483, friendlyName=Open</x:v>
      </x:c>
      <x:c r="C2851" s="24" t="e">
        <x:f>HYPERLINK("https://365nails.com/products/velvet-ember-series-press-on-nails","Velvet Ember Series Press-On Nails")</x:f>
        <x:v>HYPERLINK is not implemented. linkLocation=https://365nails.com/products/velvet-ember-series-press-on-nails, friendlyName=Velvet Ember Series Press-On Nails</x:v>
      </x:c>
      <x:c r="D2851" s="18" t="str">
        <x:v>SIZE: S / M / L</x:v>
      </x:c>
      <x:c r="E2851" s="25" t="str">
        <x:v>$3.99</x:v>
      </x:c>
      <x:c r="F2851" s="19" t="str">
        <x:v>30</x:v>
      </x:c>
    </x:row>
    <x:row r="2852" ht="93" customHeight="1">
      <x:c r="A2852" s="19" t="n">
        <x:v>2849</x:v>
      </x:c>
      <x:c r="B2852" s="22" t="e">
        <x:f>HYPERLINK("https://cdn.shopify.com/s/files/1/0918/6066/4603/files/O1CN013lXzE42ABcuzOjpOR__2218458308165-0-cib.jpg?v=1776157380","Open")</x:f>
        <x:v>HYPERLINK is not implemented. linkLocation=https://cdn.shopify.com/s/files/1/0918/6066/4603/files/O1CN013lXzE42ABcuzOjpOR__2218458308165-0-cib.jpg?v=1776157380, friendlyName=Open</x:v>
      </x:c>
      <x:c r="C2852" s="24" t="e">
        <x:f>HYPERLINK("https://365nails.com/products/%E8%B7%A8%E5%A2%83%E7%83%AD%E9%94%80%E7%BA%A2%E8%93%9D%E9%85%8D%E8%89%B2%E5%81%87%E6%8C%87%E7%94%B2%E7%BE%8E%E5%9B%BD%E7%8B%AC%E7%AB%8B%E6%97%A5%E7%A9%BF%E6%88%B4%E7%94%B2%E7%83%9F%E8%8A%B1%E9%97%AA%E7%B2%89%E5%8F%AF%E6%8B%86%E5%8D%B8%E5%81%87%E7%94%B2%E7%89%87%E7%9F%AD","365nails: ""Patriotic Stars"" – Graphic Star &amp; Polka Dot Printed Squoval Nails")</x:f>
        <x:v>HYPERLINK is not implemented. linkLocation=https://365nails.com/products/%E8%B7%A8%E5%A2%83%E7%83%AD%E9%94%80%E7%BA%A2%E8%93%9D%E9%85%8D%E8%89%B2%E5%81%87%E6%8C%87%E7%94%B2%E7%BE%8E%E5%9B%BD%E7%8B%AC%E7%AB%8B%E6%97%A5%E7%A9%BF%E6%88%B4%E7%94%B2%E7%83%9F%E8%8A%B1%E9%97%AA%E7%B2%89%E5%8F%AF%E6%8B%86%E5%8D%B8%E5%81%87%E7%94%B2%E7%89%87%E7%9F%AD, friendlyName=365nails: "Patriotic Stars" – Graphic Star &amp; Polka Dot Printed Squoval Nails</x:v>
      </x:c>
      <x:c r="D2852" s="18" t="str">
        <x:v>Color: Jml189 (without tools)</x:v>
      </x:c>
      <x:c r="E2852" s="25" t="str">
        <x:v>$0.99</x:v>
      </x:c>
      <x:c r="F2852" s="19" t="str">
        <x:v>3</x:v>
      </x:c>
    </x:row>
    <x:row r="2853" ht="93" customHeight="1">
      <x:c r="A2853" s="19" t="n">
        <x:v>2850</x:v>
      </x:c>
      <x:c r="B2853" s="22" t="e">
        <x:f>HYPERLINK("https://cdn.shopify.com/s/files/1/0918/6066/4603/files/O1CN01UyiaEB1rlpXRyPQcL__2215158925672-0-cib.jpg?v=1754471293","Open")</x:f>
        <x:v>HYPERLINK is not implemented. linkLocation=https://cdn.shopify.com/s/files/1/0918/6066/4603/files/O1CN01UyiaEB1rlpXRyPQcL__2215158925672-0-cib.jpg?v=1754471293, friendlyName=Open</x:v>
      </x:c>
      <x:c r="C2853" s="24" t="e">
        <x:f>HYPERLINK("https://365nails.com/products/duck-beak-nail-symphony-sweetheart-zebra-pattern-polka-dot-nail-art-ice-clear-cute-handmade-press-on-nails-fake-nails-365nails","Wild Pop Princess Duckbill Nail Set")</x:f>
        <x:v>HYPERLINK is not implemented. linkLocation=https://365nails.com/products/duck-beak-nail-symphony-sweetheart-zebra-pattern-polka-dot-nail-art-ice-clear-cute-handmade-press-on-nails-fake-nails-365nails, friendlyName=Wild Pop Princess Duckbill Nail Set</x:v>
      </x:c>
      <x:c r="D2853" s="18" t="str">
        <x:v>shape: short bill; size: S / M / L</x:v>
      </x:c>
      <x:c r="E2853" s="25" t="str">
        <x:v>$3.49</x:v>
      </x:c>
      <x:c r="F2853" s="19" t="str">
        <x:v>30</x:v>
      </x:c>
    </x:row>
    <x:row r="2854" ht="93" customHeight="1">
      <x:c r="A2854" s="19" t="n">
        <x:v>2851</x:v>
      </x:c>
      <x:c r="B2854" s="22" t="e">
        <x:f>HYPERLINK("https://cdn.shopify.com/s/files/1/0918/6066/4603/files/O1CN015T9rVz1rlpQo4xSnN__2215158925672-0-cib.jpg?v=1754377288","Open")</x:f>
        <x:v>HYPERLINK is not implemented. linkLocation=https://cdn.shopify.com/s/files/1/0918/6066/4603/files/O1CN015T9rVz1rlpQo4xSnN__2215158925672-0-cib.jpg?v=1754377288, friendlyName=Open</x:v>
      </x:c>
      <x:c r="C2854" s="24" t="e">
        <x:f>HYPERLINK("https://365nails.com/products/sweet-cool-spice-girl-metal-handmade-press-on-nails-airbrush-blush-cats-eye-nail-art-medium-and-long-wearable-nail-sticker-365nails","Cyber Heart Series Press-On Nails")</x:f>
        <x:v>HYPERLINK is not implemented. linkLocation=https://365nails.com/products/sweet-cool-spice-girl-metal-handmade-press-on-nails-airbrush-blush-cats-eye-nail-art-medium-and-long-wearable-nail-sticker-365nails, friendlyName=Cyber Heart Series Press-On Nails</x:v>
      </x:c>
      <x:c r="D2854" s="18" t="str">
        <x:v>Color: Medium T; Color classification: XS / S / M / L</x:v>
      </x:c>
      <x:c r="E2854" s="25" t="str">
        <x:v>$3.99</x:v>
      </x:c>
      <x:c r="F2854" s="19" t="str">
        <x:v>30</x:v>
      </x:c>
    </x:row>
    <x:row r="2855" ht="93" customHeight="1">
      <x:c r="A2855" s="19" t="n">
        <x:v>2852</x:v>
      </x:c>
      <x:c r="B2855" s="22" t="e">
        <x:f>HYPERLINK("https://cdn.shopify.com/s/files/1/0918/6066/4603/files/2bda7f53c922af522594c3f722909808.jpg?v=1755240768","Open")</x:f>
        <x:v>HYPERLINK is not implemented. linkLocation=https://cdn.shopify.com/s/files/1/0918/6066/4603/files/2bda7f53c922af522594c3f722909808.jpg?v=1755240768, friendlyName=Open</x:v>
      </x:c>
      <x:c r="C2855" s="24" t="e">
        <x:f>HYPERLINK("https://365nails.com/products/nail-tips-the-nail-piece-is-transparent-plus-a-rectangular-550-pieces-and-the-boxed-patch-is-fully-pasted-with-non-marking-flat-head-square-head-nail-full-size-fake-nails","Nail Tips The nail piece is transparent, plus a rectangular 550 pieces, and the boxed patch is fully pasted with non-marking flat head square head nail full size fake nails. (MOQ=3)")</x:f>
        <x:v>HYPERLINK is not implemented. linkLocation=https://365nails.com/products/nail-tips-the-nail-piece-is-transparent-plus-a-rectangular-550-pieces-and-the-boxed-patch-is-fully-pasted-with-non-marking-flat-head-square-head-nail-full-size-fake-nails, friendlyName=Nail Tips The nail piece is transparent, plus a rectangular 550 pieces, and the boxed patch is fully pasted with non-marking flat head square head nail full size fake nails. (MOQ=3)</x:v>
      </x:c>
      <x:c r="D2855" s="18" t="str">
        <x:v>Color: Medium Rectangle Armor - Transparent Traceless - 550 Piece Box / Medium and Long Coffin Armor - Transparent Traceless - 550 Piece Box; Quantity: 3pcs</x:v>
      </x:c>
      <x:c r="E2855" s="25" t="str">
        <x:v>$6.51</x:v>
      </x:c>
      <x:c r="F2855" s="19" t="str">
        <x:v>1</x:v>
      </x:c>
    </x:row>
    <x:row r="2856" ht="93" customHeight="1">
      <x:c r="A2856" s="19" t="n">
        <x:v>2853</x:v>
      </x:c>
      <x:c r="B2856" s="22" t="e">
        <x:f>HYPERLINK("https://cdn.shopify.com/s/files/1/0918/6066/4603/files/O1CN01V9xWLq1rlpaGaUvhX__2215158925672-0-cib.jpg?v=1763182904","Open")</x:f>
        <x:v>HYPERLINK is not implemented. linkLocation=https://cdn.shopify.com/s/files/1/0918/6066/4603/files/O1CN01V9xWLq1rlpaGaUvhX__2215158925672-0-cib.jpg?v=1763182904, friendlyName=Open</x:v>
      </x:c>
      <x:c r="C2856" s="24" t="e">
        <x:f>HYPERLINK("https://365nails.com/products/midnight-heart-series-press-on-nails","Midnight Heart Series Press-On Nails")</x:f>
        <x:v>HYPERLINK is not implemented. linkLocation=https://365nails.com/products/midnight-heart-series-press-on-nails, friendlyName=Midnight Heart Series Press-On Nails</x:v>
      </x:c>
      <x:c r="D2856" s="18" t="str">
        <x:v>SIZE: S / M</x:v>
      </x:c>
      <x:c r="E2856" s="25" t="str">
        <x:v>$3.99</x:v>
      </x:c>
      <x:c r="F2856" s="19" t="str">
        <x:v>30</x:v>
      </x:c>
    </x:row>
    <x:row r="2857" ht="93" customHeight="1">
      <x:c r="A2857" s="19" t="n">
        <x:v>2854</x:v>
      </x:c>
      <x:c r="B2857" s="22" t="e">
        <x:f>HYPERLINK("https://cdn.shopify.com/s/files/1/0918/6066/4603/files/O1CN01pH3zHt1qQvf4eM7dq__3917635491-0-cib.jpg?v=1753523317","Open")</x:f>
        <x:v>HYPERLINK is not implemented. linkLocation=https://cdn.shopify.com/s/files/1/0918/6066/4603/files/O1CN01pH3zHt1qQvf4eM7dq__3917635491-0-cib.jpg?v=1753523317, friendlyName=Open</x:v>
      </x:c>
      <x:c r="C2857" s="24" t="e">
        <x:f>HYPERLINK("https://365nails.com/products/simple-english-fashion-style-faner-manicure-summer-press-on-toenails-beauty-essential-special-fake-nails-wear-nail-wholesale-365nails","Simple English fashion style Faner manicure summer Press-on toenails beauty essential special fake nails wear nail wholesale｜365nails")</x:f>
        <x:v>HYPERLINK is not implemented. linkLocation=https://365nails.com/products/simple-english-fashion-style-faner-manicure-summer-press-on-toenails-beauty-essential-special-fake-nails-wear-nail-wholesale-365nails, friendlyName=Simple English fashion style Faner manicure summer Press-on toenails beauty essential special fake nails wear nail wholesale｜365nails</x:v>
      </x:c>
      <x:c r="D2857" s="18" t="str">
        <x:v>color: F109 English Foot Nail [Glue]</x:v>
      </x:c>
      <x:c r="E2857" s="25" t="str">
        <x:v>$0.82</x:v>
      </x:c>
      <x:c r="F2857" s="19" t="str">
        <x:v>1</x:v>
      </x:c>
    </x:row>
    <x:row r="2858" ht="93" customHeight="1">
      <x:c r="A2858" s="19" t="n">
        <x:v>2855</x:v>
      </x:c>
      <x:c r="B2858" s="22" t="e">
        <x:f>HYPERLINK("https://cdn.shopify.com/s/files/1/0918/6066/4603/files/O1CN01Mw6PZW1qQvepWO7rh__3917635491-0-cib.jpg?v=1753523305","Open")</x:f>
        <x:v>HYPERLINK is not implemented. linkLocation=https://cdn.shopify.com/s/files/1/0918/6066/4603/files/O1CN01Mw6PZW1qQvepWO7rh__3917635491-0-cib.jpg?v=1753523305, friendlyName=Open</x:v>
      </x:c>
      <x:c r="C2858" s="24" t="e">
        <x:f>HYPERLINK("https://365nails.com/products/press-on-toenails-seawater-blue-color-scheme-nail-art-fairy-white-fake-nails-spring-and-summer-press-on-toenails-beauty-wearable-press-on-toenails-nail-piece-365nails","Press-on toenails seawater blue color scheme Nail art fairy white fake nails spring and summer Press-on toenails beauty wearable Press-on toenails nail piece｜365nails")</x:f>
        <x:v>HYPERLINK is not implemented. linkLocation=https://365nails.com/products/press-on-toenails-seawater-blue-color-scheme-nail-art-fairy-white-fake-nails-spring-and-summer-press-on-toenails-beauty-wearable-press-on-toenails-nail-piece-365nails, friendlyName=Press-on toenails seawater blue color scheme Nail art fairy white fake nails spring and summer Press-on toenails beauty wearable Press-on toenails nail piece｜365nails</x:v>
      </x:c>
      <x:c r="D2858" s="18" t="str">
        <x:v>color: F108 Dream Sea Blue [Glue]</x:v>
      </x:c>
      <x:c r="E2858" s="25" t="str">
        <x:v>$0.82</x:v>
      </x:c>
      <x:c r="F2858" s="19" t="str">
        <x:v>1</x:v>
      </x:c>
    </x:row>
    <x:row r="2859" ht="93" customHeight="1">
      <x:c r="A2859" s="19" t="n">
        <x:v>2856</x:v>
      </x:c>
      <x:c r="B2859" s="22" t="e">
        <x:f>HYPERLINK("https://cdn.shopify.com/s/files/1/0918/6066/4603/files/O1CN01SYKi6J1qQvfKb0tkg__3917635491-0-cib.jpg?v=1753523293","Open")</x:f>
        <x:v>HYPERLINK is not implemented. linkLocation=https://cdn.shopify.com/s/files/1/0918/6066/4603/files/O1CN01SYKi6J1qQvfKb0tkg__3917635491-0-cib.jpg?v=1753523293, friendlyName=Open</x:v>
      </x:c>
      <x:c r="C2859" s="24" t="e">
        <x:f>HYPERLINK("https://365nails.com/products/small-fresh-matte-taro-purple-love-manicure-sweet-girl-press-on-toenails-manicure-fake-nails-wholesale-nails-365nails","Small fresh matte taro purple love manicure sweet girl Press-on toenails manicure fake nails wholesale nails｜365nails")</x:f>
        <x:v>HYPERLINK is not implemented. linkLocation=https://365nails.com/products/small-fresh-matte-taro-purple-love-manicure-sweet-girl-press-on-toenails-manicure-fake-nails-wholesale-nails-365nails, friendlyName=Small fresh matte taro purple love manicure sweet girl Press-on toenails manicure fake nails wholesale nails｜365nails</x:v>
      </x:c>
      <x:c r="D2859" s="18" t="str">
        <x:v>color: F121 frosted foot armor [glue model]</x:v>
      </x:c>
      <x:c r="E2859" s="25" t="str">
        <x:v>$0.82</x:v>
      </x:c>
      <x:c r="F2859" s="19" t="str">
        <x:v>1</x:v>
      </x:c>
    </x:row>
    <x:row r="2860" ht="93" customHeight="1">
      <x:c r="A2860" s="19" t="n">
        <x:v>2857</x:v>
      </x:c>
      <x:c r="B2860" s="22" t="e">
        <x:f>HYPERLINK("https://cdn.shopify.com/s/files/1/0918/6066/4603/files/O1CN01rFAXpd1qQvf94k2O4__3917635491-0-cib.jpg?v=1753523303","Open")</x:f>
        <x:v>HYPERLINK is not implemented. linkLocation=https://cdn.shopify.com/s/files/1/0918/6066/4603/files/O1CN01rFAXpd1qQvf94k2O4__3917635491-0-cib.jpg?v=1753523303, friendlyName=Open</x:v>
      </x:c>
      <x:c r="C2860" s="24" t="e">
        <x:f>HYPERLINK("https://365nails.com/products/retro-matte-kaleidoscope-manicure-multi-color-flower-fake-nails-press-on-toenails-models-wearing-nail-fake-nails-wholesale-24-pieces-365nails","Retro matte kaleidoscope manicure multi-color flower fake nails Press-on toenails models press-on nails fake nails wholesale 24 pieces｜365nails")</x:f>
        <x:v>HYPERLINK is not implemented. linkLocation=https://365nails.com/products/retro-matte-kaleidoscope-manicure-multi-color-flower-fake-nails-press-on-toenails-models-wearing-nail-fake-nails-wholesale-24-pieces-365nails, friendlyName=Retro matte kaleidoscope manicure multi-color flower fake nails Press-on toenails models press-on nails fake nails wholesale 24 pieces｜365nails</x:v>
      </x:c>
      <x:c r="D2860" s="18" t="str">
        <x:v>color: F119 retro flower bush [glue model]</x:v>
      </x:c>
      <x:c r="E2860" s="25" t="str">
        <x:v>$0.82</x:v>
      </x:c>
      <x:c r="F2860" s="19" t="str">
        <x:v>1</x:v>
      </x:c>
    </x:row>
    <x:row r="2861" ht="93" customHeight="1">
      <x:c r="A2861" s="19" t="n">
        <x:v>2858</x:v>
      </x:c>
      <x:c r="B2861" s="22" t="e">
        <x:f>HYPERLINK("https://cdn.shopify.com/s/files/1/0918/6066/4603/files/O1CN01cBPArf1qQvddNw7n1__3917635491-0-cib.jpg?v=1753523298","Open")</x:f>
        <x:v>HYPERLINK is not implemented. linkLocation=https://cdn.shopify.com/s/files/1/0918/6066/4603/files/O1CN01cBPArf1qQvddNw7n1__3917635491-0-cib.jpg?v=1753523298, friendlyName=Open</x:v>
      </x:c>
      <x:c r="C2861" s="24" t="e">
        <x:f>HYPERLINK("https://365nails.com/products/cute-comic-style-expression-nail-art-press-on-toenails-fake-nails-avocado-green-nail-art-tablets-finished-press-on-toenails-nails-wholesale-365nails","Cute Comic Style Expression Nail Art Press-on toenails Fake Nails Avocado Green Nail Art Tablets Finished Press-on toenails Nails Wholesale｜365nails")</x:f>
        <x:v>HYPERLINK is not implemented. linkLocation=https://365nails.com/products/cute-comic-style-expression-nail-art-press-on-toenails-fake-nails-avocado-green-nail-art-tablets-finished-press-on-toenails-nails-wholesale-365nails, friendlyName=Cute Comic Style Expression Nail Art Press-on toenails Fake Nails Avocado Green Nail Art Tablets Finished Press-on toenails Nails Wholesale｜365nails</x:v>
      </x:c>
      <x:c r="D2861" s="18" t="str">
        <x:v>color: F095 Fresh Comic [Glue]</x:v>
      </x:c>
      <x:c r="E2861" s="25" t="str">
        <x:v>$0.82</x:v>
      </x:c>
      <x:c r="F2861" s="19" t="str">
        <x:v>1</x:v>
      </x:c>
    </x:row>
    <x:row r="2862" ht="93" customHeight="1">
      <x:c r="A2862" s="19" t="n">
        <x:v>2859</x:v>
      </x:c>
      <x:c r="B2862" s="22" t="e">
        <x:f>HYPERLINK("https://cdn.shopify.com/s/files/1/0918/6066/4603/files/O1CN01kfj7r81qQvqwLRpoG__3917635491-0-cib.jpg?v=1753523290","Open")</x:f>
        <x:v>HYPERLINK is not implemented. linkLocation=https://cdn.shopify.com/s/files/1/0918/6066/4603/files/O1CN01kfj7r81qQvqwLRpoG__3917635491-0-cib.jpg?v=1753523290, friendlyName=Open</x:v>
      </x:c>
      <x:c r="C2862" s="24" t="e">
        <x:f>HYPERLINK("https://365nails.com/products/three-dimensional-hollow-love-bow-letters-sweet-and-versatile-removable-toenails-24-pieces-365nails","Three-dimensional hollow love bow letters sweet and versatile   removable toenails 24 pieces｜365nails")</x:f>
        <x:v>HYPERLINK is not implemented. linkLocation=https://365nails.com/products/three-dimensional-hollow-love-bow-letters-sweet-and-versatile-removable-toenails-24-pieces-365nails, friendlyName=Three-dimensional hollow love bow letters sweet and versatile   removable toenails 24 pieces｜365nails</x:v>
      </x:c>
      <x:c r="D2862" s="18" t="str">
        <x:v>Color: F180 three-dimensional love [glue model]</x:v>
      </x:c>
      <x:c r="E2862" s="25" t="str">
        <x:v>$0.90</x:v>
      </x:c>
      <x:c r="F2862" s="19" t="str">
        <x:v>1</x:v>
      </x:c>
    </x:row>
    <x:row r="2863" ht="93" customHeight="1">
      <x:c r="A2863" s="19" t="n">
        <x:v>2860</x:v>
      </x:c>
      <x:c r="B2863" s="22" t="e">
        <x:f>HYPERLINK("https://cdn.shopify.com/s/files/1/0918/6066/4603/files/O1CN01qESVMz1qQvf5SZAYj__3917635491-0-cib.jpg?v=1753523281","Open")</x:f>
        <x:v>HYPERLINK is not implemented. linkLocation=https://cdn.shopify.com/s/files/1/0918/6066/4603/files/O1CN01qESVMz1qQvf5SZAYj__3917635491-0-cib.jpg?v=1753523281, friendlyName=Open</x:v>
      </x:c>
      <x:c r="C2863" s="24" t="e">
        <x:f>HYPERLINK("https://365nails.com/products/press-on-toenails-triangle-french-flash-powder-summer-manicure-sweet-spice-girl-special-press-on-toenails-nail-wear-nail-365nails","Press-on toenails triangle French flash powder summer manicure sweet spice girl special Press-on toenails nail wear nail｜365nails")</x:f>
        <x:v>HYPERLINK is not implemented. linkLocation=https://365nails.com/products/press-on-toenails-triangle-french-flash-powder-summer-manicure-sweet-spice-girl-special-press-on-toenails-nail-wear-nail-365nails, friendlyName=Press-on toenails triangle French flash powder summer manicure sweet spice girl special Press-on toenails nail wear nail｜365nails</x:v>
      </x:c>
      <x:c r="D2863" s="18" t="str">
        <x:v>color: F113 French glitter [glue model]</x:v>
      </x:c>
      <x:c r="E2863" s="25" t="str">
        <x:v>$0.82</x:v>
      </x:c>
      <x:c r="F2863" s="19" t="str">
        <x:v>1</x:v>
      </x:c>
    </x:row>
    <x:row r="2864" ht="93" customHeight="1">
      <x:c r="A2864" s="19" t="n">
        <x:v>2861</x:v>
      </x:c>
      <x:c r="B2864" s="22" t="e">
        <x:f>HYPERLINK("https://cdn.shopify.com/s/files/1/0918/6066/4603/files/O1CN01zRhWds1qQvcofLcun__3917635491-0-cib.jpg?v=1753523265","Open")</x:f>
        <x:v>HYPERLINK is not implemented. linkLocation=https://cdn.shopify.com/s/files/1/0918/6066/4603/files/O1CN01zRhWds1qQvcofLcun__3917635491-0-cib.jpg?v=1753523265, friendlyName=Open</x:v>
      </x:c>
      <x:c r="C2864" s="24" t="e">
        <x:f>HYPERLINK("https://365nails.com/products/simple-french-simple-elegant-and-fresh-summer-new-flower-press-on-toenails-wear-armor-sweet-girl-ins-wind-press-on-toenails-armor-365nails","Simple French simple, elegant and fresh summer new flower Press-on toenails wear armor sweet girl ins wind Press-on toenails armor｜365nails")</x:f>
        <x:v>HYPERLINK is not implemented. linkLocation=https://365nails.com/products/simple-french-simple-elegant-and-fresh-summer-new-flower-press-on-toenails-wear-armor-sweet-girl-ins-wind-press-on-toenails-armor-365nails, friendlyName=Simple French simple, elegant and fresh summer new flower Press-on toenails wear armor sweet girl ins wind Press-on toenails armor｜365nails</x:v>
      </x:c>
      <x:c r="D2864" s="18" t="str">
        <x:v>color: F075 Elegant and fresh [glue model]</x:v>
      </x:c>
      <x:c r="E2864" s="25" t="str">
        <x:v>$0.82</x:v>
      </x:c>
      <x:c r="F2864" s="19" t="str">
        <x:v>1</x:v>
      </x:c>
    </x:row>
    <x:row r="2865" ht="93" customHeight="1">
      <x:c r="A2865" s="19" t="n">
        <x:v>2862</x:v>
      </x:c>
      <x:c r="B2865" s="22" t="e">
        <x:f>HYPERLINK("https://cdn.shopify.com/s/files/1/0918/6066/4603/files/O1CN01uHqsrs1qQvdDyZq1v__3917635491-0-cib.jpg?v=1753523255","Open")</x:f>
        <x:v>HYPERLINK is not implemented. linkLocation=https://cdn.shopify.com/s/files/1/0918/6066/4603/files/O1CN01uHqsrs1qQvdDyZq1v__3917635491-0-cib.jpg?v=1753523255, friendlyName=Open</x:v>
      </x:c>
      <x:c r="C2865" s="24" t="e">
        <x:f>HYPERLINK("https://365nails.com/products/pink-flash-full-nail-press-on-toenails-model-love-impact-manicure-wear-nail-press-on-toenails-model-fake-nail-finished-product-cute-press-on-toenails-nail-wholesale-365nails","Pink flash full nail Press-on toenails model love impact manicure wear nail Press-on toenails model fake nail finished product cute Press-on toenails nail wholesale｜365nails")</x:f>
        <x:v>HYPERLINK is not implemented. linkLocation=https://365nails.com/products/pink-flash-full-nail-press-on-toenails-model-love-impact-manicure-wear-nail-press-on-toenails-model-fake-nail-finished-product-cute-press-on-toenails-nail-wholesale-365nails, friendlyName=Pink flash full nail Press-on toenails model love impact manicure wear nail Press-on toenails model fake nail finished product cute Press-on toenails nail wholesale｜365nails</x:v>
      </x:c>
      <x:c r="D2865" s="18" t="str">
        <x:v>color: F089 Explosive Love [Glue]</x:v>
      </x:c>
      <x:c r="E2865" s="25" t="str">
        <x:v>$0.82</x:v>
      </x:c>
      <x:c r="F2865" s="19" t="str">
        <x:v>1</x:v>
      </x:c>
    </x:row>
    <x:row r="2866" ht="93" customHeight="1">
      <x:c r="A2866" s="19" t="n">
        <x:v>2863</x:v>
      </x:c>
      <x:c r="B2866" s="22" t="e">
        <x:f>HYPERLINK("https://cdn.shopify.com/s/files/1/0918/6066/4603/files/O1CN01Qxa1tA1qQvdLcKyLg__3917635491-0-cib.jpg?v=1753523251","Open")</x:f>
        <x:v>HYPERLINK is not implemented. linkLocation=https://cdn.shopify.com/s/files/1/0918/6066/4603/files/O1CN01Qxa1tA1qQvdLcKyLg__3917635491-0-cib.jpg?v=1753523251, friendlyName=Open</x:v>
      </x:c>
      <x:c r="C2866" s="24" t="e">
        <x:f>HYPERLINK("https://365nails.com/products/cute-short-press-on-toenails-nail-milk-coffee-chestnut-color-complementary-flower-fake-nail-summer-must-wear-nail-press-on-toenails-nail-piece-365nails","Cute short Press-on toenails nail milk coffee chestnut color complementary flower fake nail summer must wear nail Press-on toenails nail piece｜365nails")</x:f>
        <x:v>HYPERLINK is not implemented. linkLocation=https://365nails.com/products/cute-short-press-on-toenails-nail-milk-coffee-chestnut-color-complementary-flower-fake-nail-summer-must-wear-nail-press-on-toenails-nail-piece-365nails, friendlyName=Cute short Press-on toenails nail milk coffee chestnut color complementary flower fake nail summer must wear nail Press-on toenails nail piece｜365nails</x:v>
      </x:c>
      <x:c r="D2866" s="18" t="str">
        <x:v>color: F090 cute flower [glue model]</x:v>
      </x:c>
      <x:c r="E2866" s="25" t="str">
        <x:v>$0.76</x:v>
      </x:c>
      <x:c r="F2866" s="19" t="str">
        <x:v>1</x:v>
      </x:c>
    </x:row>
    <x:row r="2867" ht="93" customHeight="1">
      <x:c r="A2867" s="19" t="n">
        <x:v>2864</x:v>
      </x:c>
      <x:c r="B2867" s="22" t="e">
        <x:f>HYPERLINK("https://cdn.shopify.com/s/files/1/0918/6066/4603/files/O1CN01xEai8A1qQveCKkHIP__3917635491-0-cib.jpg?v=1753523233","Open")</x:f>
        <x:v>HYPERLINK is not implemented. linkLocation=https://cdn.shopify.com/s/files/1/0918/6066/4603/files/O1CN01xEai8A1qQveCKkHIP__3917635491-0-cib.jpg?v=1753523233, friendlyName=Open</x:v>
      </x:c>
      <x:c r="C2867" s="24" t="e">
        <x:f>HYPERLINK("https://365nails.com/products/press-on-toenails-flower-checkerboard-nail-art-sweet-cool-white-black-pink-press-on-toenails-wearing-nail-removable-press-on-toenails-nail-wholesale-365nails","Press-on toenails flower checkerboard nail art sweet cool white black pink Press-on toenails press-on nails removable Press-on toenails nail wholesale｜365nails")</x:f>
        <x:v>HYPERLINK is not implemented. linkLocation=https://365nails.com/products/press-on-toenails-flower-checkerboard-nail-art-sweet-cool-white-black-pink-press-on-toenails-wearing-nail-removable-press-on-toenails-nail-wholesale-365nails, friendlyName=Press-on toenails flower checkerboard nail art sweet cool white black pink Press-on toenails press-on nails removable Press-on toenails nail wholesale｜365nails</x:v>
      </x:c>
      <x:c r="D2867" s="18" t="str">
        <x:v>color: F102 checkerboard flower [glue model]</x:v>
      </x:c>
      <x:c r="E2867" s="25" t="str">
        <x:v>$0.82</x:v>
      </x:c>
      <x:c r="F2867" s="19" t="str">
        <x:v>1</x:v>
      </x:c>
    </x:row>
    <x:row r="2868" ht="93" customHeight="1">
      <x:c r="A2868" s="19" t="n">
        <x:v>2865</x:v>
      </x:c>
      <x:c r="B2868" s="22" t="e">
        <x:f>HYPERLINK("https://cdn.shopify.com/s/files/1/0918/6066/4603/files/O1CN01I7mYUt1qQvccgU7QI__3917635491-0-cib.jpg?v=1753523196","Open")</x:f>
        <x:v>HYPERLINK is not implemented. linkLocation=https://cdn.shopify.com/s/files/1/0918/6066/4603/files/O1CN01I7mYUt1qQvccgU7QI__3917635491-0-cib.jpg?v=1753523196, friendlyName=Open</x:v>
      </x:c>
      <x:c r="C2868" s="24" t="e">
        <x:f>HYPERLINK("https://365nails.com/products/simple-double-spell-lake-blue-special-fake-nail-for-feet-flash-sweet-and-cool-spice-girl-exclusive-press-on-toenails-365nails","Simple double-spell lake blue , special fake nail for feet, flash sweet and cool Spice Girl exclusive Press-on toenails ｜365nails")</x:f>
        <x:v>HYPERLINK is not implemented. linkLocation=https://365nails.com/products/simple-double-spell-lake-blue-special-fake-nail-for-feet-flash-sweet-and-cool-spice-girl-exclusive-press-on-toenails-365nails, friendlyName=Simple double-spell lake blue , special fake nail for feet, flash sweet and cool Spice Girl exclusive Press-on toenails ｜365nails</x:v>
      </x:c>
      <x:c r="D2868" s="18" t="str">
        <x:v>color: F049 Flash Lake Blue [Glue]</x:v>
      </x:c>
      <x:c r="E2868" s="25" t="str">
        <x:v>$0.82</x:v>
      </x:c>
      <x:c r="F2868" s="19" t="str">
        <x:v>1</x:v>
      </x:c>
    </x:row>
    <x:row r="2869" ht="93" customHeight="1">
      <x:c r="A2869" s="19" t="n">
        <x:v>2866</x:v>
      </x:c>
      <x:c r="B2869" s="22" t="e">
        <x:f>HYPERLINK("https://cdn.shopify.com/s/files/1/0918/6066/4603/files/O1CN01DVvRB61qQvcpGttuW__3917635491-0-cib.jpg?v=1753523230","Open")</x:f>
        <x:v>HYPERLINK is not implemented. linkLocation=https://cdn.shopify.com/s/files/1/0918/6066/4603/files/O1CN01DVvRB61qQvcpGttuW__3917635491-0-cib.jpg?v=1753523230, friendlyName=Open</x:v>
      </x:c>
      <x:c r="C2869" s="24" t="e">
        <x:f>HYPERLINK("https://365nails.com/products/simple-and-pure-french-flash-pink-diamond-press-on-toenails-model-wearing-armor-fake-nails-sweet-girl-style-press-on-toenails-nail-piece-365nails","Simple and pure French flash pink diamond Press-on toenails model wearing armor fake nails sweet girl style Press-on toenails nail piece｜365nails")</x:f>
        <x:v>HYPERLINK is not implemented. linkLocation=https://365nails.com/products/simple-and-pure-french-flash-pink-diamond-press-on-toenails-model-wearing-armor-fake-nails-sweet-girl-style-press-on-toenails-nail-piece-365nails, friendlyName=Simple and pure French flash pink diamond Press-on toenails model wearing armor fake nails sweet girl style Press-on toenails nail piece｜365nails</x:v>
      </x:c>
      <x:c r="D2869" s="18" t="str">
        <x:v>color: F056 Explosive Pure Desire [Glue Model]</x:v>
      </x:c>
      <x:c r="E2869" s="25" t="str">
        <x:v>$1.25</x:v>
      </x:c>
      <x:c r="F2869" s="19" t="str">
        <x:v>1</x:v>
      </x:c>
    </x:row>
    <x:row r="2870" ht="93" customHeight="1">
      <x:c r="A2870" s="19" t="n">
        <x:v>2867</x:v>
      </x:c>
      <x:c r="B2870" s="22" t="e">
        <x:f>HYPERLINK("https://cdn.shopify.com/s/files/1/0918/6066/4603/files/O1CN014ikuwX1qQvcrV5tXl__3917635491-0-cib.jpg?v=1753523219","Open")</x:f>
        <x:v>HYPERLINK is not implemented. linkLocation=https://cdn.shopify.com/s/files/1/0918/6066/4603/files/O1CN014ikuwX1qQvcrV5tXl__3917635491-0-cib.jpg?v=1753523219, friendlyName=Open</x:v>
      </x:c>
      <x:c r="C2870" s="24" t="e">
        <x:f>HYPERLINK("https://365nails.com/products/simple-french-white-daisy-press-on-toenails-fake-nails-small-fresh-girl-manicure-press-on-toenails-special-nail-nails-365nails","Simple French white daisy Press-on toenails fake nails Small fresh girl manicure Press-on toenails special nail nails｜365nails")</x:f>
        <x:v>HYPERLINK is not implemented. linkLocation=https://365nails.com/products/simple-french-white-daisy-press-on-toenails-fake-nails-small-fresh-girl-manicure-press-on-toenails-special-nail-nails-365nails, friendlyName=Simple French white daisy Press-on toenails fake nails Small fresh girl manicure Press-on toenails special nail nails｜365nails</x:v>
      </x:c>
      <x:c r="D2870" s="18" t="str">
        <x:v>color: F063 Simple Daisy [Glue]</x:v>
      </x:c>
      <x:c r="E2870" s="25" t="str">
        <x:v>$0.70</x:v>
      </x:c>
      <x:c r="F2870" s="19" t="str">
        <x:v>1</x:v>
      </x:c>
    </x:row>
    <x:row r="2871" ht="93" customHeight="1">
      <x:c r="A2871" s="19" t="n">
        <x:v>2868</x:v>
      </x:c>
      <x:c r="B2871" s="22" t="e">
        <x:f>HYPERLINK("https://cdn.shopify.com/s/files/1/0918/6066/4603/files/O1CN01NOfUAm1qQvcz8TG2e__3917635491-0-cib.jpg?v=1753523146","Open")</x:f>
        <x:v>HYPERLINK is not implemented. linkLocation=https://cdn.shopify.com/s/files/1/0918/6066/4603/files/O1CN01NOfUAm1qQvcz8TG2e__3917635491-0-cib.jpg?v=1753523146, friendlyName=Open</x:v>
      </x:c>
      <x:c r="C2871" s="24" t="e">
        <x:f>HYPERLINK("https://365nails.com/products/white-cool-and-elegant-black-oily-and-shiny-fake-nails-press-on-toenails-models-wearing-nail-spice-girl-nail-art-special-for-press-on-toenails-nails-365nails","White, cool and elegant, black oily and shiny, fake nails, Press-on toenails models, press-on nails, Spice Girl  nail art, special for Press-on toenails nails.｜365nails")</x:f>
        <x:v>HYPERLINK is not implemented. linkLocation=https://365nails.com/products/white-cool-and-elegant-black-oily-and-shiny-fake-nails-press-on-toenails-models-wearing-nail-spice-girl-nail-art-special-for-press-on-toenails-nails-365nails, friendlyName=White, cool and elegant, black oily and shiny, fake nails, Press-on toenails models, press-on nails, Spice Girl  nail art, special for Press-on toenails nails.｜365nails</x:v>
      </x:c>
      <x:c r="D2871" s="18" t="str">
        <x:v>color: F070 solid color cool black [glue model]</x:v>
      </x:c>
      <x:c r="E2871" s="25" t="str">
        <x:v>$0.30</x:v>
      </x:c>
      <x:c r="F2871" s="19" t="str">
        <x:v>1</x:v>
      </x:c>
    </x:row>
    <x:row r="2872" ht="93" customHeight="1">
      <x:c r="A2872" s="19" t="n">
        <x:v>2869</x:v>
      </x:c>
      <x:c r="B2872" s="22" t="e">
        <x:f>HYPERLINK("https://cdn.shopify.com/s/files/1/0918/6066/4603/files/O1CN01STQwPc1qQvcLuUq9L__3917635491-0-cib.jpg?v=1753523141","Open")</x:f>
        <x:v>HYPERLINK is not implemented. linkLocation=https://cdn.shopify.com/s/files/1/0918/6066/4603/files/O1CN01STQwPc1qQvcLuUq9L__3917635491-0-cib.jpg?v=1753523141, friendlyName=Open</x:v>
      </x:c>
      <x:c r="C2872" s="24" t="e">
        <x:f>HYPERLINK("https://365nails.com/products/simple-and-pure-white-french-broken-diamond-press-on-toenails-model-wearing-nail-nail-powder-transparent-and-fresh-essential-toenail-pieces-in-summer-365nails","Simple and pure white French broken diamond Press-on toenails model, press-on nails nail powder, transparent and fresh, essential toenail pieces in summer｜365nails")</x:f>
        <x:v>HYPERLINK is not implemented. linkLocation=https://365nails.com/products/simple-and-pure-white-french-broken-diamond-press-on-toenails-model-wearing-nail-nail-powder-transparent-and-fresh-essential-toenail-pieces-in-summer-365nails, friendlyName=Simple and pure white French broken diamond Press-on toenails model, press-on nails nail powder, transparent and fresh, essential toenail pieces in summer｜365nails</x:v>
      </x:c>
      <x:c r="D2872" s="18" t="str">
        <x:v>Color: F041 Pure Desire Stacking Diamond [Glue Model]</x:v>
      </x:c>
      <x:c r="E2872" s="25" t="str">
        <x:v>$1.03</x:v>
      </x:c>
      <x:c r="F2872" s="19" t="str">
        <x:v>1</x:v>
      </x:c>
    </x:row>
    <x:row r="2873" ht="93" customHeight="1">
      <x:c r="A2873" s="19" t="n">
        <x:v>2870</x:v>
      </x:c>
      <x:c r="B2873" s="22" t="e">
        <x:f>HYPERLINK("https://cdn.shopify.com/s/files/1/0918/6066/4603/files/O1CN01r64lnt1qQvdHKATil__3917635491-0-cib.jpg?v=1753523125","Open")</x:f>
        <x:v>HYPERLINK is not implemented. linkLocation=https://cdn.shopify.com/s/files/1/0918/6066/4603/files/O1CN01r64lnt1qQvdHKATil__3917635491-0-cib.jpg?v=1753523125, friendlyName=Open</x:v>
      </x:c>
      <x:c r="C2873" s="24" t="e">
        <x:f>HYPERLINK("https://365nails.com/products/flash-zebra-pattern-mandarin-duck-double-spell-manicure-fake-nail-press-on-toenails-model-black-and-white-manicure-sweet-cool-hot-girl-press-on-toenails-nail-piece-nails-365nails","Flash zebra pattern mandarin duck double spell manicure fake nail Press-on toenails model black and white manicure sweet cool hot girl Press-on toenails nail piece nails｜365nails")</x:f>
        <x:v>HYPERLINK is not implemented. linkLocation=https://365nails.com/products/flash-zebra-pattern-mandarin-duck-double-spell-manicure-fake-nail-press-on-toenails-model-black-and-white-manicure-sweet-cool-hot-girl-press-on-toenails-nail-piece-nails-365nails, friendlyName=Flash zebra pattern mandarin duck double spell manicure fake nail Press-on toenails model black and white manicure sweet cool hot girl Press-on toenails nail piece nails｜365nails</x:v>
      </x:c>
      <x:c r="D2873" s="18" t="str">
        <x:v>color: F082 Zebra pattern [glue model]</x:v>
      </x:c>
      <x:c r="E2873" s="25" t="str">
        <x:v>$0.82</x:v>
      </x:c>
      <x:c r="F2873" s="19" t="str">
        <x:v>1</x:v>
      </x:c>
    </x:row>
    <x:row r="2874" ht="93" customHeight="1">
      <x:c r="A2874" s="19" t="n">
        <x:v>2871</x:v>
      </x:c>
      <x:c r="B2874" s="22" t="e">
        <x:f>HYPERLINK("https://cdn.shopify.com/s/files/1/0918/6066/4603/files/O1CN01O1xlYw1qQvk7NhUAn__3917635491-0-cib.jpg?v=1753523114","Open")</x:f>
        <x:v>HYPERLINK is not implemented. linkLocation=https://cdn.shopify.com/s/files/1/0918/6066/4603/files/O1CN01O1xlYw1qQvk7NhUAn__3917635491-0-cib.jpg?v=1753523114, friendlyName=Open</x:v>
      </x:c>
      <x:c r="C2874" s="24" t="e">
        <x:f>HYPERLINK("https://365nails.com/products/2024-new-toenail-wearing-nail-removable-aurora-butterfly-press-on-toenails-24-pieces-365nails","Toenail press-on nails Removable Aurora Butterfly Press-on toenails   24 pieces｜365nails")</x:f>
        <x:v>HYPERLINK is not implemented. linkLocation=https://365nails.com/products/2024-new-toenail-wearing-nail-removable-aurora-butterfly-press-on-toenails-24-pieces-365nails, friendlyName=Toenail press-on nails Removable Aurora Butterfly Press-on toenails   24 pieces｜365nails</x:v>
      </x:c>
      <x:c r="D2874" s="18" t="str">
        <x:v>Color: F142 Aurora Butterfly [Glue]</x:v>
      </x:c>
      <x:c r="E2874" s="25" t="str">
        <x:v>$1.03</x:v>
      </x:c>
      <x:c r="F2874" s="19" t="str">
        <x:v>1</x:v>
      </x:c>
    </x:row>
    <x:row r="2875" ht="93" customHeight="1">
      <x:c r="A2875" s="19" t="n">
        <x:v>2872</x:v>
      </x:c>
      <x:c r="B2875" s="22" t="e">
        <x:f>HYPERLINK("https://cdn.shopify.com/s/files/1/0918/6066/4603/files/badd89699106b6477d699459a8242af1.jpg?v=1753523095","Open")</x:f>
        <x:v>HYPERLINK is not implemented. linkLocation=https://cdn.shopify.com/s/files/1/0918/6066/4603/files/badd89699106b6477d699459a8242af1.jpg?v=1753523095, friendlyName=Open</x:v>
      </x:c>
      <x:c r="C2875" s="24" t="e">
        <x:f>HYPERLINK("https://365nails.com/products/pure-desire-french-diamond-flash-ins-wind-sweet-and-cool-hot-girl-wearing-nail-and-press-on-toenails-special-fake-nail-manicure-piece-press-on-toenails-nail-365nails","Pure desire French diamond flash ins wind sweet and cool hot girl press-on nails and Press-on toenails special fake nail manicure piece Press-on toenails nail｜365nails")</x:f>
        <x:v>HYPERLINK is not implemented. linkLocation=https://365nails.com/products/pure-desire-french-diamond-flash-ins-wind-sweet-and-cool-hot-girl-wearing-nail-and-press-on-toenails-special-fake-nail-manicure-piece-press-on-toenails-nail-365nails, friendlyName=Pure desire French diamond flash ins wind sweet and cool hot girl press-on nails and Press-on toenails special fake nail manicure piece Press-on toenails nail｜365nails</x:v>
      </x:c>
      <x:c r="D2875" s="18" t="str">
        <x:v>Color: F041 Pure Desire Stacking Diamond [Glue Model] / F042 British Flower [Glue] / F043 Explosive burgundy [glue model] / F044 Natural Meat Powder [Glue] / F045 Sweet Cool Black Silver [Glue] / F046 Star Sparkle Silver [Glue] / F047 Fresh Butterfly [Glue] / F048 Simple French [Glue] / F049 Flash Lake Blue [Glue] / F050 Explosive Flash Full Diamond [Glue Model] / F051 Amber Leopard Print [Glue] / F052 Lake Blue Glitter [Glue] / F053 Spring and Summer Flowers [Glue] / F054 Simple Spring [Glue] / F055 Natural Educated Youth [Glue] / F056 Explosive Pure Desire [Glue Model] / F057 Fresh Geometry [Glue] / F058 burgundy flower [glue model] / F059 Pure Desire Stacking Diamond [Glue Model] / F060 Spade Love [Glue] / F061 Amber Shadow [Glue] / F062 Pure French Style [Glue] / F063 Simple Daisy [Glue] / F064 Cross Rib [Glue] / F065 Explosive Flash Stack Diamond [Glue Model] / F066 Pure Desire Flower [Glue] / F067 Solid Color Bright Orange [Glue] / F068 solid color sea blue [glue model] / F069 solid color milk white [glue model] / F070 solid color cool black [glue model] / F071 Solid color lotus root powder [glue model] / F072 Elegant plain flower [glue model] / F073 Geometric French [Glue] / F074 Explosive Flash Stack Diamond [Glue Model] / F075 Elegant and fresh [glue model] / F076 Pink Bright Diamond [Glue] / F077 Black Blue Butterfly [Glue] / F078 Cute Tutu [Glue] / F079 French red powder [glue model] / F080 Blue Butterfly [Glue]</x:v>
      </x:c>
      <x:c r="E2875" s="25" t="str">
        <x:v>$0.43–$1.25</x:v>
      </x:c>
      <x:c r="F2875" s="19" t="str">
        <x:v>1</x:v>
      </x:c>
    </x:row>
    <x:row r="2876" ht="93" customHeight="1">
      <x:c r="A2876" s="19" t="n">
        <x:v>2873</x:v>
      </x:c>
      <x:c r="B2876" s="22" t="e">
        <x:f>HYPERLINK("https://cdn.shopify.com/s/files/1/0918/6066/4603/files/O1CN01yVGP921qQvdDpiygW__3917635491-0-cib.jpg?v=1753523085","Open")</x:f>
        <x:v>HYPERLINK is not implemented. linkLocation=https://cdn.shopify.com/s/files/1/0918/6066/4603/files/O1CN01yVGP921qQvdDpiygW__3917635491-0-cib.jpg?v=1753523085, friendlyName=Open</x:v>
      </x:c>
      <x:c r="C2876" s="24" t="e">
        <x:f>HYPERLINK("https://365nails.com/products/rich-flowers-bloom-colorful-summer-flowers-orange-white-fake-nails-sweet-removable-press-on-toenails-nail-wholesale-finished-product-365nails","Rich flowers bloom colorful summer flowers orange white fake nails sweet removable Press-on toenails nail wholesale finished product｜365nails")</x:f>
        <x:v>HYPERLINK is not implemented. linkLocation=https://365nails.com/products/rich-flowers-bloom-colorful-summer-flowers-orange-white-fake-nails-sweet-removable-press-on-toenails-nail-wholesale-finished-product-365nails, friendlyName=Rich flowers bloom colorful summer flowers orange white fake nails sweet removable Press-on toenails nail wholesale finished product｜365nails</x:v>
      </x:c>
      <x:c r="D2876" s="18" t="str">
        <x:v>color: F084 Rich Flower Blossom [Glue Model]</x:v>
      </x:c>
      <x:c r="E2876" s="25" t="str">
        <x:v>$0.91</x:v>
      </x:c>
      <x:c r="F2876" s="19" t="str">
        <x:v>1</x:v>
      </x:c>
    </x:row>
    <x:row r="2877" ht="93" customHeight="1">
      <x:c r="A2877" s="19" t="n">
        <x:v>2874</x:v>
      </x:c>
      <x:c r="B2877" s="22" t="e">
        <x:f>HYPERLINK("https://cdn.shopify.com/s/files/1/0918/6066/4603/files/O1CN019dGhvF1qQvcqNrYYJ__3917635491-0-cib.jpg?v=1753523056","Open")</x:f>
        <x:v>HYPERLINK is not implemented. linkLocation=https://cdn.shopify.com/s/files/1/0918/6066/4603/files/O1CN019dGhvF1qQvcqNrYYJ__3917635491-0-cib.jpg?v=1753523056, friendlyName=Open</x:v>
      </x:c>
      <x:c r="C2877" s="24" t="e">
        <x:f>HYPERLINK("https://365nails.com/products/simple-and-fresh-sea-blue-irregular-collection-striped-wearing-nail-press-on-toenails-fake-nail-press-on-toenails-nail-art-piece-365nails","Simple and fresh sea blue irregular collection striped press-on nails Press-on toenails fake nail Press-on toenails nail art piece｜365nails")</x:f>
        <x:v>HYPERLINK is not implemented. linkLocation=https://365nails.com/products/simple-and-fresh-sea-blue-irregular-collection-striped-wearing-nail-press-on-toenails-fake-nail-press-on-toenails-nail-art-piece-365nails, friendlyName=Simple and fresh sea blue irregular collection striped press-on nails Press-on toenails fake nail Press-on toenails nail art piece｜365nails</x:v>
      </x:c>
      <x:c r="D2877" s="18" t="str">
        <x:v>color: F057 Fresh Geometry [Glue]</x:v>
      </x:c>
      <x:c r="E2877" s="25" t="str">
        <x:v>$0.82</x:v>
      </x:c>
      <x:c r="F2877" s="19" t="str">
        <x:v>1</x:v>
      </x:c>
    </x:row>
    <x:row r="2878" ht="93" customHeight="1">
      <x:c r="A2878" s="19" t="n">
        <x:v>2875</x:v>
      </x:c>
      <x:c r="B2878" s="22" t="e">
        <x:f>HYPERLINK("https://cdn.shopify.com/s/files/1/0918/6066/4603/files/O1CN016c3puL1qQveRb4d3I__3917635491-0-cib.jpg?v=1753523004","Open")</x:f>
        <x:v>HYPERLINK is not implemented. linkLocation=https://cdn.shopify.com/s/files/1/0918/6066/4603/files/O1CN016c3puL1qQveRb4d3I__3917635491-0-cib.jpg?v=1753523004, friendlyName=Open</x:v>
      </x:c>
      <x:c r="C2878" s="24" t="e">
        <x:f>HYPERLINK("https://365nails.com/products/sweet-and-cool-solid-color-tanning-love-manicure-press-on-toenails-model-wearing-nail-fake-nails-can-be-wholesale-manicure-24-pieces-365nails","Sweet and cool solid color tanning love manicure Press-on toenails model press-on nails fake nails can be wholesale manicure 24 pieces｜365nails")</x:f>
        <x:v>HYPERLINK is not implemented. linkLocation=https://365nails.com/products/sweet-and-cool-solid-color-tanning-love-manicure-press-on-toenails-model-wearing-nail-fake-nails-can-be-wholesale-manicure-24-pieces-365nails, friendlyName=Sweet and cool solid color tanning love manicure Press-on toenails model press-on nails fake nails can be wholesale manicure 24 pieces｜365nails</x:v>
      </x:c>
      <x:c r="D2878" s="18" t="str">
        <x:v>color: F105 Sweet Cool Black Red [Glue]</x:v>
      </x:c>
      <x:c r="E2878" s="25" t="str">
        <x:v>$0.82</x:v>
      </x:c>
      <x:c r="F2878" s="19" t="str">
        <x:v>1</x:v>
      </x:c>
    </x:row>
    <x:row r="2879" ht="93" customHeight="1">
      <x:c r="A2879" s="19" t="n">
        <x:v>2876</x:v>
      </x:c>
      <x:c r="B2879" s="22" t="e">
        <x:f>HYPERLINK("https://cdn.shopify.com/s/files/1/0918/6066/4603/files/O1CN017uEB2T1qQvcbH3Iqp__3917635491-0-cib.jpg?v=1753522995","Open")</x:f>
        <x:v>HYPERLINK is not implemented. linkLocation=https://cdn.shopify.com/s/files/1/0918/6066/4603/files/O1CN017uEB2T1qQvcbH3Iqp__3917635491-0-cib.jpg?v=1753522995, friendlyName=Open</x:v>
      </x:c>
      <x:c r="C2879" s="24" t="e">
        <x:f>HYPERLINK("https://365nails.com/products/fresh-and-pure-3d-butterfly-press-on-toenails-model-wearing-nail-fairy-special-nail-piece-press-on-toenails-model-fake-nail-365nails","Fresh and pure 3D butterfly Press-on toenails model press-on nails fairy special nail piece Press-on toenails model fake nail ｜365nails")</x:f>
        <x:v>HYPERLINK is not implemented. linkLocation=https://365nails.com/products/fresh-and-pure-3d-butterfly-press-on-toenails-model-wearing-nail-fairy-special-nail-piece-press-on-toenails-model-fake-nail-365nails, friendlyName=Fresh and pure 3D butterfly Press-on toenails model press-on nails fairy special nail piece Press-on toenails model fake nail ｜365nails</x:v>
      </x:c>
      <x:c r="D2879" s="18" t="str">
        <x:v>color: F047 Fresh Butterfly [Glue]</x:v>
      </x:c>
      <x:c r="E2879" s="25" t="str">
        <x:v>$1.03</x:v>
      </x:c>
      <x:c r="F2879" s="19" t="str">
        <x:v>1</x:v>
      </x:c>
    </x:row>
    <x:row r="2880" ht="93" customHeight="1">
      <x:c r="A2880" s="19" t="n">
        <x:v>2877</x:v>
      </x:c>
      <x:c r="B2880" s="22" t="e">
        <x:f>HYPERLINK("https://cdn.shopify.com/s/files/1/0918/6066/4603/files/O1CN01AxnqiO2ABd0IxfLyi__2218458308165-0-cib_3e446141-26e2-4f8b-a5be-61115346472f.jpg?v=1776157929","Open")</x:f>
        <x:v>HYPERLINK is not implemented. linkLocation=https://cdn.shopify.com/s/files/1/0918/6066/4603/files/O1CN01AxnqiO2ABd0IxfLyi__2218458308165-0-cib_3e446141-26e2-4f8b-a5be-61115346472f.jpg?v=1776157929, friendlyName=Open</x:v>
      </x:c>
      <x:c r="C2880" s="24" t="e">
        <x:f>HYPERLINK("https://365nails.com/products/%E8%B7%A8%E5%A2%83%E7%83%AD%E9%94%80%E7%BE%8E%E7%94%B2%E8%B4%B4%E7%89%87%E8%93%9D%E7%BA%A2%E4%BA%94%E8%A7%92%E6%98%9F%E6%A0%BC%E7%BA%B924%E7%89%87%E5%8F%AF%E6%8B%86%E5%8D%B8%E5%81%87%E6%8C%87%E7%94%B2%E7%BE%8E%E5%9B%BD%E7%8B%AC%E7%AB%8B%E6%97%A5%E6%96%B9%E7%94%B2","365nails: ""Patriotic Picnic"" – Precision Printed US Flag Short Squoval Nails")</x:f>
        <x:v>HYPERLINK is not implemented. linkLocation=https://365nails.com/products/%E8%B7%A8%E5%A2%83%E7%83%AD%E9%94%80%E7%BE%8E%E7%94%B2%E8%B4%B4%E7%89%87%E8%93%9D%E7%BA%A2%E4%BA%94%E8%A7%92%E6%98%9F%E6%A0%BC%E7%BA%B924%E7%89%87%E5%8F%AF%E6%8B%86%E5%8D%B8%E5%81%87%E6%8C%87%E7%94%B2%E7%BE%8E%E5%9B%BD%E7%8B%AC%E7%AB%8B%E6%97%A5%E6%96%B9%E7%94%B2, friendlyName=365nails: "Patriotic Picnic" – Precision Printed US Flag Short Squoval Nails</x:v>
      </x:c>
      <x:c r="D2880" s="18" t="str">
        <x:v>Color: Jml493 (without tools) / Jml493 (glue type) / Jml493 (jelly glue rubbing strip)</x:v>
      </x:c>
      <x:c r="E2880" s="25" t="str">
        <x:v>$0.99</x:v>
      </x:c>
      <x:c r="F2880" s="19" t="str">
        <x:v>3</x:v>
      </x:c>
    </x:row>
    <x:row r="2881" ht="93" customHeight="1">
      <x:c r="A2881" s="19" t="n">
        <x:v>2878</x:v>
      </x:c>
      <x:c r="B2881" s="22" t="e">
        <x:f>HYPERLINK("https://cdn.shopify.com/s/files/1/0918/6066/4603/files/1b732a31874a2f968d0e5f069f28a5dc_eff8c78d-e94f-4bb8-9c2d-9c2d34d959f1.jpg?v=1773306646","Open")</x:f>
        <x:v>HYPERLINK is not implemented. linkLocation=https://cdn.shopify.com/s/files/1/0918/6066/4603/files/1b732a31874a2f968d0e5f069f28a5dc_eff8c78d-e94f-4bb8-9c2d-9c2d34d959f1.jpg?v=1773306646, friendlyName=Open</x:v>
      </x:c>
      <x:c r="C2881" s="24" t="e">
        <x:f>HYPERLINK("https://365nails.com/products/365nails-blue-daisy-polka-dot-handmade-press-on-pedicure","365nails: ""blue daisy polka dot"" – handmade press-on pedicure")</x:f>
        <x:v>HYPERLINK is not implemented. linkLocation=https://365nails.com/products/365nails-blue-daisy-polka-dot-handmade-press-on-pedicure, friendlyName=365nails: "blue daisy polka dot" – handmade press-on pedicure</x:v>
      </x:c>
      <x:c r="D2881" s="18" t="str">
        <x:v>Size: XS / S / M / L</x:v>
      </x:c>
      <x:c r="E2881" s="25" t="str">
        <x:v>$2.99</x:v>
      </x:c>
      <x:c r="F2881" s="19" t="str">
        <x:v>3</x:v>
      </x:c>
    </x:row>
    <x:row r="2882" ht="93" customHeight="1">
      <x:c r="A2882" s="19" t="n">
        <x:v>2879</x:v>
      </x:c>
      <x:c r="B2882" s="22" t="e">
        <x:f>HYPERLINK("https://cdn.shopify.com/s/files/1/0918/6066/4603/files/O1CN01KAdjiP1rlpVTgWwJy__2215158925672-0-cib.jpg?v=1754471307","Open")</x:f>
        <x:v>HYPERLINK is not implemented. linkLocation=https://cdn.shopify.com/s/files/1/0918/6066/4603/files/O1CN01KAdjiP1rlpVTgWwJy__2215158925672-0-cib.jpg?v=1754471307, friendlyName=Open</x:v>
      </x:c>
      <x:c r="C2882" s="24" t="e">
        <x:f>HYPERLINK("https://365nails.com/products/hand-wearing-nail-liquid-metal-wind-long-nail-patch-sweet-cool-spice-girl-wearing-fake-nails-365nails","Midnight Chrome Wave Long Nail Set")</x:f>
        <x:v>HYPERLINK is not implemented. linkLocation=https://365nails.com/products/hand-wearing-nail-liquid-metal-wind-long-nail-patch-sweet-cool-spice-girl-wearing-fake-nails-365nails, friendlyName=Midnight Chrome Wave Long Nail Set</x:v>
      </x:c>
      <x:c r="D2882" s="18" t="str">
        <x:v>shape: lengthened T; size: XS / S / M / L</x:v>
      </x:c>
      <x:c r="E2882" s="25" t="str">
        <x:v>$2.99</x:v>
      </x:c>
      <x:c r="F2882" s="19" t="str">
        <x:v>30</x:v>
      </x:c>
    </x:row>
    <x:row r="2883" ht="93" customHeight="1">
      <x:c r="A2883" s="19" t="n">
        <x:v>2880</x:v>
      </x:c>
      <x:c r="B2883" s="22" t="e">
        <x:f>HYPERLINK("https://cdn.shopify.com/s/files/1/0918/6066/4603/files/O1CN01t0jSTB2ABcvLEdpOI__2218458308165-0-cib.jpg?v=1776157561","Open")</x:f>
        <x:v>HYPERLINK is not implemented. linkLocation=https://cdn.shopify.com/s/files/1/0918/6066/4603/files/O1CN01t0jSTB2ABcvLEdpOI__2218458308165-0-cib.jpg?v=1776157561, friendlyName=Open</x:v>
      </x:c>
      <x:c r="C2883" s="24" t="e">
        <x:f>HYPERLINK("https://365nails.com/products/%E7%9F%AD%E6%AC%BE%E4%BA%AE%E9%9D%A2%E7%BE%8E%E5%9B%BD%E7%8B%AC%E7%AB%8B%E6%97%A5%E7%A9%BF%E6%88%B4%E7%94%B2%E7%99%BD%E8%89%B2%E6%98%9F%E6%98%9F%E7%BA%A2%E8%89%B2%E6%9D%A1%E7%BA%B9%E5%9C%86%E7%82%B9%E9%97%AA%E7%B2%89%E5%A4%96%E8%B4%B8%E5%81%87%E6%8C%87%E7%94%B2%E7%89%87","365nails: ""Festive Gingham"" – Plaid &amp; Star Printed Oval Nails")</x:f>
        <x:v>HYPERLINK is not implemented. linkLocation=https://365nails.com/products/%E7%9F%AD%E6%AC%BE%E4%BA%AE%E9%9D%A2%E7%BE%8E%E5%9B%BD%E7%8B%AC%E7%AB%8B%E6%97%A5%E7%A9%BF%E6%88%B4%E7%94%B2%E7%99%BD%E8%89%B2%E6%98%9F%E6%98%9F%E7%BA%A2%E8%89%B2%E6%9D%A1%E7%BA%B9%E5%9C%86%E7%82%B9%E9%97%AA%E7%B2%89%E5%A4%96%E8%B4%B8%E5%81%87%E6%8C%87%E7%94%B2%E7%89%87, friendlyName=365nails: "Festive Gingham" – Plaid &amp; Star Printed Oval Nails</x:v>
      </x:c>
      <x:c r="D2883" s="18" t="str">
        <x:v>Color: Jml191 (without tools) / Jml191(glue type) / Jml191 (jelly glue type)</x:v>
      </x:c>
      <x:c r="E2883" s="25" t="str">
        <x:v>$0.99</x:v>
      </x:c>
      <x:c r="F2883" s="19" t="str">
        <x:v>3</x:v>
      </x:c>
    </x:row>
    <x:row r="2884" ht="93" customHeight="1">
      <x:c r="A2884" s="19" t="n">
        <x:v>2881</x:v>
      </x:c>
      <x:c r="B2884" s="22" t="e">
        <x:f>HYPERLINK("https://cdn.shopify.com/s/files/1/0918/6066/4603/files/O1CN01Vx7kPy1rlpZS9bTxp__2215158925672-0-cib.jpg?v=1763189843","Open")</x:f>
        <x:v>HYPERLINK is not implemented. linkLocation=https://cdn.shopify.com/s/files/1/0918/6066/4603/files/O1CN01Vx7kPy1rlpZS9bTxp__2215158925672-0-cib.jpg?v=1763189843, friendlyName=Open</x:v>
      </x:c>
      <x:c r="C2884" s="24" t="e">
        <x:f>HYPERLINK("https://365nails.com/products/monochrome-muse-series-press-on-nails","Monochrome Muse Series Press-On Nails")</x:f>
        <x:v>HYPERLINK is not implemented. linkLocation=https://365nails.com/products/monochrome-muse-series-press-on-nails, friendlyName=Monochrome Muse Series Press-On Nails</x:v>
      </x:c>
      <x:c r="D2884" s="18" t="str">
        <x:v>Size: S / M / L</x:v>
      </x:c>
      <x:c r="E2884" s="25" t="str">
        <x:v>$3.99</x:v>
      </x:c>
      <x:c r="F2884" s="19" t="str">
        <x:v>30</x:v>
      </x:c>
    </x:row>
    <x:row r="2885" ht="93" customHeight="1">
      <x:c r="A2885" s="19" t="n">
        <x:v>2882</x:v>
      </x:c>
      <x:c r="B2885" s="22" t="e">
        <x:f>HYPERLINK("https://cdn.shopify.com/s/files/1/0918/6066/4603/files/O1CN01vE5C382ABcvH9STHY__2218458308165-0-cib.jpg?v=1776157444","Open")</x:f>
        <x:v>HYPERLINK is not implemented. linkLocation=https://cdn.shopify.com/s/files/1/0918/6066/4603/files/O1CN01vE5C382ABcvH9STHY__2218458308165-0-cib.jpg?v=1776157444, friendlyName=Open</x:v>
      </x:c>
      <x:c r="C2885" s="24" t="e">
        <x:f>HYPERLINK("https://365nails.com/products/%E8%B7%A8%E5%A2%83%E7%83%AD%E9%94%80%E7%BA%A2%E8%93%9D%E9%85%8D%E8%89%B2%E7%83%9F%E8%8A%B1%E7%A9%BF%E6%88%B4%E7%94%B2%E7%AE%80%E7%BA%A6%E6%B3%95%E5%BC%8F%E7%BE%8E%E7%94%B2%E8%B4%B4%E7%89%87%E7%BE%8E%E5%9B%BD%E7%8B%AC%E7%AB%8B%E6%97%A5%E5%81%87%E6%8C%87%E7%94%B2%E7%89%87","365nails: ""Liberty French"" – Classic White French &amp; US Flag Printed Oval Nails")</x:f>
        <x:v>HYPERLINK is not implemented. linkLocation=https://365nails.com/products/%E8%B7%A8%E5%A2%83%E7%83%AD%E9%94%80%E7%BA%A2%E8%93%9D%E9%85%8D%E8%89%B2%E7%83%9F%E8%8A%B1%E7%A9%BF%E6%88%B4%E7%94%B2%E7%AE%80%E7%BA%A6%E6%B3%95%E5%BC%8F%E7%BE%8E%E7%94%B2%E8%B4%B4%E7%89%87%E7%BE%8E%E5%9B%BD%E7%8B%AC%E7%AB%8B%E6%97%A5%E5%81%87%E6%8C%87%E7%94%B2%E7%89%87, friendlyName=365nails: "Liberty French" – Classic White French &amp; US Flag Printed Oval Nails</x:v>
      </x:c>
      <x:c r="D2885" s="18" t="str">
        <x:v>Color: Jml204 (without tools)</x:v>
      </x:c>
      <x:c r="E2885" s="25" t="str">
        <x:v>$0.99</x:v>
      </x:c>
      <x:c r="F2885" s="19" t="str">
        <x:v>3</x:v>
      </x:c>
    </x:row>
    <x:row r="2886" ht="93" customHeight="1">
      <x:c r="A2886" s="19" t="n">
        <x:v>2883</x:v>
      </x:c>
      <x:c r="B2886" s="22" t="e">
        <x:f>HYPERLINK("https://cdn.shopify.com/s/files/1/0918/6066/4603/files/O1CN01ebZeMo1rlpaBD8GJg__2215158925672-0-cib.jpg?v=1763182195","Open")</x:f>
        <x:v>HYPERLINK is not implemented. linkLocation=https://cdn.shopify.com/s/files/1/0918/6066/4603/files/O1CN01ebZeMo1rlpaBD8GJg__2215158925672-0-cib.jpg?v=1763182195, friendlyName=Open</x:v>
      </x:c>
      <x:c r="C2886" s="24" t="e">
        <x:f>HYPERLINK("https://365nails.com/products/crimson-bloom-series-press-on-nails","Crimson Bloom Series Press-On Nails")</x:f>
        <x:v>HYPERLINK is not implemented. linkLocation=https://365nails.com/products/crimson-bloom-series-press-on-nails, friendlyName=Crimson Bloom Series Press-On Nails</x:v>
      </x:c>
      <x:c r="D2886" s="18" t="str">
        <x:v>SIZE: S / M / L</x:v>
      </x:c>
      <x:c r="E2886" s="25" t="str">
        <x:v>$4.99</x:v>
      </x:c>
      <x:c r="F2886" s="19" t="str">
        <x:v>30</x:v>
      </x:c>
    </x:row>
    <x:row r="2887" ht="93" customHeight="1">
      <x:c r="A2887" s="19" t="n">
        <x:v>2884</x:v>
      </x:c>
      <x:c r="B2887" s="22" t="e">
        <x:f>HYPERLINK("https://cdn.shopify.com/s/files/1/0918/6066/4603/files/e0d944ec71198230ac9c0f9c15a27578_2e0a637e-9982-4e28-9046-9a8f1fa232a3.jpg?v=1755228240","Open")</x:f>
        <x:v>HYPERLINK is not implemented. linkLocation=https://cdn.shopify.com/s/files/1/0918/6066/4603/files/e0d944ec71198230ac9c0f9c15a27578_2e0a637e-9982-4e28-9046-9a8f1fa232a3.jpg?v=1755228240, friendlyName=Open</x:v>
      </x:c>
      <x:c r="C2887" s="24" t="e">
        <x:f>HYPERLINK("https://365nails.com/products/nail-tips-nail-plate-semi-sticker-light-sticker-lengthened-xxxl-water-pipe-nail-no-c-arc-light-french-manicure-transparent-fake-nail","Semi-Sticker Nail Plates, XXXL Extended Straight Shape, Light French Style Transparent Fake Nails (MOQ=3)")</x:f>
        <x:v>HYPERLINK is not implemented. linkLocation=https://365nails.com/products/nail-tips-nail-plate-semi-sticker-light-sticker-lengthened-xxxl-water-pipe-nail-no-c-arc-light-french-manicure-transparent-fake-nail, friendlyName=Semi-Sticker Nail Plates, XXXL Extended Straight Shape, Light French Style Transparent Fake Nails (MOQ=3)</x:v>
      </x:c>
      <x:c r="D2887" s="18" t="str">
        <x:v>Color: 133-XL-Transparent Color-500 Piece Bag / 133-XL-Transparent Color-500 Pieces Box / 133-XL-Natural-500 Piece Bag / 133-XL-Natural-500 Piece Box / 113-XXL-Natural-500 piece bag / 113-XXL-Nature-500 Piece Box / 113-XXL-Transparent-500 piece bag / 113-XXL-Transparent-500 piece box / 118-XXL-Natural-500 piece bag / 118-XXL-Nature-500 Piece Box / 118-XXL-Transparent-500 piece bag / 118-XXL-Transparent-500 piece box / 118-XXL-Natural Supplement-600 piece bag / 125-XXXL-Transparent-504 Piece Bag / 125-XXXL-Natural-504 Piece Bag / 125-XXXL-Transparent-360 piece box / 125-XXXL-Nature-360 Piece Box; Quantity: 3pcs</x:v>
      </x:c>
      <x:c r="E2887" s="25" t="str">
        <x:v>$5.70–$8.85</x:v>
      </x:c>
      <x:c r="F2887" s="19" t="str">
        <x:v>1</x:v>
      </x:c>
    </x:row>
    <x:row r="2888" ht="93" customHeight="1">
      <x:c r="A2888" s="19" t="n">
        <x:v>2885</x:v>
      </x:c>
      <x:c r="B2888" s="22" t="e">
        <x:f>HYPERLINK("https://cdn.shopify.com/s/files/1/0918/6066/4603/files/49b926f127234b9fe5b5b7b31b2a98d6.jpg?v=1775637423","Open")</x:f>
        <x:v>HYPERLINK is not implemented. linkLocation=https://cdn.shopify.com/s/files/1/0918/6066/4603/files/49b926f127234b9fe5b5b7b31b2a98d6.jpg?v=1775637423, friendlyName=Open</x:v>
      </x:c>
      <x:c r="C2888" s="24" t="e">
        <x:f>HYPERLINK("https://365nails.com/products/365nails-blush-jelly-bow-3d-clear-ribbon-pink-aura-handmade-squoval-nails","365nails: ""Blush Jelly Bow"" – 3D Clear Ribbon &amp; Pink Aura Handmade Squoval Nails")</x:f>
        <x:v>HYPERLINK is not implemented. linkLocation=https://365nails.com/products/365nails-blush-jelly-bow-3d-clear-ribbon-pink-aura-handmade-squoval-nails, friendlyName=365nails: "Blush Jelly Bow" – 3D Clear Ribbon &amp; Pink Aura Handmade Squoval Nails</x:v>
      </x:c>
      <x:c r="D2888" s="18" t="str">
        <x:v>Size: XS / S / M / L</x:v>
      </x:c>
      <x:c r="E2888" s="25" t="str">
        <x:v>$2.99</x:v>
      </x:c>
      <x:c r="F2888" s="19" t="str">
        <x:v>5</x:v>
      </x:c>
    </x:row>
    <x:row r="2889" ht="93" customHeight="1">
      <x:c r="A2889" s="19" t="n">
        <x:v>2886</x:v>
      </x:c>
      <x:c r="B2889" s="22" t="e">
        <x:f>HYPERLINK("https://cdn.shopify.com/s/files/1/0918/6066/4603/files/O1CN01nSgCXK1rlpa9c3M6h__2215158925672-0-cib.jpg?v=1763183451","Open")</x:f>
        <x:v>HYPERLINK is not implemented. linkLocation=https://cdn.shopify.com/s/files/1/0918/6066/4603/files/O1CN01nSgCXK1rlpa9c3M6h__2215158925672-0-cib.jpg?v=1763183451, friendlyName=Open</x:v>
      </x:c>
      <x:c r="C2889" s="24" t="e">
        <x:f>HYPERLINK("https://365nails.com/products/midnight-aurora-series-press-on-nails","Midnight Aurora Series Press-On Nails")</x:f>
        <x:v>HYPERLINK is not implemented. linkLocation=https://365nails.com/products/midnight-aurora-series-press-on-nails, friendlyName=Midnight Aurora Series Press-On Nails</x:v>
      </x:c>
      <x:c r="D2889" s="18" t="str">
        <x:v>SIZE: S / M / L</x:v>
      </x:c>
      <x:c r="E2889" s="25" t="str">
        <x:v>$3.99</x:v>
      </x:c>
      <x:c r="F2889" s="19" t="str">
        <x:v>30</x:v>
      </x:c>
    </x:row>
    <x:row r="2890" ht="93" customHeight="1">
      <x:c r="A2890" s="19" t="n">
        <x:v>2887</x:v>
      </x:c>
      <x:c r="B2890" s="22" t="e">
        <x:f>HYPERLINK("https://cdn.shopify.com/s/files/1/0918/6066/4603/files/O1CN01C6uNK31CPwJqXWU1j__2213196780074-0-cib.jpg?v=1763710769","Open")</x:f>
        <x:v>HYPERLINK is not implemented. linkLocation=https://cdn.shopify.com/s/files/1/0918/6066/4603/files/O1CN01C6uNK31CPwJqXWU1j__2213196780074-0-cib.jpg?v=1763710769, friendlyName=Open</x:v>
      </x:c>
      <x:c r="C2890" s="24" t="e">
        <x:f>HYPERLINK("https://365nails.com/products/christmas-bear-snowman-press-on-nails-green-and-brown-cozy-short-design","Christmas Bear &amp; Snowman Press‑On Nails – Green and Brown Cozy Short Design")</x:f>
        <x:v>HYPERLINK is not implemented. linkLocation=https://365nails.com/products/christmas-bear-snowman-press-on-nails-green-and-brown-cozy-short-design, friendlyName=Christmas Bear &amp; Snowman Press‑On Nails – Green and Brown Cozy Short Design</x:v>
      </x:c>
      <x:c r="D2890" s="18" t="str">
        <x:v>size: Extra small XS / S / M M / Large L; Specification type: 2490 short round</x:v>
      </x:c>
      <x:c r="E2890" s="25" t="str">
        <x:v>$4.49</x:v>
      </x:c>
      <x:c r="F2890" s="19" t="str">
        <x:v>1</x:v>
      </x:c>
    </x:row>
    <x:row r="2891" ht="93" customHeight="1">
      <x:c r="A2891" s="19" t="n">
        <x:v>2888</x:v>
      </x:c>
      <x:c r="B2891" s="22" t="e">
        <x:f>HYPERLINK("https://cdn.shopify.com/s/files/1/0918/6066/4603/files/9db3c3eeb608aa5b401e52a2b8aa00e4.png?v=1755260437","Open")</x:f>
        <x:v>HYPERLINK is not implemented. linkLocation=https://cdn.shopify.com/s/files/1/0918/6066/4603/files/9db3c3eeb608aa5b401e52a2b8aa00e4.png?v=1755260437, friendlyName=Open</x:v>
      </x:c>
      <x:c r="C2891" s="24" t="e">
        <x:f>HYPERLINK("https://365nails.com/products/nail-tips-long-pointed-semi-sticker-nail-piece-triangular-pointed-transparent-fake-nail-patch-french-pointed-nail-piece","Nail Tips long-pointed semi-sticker nail piece,  triangular pointed transparent fake nail patch French pointed nail piece (MOQ=3)")</x:f>
        <x:v>HYPERLINK is not implemented. linkLocation=https://365nails.com/products/nail-tips-long-pointed-semi-sticker-nail-piece-triangular-pointed-transparent-fake-nail-patch-french-pointed-nail-piece, friendlyName=Nail Tips long-pointed semi-sticker nail piece,  triangular pointed transparent fake nail patch French pointed nail piece (MOQ=3)</x:v>
      </x:c>
      <x:c r="D2891" s="18" t="str">
        <x:v>Color: YS-141 pointed box with transparent color 500 pieces / YS-141 pointed box with natural color 500 pieces / YS-141 pointed bag with transparent color 500 pieces / YS-141 pointed bag with natural color 500 pieces / YS-153XL pointed armor, 500 pieces in a seamless transparent box. / YS-551 Boxed transparent color 504 pieces / YS-551 boxed natural color 504 pieces; Quantity: 3pcs</x:v>
      </x:c>
      <x:c r="E2891" s="25" t="str">
        <x:v>$5.97–$8.43</x:v>
      </x:c>
      <x:c r="F2891" s="19" t="str">
        <x:v>1</x:v>
      </x:c>
    </x:row>
    <x:row r="2892" ht="93" customHeight="1">
      <x:c r="A2892" s="19" t="n">
        <x:v>2889</x:v>
      </x:c>
      <x:c r="B2892" s="22" t="e">
        <x:f>HYPERLINK("https://cdn.shopify.com/s/files/1/0918/6066/4603/files/O1CN01P4qrzU2ABcvL1w2V5__2218458308165-0-cib.jpg?v=1776157500","Open")</x:f>
        <x:v>HYPERLINK is not implemented. linkLocation=https://cdn.shopify.com/s/files/1/0918/6066/4603/files/O1CN01P4qrzU2ABcvL1w2V5__2218458308165-0-cib.jpg?v=1776157500, friendlyName=Open</x:v>
      </x:c>
      <x:c r="C2892" s="24" t="e">
        <x:f>HYPERLINK("https://365nails.com/products/%E6%AC%A7%E7%BE%8E%E7%83%AD%E9%94%80%E7%BA%A2%E8%93%9D%E9%85%8D%E8%89%B2%E6%9D%A1%E7%BA%B9%E6%98%9F%E6%98%9F%E7%8B%AC%E7%AB%8B%E6%97%A5%E7%A9%BF%E6%88%B4%E7%94%B2%E5%A4%96%E8%B4%B8%E7%BE%8E%E7%94%B2%E7%89%87%E5%8F%AF%E6%8B%86%E5%8D%B8%E5%81%87%E6%8C%87%E8%B4%B4%E7%89%87","365nails: ""USA Love"" – Graphic Typography &amp; Flag Pattern Printed Almond Nails")</x:f>
        <x:v>HYPERLINK is not implemented. linkLocation=https://365nails.com/products/%E6%AC%A7%E7%BE%8E%E7%83%AD%E9%94%80%E7%BA%A2%E8%93%9D%E9%85%8D%E8%89%B2%E6%9D%A1%E7%BA%B9%E6%98%9F%E6%98%9F%E7%8B%AC%E7%AB%8B%E6%97%A5%E7%A9%BF%E6%88%B4%E7%94%B2%E5%A4%96%E8%B4%B8%E7%BE%8E%E7%94%B2%E7%89%87%E5%8F%AF%E6%8B%86%E5%8D%B8%E5%81%87%E6%8C%87%E8%B4%B4%E7%89%87, friendlyName=365nails: "USA Love" – Graphic Typography &amp; Flag Pattern Printed Almond Nails</x:v>
      </x:c>
      <x:c r="D2892" s="18" t="str">
        <x:v>Color: Jml205 (without tools)</x:v>
      </x:c>
      <x:c r="E2892" s="25" t="str">
        <x:v>$0.99</x:v>
      </x:c>
      <x:c r="F2892" s="19" t="str">
        <x:v>3</x:v>
      </x:c>
    </x:row>
    <x:row r="2893" ht="93" customHeight="1">
      <x:c r="A2893" s="19" t="n">
        <x:v>2890</x:v>
      </x:c>
      <x:c r="B2893" s="22" t="e">
        <x:f>HYPERLINK("https://cdn.shopify.com/s/files/1/0918/6066/4603/files/1f2d5c7dd6f4002dbbb9e80dd37e4e5f.jpg?v=1775637340","Open")</x:f>
        <x:v>HYPERLINK is not implemented. linkLocation=https://cdn.shopify.com/s/files/1/0918/6066/4603/files/1f2d5c7dd6f4002dbbb9e80dd37e4e5f.jpg?v=1775637340, friendlyName=Open</x:v>
      </x:c>
      <x:c r="C2893" s="24" t="e">
        <x:f>HYPERLINK("https://365nails.com/products/365nails-mauve-butterfly-pink-cat-eye-aurora-shard-handmade-squoval-nails","365nails: ""Mauve Butterfly"" – Pink Cat-Eye &amp; Aurora Shard Handmade Squoval Nails")</x:f>
        <x:v>HYPERLINK is not implemented. linkLocation=https://365nails.com/products/365nails-mauve-butterfly-pink-cat-eye-aurora-shard-handmade-squoval-nails, friendlyName=365nails: "Mauve Butterfly" – Pink Cat-Eye &amp; Aurora Shard Handmade Squoval Nails</x:v>
      </x:c>
      <x:c r="D2893" s="18" t="str">
        <x:v>Size: XS / S / M / L</x:v>
      </x:c>
      <x:c r="E2893" s="25" t="str">
        <x:v>$2.99</x:v>
      </x:c>
      <x:c r="F2893" s="19" t="str">
        <x:v>5</x:v>
      </x:c>
    </x:row>
    <x:row r="2894" ht="93" customHeight="1">
      <x:c r="A2894" s="19" t="n">
        <x:v>2891</x:v>
      </x:c>
      <x:c r="B2894" s="22" t="e">
        <x:f>HYPERLINK("https://cdn.shopify.com/s/files/1/0918/6066/4603/files/O1CN01O2HfUU2ABd0TPcgcc__2218458308165-0-cib.jpg?v=1776156464","Open")</x:f>
        <x:v>HYPERLINK is not implemented. linkLocation=https://cdn.shopify.com/s/files/1/0918/6066/4603/files/O1CN01O2HfUU2ABd0TPcgcc__2218458308165-0-cib.jpg?v=1776156464, friendlyName=Open</x:v>
      </x:c>
      <x:c r="C2894" s="24" t="e">
        <x:f>HYPERLINK("https://365nails.com/products/%E6%AC%A7%E7%BE%8E%E7%A9%BF%E6%88%B4%E7%94%B2%E7%BA%A2%E8%93%9D%E6%9D%A1%E7%BA%B9%E4%BA%94%E8%A7%92%E6%98%9F%E7%BE%8E%E5%9B%BD%E7%8B%AC%E7%AB%8B%E6%97%A5%E5%81%87%E6%8C%87%E7%94%B2%E7%89%87%E5%A4%96%E8%B4%B8%E8%B7%A8%E5%A2%83%E5%8F%AF%E6%8B%86%E5%8D%B8%E7%BE%8E%E7%94%B2","365nails: ""Diagonal Freedom"" – Starburst &amp; Stripe French Squoval Nails")</x:f>
        <x:v>HYPERLINK is not implemented. linkLocation=https://365nails.com/products/%E6%AC%A7%E7%BE%8E%E7%A9%BF%E6%88%B4%E7%94%B2%E7%BA%A2%E8%93%9D%E6%9D%A1%E7%BA%B9%E4%BA%94%E8%A7%92%E6%98%9F%E7%BE%8E%E5%9B%BD%E7%8B%AC%E7%AB%8B%E6%97%A5%E5%81%87%E6%8C%87%E7%94%B2%E7%89%87%E5%A4%96%E8%B4%B8%E8%B7%A8%E5%A2%83%E5%8F%AF%E6%8B%86%E5%8D%B8%E7%BE%8E%E7%94%B2, friendlyName=365nails: "Diagonal Freedom" – Starburst &amp; Stripe French Squoval Nails</x:v>
      </x:c>
      <x:c r="D2894" s="18" t="str">
        <x:v>Color: Jml537 (without tools) / Jml537(glue type) / Jml537 (jelly glue rubbing strip)</x:v>
      </x:c>
      <x:c r="E2894" s="25" t="str">
        <x:v>$0.99</x:v>
      </x:c>
      <x:c r="F2894" s="19" t="str">
        <x:v>3</x:v>
      </x:c>
    </x:row>
    <x:row r="2895" ht="93" customHeight="1">
      <x:c r="A2895" s="19" t="n">
        <x:v>2892</x:v>
      </x:c>
      <x:c r="B2895" s="22" t="e">
        <x:f>HYPERLINK("https://cdn.shopify.com/s/files/1/0918/6066/4603/files/O1CN01nSgCXK1rlpa9c3M6h__2215158925672-0-cib_7964cdd5-4914-4bda-9195-0909842027e3.jpg?v=1763185853","Open")</x:f>
        <x:v>HYPERLINK is not implemented. linkLocation=https://cdn.shopify.com/s/files/1/0918/6066/4603/files/O1CN01nSgCXK1rlpa9c3M6h__2215158925672-0-cib_7964cdd5-4914-4bda-9195-0909842027e3.jpg?v=1763185853, friendlyName=Open</x:v>
      </x:c>
      <x:c r="C2895" s="24" t="e">
        <x:f>HYPERLINK("https://365nails.com/products/midnight-web-series-press-on-nails","Midnight Web Series Press-On Nails")</x:f>
        <x:v>HYPERLINK is not implemented. linkLocation=https://365nails.com/products/midnight-web-series-press-on-nails, friendlyName=Midnight Web Series Press-On Nails</x:v>
      </x:c>
      <x:c r="D2895" s="18" t="str">
        <x:v>SIZE: S / M / L</x:v>
      </x:c>
      <x:c r="E2895" s="25" t="str">
        <x:v>$3.99</x:v>
      </x:c>
      <x:c r="F2895" s="19" t="str">
        <x:v>30</x:v>
      </x:c>
    </x:row>
    <x:row r="2896" ht="93" customHeight="1">
      <x:c r="A2896" s="19" t="n">
        <x:v>2893</x:v>
      </x:c>
      <x:c r="B2896" s="22" t="e">
        <x:f>HYPERLINK("https://cdn.shopify.com/s/files/1/0918/6066/4603/files/ef97af43fd5609ed465dd7e0a59d793a.jpg?v=1772707838","Open")</x:f>
        <x:v>HYPERLINK is not implemented. linkLocation=https://cdn.shopify.com/s/files/1/0918/6066/4603/files/ef97af43fd5609ed465dd7e0a59d793a.jpg?v=1772707838, friendlyName=Open</x:v>
      </x:c>
      <x:c r="C2896" s="24" t="e">
        <x:f>HYPERLINK("https://365nails.com/products/365nails-240pcs-cross-border-bestseller-no-file-seamless-soft-gel-nail-tips-half-full-matte-options","365nails 240PCS Cross-Border Bestseller | No-File Seamless Soft Gel Nail Tips (Half/Full Matte Options)")</x:f>
        <x:v>HYPERLINK is not implemented. linkLocation=https://365nails.com/products/365nails-240pcs-cross-border-bestseller-no-file-seamless-soft-gel-nail-tips-half-full-matte-options, friendlyName=365nails 240PCS Cross-Border Bestseller | No-File Seamless Soft Gel Nail Tips (Half/Full Matte Options)</x:v>
      </x:c>
      <x:c r="D2896" s="18" t="str">
        <x:v>Color: Ys-101-traceless-504 pieces in box / Ys-102-traceless-504 pieces in box / Ys-103-traceless-504 pieces in box / Ys-104-traceless-504 pieces in box / Ys-105-traceless-504 pieces in box / Ys-106-traceless-504 pieces in box / Ys-107-traceless-504 pieces in box / Ys-108-traceless-504 pieces in box / Ys-109-traceless-504 pieces in box / Ys-110-traceless-504 pieces in box / Ys-180-traceless-504 pieces in box / Ys-181-traceless-504 pieces in box / Ys-182-traceless-504 pieces in box / Ys-183-traceless-504 pieces in box / Ys-62-traceless-240 pieces in box / Ys-63-traceless-240 pieces in box / Ys-66-traceless-240 pieces in box / Ys-67-traceless-240 pieces in box / Ys-69-traceless-240 pieces in box / Ys-73-traceless-240 pieces in box / Ys-101-traceless-240 pieces in box / Ys-102-traceless-240 pieces in box / Ys-103-traceless-240 pieces in box / Ys-104-traceless-240 pieces in box / Ys-105-traceless-240 pieces in box / Ys-106-traceless-240 pieces in box / Ys-107-traceless-240 pieces in box / Ys-108-traceless-240 pieces in box / Ys-109-traceless-240 pieces in box / Ys-110-traceless-240 pieces in box / Ys-180-traceless-240 pieces in box / Ys-181-traceless-240 pieces in box / Ys-182-traceless-240 pieces in box / Ys-183-traceless-240 pieces in box / Ys-184-traceless-240 pieces in box / Ys-187-traceless-240 pieces in box / Ys-189-traceless-240 pieces in box / Ys-188-traceless-240 pieces in box</x:v>
      </x:c>
      <x:c r="E2896" s="25" t="str">
        <x:v>$1.23–$2.25</x:v>
      </x:c>
      <x:c r="F2896" s="19" t="str">
        <x:v>3</x:v>
      </x:c>
    </x:row>
    <x:row r="2897" ht="93" customHeight="1">
      <x:c r="A2897" s="19" t="n">
        <x:v>2894</x:v>
      </x:c>
      <x:c r="B2897" s="22" t="e">
        <x:f>HYPERLINK("https://cdn.shopify.com/s/files/1/0918/6066/4603/files/7d0d55c13cb28a8884b0b24e95373daa.jpg?v=1772707774","Open")</x:f>
        <x:v>HYPERLINK is not implemented. linkLocation=https://cdn.shopify.com/s/files/1/0918/6066/4603/files/7d0d55c13cb28a8884b0b24e95373daa.jpg?v=1772707774, friendlyName=Open</x:v>
      </x:c>
      <x:c r="C2897" s="24" t="e">
        <x:f>HYPERLINK("https://365nails.com/products/365nails-100pcs-matte-nail-tips-10-shapes-xs-s-m-l-sizes-for-press-on-customization","365nails 100PCS Matte Nail Tips | 10 Shapes XS/S/M/L Sizes for Press-On Customization")</x:f>
        <x:v>HYPERLINK is not implemented. linkLocation=https://365nails.com/products/365nails-100pcs-matte-nail-tips-10-shapes-xs-s-m-l-sizes-for-press-on-customization, friendlyName=365nails 100PCS Matte Nail Tips | 10 Shapes XS/S/M/L Sizes for Press-On Customization</x:v>
      </x:c>
      <x:c r="D2897" s="18" t="str">
        <x:v>Color: Short oval-100 pieces in box / Short oval-100 pieces in bag / Trapezoid-100 pieces in box / Trapezoid-100 pieces in bag / Short trapezoid-100 pieces in box / Short trapezoid-100 pieces in bag / Almond a-100 tablets box / Almond a-100 tablets in bag / Japanese style short &amp; chunky oval false nails - 100 piece box / Japanese style short fat oval short-100 pieces in bag / Short ladder - 100 pieces box / Short ladder-100 pieces in bag / Short round-100 pieces in box / Short round-100 pieces in bag / Short square circle-100 pieces in box / Short square circle-100 pieces in bag; Color classification: Xs code / S code / M code / L code / S/m double code</x:v>
      </x:c>
      <x:c r="E2897" s="25" t="str">
        <x:v>$0.48–$0.51</x:v>
      </x:c>
      <x:c r="F2897" s="19" t="str">
        <x:v>1</x:v>
      </x:c>
    </x:row>
    <x:row r="2898" ht="93" customHeight="1">
      <x:c r="A2898" s="19" t="n">
        <x:v>2895</x:v>
      </x:c>
      <x:c r="B2898" s="22" t="e">
        <x:f>HYPERLINK("https://cdn.shopify.com/s/files/1/0918/6066/4603/files/O1CN01HoxqIC1xxAoszUBrV__2212202186509-0-cib_a6f6fcb1-c33f-4bf0-a4cc-7a997322e006.jpg?v=1763616181","Open")</x:f>
        <x:v>HYPERLINK is not implemented. linkLocation=https://cdn.shopify.com/s/files/1/0918/6066/4603/files/O1CN01HoxqIC1xxAoszUBrV__2212202186509-0-cib_a6f6fcb1-c33f-4bf0-a4cc-7a997322e006.jpg?v=1763616181, friendlyName=Open</x:v>
      </x:c>
      <x:c r="C2898" s="24" t="e">
        <x:f>HYPERLINK("https://365nails.com/products/embossed-rose-cotton-paper-nail-display-card-elegant-handmade-press-on-nail-packaging","Embossed Rose Cotton Paper Nail Display Card – Elegant Handmade Press-On Nail Packaging")</x:f>
        <x:v>HYPERLINK is not implemented. linkLocation=https://365nails.com/products/embossed-rose-cotton-paper-nail-display-card-elegant-handmade-press-on-nail-packaging, friendlyName=Embossed Rose Cotton Paper Nail Display Card – Elegant Handmade Press-On Nail Packaging</x:v>
      </x:c>
      <x:c r="D2898" s="18" t="str">
        <x:v>Specifications and models: 7.5X7.5cm right-angle model, spot direct auction / 7.5X7.5cm rounded corner model, buy directly from stock. / 7X7cm right-angle model, spot direct auction / 6.7X6.7cm rounded corner model, buy directly from stock. / 6.5X6.5cm rounded corner model, buy directly from stock. / Bronzing 6.9 * 9.4cm thin rose / Hot Silver 6.9 * 9.4cm Skinny Rose / Bronzing 6.9 * 9.4cm fat rose / Hot Silver 6.9 * 9.4cm Fat Rose / 7.5X7.5cm rounded corner bronzing rose / 7.5X7.5cm right angle bronzing rose / 6.5X6.5cm rounded corner bronzing rose / 8X8cm right angle concave model / 8X8cm pink love spot / 8X8cm right angle hot silver model in stock / 7.5X7.5cm rounded corner A is in stock. / 7.5X7.5cm rounded corner B model is in stock. / 6.5X6.5cm rounded corner A is in stock. / 6.5X6.5cm rounded corner B model is in stock.; Quantity: 100pcs</x:v>
      </x:c>
      <x:c r="E2898" s="25" t="str">
        <x:v>$6.00</x:v>
      </x:c>
      <x:c r="F2898" s="19" t="str">
        <x:v>1</x:v>
      </x:c>
    </x:row>
    <x:row r="2899" ht="93" customHeight="1">
      <x:c r="A2899" s="19" t="n">
        <x:v>2896</x:v>
      </x:c>
      <x:c r="B2899" s="22" t="e">
        <x:f>HYPERLINK("https://cdn.shopify.com/s/files/1/0918/6066/4603/files/O1CN01eeyReL1rlpaFG7vgf__2215158925672-0-cib.jpg?v=1763181936","Open")</x:f>
        <x:v>HYPERLINK is not implemented. linkLocation=https://cdn.shopify.com/s/files/1/0918/6066/4603/files/O1CN01eeyReL1rlpaFG7vgf__2215158925672-0-cib.jpg?v=1763181936, friendlyName=Open</x:v>
      </x:c>
      <x:c r="C2899" s="24" t="e">
        <x:f>HYPERLINK("https://365nails.com/products/molten-silver-series-press-on-nails","Molten Silver Series Press-On Nails")</x:f>
        <x:v>HYPERLINK is not implemented. linkLocation=https://365nails.com/products/molten-silver-series-press-on-nails, friendlyName=Molten Silver Series Press-On Nails</x:v>
      </x:c>
      <x:c r="D2899" s="18" t="str">
        <x:v>SIZE: S / M / L</x:v>
      </x:c>
      <x:c r="E2899" s="25" t="str">
        <x:v>$3.99</x:v>
      </x:c>
      <x:c r="F2899" s="19" t="str">
        <x:v>30</x:v>
      </x:c>
    </x:row>
    <x:row r="2900" ht="93" customHeight="1">
      <x:c r="A2900" s="19" t="n">
        <x:v>2897</x:v>
      </x:c>
      <x:c r="B2900" s="22" t="e">
        <x:f>HYPERLINK("https://cdn.shopify.com/s/files/1/0918/6066/4603/files/O1CN0114Ryt61CPwKTMGkhI__2213196780074-0-cib.jpg?v=1763708605","Open")</x:f>
        <x:v>HYPERLINK is not implemented. linkLocation=https://cdn.shopify.com/s/files/1/0918/6066/4603/files/O1CN0114Ryt61CPwKTMGkhI__2213196780074-0-cib.jpg?v=1763708605, friendlyName=Open</x:v>
      </x:c>
      <x:c r="C2900" s="24" t="e">
        <x:f>HYPERLINK("https://365nails.com/products/snowman-and-gold-bell-christmas-press-on-nails-snowflake-design","Snowman and Gold Bell Christmas Press‑On Nails – Snowflake Design")</x:f>
        <x:v>HYPERLINK is not implemented. linkLocation=https://365nails.com/products/snowman-and-gold-bell-christmas-press-on-nails-snowflake-design, friendlyName=Snowman and Gold Bell Christmas Press‑On Nails – Snowflake Design</x:v>
      </x:c>
      <x:c r="D2900" s="18" t="str">
        <x:v>Size: Extra small XS / S / M M / Large L; Specification type: 2720 - Short Ellipse</x:v>
      </x:c>
      <x:c r="E2900" s="25" t="str">
        <x:v>$3.51</x:v>
      </x:c>
      <x:c r="F2900" s="19" t="str">
        <x:v>1</x:v>
      </x:c>
    </x:row>
    <x:row r="2901" ht="93" customHeight="1">
      <x:c r="A2901" s="19" t="n">
        <x:v>2898</x:v>
      </x:c>
      <x:c r="B2901" s="22" t="e">
        <x:f>HYPERLINK("https://cdn.shopify.com/s/files/1/0918/6066/4603/files/f761e028858236a73eca3282fcca1397.jpg?v=1775524783","Open")</x:f>
        <x:v>HYPERLINK is not implemented. linkLocation=https://cdn.shopify.com/s/files/1/0918/6066/4603/files/f761e028858236a73eca3282fcca1397.jpg?v=1775524783, friendlyName=Open</x:v>
      </x:c>
      <x:c r="C2901" s="24" t="e">
        <x:f>HYPERLINK("https://365nails.com/products/365nails-champagne-silk-minimalist-silver-line-cat-eye-handmade-oval-nails","365nails: ""Champagne Silk"" – Minimalist Silver Line Cat-Eye Handmade Oval Nails")</x:f>
        <x:v>HYPERLINK is not implemented. linkLocation=https://365nails.com/products/365nails-champagne-silk-minimalist-silver-line-cat-eye-handmade-oval-nails, friendlyName=365nails: "Champagne Silk" – Minimalist Silver Line Cat-Eye Handmade Oval Nails</x:v>
      </x:c>
      <x:c r="D2901" s="18" t="str">
        <x:v>Size: XS / S / M / L</x:v>
      </x:c>
      <x:c r="E2901" s="25" t="str">
        <x:v>$3.49</x:v>
      </x:c>
      <x:c r="F2901" s="19" t="str">
        <x:v>3</x:v>
      </x:c>
    </x:row>
    <x:row r="2902" ht="93" customHeight="1">
      <x:c r="A2902" s="19" t="n">
        <x:v>2899</x:v>
      </x:c>
      <x:c r="B2902" s="22" t="e">
        <x:f>HYPERLINK("https://cdn.shopify.com/s/files/1/0918/6066/4603/files/ae4221b7939cf0f75dc4704453f36501_d572ed98-e44e-4f48-a9eb-caf59c4fb222.jpg?v=1755258263","Open")</x:f>
        <x:v>HYPERLINK is not implemented. linkLocation=https://cdn.shopify.com/s/files/1/0918/6066/4603/files/ae4221b7939cf0f75dc4704453f36501_d572ed98-e44e-4f48-a9eb-caf59c4fb222.jpg?v=1755258263, friendlyName=Open</x:v>
      </x:c>
      <x:c r="C2902" s="24" t="e">
        <x:f>HYPERLINK("https://365nails.com/products/nail-tips-transparent-nail-piece-wholesale-30-pieces-full-number-light-and-thin-full-sticker-trapezoidal-non-marking-wear-free-patch-frosted-nail-piece","Transparent Frosted Nail Tips Wholesale, Light Thin Full-Cover Trapezoid Non-Marking Wear-Free Patches, 30 Pieces (MOQ=50)")</x:f>
        <x:v>HYPERLINK is not implemented. linkLocation=https://365nails.com/products/nail-tips-transparent-nail-piece-wholesale-30-pieces-full-number-light-and-thin-full-sticker-trapezoidal-non-marking-wear-free-patch-frosted-nail-piece, friendlyName=Transparent Frosted Nail Tips Wholesale, Light Thin Full-Cover Trapezoid Non-Marking Wear-Free Patches, 30 Pieces (MOQ=50)</x:v>
      </x:c>
      <x:c r="D2902" s="18" t="str">
        <x:v>Color: Short ellipse * 5 / Short Oval Refill 6-11 * 5 pieces / Trapezoidal * 5 pieces / Trapezoidal refill 6-11 * 5 pieces / Short trapezoidal * 5 pieces / Short trapezoidal refill 6-11 * 5 pieces / Medium almonds * 5 pieces / Almond Nail Supplement 6-11 * 5 pcs / Short circle * 5 strips / Square armor * 5 pieces / Short square * 5 pieces / Long almonds * 5 pieces / Japanese fat oval * 5 pieces / Japanese short fat oval * 5 pieces / 401 ultra-short ladder * 5 pieces / 403 new short square * 5 pieces / 404 short ballet * 5 pieces / 405 short almonds * 5 pieces / 406 toenails * 5 / 409 long ellipse * 5 / 266 half sticker denim armor * 5 pieces / 265T type French half sticker * 5 pieces; Quantity: 50pcs</x:v>
      </x:c>
      <x:c r="E2902" s="25" t="str">
        <x:v>$4.50</x:v>
      </x:c>
      <x:c r="F2902" s="19" t="str">
        <x:v>1</x:v>
      </x:c>
    </x:row>
    <x:row r="2903" ht="93" customHeight="1">
      <x:c r="A2903" s="19" t="n">
        <x:v>2900</x:v>
      </x:c>
      <x:c r="B2903" s="22" t="e">
        <x:f>HYPERLINK("https://cdn.shopify.com/s/files/1/0918/6066/4603/files/O1CN01PxAp1M1rlpRfdhxMS__2215158925672-0-cib.jpg?v=1754471366","Open")</x:f>
        <x:v>HYPERLINK is not implemented. linkLocation=https://cdn.shopify.com/s/files/1/0918/6066/4603/files/O1CN01PxAp1M1rlpRfdhxMS__2215158925672-0-cib.jpg?v=1754471366, friendlyName=Open</x:v>
      </x:c>
      <x:c r="C2903" s="24" t="e">
        <x:f>HYPERLINK("https://365nails.com/products/irregular-cats-eye-flash-nail-patch-icy-pure-medium-and-long-handmade-sticker-365nails","Iridescent Gem Leaf Long Nail Set")</x:f>
        <x:v>HYPERLINK is not implemented. linkLocation=https://365nails.com/products/irregular-cats-eye-flash-nail-patch-icy-pure-medium-and-long-handmade-sticker-365nails, friendlyName=Iridescent Gem Leaf Long Nail Set</x:v>
      </x:c>
      <x:c r="D2903" s="18" t="str">
        <x:v>size: XS / S / M / L</x:v>
      </x:c>
      <x:c r="E2903" s="25" t="str">
        <x:v>$3.99</x:v>
      </x:c>
      <x:c r="F2903" s="19" t="str">
        <x:v>30</x:v>
      </x:c>
    </x:row>
    <x:row r="2904" ht="93" customHeight="1">
      <x:c r="A2904" s="19" t="n">
        <x:v>2901</x:v>
      </x:c>
      <x:c r="B2904" s="22" t="e">
        <x:f>HYPERLINK("https://cdn.shopify.com/s/files/1/0918/6066/4603/files/O1CN013wueQT2ABd0ZPobBk__2218458308165-0-cib.jpg?v=1776155809","Open")</x:f>
        <x:v>HYPERLINK is not implemented. linkLocation=https://cdn.shopify.com/s/files/1/0918/6066/4603/files/O1CN013wueQT2ABd0ZPobBk__2218458308165-0-cib.jpg?v=1776155809, friendlyName=Open</x:v>
      </x:c>
      <x:c r="C2904" s="24" t="e">
        <x:f>HYPERLINK("https://365nails.com/products/%E6%AC%A7%E7%BE%8E%E7%A9%BF%E6%88%B4%E7%94%B2%E7%89%87%E8%93%9D%E7%BA%A2%E6%8B%BC%E8%89%B2%E6%B3%95%E5%BC%8F%E6%8C%87%E7%94%B2%E4%BA%94%E8%A7%92%E6%98%9F%E6%9D%A1%E7%BA%B9%E5%81%87%E6%8C%87%E7%94%B2%E7%BE%8E%E5%9B%BD%E7%8B%AC%E7%AB%8B%E6%97%A5%E7%BE%8E%E7%94%B2%E7%89%87","365nails: ""Liberty French""")</x:f>
        <x:v>HYPERLINK is not implemented. linkLocation=https://365nails.com/products/%E6%AC%A7%E7%BE%8E%E7%A9%BF%E6%88%B4%E7%94%B2%E7%89%87%E8%93%9D%E7%BA%A2%E6%8B%BC%E8%89%B2%E6%B3%95%E5%BC%8F%E6%8C%87%E7%94%B2%E4%BA%94%E8%A7%92%E6%98%9F%E6%9D%A1%E7%BA%B9%E5%81%87%E6%8C%87%E7%94%B2%E7%BE%8E%E5%9B%BD%E7%8B%AC%E7%AB%8B%E6%97%A5%E7%BE%8E%E7%94%B2%E7%89%87, friendlyName=365nails: "Liberty French"</x:v>
      </x:c>
      <x:c r="D2904" s="18" t="str">
        <x:v>Color: Jml513 (without tools) / Jml513 (glue type) / Jml513 (jelly glue rubbing strip)</x:v>
      </x:c>
      <x:c r="E2904" s="25" t="str">
        <x:v>$0.99</x:v>
      </x:c>
      <x:c r="F2904" s="19" t="str">
        <x:v>3</x:v>
      </x:c>
    </x:row>
    <x:row r="2905" ht="93" customHeight="1">
      <x:c r="A2905" s="19" t="n">
        <x:v>2902</x:v>
      </x:c>
      <x:c r="B2905" s="22" t="e">
        <x:f>HYPERLINK("https://cdn.shopify.com/s/files/1/0918/6066/4603/files/O1CN01lxMqBy1CPw5jsUa0X__2213196780074-0-cib.jpg?v=1763709042","Open")</x:f>
        <x:v>HYPERLINK is not implemented. linkLocation=https://cdn.shopify.com/s/files/1/0918/6066/4603/files/O1CN01lxMqBy1CPw5jsUa0X__2213196780074-0-cib.jpg?v=1763709042, friendlyName=Open</x:v>
      </x:c>
      <x:c r="C2905" s="24" t="e">
        <x:f>HYPERLINK("https://365nails.com/products/red-and-nude-christmas-press-on-nails-santa-reindeer-cute-design","Red and Nude Christmas Press‑On Nails – Santa &amp; Reindeer Cute Design")</x:f>
        <x:v>HYPERLINK is not implemented. linkLocation=https://365nails.com/products/red-and-nude-christmas-press-on-nails-santa-reindeer-cute-design, friendlyName=Red and Nude Christmas Press‑On Nails – Santa &amp; Reindeer Cute Design</x:v>
      </x:c>
      <x:c r="D2905" s="18" t="str">
        <x:v>size: Extra small XS / S / M M / Large L; Specification type: Christmas hand-painted cute elk</x:v>
      </x:c>
      <x:c r="E2905" s="25" t="str">
        <x:v>$2.99</x:v>
      </x:c>
      <x:c r="F2905" s="19" t="str">
        <x:v>1</x:v>
      </x:c>
    </x:row>
    <x:row r="2906" ht="93" customHeight="1">
      <x:c r="A2906" s="19" t="n">
        <x:v>2903</x:v>
      </x:c>
      <x:c r="B2906" s="22" t="e">
        <x:f>HYPERLINK("https://cdn.shopify.com/s/files/1/0918/6066/4603/files/O1CN01gR9M451rlpaAflYzs__2215158925672-0-cib_087a9ea8-21e7-4960-a259-57d3f35666e4.jpg?v=1763187448","Open")</x:f>
        <x:v>HYPERLINK is not implemented. linkLocation=https://cdn.shopify.com/s/files/1/0918/6066/4603/files/O1CN01gR9M451rlpaAflYzs__2215158925672-0-cib_087a9ea8-21e7-4960-a259-57d3f35666e4.jpg?v=1763187448, friendlyName=Open</x:v>
      </x:c>
      <x:c r="C2906" s="24" t="e">
        <x:f>HYPERLINK("https://365nails.com/products/golden-petal-series-press-on-nails","Golden Petal Series Press-On Nails")</x:f>
        <x:v>HYPERLINK is not implemented. linkLocation=https://365nails.com/products/golden-petal-series-press-on-nails, friendlyName=Golden Petal Series Press-On Nails</x:v>
      </x:c>
      <x:c r="D2906" s="18" t="str">
        <x:v>Size: S / M / L</x:v>
      </x:c>
      <x:c r="E2906" s="25" t="str">
        <x:v>$4.99</x:v>
      </x:c>
      <x:c r="F2906" s="19" t="str">
        <x:v>30</x:v>
      </x:c>
    </x:row>
    <x:row r="2907" ht="93" customHeight="1">
      <x:c r="A2907" s="19" t="n">
        <x:v>2904</x:v>
      </x:c>
      <x:c r="B2907" s="22" t="e">
        <x:f>HYPERLINK("https://cdn.shopify.com/s/files/1/0918/6066/4603/files/1ce6d832449cf0dee6e1d40e3eb08883.png?v=1755260811","Open")</x:f>
        <x:v>HYPERLINK is not implemented. linkLocation=https://cdn.shopify.com/s/files/1/0918/6066/4603/files/1ce6d832449cf0dee6e1d40e3eb08883.png?v=1755260811, friendlyName=Open</x:v>
      </x:c>
      <x:c r="C2907" s="24" t="e">
        <x:f>HYPERLINK("https://365nails.com/products/nail-tips-amazon-popular-press-on-nails-matte-450-almonds-free-of-engraving-ultra-thin-and-seamless-patch-manicure-fake-nails","Nail Tips Amazon popular press on nails matte 450 almonds free of engraving ultra-thin and seamless patch manicure fake nails (MOQ=3)")</x:f>
        <x:v>HYPERLINK is not implemented. linkLocation=https://365nails.com/products/nail-tips-amazon-popular-press-on-nails-matte-450-almonds-free-of-engraving-ultra-thin-and-seamless-patch-manicure-fake-nails, friendlyName=Nail Tips Amazon popular press on nails matte 450 almonds free of engraving ultra-thin and seamless patch manicure fake nails (MOQ=3)</x:v>
      </x:c>
      <x:c r="D2907" s="18" t="str">
        <x:v>Color: 191-Short Oval-450 Piece Box / 192-Trapezoidal-450 piece box / 193-Short Trapezoidal-450 Piece Box / 194-Medium Almonds-450 Pieces Boxed / 195-Short Round-450 Piece Box / 196-Square Armor-450 Pieces Boxed / 197-Short Square-450 Pieces Boxed / 198-Long Almonds-450 Pieces Boxed / 199-Japanese Fat Oval-450 Pieces Box / 199-2-Japanese Short Fat Oval-450 Pieces Boxed / 401-Super Short Ladder-Full Scrub-450 Pieces Boxed / 401-Super Short Ladder-Semi-Frosted-450 Pieces Boxed / 402-New Short Ladder-Semi-Frosted-450 Pieces Boxed / 403-New Short Circle-450 Pieces Boxed / 404-Short Ballet-450 Pieces Box / 405-Short Almonds-450 Pieces Boxed; Quantity: 3pcs</x:v>
      </x:c>
      <x:c r="E2907" s="25" t="str">
        <x:v>$5.16</x:v>
      </x:c>
      <x:c r="F2907" s="19" t="str">
        <x:v>1</x:v>
      </x:c>
    </x:row>
    <x:row r="2908" ht="93" customHeight="1">
      <x:c r="A2908" s="19" t="n">
        <x:v>2905</x:v>
      </x:c>
      <x:c r="B2908" s="22" t="e">
        <x:f>HYPERLINK("https://cdn.shopify.com/s/files/1/0918/6066/4603/files/87cd974c4feb762e9fd220b6b0b616e0.png?v=1755259057","Open")</x:f>
        <x:v>HYPERLINK is not implemented. linkLocation=https://cdn.shopify.com/s/files/1/0918/6066/4603/files/87cd974c4feb762e9fd220b6b0b616e0.png?v=1755259057, friendlyName=Open</x:v>
      </x:c>
      <x:c r="C2908" s="24" t="e">
        <x:f>HYPERLINK("https://365nails.com/products/nail-tips-nail-plate-with-scale-line-flat-nail-boxed-transparent-and-seamless-full-sticker-removable-and-wearable-fake-nail-patch","Nail Tips Nail plate with scale line Flat nail, boxed transparent and seamless full sticker Removable and wearable fake nail patch (MOQ=3)")</x:f>
        <x:v>HYPERLINK is not implemented. linkLocation=https://365nails.com/products/nail-tips-nail-plate-with-scale-line-flat-nail-boxed-transparent-and-seamless-full-sticker-removable-and-wearable-fake-nail-patch, friendlyName=Nail Tips Nail plate with scale line Flat nail, boxed transparent and seamless full sticker Removable and wearable fake nail patch (MOQ=3)</x:v>
      </x:c>
      <x:c r="D2908" s="18" t="str">
        <x:v>Color: 251-Ladder-500 pieces/box / 253-Ladder A-500 pieces/box / 254-Short Water Drop-500 Pieces/Box / 255-Water drop type-500 pieces/box; Quantity: 3pcs</x:v>
      </x:c>
      <x:c r="E2908" s="25" t="str">
        <x:v>$5.16</x:v>
      </x:c>
      <x:c r="F2908" s="19" t="str">
        <x:v>1</x:v>
      </x:c>
    </x:row>
    <x:row r="2909" ht="93" customHeight="1">
      <x:c r="A2909" s="19" t="n">
        <x:v>2906</x:v>
      </x:c>
      <x:c r="B2909" s="22" t="e">
        <x:f>HYPERLINK("https://cdn.shopify.com/s/files/1/0918/6066/4603/files/9b2e256642b0884b28028983b1952ca6.jpg?v=1775636436","Open")</x:f>
        <x:v>HYPERLINK is not implemented. linkLocation=https://cdn.shopify.com/s/files/1/0918/6066/4603/files/9b2e256642b0884b28028983b1952ca6.jpg?v=1775636436, friendlyName=Open</x:v>
      </x:c>
      <x:c r="C2909" s="24" t="e">
        <x:f>HYPERLINK("https://365nails.com/products/365nails-strawberry-sparkle-3d-clear-bear-glitter-jelly-handmade-squoval-nails","365nails: ""Strawberry Sparkle"" – 3D Clear Bear &amp; Glitter Jelly Handmade Squoval Nails")</x:f>
        <x:v>HYPERLINK is not implemented. linkLocation=https://365nails.com/products/365nails-strawberry-sparkle-3d-clear-bear-glitter-jelly-handmade-squoval-nails, friendlyName=365nails: "Strawberry Sparkle" – 3D Clear Bear &amp; Glitter Jelly Handmade Squoval Nails</x:v>
      </x:c>
      <x:c r="D2909" s="18" t="str">
        <x:v>Size: XS / S / M / L</x:v>
      </x:c>
      <x:c r="E2909" s="25" t="str">
        <x:v>$2.49</x:v>
      </x:c>
      <x:c r="F2909" s="19" t="str">
        <x:v>5</x:v>
      </x:c>
    </x:row>
    <x:row r="2910" ht="93" customHeight="1">
      <x:c r="A2910" s="19" t="n">
        <x:v>2907</x:v>
      </x:c>
      <x:c r="B2910" s="22" t="e">
        <x:f>HYPERLINK("https://cdn.shopify.com/s/files/1/0918/6066/4603/files/O1CN01eeyReL1rlpaFG7vgf__2215158925672-0-cib_dfeeb19b-4675-4da1-8c97-fa41cd2af121.jpg?v=1763183612","Open")</x:f>
        <x:v>HYPERLINK is not implemented. linkLocation=https://cdn.shopify.com/s/files/1/0918/6066/4603/files/O1CN01eeyReL1rlpaFG7vgf__2215158925672-0-cib_dfeeb19b-4675-4da1-8c97-fa41cd2af121.jpg?v=1763183612, friendlyName=Open</x:v>
      </x:c>
      <x:c r="C2910" s="24" t="e">
        <x:f>HYPERLINK("https://365nails.com/products/molten-halo-series-press-on-nails","Molten Halo Series Press-On Nails")</x:f>
        <x:v>HYPERLINK is not implemented. linkLocation=https://365nails.com/products/molten-halo-series-press-on-nails, friendlyName=Molten Halo Series Press-On Nails</x:v>
      </x:c>
      <x:c r="D2910" s="18" t="str">
        <x:v>SIZE: S / M / L</x:v>
      </x:c>
      <x:c r="E2910" s="25" t="str">
        <x:v>$3.99</x:v>
      </x:c>
      <x:c r="F2910" s="19" t="str">
        <x:v>30</x:v>
      </x:c>
    </x:row>
    <x:row r="2911" ht="93" customHeight="1">
      <x:c r="A2911" s="19" t="n">
        <x:v>2908</x:v>
      </x:c>
      <x:c r="B2911" s="22" t="e">
        <x:f>HYPERLINK("https://cdn.shopify.com/s/files/1/0918/6066/4603/files/O1CN01gvCChI1CPw5fRblJJ__2213196780074-0-cib.jpg?v=1763712207","Open")</x:f>
        <x:v>HYPERLINK is not implemented. linkLocation=https://cdn.shopify.com/s/files/1/0918/6066/4603/files/O1CN01gvCChI1CPw5fRblJJ__2213196780074-0-cib.jpg?v=1763712207, friendlyName=Open</x:v>
      </x:c>
      <x:c r="C2911" s="24" t="e">
        <x:f>HYPERLINK("https://365nails.com/products/festive-gingerbread-snowman-christmas-press-on-nails-red-and-green-short-design","Festive Gingerbread &amp; Snowman Christmas Press‑On Nails – Red and Green Short Design")</x:f>
        <x:v>HYPERLINK is not implemented. linkLocation=https://365nails.com/products/festive-gingerbread-snowman-christmas-press-on-nails-red-and-green-short-design, friendlyName=Festive Gingerbread &amp; Snowman Christmas Press‑On Nails – Red and Green Short Design</x:v>
      </x:c>
      <x:c r="D2911" s="18" t="str">
        <x:v>size: Extra small XS / S / M M / Large L; Specification type: Santa Claus Nail Art</x:v>
      </x:c>
      <x:c r="E2911" s="25" t="str">
        <x:v>$4.49</x:v>
      </x:c>
      <x:c r="F2911" s="19" t="str">
        <x:v>1</x:v>
      </x:c>
    </x:row>
    <x:row r="2912" ht="93" customHeight="1">
      <x:c r="A2912" s="19" t="n">
        <x:v>2909</x:v>
      </x:c>
      <x:c r="B2912" s="22" t="e">
        <x:f>HYPERLINK("https://cdn.shopify.com/s/files/1/0918/6066/4603/files/O1CN01NCeWZA1CPwJqtwNYX__2213196780074-0-cib.jpg?v=1763711871","Open")</x:f>
        <x:v>HYPERLINK is not implemented. linkLocation=https://cdn.shopify.com/s/files/1/0918/6066/4603/files/O1CN01NCeWZA1CPwJqtwNYX__2213196780074-0-cib.jpg?v=1763711871, friendlyName=Open</x:v>
      </x:c>
      <x:c r="C2912" s="24" t="e">
        <x:f>HYPERLINK("https://365nails.com/products/plaid-heart-santa-christmas-press-on-nails-mint-green-and-red-short-design","Plaid Heart &amp; Santa Christmas Press‑On Nails – Mint Green and Red Short Design")</x:f>
        <x:v>HYPERLINK is not implemented. linkLocation=https://365nails.com/products/plaid-heart-santa-christmas-press-on-nails-mint-green-and-red-short-design, friendlyName=Plaid Heart &amp; Santa Christmas Press‑On Nails – Mint Green and Red Short Design</x:v>
      </x:c>
      <x:c r="D2912" s="18" t="str">
        <x:v>size: Extra small XS / S / M M / Large L; Specification type: 2488 short ladder</x:v>
      </x:c>
      <x:c r="E2912" s="25" t="str">
        <x:v>$4.49</x:v>
      </x:c>
      <x:c r="F2912" s="19" t="str">
        <x:v>1</x:v>
      </x:c>
    </x:row>
    <x:row r="2913" ht="93" customHeight="1">
      <x:c r="A2913" s="19" t="n">
        <x:v>2910</x:v>
      </x:c>
      <x:c r="B2913" s="22" t="e">
        <x:f>HYPERLINK("https://cdn.shopify.com/s/files/1/0918/6066/4603/files/O1CN01EOm8kJ2ABd0ZLk2ao__2218458308165-0-cib.jpg?v=1776155880","Open")</x:f>
        <x:v>HYPERLINK is not implemented. linkLocation=https://cdn.shopify.com/s/files/1/0918/6066/4603/files/O1CN01EOm8kJ2ABd0ZLk2ao__2218458308165-0-cib.jpg?v=1776155880, friendlyName=Open</x:v>
      </x:c>
      <x:c r="C2913" s="24" t="e">
        <x:f>HYPERLINK("https://365nails.com/products/%E8%B7%A8%E5%A2%83%E7%83%AD%E9%94%80%E7%9F%AD%E6%AC%BE%E6%96%B9%E5%BD%A2%E7%94%B2%E8%93%9D%E7%BA%A2%E9%97%AA%E7%B2%89%E6%9D%A1%E7%BA%B9%E6%98%9F%E6%98%9F%E6%AC%A7%E7%BE%8E%E7%A9%BF%E6%88%B4%E7%94%B2%E7%BE%8E%E5%9B%BD%E7%8B%AC%E7%AB%8B%E6%97%A5%E5%81%87%E6%8C%87%E7%94%B2","365nails: ""I Love USA""")</x:f>
        <x:v>HYPERLINK is not implemented. linkLocation=https://365nails.com/products/%E8%B7%A8%E5%A2%83%E7%83%AD%E9%94%80%E7%9F%AD%E6%AC%BE%E6%96%B9%E5%BD%A2%E7%94%B2%E8%93%9D%E7%BA%A2%E9%97%AA%E7%B2%89%E6%9D%A1%E7%BA%B9%E6%98%9F%E6%98%9F%E6%AC%A7%E7%BE%8E%E7%A9%BF%E6%88%B4%E7%94%B2%E7%BE%8E%E5%9B%BD%E7%8B%AC%E7%AB%8B%E6%97%A5%E5%81%87%E6%8C%87%E7%94%B2, friendlyName=365nails: "I Love USA"</x:v>
      </x:c>
      <x:c r="D2913" s="18" t="str">
        <x:v>Color: Jml506 (without tools) / Jml506(glue type) / Jml506 (jelly glue rubbing strip)</x:v>
      </x:c>
      <x:c r="E2913" s="25" t="str">
        <x:v>$0.99</x:v>
      </x:c>
      <x:c r="F2913" s="19" t="str">
        <x:v>3</x:v>
      </x:c>
    </x:row>
    <x:row r="2914" ht="93" customHeight="1">
      <x:c r="A2914" s="19" t="n">
        <x:v>2911</x:v>
      </x:c>
      <x:c r="B2914" s="22" t="e">
        <x:f>HYPERLINK("https://cdn.shopify.com/s/files/1/0918/6066/4603/files/O1CN01Yedxtq2ABd0KDFl3z__2218458308165-0-cib.jpg?v=1776154439","Open")</x:f>
        <x:v>HYPERLINK is not implemented. linkLocation=https://cdn.shopify.com/s/files/1/0918/6066/4603/files/O1CN01Yedxtq2ABd0KDFl3z__2218458308165-0-cib.jpg?v=1776154439, friendlyName=Open</x:v>
      </x:c>
      <x:c r="C2914" s="24" t="e">
        <x:f>HYPERLINK("https://365nails.com/products/%E6%AC%A7%E7%BE%8E%E7%A9%BF%E6%88%B4%E7%94%B2%E7%BE%8E%E5%9B%BD%E7%8B%AC%E7%AB%8B%E6%97%A5%E5%9B%BD%E6%97%97%E7%BE%8E%E7%94%B2%E8%B4%B4%E7%89%8724%E7%89%87%E5%8F%AF%E6%8B%86%E5%8D%B8%E5%81%87%E6%8C%87%E7%94%B2%E8%B7%A8%E5%A2%83%E7%83%AD%E9%94%80%E7%94%B2%E7%89%87","365nails: ""American Spirit""")</x:f>
        <x:v>HYPERLINK is not implemented. linkLocation=https://365nails.com/products/%E6%AC%A7%E7%BE%8E%E7%A9%BF%E6%88%B4%E7%94%B2%E7%BE%8E%E5%9B%BD%E7%8B%AC%E7%AB%8B%E6%97%A5%E5%9B%BD%E6%97%97%E7%BE%8E%E7%94%B2%E8%B4%B4%E7%89%8724%E7%89%87%E5%8F%AF%E6%8B%86%E5%8D%B8%E5%81%87%E6%8C%87%E7%94%B2%E8%B7%A8%E5%A2%83%E7%83%AD%E9%94%80%E7%94%B2%E7%89%87, friendlyName=365nails: "American Spirit"</x:v>
      </x:c>
      <x:c r="D2914" s="18" t="str">
        <x:v>Color: Jml533 (without tools) / Jml533 (glue type) / Jml533 (jelly glue rubbing strip)</x:v>
      </x:c>
      <x:c r="E2914" s="25" t="str">
        <x:v>$0.99</x:v>
      </x:c>
      <x:c r="F2914" s="19" t="str">
        <x:v>3</x:v>
      </x:c>
    </x:row>
    <x:row r="2915" ht="93" customHeight="1">
      <x:c r="A2915" s="19" t="n">
        <x:v>2912</x:v>
      </x:c>
      <x:c r="B2915" s="22" t="e">
        <x:f>HYPERLINK("https://cdn.shopify.com/s/files/1/0918/6066/4603/files/O1CN01WusDTi1rlpaFjKGae__2215158925672-0-cib.jpg?v=1763178029","Open")</x:f>
        <x:v>HYPERLINK is not implemented. linkLocation=https://cdn.shopify.com/s/files/1/0918/6066/4603/files/O1CN01WusDTi1rlpaFjKGae__2215158925672-0-cib.jpg?v=1763178029, friendlyName=Open</x:v>
      </x:c>
      <x:c r="C2915" s="24" t="e">
        <x:f>HYPERLINK("https://365nails.com/products/midnight-armor-series-press-on-nails","Midnight Armor Series Press-On Nails")</x:f>
        <x:v>HYPERLINK is not implemented. linkLocation=https://365nails.com/products/midnight-armor-series-press-on-nails, friendlyName=Midnight Armor Series Press-On Nails</x:v>
      </x:c>
      <x:c r="D2915" s="18" t="str">
        <x:v>SIZE: S / M / L</x:v>
      </x:c>
      <x:c r="E2915" s="25" t="str">
        <x:v>$3.99</x:v>
      </x:c>
      <x:c r="F2915" s="19" t="str">
        <x:v>30</x:v>
      </x:c>
    </x:row>
    <x:row r="2916" ht="93" customHeight="1">
      <x:c r="A2916" s="19" t="n">
        <x:v>2913</x:v>
      </x:c>
      <x:c r="B2916" s="22" t="e">
        <x:f>HYPERLINK("https://cdn.shopify.com/s/files/1/0918/6066/4603/files/O1CN01Efeoyq1rlpaBKDJfu__2215158925672-0-cib.jpg?v=1763182520","Open")</x:f>
        <x:v>HYPERLINK is not implemented. linkLocation=https://cdn.shopify.com/s/files/1/0918/6066/4603/files/O1CN01Efeoyq1rlpaBKDJfu__2215158925672-0-cib.jpg?v=1763182520, friendlyName=Open</x:v>
      </x:c>
      <x:c r="C2916" s="24" t="e">
        <x:f>HYPERLINK("https://365nails.com/products/rose-velvet-series-press-on-nails","Rosé Velvet Series Press-On Nails")</x:f>
        <x:v>HYPERLINK is not implemented. linkLocation=https://365nails.com/products/rose-velvet-series-press-on-nails, friendlyName=Rosé Velvet Series Press-On Nails</x:v>
      </x:c>
      <x:c r="D2916" s="18" t="str">
        <x:v>SIZE: S / M / L</x:v>
      </x:c>
      <x:c r="E2916" s="25" t="str">
        <x:v>$4.49</x:v>
      </x:c>
      <x:c r="F2916" s="19" t="str">
        <x:v>30</x:v>
      </x:c>
    </x:row>
    <x:row r="2917" ht="93" customHeight="1">
      <x:c r="A2917" s="19" t="n">
        <x:v>2914</x:v>
      </x:c>
      <x:c r="B2917" s="22" t="e">
        <x:f>HYPERLINK("https://cdn.shopify.com/s/files/1/0918/6066/4603/files/O1CN01JaglUN1CPwJrwv00R__2213196780074-0-cib.jpg?v=1763707348","Open")</x:f>
        <x:v>HYPERLINK is not implemented. linkLocation=https://cdn.shopify.com/s/files/1/0918/6066/4603/files/O1CN01JaglUN1CPwJrwv00R__2213196780074-0-cib.jpg?v=1763707348, friendlyName=Open</x:v>
      </x:c>
      <x:c r="C2917" s="24" t="e">
        <x:f>HYPERLINK("https://365nails.com/products/colorful-christmas-press-on-nails-santa-reindeer-number-design","Colorful Christmas Press‑On Nails – Santa, Reindeer &amp; Number Design")</x:f>
        <x:v>HYPERLINK is not implemented. linkLocation=https://365nails.com/products/colorful-christmas-press-on-nails-santa-reindeer-number-design, friendlyName=Colorful Christmas Press‑On Nails – Santa, Reindeer &amp; Number Design</x:v>
      </x:c>
      <x:c r="D2917" s="18" t="str">
        <x:v>size: Extra small XS / S / M M / Large L; Specification type: 2227 short circle</x:v>
      </x:c>
      <x:c r="E2917" s="25" t="str">
        <x:v>$3.99</x:v>
      </x:c>
      <x:c r="F2917" s="19" t="str">
        <x:v>1</x:v>
      </x:c>
    </x:row>
    <x:row r="2918" ht="93" customHeight="1">
      <x:c r="A2918" s="19" t="n">
        <x:v>2915</x:v>
      </x:c>
      <x:c r="B2918" s="22" t="e">
        <x:f>HYPERLINK("https://cdn.shopify.com/s/files/1/0918/6066/4603/files/O1CN01L53nDz2ABd0HpO3VQ__2218458308165-0-cib.jpg?v=1776154328","Open")</x:f>
        <x:v>HYPERLINK is not implemented. linkLocation=https://cdn.shopify.com/s/files/1/0918/6066/4603/files/O1CN01L53nDz2ABd0HpO3VQ__2218458308165-0-cib.jpg?v=1776154328, friendlyName=Open</x:v>
      </x:c>
      <x:c r="C2918" s="24" t="e">
        <x:f>HYPERLINK("https://365nails.com/products/%E6%AC%A7%E7%BE%8E%E7%A9%BF%E6%88%B4%E7%94%B2%E7%BE%8E%E5%9B%BD%E7%8B%AC%E7%AB%8B%E6%97%A5%E6%9D%8F%E4%BB%81%E7%94%B2%E8%93%9D%E7%BA%A2%E6%98%9F%E6%98%9F%E6%A0%BC%E7%BA%B9%E6%97%97%E5%AD%90%E7%83%9F%E8%8A%B1%E5%8F%AF%E6%8B%86%E5%8D%B8%E5%81%87%E6%8C%87%E7%94%B2%E7%89%87","365nails: ""Festive Fireworks""")</x:f>
        <x:v>HYPERLINK is not implemented. linkLocation=https://365nails.com/products/%E6%AC%A7%E7%BE%8E%E7%A9%BF%E6%88%B4%E7%94%B2%E7%BE%8E%E5%9B%BD%E7%8B%AC%E7%AB%8B%E6%97%A5%E6%9D%8F%E4%BB%81%E7%94%B2%E8%93%9D%E7%BA%A2%E6%98%9F%E6%98%9F%E6%A0%BC%E7%BA%B9%E6%97%97%E5%AD%90%E7%83%9F%E8%8A%B1%E5%8F%AF%E6%8B%86%E5%8D%B8%E5%81%87%E6%8C%87%E7%94%B2%E7%89%87, friendlyName=365nails: "Festive Fireworks"</x:v>
      </x:c>
      <x:c r="D2918" s="18" t="str">
        <x:v>Color: Jml485 (without tools) / Jml485 (glue type) / Jml485 (jelly glue rubbing strip)</x:v>
      </x:c>
      <x:c r="E2918" s="25" t="str">
        <x:v>$0.99</x:v>
      </x:c>
      <x:c r="F2918" s="19" t="str">
        <x:v>3</x:v>
      </x:c>
    </x:row>
    <x:row r="2919" ht="93" customHeight="1">
      <x:c r="A2919" s="19" t="n">
        <x:v>2916</x:v>
      </x:c>
      <x:c r="B2919" s="22" t="e">
        <x:f>HYPERLINK("https://cdn.shopify.com/s/files/1/0918/6066/4603/files/O1CN014QnoBm1CPwCt6q2zb__2213196780074-0-cib.jpg?v=1763709289","Open")</x:f>
        <x:v>HYPERLINK is not implemented. linkLocation=https://cdn.shopify.com/s/files/1/0918/6066/4603/files/O1CN014QnoBm1CPwCt6q2zb__2213196780074-0-cib.jpg?v=1763709289, friendlyName=Open</x:v>
      </x:c>
      <x:c r="C2919" s="24" t="e">
        <x:f>HYPERLINK("https://365nails.com/products/santa-and-christmas-tree-press-on-nails-candy-cane-cute-holiday-design","Santa and Christmas Tree Press‑On Nails – Candy Cane Cute Holiday Design")</x:f>
        <x:v>HYPERLINK is not implemented. linkLocation=https://365nails.com/products/santa-and-christmas-tree-press-on-nails-candy-cane-cute-holiday-design, friendlyName=Santa and Christmas Tree Press‑On Nails – Candy Cane Cute Holiday Design</x:v>
      </x:c>
      <x:c r="D2919" s="18" t="str">
        <x:v>Color: Pinch Santa Claus; size: Extra small XS / S / M M / Large L</x:v>
      </x:c>
      <x:c r="E2919" s="25" t="str">
        <x:v>$3.99</x:v>
      </x:c>
      <x:c r="F2919" s="19" t="str">
        <x:v>1</x:v>
      </x:c>
    </x:row>
    <x:row r="2920" ht="93" customHeight="1">
      <x:c r="A2920" s="19" t="n">
        <x:v>2917</x:v>
      </x:c>
      <x:c r="B2920" s="22" t="e">
        <x:f>HYPERLINK("https://cdn.shopify.com/s/files/1/0918/6066/4603/files/1944bf41d8f4dae2c815cc5cb0114d16.jpg?v=1773306896","Open")</x:f>
        <x:v>HYPERLINK is not implemented. linkLocation=https://cdn.shopify.com/s/files/1/0918/6066/4603/files/1944bf41d8f4dae2c815cc5cb0114d16.jpg?v=1773306896, friendlyName=Open</x:v>
      </x:c>
      <x:c r="C2920" s="24" t="e">
        <x:f>HYPERLINK("https://365nails.com/products/365nails-dark-cat-eye-heart-handmade-press-on-pedicure","365nails: ""dark cat-eye heart"" – handmade press-on pedicure")</x:f>
        <x:v>HYPERLINK is not implemented. linkLocation=https://365nails.com/products/365nails-dark-cat-eye-heart-handmade-press-on-pedicure, friendlyName=365nails: "dark cat-eye heart" – handmade press-on pedicure</x:v>
      </x:c>
      <x:c r="D2920" s="18" t="str">
        <x:v>Size: XS / S / M / L</x:v>
      </x:c>
      <x:c r="E2920" s="25" t="str">
        <x:v>$3.99</x:v>
      </x:c>
      <x:c r="F2920" s="19" t="str">
        <x:v>3</x:v>
      </x:c>
    </x:row>
    <x:row r="2921" ht="93" customHeight="1">
      <x:c r="A2921" s="19" t="n">
        <x:v>2918</x:v>
      </x:c>
      <x:c r="B2921" s="22" t="e">
        <x:f>HYPERLINK("https://cdn.shopify.com/s/files/1/0918/6066/4603/files/O1CN01nv3RgZ1CPwKH70J7F__2213196780074-0-cib.jpg?v=1763707514","Open")</x:f>
        <x:v>HYPERLINK is not implemented. linkLocation=https://cdn.shopify.com/s/files/1/0918/6066/4603/files/O1CN01nv3RgZ1CPwKH70J7F__2213196780074-0-cib.jpg?v=1763707514, friendlyName=Open</x:v>
      </x:c>
      <x:c r="C2921" s="24" t="e">
        <x:f>HYPERLINK("https://365nails.com/products/red-and-gold-christmas-press-on-nails-gift-ornament-design","Red and Gold Christmas Press‑On Nails – Gift &amp; Ornament Design")</x:f>
        <x:v>HYPERLINK is not implemented. linkLocation=https://365nails.com/products/red-and-gold-christmas-press-on-nails-gift-ornament-design, friendlyName=Red and Gold Christmas Press‑On Nails – Gift &amp; Ornament Design</x:v>
      </x:c>
      <x:c r="D2921" s="18" t="str">
        <x:v>size: Extra small XS / S / M M / Large L; Specification type: 2642 short circle</x:v>
      </x:c>
      <x:c r="E2921" s="25" t="str">
        <x:v>$3.49</x:v>
      </x:c>
      <x:c r="F2921" s="19" t="str">
        <x:v>1</x:v>
      </x:c>
    </x:row>
    <x:row r="2922" ht="93" customHeight="1">
      <x:c r="A2922" s="19" t="n">
        <x:v>2919</x:v>
      </x:c>
      <x:c r="B2922" s="22" t="e">
        <x:f>HYPERLINK("https://cdn.shopify.com/s/files/1/0918/6066/4603/files/O1CN01yQQ3cR1CPwJp5YPU1__2213196780074-0-cib.jpg?v=1763710992","Open")</x:f>
        <x:v>HYPERLINK is not implemented. linkLocation=https://cdn.shopify.com/s/files/1/0918/6066/4603/files/O1CN01yQQ3cR1CPwJp5YPU1__2213196780074-0-cib.jpg?v=1763710992, friendlyName=Open</x:v>
      </x:c>
      <x:c r="C2922" s="24" t="e">
        <x:f>HYPERLINK("https://365nails.com/products/cute-3d-christmas-press-on-nails-santa-wreath-gingerbread-short-design","Cute 3D Christmas Press‑On Nails – Santa, Wreath &amp; Gingerbread Short Design")</x:f>
        <x:v>HYPERLINK is not implemented. linkLocation=https://365nails.com/products/cute-3d-christmas-press-on-nails-santa-wreath-gingerbread-short-design, friendlyName=Cute 3D Christmas Press‑On Nails – Santa, Wreath &amp; Gingerbread Short Design</x:v>
      </x:c>
      <x:c r="D2922" s="18" t="str">
        <x:v>size: Extra small XS / S / M M / Large L; Specification type: 2518 short ladder</x:v>
      </x:c>
      <x:c r="E2922" s="25" t="str">
        <x:v>$4.99</x:v>
      </x:c>
      <x:c r="F2922" s="19" t="str">
        <x:v>1</x:v>
      </x:c>
    </x:row>
    <x:row r="2923" ht="93" customHeight="1">
      <x:c r="A2923" s="19" t="n">
        <x:v>2920</x:v>
      </x:c>
      <x:c r="B2923" s="22" t="e">
        <x:f>HYPERLINK("https://cdn.shopify.com/s/files/1/0918/6066/4603/files/O1CN01Zzey1i1CPwJrabH0y__2213196780074-0-cib.jpg?v=1763710398","Open")</x:f>
        <x:v>HYPERLINK is not implemented. linkLocation=https://cdn.shopify.com/s/files/1/0918/6066/4603/files/O1CN01Zzey1i1CPwJrabH0y__2213196780074-0-cib.jpg?v=1763710398, friendlyName=Open</x:v>
      </x:c>
      <x:c r="C2923" s="24" t="e">
        <x:f>HYPERLINK("https://365nails.com/products/red-and-clear-christmas-press-on-nails-crystal-gift-tree-elegant-design","Red and Clear Christmas Press‑On Nails – Crystal Gift &amp; Tree Elegant Design")</x:f>
        <x:v>HYPERLINK is not implemented. linkLocation=https://365nails.com/products/red-and-clear-christmas-press-on-nails-crystal-gift-tree-elegant-design, friendlyName=Red and Clear Christmas Press‑On Nails – Crystal Gift &amp; Tree Elegant Design</x:v>
      </x:c>
      <x:c r="D2923" s="18" t="str">
        <x:v>size: Extra small XS / S / M M / Large L; Specification type: 2537 Long Almonds</x:v>
      </x:c>
      <x:c r="E2923" s="25" t="str">
        <x:v>$2.99</x:v>
      </x:c>
      <x:c r="F2923" s="19" t="str">
        <x:v>1</x:v>
      </x:c>
    </x:row>
    <x:row r="2924" ht="93" customHeight="1">
      <x:c r="A2924" s="19" t="n">
        <x:v>2921</x:v>
      </x:c>
      <x:c r="B2924" s="22" t="e">
        <x:f>HYPERLINK("https://cdn.shopify.com/s/files/1/0918/6066/4603/files/O1CN01p2bYMi1CPwCP7SDUt__2213196780074-0-cib.jpg?v=1763706717","Open")</x:f>
        <x:v>HYPERLINK is not implemented. linkLocation=https://cdn.shopify.com/s/files/1/0918/6066/4603/files/O1CN01p2bYMi1CPwCP7SDUt__2213196780074-0-cib.jpg?v=1763706717, friendlyName=Open</x:v>
      </x:c>
      <x:c r="C2924" s="24" t="e">
        <x:f>HYPERLINK("https://365nails.com/products/colorful-christmas-press-on-nails-santa-gift-box-design","Colorful Christmas Press‑On Nails – Santa &amp; Gift Box Design")</x:f>
        <x:v>HYPERLINK is not implemented. linkLocation=https://365nails.com/products/colorful-christmas-press-on-nails-santa-gift-box-design, friendlyName=Colorful Christmas Press‑On Nails – Santa &amp; Gift Box Design</x:v>
      </x:c>
      <x:c r="D2924" s="18" t="str">
        <x:v>Color: Santa Claus; size: Extra small XS / S / M M / Large L</x:v>
      </x:c>
      <x:c r="E2924" s="25" t="str">
        <x:v>$3.99</x:v>
      </x:c>
      <x:c r="F2924" s="19" t="str">
        <x:v>1</x:v>
      </x:c>
    </x:row>
    <x:row r="2925" ht="93" customHeight="1">
      <x:c r="A2925" s="19" t="n">
        <x:v>2922</x:v>
      </x:c>
      <x:c r="B2925" s="22" t="e">
        <x:f>HYPERLINK("https://cdn.shopify.com/s/files/1/0918/6066/4603/files/O1CN01fRA2eM2NGHn0KTz1R__4234819935-0-cib_2abb9176-a1d6-4fae-835a-474ecb96a54d.jpg?v=1775700420","Open")</x:f>
        <x:v>HYPERLINK is not implemented. linkLocation=https://cdn.shopify.com/s/files/1/0918/6066/4603/files/O1CN01fRA2eM2NGHn0KTz1R__4234819935-0-cib_2abb9176-a1d6-4fae-835a-474ecb96a54d.jpg?v=1775700420, friendlyName=Open</x:v>
      </x:c>
      <x:c r="C2925" s="24" t="e">
        <x:f>HYPERLINK("https://365nails.com/products/365nails-usa-flag-independence-day-theme-press-on-nails","365nails: USA Flag Independence Day Theme Press-On Nails")</x:f>
        <x:v>HYPERLINK is not implemented. linkLocation=https://365nails.com/products/365nails-usa-flag-independence-day-theme-press-on-nails, friendlyName=365nails: USA Flag Independence Day Theme Press-On Nails</x:v>
      </x:c>
      <x:c r="D2925" s="18" t="str">
        <x:v>Color: Jp 2774</x:v>
      </x:c>
      <x:c r="E2925" s="25" t="str">
        <x:v>$1.29</x:v>
      </x:c>
      <x:c r="F2925" s="19" t="str">
        <x:v>3</x:v>
      </x:c>
    </x:row>
    <x:row r="2926" ht="93" customHeight="1">
      <x:c r="A2926" s="19" t="n">
        <x:v>2923</x:v>
      </x:c>
      <x:c r="B2926" s="22" t="e">
        <x:f>HYPERLINK("https://cdn.shopify.com/s/files/1/0918/6066/4603/files/O1CN01Slwrcx1CPwKGjY2P1__2213196780074-0-cib.jpg?v=1763705474","Open")</x:f>
        <x:v>HYPERLINK is not implemented. linkLocation=https://cdn.shopify.com/s/files/1/0918/6066/4603/files/O1CN01Slwrcx1CPwKGjY2P1__2213196780074-0-cib.jpg?v=1763705474, friendlyName=Open</x:v>
      </x:c>
      <x:c r="C2926" s="24" t="e">
        <x:f>HYPERLINK("https://365nails.com/products/red-gold-christmas-press-on-nails-gift-box-and-ornament-design","Red &amp; Gold Christmas Press‑On Nails – Gift Box and Ornament Design")</x:f>
        <x:v>HYPERLINK is not implemented. linkLocation=https://365nails.com/products/red-gold-christmas-press-on-nails-gift-box-and-ornament-design, friendlyName=Red &amp; Gold Christmas Press‑On Nails – Gift Box and Ornament Design</x:v>
      </x:c>
      <x:c r="D2926" s="18" t="str">
        <x:v>size: Extra small XS / S / M M / Large L; Specification type: 2684 short ellipse</x:v>
      </x:c>
      <x:c r="E2926" s="25" t="str">
        <x:v>$3.49</x:v>
      </x:c>
      <x:c r="F2926" s="19" t="str">
        <x:v>1</x:v>
      </x:c>
    </x:row>
    <x:row r="2927" ht="93" customHeight="1">
      <x:c r="A2927" s="19" t="n">
        <x:v>2924</x:v>
      </x:c>
      <x:c r="B2927" s="22" t="e">
        <x:f>HYPERLINK("https://cdn.shopify.com/s/files/1/0918/6066/4603/files/O1CN01dvpjBv2ABd0a9zfsV__2218458308165-0-cib.jpg?v=1776155979","Open")</x:f>
        <x:v>HYPERLINK is not implemented. linkLocation=https://cdn.shopify.com/s/files/1/0918/6066/4603/files/O1CN01dvpjBv2ABd0a9zfsV__2218458308165-0-cib.jpg?v=1776155979, friendlyName=Open</x:v>
      </x:c>
      <x:c r="C2927" s="24" t="e">
        <x:f>HYPERLINK("https://365nails.com/products/%E6%AC%A7%E7%BE%8E%E7%A9%BF%E6%88%B4%E7%94%B2%E7%BA%A2%E8%93%9D%E6%A0%BC%E7%BA%B9%E4%BA%94%E8%A7%92%E6%98%9F%E6%9D%8F%E4%BB%81%E7%94%B2%E7%BE%8E%E5%9B%BD%E7%8B%AC%E7%AB%8B%E6%97%A5%E5%81%87%E6%8C%87%E7%94%B2%E6%9D%A1%E7%BA%B9%E5%8F%AF%E6%8B%86%E5%8D%B8%E7%94%B2%E7%89%87","365nails: ""Festive Fireworks""")</x:f>
        <x:v>HYPERLINK is not implemented. linkLocation=https://365nails.com/products/%E6%AC%A7%E7%BE%8E%E7%A9%BF%E6%88%B4%E7%94%B2%E7%BA%A2%E8%93%9D%E6%A0%BC%E7%BA%B9%E4%BA%94%E8%A7%92%E6%98%9F%E6%9D%8F%E4%BB%81%E7%94%B2%E7%BE%8E%E5%9B%BD%E7%8B%AC%E7%AB%8B%E6%97%A5%E5%81%87%E6%8C%87%E7%94%B2%E6%9D%A1%E7%BA%B9%E5%8F%AF%E6%8B%86%E5%8D%B8%E7%94%B2%E7%89%87, friendlyName=365nails: "Festive Fireworks"</x:v>
      </x:c>
      <x:c r="D2927" s="18" t="str">
        <x:v>Color: Jml523 (without tools) / Jml523 (glue type) / Jml523 (jelly glue rubbing strip)</x:v>
      </x:c>
      <x:c r="E2927" s="25" t="str">
        <x:v>$0.99</x:v>
      </x:c>
      <x:c r="F2927" s="19" t="str">
        <x:v>3</x:v>
      </x:c>
    </x:row>
    <x:row r="2928" ht="93" customHeight="1">
      <x:c r="A2928" s="19" t="n">
        <x:v>2925</x:v>
      </x:c>
      <x:c r="B2928" s="22" t="e">
        <x:f>HYPERLINK("https://cdn.shopify.com/s/files/1/0918/6066/4603/files/e05f22a4a43d065d4dc8144f9cc92ded.jpg?v=1773304540","Open")</x:f>
        <x:v>HYPERLINK is not implemented. linkLocation=https://cdn.shopify.com/s/files/1/0918/6066/4603/files/e05f22a4a43d065d4dc8144f9cc92ded.jpg?v=1773304540, friendlyName=Open</x:v>
      </x:c>
      <x:c r="C2928" s="24" t="e">
        <x:f>HYPERLINK("https://365nails.com/products/365nails-black-gold-galaxy-handmade-press-on-pedicure","365nails: ""black gold galaxy"" – handmade press-on pedicure")</x:f>
        <x:v>HYPERLINK is not implemented. linkLocation=https://365nails.com/products/365nails-black-gold-galaxy-handmade-press-on-pedicure, friendlyName=365nails: "black gold galaxy" – handmade press-on pedicure</x:v>
      </x:c>
      <x:c r="D2928" s="18" t="str">
        <x:v>Size: XS / S / M / L</x:v>
      </x:c>
      <x:c r="E2928" s="25" t="str">
        <x:v>$3.99</x:v>
      </x:c>
      <x:c r="F2928" s="19" t="str">
        <x:v>3</x:v>
      </x:c>
    </x:row>
    <x:row r="2929" ht="93" customHeight="1">
      <x:c r="A2929" s="19" t="n">
        <x:v>2926</x:v>
      </x:c>
      <x:c r="B2929" s="22" t="e">
        <x:f>HYPERLINK("https://cdn.shopify.com/s/files/1/0918/6066/4603/files/57d318a2f4176d1d712e745079c04d69.jpg?v=1775524863","Open")</x:f>
        <x:v>HYPERLINK is not implemented. linkLocation=https://cdn.shopify.com/s/files/1/0918/6066/4603/files/57d318a2f4176d1d712e745079c04d69.jpg?v=1775524863, friendlyName=Open</x:v>
      </x:c>
      <x:c r="C2929" s="24" t="e">
        <x:f>HYPERLINK("https://365nails.com/products/365nails-neon-oasis-3d-water-drops-tropical-floral-handmade-almond-nails","365nails: ""Neon Oasis"" – 3D Water Drops &amp; Tropical Floral Handmade Almond Nails")</x:f>
        <x:v>HYPERLINK is not implemented. linkLocation=https://365nails.com/products/365nails-neon-oasis-3d-water-drops-tropical-floral-handmade-almond-nails, friendlyName=365nails: "Neon Oasis" – 3D Water Drops &amp; Tropical Floral Handmade Almond Nails</x:v>
      </x:c>
      <x:c r="D2929" s="18" t="str">
        <x:v>Size: XS / S / M / L</x:v>
      </x:c>
      <x:c r="E2929" s="25" t="str">
        <x:v>$3.99</x:v>
      </x:c>
      <x:c r="F2929" s="19" t="str">
        <x:v>3</x:v>
      </x:c>
    </x:row>
    <x:row r="2930" ht="93" customHeight="1">
      <x:c r="A2930" s="19" t="n">
        <x:v>2927</x:v>
      </x:c>
      <x:c r="B2930" s="22" t="e">
        <x:f>HYPERLINK("https://cdn.shopify.com/s/files/1/0918/6066/4603/files/O1CN01Nbapkb1CPwJcD3MiK__2213196780074-0-cib.jpg?v=1763711514","Open")</x:f>
        <x:v>HYPERLINK is not implemented. linkLocation=https://cdn.shopify.com/s/files/1/0918/6066/4603/files/O1CN01Nbapkb1CPwJcD3MiK__2213196780074-0-cib.jpg?v=1763711514, friendlyName=Open</x:v>
      </x:c>
      <x:c r="C2930" s="24" t="e">
        <x:f>HYPERLINK("https://365nails.com/products/playful-santa-christmas-tree-press-on-nails-red-black-white-short-design","Playful Santa &amp; Christmas Tree Press‑On Nails – Red, Black &amp; White Short Design")</x:f>
        <x:v>HYPERLINK is not implemented. linkLocation=https://365nails.com/products/playful-santa-christmas-tree-press-on-nails-red-black-white-short-design, friendlyName=Playful Santa &amp; Christmas Tree Press‑On Nails – Red, Black &amp; White Short Design</x:v>
      </x:c>
      <x:c r="D2930" s="18" t="str">
        <x:v>size: Extra small XS / S / M M / Large L; Specification type: 2387 Ultra short ladder</x:v>
      </x:c>
      <x:c r="E2930" s="25" t="str">
        <x:v>$4.49</x:v>
      </x:c>
      <x:c r="F2930" s="19" t="str">
        <x:v>1</x:v>
      </x:c>
    </x:row>
    <x:row r="2931" ht="93" customHeight="1">
      <x:c r="A2931" s="19" t="n">
        <x:v>2928</x:v>
      </x:c>
      <x:c r="B2931" s="22" t="e">
        <x:f>HYPERLINK("https://cdn.shopify.com/s/files/1/0918/6066/4603/files/tufan_2F2a33a6a2-c5e2-11f0-9295-00163e1989f2.jpg?v=1763623955","Open")</x:f>
        <x:v>HYPERLINK is not implemented. linkLocation=https://cdn.shopify.com/s/files/1/0918/6066/4603/files/tufan_2F2a33a6a2-c5e2-11f0-9295-00163e1989f2.jpg?v=1763623955, friendlyName=Open</x:v>
      </x:c>
      <x:c r="C2931" s="24" t="e">
        <x:f>HYPERLINK("https://365nails.com/products/triangular-foldable-gift-box-with-ribbon-one-piece-paper-packaging-bag-for-accessories","Triangular Foldable Gift Box with Ribbon – One‑Piece Paper Packaging Bag for Accessories")</x:f>
        <x:v>HYPERLINK is not implemented. linkLocation=https://365nails.com/products/triangular-foldable-gift-box-with-ribbon-one-piece-paper-packaging-bag-for-accessories, friendlyName=Triangular Foldable Gift Box with Ribbon – One‑Piece Paper Packaging Bag for Accessories</x:v>
      </x:c>
      <x:c r="D2931" s="18" t="str">
        <x:v>Specifications and models: Flash silver; 17.5 * 13.5 * 7cm / Black Card; 17.5 * 13.5 * 7cm / Broken flowers; 22 * 15 * 9cm / Beige; 22 * 15 * 9cm; Quantity: 20pcs</x:v>
      </x:c>
      <x:c r="E2931" s="25" t="str">
        <x:v>$8.60–$9.60</x:v>
      </x:c>
      <x:c r="F2931" s="19" t="str">
        <x:v>1</x:v>
      </x:c>
    </x:row>
    <x:row r="2932" ht="93" customHeight="1">
      <x:c r="A2932" s="19" t="n">
        <x:v>2929</x:v>
      </x:c>
      <x:c r="B2932" s="22" t="e">
        <x:f>HYPERLINK("https://cdn.shopify.com/s/files/1/0918/6066/4603/files/O1CN01ka25871rlpUuSQtHy__2215158925672-0-cib.jpg?v=1754446684","Open")</x:f>
        <x:v>HYPERLINK is not implemented. linkLocation=https://cdn.shopify.com/s/files/1/0918/6066/4603/files/O1CN01ka25871rlpUuSQtHy__2215158925672-0-cib.jpg?v=1754446684, friendlyName=Open</x:v>
      </x:c>
      <x:c r="C2932" s="24" t="e">
        <x:f>HYPERLINK("https://365nails.com/products/handmade-press-on-nails-3d-three-dimensional-carved-blush-nail-contrast-color-almond-nail-wearable-fake-nails-365nails","Blooming Candy Aura Series Press-On Nails")</x:f>
        <x:v>HYPERLINK is not implemented. linkLocation=https://365nails.com/products/handmade-press-on-nails-3d-three-dimensional-carved-blush-nail-contrast-color-almond-nail-wearable-fake-nails-365nails, friendlyName=Blooming Candy Aura Series Press-On Nails</x:v>
      </x:c>
      <x:c r="D2932" s="18" t="str">
        <x:v>Color: medium almond; Color classification: XS / S / M / L</x:v>
      </x:c>
      <x:c r="E2932" s="25" t="str">
        <x:v>$4.49</x:v>
      </x:c>
      <x:c r="F2932" s="19" t="str">
        <x:v>30</x:v>
      </x:c>
    </x:row>
    <x:row r="2933" ht="93" customHeight="1">
      <x:c r="A2933" s="19" t="n">
        <x:v>2930</x:v>
      </x:c>
      <x:c r="B2933" s="22" t="e">
        <x:f>HYPERLINK("https://cdn.shopify.com/s/files/1/0918/6066/4603/files/O1CN01W68SsZ1CPwK58pLvZ__2213196780074-0-cib.jpg?v=1763707820","Open")</x:f>
        <x:v>HYPERLINK is not implemented. linkLocation=https://cdn.shopify.com/s/files/1/0918/6066/4603/files/O1CN01W68SsZ1CPwK58pLvZ__2213196780074-0-cib.jpg?v=1763707820, friendlyName=Open</x:v>
      </x:c>
      <x:c r="C2933" s="24" t="e">
        <x:f>HYPERLINK("https://365nails.com/products/pink-and-brown-christmas-press-on-nails-tree-iridescent-crystal-design","Pink and Brown Christmas Press‑On Nails – Tree &amp; Iridescent Crystal Design")</x:f>
        <x:v>HYPERLINK is not implemented. linkLocation=https://365nails.com/products/pink-and-brown-christmas-press-on-nails-tree-iridescent-crystal-design, friendlyName=Pink and Brown Christmas Press‑On Nails – Tree &amp; Iridescent Crystal Design</x:v>
      </x:c>
      <x:c r="D2933" s="18" t="str">
        <x:v>size: Extra small XS / S / M M / Large L; Specification type: 2618 short ladder / 2622 short ladder / 2620 short ellipse</x:v>
      </x:c>
      <x:c r="E2933" s="25" t="str">
        <x:v>$3.99</x:v>
      </x:c>
      <x:c r="F2933" s="19" t="str">
        <x:v>1</x:v>
      </x:c>
    </x:row>
    <x:row r="2934" ht="93" customHeight="1">
      <x:c r="A2934" s="19" t="n">
        <x:v>2931</x:v>
      </x:c>
      <x:c r="B2934" s="22" t="e">
        <x:f>HYPERLINK("https://cdn.shopify.com/s/files/1/0918/6066/4603/files/5dc65ac4abde4a596e0c49924106c55b.jpg?v=1766371668","Open")</x:f>
        <x:v>HYPERLINK is not implemented. linkLocation=https://cdn.shopify.com/s/files/1/0918/6066/4603/files/5dc65ac4abde4a596e0c49924106c55b.jpg?v=1766371668, friendlyName=Open</x:v>
      </x:c>
      <x:c r="C2934" s="24" t="e">
        <x:f>HYPERLINK("https://365nails.com/products/luxury-pearlescent-envelope-with-foil-stamping-elegant-shiny-paper-envelope-for-gifts-and-letters","Luxury Pearlescent Envelope with Foil Stamping – Elegant Shiny Paper Envelope for Gifts and Letters")</x:f>
        <x:v>HYPERLINK is not implemented. linkLocation=https://365nails.com/products/luxury-pearlescent-envelope-with-foil-stamping-elegant-shiny-paper-envelope-for-gifts-and-letters, friendlyName=Luxury Pearlescent Envelope with Foil Stamping – Elegant Shiny Paper Envelope for Gifts and Letters</x:v>
      </x:c>
      <x:c r="D2934" s="18" t="str">
        <x:v>Size: Blue floral 11.3 * 16.2cm / Green gradual change 11.3 * 16.2cm / Purple bow 11.3 * 16.2cm / Pink gradual change 11.3 * 16.2cm / Color 12.5x17.5cm spot direct shot / Color 10.5x15.5cm spot direct shot; Color: Spot pearlescent paper envelope; Quantity: 50pcs</x:v>
      </x:c>
      <x:c r="E2934" s="25" t="str">
        <x:v>$6.00–$9.00</x:v>
      </x:c>
      <x:c r="F2934" s="19" t="str">
        <x:v>1</x:v>
      </x:c>
    </x:row>
    <x:row r="2935" ht="93" customHeight="1">
      <x:c r="A2935" s="19" t="n">
        <x:v>2932</x:v>
      </x:c>
      <x:c r="B2935" s="22" t="e">
        <x:f>HYPERLINK("https://cdn.shopify.com/s/files/1/0918/6066/4603/files/O1CN017QsIMD1xxB4KPk1cr__2212202186509-0-cib.jpg?v=1763696012","Open")</x:f>
        <x:v>HYPERLINK is not implemented. linkLocation=https://cdn.shopify.com/s/files/1/0918/6066/4603/files/O1CN017QsIMD1xxB4KPk1cr__2212202186509-0-cib.jpg?v=1763696012, friendlyName=Open</x:v>
      </x:c>
      <x:c r="C2935" s="24" t="e">
        <x:f>HYPERLINK("https://365nails.com/products/premium-paper-shopping-bag-elegant-boutique-handbag-for-gifts-and-packaging","Premium Paper Shopping Bag – Elegant Boutique Handbag for Gifts and Packaging")</x:f>
        <x:v>HYPERLINK is not implemented. linkLocation=https://365nails.com/products/premium-paper-shopping-bag-elegant-boutique-handbag-for-gifts-and-packaging, friendlyName=Premium Paper Shopping Bag – Elegant Boutique Handbag for Gifts and Packaging</x:v>
      </x:c>
      <x:c r="D2935" s="18" t="str">
        <x:v>Specifications and models: Beige 14 * 15 * 7cm; spot / Green 14 * 15 * 7cm; spot / Pink 14 * 15 * 7cm; spot / White 14 * 15 * 7cm; spot / Red 14 * 15 * 7cm; spot / Black 14 * 15 * 7cm; spot / Oil painting powder small 14 * 15.5 * 7cm; spot / Oil painting green small 14 * 15.5 * 7cm; spot / Oil painting powder medium 19.5 * 24.5 * 9.5cm; spot / Oil painting green medium 19.5 * 24.5 * 9.5cm; spot; Quantity: 20pcs</x:v>
      </x:c>
      <x:c r="E2935" s="25" t="str">
        <x:v>$6.40–$8.60</x:v>
      </x:c>
      <x:c r="F2935" s="19" t="str">
        <x:v>1</x:v>
      </x:c>
    </x:row>
    <x:row r="2936" ht="93" customHeight="1">
      <x:c r="A2936" s="19" t="n">
        <x:v>2933</x:v>
      </x:c>
      <x:c r="B2936" s="22" t="e">
        <x:f>HYPERLINK("https://cdn.shopify.com/s/files/1/0918/6066/4603/files/5c432b9ab49cc27c23543518631a38b7.jpg?v=1775524827","Open")</x:f>
        <x:v>HYPERLINK is not implemented. linkLocation=https://cdn.shopify.com/s/files/1/0918/6066/4603/files/5c432b9ab49cc27c23543518631a38b7.jpg?v=1775524827, friendlyName=Open</x:v>
      </x:c>
      <x:c r="C2936" s="24" t="e">
        <x:f>HYPERLINK("https://365nails.com/products/365nails-wild-leopard-3d-butterfly-safari-animal-print-handmade-square-nails","365nails: ""Wild Leopard"" – 3D Butterfly &amp; Safari Animal Print Handmade Square Nails")</x:f>
        <x:v>HYPERLINK is not implemented. linkLocation=https://365nails.com/products/365nails-wild-leopard-3d-butterfly-safari-animal-print-handmade-square-nails, friendlyName=365nails: "Wild Leopard" – 3D Butterfly &amp; Safari Animal Print Handmade Square Nails</x:v>
      </x:c>
      <x:c r="D2936" s="18" t="str">
        <x:v>Size: XS / S / M / L</x:v>
      </x:c>
      <x:c r="E2936" s="25" t="str">
        <x:v>$3.49</x:v>
      </x:c>
      <x:c r="F2936" s="19" t="str">
        <x:v>3</x:v>
      </x:c>
    </x:row>
    <x:row r="2937" ht="93" customHeight="1">
      <x:c r="A2937" s="19" t="n">
        <x:v>2934</x:v>
      </x:c>
      <x:c r="B2937" s="22" t="e">
        <x:f>HYPERLINK("https://cdn.shopify.com/s/files/1/0918/6066/4603/files/O1CN01PA8mGa1xxB2Nw5mhL__2212202186509-0-cib.jpg?v=1763624940","Open")</x:f>
        <x:v>HYPERLINK is not implemented. linkLocation=https://cdn.shopify.com/s/files/1/0918/6066/4603/files/O1CN01PA8mGa1xxB2Nw5mhL__2212202186509-0-cib.jpg?v=1763624940, friendlyName=Open</x:v>
      </x:c>
      <x:c r="C2937" s="24" t="e">
        <x:f>HYPERLINK("https://365nails.com/products/minimalist-thank-you-card-english-gratitude-insert-for-small-business-packaging","Minimalist Thank‑You Card – English Gratitude Insert for Small Business Packaging")</x:f>
        <x:v>HYPERLINK is not implemented. linkLocation=https://365nails.com/products/minimalist-thank-you-card-english-gratitude-insert-for-small-business-packaging, friendlyName=Minimalist Thank‑You Card – English Gratitude Insert for Small Business Packaging</x:v>
      </x:c>
      <x:c r="D2937" s="18" t="str">
        <x:v>Color: Customization only, please contact customer service for a quotation.; Quantity: 500pcs</x:v>
      </x:c>
      <x:c r="E2937" s="25" t="str">
        <x:v>$25.00</x:v>
      </x:c>
      <x:c r="F2937" s="19" t="str">
        <x:v>1</x:v>
      </x:c>
    </x:row>
    <x:row r="2938" ht="93" customHeight="1">
      <x:c r="A2938" s="19" t="n">
        <x:v>2935</x:v>
      </x:c>
      <x:c r="B2938" s="22" t="e">
        <x:f>HYPERLINK("https://cdn.shopify.com/s/files/1/0918/6066/4603/files/539a259fa265ee1c5f1385cea186c32f.jpg?v=1775202313","Open")</x:f>
        <x:v>HYPERLINK is not implemented. linkLocation=https://cdn.shopify.com/s/files/1/0918/6066/4603/files/539a259fa265ee1c5f1385cea186c32f.jpg?v=1775202313, friendlyName=Open</x:v>
      </x:c>
      <x:c r="C2938" s="24" t="e">
        <x:f>HYPERLINK("https://365nails.com/products/365nails-caramel-monogram-luxury-typography-3d-gold-logo-handmade-squoval-nails","Luxury Logo 365nails: ""Caramel Monogram"" – Luxury Typography &amp; 3D Gold Logo Handmade Squoval Nails")</x:f>
        <x:v>HYPERLINK is not implemented. linkLocation=https://365nails.com/products/365nails-caramel-monogram-luxury-typography-3d-gold-logo-handmade-squoval-nails, friendlyName=Luxury Logo 365nails: "Caramel Monogram" – Luxury Typography &amp; 3D Gold Logo Handmade Squoval Nails</x:v>
      </x:c>
      <x:c r="D2938" s="18" t="str">
        <x:v>Size: XS / S / M / L</x:v>
      </x:c>
      <x:c r="E2938" s="25" t="str">
        <x:v>$6.99</x:v>
      </x:c>
      <x:c r="F2938" s="19" t="str">
        <x:v>3</x:v>
      </x:c>
    </x:row>
    <x:row r="2939" ht="93" customHeight="1">
      <x:c r="A2939" s="19" t="n">
        <x:v>2936</x:v>
      </x:c>
      <x:c r="B2939" s="22" t="e">
        <x:f>HYPERLINK("https://cdn.shopify.com/s/files/1/0918/6066/4603/files/5c626f70b54c642965ec8f093e9f6ed9.png?v=1755266069","Open")</x:f>
        <x:v>HYPERLINK is not implemented. linkLocation=https://cdn.shopify.com/s/files/1/0918/6066/4603/files/5c626f70b54c642965ec8f093e9f6ed9.png?v=1755266069, friendlyName=Open</x:v>
      </x:c>
      <x:c r="C2939" s="24" t="e">
        <x:f>HYPERLINK("https://365nails.com/products/nail-tips-new-manicure-nude-toenails-square-short-removable-32-piece-patch-fake-nails-french-foot-armor","New manicure nude toenails square short removable 32-piece patch fake nails French foot armor (MOQ=3)")</x:f>
        <x:v>HYPERLINK is not implemented. linkLocation=https://365nails.com/products/nail-tips-new-manicure-nude-toenails-square-short-removable-32-piece-patch-fake-nails-french-foot-armor, friendlyName=New manicure nude toenails square short removable 32-piece patch fake nails French foot armor (MOQ=3)</x:v>
      </x:c>
      <x:c r="D2939" s="18" t="str">
        <x:v>Color: 429- (61-D-014) / 429- (359) / 429- (390-2) / 429- (442) / 429- (3391-1); Quantity: 3pcs</x:v>
      </x:c>
      <x:c r="E2939" s="25" t="str">
        <x:v>$2.04</x:v>
      </x:c>
      <x:c r="F2939" s="19" t="str">
        <x:v>1</x:v>
      </x:c>
    </x:row>
    <x:row r="2940" ht="93" customHeight="1">
      <x:c r="A2940" s="19" t="n">
        <x:v>2937</x:v>
      </x:c>
      <x:c r="B2940" s="22" t="e">
        <x:f>HYPERLINK("https://cdn.shopify.com/s/files/1/0918/6066/4603/files/03e71cedf2898b83bcb275babcaa0858.jpg?v=1755240952","Open")</x:f>
        <x:v>HYPERLINK is not implemented. linkLocation=https://cdn.shopify.com/s/files/1/0918/6066/4603/files/03e71cedf2898b83bcb275babcaa0858.jpg?v=1755240952, friendlyName=Open</x:v>
      </x:c>
      <x:c r="C2940" s="24" t="e">
        <x:f>HYPERLINK("https://365nails.com/products/nail-tips-explosive-nail-pads-504-pcs-bag-boxed-extended-flat-head-transparent-patch-manicure-xxl-semi-sticker-denim-fake-nails-wholesale","Nail Tips Explosive nail pads 504 pcs bag boxed extended flat head transparent patch manicure XXL semi-sticker denim fake nails wholesale (MOQ=3)")</x:f>
        <x:v>HYPERLINK is not implemented. linkLocation=https://365nails.com/products/nail-tips-explosive-nail-pads-504-pcs-bag-boxed-extended-flat-head-transparent-patch-manicure-xxl-semi-sticker-denim-fake-nails-wholesale, friendlyName=Nail Tips Explosive nail pads 504 pcs bag boxed extended flat head transparent patch manicure XXL semi-sticker denim fake nails wholesale (MOQ=3)</x:v>
      </x:c>
      <x:c r="D2940" s="18" t="str">
        <x:v>Color: Traceless-240 pieces/box / Traceless - 504 pieces/bag / Traceless-480 pieces/box / Ordinary-240 pieces-PP box / Ordinary-504 pieces-PP bag / Ordinary - 480 pieces - PS box; Quantity: 3pcs</x:v>
      </x:c>
      <x:c r="E2940" s="25" t="str">
        <x:v>$3.00–$6.51</x:v>
      </x:c>
      <x:c r="F2940" s="19" t="str">
        <x:v>1</x:v>
      </x:c>
    </x:row>
    <x:row r="2941" ht="93" customHeight="1">
      <x:c r="A2941" s="19" t="n">
        <x:v>2938</x:v>
      </x:c>
      <x:c r="B2941" s="22" t="e">
        <x:f>HYPERLINK("https://cdn.shopify.com/s/files/1/0918/6066/4603/files/72c07df93ced86c3be16f3f8d8b1e213.jpg?v=1775202426","Open")</x:f>
        <x:v>HYPERLINK is not implemented. linkLocation=https://cdn.shopify.com/s/files/1/0918/6066/4603/files/72c07df93ced86c3be16f3f8d8b1e213.jpg?v=1775202426, friendlyName=Open</x:v>
      </x:c>
      <x:c r="C2941" s="24" t="e">
        <x:f>HYPERLINK("https://365nails.com/products/365nails-crimson-royal-monogram-3d-silver-bow-luxury-pattern-handmade-coffin-nails","Luxury Logo 365nails: ""Crimson Royal Monogram"" – 3D Silver Bow &amp; Luxury Pattern Handmade Coffin Nails")</x:f>
        <x:v>HYPERLINK is not implemented. linkLocation=https://365nails.com/products/365nails-crimson-royal-monogram-3d-silver-bow-luxury-pattern-handmade-coffin-nails, friendlyName=Luxury Logo 365nails: "Crimson Royal Monogram" – 3D Silver Bow &amp; Luxury Pattern Handmade Coffin Nails</x:v>
      </x:c>
      <x:c r="D2941" s="18" t="str">
        <x:v>Size: XS / S / M / L</x:v>
      </x:c>
      <x:c r="E2941" s="25" t="str">
        <x:v>$6.99</x:v>
      </x:c>
      <x:c r="F2941" s="19" t="str">
        <x:v>3</x:v>
      </x:c>
    </x:row>
    <x:row r="2942" ht="93" customHeight="1">
      <x:c r="A2942" s="19" t="n">
        <x:v>2939</x:v>
      </x:c>
      <x:c r="B2942" s="22" t="e">
        <x:f>HYPERLINK("https://cdn.shopify.com/s/files/1/0918/6066/4603/files/83c0ad84a19437d0ebe111dd47fc30d4.jpg?v=1779095344","Open")</x:f>
        <x:v>HYPERLINK is not implemented. linkLocation=https://cdn.shopify.com/s/files/1/0918/6066/4603/files/83c0ad84a19437d0ebe111dd47fc30d4.jpg?v=1779095344, friendlyName=Open</x:v>
      </x:c>
      <x:c r="C2942" s="24" t="e">
        <x:f>HYPERLINK("https://365nails.com/products/dazzling-stiletto-glitter-handmade-nails-6-colors-available","""Dazzling Stiletto"" - Glitter Handmade Nails (6 Colors Available)")</x:f>
        <x:v>HYPERLINK is not implemented. linkLocation=https://365nails.com/products/dazzling-stiletto-glitter-handmade-nails-6-colors-available, friendlyName="Dazzling Stiletto" - Glitter Handmade Nails (6 Colors Available)</x:v>
      </x:c>
      <x:c r="D2942" s="18" t="str">
        <x:v>Size: XS / S / M / L; Color: Sparkling Silver / Shimmering Lilac / Radiant Rose Gold / Dazzling Mint Green / Sparkling Aqua Blue / Sparkling Soft Pink</x:v>
      </x:c>
      <x:c r="E2942" s="25" t="str">
        <x:v>$1.99</x:v>
      </x:c>
      <x:c r="F2942" s="19" t="str">
        <x:v>10</x:v>
      </x:c>
    </x:row>
    <x:row r="2943" ht="93" customHeight="1">
      <x:c r="A2943" s="19" t="n">
        <x:v>2940</x:v>
      </x:c>
      <x:c r="B2943" s="22" t="e">
        <x:f>HYPERLINK("https://cdn.shopify.com/s/files/1/0918/6066/4603/files/2bbc61f8d819f50e52da468b2ee04a51.jpg?v=1775524846","Open")</x:f>
        <x:v>HYPERLINK is not implemented. linkLocation=https://cdn.shopify.com/s/files/1/0918/6066/4603/files/2bbc61f8d819f50e52da468b2ee04a51.jpg?v=1775524846, friendlyName=Open</x:v>
      </x:c>
      <x:c r="C2943" s="24" t="e">
        <x:f>HYPERLINK("https://365nails.com/products/365nails-neon-safari-3d-chrome-cross-zebra-floral-handmade-square-nails","365nails: ""Neon Safari"" – 3D Chrome Cross &amp; Zebra Floral Handmade Square Nails")</x:f>
        <x:v>HYPERLINK is not implemented. linkLocation=https://365nails.com/products/365nails-neon-safari-3d-chrome-cross-zebra-floral-handmade-square-nails, friendlyName=365nails: "Neon Safari" – 3D Chrome Cross &amp; Zebra Floral Handmade Square Nails</x:v>
      </x:c>
      <x:c r="D2943" s="18" t="str">
        <x:v>Size: XS / S / M / L</x:v>
      </x:c>
      <x:c r="E2943" s="25" t="str">
        <x:v>$3.99</x:v>
      </x:c>
      <x:c r="F2943" s="19" t="str">
        <x:v>3</x:v>
      </x:c>
    </x:row>
    <x:row r="2944" ht="93" customHeight="1">
      <x:c r="A2944" s="19" t="n">
        <x:v>2941</x:v>
      </x:c>
      <x:c r="B2944" s="22" t="e">
        <x:f>HYPERLINK("https://cdn.shopify.com/s/files/1/0918/6066/4603/files/2c6d9cbade8303d6ebac8929d4931ca6_9e9ef735-794c-4157-ad82-f09e9e9d08c7.jpg?v=1775197175","Open")</x:f>
        <x:v>HYPERLINK is not implemented. linkLocation=https://cdn.shopify.com/s/files/1/0918/6066/4603/files/2c6d9cbade8303d6ebac8929d4931ca6_9e9ef735-794c-4157-ad82-f09e9e9d08c7.jpg?v=1775197175, friendlyName=Open</x:v>
      </x:c>
      <x:c r="C2944" s="24" t="e">
        <x:f>HYPERLINK("https://365nails.com/products/365nails-mystic-turquoise-3d-gemstone-brown-jelly-handmade-squoval-nails","365nails: ""Mystic Turquoise"" – 3D Gemstone &amp; Brown Jelly Handmade Squoval Nails")</x:f>
        <x:v>HYPERLINK is not implemented. linkLocation=https://365nails.com/products/365nails-mystic-turquoise-3d-gemstone-brown-jelly-handmade-squoval-nails, friendlyName=365nails: "Mystic Turquoise" – 3D Gemstone &amp; Brown Jelly Handmade Squoval Nails</x:v>
      </x:c>
      <x:c r="D2944" s="18" t="str">
        <x:v>Size: XS / S / M / L</x:v>
      </x:c>
      <x:c r="E2944" s="25" t="str">
        <x:v>$3.99</x:v>
      </x:c>
      <x:c r="F2944" s="19" t="str">
        <x:v>3</x:v>
      </x:c>
    </x:row>
    <x:row r="2945" ht="93" customHeight="1">
      <x:c r="A2945" s="19" t="n">
        <x:v>2942</x:v>
      </x:c>
      <x:c r="B2945" s="22" t="e">
        <x:f>HYPERLINK("https://cdn.shopify.com/s/files/1/0918/6066/4603/files/O1CN01sgVKTH23Ug4ypmmhC__2219058567259-0-cib.jpg?v=1763878858","Open")</x:f>
        <x:v>HYPERLINK is not implemented. linkLocation=https://cdn.shopify.com/s/files/1/0918/6066/4603/files/O1CN01sgVKTH23Ug4ypmmhC__2219058567259-0-cib.jpg?v=1763878858, friendlyName=Open</x:v>
      </x:c>
      <x:c r="C2945" s="24" t="e">
        <x:f>HYPERLINK("https://365nails.com/products/elegant-minimalist-nail-art-display-cards-for-press-on-sets","Elegant Minimalist Nail Art Display Cards for Press‑On Sets")</x:f>
        <x:v>HYPERLINK is not implemented. linkLocation=https://365nails.com/products/elegant-minimalist-nail-art-display-cards-for-press-on-sets, friendlyName=Elegant Minimalist Nail Art Display Cards for Press‑On Sets</x:v>
      </x:c>
      <x:c r="D2945" s="18" t="str">
        <x:v>Color: B01-White Marble / B04-Lucky Butterfly / B10-Simple Lily; Quantity: 10pcs</x:v>
      </x:c>
      <x:c r="E2945" s="25" t="str">
        <x:v>$0.20</x:v>
      </x:c>
      <x:c r="F2945" s="19" t="str">
        <x:v>1</x:v>
      </x:c>
    </x:row>
    <x:row r="2946" ht="93" customHeight="1">
      <x:c r="A2946" s="19" t="n">
        <x:v>2943</x:v>
      </x:c>
      <x:c r="B2946" s="22" t="e">
        <x:f>HYPERLINK("https://cdn.shopify.com/s/files/1/0918/6066/4603/files/O1CN01NGe72m2ABd0T9DF2h__2218458308165-0-cib.jpg?v=1776157986","Open")</x:f>
        <x:v>HYPERLINK is not implemented. linkLocation=https://cdn.shopify.com/s/files/1/0918/6066/4603/files/O1CN01NGe72m2ABd0T9DF2h__2218458308165-0-cib.jpg?v=1776157986, friendlyName=Open</x:v>
      </x:c>
      <x:c r="C2946" s="24" t="e">
        <x:f>HYPERLINK("https://365nails.com/products/%E8%B7%A8%E5%A2%83%E7%83%AD%E9%94%80%E5%81%87%E6%8C%87%E7%94%B2%E7%BE%8E%E5%9B%BD%E7%8B%AC%E7%AB%8B%E6%97%A5%E7%94%B2%E7%89%87%E7%99%BD%E8%89%B2%E6%B3%95%E5%BC%8F%E7%BA%A2%E8%93%9D%E6%9D%A1%E7%BA%B9%E4%BA%94%E8%A7%92%E6%98%9F%E6%B3%A2%E7%82%B9%E7%A9%BF%E6%88%B4%E7%94%B2","365nails: ""Liberty Dots"" – Graphic Stars &amp; Polka Printed Short Oval Nails")</x:f>
        <x:v>HYPERLINK is not implemented. linkLocation=https://365nails.com/products/%E8%B7%A8%E5%A2%83%E7%83%AD%E9%94%80%E5%81%87%E6%8C%87%E7%94%B2%E7%BE%8E%E5%9B%BD%E7%8B%AC%E7%AB%8B%E6%97%A5%E7%94%B2%E7%89%87%E7%99%BD%E8%89%B2%E6%B3%95%E5%BC%8F%E7%BA%A2%E8%93%9D%E6%9D%A1%E7%BA%B9%E4%BA%94%E8%A7%92%E6%98%9F%E6%B3%A2%E7%82%B9%E7%A9%BF%E6%88%B4%E7%94%B2, friendlyName=365nails: "Liberty Dots" – Graphic Stars &amp; Polka Printed Short Oval Nails</x:v>
      </x:c>
      <x:c r="D2946" s="18" t="str">
        <x:v>Color: Jml525 (without tools) / Jml525(glue type) / Jml525 (jelly glue rubbing strip)</x:v>
      </x:c>
      <x:c r="E2946" s="25" t="str">
        <x:v>$0.99</x:v>
      </x:c>
      <x:c r="F2946" s="19" t="str">
        <x:v>3</x:v>
      </x:c>
    </x:row>
    <x:row r="2947" ht="93" customHeight="1">
      <x:c r="A2947" s="19" t="n">
        <x:v>2944</x:v>
      </x:c>
      <x:c r="B2947" s="22" t="e">
        <x:f>HYPERLINK("https://cdn.shopify.com/s/files/1/0918/6066/4603/files/O1CN01J0CGCU2214tRAwgCE__2219480337059-0-cib.jpg?v=1773824735","Open")</x:f>
        <x:v>HYPERLINK is not implemented. linkLocation=https://cdn.shopify.com/s/files/1/0918/6066/4603/files/O1CN01J0CGCU2214tRAwgCE__2219480337059-0-cib.jpg?v=1773824735, friendlyName=Open</x:v>
      </x:c>
      <x:c r="C2947" s="24" t="e">
        <x:f>HYPERLINK("https://365nails.com/products/ocean-blue-kids-series-sparkle-sea-star-short-square-kids-nail-art","Ocean Blue Kids Series: ""Sparkle Sea Star"" – Short Square Kids Nail Art")</x:f>
        <x:v>HYPERLINK is not implemented. linkLocation=https://365nails.com/products/ocean-blue-kids-series-sparkle-sea-star-short-square-kids-nail-art, friendlyName=Ocean Blue Kids Series: "Sparkle Sea Star" – Short Square Kids Nail Art</x:v>
      </x:c>
      <x:c r="D2947" s="18" t="str">
        <x:v>Color: Sparkling diamond star &amp; moon; Color classification: Xs (about 2 years old) / S (3-4 years old) / M (5-7 years old) / L (8-11 years old)</x:v>
      </x:c>
      <x:c r="E2947" s="25" t="str">
        <x:v>$2.99</x:v>
      </x:c>
      <x:c r="F2947" s="19" t="str">
        <x:v>3</x:v>
      </x:c>
    </x:row>
    <x:row r="2948" ht="93" customHeight="1">
      <x:c r="A2948" s="19" t="n">
        <x:v>2945</x:v>
      </x:c>
      <x:c r="B2948" s="22" t="e">
        <x:f>HYPERLINK("https://cdn.shopify.com/s/files/1/0918/6066/4603/files/tufan_2F646ebafc-ca72-11f0-82b8-00163e201129.jpg?v=1764125470","Open")</x:f>
        <x:v>HYPERLINK is not implemented. linkLocation=https://cdn.shopify.com/s/files/1/0918/6066/4603/files/tufan_2F646ebafc-ca72-11f0-82b8-00163e201129.jpg?v=1764125470, friendlyName=Open</x:v>
      </x:c>
      <x:c r="C2948" s="24" t="e">
        <x:f>HYPERLINK("https://365nails.com/products/classic-nude-french-medium-nail-set","Classic Nude French Medium Nail Set")</x:f>
        <x:v>HYPERLINK is not implemented. linkLocation=https://365nails.com/products/classic-nude-french-medium-nail-set, friendlyName=Classic Nude French Medium Nail Set</x:v>
      </x:c>
      <x:c r="D2948" s="18" t="str">
        <x:v>Color: A077-FN01 / A077-FN03 / A077-FN04 / A077-FN07 / A077-FN08 / A077-FN09 / A077-FN10 / A077-FN11</x:v>
      </x:c>
      <x:c r="E2948" s="25" t="str">
        <x:v>$0.86</x:v>
      </x:c>
      <x:c r="F2948" s="19" t="str">
        <x:v>1</x:v>
      </x:c>
    </x:row>
    <x:row r="2949" ht="93" customHeight="1">
      <x:c r="A2949" s="19" t="n">
        <x:v>2946</x:v>
      </x:c>
      <x:c r="B2949" s="22" t="e">
        <x:f>HYPERLINK("https://cdn.shopify.com/s/files/1/0918/6066/4603/files/20fa421196b44a9317cb5ddf59fc4b66.png?v=1755265003","Open")</x:f>
        <x:v>HYPERLINK is not implemented. linkLocation=https://cdn.shopify.com/s/files/1/0918/6066/4603/files/20fa421196b44a9317cb5ddf59fc4b66.png?v=1755265003, friendlyName=Open</x:v>
      </x:c>
      <x:c r="C2949" s="24" t="e">
        <x:f>HYPERLINK("https://365nails.com/products/nail-tips-french-prefabricated-nail-pads-whole-bags-new-non-marking-removable-fake-nail-patches-french-press-on-nails","Nail Tips French prefabricated nail pads, whole bags, new non-marking removable fake nail patches, French press on nails (MOQ=3)")</x:f>
        <x:v>HYPERLINK is not implemented. linkLocation=https://365nails.com/products/nail-tips-french-prefabricated-nail-pads-whole-bags-new-non-marking-removable-fake-nail-patches-french-press-on-nails, friendlyName=Nail Tips French prefabricated nail pads, whole bags, new non-marking removable fake nail patches, French press on nails (MOQ=3)</x:v>
      </x:c>
      <x:c r="D2949" s="18" t="str">
        <x:v>Color: 192-014 White - Medium Ladder/120 Piece Bag / 192-359 White - Medium Ladder/120 Piece Bag / 192-359-Medium Ladder/120 Piece Bag / 192-2 White - Medium Ladder/120 Piece Bag / 192-2-Middle Ladder/120 Piece Bag / 192-442 White - Medium Ladder/120 Piece Bag / 192-442-Medium Ladder/120 Piece Bag / 192-New 1-Medium Ladder/120 Piece Bag / 193-359-Short Ladder/120 Piece Bag / 193-2-Short ladder/120 piece bag / 193-442 White - Short Ladder/120 Piece Bag / 193-442-Short ladder/120 piece bag / 193-1-Short ladder/120 piece bag / 194-442-Almond/120 piece bag / 197-014 White - short square/120 piece bag / 197-014-Short square/120 piece bag / 197-359-Short square/120 piece bag / 197-2 Black - Short Square/120 Piece Bag / 197-2-Short square/120 piece bag / 197-442 Black - Short Circle/120 Piece Bag / 197-442-Short square/120 piece bag / 197-1 White - short square/120 piece bag / 401-014 White - Short Ladder/120 Piece Bag / 401-014-Short Ladder/120 Piece Bag / 401-2 White - Short Ladder/120 Piece Bag / 401-2-Short Ladder/120 Piece Bag / 401-442-Short Ladder/120 Piece Bag / 401-1 White - Short Ladder/120 Piece Bag / 401-1-Short Ladder/120 Piece Bag / 405-014 White - Short Almonds/120 Piece Bag / 405-014-Short Almond/120 Piece Bag / 405-359-Short Almonds/120 Piece Bag / 405-2 White - Short Almonds/120 Piece Bag / 405-2-Short Almonds/120 Piece Bag / 405-442 Black - Short Almonds/120 Piece Bag / 405-442-Short Almonds/120 Piece Bag / 405-1 White - Short Almonds/120 Piece Bag / 405-1-Short Almond/120 Piece Bag / 406-014-Foot nails/120 piece bag / 406-2-Foot nails/120 piece bag / 406-442-Foot nails/120 piece bag / 406-1-Foot nails/120 piece bag / 406-359-Foot nails/120 piece bag / 411-61D-White / 411-359-White / 411-390-2-White / 411-442-White / 411-3391-1-White / 411 Black-61D / 411 Black-359 / 411 Black-390-2 / 411 Black-442 / 411 Black-3391-1; Quantity: 3pcs</x:v>
      </x:c>
      <x:c r="E2949" s="25" t="str">
        <x:v>$2.88–$4.17</x:v>
      </x:c>
      <x:c r="F2949" s="19" t="str">
        <x:v>1</x:v>
      </x:c>
    </x:row>
    <x:row r="2950" ht="93" customHeight="1">
      <x:c r="A2950" s="19" t="n">
        <x:v>2947</x:v>
      </x:c>
      <x:c r="B2950" s="22" t="e">
        <x:f>HYPERLINK("https://cdn.shopify.com/s/files/1/0918/6066/4603/files/b6c76d930a848175c1b014391e71e3ef.jpg?v=1773304655","Open")</x:f>
        <x:v>HYPERLINK is not implemented. linkLocation=https://cdn.shopify.com/s/files/1/0918/6066/4603/files/b6c76d930a848175c1b014391e71e3ef.jpg?v=1773304655, friendlyName=Open</x:v>
      </x:c>
      <x:c r="C2950" s="24" t="e">
        <x:f>HYPERLINK("https://365nails.com/products/365nails-lemon-lime-spark-handmade-press-on-pedicure","365nails: ""lemon lime spark"" – handmade press-on pedicure")</x:f>
        <x:v>HYPERLINK is not implemented. linkLocation=https://365nails.com/products/365nails-lemon-lime-spark-handmade-press-on-pedicure, friendlyName=365nails: "lemon lime spark" – handmade press-on pedicure</x:v>
      </x:c>
      <x:c r="D2950" s="18" t="str">
        <x:v>Size: XS / S / M / L</x:v>
      </x:c>
      <x:c r="E2950" s="25" t="str">
        <x:v>$2.99</x:v>
      </x:c>
      <x:c r="F2950" s="19" t="str">
        <x:v>3</x:v>
      </x:c>
    </x:row>
    <x:row r="2951" ht="93" customHeight="1">
      <x:c r="A2951" s="19" t="n">
        <x:v>2948</x:v>
      </x:c>
      <x:c r="B2951" s="22" t="e">
        <x:f>HYPERLINK("https://cdn.shopify.com/s/files/1/0918/6066/4603/files/3092c8f26e1e3209c213df2af2b1a4ea.png?v=1755268023","Open")</x:f>
        <x:v>HYPERLINK is not implemented. linkLocation=https://cdn.shopify.com/s/files/1/0918/6066/4603/files/3092c8f26e1e3209c213df2af2b1a4ea.png?v=1755268023, friendlyName=Open</x:v>
      </x:c>
      <x:c r="C2951" s="24" t="e">
        <x:f>HYPERLINK("https://365nails.com/products/nail-tips-press-on-nails-and-toe-advanced-french-foot-nail-simple-and-seamless-fuel-injection-full-sticker-120-finished-nail-pads","French Colorful Press On Toenail Set (MOQ=3)")</x:f>
        <x:v>HYPERLINK is not implemented. linkLocation=https://365nails.com/products/nail-tips-press-on-nails-and-toe-advanced-french-foot-nail-simple-and-seamless-fuel-injection-full-sticker-120-finished-nail-pads, friendlyName=French Colorful Press On Toenail Set (MOQ=3)</x:v>
      </x:c>
      <x:c r="D2951" s="18" t="str">
        <x:v>Color: Boxed 5 colors * 150 pieces / Bag of 5 colors * 150 pieces / Orange * 120 piece bag / Blue * 120 piece bag / Green * 120 piece bag / Rose red * 120 pieces bag / Purple * 120 piece bag; Quantity: 3pcs</x:v>
      </x:c>
      <x:c r="E2951" s="25" t="str">
        <x:v>$4.65–$6.51</x:v>
      </x:c>
      <x:c r="F2951" s="19" t="str">
        <x:v>1</x:v>
      </x:c>
    </x:row>
    <x:row r="2952" ht="93" customHeight="1">
      <x:c r="A2952" s="19" t="n">
        <x:v>2949</x:v>
      </x:c>
      <x:c r="B2952" s="22" t="e">
        <x:f>HYPERLINK("https://cdn.shopify.com/s/files/1/0918/6066/4603/files/O1CN01h3G9Ag1rlpR8hKrU5__2215158925672-0-cib_55f8de17-a964-45ce-bfac-c1dcbf3b2ff5.jpg?v=1773320865","Open")</x:f>
        <x:v>HYPERLINK is not implemented. linkLocation=https://cdn.shopify.com/s/files/1/0918/6066/4603/files/O1CN01h3G9Ag1rlpR8hKrU5__2215158925672-0-cib_55f8de17-a964-45ce-bfac-c1dcbf3b2ff5.jpg?v=1773320865, friendlyName=Open</x:v>
      </x:c>
      <x:c r="C2952" s="24" t="e">
        <x:f>HYPERLINK("https://365nails.com/products/gothic-ice-series-frosted-spider-long-coffin-handmade-press-on-nails","Gothic Ice Series: ""Frosted Spider"" – Long Coffin Handmade Press-On Nails")</x:f>
        <x:v>HYPERLINK is not implemented. linkLocation=https://365nails.com/products/gothic-ice-series-frosted-spider-long-coffin-handmade-press-on-nails, friendlyName=Gothic Ice Series: "Frosted Spider" – Long Coffin Handmade Press-On Nails</x:v>
      </x:c>
      <x:c r="D2952" s="18" t="str">
        <x:v>Color: Extended t-shirt; Color classification: X s / S / M / L</x:v>
      </x:c>
      <x:c r="E2952" s="25" t="str">
        <x:v>$3.49</x:v>
      </x:c>
      <x:c r="F2952" s="19" t="str">
        <x:v>1</x:v>
      </x:c>
    </x:row>
    <x:row r="2953" ht="93" customHeight="1">
      <x:c r="A2953" s="19" t="n">
        <x:v>2950</x:v>
      </x:c>
      <x:c r="B2953" s="22" t="e">
        <x:f>HYPERLINK("https://cdn.shopify.com/s/files/1/0918/6066/4603/files/a73455c59b957fc2848a1e051f505bba.jpg?v=1779095281","Open")</x:f>
        <x:v>HYPERLINK is not implemented. linkLocation=https://cdn.shopify.com/s/files/1/0918/6066/4603/files/a73455c59b957fc2848a1e051f505bba.jpg?v=1779095281, friendlyName=Open</x:v>
      </x:c>
      <x:c r="C2953" s="24" t="e">
        <x:f>HYPERLINK("https://365nails.com/products/bold-long-coffin-glitter-handmade-nails-6-colors-available","""Bold Long Coffin"" - Glitter Handmade Nails (6 Colors Available)")</x:f>
        <x:v>HYPERLINK is not implemented. linkLocation=https://365nails.com/products/bold-long-coffin-glitter-handmade-nails-6-colors-available, friendlyName="Bold Long Coffin" - Glitter Handmade Nails (6 Colors Available)</x:v>
      </x:c>
      <x:c r="D2953" s="18" t="str">
        <x:v>Size: XS / S / M / L; Color: Sparkling Silver / Shimmering Lilac / Radiant Rose Gold / Dazzling Mint Green / Sparkling Aqua Blue / Sparkling Soft Pink</x:v>
      </x:c>
      <x:c r="E2953" s="25" t="str">
        <x:v>$1.99</x:v>
      </x:c>
      <x:c r="F2953" s="19" t="str">
        <x:v>10</x:v>
      </x:c>
    </x:row>
    <x:row r="2954" ht="93" customHeight="1">
      <x:c r="A2954" s="19" t="n">
        <x:v>2951</x:v>
      </x:c>
      <x:c r="B2954" s="22" t="e">
        <x:f>HYPERLINK("https://cdn.shopify.com/s/files/1/0918/6066/4603/files/bc99959dd92810047b9927c6ad91076e.jpg?v=1775199555","Open")</x:f>
        <x:v>HYPERLINK is not implemented. linkLocation=https://cdn.shopify.com/s/files/1/0918/6066/4603/files/bc99959dd92810047b9927c6ad91076e.jpg?v=1775199555, friendlyName=Open</x:v>
      </x:c>
      <x:c r="C2954" s="24" t="e">
        <x:f>HYPERLINK("https://365nails.com/products/365nails-classic-tartan-vintage-plaid-cream-french-handmade-oval-nails","Luxury Logo 365nails: ""Classic Tartan"" – Vintage Plaid &amp; Cream French Handmade Oval Nails")</x:f>
        <x:v>HYPERLINK is not implemented. linkLocation=https://365nails.com/products/365nails-classic-tartan-vintage-plaid-cream-french-handmade-oval-nails, friendlyName=Luxury Logo 365nails: "Classic Tartan" – Vintage Plaid &amp; Cream French Handmade Oval Nails</x:v>
      </x:c>
      <x:c r="D2954" s="18" t="str">
        <x:v>Size: XS / S / M / L</x:v>
      </x:c>
      <x:c r="E2954" s="25" t="str">
        <x:v>$6.99</x:v>
      </x:c>
      <x:c r="F2954" s="19" t="str">
        <x:v>3</x:v>
      </x:c>
    </x:row>
    <x:row r="2955" ht="93" customHeight="1">
      <x:c r="A2955" s="19" t="n">
        <x:v>2952</x:v>
      </x:c>
      <x:c r="B2955" s="22" t="e">
        <x:f>HYPERLINK("https://cdn.shopify.com/s/files/1/0918/6066/4603/files/100a56ec6a495d45d05321f450320adb.jpg?v=1773302456","Open")</x:f>
        <x:v>HYPERLINK is not implemented. linkLocation=https://cdn.shopify.com/s/files/1/0918/6066/4603/files/100a56ec6a495d45d05321f450320adb.jpg?v=1773302456, friendlyName=Open</x:v>
      </x:c>
      <x:c r="C2955" s="24" t="e">
        <x:f>HYPERLINK("https://365nails.com/products/365nails-chrome-pop-dots-handmade-press-on-pedicure","365nails: ""chrome pop dots"" – handmade press-on pedicure")</x:f>
        <x:v>HYPERLINK is not implemented. linkLocation=https://365nails.com/products/365nails-chrome-pop-dots-handmade-press-on-pedicure, friendlyName=365nails: "chrome pop dots" – handmade press-on pedicure</x:v>
      </x:c>
      <x:c r="D2955" s="18" t="str">
        <x:v>Size: XS / S / M / L</x:v>
      </x:c>
      <x:c r="E2955" s="25" t="str">
        <x:v>$3.99</x:v>
      </x:c>
      <x:c r="F2955" s="19" t="str">
        <x:v>3</x:v>
      </x:c>
    </x:row>
    <x:row r="2956" ht="93" customHeight="1">
      <x:c r="A2956" s="19" t="n">
        <x:v>2953</x:v>
      </x:c>
      <x:c r="B2956" s="22" t="e">
        <x:f>HYPERLINK("https://cdn.shopify.com/s/files/1/0918/6066/4603/files/0a698af7250248e7c096bce569966ad1.jpg?v=1772707843","Open")</x:f>
        <x:v>HYPERLINK is not implemented. linkLocation=https://cdn.shopify.com/s/files/1/0918/6066/4603/files/0a698af7250248e7c096bce569966ad1.jpg?v=1772707843, friendlyName=Open</x:v>
      </x:c>
      <x:c r="C2956" s="24" t="e">
        <x:f>HYPERLINK("https://365nails.com/products/365nails-cross-border-half-matte-nail-tips-2-specifications-factory-direct-with-small-moq","365nails Cross-Border Half-Matte Nail Tips | 2 Specifications, Factory Direct with Small MOQ")</x:f>
        <x:v>HYPERLINK is not implemented. linkLocation=https://365nails.com/products/365nails-cross-border-half-matte-nail-tips-2-specifications-factory-direct-with-small-moq, friendlyName=365nails Cross-Border Half-Matte Nail Tips | 2 Specifications, Factory Direct with Small MOQ</x:v>
      </x:c>
      <x:c r="D2956" s="18" t="str">
        <x:v>Color: 610-120 pieces in box / 610-240 pieces in box / 611-120 pieces in box / 611-240 pieces in box</x:v>
      </x:c>
      <x:c r="E2956" s="25" t="str">
        <x:v>$0.78–$1.23</x:v>
      </x:c>
      <x:c r="F2956" s="19" t="str">
        <x:v>3</x:v>
      </x:c>
    </x:row>
    <x:row r="2957" ht="93" customHeight="1">
      <x:c r="A2957" s="19" t="n">
        <x:v>2954</x:v>
      </x:c>
      <x:c r="B2957" s="22" t="e">
        <x:f>HYPERLINK("https://cdn.shopify.com/s/files/1/0918/6066/4603/files/O1CN01qSIoZR2G1uIN6HNYB__3317688956-0-cib.jpg?v=1775632267","Open")</x:f>
        <x:v>HYPERLINK is not implemented. linkLocation=https://cdn.shopify.com/s/files/1/0918/6066/4603/files/O1CN01qSIoZR2G1uIN6HNYB__3317688956-0-cib.jpg?v=1775632267, friendlyName=Open</x:v>
      </x:c>
      <x:c r="C2957" s="24" t="e">
        <x:f>HYPERLINK("https://365nails.com/products/365nails-independence-day-ombre-gold-star-press-on-nails-usa","365nails: Independence Day Ombre Gold Star Press-On Nails (USA)")</x:f>
        <x:v>HYPERLINK is not implemented. linkLocation=https://365nails.com/products/365nails-independence-day-ombre-gold-star-press-on-nails-usa, friendlyName=365nails: Independence Day Ombre Gold Star Press-On Nails (USA)</x:v>
      </x:c>
      <x:c r="D2957" s="18" t="str">
        <x:v>Color: Dy2403-b7 independent star flag [jelly glue type]</x:v>
      </x:c>
      <x:c r="E2957" s="25" t="str">
        <x:v>$0.99</x:v>
      </x:c>
      <x:c r="F2957" s="19" t="str">
        <x:v>3</x:v>
      </x:c>
    </x:row>
    <x:row r="2958" ht="93" customHeight="1">
      <x:c r="A2958" s="19" t="n">
        <x:v>2955</x:v>
      </x:c>
      <x:c r="B2958" s="22" t="e">
        <x:f>HYPERLINK("https://cdn.shopify.com/s/files/1/0918/6066/4603/files/f39ad0a48a3ba077d253300a3835ac76.jpg?v=1775202617","Open")</x:f>
        <x:v>HYPERLINK is not implemented. linkLocation=https://cdn.shopify.com/s/files/1/0918/6066/4603/files/f39ad0a48a3ba077d253300a3835ac76.jpg?v=1775202617, friendlyName=Open</x:v>
      </x:c>
      <x:c r="C2958" s="24" t="e">
        <x:f>HYPERLINK("https://365nails.com/products/365nails-neon-pop-monogram-colorful-typography-holographic-sequins-handmade-oval-nails","Luxury Logo 365nails: ""Neon Pop Monogram"" – Colorful Typography &amp; Holographic Sequins Handmade Oval Nails")</x:f>
        <x:v>HYPERLINK is not implemented. linkLocation=https://365nails.com/products/365nails-neon-pop-monogram-colorful-typography-holographic-sequins-handmade-oval-nails, friendlyName=Luxury Logo 365nails: "Neon Pop Monogram" – Colorful Typography &amp; Holographic Sequins Handmade Oval Nails</x:v>
      </x:c>
      <x:c r="D2958" s="18" t="str">
        <x:v>Size: XS / S / M / L</x:v>
      </x:c>
      <x:c r="E2958" s="25" t="str">
        <x:v>$6.99</x:v>
      </x:c>
      <x:c r="F2958" s="19" t="str">
        <x:v>3</x:v>
      </x:c>
    </x:row>
    <x:row r="2959" ht="93" customHeight="1">
      <x:c r="A2959" s="19" t="n">
        <x:v>2956</x:v>
      </x:c>
      <x:c r="B2959" s="22" t="e">
        <x:f>HYPERLINK("https://cdn.shopify.com/s/files/1/0918/6066/4603/files/2ed877800eecb843204c35aee77d8b3a.jpg?v=1773306978","Open")</x:f>
        <x:v>HYPERLINK is not implemented. linkLocation=https://cdn.shopify.com/s/files/1/0918/6066/4603/files/2ed877800eecb843204c35aee77d8b3a.jpg?v=1773306978, friendlyName=Open</x:v>
      </x:c>
      <x:c r="C2959" s="24" t="e">
        <x:f>HYPERLINK("https://365nails.com/products/365nails-blue-pop-dots-handmade-press-on-toenails-pedicure","365nails: ""blue pop dots"" – handmade press-on toenails / pedicure")</x:f>
        <x:v>HYPERLINK is not implemented. linkLocation=https://365nails.com/products/365nails-blue-pop-dots-handmade-press-on-toenails-pedicure, friendlyName=365nails: "blue pop dots" – handmade press-on toenails / pedicure</x:v>
      </x:c>
      <x:c r="D2959" s="18" t="str">
        <x:v>Size: XS / S / M / L</x:v>
      </x:c>
      <x:c r="E2959" s="25" t="str">
        <x:v>$3.99</x:v>
      </x:c>
      <x:c r="F2959" s="19" t="str">
        <x:v>3</x:v>
      </x:c>
    </x:row>
    <x:row r="2960" ht="93" customHeight="1">
      <x:c r="A2960" s="19" t="n">
        <x:v>2957</x:v>
      </x:c>
      <x:c r="B2960" s="22" t="e">
        <x:f>HYPERLINK("https://cdn.shopify.com/s/files/1/0918/6066/4603/files/O1CN016Ipqef23g7zSZWT8M__2215671307284-0-cib.jpg?v=1775631468","Open")</x:f>
        <x:v>HYPERLINK is not implemented. linkLocation=https://cdn.shopify.com/s/files/1/0918/6066/4603/files/O1CN016Ipqef23g7zSZWT8M__2215671307284-0-cib.jpg?v=1775631468, friendlyName=Open</x:v>
      </x:c>
      <x:c r="C2960" s="24" t="e">
        <x:f>HYPERLINK("https://365nails.com/products/365nails-independence-day-ombre-glitter-star-press-on-nails","365nails: Independence Day Ombre Glitter Star Press-On Nails")</x:f>
        <x:v>HYPERLINK is not implemented. linkLocation=https://365nails.com/products/365nails-independence-day-ombre-glitter-star-press-on-nails, friendlyName=365nails: Independence Day Ombre Glitter Star Press-On Nails</x:v>
      </x:c>
      <x:c r="D2960" s="18" t="str">
        <x:v>Color classification: W1126[jelly glue + strips]</x:v>
      </x:c>
      <x:c r="E2960" s="25" t="str">
        <x:v>$0.99</x:v>
      </x:c>
      <x:c r="F2960" s="19" t="str">
        <x:v>3</x:v>
      </x:c>
    </x:row>
    <x:row r="2961" ht="93" customHeight="1">
      <x:c r="A2961" s="19" t="n">
        <x:v>2958</x:v>
      </x:c>
      <x:c r="B2961" s="22" t="e">
        <x:f>HYPERLINK("https://cdn.shopify.com/s/files/1/0918/6066/4603/files/c635b64d71246adf15e523f116eff15d_3c595f01-154c-45a7-b94c-40934501d85e.jpg?v=1773287792","Open")</x:f>
        <x:v>HYPERLINK is not implemented. linkLocation=https://cdn.shopify.com/s/files/1/0918/6066/4603/files/c635b64d71246adf15e523f116eff15d_3c595f01-154c-45a7-b94c-40934501d85e.jpg?v=1773287792, friendlyName=Open</x:v>
      </x:c>
      <x:c r="C2961" s="24" t="e">
        <x:f>HYPERLINK("https://365nails.com/products/365nails-vintage-red-floral-handmade-press-on-pedicure","365nails: ""vintage red floral"" – handmade press-on pedicure")</x:f>
        <x:v>HYPERLINK is not implemented. linkLocation=https://365nails.com/products/365nails-vintage-red-floral-handmade-press-on-pedicure, friendlyName=365nails: "vintage red floral" – handmade press-on pedicure</x:v>
      </x:c>
      <x:c r="D2961" s="18" t="str">
        <x:v>Size: XS / S / M / L</x:v>
      </x:c>
      <x:c r="E2961" s="25" t="str">
        <x:v>$2.99</x:v>
      </x:c>
      <x:c r="F2961" s="19" t="str">
        <x:v>3</x:v>
      </x:c>
    </x:row>
    <x:row r="2962" ht="93" customHeight="1">
      <x:c r="A2962" s="19" t="n">
        <x:v>2959</x:v>
      </x:c>
      <x:c r="B2962" s="22" t="e">
        <x:f>HYPERLINK("https://cdn.shopify.com/s/files/1/0918/6066/4603/files/40022c2cc795d55f26d6edf14c19abef.jpg?v=1772976755","Open")</x:f>
        <x:v>HYPERLINK is not implemented. linkLocation=https://cdn.shopify.com/s/files/1/0918/6066/4603/files/40022c2cc795d55f26d6edf14c19abef.jpg?v=1772976755, friendlyName=Open</x:v>
      </x:c>
      <x:c r="C2962" s="24" t="e">
        <x:f>HYPERLINK("https://365nails.com/products/everyday-collection-matte-no-file-long-taper-matte-no-file-long-taper-nail-tips","Everyday Collection: ""Matte No-File Long Taper"" – Matte No-File Long Taper Nail Tips")</x:f>
        <x:v>HYPERLINK is not implemented. linkLocation=https://365nails.com/products/everyday-collection-matte-no-file-long-taper-matte-no-file-long-taper-nail-tips, friendlyName=Everyday Collection: "Matte No-File Long Taper" – Matte No-File Long Taper Nail Tips</x:v>
      </x:c>
      <x:c r="D2962" s="18" t="str">
        <x:v>Color: 418-long ladder-m/l size-1 piece / 418-long ladder-xs/s size-1 piece</x:v>
      </x:c>
      <x:c r="E2962" s="25" t="str">
        <x:v>$0.14</x:v>
      </x:c>
      <x:c r="F2962" s="19" t="str">
        <x:v>3</x:v>
      </x:c>
    </x:row>
    <x:row r="2963" ht="93" customHeight="1">
      <x:c r="A2963" s="19" t="n">
        <x:v>2960</x:v>
      </x:c>
      <x:c r="B2963" s="22" t="e">
        <x:f>HYPERLINK("https://cdn.shopify.com/s/files/1/0918/6066/4603/files/O1CN01sTWjGm2ABd0Iw8P77__2218458308165-0-cib.jpg?v=1776156394","Open")</x:f>
        <x:v>HYPERLINK is not implemented. linkLocation=https://cdn.shopify.com/s/files/1/0918/6066/4603/files/O1CN01sTWjGm2ABd0Iw8P77__2218458308165-0-cib.jpg?v=1776156394, friendlyName=Open</x:v>
      </x:c>
      <x:c r="C2963" s="24" t="e">
        <x:f>HYPERLINK("https://365nails.com/products/%E8%B7%A8%E5%A2%83%E7%A9%BF%E6%88%B4%E7%94%B2%E7%89%87%E6%A4%AD%E5%9C%86%E7%94%B2%E6%B3%95%E5%BC%8F%E7%BA%A2%E8%93%9D%E5%BD%A9%E5%B8%A6%E4%BA%94%E8%A7%92%E6%98%9F%E5%81%87%E6%8C%87%E7%94%B2%E7%BE%8E%E5%9B%BD%E7%8B%AC%E7%AB%8B%E6%97%A5%E7%BE%8E%E7%94%B2%E8%B4%B4%E7%89%87","365nails: ""Liberty French"" – Flag Canton &amp; White French Oval Nails")</x:f>
        <x:v>HYPERLINK is not implemented. linkLocation=https://365nails.com/products/%E8%B7%A8%E5%A2%83%E7%A9%BF%E6%88%B4%E7%94%B2%E7%89%87%E6%A4%AD%E5%9C%86%E7%94%B2%E6%B3%95%E5%BC%8F%E7%BA%A2%E8%93%9D%E5%BD%A9%E5%B8%A6%E4%BA%94%E8%A7%92%E6%98%9F%E5%81%87%E6%8C%87%E7%94%B2%E7%BE%8E%E5%9B%BD%E7%8B%AC%E7%AB%8B%E6%97%A5%E7%BE%8E%E7%94%B2%E8%B4%B4%E7%89%87, friendlyName=365nails: "Liberty French" – Flag Canton &amp; White French Oval Nails</x:v>
      </x:c>
      <x:c r="D2963" s="18" t="str">
        <x:v>Color: Jml534 (without tools) / Jml534 (glue type) / Jml534 (jelly glue rubbing strip)</x:v>
      </x:c>
      <x:c r="E2963" s="25" t="str">
        <x:v>$0.99</x:v>
      </x:c>
      <x:c r="F2963" s="19" t="str">
        <x:v>3</x:v>
      </x:c>
    </x:row>
    <x:row r="2964" ht="93" customHeight="1">
      <x:c r="A2964" s="19" t="n">
        <x:v>2961</x:v>
      </x:c>
      <x:c r="B2964" s="22" t="e">
        <x:f>HYPERLINK("https://cdn.shopify.com/s/files/1/0918/6066/4603/files/e338ff7513858cacd54f0e6c7bba6e16.jpg?v=1775196817","Open")</x:f>
        <x:v>HYPERLINK is not implemented. linkLocation=https://cdn.shopify.com/s/files/1/0918/6066/4603/files/e338ff7513858cacd54f0e6c7bba6e16.jpg?v=1775196817, friendlyName=Open</x:v>
      </x:c>
      <x:c r="C2964" s="24" t="e">
        <x:f>HYPERLINK("https://365nails.com/products/365nails-gilded-abalone-3d-chrome-crushed-shell-handmade-squoval-nails","365nails: ""Gilded Abalone"" – 3D Chrome &amp; Crushed Shell Handmade Squoval Nails")</x:f>
        <x:v>HYPERLINK is not implemented. linkLocation=https://365nails.com/products/365nails-gilded-abalone-3d-chrome-crushed-shell-handmade-squoval-nails, friendlyName=365nails: "Gilded Abalone" – 3D Chrome &amp; Crushed Shell Handmade Squoval Nails</x:v>
      </x:c>
      <x:c r="D2964" s="18" t="str">
        <x:v>Size: XS / S / M / L</x:v>
      </x:c>
      <x:c r="E2964" s="25" t="str">
        <x:v>$3.99</x:v>
      </x:c>
      <x:c r="F2964" s="19" t="str">
        <x:v>3</x:v>
      </x:c>
    </x:row>
    <x:row r="2965" ht="93" customHeight="1">
      <x:c r="A2965" s="19" t="n">
        <x:v>2962</x:v>
      </x:c>
      <x:c r="B2965" s="22" t="e">
        <x:f>HYPERLINK("https://cdn.shopify.com/s/files/1/0918/6066/4603/files/dd7522417a381353a473e6fd530d4138.jpg?v=1773306686","Open")</x:f>
        <x:v>HYPERLINK is not implemented. linkLocation=https://cdn.shopify.com/s/files/1/0918/6066/4603/files/dd7522417a381353a473e6fd530d4138.jpg?v=1773306686, friendlyName=Open</x:v>
      </x:c>
      <x:c r="C2965" s="24" t="e">
        <x:f>HYPERLINK("https://365nails.com/products/365nails-zebra-gold-foil-handmade-press-on-pedicure","365nails: ""zebra gold foil"" – handmade press-on pedicure")</x:f>
        <x:v>HYPERLINK is not implemented. linkLocation=https://365nails.com/products/365nails-zebra-gold-foil-handmade-press-on-pedicure, friendlyName=365nails: "zebra gold foil" – handmade press-on pedicure</x:v>
      </x:c>
      <x:c r="D2965" s="18" t="str">
        <x:v>Size: XS / S / M / L</x:v>
      </x:c>
      <x:c r="E2965" s="25" t="str">
        <x:v>$3.99</x:v>
      </x:c>
      <x:c r="F2965" s="19" t="str">
        <x:v>3</x:v>
      </x:c>
    </x:row>
    <x:row r="2966" ht="93" customHeight="1">
      <x:c r="A2966" s="19" t="n">
        <x:v>2963</x:v>
      </x:c>
      <x:c r="B2966" s="22" t="e">
        <x:f>HYPERLINK("https://cdn.shopify.com/s/files/1/0918/6066/4603/files/5ba9a17fe298aec9370107564570e997.jpg?v=1775201799","Open")</x:f>
        <x:v>HYPERLINK is not implemented. linkLocation=https://cdn.shopify.com/s/files/1/0918/6066/4603/files/5ba9a17fe298aec9370107564570e997.jpg?v=1775201799, friendlyName=Open</x:v>
      </x:c>
      <x:c r="C2966" s="24" t="e">
        <x:f>HYPERLINK("https://365nails.com/products/365nails-matte-grey-elegance-white-monogram-3d-strap-handmade-squoval-nails","Luxury Logo 365nails: ""Matte Grey Elegance"" – White Monogram &amp; 3D Strap Handmade Squoval Nails")</x:f>
        <x:v>HYPERLINK is not implemented. linkLocation=https://365nails.com/products/365nails-matte-grey-elegance-white-monogram-3d-strap-handmade-squoval-nails, friendlyName=Luxury Logo 365nails: "Matte Grey Elegance" – White Monogram &amp; 3D Strap Handmade Squoval Nails</x:v>
      </x:c>
      <x:c r="D2966" s="18" t="str">
        <x:v>Size: XS / S / M / L</x:v>
      </x:c>
      <x:c r="E2966" s="25" t="str">
        <x:v>$6.99</x:v>
      </x:c>
      <x:c r="F2966" s="19" t="str">
        <x:v>3</x:v>
      </x:c>
    </x:row>
    <x:row r="2967" ht="93" customHeight="1">
      <x:c r="A2967" s="19" t="n">
        <x:v>2964</x:v>
      </x:c>
      <x:c r="B2967" s="22" t="e">
        <x:f>HYPERLINK("https://cdn.shopify.com/s/files/1/0918/6066/4603/files/c4e1611020296b2e117d8d44a6101eb7.jpg?v=1773287773","Open")</x:f>
        <x:v>HYPERLINK is not implemented. linkLocation=https://cdn.shopify.com/s/files/1/0918/6066/4603/files/c4e1611020296b2e117d8d44a6101eb7.jpg?v=1773287773, friendlyName=Open</x:v>
      </x:c>
      <x:c r="C2967" s="24" t="e">
        <x:f>HYPERLINK("https://365nails.com/products/365nails-colorful-bling-handmade-press-on-pedicure","365nails: ""colorful bling"" – handmade press-on pedicure")</x:f>
        <x:v>HYPERLINK is not implemented. linkLocation=https://365nails.com/products/365nails-colorful-bling-handmade-press-on-pedicure, friendlyName=365nails: "colorful bling" – handmade press-on pedicure</x:v>
      </x:c>
      <x:c r="D2967" s="18" t="str">
        <x:v>Size: XS / S / M / L</x:v>
      </x:c>
      <x:c r="E2967" s="25" t="str">
        <x:v>$4.99</x:v>
      </x:c>
      <x:c r="F2967" s="19" t="str">
        <x:v>3</x:v>
      </x:c>
    </x:row>
    <x:row r="2968" ht="93" customHeight="1">
      <x:c r="A2968" s="19" t="n">
        <x:v>2965</x:v>
      </x:c>
      <x:c r="B2968" s="22" t="e">
        <x:f>HYPERLINK("https://cdn.shopify.com/s/files/1/0918/6066/4603/files/O1CN01K8WWkI27ZUmjrkiNu__2220024697811-0-cib.jpg?v=1772373502","Open")</x:f>
        <x:v>HYPERLINK is not implemented. linkLocation=https://cdn.shopify.com/s/files/1/0918/6066/4603/files/O1CN01K8WWkI27ZUmjrkiNu__2220024697811-0-cib.jpg?v=1772373502, friendlyName=Open</x:v>
      </x:c>
      <x:c r="C2968" s="24" t="e">
        <x:f>HYPERLINK("https://365nails.com/products/tropical-escape-collection-plumeria-paradise-medium-almond-press-on-nails","Tropical Escape Collection: ""Plumeria Paradise"" – Medium Almond Press-On Nails")</x:f>
        <x:v>HYPERLINK is not implemented. linkLocation=https://365nails.com/products/tropical-escape-collection-plumeria-paradise-medium-almond-press-on-nails, friendlyName=Tropical Escape Collection: "Plumeria Paradise" – Medium Almond Press-On Nails</x:v>
      </x:c>
      <x:c r="D2968" s="18" t="str">
        <x:v>Color: Long tip; Color classification: X s / S / M / L</x:v>
      </x:c>
      <x:c r="E2968" s="25" t="str">
        <x:v>$5.07</x:v>
      </x:c>
      <x:c r="F2968" s="19" t="str">
        <x:v>1</x:v>
      </x:c>
    </x:row>
    <x:row r="2969" ht="93" customHeight="1">
      <x:c r="A2969" s="19" t="n">
        <x:v>2966</x:v>
      </x:c>
      <x:c r="B2969" s="22" t="e">
        <x:f>HYPERLINK("https://cdn.shopify.com/s/files/1/0918/6066/4603/files/84b808d7129b71a092c18751f56e768e.jpg?v=1775524760","Open")</x:f>
        <x:v>HYPERLINK is not implemented. linkLocation=https://cdn.shopify.com/s/files/1/0918/6066/4603/files/84b808d7129b71a092c18751f56e768e.jpg?v=1775524760, friendlyName=Open</x:v>
      </x:c>
      <x:c r="C2969" s="24" t="e">
        <x:f>HYPERLINK("https://365nails.com/products/365nails-amber-lotus-3d-sculpted-flower-tortoiseshell-handmade-almond-nails","365nails: ""Amber Lotus"" – 3D Sculpted Flower &amp; Tortoiseshell Handmade Almond Nails")</x:f>
        <x:v>HYPERLINK is not implemented. linkLocation=https://365nails.com/products/365nails-amber-lotus-3d-sculpted-flower-tortoiseshell-handmade-almond-nails, friendlyName=365nails: "Amber Lotus" – 3D Sculpted Flower &amp; Tortoiseshell Handmade Almond Nails</x:v>
      </x:c>
      <x:c r="D2969" s="18" t="str">
        <x:v>Size: XS / S / M / L</x:v>
      </x:c>
      <x:c r="E2969" s="25" t="str">
        <x:v>$3.99</x:v>
      </x:c>
      <x:c r="F2969" s="19" t="str">
        <x:v>3</x:v>
      </x:c>
    </x:row>
    <x:row r="2970" ht="93" customHeight="1">
      <x:c r="A2970" s="19" t="n">
        <x:v>2967</x:v>
      </x:c>
      <x:c r="B2970" s="22" t="e">
        <x:f>HYPERLINK("https://cdn.shopify.com/s/files/1/0918/6066/4603/files/60d2a12f2b73a6c2858e067a20450cae.jpg?v=1773303074","Open")</x:f>
        <x:v>HYPERLINK is not implemented. linkLocation=https://cdn.shopify.com/s/files/1/0918/6066/4603/files/60d2a12f2b73a6c2858e067a20450cae.jpg?v=1773303074, friendlyName=Open</x:v>
      </x:c>
      <x:c r="C2970" s="24" t="e">
        <x:f>HYPERLINK("https://365nails.com/products/365nails-mustard-vintage-daisy-handmade-press-on-pedicure","365nails: ""mustard vintage daisy"" – handmade press-on pedicure")</x:f>
        <x:v>HYPERLINK is not implemented. linkLocation=https://365nails.com/products/365nails-mustard-vintage-daisy-handmade-press-on-pedicure, friendlyName=365nails: "mustard vintage daisy" – handmade press-on pedicure</x:v>
      </x:c>
      <x:c r="D2970" s="18" t="str">
        <x:v>Size: XS / S / M / L</x:v>
      </x:c>
      <x:c r="E2970" s="25" t="str">
        <x:v>$3.99</x:v>
      </x:c>
      <x:c r="F2970" s="19" t="str">
        <x:v>3</x:v>
      </x:c>
    </x:row>
    <x:row r="2971" ht="93" customHeight="1">
      <x:c r="A2971" s="19" t="n">
        <x:v>2968</x:v>
      </x:c>
      <x:c r="B2971" s="22" t="e">
        <x:f>HYPERLINK("https://cdn.shopify.com/s/files/1/0918/6066/4603/files/4d6fffa942bba785b69de6551d90b1cb.jpg?v=1775524921","Open")</x:f>
        <x:v>HYPERLINK is not implemented. linkLocation=https://cdn.shopify.com/s/files/1/0918/6066/4603/files/4d6fffa942bba785b69de6551d90b1cb.jpg?v=1775524921, friendlyName=Open</x:v>
      </x:c>
      <x:c r="C2971" s="24" t="e">
        <x:f>HYPERLINK("https://365nails.com/products/365nails-mermaid-orchid-3d-floral-luxury-pearl-ombre-handmade-almond-nails","365nails: ""Mermaid Orchid"" – 3D Floral &amp; Luxury Pearl Ombre Handmade Almond Nails")</x:f>
        <x:v>HYPERLINK is not implemented. linkLocation=https://365nails.com/products/365nails-mermaid-orchid-3d-floral-luxury-pearl-ombre-handmade-almond-nails, friendlyName=365nails: "Mermaid Orchid" – 3D Floral &amp; Luxury Pearl Ombre Handmade Almond Nails</x:v>
      </x:c>
      <x:c r="D2971" s="18" t="str">
        <x:v>Size: XS / S / M / L</x:v>
      </x:c>
      <x:c r="E2971" s="25" t="str">
        <x:v>$3.99</x:v>
      </x:c>
      <x:c r="F2971" s="19" t="str">
        <x:v>3</x:v>
      </x:c>
    </x:row>
    <x:row r="2972" ht="93" customHeight="1">
      <x:c r="A2972" s="19" t="n">
        <x:v>2969</x:v>
      </x:c>
      <x:c r="B2972" s="22" t="e">
        <x:f>HYPERLINK("https://cdn.shopify.com/s/files/1/0918/6066/4603/files/f1b915bb7cf382913257a5a66ad8888f.jpg?v=1775201709","Open")</x:f>
        <x:v>HYPERLINK is not implemented. linkLocation=https://cdn.shopify.com/s/files/1/0918/6066/4603/files/f1b915bb7cf382913257a5a66ad8888f.jpg?v=1775201709, friendlyName=Open</x:v>
      </x:c>
      <x:c r="C2972" s="24" t="e">
        <x:f>HYPERLINK("https://365nails.com/products/365nails-quilted-monochrome-3d-black-leather-silver-chrome-handmade-squoval-nails","Luxury Logo 365nails: ""Quilted Monochrome"" – 3D Black Leather &amp; Silver Chrome Handmade Squoval Nails")</x:f>
        <x:v>HYPERLINK is not implemented. linkLocation=https://365nails.com/products/365nails-quilted-monochrome-3d-black-leather-silver-chrome-handmade-squoval-nails, friendlyName=Luxury Logo 365nails: "Quilted Monochrome" – 3D Black Leather &amp; Silver Chrome Handmade Squoval Nails</x:v>
      </x:c>
      <x:c r="D2972" s="18" t="str">
        <x:v>Size: XS / S / M / L</x:v>
      </x:c>
      <x:c r="E2972" s="25" t="str">
        <x:v>$6.99</x:v>
      </x:c>
      <x:c r="F2972" s="19" t="str">
        <x:v>3</x:v>
      </x:c>
    </x:row>
    <x:row r="2973" ht="93" customHeight="1">
      <x:c r="A2973" s="19" t="n">
        <x:v>2970</x:v>
      </x:c>
      <x:c r="B2973" s="22" t="e">
        <x:f>HYPERLINK("https://cdn.shopify.com/s/files/1/0918/6066/4603/files/a308579c86a81052406f777b0377a47c.jpg?v=1775199427","Open")</x:f>
        <x:v>HYPERLINK is not implemented. linkLocation=https://cdn.shopify.com/s/files/1/0918/6066/4603/files/a308579c86a81052406f777b0377a47c.jpg?v=1775199427, friendlyName=Open</x:v>
      </x:c>
      <x:c r="C2973" s="24" t="e">
        <x:f>HYPERLINK("https://365nails.com/products/365nails-preppy-monochrome-silver-bow-grey-cat-eye-plaid-handmade-squoval-nails","365nails: ""Preppy Monochrome"" – Silver Bow &amp; Grey Cat-Eye Plaid Handmade Squoval Nails")</x:f>
        <x:v>HYPERLINK is not implemented. linkLocation=https://365nails.com/products/365nails-preppy-monochrome-silver-bow-grey-cat-eye-plaid-handmade-squoval-nails, friendlyName=365nails: "Preppy Monochrome" – Silver Bow &amp; Grey Cat-Eye Plaid Handmade Squoval Nails</x:v>
      </x:c>
      <x:c r="D2973" s="18" t="str">
        <x:v>Size: XS / S / M / L</x:v>
      </x:c>
      <x:c r="E2973" s="25" t="str">
        <x:v>$3.99</x:v>
      </x:c>
      <x:c r="F2973" s="19" t="str">
        <x:v>3</x:v>
      </x:c>
    </x:row>
    <x:row r="2974" ht="93" customHeight="1">
      <x:c r="A2974" s="19" t="n">
        <x:v>2971</x:v>
      </x:c>
      <x:c r="B2974" s="22" t="e">
        <x:f>HYPERLINK("https://cdn.shopify.com/s/files/1/0918/6066/4603/files/6481b1c579cf5a9ea7bebf6f0d7ab2aa.jpg?v=1773306661","Open")</x:f>
        <x:v>HYPERLINK is not implemented. linkLocation=https://cdn.shopify.com/s/files/1/0918/6066/4603/files/6481b1c579cf5a9ea7bebf6f0d7ab2aa.jpg?v=1773306661, friendlyName=Open</x:v>
      </x:c>
      <x:c r="C2974" s="24" t="e">
        <x:f>HYPERLINK("https://365nails.com/products/365nails-emerald-vintage-gem-handmade-press-on-pedicure","365nails: ""emerald vintage gem"" – handmade press-on pedicure")</x:f>
        <x:v>HYPERLINK is not implemented. linkLocation=https://365nails.com/products/365nails-emerald-vintage-gem-handmade-press-on-pedicure, friendlyName=365nails: "emerald vintage gem" – handmade press-on pedicure</x:v>
      </x:c>
      <x:c r="D2974" s="18" t="str">
        <x:v>Size: XS / S / M / L</x:v>
      </x:c>
      <x:c r="E2974" s="25" t="str">
        <x:v>$3.99</x:v>
      </x:c>
      <x:c r="F2974" s="19" t="str">
        <x:v>3</x:v>
      </x:c>
    </x:row>
    <x:row r="2975" ht="93" customHeight="1">
      <x:c r="A2975" s="19" t="n">
        <x:v>2972</x:v>
      </x:c>
      <x:c r="B2975" s="22" t="e">
        <x:f>HYPERLINK("https://cdn.shopify.com/s/files/1/0918/6066/4603/files/ad871813c12772d470453f8e01e6d2b8.jpg?v=1775197195","Open")</x:f>
        <x:v>HYPERLINK is not implemented. linkLocation=https://cdn.shopify.com/s/files/1/0918/6066/4603/files/ad871813c12772d470453f8e01e6d2b8.jpg?v=1775197195, friendlyName=Open</x:v>
      </x:c>
      <x:c r="C2975" s="24" t="e">
        <x:f>HYPERLINK("https://365nails.com/products/365nails-gilded-crimson-rose-3d-floral-gold-chrome-handmade-oval-nails","365nails: ""Gilded Crimson Rose"" – 3D Floral &amp; Gold Chrome Handmade Oval Nails")</x:f>
        <x:v>HYPERLINK is not implemented. linkLocation=https://365nails.com/products/365nails-gilded-crimson-rose-3d-floral-gold-chrome-handmade-oval-nails, friendlyName=365nails: "Gilded Crimson Rose" – 3D Floral &amp; Gold Chrome Handmade Oval Nails</x:v>
      </x:c>
      <x:c r="D2975" s="18" t="str">
        <x:v>Size: XS / S / M / L</x:v>
      </x:c>
      <x:c r="E2975" s="25" t="str">
        <x:v>$3.99</x:v>
      </x:c>
      <x:c r="F2975" s="19" t="str">
        <x:v>3</x:v>
      </x:c>
    </x:row>
    <x:row r="2976" ht="93" customHeight="1">
      <x:c r="A2976" s="19" t="n">
        <x:v>2973</x:v>
      </x:c>
      <x:c r="B2976" s="22" t="e">
        <x:f>HYPERLINK("https://cdn.shopify.com/s/files/1/0918/6066/4603/files/O1CN01O9elRh2214sEsx8Lb__2219480337059-0-cib.jpg?v=1773320908","Open")</x:f>
        <x:v>HYPERLINK is not implemented. linkLocation=https://cdn.shopify.com/s/files/1/0918/6066/4603/files/O1CN01O9elRh2214sEsx8Lb__2219480337059-0-cib.jpg?v=1773320908, friendlyName=Open</x:v>
      </x:c>
      <x:c r="C2976" s="24" t="e">
        <x:f>HYPERLINK("https://365nails.com/products/365nails-macaron-little-eyes-short-round-handmade-kids-press-on-nails","365nails: ""macaron little eyes"" – short round handmade kids press-on nails")</x:f>
        <x:v>HYPERLINK is not implemented. linkLocation=https://365nails.com/products/365nails-macaron-little-eyes-short-round-handmade-kids-press-on-nails, friendlyName=365nails: "macaron little eyes" – short round handmade kids press-on nails</x:v>
      </x:c>
      <x:c r="D2976" s="18" t="str">
        <x:v>Color: Pinch your eyes; Color classification: Xs (about 2 years old) / S (3-4 years old) / M (5-7 years old) / L (8-11 years old)</x:v>
      </x:c>
      <x:c r="E2976" s="25" t="str">
        <x:v>$2.99</x:v>
      </x:c>
      <x:c r="F2976" s="19" t="str">
        <x:v>3</x:v>
      </x:c>
    </x:row>
    <x:row r="2977" ht="93" customHeight="1">
      <x:c r="A2977" s="19" t="n">
        <x:v>2974</x:v>
      </x:c>
      <x:c r="B2977" s="22" t="e">
        <x:f>HYPERLINK("https://cdn.shopify.com/s/files/1/0918/6066/4603/files/9418e47129ca5f2b6d129a62ccd1ef47.jpg?v=1775203114","Open")</x:f>
        <x:v>HYPERLINK is not implemented. linkLocation=https://cdn.shopify.com/s/files/1/0918/6066/4603/files/9418e47129ca5f2b6d129a62ccd1ef47.jpg?v=1775203114, friendlyName=Open</x:v>
      </x:c>
      <x:c r="C2977" s="24" t="e">
        <x:f>HYPERLINK("https://365nails.com/products/365nails-rainbow-monogram-colorful-pattern-gold-chrome-handmade-squoval-nails","Luxury Logo 365nails: ""Rainbow Monogram"" – Colorful Pattern &amp; Gold Chrome Handmade Squoval Nails")</x:f>
        <x:v>HYPERLINK is not implemented. linkLocation=https://365nails.com/products/365nails-rainbow-monogram-colorful-pattern-gold-chrome-handmade-squoval-nails, friendlyName=Luxury Logo 365nails: "Rainbow Monogram" – Colorful Pattern &amp; Gold Chrome Handmade Squoval Nails</x:v>
      </x:c>
      <x:c r="D2977" s="18" t="str">
        <x:v>Size: XS / S / M / L</x:v>
      </x:c>
      <x:c r="E2977" s="25" t="str">
        <x:v>$6.99</x:v>
      </x:c>
      <x:c r="F2977" s="19" t="str">
        <x:v>3</x:v>
      </x:c>
    </x:row>
    <x:row r="2978" ht="93" customHeight="1">
      <x:c r="A2978" s="19" t="n">
        <x:v>2975</x:v>
      </x:c>
      <x:c r="B2978" s="22" t="e">
        <x:f>HYPERLINK("https://cdn.shopify.com/s/files/1/0918/6066/4603/files/1486134963fcb2f0f46e463adb6e0493.jpg?v=1775202256","Open")</x:f>
        <x:v>HYPERLINK is not implemented. linkLocation=https://cdn.shopify.com/s/files/1/0918/6066/4603/files/1486134963fcb2f0f46e463adb6e0493.jpg?v=1775202256, friendlyName=Open</x:v>
      </x:c>
      <x:c r="C2978" s="24" t="e">
        <x:f>HYPERLINK("https://365nails.com/products/365nails-monochrome-coco-quilted-leather-silver-chrome-handmade-squoval-nails","Luxury Logo 365nails: ""Monochrome Coco"" – Quilted Leather &amp; Silver Chrome Handmade Squoval Nails")</x:f>
        <x:v>HYPERLINK is not implemented. linkLocation=https://365nails.com/products/365nails-monochrome-coco-quilted-leather-silver-chrome-handmade-squoval-nails, friendlyName=Luxury Logo 365nails: "Monochrome Coco" – Quilted Leather &amp; Silver Chrome Handmade Squoval Nails</x:v>
      </x:c>
      <x:c r="D2978" s="18" t="str">
        <x:v>Size: XS / S / M / L</x:v>
      </x:c>
      <x:c r="E2978" s="25" t="str">
        <x:v>$6.99</x:v>
      </x:c>
      <x:c r="F2978" s="19" t="str">
        <x:v>3</x:v>
      </x:c>
    </x:row>
    <x:row r="2979" ht="93" customHeight="1">
      <x:c r="A2979" s="19" t="n">
        <x:v>2976</x:v>
      </x:c>
      <x:c r="B2979" s="22" t="e">
        <x:f>HYPERLINK("https://cdn.shopify.com/s/files/1/0918/6066/4603/files/cf39c6144dbbbfbb5ed3c53b6c40c642_509e23a8-6cdc-4867-8b8f-f6d138b1e614.jpg?v=1773306951","Open")</x:f>
        <x:v>HYPERLINK is not implemented. linkLocation=https://cdn.shopify.com/s/files/1/0918/6066/4603/files/cf39c6144dbbbfbb5ed3c53b6c40c642_509e23a8-6cdc-4867-8b8f-f6d138b1e614.jpg?v=1773306951, friendlyName=Open</x:v>
      </x:c>
      <x:c r="C2979" s="24" t="e">
        <x:f>HYPERLINK("https://365nails.com/products/365nails-sweet-strawberry-handmade-press-on-pedicure","365nails: ""sweet strawberry"" – handmade press-on pedicure")</x:f>
        <x:v>HYPERLINK is not implemented. linkLocation=https://365nails.com/products/365nails-sweet-strawberry-handmade-press-on-pedicure, friendlyName=365nails: "sweet strawberry" – handmade press-on pedicure</x:v>
      </x:c>
      <x:c r="D2979" s="18" t="str">
        <x:v>Size: XS / S / M / L</x:v>
      </x:c>
      <x:c r="E2979" s="25" t="str">
        <x:v>$2.99</x:v>
      </x:c>
      <x:c r="F2979" s="19" t="str">
        <x:v>3</x:v>
      </x:c>
    </x:row>
    <x:row r="2980" ht="93" customHeight="1">
      <x:c r="A2980" s="19" t="n">
        <x:v>2977</x:v>
      </x:c>
      <x:c r="B2980" s="22" t="e">
        <x:f>HYPERLINK("https://cdn.shopify.com/s/files/1/0918/6066/4603/files/1a4b4935d6a83a48ee17961561f0c296.jpg?v=1775524734","Open")</x:f>
        <x:v>HYPERLINK is not implemented. linkLocation=https://cdn.shopify.com/s/files/1/0918/6066/4603/files/1a4b4935d6a83a48ee17961561f0c296.jpg?v=1775524734, friendlyName=Open</x:v>
      </x:c>
      <x:c r="C2980" s="24" t="e">
        <x:f>HYPERLINK("https://365nails.com/products/365nails-crimson-circus-clown-bleeding-big-top-3d-jester-handmade-long-stiletto-nails","365nails: ""Crimson Circus Clown"" – Bleeding Big Top 3D Jester Handmade Long Stiletto Nails")</x:f>
        <x:v>HYPERLINK is not implemented. linkLocation=https://365nails.com/products/365nails-crimson-circus-clown-bleeding-big-top-3d-jester-handmade-long-stiletto-nails, friendlyName=365nails: "Crimson Circus Clown" – Bleeding Big Top 3D Jester Handmade Long Stiletto Nails</x:v>
      </x:c>
      <x:c r="D2980" s="18" t="str">
        <x:v>Size: XS / S / M / L</x:v>
      </x:c>
      <x:c r="E2980" s="25" t="str">
        <x:v>$3.99</x:v>
      </x:c>
      <x:c r="F2980" s="19" t="str">
        <x:v>3</x:v>
      </x:c>
    </x:row>
    <x:row r="2981" ht="93" customHeight="1">
      <x:c r="A2981" s="19" t="n">
        <x:v>2978</x:v>
      </x:c>
      <x:c r="B2981" s="22" t="e">
        <x:f>HYPERLINK("https://cdn.shopify.com/s/files/1/0918/6066/4603/files/67bb2e4cbb39707de94b58353ef76b0f.jpg?v=1773304764","Open")</x:f>
        <x:v>HYPERLINK is not implemented. linkLocation=https://cdn.shopify.com/s/files/1/0918/6066/4603/files/67bb2e4cbb39707de94b58353ef76b0f.jpg?v=1773304764, friendlyName=Open</x:v>
      </x:c>
      <x:c r="C2981" s="24" t="e">
        <x:f>HYPERLINK("https://365nails.com/products/365nails-confetti-pop-dots-handmade-press-on-pedicure","365nails: ""confetti pop dots"" – handmade press-on pedicure")</x:f>
        <x:v>HYPERLINK is not implemented. linkLocation=https://365nails.com/products/365nails-confetti-pop-dots-handmade-press-on-pedicure, friendlyName=365nails: "confetti pop dots" – handmade press-on pedicure</x:v>
      </x:c>
      <x:c r="D2981" s="18" t="str">
        <x:v>Size: XS / S / M / L</x:v>
      </x:c>
      <x:c r="E2981" s="25" t="str">
        <x:v>$4.99</x:v>
      </x:c>
      <x:c r="F2981" s="19" t="str">
        <x:v>3</x:v>
      </x:c>
    </x:row>
    <x:row r="2982" ht="93" customHeight="1">
      <x:c r="A2982" s="19" t="n">
        <x:v>2979</x:v>
      </x:c>
      <x:c r="B2982" s="22" t="e">
        <x:f>HYPERLINK("https://cdn.shopify.com/s/files/1/0918/6066/4603/files/5d6ad0c379ac14dd64217b3e5c07b4ad.jpg?v=1775201863","Open")</x:f>
        <x:v>HYPERLINK is not implemented. linkLocation=https://cdn.shopify.com/s/files/1/0918/6066/4603/files/5d6ad0c379ac14dd64217b3e5c07b4ad.jpg?v=1775201863, friendlyName=Open</x:v>
      </x:c>
      <x:c r="C2982" s="24" t="e">
        <x:f>HYPERLINK("https://365nails.com/products/365nails-leopard-zipper-3d-gold-hardware-animal-print-handmade-squoval-nails","Luxury Logo 365nails: ""Leopard Zipper"" – 3D Gold Hardware &amp; Animal Print Handmade Squoval Nails")</x:f>
        <x:v>HYPERLINK is not implemented. linkLocation=https://365nails.com/products/365nails-leopard-zipper-3d-gold-hardware-animal-print-handmade-squoval-nails, friendlyName=Luxury Logo 365nails: "Leopard Zipper" – 3D Gold Hardware &amp; Animal Print Handmade Squoval Nails</x:v>
      </x:c>
      <x:c r="D2982" s="18" t="str">
        <x:v>Size: XS / S / M / L</x:v>
      </x:c>
      <x:c r="E2982" s="25" t="str">
        <x:v>$6.99</x:v>
      </x:c>
      <x:c r="F2982" s="19" t="str">
        <x:v>3</x:v>
      </x:c>
    </x:row>
    <x:row r="2983" ht="93" customHeight="1">
      <x:c r="A2983" s="19" t="n">
        <x:v>2980</x:v>
      </x:c>
      <x:c r="B2983" s="22" t="e">
        <x:f>HYPERLINK("https://cdn.shopify.com/s/files/1/0918/6066/4603/files/149c9377089661b4f0991f90c794876a_1346da17-bac8-49cd-8390-6c22dab466c9.jpg?v=1755243335","Open")</x:f>
        <x:v>HYPERLINK is not implemented. linkLocation=https://cdn.shopify.com/s/files/1/0918/6066/4603/files/149c9377089661b4f0991f90c794876a_1346da17-bac8-49cd-8390-6c22dab466c9.jpg?v=1755243335, friendlyName=Open</x:v>
      </x:c>
      <x:c r="C2983" s="24" t="e">
        <x:f>HYPERLINK("https://365nails.com/products/nail-tips-new-french-press-on-nails-240-pieces-boxed-fake-nail-manicure-work-in-progress-matte-full-sticker-french-nail-piece","Nail Tips New  French press on nails 240 pieces boxed fake nail manicure work in progress matte full sticker French nail piece (MOQ=3)")</x:f>
        <x:v>HYPERLINK is not implemented. linkLocation=https://365nails.com/products/nail-tips-new-french-press-on-nails-240-pieces-boxed-fake-nail-manicure-work-in-progress-matte-full-sticker-french-nail-piece, friendlyName=Nail Tips New  French press on nails 240 pieces boxed fake nail manicure work in progress matte full sticker French nail piece (MOQ=3)</x:v>
      </x:c>
      <x:c r="D2983" s="18" t="str">
        <x:v>Color: 192-French Ladder-240 Pieces Box-01 / 192-French Ladder-240 Pieces Box-02 / 192-French Ladder-240 Pieces Box-03 / 192-French Ladder-240 Pieces Box-04 / 192-French Ladder-240 Pieces Box-05 / 193-French Short Ladder-240 Pieces Box-01 / 193-French Short Ladder-240 Pieces Box-02 / 193-French Short Ladder-240 Pieces Box-03 / 193-French Short Ladder-240 Pieces Box-04 / 193-French Short Ladder-240 Pieces Box-05 / 197-French Short Circle-240 Pieces Box-01 / 197-French Short Circle-240 Pieces Box-02 / 197-French Short Circle-240 Pieces Box-03 / 197-French Short Circle-240 Pieces Box-04 / 197-French Short Circle-240 Pieces Box-05 / 401-French Super Short Ladder-240 Pieces Box-01 / 401-French Super Short Ladder-240 Pieces Box-02 / 401-French Super Short Ladder-240 Pieces Box-03 / 401-French Super Short Ladder-240 Pieces Box-04 / 401-French Super Short Ladder-240 Pieces Box-05 / 405-French Short Almonds-240 Pieces Box-01 / 405-French Short Almonds-240 Pieces Box-02 / 405-French Short Almonds-240 Pieces Box-03 / 405-French Short Almonds-240 Pieces Box-04 / 405-French Short Almonds-240 Pieces Box-05 / 406-French Foot Armor-240 Piece Box-01 / 406-French Foot Armor-240 Piece Box-02 / 406-French Foot Armor-240 Piece Box-03 / 406-French Foot Armor-240 Piece Box-04 / 406-French Foot Armor-240 Piece Box-05 / 193-Black Edge French Short Ladder-240 Pieces Box-01 / 193-Black Edge French Short Ladder-240 Pieces Boxed-02 / 193-Black Edge French Short Ladder-240 Pieces Box-03 / 193-Black Edge French Short Ladder-240 Pieces Box-04 / 193-Black Edge French Short Ladder-240 Pieces Boxed-05 / 197-Black Edge French Short Circle-240 Pieces Box-01 / 197-Black Edge French Short Circle-240 Pieces Box-02 / 197-Black Edge French Short Circle-240 Pieces Box-03 / 197-Black Edge French Short Circle-240 Pieces Box-04 / 197-Black Edge French Short Circle-240 Pieces Box-05 / 405-Black Edge French Short Almonds-240 Pieces Box-01 / 405-Black Edge French Short Almonds-240 Pieces Boxed-02 / 405-Black Edge French Short Almonds-240 Pieces Box-03 / 405-Black Edge French Short Almonds-240 Pieces Box-04 / 405-Black Edge French Short Almonds-240 Pieces Boxed-05 / 401-Black Edge Short Ladder-240 Pieces Box-01 / 401-Black Edge Short Ladder-240 Pieces Box-02 / 401-Black Edge Short Ladder-240 Pieces Box-03; Quantity: 3pcs</x:v>
      </x:c>
      <x:c r="E2983" s="25" t="str">
        <x:v>$7.05</x:v>
      </x:c>
      <x:c r="F2983" s="19" t="str">
        <x:v>1</x:v>
      </x:c>
    </x:row>
    <x:row r="2984" ht="93" customHeight="1">
      <x:c r="A2984" s="19" t="n">
        <x:v>2981</x:v>
      </x:c>
      <x:c r="B2984" s="22" t="e">
        <x:f>HYPERLINK("https://cdn.shopify.com/s/files/1/0918/6066/4603/files/621b6d74373f60ecf846a9450e677fb9.jpg?v=1775200903","Open")</x:f>
        <x:v>HYPERLINK is not implemented. linkLocation=https://cdn.shopify.com/s/files/1/0918/6066/4603/files/621b6d74373f60ecf846a9450e677fb9.jpg?v=1775200903, friendlyName=Open</x:v>
      </x:c>
      <x:c r="C2984" s="24" t="e">
        <x:f>HYPERLINK("https://365nails.com/products/365nails-blue-tartan-monogram-classic-plaid-luxury-typography-handmade-oval-nails","Luxury Logo 365nails: ""Blue Tartan Monogram"" – Classic Plaid &amp; Luxury Typography Handmade Oval Nails")</x:f>
        <x:v>HYPERLINK is not implemented. linkLocation=https://365nails.com/products/365nails-blue-tartan-monogram-classic-plaid-luxury-typography-handmade-oval-nails, friendlyName=Luxury Logo 365nails: "Blue Tartan Monogram" – Classic Plaid &amp; Luxury Typography Handmade Oval Nails</x:v>
      </x:c>
      <x:c r="D2984" s="18" t="str">
        <x:v>Size: XS / S / M / L</x:v>
      </x:c>
      <x:c r="E2984" s="25" t="str">
        <x:v>$6.99</x:v>
      </x:c>
      <x:c r="F2984" s="19" t="str">
        <x:v>3</x:v>
      </x:c>
    </x:row>
    <x:row r="2985" ht="93" customHeight="1">
      <x:c r="A2985" s="19" t="n">
        <x:v>2982</x:v>
      </x:c>
      <x:c r="B2985" s="22" t="e">
        <x:f>HYPERLINK("https://cdn.shopify.com/s/files/1/0918/6066/4603/files/70caf1fd0a85f4ec97fb47f1c0bf4056.jpg?v=1775200517","Open")</x:f>
        <x:v>HYPERLINK is not implemented. linkLocation=https://cdn.shopify.com/s/files/1/0918/6066/4603/files/70caf1fd0a85f4ec97fb47f1c0bf4056.jpg?v=1775200517, friendlyName=Open</x:v>
      </x:c>
      <x:c r="C2985" s="24" t="e">
        <x:f>HYPERLINK("https://365nails.com/products/365nails-burgundy-gold-minimalist-solid-color-glitter-handmade-squoval-nails","365nails: ""Burgundy Gold"" – Minimalist Solid Color &amp; Glitter Handmade Squoval Nails")</x:f>
        <x:v>HYPERLINK is not implemented. linkLocation=https://365nails.com/products/365nails-burgundy-gold-minimalist-solid-color-glitter-handmade-squoval-nails, friendlyName=365nails: "Burgundy Gold" – Minimalist Solid Color &amp; Glitter Handmade Squoval Nails</x:v>
      </x:c>
      <x:c r="D2985" s="18" t="str">
        <x:v>Size: XS / S / M / L</x:v>
      </x:c>
      <x:c r="E2985" s="25" t="str">
        <x:v>$3.99</x:v>
      </x:c>
      <x:c r="F2985" s="19" t="str">
        <x:v>3</x:v>
      </x:c>
    </x:row>
    <x:row r="2986" ht="93" customHeight="1">
      <x:c r="A2986" s="19" t="n">
        <x:v>2983</x:v>
      </x:c>
      <x:c r="B2986" s="22" t="e">
        <x:f>HYPERLINK("https://cdn.shopify.com/s/files/1/0918/6066/4603/files/f8d076b7d6cf6a104d0403baf6a8fe91.jpg?v=1775200825","Open")</x:f>
        <x:v>HYPERLINK is not implemented. linkLocation=https://cdn.shopify.com/s/files/1/0918/6066/4603/files/f8d076b7d6cf6a104d0403baf6a8fe91.jpg?v=1775200825, friendlyName=Open</x:v>
      </x:c>
      <x:c r="C2986" s="24" t="e">
        <x:f>HYPERLINK("https://365nails.com/products/365nails-gilded-lace-black-lace-luxury-gold-leopard-handmade-squoval-nails","Luxury Logo 365nails: ""Gilded Lace"" – Black Lace &amp; Luxury Gold Leopard Handmade Squoval Nails")</x:f>
        <x:v>HYPERLINK is not implemented. linkLocation=https://365nails.com/products/365nails-gilded-lace-black-lace-luxury-gold-leopard-handmade-squoval-nails, friendlyName=Luxury Logo 365nails: "Gilded Lace" – Black Lace &amp; Luxury Gold Leopard Handmade Squoval Nails</x:v>
      </x:c>
      <x:c r="D2986" s="18" t="str">
        <x:v>Size: XS / S / M / L</x:v>
      </x:c>
      <x:c r="E2986" s="25" t="str">
        <x:v>$6.99</x:v>
      </x:c>
      <x:c r="F2986" s="19" t="str">
        <x:v>3</x:v>
      </x:c>
    </x:row>
    <x:row r="2987" ht="93" customHeight="1">
      <x:c r="A2987" s="19" t="n">
        <x:v>2984</x:v>
      </x:c>
      <x:c r="B2987" s="22" t="e">
        <x:f>HYPERLINK("https://cdn.shopify.com/s/files/1/0918/6066/4603/files/ce6192601e3dd571269467e99eebb6f7.jpg?v=1775202565","Open")</x:f>
        <x:v>HYPERLINK is not implemented. linkLocation=https://cdn.shopify.com/s/files/1/0918/6066/4603/files/ce6192601e3dd571269467e99eebb6f7.jpg?v=1775202565, friendlyName=Open</x:v>
      </x:c>
      <x:c r="C2987" s="24" t="e">
        <x:f>HYPERLINK("https://365nails.com/products/365nails-obsidian-royalty-monogram-3d-gold-cross-ombre-handmade-coffin-nails","Luxury Logo 365nails: ""Obsidian Royalty Monogram"" – 3D Gold Cross &amp; Ombre Handmade Coffin Nails")</x:f>
        <x:v>HYPERLINK is not implemented. linkLocation=https://365nails.com/products/365nails-obsidian-royalty-monogram-3d-gold-cross-ombre-handmade-coffin-nails, friendlyName=Luxury Logo 365nails: "Obsidian Royalty Monogram" – 3D Gold Cross &amp; Ombre Handmade Coffin Nails</x:v>
      </x:c>
      <x:c r="D2987" s="18" t="str">
        <x:v>Size: XS / S / M / L</x:v>
      </x:c>
      <x:c r="E2987" s="25" t="str">
        <x:v>$6.99</x:v>
      </x:c>
      <x:c r="F2987" s="19" t="str">
        <x:v>3</x:v>
      </x:c>
    </x:row>
    <x:row r="2988" ht="93" customHeight="1">
      <x:c r="A2988" s="19" t="n">
        <x:v>2985</x:v>
      </x:c>
      <x:c r="B2988" s="22" t="e">
        <x:f>HYPERLINK("https://cdn.shopify.com/s/files/1/0918/6066/4603/files/199b1f5d430150f6e93cab4c0d09a12c.jpg?v=1775203063","Open")</x:f>
        <x:v>HYPERLINK is not implemented. linkLocation=https://cdn.shopify.com/s/files/1/0918/6066/4603/files/199b1f5d430150f6e93cab4c0d09a12c.jpg?v=1775203063, friendlyName=Open</x:v>
      </x:c>
      <x:c r="C2988" s="24" t="e">
        <x:f>HYPERLINK("https://365nails.com/products/365nails-tweed-camellia-3d-flower-luxury-tweed-handmade-squoval-nails","Luxury Logo 365nails: ""Tweed Camellia"" – 3D Flower &amp; Luxury Tweed Handmade Squoval Nails")</x:f>
        <x:v>HYPERLINK is not implemented. linkLocation=https://365nails.com/products/365nails-tweed-camellia-3d-flower-luxury-tweed-handmade-squoval-nails, friendlyName=Luxury Logo 365nails: "Tweed Camellia" – 3D Flower &amp; Luxury Tweed Handmade Squoval Nails</x:v>
      </x:c>
      <x:c r="D2988" s="18" t="str">
        <x:v>Size: XS / S / M / L</x:v>
      </x:c>
      <x:c r="E2988" s="25" t="str">
        <x:v>$6.99</x:v>
      </x:c>
      <x:c r="F2988" s="19" t="str">
        <x:v>3</x:v>
      </x:c>
    </x:row>
    <x:row r="2989" ht="93" customHeight="1">
      <x:c r="A2989" s="19" t="n">
        <x:v>2986</x:v>
      </x:c>
      <x:c r="B2989" s="22" t="e">
        <x:f>HYPERLINK("https://cdn.shopify.com/s/files/1/0918/6066/4603/files/eda7feb0f6c0ab4eaa27255170da48d4.jpg?v=1775201656","Open")</x:f>
        <x:v>HYPERLINK is not implemented. linkLocation=https://cdn.shopify.com/s/files/1/0918/6066/4603/files/eda7feb0f6c0ab4eaa27255170da48d4.jpg?v=1775201656, friendlyName=Open</x:v>
      </x:c>
      <x:c r="C2989" s="24" t="e">
        <x:f>HYPERLINK("https://365nails.com/products/365nails-noir-couture-monogram-3d-bag-charm-silver-glitter-handmade-squoval-nails","Luxury Logo 365nails: ""Noir Couture Monogram"" – 3D Bag Charm &amp; Silver Glitter Handmade Squoval Nails")</x:f>
        <x:v>HYPERLINK is not implemented. linkLocation=https://365nails.com/products/365nails-noir-couture-monogram-3d-bag-charm-silver-glitter-handmade-squoval-nails, friendlyName=Luxury Logo 365nails: "Noir Couture Monogram" – 3D Bag Charm &amp; Silver Glitter Handmade Squoval Nails</x:v>
      </x:c>
      <x:c r="D2989" s="18" t="str">
        <x:v>Size: XS / S / M / L</x:v>
      </x:c>
      <x:c r="E2989" s="25" t="str">
        <x:v>$6.99</x:v>
      </x:c>
      <x:c r="F2989" s="19" t="str">
        <x:v>3</x:v>
      </x:c>
    </x:row>
    <x:row r="2990" ht="93" customHeight="1">
      <x:c r="A2990" s="19" t="n">
        <x:v>2987</x:v>
      </x:c>
      <x:c r="B2990" s="22" t="e">
        <x:f>HYPERLINK("https://cdn.shopify.com/s/files/1/0918/6066/4603/files/ee9d65e03ccc4bd6266a7d2a28016be8.jpg?v=1775202500","Open")</x:f>
        <x:v>HYPERLINK is not implemented. linkLocation=https://cdn.shopify.com/s/files/1/0918/6066/4603/files/ee9d65e03ccc4bd6266a7d2a28016be8.jpg?v=1775202500, friendlyName=Open</x:v>
      </x:c>
      <x:c r="C2990" s="24" t="e">
        <x:f>HYPERLINK("https://365nails.com/products/365nails-gilded-eclipse-monogram-3d-gold-cross-cat-eye-handmade-oval-nails","Luxury Logo 365nails: ""Gilded Eclipse Monogram"" – 3D Gold Cross &amp; Cat-Eye Handmade Oval Nails")</x:f>
        <x:v>HYPERLINK is not implemented. linkLocation=https://365nails.com/products/365nails-gilded-eclipse-monogram-3d-gold-cross-cat-eye-handmade-oval-nails, friendlyName=Luxury Logo 365nails: "Gilded Eclipse Monogram" – 3D Gold Cross &amp; Cat-Eye Handmade Oval Nails</x:v>
      </x:c>
      <x:c r="D2990" s="18" t="str">
        <x:v>Size: XS / S / M / L</x:v>
      </x:c>
      <x:c r="E2990" s="25" t="str">
        <x:v>$6.99</x:v>
      </x:c>
      <x:c r="F2990" s="19" t="str">
        <x:v>3</x:v>
      </x:c>
    </x:row>
    <x:row r="2991" ht="93" customHeight="1">
      <x:c r="A2991" s="19" t="n">
        <x:v>2988</x:v>
      </x:c>
      <x:c r="B2991" s="22" t="e">
        <x:f>HYPERLINK("https://cdn.shopify.com/s/files/1/0918/6066/4603/files/6f4812a5c20ea5cfce2a1336a1d7beb1.jpg?v=1775200580","Open")</x:f>
        <x:v>HYPERLINK is not implemented. linkLocation=https://cdn.shopify.com/s/files/1/0918/6066/4603/files/6f4812a5c20ea5cfce2a1336a1d7beb1.jpg?v=1775200580, friendlyName=Open</x:v>
      </x:c>
      <x:c r="C2991" s="24" t="e">
        <x:f>HYPERLINK("https://365nails.com/products/365nails-blue-monogram-luxury-typography-heavy-rhinestone-handmade-squoval-nails","Luxury Logo 365nails: ""Blue Monogram"" – Luxury Typography &amp; Heavy Rhinestone Handmade Squoval Nails")</x:f>
        <x:v>HYPERLINK is not implemented. linkLocation=https://365nails.com/products/365nails-blue-monogram-luxury-typography-heavy-rhinestone-handmade-squoval-nails, friendlyName=Luxury Logo 365nails: "Blue Monogram" – Luxury Typography &amp; Heavy Rhinestone Handmade Squoval Nails</x:v>
      </x:c>
      <x:c r="D2991" s="18" t="str">
        <x:v>Size: XS / S / M / L</x:v>
      </x:c>
      <x:c r="E2991" s="25" t="str">
        <x:v>$6.99</x:v>
      </x:c>
      <x:c r="F2991" s="19" t="str">
        <x:v>3</x:v>
      </x:c>
    </x:row>
    <x:row r="2992" ht="93" customHeight="1">
      <x:c r="A2992" s="19" t="n">
        <x:v>2989</x:v>
      </x:c>
      <x:c r="B2992" s="22" t="e">
        <x:f>HYPERLINK("https://cdn.shopify.com/s/files/1/0918/6066/4603/files/0d0a76d94167cc7d29d0e51d7d7b6254.jpg?v=1775203011","Open")</x:f>
        <x:v>HYPERLINK is not implemented. linkLocation=https://cdn.shopify.com/s/files/1/0918/6066/4603/files/0d0a76d94167cc7d29d0e51d7d7b6254.jpg?v=1775203011, friendlyName=Open</x:v>
      </x:c>
      <x:c r="C2992" s="24" t="e">
        <x:f>HYPERLINK("https://365nails.com/products/365nails-matte-silver-couture-3d-star-bunny-french-handmade-squoval-nails","Luxury Logo 365nails: ""Matte Silver Couture"" – 3D Star Bunny &amp; French Handmade Squoval Nails")</x:f>
        <x:v>HYPERLINK is not implemented. linkLocation=https://365nails.com/products/365nails-matte-silver-couture-3d-star-bunny-french-handmade-squoval-nails, friendlyName=Luxury Logo 365nails: "Matte Silver Couture" – 3D Star Bunny &amp; French Handmade Squoval Nails</x:v>
      </x:c>
      <x:c r="D2992" s="18" t="str">
        <x:v>Size: XS / S / M / L</x:v>
      </x:c>
      <x:c r="E2992" s="25" t="str">
        <x:v>$6.99</x:v>
      </x:c>
      <x:c r="F2992" s="19" t="str">
        <x:v>3</x:v>
      </x:c>
    </x:row>
    <x:row r="2993" ht="93" customHeight="1">
      <x:c r="A2993" s="19" t="n">
        <x:v>2990</x:v>
      </x:c>
      <x:c r="B2993" s="22" t="e">
        <x:f>HYPERLINK("https://cdn.shopify.com/s/files/1/0918/6066/4603/files/3a01e3d5923b70d1e0cf5bfaa7758fb9.jpg?v=1755242919","Open")</x:f>
        <x:v>HYPERLINK is not implemented. linkLocation=https://cdn.shopify.com/s/files/1/0918/6066/4603/files/3a01e3d5923b70d1e0cf5bfaa7758fb9.jpg?v=1755242919, friendlyName=Open</x:v>
      </x:c>
      <x:c r="C2993" s="24" t="e">
        <x:f>HYPERLINK("https://365nails.com/products/nail-tips-french-press-on-nails-special-for-oil-injection-false-nail-sheet-glossy-short-ladder-removable-prefabricated-nail-sheet-patch-nail-art","Nail Tips French press on nails  Special for Oil Injection False Nail Sheet Glossy Short Ladder Removable Prefabricated Nail Sheet Patch Nail Art (MOQ=3)")</x:f>
        <x:v>HYPERLINK is not implemented. linkLocation=https://365nails.com/products/nail-tips-french-press-on-nails-special-for-oil-injection-false-nail-sheet-glossy-short-ladder-removable-prefabricated-nail-sheet-patch-nail-art, friendlyName=Nail Tips French press on nails  Special for Oil Injection False Nail Sheet Glossy Short Ladder Removable Prefabricated Nail Sheet Patch Nail Art (MOQ=3)</x:v>
      </x:c>
      <x:c r="D2993" s="18" t="str">
        <x:v>Color: 401-3387 * 120 pieces/4 pieces / 401-C2 * 120 pieces/4 pieces; Quantity: 3pcs</x:v>
      </x:c>
      <x:c r="E2993" s="25" t="str">
        <x:v>$4.65</x:v>
      </x:c>
      <x:c r="F2993" s="19" t="str">
        <x:v>1</x:v>
      </x:c>
    </x:row>
    <x:row r="2994" ht="93" customHeight="1">
      <x:c r="A2994" s="19" t="n">
        <x:v>2991</x:v>
      </x:c>
      <x:c r="B2994" s="22" t="e">
        <x:f>HYPERLINK("https://cdn.shopify.com/s/files/1/0918/6066/4603/files/O1CN01VjbPep2ABd0Tztk64__2218458308165-0-cib.jpg?v=1776154736","Open")</x:f>
        <x:v>HYPERLINK is not implemented. linkLocation=https://cdn.shopify.com/s/files/1/0918/6066/4603/files/O1CN01VjbPep2ABd0Tztk64__2218458308165-0-cib.jpg?v=1776154736, friendlyName=Open</x:v>
      </x:c>
      <x:c r="C2994" s="24" t="e">
        <x:f>HYPERLINK("https://365nails.com/products/%E8%B7%A8%E5%A2%83%E7%83%AD%E9%94%80%E7%BE%8E%E5%9B%BD%E7%8B%AC%E7%AB%8B%E6%97%A5%E5%81%87%E6%8C%87%E7%94%B2%E7%BA%A2%E8%93%9D%E6%9D%A1%E7%BA%B9%E4%BA%94%E8%A7%92%E6%98%9F%E6%B3%A2%E7%82%B9%E7%83%9F%E8%8A%B1%E9%97%AA%E7%B2%89%E7%9F%AD%E6%AC%BE%E6%96%B9%E5%BD%A2%E7%94%B2","365nails: ""Liberty Glimmer""")</x:f>
        <x:v>HYPERLINK is not implemented. linkLocation=https://365nails.com/products/%E8%B7%A8%E5%A2%83%E7%83%AD%E9%94%80%E7%BE%8E%E5%9B%BD%E7%8B%AC%E7%AB%8B%E6%97%A5%E5%81%87%E6%8C%87%E7%94%B2%E7%BA%A2%E8%93%9D%E6%9D%A1%E7%BA%B9%E4%BA%94%E8%A7%92%E6%98%9F%E6%B3%A2%E7%82%B9%E7%83%9F%E8%8A%B1%E9%97%AA%E7%B2%89%E7%9F%AD%E6%AC%BE%E6%96%B9%E5%BD%A2%E7%94%B2, friendlyName=365nails: "Liberty Glimmer"</x:v>
      </x:c>
      <x:c r="D2994" s="18" t="str">
        <x:v>Color: Jml515 (without tools) / Jml515 (glue type) / Jml515 (jelly glue rubbing strip)</x:v>
      </x:c>
      <x:c r="E2994" s="25" t="str">
        <x:v>$0.99</x:v>
      </x:c>
      <x:c r="F2994" s="19" t="str">
        <x:v>3</x:v>
      </x:c>
    </x:row>
    <x:row r="2995" ht="93" customHeight="1">
      <x:c r="A2995" s="19" t="n">
        <x:v>2992</x:v>
      </x:c>
      <x:c r="B2995" s="22" t="e">
        <x:f>HYPERLINK("https://cdn.shopify.com/s/files/1/0918/6066/4603/files/O1CN01YwE4b423g7u6oM9HB__2215671307284-0-cib.jpg?v=1775632340","Open")</x:f>
        <x:v>HYPERLINK is not implemented. linkLocation=https://cdn.shopify.com/s/files/1/0918/6066/4603/files/O1CN01YwE4b423g7u6oM9HB__2215671307284-0-cib.jpg?v=1775632340, friendlyName=Open</x:v>
      </x:c>
      <x:c r="C2995" s="24" t="e">
        <x:f>HYPERLINK("https://365nails.com/products/365nails-independence-day-dynamic-swirl-press-on-nails","365nails: Independence Day Dynamic Swirl Press-On Nails")</x:f>
        <x:v>HYPERLINK is not implemented. linkLocation=https://365nails.com/products/365nails-independence-day-dynamic-swirl-press-on-nails, friendlyName=365nails: Independence Day Dynamic Swirl Press-On Nails</x:v>
      </x:c>
      <x:c r="D2995" s="18" t="str">
        <x:v>Color classification: W707[jelly glue + file]</x:v>
      </x:c>
      <x:c r="E2995" s="25" t="str">
        <x:v>$0.99</x:v>
      </x:c>
      <x:c r="F2995" s="19" t="str">
        <x:v>3</x:v>
      </x:c>
    </x:row>
    <x:row r="2996" ht="93" customHeight="1">
      <x:c r="A2996" s="19" t="n">
        <x:v>2993</x:v>
      </x:c>
      <x:c r="B2996" s="22" t="e">
        <x:f>HYPERLINK("https://cdn.shopify.com/s/files/1/0918/6066/4603/files/8a01e47df3b2da5f366955776b17f70a.jpg?v=1775202056","Open")</x:f>
        <x:v>HYPERLINK is not implemented. linkLocation=https://cdn.shopify.com/s/files/1/0918/6066/4603/files/8a01e47df3b2da5f366955776b17f70a.jpg?v=1775202056, friendlyName=Open</x:v>
      </x:c>
      <x:c r="C2996" s="24" t="e">
        <x:f>HYPERLINK("https://365nails.com/products/365nails-sky-blue-plaid-monogram-black-monogram-plaid-handmade-squoval-nails","Luxury Logo 365nails: ""Sky Blue Plaid Monogram"" – Black Monogram &amp; Plaid Handmade Squoval Nails")</x:f>
        <x:v>HYPERLINK is not implemented. linkLocation=https://365nails.com/products/365nails-sky-blue-plaid-monogram-black-monogram-plaid-handmade-squoval-nails, friendlyName=Luxury Logo 365nails: "Sky Blue Plaid Monogram" – Black Monogram &amp; Plaid Handmade Squoval Nails</x:v>
      </x:c>
      <x:c r="D2996" s="18" t="str">
        <x:v>Size: XS / S / M / L</x:v>
      </x:c>
      <x:c r="E2996" s="25" t="str">
        <x:v>$6.99</x:v>
      </x:c>
      <x:c r="F2996" s="19" t="str">
        <x:v>3</x:v>
      </x:c>
    </x:row>
    <x:row r="2997" ht="93" customHeight="1">
      <x:c r="A2997" s="19" t="n">
        <x:v>2994</x:v>
      </x:c>
      <x:c r="B2997" s="22" t="e">
        <x:f>HYPERLINK("https://cdn.shopify.com/s/files/1/0918/6066/4603/files/ef1c238e67aee06ee0abe57be01c281c.jpg?v=1775201917","Open")</x:f>
        <x:v>HYPERLINK is not implemented. linkLocation=https://cdn.shopify.com/s/files/1/0918/6066/4603/files/ef1c238e67aee06ee0abe57be01c281c.jpg?v=1775201917, friendlyName=Open</x:v>
      </x:c>
      <x:c r="C2997" s="24" t="e">
        <x:f>HYPERLINK("https://365nails.com/products/365nails-amber-celestial-3d-gold-star-orange-rhinestone-handmade-squoval-nails","Luxury Logo 365nails: ""Amber Celestial"" – 3D Gold Star &amp; Orange Rhinestone Handmade Squoval Nails")</x:f>
        <x:v>HYPERLINK is not implemented. linkLocation=https://365nails.com/products/365nails-amber-celestial-3d-gold-star-orange-rhinestone-handmade-squoval-nails, friendlyName=Luxury Logo 365nails: "Amber Celestial" – 3D Gold Star &amp; Orange Rhinestone Handmade Squoval Nails</x:v>
      </x:c>
      <x:c r="D2997" s="18" t="str">
        <x:v>Size: XS / S / M / L</x:v>
      </x:c>
      <x:c r="E2997" s="25" t="str">
        <x:v>$6.99</x:v>
      </x:c>
      <x:c r="F2997" s="19" t="str">
        <x:v>3</x:v>
      </x:c>
    </x:row>
    <x:row r="2998" ht="93" customHeight="1">
      <x:c r="A2998" s="19" t="n">
        <x:v>2995</x:v>
      </x:c>
      <x:c r="B2998" s="22" t="e">
        <x:f>HYPERLINK("https://cdn.shopify.com/s/files/1/0918/6066/4603/files/197ebc10fe99d9308e1f5cb9402710ee.jpg?v=1775201072","Open")</x:f>
        <x:v>HYPERLINK is not implemented. linkLocation=https://cdn.shopify.com/s/files/1/0918/6066/4603/files/197ebc10fe99d9308e1f5cb9402710ee.jpg?v=1775201072, friendlyName=Open</x:v>
      </x:c>
      <x:c r="C2998" s="24" t="e">
        <x:f>HYPERLINK("https://365nails.com/products/365nails-crimson-grunge-3d-silver-block-tortoiseshell-handmade-squoval-nails","Luxury Logo 365nails: ""Crimson Grunge"" – 3D Silver Block &amp; Tortoiseshell Handmade Squoval Nails")</x:f>
        <x:v>HYPERLINK is not implemented. linkLocation=https://365nails.com/products/365nails-crimson-grunge-3d-silver-block-tortoiseshell-handmade-squoval-nails, friendlyName=Luxury Logo 365nails: "Crimson Grunge" – 3D Silver Block &amp; Tortoiseshell Handmade Squoval Nails</x:v>
      </x:c>
      <x:c r="D2998" s="18" t="str">
        <x:v>Size: XS / S / M / L</x:v>
      </x:c>
      <x:c r="E2998" s="25" t="str">
        <x:v>$6.99</x:v>
      </x:c>
      <x:c r="F2998" s="19" t="str">
        <x:v>3</x:v>
      </x:c>
    </x:row>
    <x:row r="2999" ht="93" customHeight="1">
      <x:c r="A2999" s="19" t="n">
        <x:v>2996</x:v>
      </x:c>
      <x:c r="B2999" s="22" t="e">
        <x:f>HYPERLINK("https://cdn.shopify.com/s/files/1/0918/6066/4603/files/79a1efdbd9f67bc0f752b9603a53ea28.jpg?v=1775198382","Open")</x:f>
        <x:v>HYPERLINK is not implemented. linkLocation=https://cdn.shopify.com/s/files/1/0918/6066/4603/files/79a1efdbd9f67bc0f752b9603a53ea28.jpg?v=1775198382, friendlyName=Open</x:v>
      </x:c>
      <x:c r="C2999" s="24" t="e">
        <x:f>HYPERLINK("https://365nails.com/products/365nails-cozy-patchwork-denim-blue-caramel-gold-foil-handmade-oval-nails","365nails: ""Cozy Patchwork"" – Denim Blue Caramel &amp; Gold Foil Handmade Oval Nails")</x:f>
        <x:v>HYPERLINK is not implemented. linkLocation=https://365nails.com/products/365nails-cozy-patchwork-denim-blue-caramel-gold-foil-handmade-oval-nails, friendlyName=365nails: "Cozy Patchwork" – Denim Blue Caramel &amp; Gold Foil Handmade Oval Nails</x:v>
      </x:c>
      <x:c r="D2999" s="18" t="str">
        <x:v>Size: XS / S / M / L</x:v>
      </x:c>
      <x:c r="E2999" s="25" t="str">
        <x:v>$3.99</x:v>
      </x:c>
      <x:c r="F2999" s="19" t="str">
        <x:v>3</x:v>
      </x:c>
    </x:row>
    <x:row r="3000" ht="93" customHeight="1">
      <x:c r="A3000" s="19" t="n">
        <x:v>2997</x:v>
      </x:c>
      <x:c r="B3000" s="22" t="e">
        <x:f>HYPERLINK("https://cdn.shopify.com/s/files/1/0918/6066/4603/files/06a78e111acf12758922cd66666d7dea.jpg?v=1775201991","Open")</x:f>
        <x:v>HYPERLINK is not implemented. linkLocation=https://cdn.shopify.com/s/files/1/0918/6066/4603/files/06a78e111acf12758922cd66666d7dea.jpg?v=1775201991, friendlyName=Open</x:v>
      </x:c>
      <x:c r="C3000" s="24" t="e">
        <x:f>HYPERLINK("https://365nails.com/products/365nails-matte-vintage-rose-black-floral-3d-silver-chain-handmade-squoval-nails","Luxury Logo 365nails: ""Matte Vintage Rose"" – Black Floral &amp; 3D Silver Chain Handmade Squoval Nails")</x:f>
        <x:v>HYPERLINK is not implemented. linkLocation=https://365nails.com/products/365nails-matte-vintage-rose-black-floral-3d-silver-chain-handmade-squoval-nails, friendlyName=Luxury Logo 365nails: "Matte Vintage Rose" – Black Floral &amp; 3D Silver Chain Handmade Squoval Nails</x:v>
      </x:c>
      <x:c r="D3000" s="18" t="str">
        <x:v>Size: XS / S / M / L</x:v>
      </x:c>
      <x:c r="E3000" s="25" t="str">
        <x:v>$6.99</x:v>
      </x:c>
      <x:c r="F3000" s="19" t="str">
        <x:v>3</x:v>
      </x:c>
    </x:row>
    <x:row r="3001" ht="93" customHeight="1">
      <x:c r="A3001" s="19" t="n">
        <x:v>2998</x:v>
      </x:c>
      <x:c r="B3001" s="22" t="e">
        <x:f>HYPERLINK("https://cdn.shopify.com/s/files/1/0918/6066/4603/files/5117bc6ae11099c9039610f841f45f4c.jpg?v=1775199498","Open")</x:f>
        <x:v>HYPERLINK is not implemented. linkLocation=https://cdn.shopify.com/s/files/1/0918/6066/4603/files/5117bc6ae11099c9039610f841f45f4c.jpg?v=1775199498, friendlyName=Open</x:v>
      </x:c>
      <x:c r="C3001" s="24" t="e">
        <x:f>HYPERLINK("https://365nails.com/products/365nails-harajuku-bunny-holographic-cartoon-neon-dots-handmade-oval-nails","Luxury Logo 365nails: ""Harajuku Bunny"" – Holographic Cartoon &amp; Neon Dots Handmade Oval Nails")</x:f>
        <x:v>HYPERLINK is not implemented. linkLocation=https://365nails.com/products/365nails-harajuku-bunny-holographic-cartoon-neon-dots-handmade-oval-nails, friendlyName=Luxury Logo 365nails: "Harajuku Bunny" – Holographic Cartoon &amp; Neon Dots Handmade Oval Nails</x:v>
      </x:c>
      <x:c r="D3001" s="18" t="str">
        <x:v>Size: XS / S / M / L</x:v>
      </x:c>
      <x:c r="E3001" s="25" t="str">
        <x:v>$6.99</x:v>
      </x:c>
      <x:c r="F3001" s="19" t="str">
        <x:v>3</x:v>
      </x:c>
    </x:row>
    <x:row r="3002" ht="93" customHeight="1">
      <x:c r="A3002" s="19" t="n">
        <x:v>2999</x:v>
      </x:c>
      <x:c r="B3002" s="22" t="e">
        <x:f>HYPERLINK("https://cdn.shopify.com/s/files/1/0918/6066/4603/files/O1CN01rnbjxr247bkRQyTsh__2209064737344-0-cib.jpg?v=1755262751","Open")</x:f>
        <x:v>HYPERLINK is not implemented. linkLocation=https://cdn.shopify.com/s/files/1/0918/6066/4603/files/O1CN01rnbjxr247bkRQyTsh__2209064737344-0-cib.jpg?v=1755262751, friendlyName=Open</x:v>
      </x:c>
      <x:c r="C3002" s="24" t="e">
        <x:f>HYPERLINK("https://365nails.com/products/nail-tips-french-press-on-nails-popular-in-europe-and-the-united-states-five-color-seamless-150-pieces-boxed-removable-nail-prefabricated-patch-nail-art-piece","French Press-On Nails, Five-Color Seamless Removable Nail Art Tips, 150 Pieces Boxed (MOQ=3)")</x:f>
        <x:v>HYPERLINK is not implemented. linkLocation=https://365nails.com/products/nail-tips-french-press-on-nails-popular-in-europe-and-the-united-states-five-color-seamless-150-pieces-boxed-removable-nail-prefabricated-patch-nail-art-piece, friendlyName=French Press-On Nails, Five-Color Seamless Removable Nail Art Tips, 150 Pieces Boxed (MOQ=3)</x:v>
      </x:c>
      <x:c r="D3002" s="18" t="str">
        <x:v>Color: YS-411-442 Purple bag * 150 pieces / YS-411-442 Purple box * 150 pieces / YS-512-442 Purple bag * 150 pieces / YS-512-442 Purple box * 150 pieces / YS-515-442 Purple bag * 160 pieces / YS-516-442 Purple bag * 160 pieces; Quantity: 3pcs</x:v>
      </x:c>
      <x:c r="E3002" s="25" t="str">
        <x:v>$6.78–$7.62</x:v>
      </x:c>
      <x:c r="F3002" s="19" t="str">
        <x:v>1</x:v>
      </x:c>
    </x:row>
    <x:row r="3003" ht="93" customHeight="1">
      <x:c r="A3003" s="19" t="n">
        <x:v>3000</x:v>
      </x:c>
      <x:c r="B3003" s="22" t="e">
        <x:f>HYPERLINK("https://cdn.shopify.com/s/files/1/0918/6066/4603/files/710e853cde57ec0505de9241d2eeceed.jpg?v=1755248931","Open")</x:f>
        <x:v>HYPERLINK is not implemented. linkLocation=https://cdn.shopify.com/s/files/1/0918/6066/4603/files/710e853cde57ec0505de9241d2eeceed.jpg?v=1755248931, friendlyName=Open</x:v>
      </x:c>
      <x:c r="C3003" s="24" t="e">
        <x:f>HYPERLINK("https://365nails.com/products/nail-tips-new-nail-mold-3d-three-dimensional-120-pieces-boxed-nail-art-extension-paper-free-fast-transparent-crystal-nail-film-wholesale","Nail Tips New nail mold 3D three-dimensional 120 pieces boxed nail art extension paper-free fast transparent crystal nail film wholesale (MOQ=3)")</x:f>
        <x:v>HYPERLINK is not implemented. linkLocation=https://365nails.com/products/nail-tips-new-nail-mold-3d-three-dimensional-120-pieces-boxed-nail-art-extension-paper-free-fast-transparent-crystal-nail-film-wholesale, friendlyName=Nail Tips New nail mold 3D three-dimensional 120 pieces boxed nail art extension paper-free fast transparent crystal nail film wholesale (MOQ=3)</x:v>
      </x:c>
      <x:c r="D3003" s="18" t="str">
        <x:v>Color: 31-A mold / 32-A mold / 33-A mold / 34-A mold; Quantity: 3pcs</x:v>
      </x:c>
      <x:c r="E3003" s="25" t="str">
        <x:v>$2.04</x:v>
      </x:c>
      <x:c r="F3003" s="19" t="str">
        <x:v>1</x:v>
      </x:c>
    </x:row>
    <x:row r="3004" ht="93" customHeight="1">
      <x:c r="A3004" s="19" t="n">
        <x:v>3001</x:v>
      </x:c>
      <x:c r="B3004" s="22" t="e">
        <x:f>HYPERLINK("https://cdn.shopify.com/s/files/1/0918/6066/4603/files/48e80d33a735b4fbf42907f100d98827_54b4274a-8f79-48a4-a89a-20c610b3740c.jpg?v=1755246775","Open")</x:f>
        <x:v>HYPERLINK is not implemented. linkLocation=https://cdn.shopify.com/s/files/1/0918/6066/4603/files/48e80d33a735b4fbf42907f100d98827_54b4274a-8f79-48a4-a89a-20c610b3740c.jpg?v=1755246775, friendlyName=Open</x:v>
      </x:c>
      <x:c r="C3004" s="24" t="e">
        <x:f>HYPERLINK("https://365nails.com/products/nail-tips-new-press-on-nails-advanced-sense-crescent-cat-eye-prefabricated-short-ladder-nail-30-pieces-removable-nail-art-false-nail-pieces","New press on nails Advanced Sense Crescent Cat Eye Prefabricated Short Ladder Nail 30 pieces Removable Nail Art False Nail Pieces (MOQ=5)")</x:f>
        <x:v>HYPERLINK is not implemented. linkLocation=https://365nails.com/products/nail-tips-new-press-on-nails-advanced-sense-crescent-cat-eye-prefabricated-short-ladder-nail-30-pieces-removable-nail-art-false-nail-pieces, friendlyName=New press on nails Advanced Sense Crescent Cat Eye Prefabricated Short Ladder Nail 30 pieces Removable Nail Art False Nail Pieces (MOQ=5)</x:v>
      </x:c>
      <x:c r="D3004" s="18" t="str">
        <x:v>Color: 192-01 / 192-02 / 192-03 / 192-04 / 192-05 / 192-06 / 192-07 / 192-08 / 192-09 / 192-10 / 192-11 / 192-12 / 193-01 / 193-02 / 193-03 / 193-04 / 193-05 / 193-06 / 193-07 / 193-08 / 193-09 / 193-10; Quantity: 5pcs</x:v>
      </x:c>
      <x:c r="E3004" s="25" t="str">
        <x:v>$1.65</x:v>
      </x:c>
      <x:c r="F3004" s="19" t="str">
        <x:v>1</x:v>
      </x:c>
    </x:row>
    <x:row r="3005" ht="93" customHeight="1">
      <x:c r="A3005" s="19" t="n">
        <x:v>3002</x:v>
      </x:c>
      <x:c r="B3005" s="22" t="e">
        <x:f>HYPERLINK("https://cdn.shopify.com/s/files/1/0918/6066/4603/files/9dca86f03cf27c36d7bd53091f862b77.jpg?v=1775195910","Open")</x:f>
        <x:v>HYPERLINK is not implemented. linkLocation=https://cdn.shopify.com/s/files/1/0918/6066/4603/files/9dca86f03cf27c36d7bd53091f862b77.jpg?v=1775195910, friendlyName=Open</x:v>
      </x:c>
      <x:c r="C3005" s="24" t="e">
        <x:f>HYPERLINK("https://365nails.com/products/365nails-galactic-dream-blue-cat-eye-starry-night-handmade-short-oval-nails","365nails: ""Galactic Dream"" – Blue Cat-Eye &amp; Starry Night Handmade Short Oval Nails")</x:f>
        <x:v>HYPERLINK is not implemented. linkLocation=https://365nails.com/products/365nails-galactic-dream-blue-cat-eye-starry-night-handmade-short-oval-nails, friendlyName=365nails: "Galactic Dream" – Blue Cat-Eye &amp; Starry Night Handmade Short Oval Nails</x:v>
      </x:c>
      <x:c r="D3005" s="18" t="str">
        <x:v>Size: XS / S / M / L</x:v>
      </x:c>
      <x:c r="E3005" s="25" t="str">
        <x:v>$3.99</x:v>
      </x:c>
      <x:c r="F3005" s="19" t="str">
        <x:v>3</x:v>
      </x:c>
    </x:row>
    <x:row r="3006" ht="93" customHeight="1">
      <x:c r="A3006" s="19" t="n">
        <x:v>3003</x:v>
      </x:c>
      <x:c r="B3006" s="22" t="e">
        <x:f>HYPERLINK("https://cdn.shopify.com/s/files/1/0918/6066/4603/files/O1CN01vKc6Tw2ABd0Z2b5JQ__2218458308165-0-cib.jpg?v=1776156936","Open")</x:f>
        <x:v>HYPERLINK is not implemented. linkLocation=https://cdn.shopify.com/s/files/1/0918/6066/4603/files/O1CN01vKc6Tw2ABd0Z2b5JQ__2218458308165-0-cib.jpg?v=1776156936, friendlyName=Open</x:v>
      </x:c>
      <x:c r="C3006" s="24" t="e">
        <x:f>HYPERLINK("https://365nails.com/products/%E8%B7%A8%E5%A2%83%E7%83%AD%E9%94%80%E4%B8%AD%E6%96%B9%E7%94%B2%E7%BA%A2%E8%93%9D%E9%97%AA%E7%B2%89%E4%BA%94%E8%A7%92%E6%98%9F%E5%81%87%E6%8C%87%E7%94%B2%E6%AC%A7%E7%BE%8E%E7%A9%BF%E6%88%B4%E7%94%B224%E7%89%87%E5%8F%AF%E6%8B%86%E5%8D%B8%E7%BE%8E%E7%94%B2%E7%89%87","365nails: ""Liberty Cherry French"" – Hand-painted Plaid &amp; Red Cherry Oval Nails")</x:f>
        <x:v>HYPERLINK is not implemented. linkLocation=https://365nails.com/products/%E8%B7%A8%E5%A2%83%E7%83%AD%E9%94%80%E4%B8%AD%E6%96%B9%E7%94%B2%E7%BA%A2%E8%93%9D%E9%97%AA%E7%B2%89%E4%BA%94%E8%A7%92%E6%98%9F%E5%81%87%E6%8C%87%E7%94%B2%E6%AC%A7%E7%BE%8E%E7%A9%BF%E6%88%B4%E7%94%B224%E7%89%87%E5%8F%AF%E6%8B%86%E5%8D%B8%E7%BE%8E%E7%94%B2%E7%89%87, friendlyName=365nails: "Liberty Cherry French" – Hand-painted Plaid &amp; Red Cherry Oval Nails</x:v>
      </x:c>
      <x:c r="D3006" s="18" t="str">
        <x:v>Color: Jml524 (without tools) / Jml524 (glue type) / Jml524 (jelly glue rubbing strip)</x:v>
      </x:c>
      <x:c r="E3006" s="25" t="str">
        <x:v>$0.99</x:v>
      </x:c>
      <x:c r="F3006" s="19" t="str">
        <x:v>3</x:v>
      </x:c>
    </x:row>
    <x:row r="3007" ht="93" customHeight="1">
      <x:c r="A3007" s="19" t="n">
        <x:v>3004</x:v>
      </x:c>
      <x:c r="B3007" s="22" t="e">
        <x:f>HYPERLINK("https://cdn.shopify.com/s/files/1/0918/6066/4603/files/7275afc126e0d068a99f07e1f7c83b0a.jpg?v=1773306769","Open")</x:f>
        <x:v>HYPERLINK is not implemented. linkLocation=https://cdn.shopify.com/s/files/1/0918/6066/4603/files/7275afc126e0d068a99f07e1f7c83b0a.jpg?v=1773306769, friendlyName=Open</x:v>
      </x:c>
      <x:c r="C3007" s="24" t="e">
        <x:f>HYPERLINK("https://365nails.com/products/365nails-retro-burgundy-dots-handmade-press-on-toenails-pedicure","365nails: ""retro burgundy dots"" – handmade press-on toenails / pedicure")</x:f>
        <x:v>HYPERLINK is not implemented. linkLocation=https://365nails.com/products/365nails-retro-burgundy-dots-handmade-press-on-toenails-pedicure, friendlyName=365nails: "retro burgundy dots" – handmade press-on toenails / pedicure</x:v>
      </x:c>
      <x:c r="D3007" s="18" t="str">
        <x:v>Size: XS / S / M / L</x:v>
      </x:c>
      <x:c r="E3007" s="25" t="str">
        <x:v>$2.99</x:v>
      </x:c>
      <x:c r="F3007" s="19" t="str">
        <x:v>3</x:v>
      </x:c>
    </x:row>
    <x:row r="3008" ht="93" customHeight="1">
      <x:c r="A3008" s="19" t="n">
        <x:v>3005</x:v>
      </x:c>
      <x:c r="B3008" s="22" t="e">
        <x:f>HYPERLINK("https://cdn.shopify.com/s/files/1/0918/6066/4603/files/05359355151dc3c03def618cbdfb909a.jpg?v=1775203239","Open")</x:f>
        <x:v>HYPERLINK is not implemented. linkLocation=https://cdn.shopify.com/s/files/1/0918/6066/4603/files/05359355151dc3c03def618cbdfb909a.jpg?v=1775203239, friendlyName=Open</x:v>
      </x:c>
      <x:c r="C3008" s="24" t="e">
        <x:f>HYPERLINK("https://365nails.com/products/365nails-vintage-striped-bee-luxury-stripe-3d-gold-insect-handmade-oval-nails","Luxury Logo 365nails: ""Vintage Striped Bee"" – Luxury Stripe &amp; 3D Gold Insect Handmade Oval Nails")</x:f>
        <x:v>HYPERLINK is not implemented. linkLocation=https://365nails.com/products/365nails-vintage-striped-bee-luxury-stripe-3d-gold-insect-handmade-oval-nails, friendlyName=Luxury Logo 365nails: "Vintage Striped Bee" – Luxury Stripe &amp; 3D Gold Insect Handmade Oval Nails</x:v>
      </x:c>
      <x:c r="D3008" s="18" t="str">
        <x:v>Size: XS / S / M / L</x:v>
      </x:c>
      <x:c r="E3008" s="25" t="str">
        <x:v>$6.99</x:v>
      </x:c>
      <x:c r="F3008" s="19" t="str">
        <x:v>3</x:v>
      </x:c>
    </x:row>
    <x:row r="3009" ht="93" customHeight="1">
      <x:c r="A3009" s="19" t="n">
        <x:v>3006</x:v>
      </x:c>
      <x:c r="B3009" s="22" t="e">
        <x:f>HYPERLINK("https://cdn.shopify.com/s/files/1/0918/6066/4603/files/dab535728648639c06f9999307a0dc51.jpg?v=1775198137","Open")</x:f>
        <x:v>HYPERLINK is not implemented. linkLocation=https://cdn.shopify.com/s/files/1/0918/6066/4603/files/dab535728648639c06f9999307a0dc51.jpg?v=1775198137, friendlyName=Open</x:v>
      </x:c>
      <x:c r="C3009" s="24" t="e">
        <x:f>HYPERLINK("https://365nails.com/products/365nails-vampire-knight-3d-silver-chrome-blood-drop-handmade-squoval-nails","365nails: ""Vampire Knight"" – 3D Silver Chrome &amp; Blood Drop Handmade Squoval Nails")</x:f>
        <x:v>HYPERLINK is not implemented. linkLocation=https://365nails.com/products/365nails-vampire-knight-3d-silver-chrome-blood-drop-handmade-squoval-nails, friendlyName=365nails: "Vampire Knight" – 3D Silver Chrome &amp; Blood Drop Handmade Squoval Nails</x:v>
      </x:c>
      <x:c r="D3009" s="18" t="str">
        <x:v>Size: XS / S / M / L</x:v>
      </x:c>
      <x:c r="E3009" s="25" t="str">
        <x:v>$3.99</x:v>
      </x:c>
      <x:c r="F3009" s="19" t="str">
        <x:v>3</x:v>
      </x:c>
    </x:row>
    <x:row r="3010" ht="93" customHeight="1">
      <x:c r="A3010" s="19" t="n">
        <x:v>3007</x:v>
      </x:c>
      <x:c r="B3010" s="22" t="e">
        <x:f>HYPERLINK("https://cdn.shopify.com/s/files/1/0918/6066/4603/files/bbe88f0822454006464d01d3b85003a9.jpg?v=1773305785","Open")</x:f>
        <x:v>HYPERLINK is not implemented. linkLocation=https://cdn.shopify.com/s/files/1/0918/6066/4603/files/bbe88f0822454006464d01d3b85003a9.jpg?v=1773305785, friendlyName=Open</x:v>
      </x:c>
      <x:c r="C3010" s="24" t="e">
        <x:f>HYPERLINK("https://365nails.com/products/365nails-crystal-kaleidoscope-handmade-press-on-pedicure","365nails: ""crystal kaleidoscope"" – handmade press-on pedicure")</x:f>
        <x:v>HYPERLINK is not implemented. linkLocation=https://365nails.com/products/365nails-crystal-kaleidoscope-handmade-press-on-pedicure, friendlyName=365nails: "crystal kaleidoscope" – handmade press-on pedicure</x:v>
      </x:c>
      <x:c r="D3010" s="18" t="str">
        <x:v>Size: XS / S / M / L</x:v>
      </x:c>
      <x:c r="E3010" s="25" t="str">
        <x:v>$4.99</x:v>
      </x:c>
      <x:c r="F3010" s="19" t="str">
        <x:v>3</x:v>
      </x:c>
    </x:row>
    <x:row r="3011" ht="93" customHeight="1">
      <x:c r="A3011" s="19" t="n">
        <x:v>3008</x:v>
      </x:c>
      <x:c r="B3011" s="22" t="e">
        <x:f>HYPERLINK("https://cdn.shopify.com/s/files/1/0918/6066/4603/files/25a311e1f0f7b59e019c7c3ed2889df9.jpg?v=1775202675","Open")</x:f>
        <x:v>HYPERLINK is not implemented. linkLocation=https://cdn.shopify.com/s/files/1/0918/6066/4603/files/25a311e1f0f7b59e019c7c3ed2889df9.jpg?v=1775202675, friendlyName=Open</x:v>
      </x:c>
      <x:c r="C3011" s="24" t="e">
        <x:f>HYPERLINK("https://365nails.com/products/365nails-pink-coquette-luxury-3d-bunny-pearl-chain-handmade-oval-nails","Luxury Logo 365nails: ""Pink Coquette Luxury"" – 3D Bunny &amp; Pearl Chain Handmade Oval Nails")</x:f>
        <x:v>HYPERLINK is not implemented. linkLocation=https://365nails.com/products/365nails-pink-coquette-luxury-3d-bunny-pearl-chain-handmade-oval-nails, friendlyName=Luxury Logo 365nails: "Pink Coquette Luxury" – 3D Bunny &amp; Pearl Chain Handmade Oval Nails</x:v>
      </x:c>
      <x:c r="D3011" s="18" t="str">
        <x:v>Size: XS / S / M / L</x:v>
      </x:c>
      <x:c r="E3011" s="25" t="str">
        <x:v>$6.99</x:v>
      </x:c>
      <x:c r="F3011" s="19" t="str">
        <x:v>3</x:v>
      </x:c>
    </x:row>
    <x:row r="3012" ht="93" customHeight="1">
      <x:c r="A3012" s="19" t="n">
        <x:v>3009</x:v>
      </x:c>
      <x:c r="B3012" s="22" t="e">
        <x:f>HYPERLINK("https://cdn.shopify.com/s/files/1/0918/6066/4603/files/826b38173a59fb75fe9d9bfadc2c5d34_e39911bf-d356-4bba-97b5-747b87a904dc.jpg?v=1773306725","Open")</x:f>
        <x:v>HYPERLINK is not implemented. linkLocation=https://cdn.shopify.com/s/files/1/0918/6066/4603/files/826b38173a59fb75fe9d9bfadc2c5d34_e39911bf-d356-4bba-97b5-747b87a904dc.jpg?v=1773306725, friendlyName=Open</x:v>
      </x:c>
      <x:c r="C3012" s="24" t="e">
        <x:f>HYPERLINK("https://365nails.com/products/365nails-nude-pearl-floral-handmade-press-on-pedicure","365nails: ""nude pearl floral"" – handmade press-on pedicure")</x:f>
        <x:v>HYPERLINK is not implemented. linkLocation=https://365nails.com/products/365nails-nude-pearl-floral-handmade-press-on-pedicure, friendlyName=365nails: "nude pearl floral" – handmade press-on pedicure</x:v>
      </x:c>
      <x:c r="D3012" s="18" t="str">
        <x:v>Size: XS / S / M / L</x:v>
      </x:c>
      <x:c r="E3012" s="25" t="str">
        <x:v>$3.99</x:v>
      </x:c>
      <x:c r="F3012" s="19" t="str">
        <x:v>3</x:v>
      </x:c>
    </x:row>
    <x:row r="3013" ht="93" customHeight="1">
      <x:c r="A3013" s="19" t="n">
        <x:v>3010</x:v>
      </x:c>
      <x:c r="B3013" s="22" t="e">
        <x:f>HYPERLINK("https://cdn.shopify.com/s/files/1/0918/6066/4603/files/O1CN01qElRvw23g7tnG71mX__2215671307284-0-cib.jpg?v=1775632442","Open")</x:f>
        <x:v>HYPERLINK is not implemented. linkLocation=https://cdn.shopify.com/s/files/1/0918/6066/4603/files/O1CN01qElRvw23g7tnG71mX__2215671307284-0-cib.jpg?v=1775632442, friendlyName=Open</x:v>
      </x:c>
      <x:c r="C3013" s="24" t="e">
        <x:f>HYPERLINK("https://365nails.com/products/365nails-independence-day-playful-star-dot-stripe-press-on-nails","365nails: Independence Day Playful Star Dot Stripe Press-On Nails")</x:f>
        <x:v>HYPERLINK is not implemented. linkLocation=https://365nails.com/products/365nails-independence-day-playful-star-dot-stripe-press-on-nails, friendlyName=365nails: Independence Day Playful Star Dot Stripe Press-On Nails</x:v>
      </x:c>
      <x:c r="D3013" s="18" t="str">
        <x:v>Color classification: W708[jelly glue + file]</x:v>
      </x:c>
      <x:c r="E3013" s="25" t="str">
        <x:v>$0.99</x:v>
      </x:c>
      <x:c r="F3013" s="19" t="str">
        <x:v>3</x:v>
      </x:c>
    </x:row>
    <x:row r="3014" ht="93" customHeight="1">
      <x:c r="A3014" s="19" t="n">
        <x:v>3011</x:v>
      </x:c>
      <x:c r="B3014" s="22" t="e">
        <x:f>HYPERLINK("https://cdn.shopify.com/s/files/1/0918/6066/4603/files/O1CN01PNJwBN2G1uIMm9AXO__3317688956-0-cib.jpg?v=1775633080","Open")</x:f>
        <x:v>HYPERLINK is not implemented. linkLocation=https://cdn.shopify.com/s/files/1/0918/6066/4603/files/O1CN01PNJwBN2G1uIMm9AXO__3317688956-0-cib.jpg?v=1775633080, friendlyName=Open</x:v>
      </x:c>
      <x:c r="C3014" s="24" t="e">
        <x:f>HYPERLINK("https://365nails.com/products/365nails-independence-day-star-stripes-french-press-on-nails","365nails: Independence Day Star-Stripes French Press-On Nails")</x:f>
        <x:v>HYPERLINK is not implemented. linkLocation=https://365nails.com/products/365nails-independence-day-star-stripes-french-press-on-nails, friendlyName=365nails: Independence Day Star-Stripes French Press-On Nails</x:v>
      </x:c>
      <x:c r="D3014" s="18" t="str">
        <x:v>Color: Dy2404-b7 shining star flag [jelly glue style]</x:v>
      </x:c>
      <x:c r="E3014" s="25" t="str">
        <x:v>$0.99</x:v>
      </x:c>
      <x:c r="F3014" s="19" t="str">
        <x:v>3</x:v>
      </x:c>
    </x:row>
    <x:row r="3015" ht="93" customHeight="1">
      <x:c r="A3015" s="19" t="n">
        <x:v>3012</x:v>
      </x:c>
      <x:c r="B3015" s="22" t="e">
        <x:f>HYPERLINK("https://cdn.shopify.com/s/files/1/0918/6066/4603/files/34bbe5c7de8f166c5b7135cbf4208cb1.jpg?v=1780381517","Open")</x:f>
        <x:v>HYPERLINK is not implemented. linkLocation=https://cdn.shopify.com/s/files/1/0918/6066/4603/files/34bbe5c7de8f166c5b7135cbf4208cb1.jpg?v=1780381517, friendlyName=Open</x:v>
      </x:c>
      <x:c r="C3015" s="24" t="e">
        <x:f>HYPERLINK("https://365nails.com/products/smart-digital-single-finger-uv-led-nail-lamp-fast-curing-portable-tool","""Smart Digital Single Finger UV/LED Nail Lamp"" - Fast Curing Portable Tool")</x:f>
        <x:v>HYPERLINK is not implemented. linkLocation=https://365nails.com/products/smart-digital-single-finger-uv-led-nail-lamp-fast-curing-portable-tool, friendlyName="Smart Digital Single Finger UV/LED Nail Lamp" - Fast Curing Portable Tool</x:v>
      </x:c>
      <x:c r="D3015" s="18" t="str">
        <x:v>Color: Ivory white upright [cross-border english version] / Dreamy pink upright display [cross-border english version] / Lost purple upright model [cross-border english version]</x:v>
      </x:c>
      <x:c r="E3015" s="25" t="str">
        <x:v>$2.49</x:v>
      </x:c>
      <x:c r="F3015" s="19" t="str">
        <x:v>1</x:v>
      </x:c>
    </x:row>
    <x:row r="3016" ht="93" customHeight="1">
      <x:c r="A3016" s="19" t="n">
        <x:v>3013</x:v>
      </x:c>
      <x:c r="B3016" s="22" t="e">
        <x:f>HYPERLINK("https://cdn.shopify.com/s/files/1/0918/6066/4603/files/O1CN01jySPaj23g7zYcRYMW__2215671307284-0-cib.jpg?v=1775631274","Open")</x:f>
        <x:v>HYPERLINK is not implemented. linkLocation=https://cdn.shopify.com/s/files/1/0918/6066/4603/files/O1CN01jySPaj23g7zYcRYMW__2215671307284-0-cib.jpg?v=1775631274, friendlyName=Open</x:v>
      </x:c>
      <x:c r="C3016" s="24" t="e">
        <x:f>HYPERLINK("https://365nails.com/products/365nails-independence-day-starry-french-tip-press-on-nails","365nails: Independence Day Starry French Tip Press-On Nails")</x:f>
        <x:v>HYPERLINK is not implemented. linkLocation=https://365nails.com/products/365nails-independence-day-starry-french-tip-press-on-nails, friendlyName=365nails: Independence Day Starry French Tip Press-On Nails</x:v>
      </x:c>
      <x:c r="D3016" s="18" t="str">
        <x:v>Color classification: W732[jelly glue + strips]</x:v>
      </x:c>
      <x:c r="E3016" s="25" t="str">
        <x:v>$0.99</x:v>
      </x:c>
      <x:c r="F3016" s="19" t="str">
        <x:v>3</x:v>
      </x:c>
    </x:row>
    <x:row r="3017" ht="93" customHeight="1">
      <x:c r="A3017" s="19" t="n">
        <x:v>3014</x:v>
      </x:c>
      <x:c r="B3017" s="22" t="e">
        <x:f>HYPERLINK("https://cdn.shopify.com/s/files/1/0918/6066/4603/files/O1CN01cfxfFm2MQzaDlSDWW__2219089449823-0-cib.jpg?v=1774065362","Open")</x:f>
        <x:v>HYPERLINK is not implemented. linkLocation=https://cdn.shopify.com/s/files/1/0918/6066/4603/files/O1CN01cfxfFm2MQzaDlSDWW__2219089449823-0-cib.jpg?v=1774065362, friendlyName=Open</x:v>
      </x:c>
      <x:c r="C3017" s="24" t="e">
        <x:f>HYPERLINK("https://365nails.com/products/ethereal-sheer-butterfly-carved-long-stiletto-french-ombre-handmade-nails","365nails-Ethereal Sheer: ""Butterfly Carved"" – Long Stiletto French Ombre Handmade Nails")</x:f>
        <x:v>HYPERLINK is not implemented. linkLocation=https://365nails.com/products/ethereal-sheer-butterfly-carved-long-stiletto-french-ombre-handmade-nails, friendlyName=365nails-Ethereal Sheer: "Butterfly Carved" – Long Stiletto French Ombre Handmade Nails</x:v>
      </x:c>
      <x:c r="D3017" s="18" t="str">
        <x:v>Color: C68 moonlight silver butterfly; Color classification: X s / S / M / L</x:v>
      </x:c>
      <x:c r="E3017" s="25" t="str">
        <x:v>$3.99</x:v>
      </x:c>
      <x:c r="F3017" s="19" t="str">
        <x:v>5</x:v>
      </x:c>
    </x:row>
    <x:row r="3018" ht="93" customHeight="1">
      <x:c r="A3018" s="19" t="n">
        <x:v>3015</x:v>
      </x:c>
      <x:c r="B3018" s="22" t="e">
        <x:f>HYPERLINK("https://cdn.shopify.com/s/files/1/0918/6066/4603/files/9dc1ac9163df75acdda33874d9d29415.jpg?v=1755248176","Open")</x:f>
        <x:v>HYPERLINK is not implemented. linkLocation=https://cdn.shopify.com/s/files/1/0918/6066/4603/files/9dc1ac9163df75acdda33874d9d29415.jpg?v=1755248176, friendlyName=Open</x:v>
      </x:c>
      <x:c r="C3018" s="24" t="e">
        <x:f>HYPERLINK("https://365nails.com/products/nail-tips-press-on-nails-plate-semi-matte-transparent-square-semi-sticker-light-sticker-nail-art-100-pieces-without-traces-boxed-extended-false-nails","Nail Tips Semi-Matte Transparent Square Press-On Nail Plates, Seamless Light Semi-Stickers, Extended False Nails, 100 Pieces Boxed (MOQ=3)")</x:f>
        <x:v>HYPERLINK is not implemented. linkLocation=https://365nails.com/products/nail-tips-press-on-nails-plate-semi-matte-transparent-square-semi-sticker-light-sticker-nail-art-100-pieces-without-traces-boxed-extended-false-nails, friendlyName=Nail Tips Semi-Matte Transparent Square Press-On Nail Plates, Seamless Light Semi-Stickers, Extended False Nails, 100 Pieces Boxed (MOQ=3)</x:v>
      </x:c>
      <x:c r="D3018" s="18" t="str">
        <x:v>Color: YS-38 seamless half sand * 100 pieces boxed; Quantity: 3pcs</x:v>
      </x:c>
      <x:c r="E3018" s="25" t="str">
        <x:v>$1.92</x:v>
      </x:c>
      <x:c r="F3018" s="19" t="str">
        <x:v>1</x:v>
      </x:c>
    </x:row>
    <x:row r="3019" ht="93" customHeight="1">
      <x:c r="A3019" s="19" t="n">
        <x:v>3016</x:v>
      </x:c>
      <x:c r="B3019" s="22" t="e">
        <x:f>HYPERLINK("https://cdn.shopify.com/s/files/1/0918/6066/4603/files/aff03abe4b2d5bf33a6d70056a1e28e9.jpg?v=1779095299","Open")</x:f>
        <x:v>HYPERLINK is not implemented. linkLocation=https://cdn.shopify.com/s/files/1/0918/6066/4603/files/aff03abe4b2d5bf33a6d70056a1e28e9.jpg?v=1779095299, friendlyName=Open</x:v>
      </x:c>
      <x:c r="C3019" s="24" t="e">
        <x:f>HYPERLINK("https://365nails.com/products/elegant-almond-glitter-handmade-nails-6-colors-available","""Elegant Almond"" - Glitter Handmade Nails (6 Colors Available)")</x:f>
        <x:v>HYPERLINK is not implemented. linkLocation=https://365nails.com/products/elegant-almond-glitter-handmade-nails-6-colors-available, friendlyName="Elegant Almond" - Glitter Handmade Nails (6 Colors Available)</x:v>
      </x:c>
      <x:c r="D3019" s="18" t="str">
        <x:v>Size: XS / S / M / L; Color: Sparkling Silver / Shimmering Lilac / Radiant Rose Gold / Dazzling Mint Green / Sparkling Aqua Blue / Sparkling Soft Pink</x:v>
      </x:c>
      <x:c r="E3019" s="25" t="str">
        <x:v>$1.99</x:v>
      </x:c>
      <x:c r="F3019" s="19" t="str">
        <x:v>10</x:v>
      </x:c>
    </x:row>
    <x:row r="3020" ht="93" customHeight="1">
      <x:c r="A3020" s="19" t="n">
        <x:v>3017</x:v>
      </x:c>
      <x:c r="B3020" s="22" t="e">
        <x:f>HYPERLINK("https://cdn.shopify.com/s/files/1/0918/6066/4603/files/9d5c49fb007bd37d56bf582372f69c61.jpg?v=1755249354","Open")</x:f>
        <x:v>HYPERLINK is not implemented. linkLocation=https://cdn.shopify.com/s/files/1/0918/6066/4603/files/9d5c49fb007bd37d56bf582372f69c61.jpg?v=1755249354, friendlyName=Open</x:v>
      </x:c>
      <x:c r="C3020" s="24" t="e">
        <x:f>HYPERLINK("https://365nails.com/products/nail-tips-popular-french-press-on-nails-almond-nail-short-matte-removable-fake-nail-128-pieces-bagged-nail-art","Nail Tips popular French press on nails almond nail short matte removable fake nail 128 pieces bagged nail art (MOQ=3)")</x:f>
        <x:v>HYPERLINK is not implemented. linkLocation=https://365nails.com/products/nail-tips-popular-french-press-on-nails-almond-nail-short-matte-removable-fake-nail-128-pieces-bagged-nail-art, friendlyName=Nail Tips popular French press on nails almond nail short matte removable fake nail 128 pieces bagged nail art (MOQ=3)</x:v>
      </x:c>
      <x:c r="D3020" s="18" t="str">
        <x:v>Color: 516A-1630 * 128 piece bag / 516A-349683 * 128 piece bag / 516A-349832 * 128 piece bag / 516A-5468240 * 128 piece bag / 516A-dark red * 128 pieces bag / 516A-Black * 128 piece bag; Quantity: 3pcs</x:v>
      </x:c>
      <x:c r="E3020" s="25" t="str">
        <x:v>$4.65</x:v>
      </x:c>
      <x:c r="F3020" s="19" t="str">
        <x:v>1</x:v>
      </x:c>
    </x:row>
    <x:row r="3021" ht="93" customHeight="1">
      <x:c r="A3021" s="19" t="n">
        <x:v>3018</x:v>
      </x:c>
      <x:c r="B3021" s="22" t="e">
        <x:f>HYPERLINK("https://cdn.shopify.com/s/files/1/0918/6066/4603/files/O1CN01iuvv1s23g7zaloH0b__2215671307284-0-cib.jpg?v=1775631632","Open")</x:f>
        <x:v>HYPERLINK is not implemented. linkLocation=https://cdn.shopify.com/s/files/1/0918/6066/4603/files/O1CN01iuvv1s23g7zaloH0b__2215671307284-0-cib.jpg?v=1775631632, friendlyName=Open</x:v>
      </x:c>
      <x:c r="C3021" s="24" t="e">
        <x:f>HYPERLINK("https://365nails.com/products/365nails-independence-day-creative-geometric-press-on-nails","365nails: Independence Day Creative Geometric Press-On Nails")</x:f>
        <x:v>HYPERLINK is not implemented. linkLocation=https://365nails.com/products/365nails-independence-day-creative-geometric-press-on-nails, friendlyName=365nails: Independence Day Creative Geometric Press-On Nails</x:v>
      </x:c>
      <x:c r="D3021" s="18" t="str">
        <x:v>Color classification: W1254[jelly glue + strips]</x:v>
      </x:c>
      <x:c r="E3021" s="25" t="str">
        <x:v>$0.99</x:v>
      </x:c>
      <x:c r="F3021" s="19" t="str">
        <x:v>3</x:v>
      </x:c>
    </x:row>
    <x:row r="3022" ht="93" customHeight="1">
      <x:c r="A3022" s="19" t="n">
        <x:v>3019</x:v>
      </x:c>
      <x:c r="B3022" s="22" t="e">
        <x:f>HYPERLINK("https://cdn.shopify.com/s/files/1/0918/6066/4603/files/69eeffb4a0cf36be9d95c3d4a41cbc1d.jpg?v=1775203296","Open")</x:f>
        <x:v>HYPERLINK is not implemented. linkLocation=https://cdn.shopify.com/s/files/1/0918/6066/4603/files/69eeffb4a0cf36be9d95c3d4a41cbc1d.jpg?v=1775203296, friendlyName=Open</x:v>
      </x:c>
      <x:c r="C3022" s="24" t="e">
        <x:f>HYPERLINK("https://365nails.com/products/365nails-pink-quilted-luxury-3d-bunny-pearl-chain-handmade-squoval-nails","Luxury Logo 365nails: ""Pink Quilted Luxury"" – 3D Bunny &amp; Pearl Chain Handmade Squoval Nails")</x:f>
        <x:v>HYPERLINK is not implemented. linkLocation=https://365nails.com/products/365nails-pink-quilted-luxury-3d-bunny-pearl-chain-handmade-squoval-nails, friendlyName=Luxury Logo 365nails: "Pink Quilted Luxury" – 3D Bunny &amp; Pearl Chain Handmade Squoval Nails</x:v>
      </x:c>
      <x:c r="D3022" s="18" t="str">
        <x:v>Size: XS / S / M / L</x:v>
      </x:c>
      <x:c r="E3022" s="25" t="str">
        <x:v>$6.99</x:v>
      </x:c>
      <x:c r="F3022" s="19" t="str">
        <x:v>3</x:v>
      </x:c>
    </x:row>
    <x:row r="3023" ht="93" customHeight="1">
      <x:c r="A3023" s="19" t="n">
        <x:v>3020</x:v>
      </x:c>
      <x:c r="B3023" s="22" t="e">
        <x:f>HYPERLINK("https://cdn.shopify.com/s/files/1/0918/6066/4603/files/c0b713249de8bfada4b3154cf17a5fac.jpg?v=1773306738","Open")</x:f>
        <x:v>HYPERLINK is not implemented. linkLocation=https://cdn.shopify.com/s/files/1/0918/6066/4603/files/c0b713249de8bfada4b3154cf17a5fac.jpg?v=1773306738, friendlyName=Open</x:v>
      </x:c>
      <x:c r="C3023" s="24" t="e">
        <x:f>HYPERLINK("https://365nails.com/products/365nails-rainbow-smiley-face-handmade-press-on-pedicure","365nails: ""rainbow smiley face"" – handmade press-on pedicure")</x:f>
        <x:v>HYPERLINK is not implemented. linkLocation=https://365nails.com/products/365nails-rainbow-smiley-face-handmade-press-on-pedicure, friendlyName=365nails: "rainbow smiley face" – handmade press-on pedicure</x:v>
      </x:c>
      <x:c r="D3023" s="18" t="str">
        <x:v>Size: XS / S / M / L</x:v>
      </x:c>
      <x:c r="E3023" s="25" t="str">
        <x:v>$3.99</x:v>
      </x:c>
      <x:c r="F3023" s="19" t="str">
        <x:v>3</x:v>
      </x:c>
    </x:row>
    <x:row r="3024" ht="93" customHeight="1">
      <x:c r="A3024" s="19" t="n">
        <x:v>3021</x:v>
      </x:c>
      <x:c r="B3024" s="22" t="e">
        <x:f>HYPERLINK("https://cdn.shopify.com/s/files/1/0918/6066/4603/files/e398a30fba1b95e25ae5637f27e5b597.jpg?v=1772707803","Open")</x:f>
        <x:v>HYPERLINK is not implemented. linkLocation=https://cdn.shopify.com/s/files/1/0918/6066/4603/files/e398a30fba1b95e25ae5637f27e5b597.jpg?v=1772707803, friendlyName=Open</x:v>
      </x:c>
      <x:c r="C3024" s="24" t="e">
        <x:f>HYPERLINK("https://365nails.com/products/365nails-half-matte-half-cover-nail-tips-salon-grade-gel-extension-set-with-storage-case","365nails Half-Matte Half-Cover Nail Tips | Salon-Grade Gel Extension Set with Storage Case")</x:f>
        <x:v>HYPERLINK is not implemented. linkLocation=https://365nails.com/products/365nails-half-matte-half-cover-nail-tips-salon-grade-gel-extension-set-with-storage-case, friendlyName=365nails Half-Matte Half-Cover Nail Tips | Salon-Grade Gel Extension Set with Storage Case</x:v>
      </x:c>
      <x:c r="D3024" s="18" t="str">
        <x:v>Color: Ys-38 traceless half sand*100 pieces in box</x:v>
      </x:c>
      <x:c r="E3024" s="25" t="str">
        <x:v>$0.78</x:v>
      </x:c>
      <x:c r="F3024" s="19" t="str">
        <x:v>1</x:v>
      </x:c>
    </x:row>
    <x:row r="3025" ht="93" customHeight="1">
      <x:c r="A3025" s="19" t="n">
        <x:v>3022</x:v>
      </x:c>
      <x:c r="B3025" s="22" t="e">
        <x:f>HYPERLINK("https://cdn.shopify.com/s/files/1/0918/6066/4603/files/253c21db4a848697feb025550d22d970.jpg?v=1775200799","Open")</x:f>
        <x:v>HYPERLINK is not implemented. linkLocation=https://cdn.shopify.com/s/files/1/0918/6066/4603/files/253c21db4a848697feb025550d22d970.jpg?v=1775200799, friendlyName=Open</x:v>
      </x:c>
      <x:c r="C3025" s="24" t="e">
        <x:f>HYPERLINK("https://365nails.com/products/365nails-dark-coquette-bunny-3d-camellia-bow-handmade-oval-nails","Luxury Logo 365nails: ""Dark Coquette Bunny"" – 3D Camellia &amp; Bow Handmade Oval Nails")</x:f>
        <x:v>HYPERLINK is not implemented. linkLocation=https://365nails.com/products/365nails-dark-coquette-bunny-3d-camellia-bow-handmade-oval-nails, friendlyName=Luxury Logo 365nails: "Dark Coquette Bunny" – 3D Camellia &amp; Bow Handmade Oval Nails</x:v>
      </x:c>
      <x:c r="D3025" s="18" t="str">
        <x:v>Size: XS / S / M / L</x:v>
      </x:c>
      <x:c r="E3025" s="25" t="str">
        <x:v>$6.99</x:v>
      </x:c>
      <x:c r="F3025" s="19" t="str">
        <x:v>3</x:v>
      </x:c>
    </x:row>
    <x:row r="3026" ht="93" customHeight="1">
      <x:c r="A3026" s="19" t="n">
        <x:v>3023</x:v>
      </x:c>
      <x:c r="B3026" s="22" t="e">
        <x:f>HYPERLINK("https://cdn.shopify.com/s/files/1/0918/6066/4603/files/O1CN01g3b2sl2214t0s2AEl__2219480337059-0-cib_8ce5687e-e0e7-496b-bee7-fcaf8a532231.jpg?v=1773392366","Open")</x:f>
        <x:v>HYPERLINK is not implemented. linkLocation=https://cdn.shopify.com/s/files/1/0918/6066/4603/files/O1CN01g3b2sl2214t0s2AEl__2219480337059-0-cib_8ce5687e-e0e7-496b-bee7-fcaf8a532231.jpg?v=1773392366, friendlyName=Open</x:v>
      </x:c>
      <x:c r="C3026" s="24" t="e">
        <x:f>HYPERLINK("https://365nails.com/products/365nails-ocean-blue-cat-eye-heart-handmade-press-on-pedicure","365nails: ""ocean blue cat-eye heart"" – handmade press-on pedicure")</x:f>
        <x:v>HYPERLINK is not implemented. linkLocation=https://365nails.com/products/365nails-ocean-blue-cat-eye-heart-handmade-press-on-pedicure, friendlyName=365nails: "ocean blue cat-eye heart" – handmade press-on pedicure</x:v>
      </x:c>
      <x:c r="D3026" s="18" t="str">
        <x:v>Color: Blue heart cat eye; Color classification: Xs (about 2 years old) / S (3-4 years old) / M (5-7 years old) / L (8-11 years old)</x:v>
      </x:c>
      <x:c r="E3026" s="25" t="str">
        <x:v>$2.99</x:v>
      </x:c>
      <x:c r="F3026" s="19" t="str">
        <x:v>3</x:v>
      </x:c>
    </x:row>
    <x:row r="3027" ht="93" customHeight="1">
      <x:c r="A3027" s="19" t="n">
        <x:v>3024</x:v>
      </x:c>
      <x:c r="B3027" s="22" t="e">
        <x:f>HYPERLINK("https://cdn.shopify.com/s/files/1/0918/6066/4603/files/4bf5b2a0ef8f40536f6d96e6f40c1408.jpg?v=1772707792","Open")</x:f>
        <x:v>HYPERLINK is not implemented. linkLocation=https://cdn.shopify.com/s/files/1/0918/6066/4603/files/4bf5b2a0ef8f40536f6d96e6f40c1408.jpg?v=1772707792, friendlyName=Open</x:v>
      </x:c>
      <x:c r="C3027" s="24" t="e">
        <x:f>HYPERLINK("https://365nails.com/products/365nails-ultra-thin-seamless-full-cover-nail-tips-12-shapes-for-press-on-extensions","365nails Ultra-Thin Seamless Full-Cover Nail Tips | 12 Shapes for Press-On &amp; Extensions")</x:f>
        <x:v>HYPERLINK is not implemented. linkLocation=https://365nails.com/products/365nails-ultra-thin-seamless-full-cover-nail-tips-12-shapes-for-press-on-extensions, friendlyName=365nails Ultra-Thin Seamless Full-Cover Nail Tips | 12 Shapes for Press-On &amp; Extensions</x:v>
      </x:c>
      <x:c r="D3027" s="18" t="str">
        <x:v>Color: 191 short oval-pp transparent box / 191 short oval - bagged / Short oval supplementary number-pp transparent box / Short oval supplementary number-bag / 192 trapezoid-pp transparent box / 192 trapezoid-bag / Trapezoidal patch-pp transparent box / Trapezoidal supplement - bagged / 193 short trapezoid-pp transparent box / 193 short trapezoid-bag / Short trapezoidal supplementary number-pp transparent box / Short trapezoidal patch number-bag / 194 medium almond-pp transparent box / 194 medium almonds - bagged / Almond supplement-pp transparent box / Almond supplement - bagged / 195 short round-pp transparent box / 195 short round-bag / 196 square-pp transparent box / 196 square-bag / 197 short square circle-pp transparent box / 197 short square circle-bag / 198 long almond-pp transparent box / 198 long almonds - bagged / 199 japanese style fat oval-pp transparent box / 199 japanese style fat oval-bag / 199-2 japanese short fat oval-pp transparent box / 199-2 japanese short fat oval-bag / 401 ultra-short ladder-full frosted-pp transparent box / 401 ultra-short ladder - fully frosted - bagged / 401 ultra-short ladder-semi-frosted-pp transparent box / 402 new short ladder-semi-frosted-pp transparent box / 402 new short ladder - semi-matte - bagged / 403-new short square circle-pp transparent box / 403-new short square circle-bag / 404-short ballet-pp transparent box / 404 short ballet-bag / 405-short almond-pp transparent box / 405-short almond-bag</x:v>
      </x:c>
      <x:c r="E3027" s="25" t="str">
        <x:v>$0.78–$1.02</x:v>
      </x:c>
      <x:c r="F3027" s="19" t="str">
        <x:v>3</x:v>
      </x:c>
    </x:row>
    <x:row r="3028" ht="93" customHeight="1">
      <x:c r="A3028" s="19" t="n">
        <x:v>3025</x:v>
      </x:c>
      <x:c r="B3028" s="22" t="e">
        <x:f>HYPERLINK("https://cdn.shopify.com/s/files/1/0918/6066/4603/files/7f556d14ca62a5519606643a8ac38c47.jpg?v=1755248740","Open")</x:f>
        <x:v>HYPERLINK is not implemented. linkLocation=https://cdn.shopify.com/s/files/1/0918/6066/4603/files/7f556d14ca62a5519606643a8ac38c47.jpg?v=1755248740, friendlyName=Open</x:v>
      </x:c>
      <x:c r="C3028" s="24" t="e">
        <x:f>HYPERLINK("https://365nails.com/products/nail-tips-nail-piece-xl-denim-nail-500-pieces-in-a-box-extended-transparent-fake-nail-half-sticker-light-sticker-trapezoidal-nail-piece","Nail Tips Nail piece  XL denim nail 500 pieces in a box, extended transparent fake nail half sticker, light sticker trapezoidal nail piece (MOQ=3)")</x:f>
        <x:v>HYPERLINK is not implemented. linkLocation=https://365nails.com/products/nail-tips-nail-piece-xl-denim-nail-500-pieces-in-a-box-extended-transparent-fake-nail-half-sticker-light-sticker-trapezoidal-nail-piece, friendlyName=Nail Tips Nail piece  XL denim nail 500 pieces in a box, extended transparent fake nail half sticker, light sticker trapezoidal nail piece (MOQ=3)</x:v>
      </x:c>
      <x:c r="D3028" s="18" t="str">
        <x:v>Color: Transparent color-500PS box / Transparent color-500pp bag / Natural White-500PS Box / Natural white - 500pp bag; Quantity: 3pcs</x:v>
      </x:c>
      <x:c r="E3028" s="25" t="str">
        <x:v>$5.70–$6.78</x:v>
      </x:c>
      <x:c r="F3028" s="19" t="str">
        <x:v>1</x:v>
      </x:c>
    </x:row>
    <x:row r="3029" ht="93" customHeight="1">
      <x:c r="A3029" s="19" t="n">
        <x:v>3026</x:v>
      </x:c>
      <x:c r="B3029" s="22" t="e">
        <x:f>HYPERLINK("https://cdn.shopify.com/s/files/1/0918/6066/4603/files/3d7345aff3b7fe463dc6e4aca2c51d3a.png?v=1755266941","Open")</x:f>
        <x:v>HYPERLINK is not implemented. linkLocation=https://cdn.shopify.com/s/files/1/0918/6066/4603/files/3d7345aff3b7fe463dc6e4aca2c51d3a.png?v=1755266941, friendlyName=Open</x:v>
      </x:c>
      <x:c r="C3029" s="24" t="e">
        <x:f>HYPERLINK("https://365nails.com/products/nail-tips-nail-plate-extended-half-stick-water-pipe-nail-500-pieces-boxed-high-arc-xxl-transparent-patch-fake-nails","Straight Half Cover Nail Extension Tip Set (MOQ=3)")</x:f>
        <x:v>HYPERLINK is not implemented. linkLocation=https://365nails.com/products/nail-tips-nail-plate-extended-half-stick-water-pipe-nail-500-pieces-boxed-high-arc-xxl-transparent-patch-fake-nails, friendlyName=Straight Half Cover Nail Extension Tip Set (MOQ=3)</x:v>
      </x:c>
      <x:c r="D3029" s="18" t="str">
        <x:v>Color: 113 transparent color - 500 pieces in a bag / 113-Natural Color-500 Piece Bag / 113-Transparent Color-500 Pieces Box / 113-Natural Color-500 Pieces Box; Quantity: 3pcs</x:v>
      </x:c>
      <x:c r="E3029" s="25" t="str">
        <x:v>$5.97–$6.78</x:v>
      </x:c>
      <x:c r="F3029" s="19" t="str">
        <x:v>1</x:v>
      </x:c>
    </x:row>
    <x:row r="3030" ht="93" customHeight="1">
      <x:c r="A3030" s="19" t="n">
        <x:v>3027</x:v>
      </x:c>
      <x:c r="B3030" s="22" t="e">
        <x:f>HYPERLINK("https://cdn.shopify.com/s/files/1/0918/6066/4603/files/O1CN01Y1J5NB25ABdjFjJYb__6000000007485-0-cib.jpg?v=1774946896","Open")</x:f>
        <x:v>HYPERLINK is not implemented. linkLocation=https://cdn.shopify.com/s/files/1/0918/6066/4603/files/O1CN01Y1J5NB25ABdjFjJYb__6000000007485-0-cib.jpg?v=1774946896, friendlyName=Open</x:v>
      </x:c>
      <x:c r="C3030" s="24" t="e">
        <x:f>HYPERLINK("https://365nails.com/products/365nails-midnight-spell-3d-gothic-handmade-almond-nails","365nails: ""Midnight Spell"" – 3D Gothic Handmade Almond Nails")</x:f>
        <x:v>HYPERLINK is not implemented. linkLocation=https://365nails.com/products/365nails-midnight-spell-3d-gothic-handmade-almond-nails, friendlyName=365nails: "Midnight Spell" – 3D Gothic Handmade Almond Nails</x:v>
      </x:c>
      <x:c r="D3030" s="18" t="str">
        <x:v>Color: Almond; Color classification: Xs / S / M / L</x:v>
      </x:c>
      <x:c r="E3030" s="25" t="str">
        <x:v>$4.49</x:v>
      </x:c>
      <x:c r="F3030" s="19" t="str">
        <x:v>3</x:v>
      </x:c>
    </x:row>
    <x:row r="3031" ht="93" customHeight="1">
      <x:c r="A3031" s="19" t="n">
        <x:v>3028</x:v>
      </x:c>
      <x:c r="B3031" s="22" t="e">
        <x:f>HYPERLINK("https://cdn.shopify.com/s/files/1/0918/6066/4603/files/9375741067f16396838f1028666421d8.jpg?v=1773301591","Open")</x:f>
        <x:v>HYPERLINK is not implemented. linkLocation=https://cdn.shopify.com/s/files/1/0918/6066/4603/files/9375741067f16396838f1028666421d8.jpg?v=1773301591, friendlyName=Open</x:v>
      </x:c>
      <x:c r="C3031" s="24" t="e">
        <x:f>HYPERLINK("https://365nails.com/products/365nails-silver-foil-hearts-handmade-press-on-toenails-pedicure","365nails: ""silver foil hearts"" – handmade press-on toenails / pedicure")</x:f>
        <x:v>HYPERLINK is not implemented. linkLocation=https://365nails.com/products/365nails-silver-foil-hearts-handmade-press-on-toenails-pedicure, friendlyName=365nails: "silver foil hearts" – handmade press-on toenails / pedicure</x:v>
      </x:c>
      <x:c r="D3031" s="18" t="str">
        <x:v>Size: XS / S / M / L</x:v>
      </x:c>
      <x:c r="E3031" s="25" t="str">
        <x:v>$2.99</x:v>
      </x:c>
      <x:c r="F3031" s="19" t="str">
        <x:v>3</x:v>
      </x:c>
    </x:row>
    <x:row r="3032" ht="93" customHeight="1">
      <x:c r="A3032" s="19" t="n">
        <x:v>3029</x:v>
      </x:c>
      <x:c r="B3032" s="22" t="e">
        <x:f>HYPERLINK("https://cdn.shopify.com/s/files/1/0918/6066/4603/files/eacd829dd8a8dd8a73571bb9c7c5c55d.jpg?v=1773303343","Open")</x:f>
        <x:v>HYPERLINK is not implemented. linkLocation=https://cdn.shopify.com/s/files/1/0918/6066/4603/files/eacd829dd8a8dd8a73571bb9c7c5c55d.jpg?v=1773303343, friendlyName=Open</x:v>
      </x:c>
      <x:c r="C3032" s="24" t="e">
        <x:f>HYPERLINK("https://365nails.com/products/365nails-dark-galaxy-foil-handmade-press-on-pedicure","365nails: ""dark galaxy foil"" – handmade press-on pedicure")</x:f>
        <x:v>HYPERLINK is not implemented. linkLocation=https://365nails.com/products/365nails-dark-galaxy-foil-handmade-press-on-pedicure, friendlyName=365nails: "dark galaxy foil" – handmade press-on pedicure</x:v>
      </x:c>
      <x:c r="D3032" s="18" t="str">
        <x:v>Size: XS / S / M / L</x:v>
      </x:c>
      <x:c r="E3032" s="25" t="str">
        <x:v>$3.99</x:v>
      </x:c>
      <x:c r="F3032" s="19" t="str">
        <x:v>3</x:v>
      </x:c>
    </x:row>
    <x:row r="3033" ht="93" customHeight="1">
      <x:c r="A3033" s="19" t="n">
        <x:v>3030</x:v>
      </x:c>
      <x:c r="B3033" s="22" t="e">
        <x:f>HYPERLINK("https://cdn.shopify.com/s/files/1/0918/6066/4603/files/O1CN011jHvwY1rlpadAzwFC__2215158925672-0-cib.jpg?v=1764558045","Open")</x:f>
        <x:v>HYPERLINK is not implemented. linkLocation=https://cdn.shopify.com/s/files/1/0918/6066/4603/files/O1CN011jHvwY1rlpadAzwFC__2215158925672-0-cib.jpg?v=1764558045, friendlyName=Open</x:v>
      </x:c>
      <x:c r="C3033" s="24" t="e">
        <x:f>HYPERLINK("https://365nails.com/products/sleek-liquid-silver-chrome-metallic-mauve-long-press-on-nails","Sleek Liquid Silver Chrome Metallic Mauve Long Press-On Nails")</x:f>
        <x:v>HYPERLINK is not implemented. linkLocation=https://365nails.com/products/sleek-liquid-silver-chrome-metallic-mauve-long-press-on-nails, friendlyName=Sleek Liquid Silver Chrome Metallic Mauve Long Press-On Nails</x:v>
      </x:c>
      <x:c r="D3033" s="18" t="str">
        <x:v>shape: Long pointed; Size: S / M / L</x:v>
      </x:c>
      <x:c r="E3033" s="25" t="str">
        <x:v>$4.49</x:v>
      </x:c>
      <x:c r="F3033" s="19" t="str">
        <x:v>30</x:v>
      </x:c>
    </x:row>
    <x:row r="3034" ht="93" customHeight="1">
      <x:c r="A3034" s="19" t="n">
        <x:v>3031</x:v>
      </x:c>
      <x:c r="B3034" s="22" t="e">
        <x:f>HYPERLINK("https://cdn.shopify.com/s/files/1/0918/6066/4603/files/467354e4e36c3956608d09698a74b78f_8a85806e-6ae5-4daa-adce-00839d87d76e.jpg?v=1775197214","Open")</x:f>
        <x:v>HYPERLINK is not implemented. linkLocation=https://cdn.shopify.com/s/files/1/0918/6066/4603/files/467354e4e36c3956608d09698a74b78f_8a85806e-6ae5-4daa-adce-00839d87d76e.jpg?v=1775197214, friendlyName=Open</x:v>
      </x:c>
      <x:c r="C3034" s="24" t="e">
        <x:f>HYPERLINK("https://365nails.com/products/365nails-midnight-cathedral-hand-painted-gothic-window-cat-handmade-squoval-nails","Luxury Logo 365nails: ""Midnight Cathedral"" – Hand-painted Gothic Window &amp; Cat Handmade Squoval Nails")</x:f>
        <x:v>HYPERLINK is not implemented. linkLocation=https://365nails.com/products/365nails-midnight-cathedral-hand-painted-gothic-window-cat-handmade-squoval-nails, friendlyName=Luxury Logo 365nails: "Midnight Cathedral" – Hand-painted Gothic Window &amp; Cat Handmade Squoval Nails</x:v>
      </x:c>
      <x:c r="D3034" s="18" t="str">
        <x:v>Size: XS / S / M / L</x:v>
      </x:c>
      <x:c r="E3034" s="25" t="str">
        <x:v>$6.99</x:v>
      </x:c>
      <x:c r="F3034" s="19" t="str">
        <x:v>3</x:v>
      </x:c>
    </x:row>
    <x:row r="3035" ht="93" customHeight="1">
      <x:c r="A3035" s="19" t="n">
        <x:v>3032</x:v>
      </x:c>
      <x:c r="B3035" s="22" t="e">
        <x:f>HYPERLINK("https://cdn.shopify.com/s/files/1/0918/6066/4603/files/6eaf51c486b558391e9de2e1480be353.jpg?v=1773303484","Open")</x:f>
        <x:v>HYPERLINK is not implemented. linkLocation=https://cdn.shopify.com/s/files/1/0918/6066/4603/files/6eaf51c486b558391e9de2e1480be353.jpg?v=1773303484, friendlyName=Open</x:v>
      </x:c>
      <x:c r="C3035" s="24" t="e">
        <x:f>HYPERLINK("https://365nails.com/products/365nails-rhinestone-smiley-pop-handmade-press-on-pedicure","365nails: ""rhinestone smiley pop"" – handmade press-on pedicure")</x:f>
        <x:v>HYPERLINK is not implemented. linkLocation=https://365nails.com/products/365nails-rhinestone-smiley-pop-handmade-press-on-pedicure, friendlyName=365nails: "rhinestone smiley pop" – handmade press-on pedicure</x:v>
      </x:c>
      <x:c r="D3035" s="18" t="str">
        <x:v>Size: XS / S / M / L</x:v>
      </x:c>
      <x:c r="E3035" s="25" t="str">
        <x:v>$3.99</x:v>
      </x:c>
      <x:c r="F3035" s="19" t="str">
        <x:v>3</x:v>
      </x:c>
    </x:row>
    <x:row r="3036" ht="93" customHeight="1">
      <x:c r="A3036" s="19" t="n">
        <x:v>3033</x:v>
      </x:c>
      <x:c r="B3036" s="22" t="e">
        <x:f>HYPERLINK("https://cdn.shopify.com/s/files/1/0918/6066/4603/files/O1CN01NbIa1b2G1uFew2JyC__3317688956-0-cib.jpg?v=1775632523","Open")</x:f>
        <x:v>HYPERLINK is not implemented. linkLocation=https://cdn.shopify.com/s/files/1/0918/6066/4603/files/O1CN01NbIa1b2G1uFew2JyC__3317688956-0-cib.jpg?v=1775632523, friendlyName=Open</x:v>
      </x:c>
      <x:c r="C3036" s="24" t="e">
        <x:f>HYPERLINK("https://365nails.com/products/365nails-independence-day-dazzling-star-stripes-press-on-nails","365nails: Independence Day Dazzling Star-Stripes Press-On Nails")</x:f>
        <x:v>HYPERLINK is not implemented. linkLocation=https://365nails.com/products/365nails-independence-day-dazzling-star-stripes-press-on-nails, friendlyName=365nails: Independence Day Dazzling Star-Stripes Press-On Nails</x:v>
      </x:c>
      <x:c r="D3036" s="18" t="str">
        <x:v>Color: Dy1911-g independence day [jelly glue + small wooden stick + rubbing strip]</x:v>
      </x:c>
      <x:c r="E3036" s="25" t="str">
        <x:v>$0.99</x:v>
      </x:c>
      <x:c r="F3036" s="19" t="str">
        <x:v>3</x:v>
      </x:c>
    </x:row>
    <x:row r="3037" ht="93" customHeight="1">
      <x:c r="A3037" s="19" t="n">
        <x:v>3034</x:v>
      </x:c>
      <x:c r="B3037" s="22" t="e">
        <x:f>HYPERLINK("https://cdn.shopify.com/s/files/1/0918/6066/4603/files/O1CN01JiGYQz2G1uIOEWvLM__3317688956-0-cib.jpg?v=1775632734","Open")</x:f>
        <x:v>HYPERLINK is not implemented. linkLocation=https://cdn.shopify.com/s/files/1/0918/6066/4603/files/O1CN01JiGYQz2G1uIOEWvLM__3317688956-0-cib.jpg?v=1775632734, friendlyName=Open</x:v>
      </x:c>
      <x:c r="C3037" s="24" t="e">
        <x:f>HYPERLINK("https://365nails.com/products/365nails-independence-day-glitter-flag-press-on-nails","365nails: Independence Day Glitter Flag Press-On Nails")</x:f>
        <x:v>HYPERLINK is not implemented. linkLocation=https://365nails.com/products/365nails-independence-day-glitter-flag-press-on-nails, friendlyName=365nails: Independence Day Glitter Flag Press-On Nails</x:v>
      </x:c>
      <x:c r="D3037" s="18" t="str">
        <x:v>Color: Gdy2399-b5 free star flag [jelly glue type]</x:v>
      </x:c>
      <x:c r="E3037" s="25" t="str">
        <x:v>$0.99</x:v>
      </x:c>
      <x:c r="F3037" s="19" t="str">
        <x:v>3</x:v>
      </x:c>
    </x:row>
    <x:row r="3038" ht="93" customHeight="1">
      <x:c r="A3038" s="19" t="n">
        <x:v>3035</x:v>
      </x:c>
      <x:c r="B3038" s="22" t="e">
        <x:f>HYPERLINK("https://cdn.shopify.com/s/files/1/0918/6066/4603/files/5bde59e07af4c0360183f57de6329c57.jpg?v=1775203377","Open")</x:f>
        <x:v>HYPERLINK is not implemented. linkLocation=https://cdn.shopify.com/s/files/1/0918/6066/4603/files/5bde59e07af4c0360183f57de6329c57.jpg?v=1775203377, friendlyName=Open</x:v>
      </x:c>
      <x:c r="C3038" s="24" t="e">
        <x:f>HYPERLINK("https://365nails.com/products/365nails-caramel-wave-monogram-3d-fluid-line-luxury-pattern-handmade-oval-nails","Luxury Logo 365nails: ""Caramel Wave Monogram"" – 3D Fluid Line &amp; Luxury Pattern Handmade Oval Nails")</x:f>
        <x:v>HYPERLINK is not implemented. linkLocation=https://365nails.com/products/365nails-caramel-wave-monogram-3d-fluid-line-luxury-pattern-handmade-oval-nails, friendlyName=Luxury Logo 365nails: "Caramel Wave Monogram" – 3D Fluid Line &amp; Luxury Pattern Handmade Oval Nails</x:v>
      </x:c>
      <x:c r="D3038" s="18" t="str">
        <x:v>Size: XS / S / M / L</x:v>
      </x:c>
      <x:c r="E3038" s="25" t="str">
        <x:v>$6.99</x:v>
      </x:c>
      <x:c r="F3038" s="19" t="str">
        <x:v>3</x:v>
      </x:c>
    </x:row>
    <x:row r="3039" ht="93" customHeight="1">
      <x:c r="A3039" s="19" t="n">
        <x:v>3036</x:v>
      </x:c>
      <x:c r="B3039" s="22" t="e">
        <x:f>HYPERLINK("https://cdn.shopify.com/s/files/1/0918/6066/4603/files/O1CN01fkdlF71rlpadST10z__2215158925672-0-cib.jpg?v=1764558704","Open")</x:f>
        <x:v>HYPERLINK is not implemented. linkLocation=https://cdn.shopify.com/s/files/1/0918/6066/4603/files/O1CN01fkdlF71rlpadST10z__2215158925672-0-cib.jpg?v=1764558704, friendlyName=Open</x:v>
      </x:c>
      <x:c r="C3039" s="24" t="e">
        <x:f>HYPERLINK("https://365nails.com/products/artistic-3d-silver-chrome-liquid-cream-futuristic-press-on-nails","Artistic 3D Silver Chrome Liquid Cream Futuristic Press-On Nails")</x:f>
        <x:v>HYPERLINK is not implemented. linkLocation=https://365nails.com/products/artistic-3d-silver-chrome-liquid-cream-futuristic-press-on-nails, friendlyName=Artistic 3D Silver Chrome Liquid Cream Futuristic Press-On Nails</x:v>
      </x:c>
      <x:c r="D3039" s="18" t="str">
        <x:v>shape: Medium almonds; size: S / M / L</x:v>
      </x:c>
      <x:c r="E3039" s="25" t="str">
        <x:v>$4.49</x:v>
      </x:c>
      <x:c r="F3039" s="19" t="str">
        <x:v>30</x:v>
      </x:c>
    </x:row>
    <x:row r="3040" ht="93" customHeight="1">
      <x:c r="A3040" s="19" t="n">
        <x:v>3037</x:v>
      </x:c>
      <x:c r="B3040" s="22" t="e">
        <x:f>HYPERLINK("https://cdn.shopify.com/s/files/1/0918/6066/4603/files/bfda5423960fb724b7a02c043428b9c0.jpg?v=1773303600","Open")</x:f>
        <x:v>HYPERLINK is not implemented. linkLocation=https://cdn.shopify.com/s/files/1/0918/6066/4603/files/bfda5423960fb724b7a02c043428b9c0.jpg?v=1773303600, friendlyName=Open</x:v>
      </x:c>
      <x:c r="C3040" s="24" t="e">
        <x:f>HYPERLINK("https://365nails.com/products/365nails-pastel-heart-star-handmade-press-on-pedicure","365nails: ""pastel heart star"" – handmade press-on pedicure")</x:f>
        <x:v>HYPERLINK is not implemented. linkLocation=https://365nails.com/products/365nails-pastel-heart-star-handmade-press-on-pedicure, friendlyName=365nails: "pastel heart star" – handmade press-on pedicure</x:v>
      </x:c>
      <x:c r="D3040" s="18" t="str">
        <x:v>Size: XS / S / M / L</x:v>
      </x:c>
      <x:c r="E3040" s="25" t="str">
        <x:v>$3.99</x:v>
      </x:c>
      <x:c r="F3040" s="19" t="str">
        <x:v>3</x:v>
      </x:c>
    </x:row>
    <x:row r="3041" ht="93" customHeight="1">
      <x:c r="A3041" s="19" t="n">
        <x:v>3038</x:v>
      </x:c>
      <x:c r="B3041" s="22" t="e">
        <x:f>HYPERLINK("https://cdn.shopify.com/s/files/1/0918/6066/4603/files/O1CN011Hrhl31rlpac2VVVI__2215158925672-0-cib.jpg?v=1764557792","Open")</x:f>
        <x:v>HYPERLINK is not implemented. linkLocation=https://cdn.shopify.com/s/files/1/0918/6066/4603/files/O1CN011Hrhl31rlpac2VVVI__2215158925672-0-cib.jpg?v=1764557792, friendlyName=Open</x:v>
      </x:c>
      <x:c r="C3041" s="24" t="e">
        <x:f>HYPERLINK("https://365nails.com/products/mystic-purple-chrome-liquid-metal-celestial-long-press-on-nails","Mystic Purple Chrome Liquid Metal Celestial Long Press-On Nails")</x:f>
        <x:v>HYPERLINK is not implemented. linkLocation=https://365nails.com/products/mystic-purple-chrome-liquid-metal-celestial-long-press-on-nails, friendlyName=Mystic Purple Chrome Liquid Metal Celestial Long Press-On Nails</x:v>
      </x:c>
      <x:c r="D3041" s="18" t="str">
        <x:v>shape: long pointed ellipse; size: S / M / L</x:v>
      </x:c>
      <x:c r="E3041" s="25" t="str">
        <x:v>$3.49</x:v>
      </x:c>
      <x:c r="F3041" s="19" t="str">
        <x:v>30</x:v>
      </x:c>
    </x:row>
    <x:row r="3042" ht="93" customHeight="1">
      <x:c r="A3042" s="19" t="n">
        <x:v>3039</x:v>
      </x:c>
      <x:c r="B3042" s="22" t="e">
        <x:f>HYPERLINK("https://cdn.shopify.com/s/files/1/0918/6066/4603/files/O1CN01simqA92NGHyWMgsNU__4234819935-0-cib_9686b032-0d58-494a-8e75-ad6a0d65bcaf.jpg?v=1761291307","Open")</x:f>
        <x:v>HYPERLINK is not implemented. linkLocation=https://cdn.shopify.com/s/files/1/0918/6066/4603/files/O1CN01simqA92NGHyWMgsNU__4234819935-0-cib_9686b032-0d58-494a-8e75-ad6a0d65bcaf.jpg?v=1761291307, friendlyName=Open</x:v>
      </x:c>
      <x:c r="C3042" s="24" t="e">
        <x:f>HYPERLINK("https://365nails.com/products/european-and-american-cross-border-french-coffee-color-3d-wearing-nail-petal-flower-manicure-fake-nail-short-almond-nail-piece-wholesale","European and American cross-border French coffee color 3D wearing nail petal flower manicure fake nail short almond nail piece wholesale")</x:f>
        <x:v>HYPERLINK is not implemented. linkLocation=https://365nails.com/products/european-and-american-cross-border-french-coffee-color-3d-wearing-nail-petal-flower-manicure-fake-nail-short-almond-nail-piece-wholesale, friendlyName=European and American cross-border French coffee color 3D wearing nail petal flower manicure fake nail short almond nail piece wholesale</x:v>
      </x:c>
      <x:c r="D3042" s="18" t="str">
        <x:v>Color: JP3874</x:v>
      </x:c>
      <x:c r="E3042" s="25" t="str">
        <x:v>$0.87</x:v>
      </x:c>
      <x:c r="F3042" s="19" t="str">
        <x:v>1</x:v>
      </x:c>
    </x:row>
    <x:row r="3043" ht="93" customHeight="1">
      <x:c r="A3043" s="19" t="n">
        <x:v>3040</x:v>
      </x:c>
      <x:c r="B3043" s="22" t="e">
        <x:f>HYPERLINK("https://cdn.shopify.com/s/files/1/0918/6066/4603/files/2e898d700fc4f0795df3e7b04fffaa32.jpg?v=1773301707","Open")</x:f>
        <x:v>HYPERLINK is not implemented. linkLocation=https://cdn.shopify.com/s/files/1/0918/6066/4603/files/2e898d700fc4f0795df3e7b04fffaa32.jpg?v=1773301707, friendlyName=Open</x:v>
      </x:c>
      <x:c r="C3043" s="24" t="e">
        <x:f>HYPERLINK("https://365nails.com/products/365nails-hot-pink-cow-print-handmade-press-on-toenails-pedicure","365nails: ""hot pink cow print"" – handmade press-on toenails / pedicure")</x:f>
        <x:v>HYPERLINK is not implemented. linkLocation=https://365nails.com/products/365nails-hot-pink-cow-print-handmade-press-on-toenails-pedicure, friendlyName=365nails: "hot pink cow print" – handmade press-on toenails / pedicure</x:v>
      </x:c>
      <x:c r="D3043" s="18" t="str">
        <x:v>Size: XS / S / M / L</x:v>
      </x:c>
      <x:c r="E3043" s="25" t="str">
        <x:v>$2.99</x:v>
      </x:c>
      <x:c r="F3043" s="19" t="str">
        <x:v>3</x:v>
      </x:c>
    </x:row>
    <x:row r="3044" ht="93" customHeight="1">
      <x:c r="A3044" s="19" t="n">
        <x:v>3041</x:v>
      </x:c>
      <x:c r="B3044" s="22" t="e">
        <x:f>HYPERLINK("https://cdn.shopify.com/s/files/1/0918/6066/4603/files/fb01d3ef2c50d6241073ed7714508d8a.jpg?v=1775203502","Open")</x:f>
        <x:v>HYPERLINK is not implemented. linkLocation=https://cdn.shopify.com/s/files/1/0918/6066/4603/files/fb01d3ef2c50d6241073ed7714508d8a.jpg?v=1775203502, friendlyName=Open</x:v>
      </x:c>
      <x:c r="C3044" s="24" t="e">
        <x:f>HYPERLINK("https://365nails.com/products/365nails-espresso-luxury-mix-3d-bag-charm-silver-typography-handmade-squoval-nails","Luxury Logo 365nails: ""Espresso Luxury Mix"" – 3D Bag Charm &amp; Silver Typography Handmade Squoval Nails")</x:f>
        <x:v>HYPERLINK is not implemented. linkLocation=https://365nails.com/products/365nails-espresso-luxury-mix-3d-bag-charm-silver-typography-handmade-squoval-nails, friendlyName=Luxury Logo 365nails: "Espresso Luxury Mix" – 3D Bag Charm &amp; Silver Typography Handmade Squoval Nails</x:v>
      </x:c>
      <x:c r="D3044" s="18" t="str">
        <x:v>Size: XS / S / M / L</x:v>
      </x:c>
      <x:c r="E3044" s="25" t="str">
        <x:v>$6.99</x:v>
      </x:c>
      <x:c r="F3044" s="19" t="str">
        <x:v>3</x:v>
      </x:c>
    </x:row>
    <x:row r="3045" ht="93" customHeight="1">
      <x:c r="A3045" s="19" t="n">
        <x:v>3042</x:v>
      </x:c>
      <x:c r="B3045" s="22" t="e">
        <x:f>HYPERLINK("https://cdn.shopify.com/s/files/1/0918/6066/4603/files/O1CN01gBSGEs2ABd0TnbGQX__2218458308165-0-cib.jpg?v=1776154870","Open")</x:f>
        <x:v>HYPERLINK is not implemented. linkLocation=https://cdn.shopify.com/s/files/1/0918/6066/4603/files/O1CN01gBSGEs2ABd0TnbGQX__2218458308165-0-cib.jpg?v=1776154870, friendlyName=Open</x:v>
      </x:c>
      <x:c r="C3045" s="24" t="e">
        <x:f>HYPERLINK("https://365nails.com/products/%E7%BE%8E%E5%9B%BD%E7%8B%AC%E7%AB%8B%E6%97%A5%E7%A9%BF%E6%88%B4%E7%94%B2%E7%BA%A2%E8%93%9D%E8%89%B2%E6%9D%A1%E7%BA%B9%E6%98%9F%E6%98%9F%E5%8F%AF%E6%8B%86%E5%8D%B824%E7%89%87%E5%81%87%E6%8C%87%E7%94%B2%E4%B8%AD%E6%AC%BE%E6%B0%B4%E6%BB%B4%E6%9D%8F%E4%BB%81%E7%94%B2","365nails: ""Star Spangled Bow""")</x:f>
        <x:v>HYPERLINK is not implemented. linkLocation=https://365nails.com/products/%E7%BE%8E%E5%9B%BD%E7%8B%AC%E7%AB%8B%E6%97%A5%E7%A9%BF%E6%88%B4%E7%94%B2%E7%BA%A2%E8%93%9D%E8%89%B2%E6%9D%A1%E7%BA%B9%E6%98%9F%E6%98%9F%E5%8F%AF%E6%8B%86%E5%8D%B824%E7%89%87%E5%81%87%E6%8C%87%E7%94%B2%E4%B8%AD%E6%AC%BE%E6%B0%B4%E6%BB%B4%E6%9D%8F%E4%BB%81%E7%94%B2, friendlyName=365nails: "Star Spangled Bow"</x:v>
      </x:c>
      <x:c r="D3045" s="18" t="str">
        <x:v>Color: Jml519 (without tools) / Jml519 (glue type) / Jml519 (jelly glue rubbing strip)</x:v>
      </x:c>
      <x:c r="E3045" s="25" t="str">
        <x:v>$0.99</x:v>
      </x:c>
      <x:c r="F3045" s="19" t="str">
        <x:v>3</x:v>
      </x:c>
    </x:row>
    <x:row r="3046" ht="93" customHeight="1">
      <x:c r="A3046" s="19" t="n">
        <x:v>3043</x:v>
      </x:c>
      <x:c r="B3046" s="22" t="e">
        <x:f>HYPERLINK("https://cdn.shopify.com/s/files/1/0918/6066/4603/files/O1CN01RK2tSB2214tvELXi7__2219480337059-0-cib.jpg?v=1773320935","Open")</x:f>
        <x:v>HYPERLINK is not implemented. linkLocation=https://cdn.shopify.com/s/files/1/0918/6066/4603/files/O1CN01RK2tSB2214tvELXi7__2219480337059-0-cib.jpg?v=1773320935, friendlyName=Open</x:v>
      </x:c>
      <x:c r="C3046" s="24" t="e">
        <x:f>HYPERLINK("https://365nails.com/products/365nails-peach-my-melody-short-round-handmade-kids-press-on-nails","365nails: ""peach my melody"" – short round handmade kids press-on nails")</x:f>
        <x:v>HYPERLINK is not implemented. linkLocation=https://365nails.com/products/365nails-peach-my-melody-short-round-handmade-kids-press-on-nails, friendlyName=365nails: "peach my melody" – short round handmade kids press-on nails</x:v>
      </x:c>
      <x:c r="D3046" s="18" t="str">
        <x:v>Color: Little flower melody; Color classification: Xs (about 2 years old) / S (3-4 years old) / M (5-7 years old) / L (8-11 years old)</x:v>
      </x:c>
      <x:c r="E3046" s="25" t="str">
        <x:v>$2.99</x:v>
      </x:c>
      <x:c r="F3046" s="19" t="str">
        <x:v>3</x:v>
      </x:c>
    </x:row>
    <x:row r="3047" ht="93" customHeight="1">
      <x:c r="A3047" s="19" t="n">
        <x:v>3044</x:v>
      </x:c>
      <x:c r="B3047" s="22" t="e">
        <x:f>HYPERLINK("https://cdn.shopify.com/s/files/1/0918/6066/4603/files/60f6a72e308baa276f4e52d8b7129c5c.jpg?v=1773305194","Open")</x:f>
        <x:v>HYPERLINK is not implemented. linkLocation=https://cdn.shopify.com/s/files/1/0918/6066/4603/files/60f6a72e308baa276f4e52d8b7129c5c.jpg?v=1773305194, friendlyName=Open</x:v>
      </x:c>
      <x:c r="C3047" s="24" t="e">
        <x:f>HYPERLINK("https://365nails.com/products/365nails-rainbow-crystal-pave-handmade-press-on-pedicure-1","365nails: ""rainbow crystal pave"" – handmade press-on pedicure")</x:f>
        <x:v>HYPERLINK is not implemented. linkLocation=https://365nails.com/products/365nails-rainbow-crystal-pave-handmade-press-on-pedicure-1, friendlyName=365nails: "rainbow crystal pave" – handmade press-on pedicure</x:v>
      </x:c>
      <x:c r="D3047" s="18" t="str">
        <x:v>Size: XS / S / M / L</x:v>
      </x:c>
      <x:c r="E3047" s="25" t="str">
        <x:v>$3.99</x:v>
      </x:c>
      <x:c r="F3047" s="19" t="str">
        <x:v>3</x:v>
      </x:c>
    </x:row>
    <x:row r="3048" ht="93" customHeight="1">
      <x:c r="A3048" s="19" t="n">
        <x:v>3045</x:v>
      </x:c>
      <x:c r="B3048" s="22" t="e">
        <x:f>HYPERLINK("https://cdn.shopify.com/s/files/1/0918/6066/4603/files/O1CN01Rb1zja1rlpaczxo0r__2215158925672-0-cib.jpg?v=1764558987","Open")</x:f>
        <x:v>HYPERLINK is not implemented. linkLocation=https://cdn.shopify.com/s/files/1/0918/6066/4603/files/O1CN01Rb1zja1rlpaczxo0r__2215158925672-0-cib.jpg?v=1764558987, friendlyName=Open</x:v>
      </x:c>
      <x:c r="C3048" s="24" t="e">
        <x:f>HYPERLINK("https://365nails.com/products/gothic-silver-ombre-butterfly-gem-long-press-on-nails","Gothic Silver Ombré Butterfly Gem Long Press-On Nails")</x:f>
        <x:v>HYPERLINK is not implemented. linkLocation=https://365nails.com/products/gothic-silver-ombre-butterfly-gem-long-press-on-nails, friendlyName=Gothic Silver Ombré Butterfly Gem Long Press-On Nails</x:v>
      </x:c>
      <x:c r="D3048" s="18" t="str">
        <x:v>shape: long tip; size: S / M / L</x:v>
      </x:c>
      <x:c r="E3048" s="25" t="str">
        <x:v>$4.99</x:v>
      </x:c>
      <x:c r="F3048" s="19" t="str">
        <x:v>30</x:v>
      </x:c>
    </x:row>
    <x:row r="3049" ht="93" customHeight="1">
      <x:c r="A3049" s="19" t="n">
        <x:v>3046</x:v>
      </x:c>
      <x:c r="B3049" s="22" t="e">
        <x:f>HYPERLINK("https://cdn.shopify.com/s/files/1/0918/6066/4603/files/4750d3a6039b917d68fac2e67b56a297.jpg?v=1773301898","Open")</x:f>
        <x:v>HYPERLINK is not implemented. linkLocation=https://cdn.shopify.com/s/files/1/0918/6066/4603/files/4750d3a6039b917d68fac2e67b56a297.jpg?v=1773301898, friendlyName=Open</x:v>
      </x:c>
      <x:c r="C3049" s="24" t="e">
        <x:f>HYPERLINK("https://365nails.com/products/365nails-hawaii-blue-floral-handmade-press-on-toenails-pedicure","365nails: ""hawaii  blue floral"" – handmade press-on toenails / pedicure")</x:f>
        <x:v>HYPERLINK is not implemented. linkLocation=https://365nails.com/products/365nails-hawaii-blue-floral-handmade-press-on-toenails-pedicure, friendlyName=365nails: "hawaii  blue floral" – handmade press-on toenails / pedicure</x:v>
      </x:c>
      <x:c r="D3049" s="18" t="str">
        <x:v>Size: XS / S / M / L</x:v>
      </x:c>
      <x:c r="E3049" s="25" t="str">
        <x:v>$3.99</x:v>
      </x:c>
      <x:c r="F3049" s="19" t="str">
        <x:v>3</x:v>
      </x:c>
    </x:row>
    <x:row r="3050" ht="93" customHeight="1">
      <x:c r="A3050" s="19" t="n">
        <x:v>3047</x:v>
      </x:c>
      <x:c r="B3050" s="22" t="e">
        <x:f>HYPERLINK("https://cdn.shopify.com/s/files/1/0918/6066/4603/files/fb77505e02c1d8100bde69450e19d971_dc078887-e4c6-48a8-aa61-8e1f491466c3.jpg?v=1773306965","Open")</x:f>
        <x:v>HYPERLINK is not implemented. linkLocation=https://cdn.shopify.com/s/files/1/0918/6066/4603/files/fb77505e02c1d8100bde69450e19d971_dc078887-e4c6-48a8-aa61-8e1f491466c3.jpg?v=1773306965, friendlyName=Open</x:v>
      </x:c>
      <x:c r="C3050" s="24" t="e">
        <x:f>HYPERLINK("https://365nails.com/products/365nails-crushed-silver-glass-handmade-press-on-pedicure","365nails: ""crushed silver glass"" – handmade press-on pedicure")</x:f>
        <x:v>HYPERLINK is not implemented. linkLocation=https://365nails.com/products/365nails-crushed-silver-glass-handmade-press-on-pedicure, friendlyName=365nails: "crushed silver glass" – handmade press-on pedicure</x:v>
      </x:c>
      <x:c r="D3050" s="18" t="str">
        <x:v>Size: XS / S / M / L</x:v>
      </x:c>
      <x:c r="E3050" s="25" t="str">
        <x:v>$4.99</x:v>
      </x:c>
      <x:c r="F3050" s="19" t="str">
        <x:v>3</x:v>
      </x:c>
    </x:row>
    <x:row r="3051" ht="93" customHeight="1">
      <x:c r="A3051" s="19" t="n">
        <x:v>3048</x:v>
      </x:c>
      <x:c r="B3051" s="22" t="e">
        <x:f>HYPERLINK("https://cdn.shopify.com/s/files/1/0918/6066/4603/files/3d4c73c095962f56e218fda1ebdf7ca4.jpg?v=1775203554","Open")</x:f>
        <x:v>HYPERLINK is not implemented. linkLocation=https://cdn.shopify.com/s/files/1/0918/6066/4603/files/3d4c73c095962f56e218fda1ebdf7ca4.jpg?v=1775203554, friendlyName=Open</x:v>
      </x:c>
      <x:c r="C3051" s="24" t="e">
        <x:f>HYPERLINK("https://365nails.com/products/365nails-tortoiseshell-silver-stripe-3d-hardware-luxury-monogram-handmade-squoval-nails","Luxury Logo 365nails: ""Tortoiseshell Silver Stripe"" – 3D Hardware &amp; Luxury Monogram Handmade Squoval Nails")</x:f>
        <x:v>HYPERLINK is not implemented. linkLocation=https://365nails.com/products/365nails-tortoiseshell-silver-stripe-3d-hardware-luxury-monogram-handmade-squoval-nails, friendlyName=Luxury Logo 365nails: "Tortoiseshell Silver Stripe" – 3D Hardware &amp; Luxury Monogram Handmade Squoval Nails</x:v>
      </x:c>
      <x:c r="D3051" s="18" t="str">
        <x:v>Size: XS / S / M / L</x:v>
      </x:c>
      <x:c r="E3051" s="25" t="str">
        <x:v>$6.99</x:v>
      </x:c>
      <x:c r="F3051" s="19" t="str">
        <x:v>3</x:v>
      </x:c>
    </x:row>
    <x:row r="3052" ht="93" customHeight="1">
      <x:c r="A3052" s="19" t="n">
        <x:v>3049</x:v>
      </x:c>
      <x:c r="B3052" s="22" t="e">
        <x:f>HYPERLINK("https://cdn.shopify.com/s/files/1/0918/6066/4603/files/f068ee2291bd067c7d20321c144e9d19.jpg?v=1773302013","Open")</x:f>
        <x:v>HYPERLINK is not implemented. linkLocation=https://cdn.shopify.com/s/files/1/0918/6066/4603/files/f068ee2291bd067c7d20321c144e9d19.jpg?v=1773302013, friendlyName=Open</x:v>
      </x:c>
      <x:c r="C3052" s="24" t="e">
        <x:f>HYPERLINK("https://365nails.com/products/365nails-emerald-meteor-shower-handmade-press-on-toenails-pedicure","365nails: ""emerald meteor shower"" – handmade press-on toenails / pedicure")</x:f>
        <x:v>HYPERLINK is not implemented. linkLocation=https://365nails.com/products/365nails-emerald-meteor-shower-handmade-press-on-toenails-pedicure, friendlyName=365nails: "emerald meteor shower" – handmade press-on toenails / pedicure</x:v>
      </x:c>
      <x:c r="D3052" s="18" t="str">
        <x:v>Size: XS / S / M / L</x:v>
      </x:c>
      <x:c r="E3052" s="25" t="str">
        <x:v>$2.99</x:v>
      </x:c>
      <x:c r="F3052" s="19" t="str">
        <x:v>3</x:v>
      </x:c>
    </x:row>
    <x:row r="3053" ht="93" customHeight="1">
      <x:c r="A3053" s="19" t="n">
        <x:v>3050</x:v>
      </x:c>
      <x:c r="B3053" s="22" t="e">
        <x:f>HYPERLINK("https://cdn.shopify.com/s/files/1/0918/6066/4603/files/a02615e880a127d5395ad0473612a9d6.jpg?v=1772707827","Open")</x:f>
        <x:v>HYPERLINK is not implemented. linkLocation=https://cdn.shopify.com/s/files/1/0918/6066/4603/files/a02615e880a127d5395ad0473612a9d6.jpg?v=1772707827, friendlyName=Open</x:v>
      </x:c>
      <x:c r="C3053" s="24" t="e">
        <x:f>HYPERLINK("https://365nails.com/products/365nails-cross-border-hot-selling-half-matte-nail-tips-clear-seamless-nail-extension-set-with-storage-case","365nails Cross-Border Hot-Selling Half-Matte Nail Tips | Clear Seamless Nail Extension Set with Storage Case")</x:f>
        <x:v>HYPERLINK is not implemented. linkLocation=https://365nails.com/products/365nails-cross-border-hot-selling-half-matte-nail-tips-clear-seamless-nail-extension-set-with-storage-case, friendlyName=365nails Cross-Border Hot-Selling Half-Matte Nail Tips | Clear Seamless Nail Extension Set with Storage Case</x:v>
      </x:c>
      <x:c r="D3053" s="18" t="str">
        <x:v>Color: Ys-149-traceless-120 pieces in box / Ys-149-traceless-240 pieces in box</x:v>
      </x:c>
      <x:c r="E3053" s="25" t="str">
        <x:v>$0.78–$1.23</x:v>
      </x:c>
      <x:c r="F3053" s="19" t="str">
        <x:v>3</x:v>
      </x:c>
    </x:row>
    <x:row r="3054" ht="93" customHeight="1">
      <x:c r="A3054" s="19" t="n">
        <x:v>3051</x:v>
      </x:c>
      <x:c r="B3054" s="22" t="e">
        <x:f>HYPERLINK("https://cdn.shopify.com/s/files/1/0918/6066/4603/files/O1CN019MRCRv2ABd0Oj3LO0__2218458308165-0-cib.jpg?v=1776157118","Open")</x:f>
        <x:v>HYPERLINK is not implemented. linkLocation=https://cdn.shopify.com/s/files/1/0918/6066/4603/files/O1CN019MRCRv2ABd0Oj3LO0__2218458308165-0-cib.jpg?v=1776157118, friendlyName=Open</x:v>
      </x:c>
      <x:c r="C3054" s="24" t="e">
        <x:f>HYPERLINK("https://365nails.com/products/%E8%B7%A8%E5%A2%83%E7%83%AD%E9%94%80%E7%9F%AD%E6%96%B9%E7%94%B2%E7%BA%A2%E8%93%9D%E8%89%B2%E6%9D%A1%E7%BA%B9%E7%BE%8E%E5%9B%BD%E7%8B%AC%E7%AB%8B%E6%97%A5%E4%BA%94%E8%A7%92%E6%98%9F%E6%AC%A7%E7%BE%8E%E7%A9%BF%E6%88%B4%E7%94%B2%E5%A4%96%E8%B4%B8%E5%81%87%E7%94%B2%E7%89%87","365nails: ""Patriotic Chevron"" – Geometric Chevron &amp; Star Printed Oval Nails")</x:f>
        <x:v>HYPERLINK is not implemented. linkLocation=https://365nails.com/products/%E8%B7%A8%E5%A2%83%E7%83%AD%E9%94%80%E7%9F%AD%E6%96%B9%E7%94%B2%E7%BA%A2%E8%93%9D%E8%89%B2%E6%9D%A1%E7%BA%B9%E7%BE%8E%E5%9B%BD%E7%8B%AC%E7%AB%8B%E6%97%A5%E4%BA%94%E8%A7%92%E6%98%9F%E6%AC%A7%E7%BE%8E%E7%A9%BF%E6%88%B4%E7%94%B2%E5%A4%96%E8%B4%B8%E5%81%87%E7%94%B2%E7%89%87, friendlyName=365nails: "Patriotic Chevron" – Geometric Chevron &amp; Star Printed Oval Nails</x:v>
      </x:c>
      <x:c r="D3054" s="18" t="str">
        <x:v>Color: Jml536 (without tools) / Jml536 (glue type) / Jml536 (jelly glue rubbing strip)</x:v>
      </x:c>
      <x:c r="E3054" s="25" t="str">
        <x:v>$0.99</x:v>
      </x:c>
      <x:c r="F3054" s="19" t="str">
        <x:v>3</x:v>
      </x:c>
    </x:row>
    <x:row r="3055" ht="93" customHeight="1">
      <x:c r="A3055" s="19" t="n">
        <x:v>3052</x:v>
      </x:c>
      <x:c r="B3055" s="22" t="e">
        <x:f>HYPERLINK("https://cdn.shopify.com/s/files/1/0918/6066/4603/files/O1CN012bitog2MQzfx4Htby__2219089449823-0-cib.jpg?v=1774065703","Open")</x:f>
        <x:v>HYPERLINK is not implemented. linkLocation=https://cdn.shopify.com/s/files/1/0918/6066/4603/files/O1CN012bitog2MQzfx4Htby__2219089449823-0-cib.jpg?v=1774065703, friendlyName=Open</x:v>
      </x:c>
      <x:c r="C3055" s="24" t="e">
        <x:f>HYPERLINK("https://365nails.com/products/sakura-romance-pink-gradient-flower-long-almond-handmade-nails","365nails-Sakura Romance: ""Pink Gradient Flower"" – Long Almond Handmade Nails")</x:f>
        <x:v>HYPERLINK is not implemented. linkLocation=https://365nails.com/products/sakura-romance-pink-gradient-flower-long-almond-handmade-nails, friendlyName=365nails-Sakura Romance: "Pink Gradient Flower" – Long Almond Handmade Nails</x:v>
      </x:c>
      <x:c r="D3055" s="18" t="str">
        <x:v>Color: D262; Color classification: X s / S / M / L</x:v>
      </x:c>
      <x:c r="E3055" s="25" t="str">
        <x:v>$3.99</x:v>
      </x:c>
      <x:c r="F3055" s="19" t="str">
        <x:v>5</x:v>
      </x:c>
    </x:row>
    <x:row r="3056" ht="93" customHeight="1">
      <x:c r="A3056" s="19" t="n">
        <x:v>3053</x:v>
      </x:c>
      <x:c r="B3056" s="22" t="e">
        <x:f>HYPERLINK("https://cdn.shopify.com/s/files/1/0918/6066/4603/files/51c42d8fd1c04943d7e0dc1cd37c2f24.jpg?v=1773305062","Open")</x:f>
        <x:v>HYPERLINK is not implemented. linkLocation=https://cdn.shopify.com/s/files/1/0918/6066/4603/files/51c42d8fd1c04943d7e0dc1cd37c2f24.jpg?v=1773305062, friendlyName=Open</x:v>
      </x:c>
      <x:c r="C3056" s="24" t="e">
        <x:f>HYPERLINK("https://365nails.com/products/365nails-rainbow-crystal-pave-handmade-press-on-pedicure","365nails: ""rainbow crystal pave"" – handmade press-on pedicure")</x:f>
        <x:v>HYPERLINK is not implemented. linkLocation=https://365nails.com/products/365nails-rainbow-crystal-pave-handmade-press-on-pedicure, friendlyName=365nails: "rainbow crystal pave" – handmade press-on pedicure</x:v>
      </x:c>
      <x:c r="D3056" s="18" t="str">
        <x:v>Size: XS / S / M / L</x:v>
      </x:c>
      <x:c r="E3056" s="25" t="str">
        <x:v>$4.99</x:v>
      </x:c>
      <x:c r="F3056" s="19" t="str">
        <x:v>3</x:v>
      </x:c>
    </x:row>
    <x:row r="3057" ht="93" customHeight="1">
      <x:c r="A3057" s="19" t="n">
        <x:v>3054</x:v>
      </x:c>
      <x:c r="B3057" s="22" t="e">
        <x:f>HYPERLINK("https://cdn.shopify.com/s/files/1/0918/6066/4603/files/aa30b34bd886df9c1ab505a97ba328a3.jpg?v=1773302163","Open")</x:f>
        <x:v>HYPERLINK is not implemented. linkLocation=https://cdn.shopify.com/s/files/1/0918/6066/4603/files/aa30b34bd886df9c1ab505a97ba328a3.jpg?v=1773302163, friendlyName=Open</x:v>
      </x:c>
      <x:c r="C3057" s="24" t="e">
        <x:f>HYPERLINK("https://365nails.com/products/365nails-magenta-aura-hearts-handmade-press-on-toenails-pedicure","365nails: ""magenta aura hearts"" – handmade press-on toenails / pedicure")</x:f>
        <x:v>HYPERLINK is not implemented. linkLocation=https://365nails.com/products/365nails-magenta-aura-hearts-handmade-press-on-toenails-pedicure, friendlyName=365nails: "magenta aura hearts" – handmade press-on toenails / pedicure</x:v>
      </x:c>
      <x:c r="D3057" s="18" t="str">
        <x:v>Size: XS / S / M / L</x:v>
      </x:c>
      <x:c r="E3057" s="25" t="str">
        <x:v>$3.99</x:v>
      </x:c>
      <x:c r="F3057" s="19" t="str">
        <x:v>3</x:v>
      </x:c>
    </x:row>
    <x:row r="3058" ht="93" customHeight="1">
      <x:c r="A3058" s="19" t="n">
        <x:v>3055</x:v>
      </x:c>
      <x:c r="B3058" s="22" t="e">
        <x:f>HYPERLINK("https://cdn.shopify.com/s/files/1/0918/6066/4603/files/479d34e55b7ae66c4e7426e5958a693e.jpg?v=1755249179","Open")</x:f>
        <x:v>HYPERLINK is not implemented. linkLocation=https://cdn.shopify.com/s/files/1/0918/6066/4603/files/479d34e55b7ae66c4e7426e5958a693e.jpg?v=1755249179, friendlyName=Open</x:v>
      </x:c>
      <x:c r="C3058" s="24" t="e">
        <x:f>HYPERLINK("https://365nails.com/products/nail-tips-transparent-press-on-nails-piece-xl-nail-piece-360-piece-box-light-and-thin-full-sticker-ballet-nail-extended-water-drop-nail-piece","Nail Tips transparent press on nails piece XL nail piece 360 piece box light and thin full sticker ballet nail extended water drop nail piece (MOQ=3)")</x:f>
        <x:v>HYPERLINK is not implemented. linkLocation=https://365nails.com/products/nail-tips-transparent-press-on-nails-piece-xl-nail-piece-360-piece-box-light-and-thin-full-sticker-ballet-nail-extended-water-drop-nail-piece, friendlyName=Nail Tips transparent press on nails piece XL nail piece 360 piece box light and thin full sticker ballet nail extended water drop nail piece (MOQ=3)</x:v>
      </x:c>
      <x:c r="D3058" s="18" t="str">
        <x:v>Color: Long Water Drop-360 Pieces - Transparent Color Box / Long Water Drop-360 Pieces - Natural Color Box / Long Ballet - 360 Pieces - Transparent Box / Long Ballet - 360 Pieces - Natural Color Box; Quantity: 3pcs</x:v>
      </x:c>
      <x:c r="E3058" s="25" t="str">
        <x:v>$4.65–$5.16</x:v>
      </x:c>
      <x:c r="F3058" s="19" t="str">
        <x:v>1</x:v>
      </x:c>
    </x:row>
    <x:row r="3059" ht="93" customHeight="1">
      <x:c r="A3059" s="19" t="n">
        <x:v>3056</x:v>
      </x:c>
      <x:c r="B3059" s="22" t="e">
        <x:f>HYPERLINK("https://cdn.shopify.com/s/files/1/0918/6066/4603/files/329bce8a7e17a8e633092802c6a00f0c.jpg?v=1772707834","Open")</x:f>
        <x:v>HYPERLINK is not implemented. linkLocation=https://cdn.shopify.com/s/files/1/0918/6066/4603/files/329bce8a7e17a8e633092802c6a00f0c.jpg?v=1772707834, friendlyName=Open</x:v>
      </x:c>
      <x:c r="C3059" s="24" t="e">
        <x:f>HYPERLINK("https://365nails.com/products/365nails-120pcs-clear-nail-tips-14-shapes-full-size-range-for-gel-extensions","365nails 120PCS Clear Nail Tips | 14 Shapes Full Size Range for Gel Extensions")</x:f>
        <x:v>HYPERLINK is not implemented. linkLocation=https://365nails.com/products/365nails-120pcs-clear-nail-tips-14-shapes-full-size-range-for-gel-extensions, friendlyName=365nails 120PCS Clear Nail Tips | 14 Shapes Full Size Range for Gel Extensions</x:v>
      </x:c>
      <x:c r="D3059" s="18" t="str">
        <x:v>Color: 101 short almonds / 102 short ballet / 103 short water drops / 104 little fat round / 105 long oval / 106 inner and outer square armor / 107 inner and outer long ballet / 108 inner and outer long ellipse / 109 internal and external almond a / 110 internal and external long water droplets / 180 square armor / 181 long ballet / 182 long water droplets / 183 long almond / 184 short ballet / 187 almonds / 188 japanese style short square / 189 plus rectangle / 275 long almonds</x:v>
      </x:c>
      <x:c r="E3059" s="25" t="str">
        <x:v>$0.63</x:v>
      </x:c>
      <x:c r="F3059" s="19" t="str">
        <x:v>3</x:v>
      </x:c>
    </x:row>
    <x:row r="3060" ht="93" customHeight="1">
      <x:c r="A3060" s="19" t="n">
        <x:v>3057</x:v>
      </x:c>
      <x:c r="B3060" s="22" t="e">
        <x:f>HYPERLINK("https://cdn.shopify.com/s/files/1/0918/6066/4603/files/e56982a9f77101b9cda5bd376e75c32f.jpg?v=1773304094","Open")</x:f>
        <x:v>HYPERLINK is not implemented. linkLocation=https://cdn.shopify.com/s/files/1/0918/6066/4603/files/e56982a9f77101b9cda5bd376e75c32f.jpg?v=1773304094, friendlyName=Open</x:v>
      </x:c>
      <x:c r="C3060" s="24" t="e">
        <x:f>HYPERLINK("https://365nails.com/products/365nails-pink-jelly-star-handmade-press-on-pedicure","365nails: ""pink jelly star"" – handmade press-on pedicure")</x:f>
        <x:v>HYPERLINK is not implemented. linkLocation=https://365nails.com/products/365nails-pink-jelly-star-handmade-press-on-pedicure, friendlyName=365nails: "pink jelly star" – handmade press-on pedicure</x:v>
      </x:c>
      <x:c r="D3060" s="18" t="str">
        <x:v>Size: XS / S / M / L</x:v>
      </x:c>
      <x:c r="E3060" s="25" t="str">
        <x:v>$2.99</x:v>
      </x:c>
      <x:c r="F3060" s="19" t="str">
        <x:v>3</x:v>
      </x:c>
    </x:row>
    <x:row r="3061" ht="93" customHeight="1">
      <x:c r="A3061" s="19" t="n">
        <x:v>3058</x:v>
      </x:c>
      <x:c r="B3061" s="22" t="e">
        <x:f>HYPERLINK("https://cdn.shopify.com/s/files/1/0918/6066/4603/files/O1CN01fhKyWW2ABd0Cqdml9__2218458308165-0-cib.jpg?v=1776154964","Open")</x:f>
        <x:v>HYPERLINK is not implemented. linkLocation=https://cdn.shopify.com/s/files/1/0918/6066/4603/files/O1CN01fhKyWW2ABd0Cqdml9__2218458308165-0-cib.jpg?v=1776154964, friendlyName=Open</x:v>
      </x:c>
      <x:c r="C3061" s="24" t="e">
        <x:f>HYPERLINK("https://365nails.com/products/%E8%B7%A8%E5%A2%83%E7%83%AD%E9%94%80%E7%BA%A2%E8%93%9D%E6%8B%BC%E8%89%B2%E6%9D%8F%E4%BB%81%E7%94%B2%E6%98%9F%E6%98%9F%E8%9D%B4%E8%9D%B6%E7%BB%93%E6%A0%BC%E7%BA%B9%E7%BE%8E%E7%94%B2%E8%B4%B4%E7%89%87%E7%BE%8E%E5%9B%BD%E7%8B%AC%E7%AB%8B%E6%97%A5%E5%81%87%E7%94%B2%E7%89%87","365nails: ""Patriotic Plaid""")</x:f>
        <x:v>HYPERLINK is not implemented. linkLocation=https://365nails.com/products/%E8%B7%A8%E5%A2%83%E7%83%AD%E9%94%80%E7%BA%A2%E8%93%9D%E6%8B%BC%E8%89%B2%E6%9D%8F%E4%BB%81%E7%94%B2%E6%98%9F%E6%98%9F%E8%9D%B4%E8%9D%B6%E7%BB%93%E6%A0%BC%E7%BA%B9%E7%BE%8E%E7%94%B2%E8%B4%B4%E7%89%87%E7%BE%8E%E5%9B%BD%E7%8B%AC%E7%AB%8B%E6%97%A5%E5%81%87%E7%94%B2%E7%89%87, friendlyName=365nails: "Patriotic Plaid"</x:v>
      </x:c>
      <x:c r="D3061" s="18" t="str">
        <x:v>Color: Jml490 (without tools) / Jml490 (glue type) / Jml490 (jelly glue rubbing strip)</x:v>
      </x:c>
      <x:c r="E3061" s="25" t="str">
        <x:v>$0.99</x:v>
      </x:c>
      <x:c r="F3061" s="19" t="str">
        <x:v>3</x:v>
      </x:c>
    </x:row>
    <x:row r="3062" ht="93" customHeight="1">
      <x:c r="A3062" s="19" t="n">
        <x:v>3059</x:v>
      </x:c>
      <x:c r="B3062" s="22" t="e">
        <x:f>HYPERLINK("https://cdn.shopify.com/s/files/1/0918/6066/4603/files/O1CN01nqn3bL1nRtuoXUuGl__3334755087-0-cib.jpg?v=1779176920","Open")</x:f>
        <x:v>HYPERLINK is not implemented. linkLocation=https://cdn.shopify.com/s/files/1/0918/6066/4603/files/O1CN01nqn3bL1nRtuoXUuGl__3334755087-0-cib.jpg?v=1779176920, friendlyName=Open</x:v>
      </x:c>
      <x:c r="C3062" s="24" t="e">
        <x:f>HYPERLINK("https://365nails.com/products/world-cup-argentina-flag-football-gold-accent-press-on-nails-stiletto-24pcs-fashion","World Cup Argentina Flag Football Gold Accent Press-On Nails (Stiletto/24pcs/Fashion)")</x:f>
        <x:v>HYPERLINK is not implemented. linkLocation=https://365nails.com/products/world-cup-argentina-flag-football-gold-accent-press-on-nails-stiletto-24pcs-fashion, friendlyName=World Cup Argentina Flag Football Gold Accent Press-On Nails (Stiletto/24pcs/Fashion)</x:v>
      </x:c>
      <x:c r="D3062" s="18" t="str">
        <x:v>Color: 24 pieces in small white box (with jelly glue + rubbing strips)</x:v>
      </x:c>
      <x:c r="E3062" s="25" t="str">
        <x:v>$0.99</x:v>
      </x:c>
      <x:c r="F3062" s="19" t="str">
        <x:v>10</x:v>
      </x:c>
    </x:row>
    <x:row r="3063" ht="93" customHeight="1">
      <x:c r="A3063" s="19" t="n">
        <x:v>3060</x:v>
      </x:c>
      <x:c r="B3063" s="22" t="e">
        <x:f>HYPERLINK("https://cdn.shopify.com/s/files/1/0918/6066/4603/files/dcbfc61eaf44c110b1d831c1db2848fd.jpg?v=1773305385","Open")</x:f>
        <x:v>HYPERLINK is not implemented. linkLocation=https://cdn.shopify.com/s/files/1/0918/6066/4603/files/dcbfc61eaf44c110b1d831c1db2848fd.jpg?v=1773305385, friendlyName=Open</x:v>
      </x:c>
      <x:c r="C3063" s="24" t="e">
        <x:f>HYPERLINK("https://365nails.com/products/365nails-mint-pearl-floral-handmade-press-on-pedicure","365nails: ""mint pearl floral"" – handmade press-on pedicure")</x:f>
        <x:v>HYPERLINK is not implemented. linkLocation=https://365nails.com/products/365nails-mint-pearl-floral-handmade-press-on-pedicure, friendlyName=365nails: "mint pearl floral" – handmade press-on pedicure</x:v>
      </x:c>
      <x:c r="D3063" s="18" t="str">
        <x:v>Size: XS / S / M / L</x:v>
      </x:c>
      <x:c r="E3063" s="25" t="str">
        <x:v>$3.99</x:v>
      </x:c>
      <x:c r="F3063" s="19" t="str">
        <x:v>3</x:v>
      </x:c>
    </x:row>
    <x:row r="3064" ht="93" customHeight="1">
      <x:c r="A3064" s="19" t="n">
        <x:v>3061</x:v>
      </x:c>
      <x:c r="B3064" s="22" t="e">
        <x:f>HYPERLINK("https://cdn.shopify.com/s/files/1/0918/6066/4603/files/tufan_2F42c22342-c5d3-11f0-8a1f-00163e19eec2.jpg?v=1763617360","Open")</x:f>
        <x:v>HYPERLINK is not implemented. linkLocation=https://cdn.shopify.com/s/files/1/0918/6066/4603/files/tufan_2F42c22342-c5d3-11f0-8a1f-00163e19eec2.jpg?v=1763617360, friendlyName=Open</x:v>
      </x:c>
      <x:c r="C3064" s="24" t="e">
        <x:f>HYPERLINK("https://365nails.com/products/pink-gradient-cotton-texture-nail-display-card-elegant-press-on-nail-packaging-background-card","Pink Gradient Cotton Texture Nail Display Card – Elegant Press‑On Nail Packaging Background Card")</x:f>
        <x:v>HYPERLINK is not implemented. linkLocation=https://365nails.com/products/pink-gradient-cotton-texture-nail-display-card-elegant-press-on-nail-packaging-background-card, friendlyName=Pink Gradient Cotton Texture Nail Display Card – Elegant Press‑On Nail Packaging Background Card</x:v>
      </x:c>
      <x:c r="D3064" s="18" t="str">
        <x:v>Specifications and models: Universal logo spot direct shot 9x14cm / 9X10.8cm Rose Red Barbie 01 / 9X10.8cm Rose Red Barbie 02 / Spot direct auction 13.4 * 8.6cm / Spot direct auction 13.5 * 8.5cm / Purple bow 8.5x11cm / Spot Tree Pattern Brown 9x10cm / 9X12cm black card bronzing 01 / 9X12cm black card bronzing 02 models / 9X12cm black card bronzing 03 models; Quantity: 100pcs</x:v>
      </x:c>
      <x:c r="E3064" s="25" t="str">
        <x:v>$12.00</x:v>
      </x:c>
      <x:c r="F3064" s="19" t="str">
        <x:v>1</x:v>
      </x:c>
    </x:row>
    <x:row r="3065" ht="93" customHeight="1">
      <x:c r="A3065" s="19" t="n">
        <x:v>3062</x:v>
      </x:c>
      <x:c r="B3065" s="22" t="e">
        <x:f>HYPERLINK("https://cdn.shopify.com/s/files/1/0918/6066/4603/files/O1CN01EhjHfm1xxAoIfwMqc__2212202186509-0-cib.jpg?v=1763617796","Open")</x:f>
        <x:v>HYPERLINK is not implemented. linkLocation=https://cdn.shopify.com/s/files/1/0918/6066/4603/files/O1CN01EhjHfm1xxAoIfwMqc__2212202186509-0-cib.jpg?v=1763617796, friendlyName=Open</x:v>
      </x:c>
      <x:c r="C3065" s="24" t="e">
        <x:f>HYPERLINK("https://365nails.com/products/spot-relief-three-dimensional-rose-wearing-armor-display-card-beige-advanced-bronzing-nail-art-background-cardboard-packaging","Spot relief three-dimensional rose wearing armor display card beige advanced bronzing nail art background cardboard packaging")</x:f>
        <x:v>HYPERLINK is not implemented. linkLocation=https://365nails.com/products/spot-relief-three-dimensional-rose-wearing-armor-display-card-beige-advanced-bronzing-nail-art-background-cardboard-packaging, friendlyName=Spot relief three-dimensional rose wearing armor display card beige advanced bronzing nail art background cardboard packaging</x:v>
      </x:c>
      <x:c r="D3065" s="18" t="str">
        <x:v>Specifications and models: Arched bronzing beige fat rose (8 * 10.7CM) / Arched Hot Silver Beige Fat Rose (8 * 10.7CM) / Beige Square Rose (8 * 8CM) / Beige Love Rose (7.5 * 8.5CM) / Beige Rectangle Rose (7 * 11.5CM); Quantity: 100pcs</x:v>
      </x:c>
      <x:c r="E3065" s="25" t="str">
        <x:v>$9.00</x:v>
      </x:c>
      <x:c r="F3065" s="19" t="str">
        <x:v>1</x:v>
      </x:c>
    </x:row>
    <x:row r="3066" ht="93" customHeight="1">
      <x:c r="A3066" s="19" t="n">
        <x:v>3063</x:v>
      </x:c>
      <x:c r="B3066" s="22" t="e">
        <x:f>HYPERLINK("https://cdn.shopify.com/s/files/1/0918/6066/4603/files/O1CN01cba8jM2MQzgEcmQ5z__2219089449823-0-cib.jpg?v=1774349001","Open")</x:f>
        <x:v>HYPERLINK is not implemented. linkLocation=https://cdn.shopify.com/s/files/1/0918/6066/4603/files/O1CN01cba8jM2MQzgEcmQ5z__2219089449823-0-cib.jpg?v=1774349001, friendlyName=Open</x:v>
      </x:c>
      <x:c r="C3066" s="24" t="e">
        <x:f>HYPERLINK("https://365nails.com/products/365nails-crimson-flame-edge-long-stiletto-red-metallic-hollow-handmade-press-on-nails","365nails: ""Crimson Flame Edge"" – Long Stiletto Red Metallic Hollow Handmade Press-On Nails")</x:f>
        <x:v>HYPERLINK is not implemented. linkLocation=https://365nails.com/products/365nails-crimson-flame-edge-long-stiletto-red-metallic-hollow-handmade-press-on-nails, friendlyName=365nails: "Crimson Flame Edge" – Long Stiletto Red Metallic Hollow Handmade Press-On Nails</x:v>
      </x:c>
      <x:c r="D3066" s="18" t="str">
        <x:v>Color: L015; Color classification: S / M / L</x:v>
      </x:c>
      <x:c r="E3066" s="25" t="str">
        <x:v>$3.49</x:v>
      </x:c>
      <x:c r="F3066" s="19" t="str">
        <x:v>1</x:v>
      </x:c>
    </x:row>
    <x:row r="3067" ht="93" customHeight="1">
      <x:c r="A3067" s="19" t="n">
        <x:v>3064</x:v>
      </x:c>
      <x:c r="B3067" s="22" t="e">
        <x:f>HYPERLINK("https://cdn.shopify.com/s/files/1/0918/6066/4603/files/O1CN011zvyJY2MQza9vP3Hk__2219089449823-0-cib.jpg?v=1774065339","Open")</x:f>
        <x:v>HYPERLINK is not implemented. linkLocation=https://cdn.shopify.com/s/files/1/0918/6066/4603/files/O1CN011zvyJY2MQza9vP3Hk__2219089449823-0-cib.jpg?v=1774065339, friendlyName=Open</x:v>
      </x:c>
      <x:c r="C3067" s="24" t="e">
        <x:f>HYPERLINK("https://365nails.com/products/dreamy-blush-crystal-bloom-almond-medium-length-handmade-nails","365nails-Dreamy Blush: ""Crystal Bloom"" – Almond Medium Length Handmade Nails")</x:f>
        <x:v>HYPERLINK is not implemented. linkLocation=https://365nails.com/products/dreamy-blush-crystal-bloom-almond-medium-length-handmade-nails, friendlyName=365nails-Dreamy Blush: "Crystal Bloom" – Almond Medium Length Handmade Nails</x:v>
      </x:c>
      <x:c r="D3067" s="18" t="str">
        <x:v>Color: C67 butterfly wing dewdrop - oblong; Color classification: X s / S / M / L</x:v>
      </x:c>
      <x:c r="E3067" s="25" t="str">
        <x:v>$3.99</x:v>
      </x:c>
      <x:c r="F3067" s="19" t="str">
        <x:v>5</x:v>
      </x:c>
    </x:row>
    <x:row r="3068" ht="93" customHeight="1">
      <x:c r="A3068" s="19" t="n">
        <x:v>3065</x:v>
      </x:c>
      <x:c r="B3068" s="22" t="e">
        <x:f>HYPERLINK("https://cdn.shopify.com/s/files/1/0918/6066/4603/files/O1CN01WiNFea1jtbMnlSyZY__6000000004606-0-cib.jpg?v=1774947147","Open")</x:f>
        <x:v>HYPERLINK is not implemented. linkLocation=https://cdn.shopify.com/s/files/1/0918/6066/4603/files/O1CN01WiNFea1jtbMnlSyZY__6000000004606-0-cib.jpg?v=1774947147, friendlyName=Open</x:v>
      </x:c>
      <x:c r="C3068" s="24" t="e">
        <x:f>HYPERLINK("https://365nails.com/products/365nails-tropical-bloom-3d-floral-handmade-almond-nails-3","365nails: ""Tropical Bloom"" – 3D Floral Handmade Almond Nails")</x:f>
        <x:v>HYPERLINK is not implemented. linkLocation=https://365nails.com/products/365nails-tropical-bloom-3d-floral-handmade-almond-nails-3, friendlyName=365nails: "Tropical Bloom" – 3D Floral Handmade Almond Nails</x:v>
      </x:c>
      <x:c r="D3068" s="18" t="str">
        <x:v>Color: Almond; Color classification: Xs / S / M / L</x:v>
      </x:c>
      <x:c r="E3068" s="25" t="str">
        <x:v>$4.99</x:v>
      </x:c>
      <x:c r="F3068" s="19" t="str">
        <x:v>3</x:v>
      </x:c>
    </x:row>
    <x:row r="3069" ht="93" customHeight="1">
      <x:c r="A3069" s="19" t="n">
        <x:v>3066</x:v>
      </x:c>
      <x:c r="B3069" s="22" t="e">
        <x:f>HYPERLINK("https://cdn.shopify.com/s/files/1/0918/6066/4603/files/O1CN01Sb6L9C27ZUkuqHJk5__2220024697811-0-cib.jpg?v=1774946660","Open")</x:f>
        <x:v>HYPERLINK is not implemented. linkLocation=https://cdn.shopify.com/s/files/1/0918/6066/4603/files/O1CN01Sb6L9C27ZUkuqHJk5__2220024697811-0-cib.jpg?v=1774946660, friendlyName=Open</x:v>
      </x:c>
      <x:c r="C3069" s="24" t="e">
        <x:f>HYPERLINK("https://365nails.com/products/365nails-rainbow-swirl-3d-abstract-handmade-almond-nails","365nails: ""Rainbow Swirl"" – 3D Abstract Handmade Almond Nails")</x:f>
        <x:v>HYPERLINK is not implemented. linkLocation=https://365nails.com/products/365nails-rainbow-swirl-3d-abstract-handmade-almond-nails, friendlyName=365nails: "Rainbow Swirl" – 3D Abstract Handmade Almond Nails</x:v>
      </x:c>
      <x:c r="D3069" s="18" t="str">
        <x:v>Color: Almond; Color classification: Xs / S / M / L</x:v>
      </x:c>
      <x:c r="E3069" s="25" t="str">
        <x:v>$4.49</x:v>
      </x:c>
      <x:c r="F3069" s="19" t="str">
        <x:v>3</x:v>
      </x:c>
    </x:row>
    <x:row r="3070" ht="93" customHeight="1">
      <x:c r="A3070" s="19" t="n">
        <x:v>3067</x:v>
      </x:c>
      <x:c r="B3070" s="22" t="e">
        <x:f>HYPERLINK("https://cdn.shopify.com/s/files/1/0918/6066/4603/files/5ad6273a377e4b50453931be40150db7.jpg?v=1779086846","Open")</x:f>
        <x:v>HYPERLINK is not implemented. linkLocation=https://cdn.shopify.com/s/files/1/0918/6066/4603/files/5ad6273a377e4b50453931be40150db7.jpg?v=1779086846, friendlyName=Open</x:v>
      </x:c>
      <x:c r="C3070" s="24" t="e">
        <x:f>HYPERLINK("https://365nails.com/products/dazzling-mint-green-glitter-handmade-nails-3-shapes-available","""Dazzling Mint Green"" - Glitter Handmade Nails (3 Shapes Available)")</x:f>
        <x:v>HYPERLINK is not implemented. linkLocation=https://365nails.com/products/dazzling-mint-green-glitter-handmade-nails-3-shapes-available, friendlyName="Dazzling Mint Green" - Glitter Handmade Nails (3 Shapes Available)</x:v>
      </x:c>
      <x:c r="D3070" s="18" t="str">
        <x:v>Size: XS / S / M / L; Type: Stiletto 3cm / Almond 2cm / Long Coffin 3cm</x:v>
      </x:c>
      <x:c r="E3070" s="25" t="str">
        <x:v>$1.99</x:v>
      </x:c>
      <x:c r="F3070" s="19" t="str">
        <x:v>10</x:v>
      </x:c>
    </x:row>
    <x:row r="3071" ht="93" customHeight="1">
      <x:c r="A3071" s="19" t="n">
        <x:v>3068</x:v>
      </x:c>
      <x:c r="B3071" s="22" t="e">
        <x:f>HYPERLINK("https://cdn.shopify.com/s/files/1/0918/6066/4603/files/O1CN01KocIu51xxB5z7ZCym__2212202186509-0-cib.jpg?v=1763623285","Open")</x:f>
        <x:v>HYPERLINK is not implemented. linkLocation=https://cdn.shopify.com/s/files/1/0918/6066/4603/files/O1CN01KocIu51xxB5z7ZCym__2212202186509-0-cib.jpg?v=1763623285, friendlyName=Open</x:v>
      </x:c>
      <x:c r="C3071" s="24" t="e">
        <x:f>HYPERLINK("https://365nails.com/products/press-on-nail-drawer-box-with-clear-window-thick-paper-gift-packaging-box","Press‑On Nail Drawer Box with Clear Window – Thick Paper Gift Packaging Box")</x:f>
        <x:v>HYPERLINK is not implemented. linkLocation=https://365nails.com/products/press-on-nail-drawer-box-with-clear-window-thick-paper-gift-packaging-box, friendlyName=Press‑On Nail Drawer Box with Clear Window – Thick Paper Gift Packaging Box</x:v>
      </x:c>
      <x:c r="D3071" s="18" t="str">
        <x:v>Color: Vertical gift box (common in stock) / Horizontal gift box (common in stock) / 01 / 02; Size: 9X13x3cm; Quantity: 10pcs</x:v>
      </x:c>
      <x:c r="E3071" s="25" t="str">
        <x:v>$4.30–$5.40</x:v>
      </x:c>
      <x:c r="F3071" s="19" t="str">
        <x:v>1</x:v>
      </x:c>
    </x:row>
    <x:row r="3072" ht="93" customHeight="1">
      <x:c r="A3072" s="19" t="n">
        <x:v>3069</x:v>
      </x:c>
      <x:c r="B3072" s="22" t="e">
        <x:f>HYPERLINK("https://cdn.shopify.com/s/files/1/0918/6066/4603/files/08afa05cc484d6a5930c01dba74aeff8.jpg?v=1755241944","Open")</x:f>
        <x:v>HYPERLINK is not implemented. linkLocation=https://cdn.shopify.com/s/files/1/0918/6066/4603/files/08afa05cc484d6a5930c01dba74aeff8.jpg?v=1755241944, friendlyName=Open</x:v>
      </x:c>
      <x:c r="C3072" s="24" t="e">
        <x:f>HYPERLINK("https://365nails.com/products/nail-tips-press-on-nails-solid-color-glossy-removable-120-pieces-boxed-wearable-prefabricated-nail-piece-false-nail-piece-patch-nail-art","Nail Tips Press on nails Solid color glossy removable 120 pieces Boxed wearable prefabricated nail piece False nail piece Patch nail art (MOQ=3)")</x:f>
        <x:v>HYPERLINK is not implemented. linkLocation=https://365nails.com/products/nail-tips-press-on-nails-solid-color-glossy-removable-120-pieces-boxed-wearable-prefabricated-nail-piece-false-nail-piece-patch-nail-art, friendlyName=Nail Tips Press on nails Solid color glossy removable 120 pieces Boxed wearable prefabricated nail piece False nail piece Patch nail art (MOQ=3)</x:v>
      </x:c>
      <x:c r="D3072" s="18" t="str">
        <x:v>Color: White - 120 piece box / Pink - 120 pieces in a box / Red - 120 pieces in a box / Purple - 120 pieces in a box / White - 120 piece bag / Pink - 120 piece bag / Red - 120 piece bag / Purple - 120 piece bag; Quantity: 3pcs</x:v>
      </x:c>
      <x:c r="E3072" s="25" t="str">
        <x:v>$3.81–$4.11</x:v>
      </x:c>
      <x:c r="F3072" s="19" t="str">
        <x:v>1</x:v>
      </x:c>
    </x:row>
    <x:row r="3073" ht="93" customHeight="1">
      <x:c r="A3073" s="19" t="n">
        <x:v>3070</x:v>
      </x:c>
      <x:c r="B3073" s="22" t="e">
        <x:f>HYPERLINK("https://cdn.shopify.com/s/files/1/0918/6066/4603/files/fa36c27d58f18c5efab077927c388515.jpg?v=1779087762","Open")</x:f>
        <x:v>HYPERLINK is not implemented. linkLocation=https://cdn.shopify.com/s/files/1/0918/6066/4603/files/fa36c27d58f18c5efab077927c388515.jpg?v=1779087762, friendlyName=Open</x:v>
      </x:c>
      <x:c r="C3073" s="24" t="e">
        <x:f>HYPERLINK("https://365nails.com/products/sparkling-soft-pink-glitter-handmade-nails-3-shapes-available","""Sparkling Soft Pink"" - Glitter Handmade Nails (3 Shapes Available)")</x:f>
        <x:v>HYPERLINK is not implemented. linkLocation=https://365nails.com/products/sparkling-soft-pink-glitter-handmade-nails-3-shapes-available, friendlyName="Sparkling Soft Pink" - Glitter Handmade Nails (3 Shapes Available)</x:v>
      </x:c>
      <x:c r="D3073" s="18" t="str">
        <x:v>Size: XS / S / M / L; Type: Stiletto 3cm / Almond 2cm / Long Coffin 3cm</x:v>
      </x:c>
      <x:c r="E3073" s="25" t="str">
        <x:v>$1.99</x:v>
      </x:c>
      <x:c r="F3073" s="19" t="str">
        <x:v>10</x:v>
      </x:c>
    </x:row>
    <x:row r="3074" ht="93" customHeight="1">
      <x:c r="A3074" s="19" t="n">
        <x:v>3071</x:v>
      </x:c>
      <x:c r="B3074" s="22" t="e">
        <x:f>HYPERLINK("https://cdn.shopify.com/s/files/1/0918/6066/4603/files/4f5b1ab3cc29140a040bcb52e0cf7645.jpg?v=1779095787","Open")</x:f>
        <x:v>HYPERLINK is not implemented. linkLocation=https://cdn.shopify.com/s/files/1/0918/6066/4603/files/4f5b1ab3cc29140a040bcb52e0cf7645.jpg?v=1779095787, friendlyName=Open</x:v>
      </x:c>
      <x:c r="C3074" s="24" t="e">
        <x:f>HYPERLINK("https://365nails.com/products/sparkling-aqua-blue-glitter-handmade-nails-3-shapes-available","""Sparkling Aqua Blue"" - Glitter Handmade Nails (3 Shapes Available)")</x:f>
        <x:v>HYPERLINK is not implemented. linkLocation=https://365nails.com/products/sparkling-aqua-blue-glitter-handmade-nails-3-shapes-available, friendlyName="Sparkling Aqua Blue" - Glitter Handmade Nails (3 Shapes Available)</x:v>
      </x:c>
      <x:c r="D3074" s="18" t="str">
        <x:v>Size: XS / S / M / L; Type: Stiletto 3cm / Almond 2cm / Long Coffin 3cm</x:v>
      </x:c>
      <x:c r="E3074" s="25" t="str">
        <x:v>$1.99</x:v>
      </x:c>
      <x:c r="F3074" s="19" t="str">
        <x:v>10</x:v>
      </x:c>
    </x:row>
    <x:row r="3075" ht="93" customHeight="1">
      <x:c r="A3075" s="19" t="n">
        <x:v>3072</x:v>
      </x:c>
      <x:c r="B3075" s="22" t="e">
        <x:f>HYPERLINK("https://cdn.shopify.com/s/files/1/0918/6066/4603/files/O1CN01UAT4451bAhaDx3ZG6__2216807853425-0-cib.jpg?v=1772513863","Open")</x:f>
        <x:v>HYPERLINK is not implemented. linkLocation=https://cdn.shopify.com/s/files/1/0918/6066/4603/files/O1CN01UAT4451bAhaDx3ZG6__2216807853425-0-cib.jpg?v=1772513863, friendlyName=Open</x:v>
      </x:c>
      <x:c r="C3075" s="24" t="e">
        <x:f>HYPERLINK("https://365nails.com/products/365nails-minimalist-soft-mauve-mist-medium-almond-press-on-nails-30pcs","365nails Minimalist: ""Soft Mauve Mist"" – Medium Almond Press On Nails (30pcs)")</x:f>
        <x:v>HYPERLINK is not implemented. linkLocation=https://365nails.com/products/365nails-minimalist-soft-mauve-mist-medium-almond-press-on-nails-30pcs, friendlyName=365nails Minimalist: "Soft Mauve Mist" – Medium Almond Press On Nails (30pcs)</x:v>
      </x:c>
      <x:c r="D3075" s="18" t="str">
        <x:v>Color: Dxr02 soft mist purple; Color classification: Xs+s+m / S+s+s / M+m+m</x:v>
      </x:c>
      <x:c r="E3075" s="25" t="str">
        <x:v>$0.49</x:v>
      </x:c>
      <x:c r="F3075" s="19" t="str">
        <x:v>1</x:v>
      </x:c>
    </x:row>
    <x:row r="3076" ht="93" customHeight="1">
      <x:c r="A3076" s="19" t="n">
        <x:v>3073</x:v>
      </x:c>
      <x:c r="B3076" s="22" t="e">
        <x:f>HYPERLINK("https://cdn.shopify.com/s/files/1/0918/6066/4603/files/6e746e71a2b77180e765ce8a796b9c70.png?v=1755262604","Open")</x:f>
        <x:v>HYPERLINK is not implemented. linkLocation=https://cdn.shopify.com/s/files/1/0918/6066/4603/files/6e746e71a2b77180e765ce8a796b9c70.png?v=1755262604, friendlyName=Open</x:v>
      </x:c>
      <x:c r="C3076" s="24" t="e">
        <x:f>HYPERLINK("https://365nails.com/products/nail-tips-new-french-press-on-nails-color-french-nude-square-toenail-patch-nail-patch-150-pieces-in-a-box","Nail Tips new French press on nails color French nude square toenail patch nail patch 150 pieces in a box (MOQ=3)")</x:f>
        <x:v>HYPERLINK is not implemented. linkLocation=https://365nails.com/products/nail-tips-new-french-press-on-nails-color-french-nude-square-toenail-patch-nail-patch-150-pieces-in-a-box, friendlyName=Nail Tips new French press on nails color French nude square toenail patch nail patch 150 pieces in a box (MOQ=3)</x:v>
      </x:c>
      <x:c r="D3076" s="18" t="str">
        <x:v>Color: Five-color French toenails * 150 pieces / White five-color French toenails * 150 pieces; Quantity: 3pcs</x:v>
      </x:c>
      <x:c r="E3076" s="25" t="str">
        <x:v>$6.24</x:v>
      </x:c>
      <x:c r="F3076" s="19" t="str">
        <x:v>1</x:v>
      </x:c>
    </x:row>
    <x:row r="3077" ht="93" customHeight="1">
      <x:c r="A3077" s="19" t="n">
        <x:v>3074</x:v>
      </x:c>
      <x:c r="B3077" s="22" t="e">
        <x:f>HYPERLINK("https://cdn.shopify.com/s/files/1/0918/6066/4603/files/9f9242d5cda002c2d4259ffcabfaefb0.jpg?v=1772707848","Open")</x:f>
        <x:v>HYPERLINK is not implemented. linkLocation=https://cdn.shopify.com/s/files/1/0918/6066/4603/files/9f9242d5cda002c2d4259ffcabfaefb0.jpg?v=1772707848, friendlyName=Open</x:v>
      </x:c>
      <x:c r="C3077" s="24" t="e">
        <x:f>HYPERLINK("https://365nails.com/products/365nails-cross-border-hot-selling-clear-nail-tips-multi-spec-nail-extension-set-with-storage-case","365nails Cross-Border Hot-Selling Clear Nail Tips | Multi-Spec Nail Extension Set with Storage Case")</x:f>
        <x:v>HYPERLINK is not implemented. linkLocation=https://365nails.com/products/365nails-cross-border-hot-selling-clear-nail-tips-multi-spec-nail-extension-set-with-storage-case, friendlyName=365nails Cross-Border Hot-Selling Clear Nail Tips | Multi-Spec Nail Extension Set with Storage Case</x:v>
      </x:c>
      <x:c r="D3077" s="18" t="str">
        <x:v>Color: 137 - short oval nail tips - clear &amp; seamless / 175 - semi-matte almond stiletto nails - seamless / 149 - half sand short almond nail - seamless / 174 - half sand ultra short stiletto nails - seamless / 156-half sand short fat almond / 176-trapezoid-transparent and traceless / 177-short ladder-transparent and traceless / 610-half sand without trace / 611-half sand without trace; Color classification: 552 pieces in box / 240 tablets box / 120 tablets box / 600 tablets box</x:v>
      </x:c>
      <x:c r="E3077" s="25" t="str">
        <x:v>$0.78–$2.92</x:v>
      </x:c>
      <x:c r="F3077" s="19" t="str">
        <x:v>3</x:v>
      </x:c>
    </x:row>
    <x:row r="3078" ht="93" customHeight="1">
      <x:c r="A3078" s="19" t="n">
        <x:v>3075</x:v>
      </x:c>
      <x:c r="B3078" s="22" t="e">
        <x:f>HYPERLINK("https://cdn.shopify.com/s/files/1/0918/6066/4603/files/O1CN01fwi41b2214vTcfYzt__2219480337059-0-cib.jpg?v=1773320980","Open")</x:f>
        <x:v>HYPERLINK is not implemented. linkLocation=https://cdn.shopify.com/s/files/1/0918/6066/4603/files/O1CN01fwi41b2214vTcfYzt__2219480337059-0-cib.jpg?v=1773320980, friendlyName=Open</x:v>
      </x:c>
      <x:c r="C3078" s="24" t="e">
        <x:f>HYPERLINK("https://365nails.com/products/365nails-sparkling-peach-cherry-short-round-handmade-kids-press-on-nails","365nails: ""sparkling peach cherry"" – short round handmade kids press-on nails")</x:f>
        <x:v>HYPERLINK is not implemented. linkLocation=https://365nails.com/products/365nails-sparkling-peach-cherry-short-round-handmade-kids-press-on-nails, friendlyName=365nails: "sparkling peach cherry" – short round handmade kids press-on nails</x:v>
      </x:c>
      <x:c r="D3078" s="18" t="str">
        <x:v>Color: 10200 small cherry bow; Color classification: Xs (about 2 years old) / S (3-4 years old) / M (5-7 years old) / L (8-11 years old)</x:v>
      </x:c>
      <x:c r="E3078" s="25" t="str">
        <x:v>$2.99</x:v>
      </x:c>
      <x:c r="F3078" s="19" t="str">
        <x:v>3</x:v>
      </x:c>
    </x:row>
    <x:row r="3079" ht="93" customHeight="1">
      <x:c r="A3079" s="19" t="n">
        <x:v>3076</x:v>
      </x:c>
      <x:c r="B3079" s="22" t="e">
        <x:f>HYPERLINK("https://cdn.shopify.com/s/files/1/0918/6066/4603/files/1771dae1ea7104f7ea7a1f1d69ef8ce4_e8dd9ad9-116f-4238-bb37-50165a79db1d.jpg?v=1773306781","Open")</x:f>
        <x:v>HYPERLINK is not implemented. linkLocation=https://cdn.shopify.com/s/files/1/0918/6066/4603/files/1771dae1ea7104f7ea7a1f1d69ef8ce4_e8dd9ad9-116f-4238-bb37-50165a79db1d.jpg?v=1773306781, friendlyName=Open</x:v>
      </x:c>
      <x:c r="C3079" s="24" t="e">
        <x:f>HYPERLINK("https://365nails.com/products/365nails-burgundy-plaid-glitter-handmade-press-on-toenails-pedicure","365nails: ""burgundy plaid glitter"" – handmade press-on toenails / pedicure")</x:f>
        <x:v>HYPERLINK is not implemented. linkLocation=https://365nails.com/products/365nails-burgundy-plaid-glitter-handmade-press-on-toenails-pedicure, friendlyName=365nails: "burgundy plaid glitter" – handmade press-on toenails / pedicure</x:v>
      </x:c>
      <x:c r="D3079" s="18" t="str">
        <x:v>Size: XS / S / M / L</x:v>
      </x:c>
      <x:c r="E3079" s="25" t="str">
        <x:v>$3.99</x:v>
      </x:c>
      <x:c r="F3079" s="19" t="str">
        <x:v>3</x:v>
      </x:c>
    </x:row>
    <x:row r="3080" ht="93" customHeight="1">
      <x:c r="A3080" s="19" t="n">
        <x:v>3077</x:v>
      </x:c>
      <x:c r="B3080" s="22" t="e">
        <x:f>HYPERLINK("https://cdn.shopify.com/s/files/1/0918/6066/4603/files/O1CN01XI8KPk1JOkhwyEry8__933261019-0-cib.jpg?v=1772373413","Open")</x:f>
        <x:v>HYPERLINK is not implemented. linkLocation=https://cdn.shopify.com/s/files/1/0918/6066/4603/files/O1CN01XI8KPk1JOkhwyEry8__933261019-0-cib.jpg?v=1772373413, friendlyName=Open</x:v>
      </x:c>
      <x:c r="C3080" s="24" t="e">
        <x:f>HYPERLINK("https://365nails.com/products/wild-whispers-collection-playful-paws-short-square-press-on-nails","Wild Whispers Collection: ""Playful Paws"" – Short Square Press-On Nails")</x:f>
        <x:v>HYPERLINK is not implemented. linkLocation=https://365nails.com/products/wild-whispers-collection-playful-paws-short-square-press-on-nails, friendlyName=Wild Whispers Collection: "Playful Paws" – Short Square Press-On Nails</x:v>
      </x:c>
      <x:c r="D3080" s="18" t="str">
        <x:v>Color: Description: 4 models, 6 boxes each, a display box, a complete set of 24 boxes for sale / Display of the entire packaging size / Display 1 (single items not for sale) / Display 2 (single items not for sale) / Display 3 (single items not for sale) / Display 4 (single items not for sale)</x:v>
      </x:c>
      <x:c r="E3080" s="25" t="str">
        <x:v>$1.13</x:v>
      </x:c>
      <x:c r="F3080" s="19" t="str">
        <x:v>1</x:v>
      </x:c>
    </x:row>
    <x:row r="3081" ht="93" customHeight="1">
      <x:c r="A3081" s="19" t="n">
        <x:v>3078</x:v>
      </x:c>
      <x:c r="B3081" s="22" t="e">
        <x:f>HYPERLINK("https://cdn.shopify.com/s/files/1/0918/6066/4603/files/dfb975a3464d5e6c39f2980cd640454f.jpg?v=1779086084","Open")</x:f>
        <x:v>HYPERLINK is not implemented. linkLocation=https://cdn.shopify.com/s/files/1/0918/6066/4603/files/dfb975a3464d5e6c39f2980cd640454f.jpg?v=1779086084, friendlyName=Open</x:v>
      </x:c>
      <x:c r="C3081" s="24" t="e">
        <x:f>HYPERLINK("https://365nails.com/products/sparkling-silver-glitter-handmade-nails-3-shapes-available","""Sparkling Silver"" - Glitter Handmade Nails (3 Shapes Available)")</x:f>
        <x:v>HYPERLINK is not implemented. linkLocation=https://365nails.com/products/sparkling-silver-glitter-handmade-nails-3-shapes-available, friendlyName="Sparkling Silver" - Glitter Handmade Nails (3 Shapes Available)</x:v>
      </x:c>
      <x:c r="D3081" s="18" t="str">
        <x:v>Size: XS / S / M / L; Type: Stiletto 3cm / Almond 2cm / Long Coffin 3cm</x:v>
      </x:c>
      <x:c r="E3081" s="25" t="str">
        <x:v>$1.99</x:v>
      </x:c>
      <x:c r="F3081" s="19" t="str">
        <x:v>10</x:v>
      </x:c>
    </x:row>
    <x:row r="3082" ht="93" customHeight="1">
      <x:c r="A3082" s="19" t="n">
        <x:v>3079</x:v>
      </x:c>
      <x:c r="B3082" s="22" t="e">
        <x:f>HYPERLINK("https://cdn.shopify.com/s/files/1/0918/6066/4603/files/25c507dfe371d302f6f8b27b6560f057.jpg?v=1779086475","Open")</x:f>
        <x:v>HYPERLINK is not implemented. linkLocation=https://cdn.shopify.com/s/files/1/0918/6066/4603/files/25c507dfe371d302f6f8b27b6560f057.jpg?v=1779086475, friendlyName=Open</x:v>
      </x:c>
      <x:c r="C3082" s="24" t="e">
        <x:f>HYPERLINK("https://365nails.com/products/radiant-rose-gold-glitter-handmade-nails-3-shapes-available","""Radiant Rose Gold"" - Glitter Handmade Nails (3 Shapes Available)")</x:f>
        <x:v>HYPERLINK is not implemented. linkLocation=https://365nails.com/products/radiant-rose-gold-glitter-handmade-nails-3-shapes-available, friendlyName="Radiant Rose Gold" - Glitter Handmade Nails (3 Shapes Available)</x:v>
      </x:c>
      <x:c r="D3082" s="18" t="str">
        <x:v>Size: XS / S / M / L; Type: Stiletto 3cm / Almond 2cm / Long Coffin 3cm</x:v>
      </x:c>
      <x:c r="E3082" s="25" t="str">
        <x:v>$1.99</x:v>
      </x:c>
      <x:c r="F3082" s="19" t="str">
        <x:v>10</x:v>
      </x:c>
    </x:row>
    <x:row r="3083" ht="93" customHeight="1">
      <x:c r="A3083" s="19" t="n">
        <x:v>3080</x:v>
      </x:c>
      <x:c r="B3083" s="22" t="e">
        <x:f>HYPERLINK("https://cdn.shopify.com/s/files/1/0918/6066/4603/files/O1CN01xNfjHN27ZUkvHu3Ql__2220024697811-0-cib.jpg?v=1774946603","Open")</x:f>
        <x:v>HYPERLINK is not implemented. linkLocation=https://cdn.shopify.com/s/files/1/0918/6066/4603/files/O1CN01xNfjHN27ZUkvHu3Ql__2220024697811-0-cib.jpg?v=1774946603, friendlyName=Open</x:v>
      </x:c>
      <x:c r="C3083" s="24" t="e">
        <x:f>HYPERLINK("https://365nails.com/products/365nails-tropical-bloom-3d-floral-handmade-almond-nails-2","365nails: ""Tropical Bloom"" – 3D Floral Handmade Almond Nails")</x:f>
        <x:v>HYPERLINK is not implemented. linkLocation=https://365nails.com/products/365nails-tropical-bloom-3d-floral-handmade-almond-nails-2, friendlyName=365nails: "Tropical Bloom" – 3D Floral Handmade Almond Nails</x:v>
      </x:c>
      <x:c r="D3083" s="18" t="str">
        <x:v>Color: Almond; Color classification: Xs / S / M / L</x:v>
      </x:c>
      <x:c r="E3083" s="25" t="str">
        <x:v>$4.49</x:v>
      </x:c>
      <x:c r="F3083" s="19" t="str">
        <x:v>3</x:v>
      </x:c>
    </x:row>
    <x:row r="3084" ht="93" customHeight="1">
      <x:c r="A3084" s="19" t="n">
        <x:v>3081</x:v>
      </x:c>
      <x:c r="B3084" s="22" t="e">
        <x:f>HYPERLINK("https://cdn.shopify.com/s/files/1/0918/6066/4603/files/O1CN01f1tGRn1CPwPlSVp52__2213196780074-0-cib_d9b5acb8-a9f7-475e-afd3-46f894e5fe6f.jpg?v=1774693652","Open")</x:f>
        <x:v>HYPERLINK is not implemented. linkLocation=https://cdn.shopify.com/s/files/1/0918/6066/4603/files/O1CN01f1tGRn1CPwPlSVp52__2213196780074-0-cib_d9b5acb8-a9f7-475e-afd3-46f894e5fe6f.jpg?v=1774693652, friendlyName=Open</x:v>
      </x:c>
      <x:c r="C3084" s="24" t="e">
        <x:f>HYPERLINK("https://365nails.com/products/365nails-crimson-cross-3d-chrome-glitter-handmade-square-nails","365nails: ""Crimson Cross"" – 3D Chrome &amp; Glitter Handmade Square Nails")</x:f>
        <x:v>HYPERLINK is not implemented. linkLocation=https://365nails.com/products/365nails-crimson-cross-3d-chrome-glitter-handmade-square-nails, friendlyName=365nails: "Crimson Cross" – 3D Chrome &amp; Glitter Handmade Square Nails</x:v>
      </x:c>
      <x:c r="D3084" s="18" t="str">
        <x:v>Color: 1846-super short ladder; Color classification: Extra small size xs / Small s / Medium m / Large l</x:v>
      </x:c>
      <x:c r="E3084" s="25" t="str">
        <x:v>$3.49</x:v>
      </x:c>
      <x:c r="F3084" s="19" t="str">
        <x:v>1</x:v>
      </x:c>
    </x:row>
    <x:row r="3085" ht="93" customHeight="1">
      <x:c r="A3085" s="19" t="n">
        <x:v>3082</x:v>
      </x:c>
      <x:c r="B3085" s="22" t="e">
        <x:f>HYPERLINK("https://cdn.shopify.com/s/files/1/0918/6066/4603/files/5de4b6799c9c4cb27920958c7f35e44a.jpg?v=1772707858","Open")</x:f>
        <x:v>HYPERLINK is not implemented. linkLocation=https://cdn.shopify.com/s/files/1/0918/6066/4603/files/5de4b6799c9c4cb27920958c7f35e44a.jpg?v=1772707858, friendlyName=Open</x:v>
      </x:c>
      <x:c r="C3085" s="24" t="e">
        <x:f>HYPERLINK("https://365nails.com/products/365nails-120pcs-soft-gel-nail-tips-factory-direct-with-small-moq-full-size-range","365nails 120PCS Soft Gel Nail Tips | Factory Direct with Small MOQ, Full Size Range")</x:f>
        <x:v>HYPERLINK is not implemented. linkLocation=https://365nails.com/products/365nails-120pcs-soft-gel-nail-tips-factory-direct-with-small-moq-full-size-range, friendlyName=365nails 120PCS Soft Gel Nail Tips | Factory Direct with Small MOQ, Full Size Range</x:v>
      </x:c>
      <x:c r="D3085" s="18" t="str">
        <x:v>Color: 101 almond slices - traceless / 102 short ballet - seamless / 103 short water droplets - traceless / 104 little fat round - seamless / 105 long oval-no trace / 106 square frosted inside and outside - no trace / 107 ballet matte finish - seamless / 108 long oval internal and external frosting - traceless / 109 almond inner and outer scrub - traceless / 110 long water drop frosted inside and outside - no trace / 180 square shape - traceless / 181 ballet - seamless / 182 water droplets - traceless / 183 long almond-no trace / 184 fat ballet-traceless / 187 short oval-no trace / 188 short square circle-no trace / 189 rectangle - seamless / 185 trapezoid-no trace; Color classification: 120 tablets bag / 120 tablets box / 240 pieces in a box / 240 pieces in box (unlabeled) / 504 pieces in box / 600 tablets box</x:v>
      </x:c>
      <x:c r="E3085" s="25" t="str">
        <x:v>$0.63–$2.92</x:v>
      </x:c>
      <x:c r="F3085" s="19" t="str">
        <x:v>3</x:v>
      </x:c>
    </x:row>
    <x:row r="3086" ht="93" customHeight="1">
      <x:c r="A3086" s="19" t="n">
        <x:v>3083</x:v>
      </x:c>
      <x:c r="B3086" s="22" t="e">
        <x:f>HYPERLINK("https://cdn.shopify.com/s/files/1/0918/6066/4603/files/O1CN01GLPKv9247bm9kVHam__2209064737344-0-cib_40d97aa1-c691-4eef-b49a-07adf41ee7b2.jpg?v=1772707642","Open")</x:f>
        <x:v>HYPERLINK is not implemented. linkLocation=https://cdn.shopify.com/s/files/1/0918/6066/4603/files/O1CN01GLPKv9247bm9kVHam__2209064737344-0-cib_40d97aa1-c691-4eef-b49a-07adf41ee7b2.jpg?v=1772707642, friendlyName=Open</x:v>
      </x:c>
      <x:c r="C3086" s="24" t="e">
        <x:f>HYPERLINK("https://365nails.com/products/365nails-pastel-french-toes-short-square-press-on-toenails","365nails: ""Pastel French Toes"" – Short Square Press-On Toenails")</x:f>
        <x:v>HYPERLINK is not implemented. linkLocation=https://365nails.com/products/365nails-pastel-french-toes-short-square-press-on-toenails, friendlyName=365nails: "Pastel French Toes" – Short Square Press-On Toenails</x:v>
      </x:c>
      <x:c r="D3086" s="18" t="str">
        <x:v>Color: Five-color french toenails*150 pieces / White five-color french pedicure nail tips * 150 pieces</x:v>
      </x:c>
      <x:c r="E3086" s="25" t="str">
        <x:v>$2.58</x:v>
      </x:c>
      <x:c r="F3086" s="19" t="str">
        <x:v>3</x:v>
      </x:c>
    </x:row>
    <x:row r="3087" ht="93" customHeight="1">
      <x:c r="A3087" s="19" t="n">
        <x:v>3084</x:v>
      </x:c>
      <x:c r="B3087" s="22" t="e">
        <x:f>HYPERLINK("https://cdn.shopify.com/s/files/1/0918/6066/4603/files/04fb7665ee63b8442f1a6053c6470c29.jpg?v=1765337551","Open")</x:f>
        <x:v>HYPERLINK is not implemented. linkLocation=https://cdn.shopify.com/s/files/1/0918/6066/4603/files/04fb7665ee63b8442f1a6053c6470c29.jpg?v=1765337551, friendlyName=Open</x:v>
      </x:c>
      <x:c r="C3087" s="24" t="e">
        <x:f>HYPERLINK("https://365nails.com/products/raspberry-fizz-press-on-nails-burgundy-micro-glitter-square-starry-glitter-sparkling-series","Raspberry Fizz Press On Nails Burgundy Micro Glitter Square｜Starry Glitter · Sparkling Series")</x:f>
        <x:v>HYPERLINK is not implemented. linkLocation=https://365nails.com/products/raspberry-fizz-press-on-nails-burgundy-micro-glitter-square-starry-glitter-sparkling-series, friendlyName=Raspberry Fizz Press On Nails Burgundy Micro Glitter Square｜Starry Glitter · Sparkling Series</x:v>
      </x:c>
      <x:c r="D3087" s="18" t="str">
        <x:v>shape: square; Size: XS / S / M / L; Length: 45mm / 30mm</x:v>
      </x:c>
      <x:c r="E3087" s="25" t="str">
        <x:v>$9.00</x:v>
      </x:c>
      <x:c r="F3087" s="19" t="str">
        <x:v>1</x:v>
      </x:c>
    </x:row>
    <x:row r="3088" ht="93" customHeight="1">
      <x:c r="A3088" s="19" t="n">
        <x:v>3085</x:v>
      </x:c>
      <x:c r="B3088" s="22" t="e">
        <x:f>HYPERLINK("https://cdn.shopify.com/s/files/1/0918/6066/4603/files/O1CN01bA2Ujx2ABd0Odrhj6__2218458308165-0-cib.jpg?v=1776156663","Open")</x:f>
        <x:v>HYPERLINK is not implemented. linkLocation=https://cdn.shopify.com/s/files/1/0918/6066/4603/files/O1CN01bA2Ujx2ABd0Odrhj6__2218458308165-0-cib.jpg?v=1776156663, friendlyName=Open</x:v>
      </x:c>
      <x:c r="C3088" s="24" t="e">
        <x:f>HYPERLINK("https://365nails.com/products/%E8%B7%A8%E5%A2%83%E7%83%AD%E9%94%80%E7%A9%BF%E6%88%B4%E7%94%B2%E7%BE%8E%E5%9B%BD%E7%8B%AC%E7%AB%8B%E6%97%A5%E7%9F%AD%E6%AC%BE%E6%96%B9%E5%BD%A2%E7%94%B2%E7%BA%A2%E8%93%9D%E7%99%BD%E6%9D%A1%E7%BA%B9%E6%98%9F%E6%98%9F%E8%8A%B1%E6%9C%B5%E5%81%87%E6%8C%87%E7%94%B2%E7%89%87","365nails: ""All-Star Gingham"" – Mix &amp; Match Plaid Star Printed Oval Nails")</x:f>
        <x:v>HYPERLINK is not implemented. linkLocation=https://365nails.com/products/%E8%B7%A8%E5%A2%83%E7%83%AD%E9%94%80%E7%A9%BF%E6%88%B4%E7%94%B2%E7%BE%8E%E5%9B%BD%E7%8B%AC%E7%AB%8B%E6%97%A5%E7%9F%AD%E6%AC%BE%E6%96%B9%E5%BD%A2%E7%94%B2%E7%BA%A2%E8%93%9D%E7%99%BD%E6%9D%A1%E7%BA%B9%E6%98%9F%E6%98%9F%E8%8A%B1%E6%9C%B5%E5%81%87%E6%8C%87%E7%94%B2%E7%89%87, friendlyName=365nails: "All-Star Gingham" – Mix &amp; Match Plaid Star Printed Oval Nails</x:v>
      </x:c>
      <x:c r="D3088" s="18" t="str">
        <x:v>Color: Jml501 (without tools) / Jml501 (glue type) / Jml501 (jelly glue rubbing strip)</x:v>
      </x:c>
      <x:c r="E3088" s="25" t="str">
        <x:v>$0.99</x:v>
      </x:c>
      <x:c r="F3088" s="19" t="str">
        <x:v>3</x:v>
      </x:c>
    </x:row>
    <x:row r="3089" ht="93" customHeight="1">
      <x:c r="A3089" s="19" t="n">
        <x:v>3086</x:v>
      </x:c>
      <x:c r="B3089" s="22" t="e">
        <x:f>HYPERLINK("https://cdn.shopify.com/s/files/1/0918/6066/4603/files/2d0052592799d629bdd0f054e1d289c5.jpg?v=1772707813","Open")</x:f>
        <x:v>HYPERLINK is not implemented. linkLocation=https://cdn.shopify.com/s/files/1/0918/6066/4603/files/2d0052592799d629bdd0f054e1d289c5.jpg?v=1772707813, friendlyName=Open</x:v>
      </x:c>
      <x:c r="C3089" s="24" t="e">
        <x:f>HYPERLINK("https://365nails.com/products/365nails-cross-border-hot-selling-clear-nail-tips-multi-shape-nail-extension-set","365nails Cross-Border Hot-Selling Clear Nail Tips | Multi-Shape Nail Extension Set")</x:f>
        <x:v>HYPERLINK is not implemented. linkLocation=https://365nails.com/products/365nails-cross-border-hot-selling-clear-nail-tips-multi-shape-nail-extension-set, friendlyName=365nails Cross-Border Hot-Selling Clear Nail Tips | Multi-Shape Nail Extension Set</x:v>
      </x:c>
      <x:c r="D3089" s="18" t="str">
        <x:v>Color: Ys-62*96 tablets / Ys-63*96 pieces / Ys-67*96 tablets / Ys-73*96 tablets / Ys-101*96 tablets / Ys-102*96 pieces / Ys-103*96 pieces / Ys-104*96 pieces / Ys-105*96 tablets / Ys-106*96 tablets / Ys-107*96 pieces / Ys-108*96 tablets / Ys-109*96 tablets / Ys-174*96 pieces / Ys-175*96 pieces</x:v>
      </x:c>
      <x:c r="E3089" s="25" t="str">
        <x:v>$0.77</x:v>
      </x:c>
      <x:c r="F3089" s="19" t="str">
        <x:v>3</x:v>
      </x:c>
    </x:row>
    <x:row r="3090" ht="93" customHeight="1">
      <x:c r="A3090" s="19" t="n">
        <x:v>3087</x:v>
      </x:c>
      <x:c r="B3090" s="22" t="e">
        <x:f>HYPERLINK("https://cdn.shopify.com/s/files/1/0918/6066/4603/files/O1CN01Nlc7cp2MQzbqqxlLG__2219089449823-0-cib.jpg?v=1774065451","Open")</x:f>
        <x:v>HYPERLINK is not implemented. linkLocation=https://cdn.shopify.com/s/files/1/0918/6066/4603/files/O1CN01Nlc7cp2MQzbqqxlLG__2219089449823-0-cib.jpg?v=1774065451, friendlyName=Open</x:v>
      </x:c>
      <x:c r="C3090" s="24" t="e">
        <x:f>HYPERLINK("https://365nails.com/products/sweet-bloom-cherry-blossom-shell-short-almond-handmade-nails","365nails-Sweet Bloom: ""Cherry Blossom Shell"" – Short Almond Handmade Nails")</x:f>
        <x:v>HYPERLINK is not implemented. linkLocation=https://365nails.com/products/sweet-bloom-cherry-blossom-shell-short-almond-handmade-nails, friendlyName=365nails-Sweet Bloom: "Cherry Blossom Shell" – Short Almond Handmade Nails</x:v>
      </x:c>
      <x:c r="D3090" s="18" t="str">
        <x:v>Color: D48 starlight seaside - short almond; Color classification: X s / S / M / L</x:v>
      </x:c>
      <x:c r="E3090" s="25" t="str">
        <x:v>$3.99</x:v>
      </x:c>
      <x:c r="F3090" s="19" t="str">
        <x:v>5</x:v>
      </x:c>
    </x:row>
    <x:row r="3091" ht="93" customHeight="1">
      <x:c r="A3091" s="19" t="n">
        <x:v>3088</x:v>
      </x:c>
      <x:c r="B3091" s="22" t="e">
        <x:f>HYPERLINK("https://cdn.shopify.com/s/files/1/0918/6066/4603/files/O1CN01lz1qGv1rlpKeq83oo__2215158925672-0-cib_eb138e22-e6f9-442e-9756-56e96f4d56a8.jpg?v=1772513844","Open")</x:f>
        <x:v>HYPERLINK is not implemented. linkLocation=https://cdn.shopify.com/s/files/1/0918/6066/4603/files/O1CN01lz1qGv1rlpKeq83oo__2215158925672-0-cib_eb138e22-e6f9-442e-9756-56e96f4d56a8.jpg?v=1772513844, friendlyName=Open</x:v>
      </x:c>
      <x:c r="C3091" s="24" t="e">
        <x:f>HYPERLINK("https://365nails.com/products/365nails-gothic-bloody-regalia-stiletto-deep-burgundy-3d-metal-embellished-press-on-nails-24pcs","365nails: ""Gothic Blood Rose"" – Long Almond Handmade Press-On Nails")</x:f>
        <x:v>HYPERLINK is not implemented. linkLocation=https://365nails.com/products/365nails-gothic-bloody-regalia-stiletto-deep-burgundy-3d-metal-embellished-press-on-nails-24pcs, friendlyName=365nails: "Gothic Blood Rose" – Long Almond Handmade Press-On Nails</x:v>
      </x:c>
      <x:c r="D3091" s="18" t="str">
        <x:v>Color: Long tip; Color classification: X s / S / M / L</x:v>
      </x:c>
      <x:c r="E3091" s="25" t="str">
        <x:v>$6.99</x:v>
      </x:c>
      <x:c r="F3091" s="19" t="str">
        <x:v>3</x:v>
      </x:c>
    </x:row>
    <x:row r="3092" ht="93" customHeight="1">
      <x:c r="A3092" s="19" t="n">
        <x:v>3089</x:v>
      </x:c>
      <x:c r="B3092" s="22" t="e">
        <x:f>HYPERLINK("https://cdn.shopify.com/s/files/1/0918/6066/4603/files/O1CN01j38exl2ABd0Zequ7M__2218458308165-0-cib.jpg?v=1776157003","Open")</x:f>
        <x:v>HYPERLINK is not implemented. linkLocation=https://cdn.shopify.com/s/files/1/0918/6066/4603/files/O1CN01j38exl2ABd0Zequ7M__2218458308165-0-cib.jpg?v=1776157003, friendlyName=Open</x:v>
      </x:c>
      <x:c r="C3092" s="24" t="e">
        <x:f>HYPERLINK("https://365nails.com/products/%E8%B7%A8%E5%A2%83%E7%83%AD%E9%94%80%E7%9F%AD%E6%AC%BE%E6%96%B9%E5%BD%A2%E7%94%B2%E8%93%9D%E7%BA%A2%E9%97%AA%E7%B2%89%E5%94%87%E5%8D%B0%E5%81%87%E6%8C%87%E7%94%B2%E7%BE%8E%E5%9B%BD%E7%8B%AC%E7%AB%8B%E6%97%A5%E6%AC%A7%E7%BE%8E%E7%A9%BF%E6%88%B4%E7%94%B224%E7%89%87","365nails: ""Funky Star French"" – Diagonal Star Printed Oval Nails")</x:f>
        <x:v>HYPERLINK is not implemented. linkLocation=https://365nails.com/products/%E8%B7%A8%E5%A2%83%E7%83%AD%E9%94%80%E7%9F%AD%E6%AC%BE%E6%96%B9%E5%BD%A2%E7%94%B2%E8%93%9D%E7%BA%A2%E9%97%AA%E7%B2%89%E5%94%87%E5%8D%B0%E5%81%87%E6%8C%87%E7%94%B2%E7%BE%8E%E5%9B%BD%E7%8B%AC%E7%AB%8B%E6%97%A5%E6%AC%A7%E7%BE%8E%E7%A9%BF%E6%88%B4%E7%94%B224%E7%89%87, friendlyName=365nails: "Funky Star French" – Diagonal Star Printed Oval Nails</x:v>
      </x:c>
      <x:c r="D3092" s="18" t="str">
        <x:v>Color: Jml532 (without tools) / Jml532 (glue type) / Jml532 (jelly glue rubbing strip)</x:v>
      </x:c>
      <x:c r="E3092" s="25" t="str">
        <x:v>$0.99</x:v>
      </x:c>
      <x:c r="F3092" s="19" t="str">
        <x:v>3</x:v>
      </x:c>
    </x:row>
    <x:row r="3093" ht="93" customHeight="1">
      <x:c r="A3093" s="19" t="n">
        <x:v>3090</x:v>
      </x:c>
      <x:c r="B3093" s="22" t="e">
        <x:f>HYPERLINK("https://cdn.shopify.com/s/files/1/0918/6066/4603/files/86d9404fb3a6d79ea95dcad229203e2b.jpg?v=1779086256","Open")</x:f>
        <x:v>HYPERLINK is not implemented. linkLocation=https://cdn.shopify.com/s/files/1/0918/6066/4603/files/86d9404fb3a6d79ea95dcad229203e2b.jpg?v=1779086256, friendlyName=Open</x:v>
      </x:c>
      <x:c r="C3093" s="24" t="e">
        <x:f>HYPERLINK("https://365nails.com/products/shimmering-lilac-glitter-handmade-nails-3-shapes-available","""Shimmering Lilac"" - Glitter Handmade Nails (3 Shapes Available)")</x:f>
        <x:v>HYPERLINK is not implemented. linkLocation=https://365nails.com/products/shimmering-lilac-glitter-handmade-nails-3-shapes-available, friendlyName="Shimmering Lilac" - Glitter Handmade Nails (3 Shapes Available)</x:v>
      </x:c>
      <x:c r="D3093" s="18" t="str">
        <x:v>Size: XS / S / M / L; Type: Stiletto 3cm / Almond 2cm / Long Coffin 3cm</x:v>
      </x:c>
      <x:c r="E3093" s="25" t="str">
        <x:v>$1.99</x:v>
      </x:c>
      <x:c r="F3093" s="19" t="str">
        <x:v>10</x:v>
      </x:c>
    </x:row>
    <x:row r="3094" ht="93" customHeight="1">
      <x:c r="A3094" s="19" t="n">
        <x:v>3091</x:v>
      </x:c>
      <x:c r="B3094" s="22" t="e">
        <x:f>HYPERLINK("https://cdn.shopify.com/s/files/1/0918/6066/4603/files/O1CN01ZsJGG72MQzcD29pL1__2219089449823-0-cib.jpg?v=1774065671","Open")</x:f>
        <x:v>HYPERLINK is not implemented. linkLocation=https://cdn.shopify.com/s/files/1/0918/6066/4603/files/O1CN01ZsJGG72MQzcD29pL1__2219089449823-0-cib.jpg?v=1774065671, friendlyName=Open</x:v>
      </x:c>
      <x:c r="C3094" s="24" t="e">
        <x:f>HYPERLINK("https://365nails.com/products/gemstone-gala-rainbow-crystal-short-almond-handmade-nails","365nails-Gemstone Gala: ""Rainbow Crystal"" – Short Almond Handmade Nails")</x:f>
        <x:v>HYPERLINK is not implemented. linkLocation=https://365nails.com/products/gemstone-gala-rainbow-crystal-short-almond-handmade-nails, friendlyName=365nails-Gemstone Gala: "Rainbow Crystal" – Short Almond Handmade Nails</x:v>
      </x:c>
      <x:c r="D3094" s="18" t="str">
        <x:v>Color: C96 diamond sugar—medium oval; Color classification: X s / S / M / L</x:v>
      </x:c>
      <x:c r="E3094" s="25" t="str">
        <x:v>$3.99</x:v>
      </x:c>
      <x:c r="F3094" s="19" t="str">
        <x:v>5</x:v>
      </x:c>
    </x:row>
    <x:row r="3095" ht="93" customHeight="1">
      <x:c r="A3095" s="19" t="n">
        <x:v>3092</x:v>
      </x:c>
      <x:c r="B3095" s="22" t="e">
        <x:f>HYPERLINK("https://cdn.shopify.com/s/files/1/0918/6066/4603/files/O1CN01G5ewv627ZUmJppwcE__2220024697811-0-cib.jpg?v=1775039769","Open")</x:f>
        <x:v>HYPERLINK is not implemented. linkLocation=https://cdn.shopify.com/s/files/1/0918/6066/4603/files/O1CN01G5ewv627ZUmJppwcE__2220024697811-0-cib.jpg?v=1775039769, friendlyName=Open</x:v>
      </x:c>
      <x:c r="C3095" s="24" t="e">
        <x:f>HYPERLINK("https://365nails.com/products/365nails-bloody-rose-3d-floral-marble-handmade-almond-nails","365nails: ""Bloody Rose"" – 3D Floral &amp; Marble Handmade Almond Nails")</x:f>
        <x:v>HYPERLINK is not implemented. linkLocation=https://365nails.com/products/365nails-bloody-rose-3d-floral-marble-handmade-almond-nails, friendlyName=365nails: "Bloody Rose" – 3D Floral &amp; Marble Handmade Almond Nails</x:v>
      </x:c>
      <x:c r="D3095" s="18" t="str">
        <x:v>Color: Almond; Color classification: Xs / S / M / L</x:v>
      </x:c>
      <x:c r="E3095" s="25" t="str">
        <x:v>$4.49</x:v>
      </x:c>
      <x:c r="F3095" s="19" t="str">
        <x:v>3</x:v>
      </x:c>
    </x:row>
    <x:row r="3096" ht="93" customHeight="1">
      <x:c r="A3096" s="19" t="n">
        <x:v>3093</x:v>
      </x:c>
      <x:c r="B3096" s="22" t="e">
        <x:f>HYPERLINK("https://cdn.shopify.com/s/files/1/0918/6066/4603/files/O1CN01c1v4wK27ZUmHOh7co__2220024697811-0-cib.jpg?v=1775039874","Open")</x:f>
        <x:v>HYPERLINK is not implemented. linkLocation=https://cdn.shopify.com/s/files/1/0918/6066/4603/files/O1CN01c1v4wK27ZUmHOh7co__2220024697811-0-cib.jpg?v=1775039874, friendlyName=Open</x:v>
      </x:c>
      <x:c r="C3096" s="24" t="e">
        <x:f>HYPERLINK("https://365nails.com/products/365nails-regal-crown-3d-gold-marbled-handmade-stiletto-nails","365nails: ""Regal Crown"" – 3D Gold &amp; Marbled Handmade Stiletto Nails")</x:f>
        <x:v>HYPERLINK is not implemented. linkLocation=https://365nails.com/products/365nails-regal-crown-3d-gold-marbled-handmade-stiletto-nails, friendlyName=365nails: "Regal Crown" – 3D Gold &amp; Marbled Handmade Stiletto Nails</x:v>
      </x:c>
      <x:c r="D3096" s="18" t="str">
        <x:v>Color: Long tip; Color classification: Xs / S / M / L</x:v>
      </x:c>
      <x:c r="E3096" s="25" t="str">
        <x:v>$4.99</x:v>
      </x:c>
      <x:c r="F3096" s="19" t="str">
        <x:v>3</x:v>
      </x:c>
    </x:row>
    <x:row r="3097" ht="93" customHeight="1">
      <x:c r="A3097" s="19" t="n">
        <x:v>3094</x:v>
      </x:c>
      <x:c r="B3097" s="22" t="e">
        <x:f>HYPERLINK("https://cdn.shopify.com/s/files/1/0918/6066/4603/files/O1CN01iRoUeX2MQzbuJvqoN__2219089449823-0-cib.jpg?v=1774065478","Open")</x:f>
        <x:v>HYPERLINK is not implemented. linkLocation=https://cdn.shopify.com/s/files/1/0918/6066/4603/files/O1CN01iRoUeX2MQzbuJvqoN__2219089449823-0-cib.jpg?v=1774065478, friendlyName=Open</x:v>
      </x:c>
      <x:c r="C3097" s="24" t="e">
        <x:f>HYPERLINK("https://365nails.com/products/vintage-plaid-pearl-bow-medium-square-handmade-nails","365nails-Vintage Plaid: ""Pearl Bow"" – Medium Square Handmade Nails")</x:f>
        <x:v>HYPERLINK is not implemented. linkLocation=https://365nails.com/products/vintage-plaid-pearl-bow-medium-square-handmade-nails, friendlyName=365nails-Vintage Plaid: "Pearl Bow" – Medium Square Handmade Nails</x:v>
      </x:c>
      <x:c r="D3097" s="18" t="str">
        <x:v>Color: (t609)—short ladder; Color classification: X s / S / M / L</x:v>
      </x:c>
      <x:c r="E3097" s="25" t="str">
        <x:v>$3.99</x:v>
      </x:c>
      <x:c r="F3097" s="19" t="str">
        <x:v>5</x:v>
      </x:c>
    </x:row>
    <x:row r="3098" ht="93" customHeight="1">
      <x:c r="A3098" s="19" t="n">
        <x:v>3095</x:v>
      </x:c>
      <x:c r="B3098" s="22" t="e">
        <x:f>HYPERLINK("https://cdn.shopify.com/s/files/1/0918/6066/4603/files/O1CN01765GCe27ZUkj7m4xU__2220024697811-0-cib.jpg?v=1774945457","Open")</x:f>
        <x:v>HYPERLINK is not implemented. linkLocation=https://cdn.shopify.com/s/files/1/0918/6066/4603/files/O1CN01765GCe27ZUkj7m4xU__2220024697811-0-cib.jpg?v=1774945457, friendlyName=Open</x:v>
      </x:c>
      <x:c r="C3098" s="24" t="e">
        <x:f>HYPERLINK("https://365nails.com/products/365nails-spring-whisper-3d-floral-handmade-stiletto-nails","365nails: ""Spring Whisper"" – 3D Floral Handmade Stiletto Nails")</x:f>
        <x:v>HYPERLINK is not implemented. linkLocation=https://365nails.com/products/365nails-spring-whisper-3d-floral-handmade-stiletto-nails, friendlyName=365nails: "Spring Whisper" – 3D Floral Handmade Stiletto Nails</x:v>
      </x:c>
      <x:c r="D3098" s="18" t="str">
        <x:v>Color: Long tip; Color classification: Xs / S / M / L</x:v>
      </x:c>
      <x:c r="E3098" s="25" t="str">
        <x:v>$4.99</x:v>
      </x:c>
      <x:c r="F3098" s="19" t="str">
        <x:v>3</x:v>
      </x:c>
    </x:row>
    <x:row r="3099" ht="93" customHeight="1">
      <x:c r="A3099" s="19" t="n">
        <x:v>3096</x:v>
      </x:c>
      <x:c r="B3099" s="22" t="e">
        <x:f>HYPERLINK("https://cdn.shopify.com/s/files/1/0918/6066/4603/files/O1CN01EEgS1D1CPwOlXKkWg__2213196780074-0-cib_8dfe8041-7d89-4361-bad3-80210244d0be.jpg?v=1774679195","Open")</x:f>
        <x:v>HYPERLINK is not implemented. linkLocation=https://cdn.shopify.com/s/files/1/0918/6066/4603/files/O1CN01EEgS1D1CPwOlXKkWg__2213196780074-0-cib_8dfe8041-7d89-4361-bad3-80210244d0be.jpg?v=1774679195, friendlyName=Open</x:v>
      </x:c>
      <x:c r="C3099" s="24" t="e">
        <x:f>HYPERLINK("https://365nails.com/products/365nails-apple-party-3d-watermelon-fruit-art-coffin-nails","365nails: ""Apple Party"" – 3D Watermelon &amp; Fruit Art Coffin Nails")</x:f>
        <x:v>HYPERLINK is not implemented. linkLocation=https://365nails.com/products/365nails-apple-party-3d-watermelon-fruit-art-coffin-nails, friendlyName=365nails: "Apple Party" – 3D Watermelon &amp; Fruit Art Coffin Nails</x:v>
      </x:c>
      <x:c r="D3099" s="18" t="str">
        <x:v>Color: 3121-long oval; Color classification: Xs / S / M / L</x:v>
      </x:c>
      <x:c r="E3099" s="25" t="str">
        <x:v>$3.49</x:v>
      </x:c>
      <x:c r="F3099" s="19" t="str">
        <x:v>1</x:v>
      </x:c>
    </x:row>
    <x:row r="3100" ht="93" customHeight="1">
      <x:c r="A3100" s="19" t="n">
        <x:v>3097</x:v>
      </x:c>
      <x:c r="B3100" s="22" t="e">
        <x:f>HYPERLINK("https://cdn.shopify.com/s/files/1/0918/6066/4603/files/O1CN01sX8bKA2ABd0D4jzwi__2218458308165-0-cib.jpg?v=1776155133","Open")</x:f>
        <x:v>HYPERLINK is not implemented. linkLocation=https://cdn.shopify.com/s/files/1/0918/6066/4603/files/O1CN01sX8bKA2ABd0D4jzwi__2218458308165-0-cib.jpg?v=1776155133, friendlyName=Open</x:v>
      </x:c>
      <x:c r="C3100" s="24" t="e">
        <x:f>HYPERLINK("https://365nails.com/products/%E6%AC%A7%E7%BE%8E%E7%A9%BF%E6%88%B4%E7%94%B2%E8%B1%B9%E7%BA%B9%E6%B3%95%E5%BC%8F%E4%BA%94%E8%A7%92%E6%98%9F%E7%83%9F%E8%8A%B1%E8%9D%B4%E8%9D%B6%E7%BB%93%E7%BE%8E%E7%94%B2%E8%B4%B4%E7%89%87%E7%BE%8E%E5%9B%BD%E5%9B%BD%E6%97%97%E7%8B%AC%E7%AB%8B%E6%97%A5%E7%94%B2%E7%89%87","365nails: ""Liberty Glimmer""")</x:f>
        <x:v>HYPERLINK is not implemented. linkLocation=https://365nails.com/products/%E6%AC%A7%E7%BE%8E%E7%A9%BF%E6%88%B4%E7%94%B2%E8%B1%B9%E7%BA%B9%E6%B3%95%E5%BC%8F%E4%BA%94%E8%A7%92%E6%98%9F%E7%83%9F%E8%8A%B1%E8%9D%B4%E8%9D%B6%E7%BB%93%E7%BE%8E%E7%94%B2%E8%B4%B4%E7%89%87%E7%BE%8E%E5%9B%BD%E5%9B%BD%E6%97%97%E7%8B%AC%E7%AB%8B%E6%97%A5%E7%94%B2%E7%89%87, friendlyName=365nails: "Liberty Glimmer"</x:v>
      </x:c>
      <x:c r="D3100" s="18" t="str">
        <x:v>Color: Jml486 (without tools) / Jml486(glue type) / Jml486 (jelly glue rubbing strip)</x:v>
      </x:c>
      <x:c r="E3100" s="25" t="str">
        <x:v>$0.99</x:v>
      </x:c>
      <x:c r="F3100" s="19" t="str">
        <x:v>3</x:v>
      </x:c>
    </x:row>
    <x:row r="3101" ht="93" customHeight="1">
      <x:c r="A3101" s="19" t="n">
        <x:v>3098</x:v>
      </x:c>
      <x:c r="B3101" s="22" t="e">
        <x:f>HYPERLINK("https://cdn.shopify.com/s/files/1/0918/6066/4603/files/b692321d2a19181ee7d67c4c3f96571f.jpg?v=1774946206","Open")</x:f>
        <x:v>HYPERLINK is not implemented. linkLocation=https://cdn.shopify.com/s/files/1/0918/6066/4603/files/b692321d2a19181ee7d67c4c3f96571f.jpg?v=1774946206, friendlyName=Open</x:v>
      </x:c>
      <x:c r="C3101" s="24" t="e">
        <x:f>HYPERLINK("https://365nails.com/products/365nails-candy-garden-3d-floral-handmade-almond-nails","365nails: ""Candy Garden"" – 3D Floral Handmade Almond Nails")</x:f>
        <x:v>HYPERLINK is not implemented. linkLocation=https://365nails.com/products/365nails-candy-garden-3d-floral-handmade-almond-nails, friendlyName=365nails: "Candy Garden" – 3D Floral Handmade Almond Nails</x:v>
      </x:c>
      <x:c r="D3101" s="18" t="str">
        <x:v>Color: Almond; Color classification: Xs / S / M / L</x:v>
      </x:c>
      <x:c r="E3101" s="25" t="str">
        <x:v>$4.49</x:v>
      </x:c>
      <x:c r="F3101" s="19" t="str">
        <x:v>3</x:v>
      </x:c>
    </x:row>
    <x:row r="3102" ht="93" customHeight="1">
      <x:c r="A3102" s="19" t="n">
        <x:v>3099</x:v>
      </x:c>
      <x:c r="B3102" s="22" t="e">
        <x:f>HYPERLINK("https://cdn.shopify.com/s/files/1/0918/6066/4603/files/29acddf76bd0dab5aeda18977a01c36d.jpg?v=1772707818","Open")</x:f>
        <x:v>HYPERLINK is not implemented. linkLocation=https://cdn.shopify.com/s/files/1/0918/6066/4603/files/29acddf76bd0dab5aeda18977a01c36d.jpg?v=1772707818, friendlyName=Open</x:v>
      </x:c>
      <x:c r="C3102" s="24" t="e">
        <x:f>HYPERLINK("https://365nails.com/products/365nails-matte-nail-tip-refill-pack-sizes-5-9-5-styles-t-shape-ballet-long-oval-almond-stiletto","365nails Matte Nail Tip Refill Pack (Sizes 5-9) | 5 Styles: T-Shape, Ballet, Long Oval, Almond, Stiletto")</x:f>
        <x:v>HYPERLINK is not implemented. linkLocation=https://365nails.com/products/365nails-matte-nail-tip-refill-pack-sizes-5-9-5-styles-t-shape-ballet-long-oval-almond-stiletto, friendlyName=365nails Matte Nail Tip Refill Pack (Sizes 5-9) | 5 Styles: T-Shape, Ballet, Long Oval, Almond, Stiletto</x:v>
      </x:c>
      <x:c r="D3102" s="18" t="str">
        <x:v>Color: 106-trapezoid-240 boxed / 107-ballet-240 boxed / 108-long oval-240 box / 109-almond-240 box / 110-long water drop-240 box</x:v>
      </x:c>
      <x:c r="E3102" s="25" t="str">
        <x:v>$1.23</x:v>
      </x:c>
      <x:c r="F3102" s="19" t="str">
        <x:v>3</x:v>
      </x:c>
    </x:row>
    <x:row r="3103" ht="93" customHeight="1">
      <x:c r="A3103" s="19" t="n">
        <x:v>3100</x:v>
      </x:c>
      <x:c r="B3103" s="22" t="e">
        <x:f>HYPERLINK("https://cdn.shopify.com/s/files/1/0918/6066/4603/files/O1CN01srWpEz2MQzcFk9WzP__2219089449823-0-cib_dc26bd32-ceea-4f80-ad36-9b77acbfa95e.jpg?v=1774065685","Open")</x:f>
        <x:v>HYPERLINK is not implemented. linkLocation=https://cdn.shopify.com/s/files/1/0918/6066/4603/files/O1CN01srWpEz2MQzcFk9WzP__2219089449823-0-cib_dc26bd32-ceea-4f80-ad36-9b77acbfa95e.jpg?v=1774065685, friendlyName=Open</x:v>
      </x:c>
      <x:c r="C3103" s="24" t="e">
        <x:f>HYPERLINK("https://365nails.com/products/neon-abstract-neon-camo-short-square-handmade-nails","365nails-Neon Abstract: ""Neon Camo"" – Short Square Handmade Nails")</x:f>
        <x:v>HYPERLINK is not implemented. linkLocation=https://365nails.com/products/neon-abstract-neon-camo-short-square-handmade-nails, friendlyName=365nails-Neon Abstract: "Neon Camo" – Short Square Handmade Nails</x:v>
      </x:c>
      <x:c r="D3103" s="18" t="str">
        <x:v>Color: A015; Color classification: X s / S / M / L</x:v>
      </x:c>
      <x:c r="E3103" s="25" t="str">
        <x:v>$2.99</x:v>
      </x:c>
      <x:c r="F3103" s="19" t="str">
        <x:v>5</x:v>
      </x:c>
    </x:row>
    <x:row r="3104" ht="93" customHeight="1">
      <x:c r="A3104" s="19" t="n">
        <x:v>3101</x:v>
      </x:c>
      <x:c r="B3104" s="22" t="e">
        <x:f>HYPERLINK("https://cdn.shopify.com/s/files/1/0918/6066/4603/files/040b9104bad4de340986c9a9fe8d57ee_34692887-724d-4475-ba56-b632d06efdc2.jpg?v=1773306754","Open")</x:f>
        <x:v>HYPERLINK is not implemented. linkLocation=https://cdn.shopify.com/s/files/1/0918/6066/4603/files/040b9104bad4de340986c9a9fe8d57ee_34692887-724d-4475-ba56-b632d06efdc2.jpg?v=1773306754, friendlyName=Open</x:v>
      </x:c>
      <x:c r="C3104" s="24" t="e">
        <x:f>HYPERLINK("https://365nails.com/products/365nails-glitter-sequin-floral-handmade-press-on-pedicure","365nails: ""glitter sequin floral"" – handmade press-on pedicure")</x:f>
        <x:v>HYPERLINK is not implemented. linkLocation=https://365nails.com/products/365nails-glitter-sequin-floral-handmade-press-on-pedicure, friendlyName=365nails: "glitter sequin floral" – handmade press-on pedicure</x:v>
      </x:c>
      <x:c r="D3104" s="18" t="str">
        <x:v>Size: XS / S / M / L</x:v>
      </x:c>
      <x:c r="E3104" s="25" t="str">
        <x:v>$2.99</x:v>
      </x:c>
      <x:c r="F3104" s="19" t="str">
        <x:v>3</x:v>
      </x:c>
    </x:row>
    <x:row r="3105" ht="93" customHeight="1">
      <x:c r="A3105" s="19" t="n">
        <x:v>3102</x:v>
      </x:c>
      <x:c r="B3105" s="22" t="e">
        <x:f>HYPERLINK("https://cdn.shopify.com/s/files/1/0918/6066/4603/files/811a95fc1266ba32bf43772c871bc823.jpg?v=1772707751","Open")</x:f>
        <x:v>HYPERLINK is not implemented. linkLocation=https://cdn.shopify.com/s/files/1/0918/6066/4603/files/811a95fc1266ba32bf43772c871bc823.jpg?v=1772707751, friendlyName=Open</x:v>
      </x:c>
      <x:c r="C3105" s="24" t="e">
        <x:f>HYPERLINK("https://365nails.com/products/365nails-single-size-refill-full-matte-no-file-nail-tips-short-styles-pr","365nails Single-Size Refill | Full-Matte No-File Nail Tips (Short Styles)
Pr")</x:f>
        <x:v>HYPERLINK is not implemented. linkLocation=https://365nails.com/products/365nails-single-size-refill-full-matte-no-file-nail-tips-short-styles-pr, friendlyName=365nails Single-Size Refill | Full-Matte No-File Nail Tips (Short Styles)
Pr</x:v>
      </x:c>
      <x:c r="D3105" s="18" t="str">
        <x:v>Color: 192 trapezoid # No. 2-50 tablets / Trapezoid # No. 3-50 tablets / Trapezoid # No. 4-50 tablets / Trapezoid # No. 5-50 tablets / Trapezoid # No. 6-50 tablets / Trapezoid # No. 7-50 tablets / Trapezoid # No. 8-50 tablets / Short trapezoid # No. 2-50 tablets / Short trapezoid # No. 3-50 tablets / Short trapezoid # No. 4-50 tablets / Short trapezoid # No. 5-50 tablets / Short trapezoid # No. 6-50 tablets / Short trapezoid # No. 7-50 tablets / Short trapezoid # No. 8-50 tablets / Short round # No. 2-50 tablets / Short round # No. 3-50 tablets / Short round # No. 4-50 tablets / Short round # No. 5-50 tablets / Short round # No. 6-50 tablets / Short round # No. 7-50 tablets / Short round # No. 8-50 tablets / Short square circle # No. 2-50 tablets / Short square circle # No. 3-50 tablets / Short square circle # No. 4-50 tablets / Short square circle # No. 5-50 tablets / Short square circle # No. 6-50 tablets / Short square circle # No. 7-50 tablets / Short square circle # No. 8-50 tablets / Ultra short ladder # No. 2-50 tablets / Ultra short ladder # No. 3-50 tablets / Ultra short ladder # No. 4-50 tablets / Ultra short ladder # No. 5-50 tablets / Ultra short ladder # No. 6-50 tablets / Ultra short ladder # No. 8-50 tablets</x:v>
      </x:c>
      <x:c r="E3105" s="25" t="str">
        <x:v>$0.55</x:v>
      </x:c>
      <x:c r="F3105" s="19" t="str">
        <x:v>3</x:v>
      </x:c>
    </x:row>
    <x:row r="3106" ht="93" customHeight="1">
      <x:c r="A3106" s="19" t="n">
        <x:v>3103</x:v>
      </x:c>
      <x:c r="B3106" s="22" t="e">
        <x:f>HYPERLINK("https://cdn.shopify.com/s/files/1/0918/6066/4603/files/O1CN01gwMNHp1bAhdgYc9b5__2216807853425-0-cib.jpg?v=1772513860","Open")</x:f>
        <x:v>HYPERLINK is not implemented. linkLocation=https://cdn.shopify.com/s/files/1/0918/6066/4603/files/O1CN01gwMNHp1bAhdgYc9b5__2216807853425-0-cib.jpg?v=1772513860, friendlyName=Open</x:v>
      </x:c>
      <x:c r="C3106" s="24" t="e">
        <x:f>HYPERLINK("https://365nails.com/products/365nails-gothic-vampires-kiss-extra-long-stiletto-deep-red-press-on-nails","365nails Gothic: ""Vampire's Kiss"" – Extra Long Stiletto Deep Red Press On Nails")</x:f>
        <x:v>HYPERLINK is not implemented. linkLocation=https://365nails.com/products/365nails-gothic-vampires-kiss-extra-long-stiletto-deep-red-press-on-nails, friendlyName=365nails Gothic: "Vampire's Kiss" – Extra Long Stiletto Deep Red Press On Nails</x:v>
      </x:c>
      <x:c r="D3106" s="18" t="str">
        <x:v>Color: 3.8mm fine point red glass cat's eye beads; Color classification: L size 3 pairs each / M size 3 pairs each / S size 3 pairs each / Xs size 3 pairs each</x:v>
      </x:c>
      <x:c r="E3106" s="25" t="str">
        <x:v>$1.48</x:v>
      </x:c>
      <x:c r="F3106" s="19" t="str">
        <x:v>1</x:v>
      </x:c>
    </x:row>
    <x:row r="3107" ht="93" customHeight="1">
      <x:c r="A3107" s="19" t="n">
        <x:v>3104</x:v>
      </x:c>
      <x:c r="B3107" s="22" t="e">
        <x:f>HYPERLINK("https://cdn.shopify.com/s/files/1/0918/6066/4603/files/d1fc64ead026d03cb437827ae43859b9.png?v=1761532926","Open")</x:f>
        <x:v>HYPERLINK is not implemented. linkLocation=https://cdn.shopify.com/s/files/1/0918/6066/4603/files/d1fc64ead026d03cb437827ae43859b9.png?v=1761532926, friendlyName=Open</x:v>
      </x:c>
      <x:c r="C3107" s="24" t="e">
        <x:f>HYPERLINK("https://365nails.com/products/custom-mounting-cards-for-press-on-nails-private-label-moq-1-000","Custom Mounting Cards for Press‑On Nails (Private Label, MOQ 1,000)")</x:f>
        <x:v>HYPERLINK is not implemented. linkLocation=https://365nails.com/products/custom-mounting-cards-for-press-on-nails-private-label-moq-1-000, friendlyName=Custom Mounting Cards for Press‑On Nails (Private Label, MOQ 1,000)</x:v>
      </x:c>
      <x:c r="D3107" s="18" t="str">
        <x:v>Size: 7.5mm x 7.5mm (1000pcs) / 8.5mm x 8.5mm(1000pcs) / Other size(Contact Customer Service)</x:v>
      </x:c>
      <x:c r="E3107" s="25" t="str">
        <x:v>$10.00–$120.00</x:v>
      </x:c>
      <x:c r="F3107" s="19" t="str">
        <x:v>1</x:v>
      </x:c>
    </x:row>
    <x:row r="3108" ht="93" customHeight="1">
      <x:c r="A3108" s="19" t="n">
        <x:v>3105</x:v>
      </x:c>
      <x:c r="B3108" s="22" t="e">
        <x:f>HYPERLINK("https://cdn.shopify.com/s/files/1/0918/6066/4603/files/O1CN01r5rroy27ZUlFvYVsW__2220024697811-0-cib.jpg?v=1775036966","Open")</x:f>
        <x:v>HYPERLINK is not implemented. linkLocation=https://cdn.shopify.com/s/files/1/0918/6066/4603/files/O1CN01r5rroy27ZUlFvYVsW__2220024697811-0-cib.jpg?v=1775036966, friendlyName=Open</x:v>
      </x:c>
      <x:c r="C3108" s="24" t="e">
        <x:f>HYPERLINK("https://365nails.com/products/365nails-liquid-marble-abstract-swirl-handmade-almond-nails","365nails: ""Liquid Marble"" – Abstract Swirl Handmade Almond Nails")</x:f>
        <x:v>HYPERLINK is not implemented. linkLocation=https://365nails.com/products/365nails-liquid-marble-abstract-swirl-handmade-almond-nails, friendlyName=365nails: "Liquid Marble" – Abstract Swirl Handmade Almond Nails</x:v>
      </x:c>
      <x:c r="D3108" s="18" t="str">
        <x:v>Color: Almond; Color classification: Xs / S / M / L</x:v>
      </x:c>
      <x:c r="E3108" s="25" t="str">
        <x:v>$3.99</x:v>
      </x:c>
      <x:c r="F3108" s="19" t="str">
        <x:v>3</x:v>
      </x:c>
    </x:row>
    <x:row r="3109" ht="93" customHeight="1">
      <x:c r="A3109" s="19" t="n">
        <x:v>3106</x:v>
      </x:c>
      <x:c r="B3109" s="22" t="e">
        <x:f>HYPERLINK("https://cdn.shopify.com/s/files/1/0918/6066/4603/files/O1CN01eYk3We1CPwLwYXeae__2213196780074-0-cib_625cced1-f5c6-4f0b-a02f-2475d50eadae.jpg?v=1774681565","Open")</x:f>
        <x:v>HYPERLINK is not implemented. linkLocation=https://cdn.shopify.com/s/files/1/0918/6066/4603/files/O1CN01eYk3We1CPwLwYXeae__2213196780074-0-cib_625cced1-f5c6-4f0b-a02f-2475d50eadae.jpg?v=1774681565, friendlyName=Open</x:v>
      </x:c>
      <x:c r="C3109" s="24" t="e">
        <x:f>HYPERLINK("https://365nails.com/products/365nails-candy-splash-3d-glitter-color-block-handmade-square-nails","365nails: ""Candy Splash"" – 3D Glitter &amp; Color Block Handmade Square Nails")</x:f>
        <x:v>HYPERLINK is not implemented. linkLocation=https://365nails.com/products/365nails-candy-splash-3d-glitter-color-block-handmade-square-nails, friendlyName=365nails: "Candy Splash" – 3D Glitter &amp; Color Block Handmade Square Nails</x:v>
      </x:c>
      <x:c r="D3109" s="18" t="str">
        <x:v>Color: 191-short round; Color classification: Xs / S / M / L</x:v>
      </x:c>
      <x:c r="E3109" s="25" t="str">
        <x:v>$2.99</x:v>
      </x:c>
      <x:c r="F3109" s="19" t="str">
        <x:v>1</x:v>
      </x:c>
    </x:row>
    <x:row r="3110" ht="93" customHeight="1">
      <x:c r="A3110" s="19" t="n">
        <x:v>3107</x:v>
      </x:c>
      <x:c r="B3110" s="22" t="e">
        <x:f>HYPERLINK("https://cdn.shopify.com/s/files/1/0918/6066/4603/files/O1CN01pTMKt727ZUkvig5tx__2220024697811-0-cib.jpg?v=1774946847","Open")</x:f>
        <x:v>HYPERLINK is not implemented. linkLocation=https://cdn.shopify.com/s/files/1/0918/6066/4603/files/O1CN01pTMKt727ZUkvig5tx__2220024697811-0-cib.jpg?v=1774946847, friendlyName=Open</x:v>
      </x:c>
      <x:c r="C3110" s="24" t="e">
        <x:f>HYPERLINK("https://365nails.com/products/365nails-tropical-fantasy-3d-fruit-handmade-almond-nails","365nails: ""Tropical Fantasy"" – 3D Fruit Handmade Almond Nails")</x:f>
        <x:v>HYPERLINK is not implemented. linkLocation=https://365nails.com/products/365nails-tropical-fantasy-3d-fruit-handmade-almond-nails, friendlyName=365nails: "Tropical Fantasy" – 3D Fruit Handmade Almond Nails</x:v>
      </x:c>
      <x:c r="D3110" s="18" t="str">
        <x:v>Color: Almond; Color classification: Xs / S / M / L</x:v>
      </x:c>
      <x:c r="E3110" s="25" t="str">
        <x:v>$4.49</x:v>
      </x:c>
      <x:c r="F3110" s="19" t="str">
        <x:v>3</x:v>
      </x:c>
    </x:row>
    <x:row r="3111" ht="93" customHeight="1">
      <x:c r="A3111" s="19" t="n">
        <x:v>3108</x:v>
      </x:c>
      <x:c r="B3111" s="22" t="e">
        <x:f>HYPERLINK("https://cdn.shopify.com/s/files/1/0918/6066/4603/files/O1CN01sRCHaJ1xxAvuFkAlY__2212202186509-0-cib.jpg?v=1763699184","Open")</x:f>
        <x:v>HYPERLINK is not implemented. linkLocation=https://cdn.shopify.com/s/files/1/0918/6066/4603/files/O1CN01sRCHaJ1xxAvuFkAlY__2212202186509-0-cib.jpg?v=1763699184, friendlyName=Open</x:v>
      </x:c>
      <x:c r="C3111" s="24" t="e">
        <x:f>HYPERLINK("https://365nails.com/products/premium-semi-transparent-sulphate-paper-envelope-elegant-frosted-gift-packaging-with-ribbon","Premium Semi‑Transparent Sulphate Paper Envelope – Elegant Frosted Gift Packaging with Ribbon")</x:f>
        <x:v>HYPERLINK is not implemented. linkLocation=https://365nails.com/products/premium-semi-transparent-sulphate-paper-envelope-elegant-frosted-gift-packaging-with-ribbon, friendlyName=Premium Semi‑Transparent Sulphate Paper Envelope – Elegant Frosted Gift Packaging with Ribbon</x:v>
      </x:c>
      <x:c r="D3111" s="18" t="str">
        <x:v>Specifications and models: Spot blank envelope 10.6x17cm; Quantity: 50pcs</x:v>
      </x:c>
      <x:c r="E3111" s="25" t="str">
        <x:v>$8.50</x:v>
      </x:c>
      <x:c r="F3111" s="19" t="str">
        <x:v>1</x:v>
      </x:c>
    </x:row>
    <x:row r="3112" ht="93" customHeight="1">
      <x:c r="A3112" s="19" t="n">
        <x:v>3109</x:v>
      </x:c>
      <x:c r="B3112" s="22" t="e">
        <x:f>HYPERLINK("https://cdn.shopify.com/s/files/1/0918/6066/4603/files/O1CN01oVsuGp27ZUlDVXwkF__2220024697811-0-cib.jpg?v=1774946355","Open")</x:f>
        <x:v>HYPERLINK is not implemented. linkLocation=https://cdn.shopify.com/s/files/1/0918/6066/4603/files/O1CN01oVsuGp27ZUlDVXwkF__2220024697811-0-cib.jpg?v=1774946355, friendlyName=Open</x:v>
      </x:c>
      <x:c r="C3112" s="24" t="e">
        <x:f>HYPERLINK("https://365nails.com/products/365nails-ocean-whispers-3d-floral-handmade-almond-nails","365nails: ""Ocean Whispers"" – 3D Floral Handmade Almond Nails")</x:f>
        <x:v>HYPERLINK is not implemented. linkLocation=https://365nails.com/products/365nails-ocean-whispers-3d-floral-handmade-almond-nails, friendlyName=365nails: "Ocean Whispers" – 3D Floral Handmade Almond Nails</x:v>
      </x:c>
      <x:c r="D3112" s="18" t="str">
        <x:v>Color: Almond; Color classification: Xs / S / M / L</x:v>
      </x:c>
      <x:c r="E3112" s="25" t="str">
        <x:v>$3.99</x:v>
      </x:c>
      <x:c r="F3112" s="19" t="str">
        <x:v>3</x:v>
      </x:c>
    </x:row>
    <x:row r="3113" ht="93" customHeight="1">
      <x:c r="A3113" s="19" t="n">
        <x:v>3110</x:v>
      </x:c>
      <x:c r="B3113" s="22" t="e">
        <x:f>HYPERLINK("https://cdn.shopify.com/s/files/1/0918/6066/4603/files/O1CN01gV8Brq27ZUmJuavpz__2220024697811-0-cib.jpg?v=1775039940","Open")</x:f>
        <x:v>HYPERLINK is not implemented. linkLocation=https://cdn.shopify.com/s/files/1/0918/6066/4603/files/O1CN01gV8Brq27ZUmJuavpz__2220024697811-0-cib.jpg?v=1775039940, friendlyName=Open</x:v>
      </x:c>
      <x:c r="C3113" s="24" t="e">
        <x:f>HYPERLINK("https://365nails.com/products/365nails-blue-sky-flower-3d-floral-gradient-handmade-square-nails","365nails: ""Blue Sky Flower"" – 3D Floral &amp; Gradient Handmade Square Nails")</x:f>
        <x:v>HYPERLINK is not implemented. linkLocation=https://365nails.com/products/365nails-blue-sky-flower-3d-floral-gradient-handmade-square-nails, friendlyName=365nails: "Blue Sky Flower" – 3D Floral &amp; Gradient Handmade Square Nails</x:v>
      </x:c>
      <x:c r="D3113" s="18" t="str">
        <x:v>Color: Duckbill; Color classification: Xs / S / M / L</x:v>
      </x:c>
      <x:c r="E3113" s="25" t="str">
        <x:v>$4.49</x:v>
      </x:c>
      <x:c r="F3113" s="19" t="str">
        <x:v>3</x:v>
      </x:c>
    </x:row>
    <x:row r="3114" ht="93" customHeight="1">
      <x:c r="A3114" s="19" t="n">
        <x:v>3111</x:v>
      </x:c>
      <x:c r="B3114" s="22" t="e">
        <x:f>HYPERLINK("https://cdn.shopify.com/s/files/1/0918/6066/4603/files/O1CN01oU8ZCa27ZUllEZ85X__2220024697811-0-cib.jpg?v=1774958977","Open")</x:f>
        <x:v>HYPERLINK is not implemented. linkLocation=https://cdn.shopify.com/s/files/1/0918/6066/4603/files/O1CN01oU8ZCa27ZUllEZ85X__2220024697811-0-cib.jpg?v=1774958977, friendlyName=Open</x:v>
      </x:c>
      <x:c r="C3114" s="24" t="e">
        <x:f>HYPERLINK("https://365nails.com/products/365nails-caramel-spots-3d-leopard-handmade-almond-nails","365nails: ""Caramel Spots"" – 3D Leopard Handmade Almond Nails")</x:f>
        <x:v>HYPERLINK is not implemented. linkLocation=https://365nails.com/products/365nails-caramel-spots-3d-leopard-handmade-almond-nails, friendlyName=365nails: "Caramel Spots" – 3D Leopard Handmade Almond Nails</x:v>
      </x:c>
      <x:c r="D3114" s="18" t="str">
        <x:v>Color: Almond; Color classification: Xs / S / M / L</x:v>
      </x:c>
      <x:c r="E3114" s="25" t="str">
        <x:v>$4.49</x:v>
      </x:c>
      <x:c r="F3114" s="19" t="str">
        <x:v>3</x:v>
      </x:c>
    </x:row>
    <x:row r="3115" ht="93" customHeight="1">
      <x:c r="A3115" s="19" t="n">
        <x:v>3112</x:v>
      </x:c>
      <x:c r="B3115" s="22" t="e">
        <x:f>HYPERLINK("https://cdn.shopify.com/s/files/1/0918/6066/4603/files/82d18739b04b06608e6febb8502994be_50c590d1-a582-4694-82bb-d64f5a34863e.jpg?v=1765348431","Open")</x:f>
        <x:v>HYPERLINK is not implemented. linkLocation=https://cdn.shopify.com/s/files/1/0918/6066/4603/files/82d18739b04b06608e6febb8502994be_50c590d1-a582-4694-82bb-d64f5a34863e.jpg?v=1765348431, friendlyName=Open</x:v>
      </x:c>
      <x:c r="C3115" s="24" t="e">
        <x:f>HYPERLINK("https://365nails.com/products/aurora-electric-blue-press-on-nails-sapphire-micro-glitter-square-starry-glitter-sparkling-series","Aurora Electric Blue Press On Nails Sapphire Micro Glitter Square| Starry Glitter · Sparkling Series")</x:f>
        <x:v>HYPERLINK is not implemented. linkLocation=https://365nails.com/products/aurora-electric-blue-press-on-nails-sapphire-micro-glitter-square-starry-glitter-sparkling-series, friendlyName=Aurora Electric Blue Press On Nails Sapphire Micro Glitter Square| Starry Glitter · Sparkling Series</x:v>
      </x:c>
      <x:c r="D3115" s="18" t="str">
        <x:v>shape: square / almond; Size: XS / S / M / L; Length: 40mm / 30mm</x:v>
      </x:c>
      <x:c r="E3115" s="25" t="str">
        <x:v>$9.00</x:v>
      </x:c>
      <x:c r="F3115" s="19" t="str">
        <x:v>1</x:v>
      </x:c>
    </x:row>
    <x:row r="3116" ht="93" customHeight="1">
      <x:c r="A3116" s="19" t="n">
        <x:v>3113</x:v>
      </x:c>
      <x:c r="B3116" s="22" t="e">
        <x:f>HYPERLINK("https://cdn.shopify.com/s/files/1/0918/6066/4603/files/O1CN01xWrUMp27ZUmW2RTg4__2220024697811-0-cib.jpg?v=1775039995","Open")</x:f>
        <x:v>HYPERLINK is not implemented. linkLocation=https://cdn.shopify.com/s/files/1/0918/6066/4603/files/O1CN01xWrUMp27ZUmW2RTg4__2220024697811-0-cib.jpg?v=1775039995, friendlyName=Open</x:v>
      </x:c>
      <x:c r="C3116" s="24" t="e">
        <x:f>HYPERLINK("https://365nails.com/products/365nails-mocha-swirl-marble-crystal-handmade-almond-nails","365nails: ""Mocha Swirl"" – Marble &amp; Crystal Handmade Almond Nails")</x:f>
        <x:v>HYPERLINK is not implemented. linkLocation=https://365nails.com/products/365nails-mocha-swirl-marble-crystal-handmade-almond-nails, friendlyName=365nails: "Mocha Swirl" – Marble &amp; Crystal Handmade Almond Nails</x:v>
      </x:c>
      <x:c r="D3116" s="18" t="str">
        <x:v>Color: Long t; Color classification: Xs / S / M / L</x:v>
      </x:c>
      <x:c r="E3116" s="25" t="str">
        <x:v>$4.99</x:v>
      </x:c>
      <x:c r="F3116" s="19" t="str">
        <x:v>3</x:v>
      </x:c>
    </x:row>
    <x:row r="3117" ht="93" customHeight="1">
      <x:c r="A3117" s="19" t="n">
        <x:v>3114</x:v>
      </x:c>
      <x:c r="B3117" s="22" t="e">
        <x:f>HYPERLINK("https://cdn.shopify.com/s/files/1/0918/6066/4603/files/649a9dcc75f669c46cdaab956f87c643_ed184801-c40e-426f-98ed-21cba3c37cbc.jpg?v=1765352231","Open")</x:f>
        <x:v>HYPERLINK is not implemented. linkLocation=https://cdn.shopify.com/s/files/1/0918/6066/4603/files/649a9dcc75f669c46cdaab956f87c643_ed184801-c40e-426f-98ed-21cba3c37cbc.jpg?v=1765352231, friendlyName=Open</x:v>
      </x:c>
      <x:c r="C3117" s="24" t="e">
        <x:f>HYPERLINK("https://365nails.com/products/midnight-spark-stiletto-press-on-nails-burgundy-chunky-multicolor-glitter-square-starry-glitter-sparkling-series","Midnight Spark Stiletto Press On Nails Burgundy Chunky Multicolor Glitter Square| Starry Glitter · Sparkling Series")</x:f>
        <x:v>HYPERLINK is not implemented. linkLocation=https://365nails.com/products/midnight-spark-stiletto-press-on-nails-burgundy-chunky-multicolor-glitter-square-starry-glitter-sparkling-series, friendlyName=Midnight Spark Stiletto Press On Nails Burgundy Chunky Multicolor Glitter Square| Starry Glitter · Sparkling Series</x:v>
      </x:c>
      <x:c r="D3117" s="18" t="str">
        <x:v>Shape: square / almond; Size: XS / S / M / L; Length: 45mm / 30mm</x:v>
      </x:c>
      <x:c r="E3117" s="25" t="str">
        <x:v>$9.00</x:v>
      </x:c>
      <x:c r="F3117" s="19" t="str">
        <x:v>1</x:v>
      </x:c>
    </x:row>
    <x:row r="3118" ht="93" customHeight="1">
      <x:c r="A3118" s="19" t="n">
        <x:v>3115</x:v>
      </x:c>
      <x:c r="B3118" s="22" t="e">
        <x:f>HYPERLINK("https://cdn.shopify.com/s/files/1/0918/6066/4603/files/O1CN014HFffo27ZUlSq63JZ__2220024697811-0-cib.jpg?v=1775037560","Open")</x:f>
        <x:v>HYPERLINK is not implemented. linkLocation=https://cdn.shopify.com/s/files/1/0918/6066/4603/files/O1CN014HFffo27ZUlSq63JZ__2220024697811-0-cib.jpg?v=1775037560, friendlyName=Open</x:v>
      </x:c>
      <x:c r="C3118" s="24" t="e">
        <x:f>HYPERLINK("https://365nails.com/products/365nails-rebel-love-3d-graffiti-heart-handmade-coffin-nails","365nails: ""Rebel Love"" – 3D Graffiti &amp; Heart Handmade Coffin Nails")</x:f>
        <x:v>HYPERLINK is not implemented. linkLocation=https://365nails.com/products/365nails-rebel-love-3d-graffiti-heart-handmade-coffin-nails, friendlyName=365nails: "Rebel Love" – 3D Graffiti &amp; Heart Handmade Coffin Nails</x:v>
      </x:c>
      <x:c r="D3118" s="18" t="str">
        <x:v>Color: Long t; Color classification: Xs / S / M / L</x:v>
      </x:c>
      <x:c r="E3118" s="25" t="str">
        <x:v>$4.49</x:v>
      </x:c>
      <x:c r="F3118" s="19" t="str">
        <x:v>3</x:v>
      </x:c>
    </x:row>
    <x:row r="3119" ht="93" customHeight="1">
      <x:c r="A3119" s="19" t="n">
        <x:v>3116</x:v>
      </x:c>
      <x:c r="B3119" s="22" t="e">
        <x:f>HYPERLINK("https://cdn.shopify.com/s/files/1/0918/6066/4603/files/O1CN01nrOW2W27ZUlH8QjYI__2220024697811-0-cib.jpg?v=1775041137","Open")</x:f>
        <x:v>HYPERLINK is not implemented. linkLocation=https://cdn.shopify.com/s/files/1/0918/6066/4603/files/O1CN01nrOW2W27ZUlH8QjYI__2220024697811-0-cib.jpg?v=1775041137, friendlyName=Open</x:v>
      </x:c>
      <x:c r="C3119" s="24" t="e">
        <x:f>HYPERLINK("https://365nails.com/products/365nails-pink-opulence-gold-veins-marble-handmade-stiletto-nails","365nails: ""Pink Opulence"" – Gold Veins &amp; Marble Handmade Stiletto Nails")</x:f>
        <x:v>HYPERLINK is not implemented. linkLocation=https://365nails.com/products/365nails-pink-opulence-gold-veins-marble-handmade-stiletto-nails, friendlyName=365nails: "Pink Opulence" – Gold Veins &amp; Marble Handmade Stiletto Nails</x:v>
      </x:c>
      <x:c r="D3119" s="18" t="str">
        <x:v>Color: Almond; Color classification: Xs / S / M / L</x:v>
      </x:c>
      <x:c r="E3119" s="25" t="str">
        <x:v>$4.49</x:v>
      </x:c>
      <x:c r="F3119" s="19" t="str">
        <x:v>3</x:v>
      </x:c>
    </x:row>
    <x:row r="3120" ht="93" customHeight="1">
      <x:c r="A3120" s="19" t="n">
        <x:v>3117</x:v>
      </x:c>
      <x:c r="B3120" s="22" t="e">
        <x:f>HYPERLINK("https://cdn.shopify.com/s/files/1/0918/6066/4603/files/O1CN013rv2hA27ZUlqgFwQa__2220024697811-0-cib.jpg?v=1774959097","Open")</x:f>
        <x:v>HYPERLINK is not implemented. linkLocation=https://cdn.shopify.com/s/files/1/0918/6066/4603/files/O1CN013rv2hA27ZUlqgFwQa__2220024697811-0-cib.jpg?v=1774959097, friendlyName=Open</x:v>
      </x:c>
      <x:c r="C3120" s="24" t="e">
        <x:f>HYPERLINK("https://365nails.com/products/365nails-blossom-sky-solid-color-handmade-almond-nails","365nails: ""Blossom &amp; Sky"" – Solid Color Handmade Almond Nails")</x:f>
        <x:v>HYPERLINK is not implemented. linkLocation=https://365nails.com/products/365nails-blossom-sky-solid-color-handmade-almond-nails, friendlyName=365nails: "Blossom &amp; Sky" – Solid Color Handmade Almond Nails</x:v>
      </x:c>
      <x:c r="D3120" s="18" t="str">
        <x:v>Color: Almond; Color classification: Xs / S / M / L</x:v>
      </x:c>
      <x:c r="E3120" s="25" t="str">
        <x:v>$2.99</x:v>
      </x:c>
      <x:c r="F3120" s="19" t="str">
        <x:v>3</x:v>
      </x:c>
    </x:row>
    <x:row r="3121" ht="93" customHeight="1">
      <x:c r="A3121" s="19" t="n">
        <x:v>3118</x:v>
      </x:c>
      <x:c r="B3121" s="22" t="e">
        <x:f>HYPERLINK("https://cdn.shopify.com/s/files/1/0918/6066/4603/files/b2e6fc6b80c9184f78ac5da761105dcc_28233051-de34-46c4-a0f3-e9a9336dddf0.jpg?v=1765347327","Open")</x:f>
        <x:v>HYPERLINK is not implemented. linkLocation=https://cdn.shopify.com/s/files/1/0918/6066/4603/files/b2e6fc6b80c9184f78ac5da761105dcc_28233051-de34-46c4-a0f3-e9a9336dddf0.jpg?v=1765347327, friendlyName=Open</x:v>
      </x:c>
      <x:c r="C3121" s="24" t="e">
        <x:f>HYPERLINK("https://365nails.com/products/ice-queen-press-on-nails-iridescent-silver-white-micro-glitter-stiletto-starry-glitter-sparkling-series","Ice Queen Press On Nails Iridescent Silver White Micro Glitter Stiletto| Starry Glitter · Sparkling Series")</x:f>
        <x:v>HYPERLINK is not implemented. linkLocation=https://365nails.com/products/ice-queen-press-on-nails-iridescent-silver-white-micro-glitter-stiletto-starry-glitter-sparkling-series, friendlyName=Ice Queen Press On Nails Iridescent Silver White Micro Glitter Stiletto| Starry Glitter · Sparkling Series</x:v>
      </x:c>
      <x:c r="D3121" s="18" t="str">
        <x:v>shape: almond / square; Size: XS / S / M / L; Length: 45mm / 30mm</x:v>
      </x:c>
      <x:c r="E3121" s="25" t="str">
        <x:v>$9.00</x:v>
      </x:c>
      <x:c r="F3121" s="19" t="str">
        <x:v>1</x:v>
      </x:c>
    </x:row>
    <x:row r="3122" ht="93" customHeight="1">
      <x:c r="A3122" s="19" t="n">
        <x:v>3119</x:v>
      </x:c>
      <x:c r="B3122" s="22" t="e">
        <x:f>HYPERLINK("https://cdn.shopify.com/s/files/1/0918/6066/4603/files/O1CN01U89HsO27ZUmgiETLv__2220024697811-0-cib.jpg?v=1775040145","Open")</x:f>
        <x:v>HYPERLINK is not implemented. linkLocation=https://cdn.shopify.com/s/files/1/0918/6066/4603/files/O1CN01U89HsO27ZUmgiETLv__2220024697811-0-cib.jpg?v=1775040145, friendlyName=Open</x:v>
      </x:c>
      <x:c r="C3122" s="24" t="e">
        <x:f>HYPERLINK("https://365nails.com/products/365nails-tropical-bloom-3d-floral-gradient-handmade-square-nails","365nails: ""Tropical Bloom"" – 3D Floral &amp; Gradient Handmade Square Nails")</x:f>
        <x:v>HYPERLINK is not implemented. linkLocation=https://365nails.com/products/365nails-tropical-bloom-3d-floral-gradient-handmade-square-nails, friendlyName=365nails: "Tropical Bloom" – 3D Floral &amp; Gradient Handmade Square Nails</x:v>
      </x:c>
      <x:c r="D3122" s="18" t="str">
        <x:v>Color: Right angle t; Color classification: Xs / S / M / L</x:v>
      </x:c>
      <x:c r="E3122" s="25" t="str">
        <x:v>$4.49</x:v>
      </x:c>
      <x:c r="F3122" s="19" t="str">
        <x:v>3</x:v>
      </x:c>
    </x:row>
    <x:row r="3123" ht="93" customHeight="1">
      <x:c r="A3123" s="19" t="n">
        <x:v>3120</x:v>
      </x:c>
      <x:c r="B3123" s="22" t="e">
        <x:f>HYPERLINK("https://cdn.shopify.com/s/files/1/0918/6066/4603/files/O1CN014gDpyl2MQzfVGXN73__2219089449823-0-cib.jpg?v=1774258050","Open")</x:f>
        <x:v>HYPERLINK is not implemented. linkLocation=https://cdn.shopify.com/s/files/1/0918/6066/4603/files/O1CN014gDpyl2MQzfVGXN73__2219089449823-0-cib.jpg?v=1774258050, friendlyName=Open</x:v>
      </x:c>
      <x:c r="C3123" s="24" t="e">
        <x:f>HYPERLINK("https://365nails.com/products/pink-glow-nude-pink-rhinestone-square-shape-handmade-press-on-nails","Pink Glow: ""Nude Pink Rhinestone"" – Square Shape Handmade Press-On Nails")</x:f>
        <x:v>HYPERLINK is not implemented. linkLocation=https://365nails.com/products/pink-glow-nude-pink-rhinestone-square-shape-handmade-press-on-nails, friendlyName=Pink Glow: "Nude Pink Rhinestone" – Square Shape Handmade Press-On Nails</x:v>
      </x:c>
      <x:c r="D3123" s="18" t="str">
        <x:v>Color: C 419; Color classification: X s / S / M / L</x:v>
      </x:c>
      <x:c r="E3123" s="25" t="str">
        <x:v>$3.49</x:v>
      </x:c>
      <x:c r="F3123" s="19" t="str">
        <x:v>1</x:v>
      </x:c>
    </x:row>
    <x:row r="3124" ht="93" customHeight="1">
      <x:c r="A3124" s="19" t="n">
        <x:v>3121</x:v>
      </x:c>
      <x:c r="B3124" s="22" t="e">
        <x:f>HYPERLINK("https://cdn.shopify.com/s/files/1/0918/6066/4603/files/O1CN01krpX8u27ZUlFDrU7i__2220024697811-0-cib.jpg?v=1774957264","Open")</x:f>
        <x:v>HYPERLINK is not implemented. linkLocation=https://cdn.shopify.com/s/files/1/0918/6066/4603/files/O1CN01krpX8u27ZUlFDrU7i__2220024697811-0-cib.jpg?v=1774957264, friendlyName=Open</x:v>
      </x:c>
      <x:c r="C3124" s="24" t="e">
        <x:f>HYPERLINK("https://365nails.com/products/365nails-cherry-bliss-3d-fruit-handmade-stiletto-nails","365nails: ""Cherry Bliss"" – 3D Fruit Handmade Stiletto Nails")</x:f>
        <x:v>HYPERLINK is not implemented. linkLocation=https://365nails.com/products/365nails-cherry-bliss-3d-fruit-handmade-stiletto-nails, friendlyName=365nails: "Cherry Bliss" – 3D Fruit Handmade Stiletto Nails</x:v>
      </x:c>
      <x:c r="D3124" s="18" t="str">
        <x:v>Color: Long tip; Color classification: Xs / S / M / L</x:v>
      </x:c>
      <x:c r="E3124" s="25" t="str">
        <x:v>$4.49</x:v>
      </x:c>
      <x:c r="F3124" s="19" t="str">
        <x:v>3</x:v>
      </x:c>
    </x:row>
    <x:row r="3125" ht="93" customHeight="1">
      <x:c r="A3125" s="19" t="n">
        <x:v>3122</x:v>
      </x:c>
      <x:c r="B3125" s="22" t="e">
        <x:f>HYPERLINK("https://cdn.shopify.com/s/files/1/0918/6066/4603/files/O1CN01GHGqxU2MQzbm2lORH__2219089449823-0-cib.jpg?v=1774065402","Open")</x:f>
        <x:v>HYPERLINK is not implemented. linkLocation=https://cdn.shopify.com/s/files/1/0918/6066/4603/files/O1CN01GHGqxU2MQzbm2lORH__2219089449823-0-cib.jpg?v=1774065402, friendlyName=Open</x:v>
      </x:c>
      <x:c r="C3125" s="24" t="e">
        <x:f>HYPERLINK("https://365nails.com/products/ocean-whisper-shell-starfish-medium-almond-handmade-nails","365nails-Ocean Whisper: ""Shell &amp; Starfish"" – Medium Almond Handmade Nails")</x:f>
        <x:v>HYPERLINK is not implemented. linkLocation=https://365nails.com/products/ocean-whisper-shell-starfish-medium-almond-handmade-nails, friendlyName=365nails-Ocean Whisper: "Shell &amp; Starfish" – Medium Almond Handmade Nails</x:v>
      </x:c>
      <x:c r="D3125" s="18" t="str">
        <x:v>Color: (d47) flower shadows and sea rhythms—short almonds; Color classification: X s / S / M / L</x:v>
      </x:c>
      <x:c r="E3125" s="25" t="str">
        <x:v>$3.99</x:v>
      </x:c>
      <x:c r="F3125" s="19" t="str">
        <x:v>5</x:v>
      </x:c>
    </x:row>
    <x:row r="3126" ht="93" customHeight="1">
      <x:c r="A3126" s="19" t="n">
        <x:v>3123</x:v>
      </x:c>
      <x:c r="B3126" s="22" t="e">
        <x:f>HYPERLINK("https://cdn.shopify.com/s/files/1/0918/6066/4603/files/O1CN01q3UJkv2MQzfldxiJ2__2219089449823-0-cib.jpg?v=1774258075","Open")</x:f>
        <x:v>HYPERLINK is not implemented. linkLocation=https://cdn.shopify.com/s/files/1/0918/6066/4603/files/O1CN01q3UJkv2MQzfldxiJ2__2219089449823-0-cib.jpg?v=1774258075, friendlyName=Open</x:v>
      </x:c>
      <x:c r="C3126" s="24" t="e">
        <x:f>HYPERLINK("https://365nails.com/products/blue-petal-nude-white-french-blue-flower-long-almond-shape-handmade-press-on-nails","Blue Petal: ""Nude White French Blue Flower"" – Long Almond Shape Handmade Press-On Nails")</x:f>
        <x:v>HYPERLINK is not implemented. linkLocation=https://365nails.com/products/blue-petal-nude-white-french-blue-flower-long-almond-shape-handmade-press-on-nails, friendlyName=Blue Petal: "Nude White French Blue Flower" – Long Almond Shape Handmade Press-On Nails</x:v>
      </x:c>
      <x:c r="D3126" s="18" t="str">
        <x:v>Color: C 391; Color classification: X s / S / M / L</x:v>
      </x:c>
      <x:c r="E3126" s="25" t="str">
        <x:v>$3.49</x:v>
      </x:c>
      <x:c r="F3126" s="19" t="str">
        <x:v>1</x:v>
      </x:c>
    </x:row>
    <x:row r="3127" ht="93" customHeight="1">
      <x:c r="A3127" s="19" t="n">
        <x:v>3124</x:v>
      </x:c>
      <x:c r="B3127" s="22" t="e">
        <x:f>HYPERLINK("https://cdn.shopify.com/s/files/1/0918/6066/4603/files/7c7130341889d16810ca968740a75191_f015e4e3-30d4-4a97-b6a3-74bcd3d9e745.jpg?v=1773306853","Open")</x:f>
        <x:v>HYPERLINK is not implemented. linkLocation=https://cdn.shopify.com/s/files/1/0918/6066/4603/files/7c7130341889d16810ca968740a75191_f015e4e3-30d4-4a97-b6a3-74bcd3d9e745.jpg?v=1773306853, friendlyName=Open</x:v>
      </x:c>
      <x:c r="C3127" s="24" t="e">
        <x:f>HYPERLINK("https://365nails.com/products/365nails-pastel-fairy-sequins-handmade-press-on-toenails-pedicure","365nails: ""pastel fairy sequins"" – handmade press-on toenails / pedicure")</x:f>
        <x:v>HYPERLINK is not implemented. linkLocation=https://365nails.com/products/365nails-pastel-fairy-sequins-handmade-press-on-toenails-pedicure, friendlyName=365nails: "pastel fairy sequins" – handmade press-on toenails / pedicure</x:v>
      </x:c>
      <x:c r="D3127" s="18" t="str">
        <x:v>Size: XS / S / M / L</x:v>
      </x:c>
      <x:c r="E3127" s="25" t="str">
        <x:v>$3.99</x:v>
      </x:c>
      <x:c r="F3127" s="19" t="str">
        <x:v>3</x:v>
      </x:c>
    </x:row>
    <x:row r="3128" ht="93" customHeight="1">
      <x:c r="A3128" s="19" t="n">
        <x:v>3125</x:v>
      </x:c>
      <x:c r="B3128" s="22" t="e">
        <x:f>HYPERLINK("https://cdn.shopify.com/s/files/1/0918/6066/4603/files/3c096a30f627c9b06f3e966305dcfd6f.jpg?v=1773306840","Open")</x:f>
        <x:v>HYPERLINK is not implemented. linkLocation=https://cdn.shopify.com/s/files/1/0918/6066/4603/files/3c096a30f627c9b06f3e966305dcfd6f.jpg?v=1773306840, friendlyName=Open</x:v>
      </x:c>
      <x:c r="C3128" s="24" t="e">
        <x:f>HYPERLINK("https://365nails.com/products/365nails-holo-confetti-party-handmade-press-on-toenails-pedicure","365nails: ""holo confetti party"" – handmade press-on toenails / pedicure")</x:f>
        <x:v>HYPERLINK is not implemented. linkLocation=https://365nails.com/products/365nails-holo-confetti-party-handmade-press-on-toenails-pedicure, friendlyName=365nails: "holo confetti party" – handmade press-on toenails / pedicure</x:v>
      </x:c>
      <x:c r="D3128" s="18" t="str">
        <x:v>Size: XS / S / M / L</x:v>
      </x:c>
      <x:c r="E3128" s="25" t="str">
        <x:v>$3.99</x:v>
      </x:c>
      <x:c r="F3128" s="19" t="str">
        <x:v>3</x:v>
      </x:c>
    </x:row>
    <x:row r="3129" ht="93" customHeight="1">
      <x:c r="A3129" s="19" t="n">
        <x:v>3126</x:v>
      </x:c>
      <x:c r="B3129" s="22" t="e">
        <x:f>HYPERLINK("https://cdn.shopify.com/s/files/1/0918/6066/4603/files/O1CN01wbOA0J1Ozutab8Igu__6000000001777-0-cib.jpg?v=1774947050","Open")</x:f>
        <x:v>HYPERLINK is not implemented. linkLocation=https://cdn.shopify.com/s/files/1/0918/6066/4603/files/O1CN01wbOA0J1Ozutab8Igu__6000000001777-0-cib.jpg?v=1774947050, friendlyName=Open</x:v>
      </x:c>
      <x:c r="C3129" s="24" t="e">
        <x:f>HYPERLINK("https://365nails.com/products/365nails-butterfly-whisper-3d-floral-handmade-almond-nails","365nails: ""Butterfly Whisper"" – 3D Floral Handmade Almond Nails")</x:f>
        <x:v>HYPERLINK is not implemented. linkLocation=https://365nails.com/products/365nails-butterfly-whisper-3d-floral-handmade-almond-nails, friendlyName=365nails: "Butterfly Whisper" – 3D Floral Handmade Almond Nails</x:v>
      </x:c>
      <x:c r="D3129" s="18" t="str">
        <x:v>Color: Almond; Color classification: Xs / S / M / L</x:v>
      </x:c>
      <x:c r="E3129" s="25" t="str">
        <x:v>$4.49</x:v>
      </x:c>
      <x:c r="F3129" s="19" t="str">
        <x:v>3</x:v>
      </x:c>
    </x:row>
    <x:row r="3130" ht="93" customHeight="1">
      <x:c r="A3130" s="19" t="n">
        <x:v>3127</x:v>
      </x:c>
      <x:c r="B3130" s="22" t="e">
        <x:f>HYPERLINK("https://cdn.shopify.com/s/files/1/0918/6066/4603/files/O1CN01o7aX7E29Dd53jZd5P__6000000008034-0-cib.jpg?v=1774956058","Open")</x:f>
        <x:v>HYPERLINK is not implemented. linkLocation=https://cdn.shopify.com/s/files/1/0918/6066/4603/files/O1CN01o7aX7E29Dd53jZd5P__6000000008034-0-cib.jpg?v=1774956058, friendlyName=Open</x:v>
      </x:c>
      <x:c r="C3130" s="24" t="e">
        <x:f>HYPERLINK("https://365nails.com/products/365nails-midnight-ballet-3d-bow-handmade-stiletto-nails","365nails: ""Midnight Ballet"" – 3D Bow Handmade Stiletto Nails")</x:f>
        <x:v>HYPERLINK is not implemented. linkLocation=https://365nails.com/products/365nails-midnight-ballet-3d-bow-handmade-stiletto-nails, friendlyName=365nails: "Midnight Ballet" – 3D Bow Handmade Stiletto Nails</x:v>
      </x:c>
      <x:c r="D3130" s="18" t="str">
        <x:v>Color: Almond; Color classification: Xs / S / M / L</x:v>
      </x:c>
      <x:c r="E3130" s="25" t="str">
        <x:v>$4.49</x:v>
      </x:c>
      <x:c r="F3130" s="19" t="str">
        <x:v>3</x:v>
      </x:c>
    </x:row>
    <x:row r="3131" ht="93" customHeight="1">
      <x:c r="A3131" s="19" t="n">
        <x:v>3128</x:v>
      </x:c>
      <x:c r="B3131" s="22" t="e">
        <x:f>HYPERLINK("https://cdn.shopify.com/s/files/1/0918/6066/4603/files/O1CN017YbHvh27ZUlD3cx5T__2220024697811-0-cib.jpg?v=1774945994","Open")</x:f>
        <x:v>HYPERLINK is not implemented. linkLocation=https://cdn.shopify.com/s/files/1/0918/6066/4603/files/O1CN017YbHvh27ZUlD3cx5T__2220024697811-0-cib.jpg?v=1774945994, friendlyName=Open</x:v>
      </x:c>
      <x:c r="C3131" s="24" t="e">
        <x:f>HYPERLINK("https://365nails.com/products/365nails-electric-bloom-3d-floral-handmade-almond-nails","365nails: ""Electric Bloom"" – 3D Floral Handmade Almond Nails")</x:f>
        <x:v>HYPERLINK is not implemented. linkLocation=https://365nails.com/products/365nails-electric-bloom-3d-floral-handmade-almond-nails, friendlyName=365nails: "Electric Bloom" – 3D Floral Handmade Almond Nails</x:v>
      </x:c>
      <x:c r="D3131" s="18" t="str">
        <x:v>Color: Almond; Color classification: Xs / S / M / L</x:v>
      </x:c>
      <x:c r="E3131" s="25" t="str">
        <x:v>$5.49</x:v>
      </x:c>
      <x:c r="F3131" s="19" t="str">
        <x:v>3</x:v>
      </x:c>
    </x:row>
    <x:row r="3132" ht="93" customHeight="1">
      <x:c r="A3132" s="19" t="n">
        <x:v>3129</x:v>
      </x:c>
      <x:c r="B3132" s="22" t="e">
        <x:f>HYPERLINK("https://cdn.shopify.com/s/files/1/0918/6066/4603/files/O1CN013Cblkc1gFLhtg7cOq__6000000004112-0-cib.jpg?v=1775036408","Open")</x:f>
        <x:v>HYPERLINK is not implemented. linkLocation=https://cdn.shopify.com/s/files/1/0918/6066/4603/files/O1CN013Cblkc1gFLhtg7cOq__6000000004112-0-cib.jpg?v=1775036408, friendlyName=Open</x:v>
      </x:c>
      <x:c r="C3132" s="24" t="e">
        <x:f>HYPERLINK("https://365nails.com/products/365nails-mocha-frost-3d-floral-handmade-coffin-nails","365nails: ""Mocha Frost"" – 3D Floral Handmade Coffin Nails")</x:f>
        <x:v>HYPERLINK is not implemented. linkLocation=https://365nails.com/products/365nails-mocha-frost-3d-floral-handmade-coffin-nails, friendlyName=365nails: "Mocha Frost" – 3D Floral Handmade Coffin Nails</x:v>
      </x:c>
      <x:c r="D3132" s="18" t="str">
        <x:v>Color: Long tip; Color classification: Xs / S / M / L</x:v>
      </x:c>
      <x:c r="E3132" s="25" t="str">
        <x:v>$5.99</x:v>
      </x:c>
      <x:c r="F3132" s="19" t="str">
        <x:v>3</x:v>
      </x:c>
    </x:row>
    <x:row r="3133" ht="93" customHeight="1">
      <x:c r="A3133" s="19" t="n">
        <x:v>3130</x:v>
      </x:c>
      <x:c r="B3133" s="22" t="e">
        <x:f>HYPERLINK("https://cdn.shopify.com/s/files/1/0918/6066/4603/files/O1CN01o8RFHt1iP5MXWY6AF__6000000004404-0-cib.jpg?v=1774956536","Open")</x:f>
        <x:v>HYPERLINK is not implemented. linkLocation=https://cdn.shopify.com/s/files/1/0918/6066/4603/files/O1CN01o8RFHt1iP5MXWY6AF__6000000004404-0-cib.jpg?v=1774956536, friendlyName=Open</x:v>
      </x:c>
      <x:c r="C3133" s="24" t="e">
        <x:f>HYPERLINK("https://365nails.com/products/365nails-fruit-fantasy-3d-strawberry-handmade-square-nails","365nails: ""Fruit Fantasy"" – 3D Strawberry Handmade Square Nails")</x:f>
        <x:v>HYPERLINK is not implemented. linkLocation=https://365nails.com/products/365nails-fruit-fantasy-3d-strawberry-handmade-square-nails, friendlyName=365nails: "Fruit Fantasy" – 3D Strawberry Handmade Square Nails</x:v>
      </x:c>
      <x:c r="D3133" s="18" t="str">
        <x:v>Color: Almond; Color classification: Xs / S / M / L</x:v>
      </x:c>
      <x:c r="E3133" s="25" t="str">
        <x:v>$4.49</x:v>
      </x:c>
      <x:c r="F3133" s="19" t="str">
        <x:v>3</x:v>
      </x:c>
    </x:row>
    <x:row r="3134" ht="93" customHeight="1">
      <x:c r="A3134" s="19" t="n">
        <x:v>3131</x:v>
      </x:c>
      <x:c r="B3134" s="22" t="e">
        <x:f>HYPERLINK("https://cdn.shopify.com/s/files/1/0918/6066/4603/files/e1dbd78f46534a644a774173e6595f6c.jpg?v=1773306795","Open")</x:f>
        <x:v>HYPERLINK is not implemented. linkLocation=https://cdn.shopify.com/s/files/1/0918/6066/4603/files/e1dbd78f46534a644a774173e6595f6c.jpg?v=1773306795, friendlyName=Open</x:v>
      </x:c>
      <x:c r="C3134" s="24" t="e">
        <x:f>HYPERLINK("https://365nails.com/products/365nails-emerald-crystal-pave-handmade-press-on-toenails-pedicure","365nails: ""emerald crystal pave"" – handmade press-on toenails / pedicure")</x:f>
        <x:v>HYPERLINK is not implemented. linkLocation=https://365nails.com/products/365nails-emerald-crystal-pave-handmade-press-on-toenails-pedicure, friendlyName=365nails: "emerald crystal pave" – handmade press-on toenails / pedicure</x:v>
      </x:c>
      <x:c r="D3134" s="18" t="str">
        <x:v>Size: XS / S / M / L</x:v>
      </x:c>
      <x:c r="E3134" s="25" t="str">
        <x:v>$4.99</x:v>
      </x:c>
      <x:c r="F3134" s="19" t="str">
        <x:v>3</x:v>
      </x:c>
    </x:row>
    <x:row r="3135" ht="93" customHeight="1">
      <x:c r="A3135" s="19" t="n">
        <x:v>3132</x:v>
      </x:c>
      <x:c r="B3135" s="22" t="e">
        <x:f>HYPERLINK("https://cdn.shopify.com/s/files/1/0918/6066/4603/files/O1CN012RwkEm1zar0SX9UHh__6000000006731-0-cib.jpg?v=1774956115","Open")</x:f>
        <x:v>HYPERLINK is not implemented. linkLocation=https://cdn.shopify.com/s/files/1/0918/6066/4603/files/O1CN012RwkEm1zar0SX9UHh__6000000006731-0-cib.jpg?v=1774956115, friendlyName=Open</x:v>
      </x:c>
      <x:c r="C3135" s="24" t="e">
        <x:f>HYPERLINK("https://365nails.com/products/365nails-candy-chains-3d-butterfly-chain-handmade-almond-nails","365nails: ""Candy Chains"" – 3D Butterfly &amp; Chain Handmade Almond Nails")</x:f>
        <x:v>HYPERLINK is not implemented. linkLocation=https://365nails.com/products/365nails-candy-chains-3d-butterfly-chain-handmade-almond-nails, friendlyName=365nails: "Candy Chains" – 3D Butterfly &amp; Chain Handmade Almond Nails</x:v>
      </x:c>
      <x:c r="D3135" s="18" t="str">
        <x:v>Color: Almond; Color classification: Xs / S / M / L</x:v>
      </x:c>
      <x:c r="E3135" s="25" t="str">
        <x:v>$4.49</x:v>
      </x:c>
      <x:c r="F3135" s="19" t="str">
        <x:v>3</x:v>
      </x:c>
    </x:row>
    <x:row r="3136" ht="93" customHeight="1">
      <x:c r="A3136" s="19" t="n">
        <x:v>3133</x:v>
      </x:c>
      <x:c r="B3136" s="22" t="e">
        <x:f>HYPERLINK("https://cdn.shopify.com/s/files/1/0918/6066/4603/files/O1CN01YCcoAd27ZUlVQYGG3__2220024697811-0-cib.jpg?v=1775037505","Open")</x:f>
        <x:v>HYPERLINK is not implemented. linkLocation=https://cdn.shopify.com/s/files/1/0918/6066/4603/files/O1CN01YCcoAd27ZUlVQYGG3__2220024697811-0-cib.jpg?v=1775037505, friendlyName=Open</x:v>
      </x:c>
      <x:c r="C3136" s="24" t="e">
        <x:f>HYPERLINK("https://365nails.com/products/365nails-dark-enchantment-3d-gothic-charm-handmade-stiletto-nails","365nails: ""Dark Enchantment"" – 3D Gothic Charm Handmade Stiletto Nails")</x:f>
        <x:v>HYPERLINK is not implemented. linkLocation=https://365nails.com/products/365nails-dark-enchantment-3d-gothic-charm-handmade-stiletto-nails, friendlyName=365nails: "Dark Enchantment" – 3D Gothic Charm Handmade Stiletto Nails</x:v>
      </x:c>
      <x:c r="D3136" s="18" t="str">
        <x:v>Color: Almond; Color classification: Xs / S / M / L</x:v>
      </x:c>
      <x:c r="E3136" s="25" t="str">
        <x:v>$4.49</x:v>
      </x:c>
      <x:c r="F3136" s="19" t="str">
        <x:v>3</x:v>
      </x:c>
    </x:row>
    <x:row r="3137" ht="93" customHeight="1">
      <x:c r="A3137" s="19" t="n">
        <x:v>3134</x:v>
      </x:c>
      <x:c r="B3137" s="22" t="e">
        <x:f>HYPERLINK("https://cdn.shopify.com/s/files/1/0918/6066/4603/files/O1CN01FvwB7827ZUkmx9iHV__2220024697811-0-cib.jpg?v=1774945706","Open")</x:f>
        <x:v>HYPERLINK is not implemented. linkLocation=https://cdn.shopify.com/s/files/1/0918/6066/4603/files/O1CN01FvwB7827ZUkmx9iHV__2220024697811-0-cib.jpg?v=1774945706, friendlyName=Open</x:v>
      </x:c>
      <x:c r="C3137" s="24" t="e">
        <x:f>HYPERLINK("https://365nails.com/products/365nails-verdant-bloom-3d-floral-handmade-almond-nails","365nails: ""Verdant Bloom"" – 3D Floral Handmade Almond Nails")</x:f>
        <x:v>HYPERLINK is not implemented. linkLocation=https://365nails.com/products/365nails-verdant-bloom-3d-floral-handmade-almond-nails, friendlyName=365nails: "Verdant Bloom" – 3D Floral Handmade Almond Nails</x:v>
      </x:c>
      <x:c r="D3137" s="18" t="str">
        <x:v>Color: Right angle t; Color classification: Xs / S / M / L</x:v>
      </x:c>
      <x:c r="E3137" s="25" t="str">
        <x:v>$4.99</x:v>
      </x:c>
      <x:c r="F3137" s="19" t="str">
        <x:v>3</x:v>
      </x:c>
    </x:row>
    <x:row r="3138" ht="93" customHeight="1">
      <x:c r="A3138" s="19" t="n">
        <x:v>3135</x:v>
      </x:c>
      <x:c r="B3138" s="22" t="e">
        <x:f>HYPERLINK("https://cdn.shopify.com/s/files/1/0918/6066/4603/files/2ad05d57e69c383bfdee2fceed1c9b4a_24c22cac-5463-41f3-a95d-9d1ff6bd9889.jpg?v=1765352416","Open")</x:f>
        <x:v>HYPERLINK is not implemented. linkLocation=https://cdn.shopify.com/s/files/1/0918/6066/4603/files/2ad05d57e69c383bfdee2fceed1c9b4a_24c22cac-5463-41f3-a95d-9d1ff6bd9889.jpg?v=1765352416, friendlyName=Open</x:v>
      </x:c>
      <x:c r="C3138" s="24" t="e">
        <x:f>HYPERLINK("https://365nails.com/products/midnight-stardust-press-on-nails-black-shimmer-glitter-stiletto-starry-glitter-sparkling-series","Midnight Stardust Press On Nails Black Shimmer Glitter Stiletto| Starry Glitter · Sparkling Series")</x:f>
        <x:v>HYPERLINK is not implemented. linkLocation=https://365nails.com/products/midnight-stardust-press-on-nails-black-shimmer-glitter-stiletto-starry-glitter-sparkling-series, friendlyName=Midnight Stardust Press On Nails Black Shimmer Glitter Stiletto| Starry Glitter · Sparkling Series</x:v>
      </x:c>
      <x:c r="D3138" s="18" t="str">
        <x:v>shape: almond / square; Size: XS / S / M / L; Length: 45mm / 30mm</x:v>
      </x:c>
      <x:c r="E3138" s="25" t="str">
        <x:v>$9.00</x:v>
      </x:c>
      <x:c r="F3138" s="19" t="str">
        <x:v>1</x:v>
      </x:c>
    </x:row>
    <x:row r="3139" ht="93" customHeight="1">
      <x:c r="A3139" s="19" t="n">
        <x:v>3136</x:v>
      </x:c>
      <x:c r="B3139" s="22" t="e">
        <x:f>HYPERLINK("https://cdn.shopify.com/s/files/1/0918/6066/4603/files/O1CN010r4YU32MQzcqg3jbB__2219089449823-0-cib.jpg?v=1774065989","Open")</x:f>
        <x:v>HYPERLINK is not implemented. linkLocation=https://cdn.shopify.com/s/files/1/0918/6066/4603/files/O1CN010r4YU32MQzcqg3jbB__2219089449823-0-cib.jpg?v=1774065989, friendlyName=Open</x:v>
      </x:c>
      <x:c r="C3139" s="24" t="e">
        <x:f>HYPERLINK("https://365nails.com/products/jellyfish-dream-3d-jellyfish-carving-long-almond-handmade-nails","365nails-Jellyfish Dream: ""3D Jellyfish Carving"" – Long Almond Handmade Nails")</x:f>
        <x:v>HYPERLINK is not implemented. linkLocation=https://365nails.com/products/jellyfish-dream-3d-jellyfish-carving-long-almond-handmade-nails, friendlyName=365nails-Jellyfish Dream: "3D Jellyfish Carving" – Long Almond Handmade Nails</x:v>
      </x:c>
      <x:c r="D3139" s="18" t="str">
        <x:v>Color: D51 a touch of fragrance—almond; Color classification: X s / S / M / L</x:v>
      </x:c>
      <x:c r="E3139" s="25" t="str">
        <x:v>$3.99</x:v>
      </x:c>
      <x:c r="F3139" s="19" t="str">
        <x:v>1</x:v>
      </x:c>
    </x:row>
    <x:row r="3140" ht="93" customHeight="1">
      <x:c r="A3140" s="19" t="n">
        <x:v>3137</x:v>
      </x:c>
      <x:c r="B3140" s="22" t="e">
        <x:f>HYPERLINK("https://cdn.shopify.com/s/files/1/0918/6066/4603/files/O1CN015JZzv71bAheAYVHL5__2216807853425-0-cib.jpg?v=1772373451","Open")</x:f>
        <x:v>HYPERLINK is not implemented. linkLocation=https://cdn.shopify.com/s/files/1/0918/6066/4603/files/O1CN015JZzv71bAheAYVHL5__2216807853425-0-cib.jpg?v=1772373451, friendlyName=Open</x:v>
      </x:c>
      <x:c r="C3140" s="24" t="e">
        <x:f>HYPERLINK("https://365nails.com/products/ombre-essentials-collection-berry-ombre-medium-almond-press-on-nails","Ombré Essentials Collection: ""Berry Ombré"" – Medium Almond Press-On Nails")</x:f>
        <x:v>HYPERLINK is not implemented. linkLocation=https://365nails.com/products/ombre-essentials-collection-berry-ombre-medium-almond-press-on-nails, friendlyName=Ombré Essentials Collection: "Berry Ombré" – Medium Almond Press-On Nails</x:v>
      </x:c>
      <x:c r="D3140" s="18" t="str">
        <x:v>Color: Mlj01 # Light purple·cat eye gilt model / Mlj02 # Big red·cat eye gilt model / Mlj03 # Large purple cat's eye gold-plated style / Mlj03 # Brown color·cat eye gilt model</x:v>
      </x:c>
      <x:c r="E3140" s="25" t="str">
        <x:v>$1.58</x:v>
      </x:c>
      <x:c r="F3140" s="19" t="str">
        <x:v>1</x:v>
      </x:c>
    </x:row>
    <x:row r="3141" ht="93" customHeight="1">
      <x:c r="A3141" s="19" t="n">
        <x:v>3138</x:v>
      </x:c>
      <x:c r="B3141" s="22" t="e">
        <x:f>HYPERLINK("https://cdn.shopify.com/s/files/1/0918/6066/4603/files/4646ace3b17b13b9dfac0679ca6f54a1_81e913a6-078f-42cf-b2bd-43e2391aa9de.jpg?v=1765352305","Open")</x:f>
        <x:v>HYPERLINK is not implemented. linkLocation=https://cdn.shopify.com/s/files/1/0918/6066/4603/files/4646ace3b17b13b9dfac0679ca6f54a1_81e913a6-078f-42cf-b2bd-43e2391aa9de.jpg?v=1765352305, friendlyName=Open</x:v>
      </x:c>
      <x:c r="C3141" s="24" t="e">
        <x:f>HYPERLINK("https://365nails.com/products/rosy-champagne-press-on-nails-shimmery-pink-glitter-stiletto-starry-glitter-sparkling-series","Rosy Champagne Press On Nails Shimmery Pink Glitter Stiletto| Starry Glitter · Sparkling Series")</x:f>
        <x:v>HYPERLINK is not implemented. linkLocation=https://365nails.com/products/rosy-champagne-press-on-nails-shimmery-pink-glitter-stiletto-starry-glitter-sparkling-series, friendlyName=Rosy Champagne Press On Nails Shimmery Pink Glitter Stiletto| Starry Glitter · Sparkling Series</x:v>
      </x:c>
      <x:c r="D3141" s="18" t="str">
        <x:v>shape: almond / square; Size: XS / S / M / L; Length: 45mm / 30mm</x:v>
      </x:c>
      <x:c r="E3141" s="25" t="str">
        <x:v>$9.00</x:v>
      </x:c>
      <x:c r="F3141" s="19" t="str">
        <x:v>1</x:v>
      </x:c>
    </x:row>
    <x:row r="3142" ht="93" customHeight="1">
      <x:c r="A3142" s="19" t="n">
        <x:v>3139</x:v>
      </x:c>
      <x:c r="B3142" s="22" t="e">
        <x:f>HYPERLINK("https://cdn.shopify.com/s/files/1/0918/6066/4603/files/9e04887d8c74a3eeb5bdc7cd377241f7.jpg?v=1765338193","Open")</x:f>
        <x:v>HYPERLINK is not implemented. linkLocation=https://cdn.shopify.com/s/files/1/0918/6066/4603/files/9e04887d8c74a3eeb5bdc7cd377241f7.jpg?v=1765338193, friendlyName=Open</x:v>
      </x:c>
      <x:c r="C3142" s="24" t="e">
        <x:f>HYPERLINK("https://365nails.com/products/neon-lime-press-on-nails-fluorescent-green-micro-glitter-stiletto-starry-glitter-sparkling-series","Neon Lime Press On Nails Fluorescent Green Micro Glitter Stiletto | Starry Glitter · Sparkling Series")</x:f>
        <x:v>HYPERLINK is not implemented. linkLocation=https://365nails.com/products/neon-lime-press-on-nails-fluorescent-green-micro-glitter-stiletto-starry-glitter-sparkling-series, friendlyName=Neon Lime Press On Nails Fluorescent Green Micro Glitter Stiletto | Starry Glitter · Sparkling Series</x:v>
      </x:c>
      <x:c r="D3142" s="18" t="str">
        <x:v>sharp: almond; Size: XS / S / M / L; Length: 45mm / 30mm</x:v>
      </x:c>
      <x:c r="E3142" s="25" t="str">
        <x:v>$9.00</x:v>
      </x:c>
      <x:c r="F3142" s="19" t="str">
        <x:v>1</x:v>
      </x:c>
    </x:row>
    <x:row r="3143" ht="93" customHeight="1">
      <x:c r="A3143" s="19" t="n">
        <x:v>3140</x:v>
      </x:c>
      <x:c r="B3143" s="22" t="e">
        <x:f>HYPERLINK("https://cdn.shopify.com/s/files/1/0918/6066/4603/files/O1CN01ybLRsR1ENlkcIDd5M__6000000000340-0-cib.jpg?v=1774956225","Open")</x:f>
        <x:v>HYPERLINK is not implemented. linkLocation=https://cdn.shopify.com/s/files/1/0918/6066/4603/files/O1CN01ybLRsR1ENlkcIDd5M__6000000000340-0-cib.jpg?v=1774956225, friendlyName=Open</x:v>
      </x:c>
      <x:c r="C3143" s="24" t="e">
        <x:f>HYPERLINK("https://365nails.com/products/365nails-evil-eye-charm-3d-evil-eye-handmade-almond-nails","365nails: ""Evil Eye Charm"" – 3D Evil Eye Handmade Almond Nails")</x:f>
        <x:v>HYPERLINK is not implemented. linkLocation=https://365nails.com/products/365nails-evil-eye-charm-3d-evil-eye-handmade-almond-nails, friendlyName=365nails: "Evil Eye Charm" – 3D Evil Eye Handmade Almond Nails</x:v>
      </x:c>
      <x:c r="D3143" s="18" t="str">
        <x:v>Color: Almond; Color classification: Xs / S / M / L</x:v>
      </x:c>
      <x:c r="E3143" s="25" t="str">
        <x:v>$4.49</x:v>
      </x:c>
      <x:c r="F3143" s="19" t="str">
        <x:v>3</x:v>
      </x:c>
    </x:row>
    <x:row r="3144" ht="93" customHeight="1">
      <x:c r="A3144" s="19" t="n">
        <x:v>3141</x:v>
      </x:c>
      <x:c r="B3144" s="22" t="e">
        <x:f>HYPERLINK("https://cdn.shopify.com/s/files/1/0918/6066/4603/files/O1CN01zKokf927ZUlkLp5QI__2220024697811-0-cib.jpg?v=1774959034","Open")</x:f>
        <x:v>HYPERLINK is not implemented. linkLocation=https://cdn.shopify.com/s/files/1/0918/6066/4603/files/O1CN01zKokf927ZUlkLp5QI__2220024697811-0-cib.jpg?v=1774959034, friendlyName=Open</x:v>
      </x:c>
      <x:c r="C3144" s="24" t="e">
        <x:f>HYPERLINK("https://365nails.com/products/365nails-fruit-salad-3d-cherry-handmade-almond-nails","365nails: ""Fruit Salad"" – 3D Cherry Handmade Almond Nails")</x:f>
        <x:v>HYPERLINK is not implemented. linkLocation=https://365nails.com/products/365nails-fruit-salad-3d-cherry-handmade-almond-nails, friendlyName=365nails: "Fruit Salad" – 3D Cherry Handmade Almond Nails</x:v>
      </x:c>
      <x:c r="D3144" s="18" t="str">
        <x:v>Color: Almond; Color classification: Xs / S / M / L</x:v>
      </x:c>
      <x:c r="E3144" s="25" t="str">
        <x:v>$4.49</x:v>
      </x:c>
      <x:c r="F3144" s="19" t="str">
        <x:v>3</x:v>
      </x:c>
    </x:row>
    <x:row r="3145" ht="93" customHeight="1">
      <x:c r="A3145" s="19" t="n">
        <x:v>3142</x:v>
      </x:c>
      <x:c r="B3145" s="22" t="e">
        <x:f>HYPERLINK("https://cdn.shopify.com/s/files/1/0918/6066/4603/files/683af73557df3227219cedf360a7a920.jpg?v=1755247864","Open")</x:f>
        <x:v>HYPERLINK is not implemented. linkLocation=https://cdn.shopify.com/s/files/1/0918/6066/4603/files/683af73557df3227219cedf360a7a920.jpg?v=1755247864, friendlyName=Open</x:v>
      </x:c>
      <x:c r="C3145" s="24" t="e">
        <x:f>HYPERLINK("https://365nails.com/products/nail-tips-new-matte-half-sticker-press-on-nails-piece-240-pieces-boxed-french-full-sand-ultra-thin-denim-nail-fake-nail-piece","Nail Tips New  matte half sticker press on nails piece 240 pieces boxed French full sand ultra-thin denim nail fake nail piece (MOQ=3)")</x:f>
        <x:v>HYPERLINK is not implemented. linkLocation=https://365nails.com/products/nail-tips-new-matte-half-sticker-press-on-nails-piece-240-pieces-boxed-french-full-sand-ultra-thin-denim-nail-fake-nail-piece, friendlyName=Nail Tips New  matte half sticker press on nails piece 240 pieces boxed French full sand ultra-thin denim nail fake nail piece (MOQ=3)</x:v>
      </x:c>
      <x:c r="D3145" s="18" t="str">
        <x:v>Color: YS-265 matte half sticker short 240 pieces / YS-266 frosted half sticker long 240 pieces; Quantity: 3pcs</x:v>
      </x:c>
      <x:c r="E3145" s="25" t="str">
        <x:v>$4.27</x:v>
      </x:c>
      <x:c r="F3145" s="19" t="str">
        <x:v>1</x:v>
      </x:c>
    </x:row>
    <x:row r="3146" ht="93" customHeight="1">
      <x:c r="A3146" s="19" t="n">
        <x:v>3143</x:v>
      </x:c>
      <x:c r="B3146" s="22" t="e">
        <x:f>HYPERLINK("https://cdn.shopify.com/s/files/1/0918/6066/4603/files/O1CN01sZbGEJ2MQzd26hri4__2219089449823-0-cib.jpg?v=1774066089","Open")</x:f>
        <x:v>HYPERLINK is not implemented. linkLocation=https://cdn.shopify.com/s/files/1/0918/6066/4603/files/O1CN01sZbGEJ2MQzd26hri4__2219089449823-0-cib.jpg?v=1774066089, friendlyName=Open</x:v>
      </x:c>
      <x:c r="C3146" s="24" t="e">
        <x:f>HYPERLINK("https://365nails.com/products/zebra-blossom-gradient-floral-zebra-medium-almond-handmade-nails","365nails-Zebra Blossom: ""Gradient Floral Zebra"" – Medium Almond Handmade Nails")</x:f>
        <x:v>HYPERLINK is not implemented. linkLocation=https://365nails.com/products/zebra-blossom-gradient-floral-zebra-medium-almond-handmade-nails, friendlyName=365nails-Zebra Blossom: "Gradient Floral Zebra" – Medium Almond Handmade Nails</x:v>
      </x:c>
      <x:c r="D3146" s="18" t="str">
        <x:v>Color: D442; Color classification: X s / S / M / L</x:v>
      </x:c>
      <x:c r="E3146" s="25" t="str">
        <x:v>$3.99</x:v>
      </x:c>
      <x:c r="F3146" s="19" t="str">
        <x:v>1</x:v>
      </x:c>
    </x:row>
    <x:row r="3147" ht="93" customHeight="1">
      <x:c r="A3147" s="19" t="n">
        <x:v>3144</x:v>
      </x:c>
      <x:c r="B3147" s="22" t="e">
        <x:f>HYPERLINK("https://cdn.shopify.com/s/files/1/0918/6066/4603/files/f602db72acc2cf83379d94a504bc4757_087bbd4e-175a-49ef-b568-2decd340258b.jpg?v=1765352288","Open")</x:f>
        <x:v>HYPERLINK is not implemented. linkLocation=https://cdn.shopify.com/s/files/1/0918/6066/4603/files/f602db72acc2cf83379d94a504bc4757_087bbd4e-175a-49ef-b568-2decd340258b.jpg?v=1765352288, friendlyName=Open</x:v>
      </x:c>
      <x:c r="C3147" s="24" t="e">
        <x:f>HYPERLINK("https://365nails.com/products/falling-starlight-press-on-nails-white-blue-iridescent-shimmer-square-starry-glitter-sparkling-series","Falling Starlight Press On Nails White Blue Iridescent Shimmer Square| Starry Glitter · Sparkling Series")</x:f>
        <x:v>HYPERLINK is not implemented. linkLocation=https://365nails.com/products/falling-starlight-press-on-nails-white-blue-iridescent-shimmer-square-starry-glitter-sparkling-series, friendlyName=Falling Starlight Press On Nails White Blue Iridescent Shimmer Square| Starry Glitter · Sparkling Series</x:v>
      </x:c>
      <x:c r="D3147" s="18" t="str">
        <x:v>shape: square / almond; Size: XS / S / M / L; Length: 45mm / 30mm</x:v>
      </x:c>
      <x:c r="E3147" s="25" t="str">
        <x:v>$9.00</x:v>
      </x:c>
      <x:c r="F3147" s="19" t="str">
        <x:v>1</x:v>
      </x:c>
    </x:row>
    <x:row r="3148" ht="93" customHeight="1">
      <x:c r="A3148" s="19" t="n">
        <x:v>3145</x:v>
      </x:c>
      <x:c r="B3148" s="22" t="e">
        <x:f>HYPERLINK("https://cdn.shopify.com/s/files/1/0918/6066/4603/files/O1CN01ZZcVVG2MQzcYIjSsu__2219089449823-0-cib.jpg?v=1774065918","Open")</x:f>
        <x:v>HYPERLINK is not implemented. linkLocation=https://cdn.shopify.com/s/files/1/0918/6066/4603/files/O1CN01ZZcVVG2MQzcYIjSsu__2219089449823-0-cib.jpg?v=1774065918, friendlyName=Open</x:v>
      </x:c>
      <x:c r="C3148" s="24" t="e">
        <x:f>HYPERLINK("https://365nails.com/products/ballet-dream-pink-gold-bow-medium-almond-handmade-nails","365nails-Ballet Dream: ""Pink &amp; Gold Bow"" – Medium Almond Handmade Nails")</x:f>
        <x:v>HYPERLINK is not implemented. linkLocation=https://365nails.com/products/ballet-dream-pink-gold-bow-medium-almond-handmade-nails, friendlyName=365nails-Ballet Dream: "Pink &amp; Gold Bow" – Medium Almond Handmade Nails</x:v>
      </x:c>
      <x:c r="D3148" s="18" t="str">
        <x:v>Color: D285; Color classification: X s / S / M / L</x:v>
      </x:c>
      <x:c r="E3148" s="25" t="str">
        <x:v>$3.99</x:v>
      </x:c>
      <x:c r="F3148" s="19" t="str">
        <x:v>1</x:v>
      </x:c>
    </x:row>
    <x:row r="3149" ht="93" customHeight="1">
      <x:c r="A3149" s="19" t="n">
        <x:v>3146</x:v>
      </x:c>
      <x:c r="B3149" s="22" t="e">
        <x:f>HYPERLINK("https://cdn.shopify.com/s/files/1/0918/6066/4603/files/O1CN01P4mW5J1umhAM9iEQ1__6000000006080-0-cib.jpg?v=1774956164","Open")</x:f>
        <x:v>HYPERLINK is not implemented. linkLocation=https://cdn.shopify.com/s/files/1/0918/6066/4603/files/O1CN01P4mW5J1umhAM9iEQ1__6000000006080-0-cib.jpg?v=1774956164, friendlyName=Open</x:v>
      </x:c>
      <x:c r="C3149" s="24" t="e">
        <x:f>HYPERLINK("https://365nails.com/products/365nails-cherry-jubilee-3d-fruit-handmade-almond-nails","365nails: ""Cherry Jubilee"" – 3D Fruit Handmade Almond Nails")</x:f>
        <x:v>HYPERLINK is not implemented. linkLocation=https://365nails.com/products/365nails-cherry-jubilee-3d-fruit-handmade-almond-nails, friendlyName=365nails: "Cherry Jubilee" – 3D Fruit Handmade Almond Nails</x:v>
      </x:c>
      <x:c r="D3149" s="18" t="str">
        <x:v>Color: Almond; Color classification: Xs / S / M / L</x:v>
      </x:c>
      <x:c r="E3149" s="25" t="str">
        <x:v>$4.99</x:v>
      </x:c>
      <x:c r="F3149" s="19" t="str">
        <x:v>3</x:v>
      </x:c>
    </x:row>
    <x:row r="3150" ht="93" customHeight="1">
      <x:c r="A3150" s="19" t="n">
        <x:v>3147</x:v>
      </x:c>
      <x:c r="B3150" s="22" t="e">
        <x:f>HYPERLINK("https://cdn.shopify.com/s/files/1/0918/6066/4603/files/6d113105e04e4e3cc73e18ce98055d99.jpg?v=1772976536","Open")</x:f>
        <x:v>HYPERLINK is not implemented. linkLocation=https://cdn.shopify.com/s/files/1/0918/6066/4603/files/6d113105e04e4e3cc73e18ce98055d99.jpg?v=1772976536, friendlyName=Open</x:v>
      </x:c>
      <x:c r="C3150" s="24" t="e">
        <x:f>HYPERLINK("https://365nails.com/products/velvet-collection-velvet-noir-matte-almond-press-on-nails","Velvet Collection: ""Velvet Noir"" – Matte Almond Press-On Nails")</x:f>
        <x:v>HYPERLINK is not implemented. linkLocation=https://365nails.com/products/velvet-collection-velvet-noir-matte-almond-press-on-nails, friendlyName=Velvet Collection: "Velvet Noir" – Matte Almond Press-On Nails</x:v>
      </x:c>
      <x:c r="D3150" s="18" t="str">
        <x:v>Color: 516a-1630*128 pieces in bag / 516a-349683*128 pieces in bag / 516a-349832*128 pieces in bag / 516a-5468240*128 pieces in bag / 516a-dark red*128 pieces in bag / 516a-black*128 pieces in bag</x:v>
      </x:c>
      <x:c r="E3150" s="25" t="str">
        <x:v>$1.91</x:v>
      </x:c>
      <x:c r="F3150" s="19" t="str">
        <x:v>3</x:v>
      </x:c>
    </x:row>
    <x:row r="3151" ht="93" customHeight="1">
      <x:c r="A3151" s="19" t="n">
        <x:v>3148</x:v>
      </x:c>
      <x:c r="B3151" s="22" t="e">
        <x:f>HYPERLINK("https://cdn.shopify.com/s/files/1/0918/6066/4603/files/c688820ff9fe8a73f5eca2346cd857e8_9947213d-d188-4be8-af93-601da71f0bdd.jpg?v=1765352346","Open")</x:f>
        <x:v>HYPERLINK is not implemented. linkLocation=https://cdn.shopify.com/s/files/1/0918/6066/4603/files/c688820ff9fe8a73f5eca2346cd857e8_9947213d-d188-4be8-af93-601da71f0bdd.jpg?v=1765352346, friendlyName=Open</x:v>
      </x:c>
      <x:c r="C3151" s="24" t="e">
        <x:f>HYPERLINK("https://365nails.com/products/frosted-diamond-press-on-nails-silver-chunky-glitter-stiletto-starry-glitter-sparkling-series","Frosted Diamond Press On Nails Silver Chunky Glitter Stiletto| Starry Glitter · Sparkling Series")</x:f>
        <x:v>HYPERLINK is not implemented. linkLocation=https://365nails.com/products/frosted-diamond-press-on-nails-silver-chunky-glitter-stiletto-starry-glitter-sparkling-series, friendlyName=Frosted Diamond Press On Nails Silver Chunky Glitter Stiletto| Starry Glitter · Sparkling Series</x:v>
      </x:c>
      <x:c r="D3151" s="18" t="str">
        <x:v>Sharp: almond / square; Size: XS / S / M / L; Length: 45mm / 30mm</x:v>
      </x:c>
      <x:c r="E3151" s="25" t="str">
        <x:v>$9.00</x:v>
      </x:c>
      <x:c r="F3151" s="19" t="str">
        <x:v>1</x:v>
      </x:c>
    </x:row>
    <x:row r="3152" ht="93" customHeight="1">
      <x:c r="A3152" s="19" t="n">
        <x:v>3149</x:v>
      </x:c>
      <x:c r="B3152" s="22" t="e">
        <x:f>HYPERLINK("https://cdn.shopify.com/s/files/1/0918/6066/4603/files/54bcdd899bb4776e3736dc7a8a271996_f1e42e5a-b42e-472c-ac13-b68cc87ae9ba.jpg?v=1765352211","Open")</x:f>
        <x:v>HYPERLINK is not implemented. linkLocation=https://cdn.shopify.com/s/files/1/0918/6066/4603/files/54bcdd899bb4776e3736dc7a8a271996_f1e42e5a-b42e-472c-ac13-b68cc87ae9ba.jpg?v=1765352211, friendlyName=Open</x:v>
      </x:c>
      <x:c r="C3152" s="24" t="e">
        <x:f>HYPERLINK("https://365nails.com/products/neon-noel-press-on-nails-red-green-chunky-glitter-stiletto-starry-glitter-sparkling-series","Neon Noel Press On Nails Red &amp; Green Chunky Glitter Stiletto| Starry Glitter · Sparkling Series")</x:f>
        <x:v>HYPERLINK is not implemented. linkLocation=https://365nails.com/products/neon-noel-press-on-nails-red-green-chunky-glitter-stiletto-starry-glitter-sparkling-series, friendlyName=Neon Noel Press On Nails Red &amp; Green Chunky Glitter Stiletto| Starry Glitter · Sparkling Series</x:v>
      </x:c>
      <x:c r="D3152" s="18" t="str">
        <x:v>shape: almond / square; Size: XS / S / M / L; Length: 45mm / 30mm</x:v>
      </x:c>
      <x:c r="E3152" s="25" t="str">
        <x:v>$9.00</x:v>
      </x:c>
      <x:c r="F3152" s="19" t="str">
        <x:v>1</x:v>
      </x:c>
    </x:row>
    <x:row r="3153" ht="93" customHeight="1">
      <x:c r="A3153" s="19" t="n">
        <x:v>3150</x:v>
      </x:c>
      <x:c r="B3153" s="22" t="e">
        <x:f>HYPERLINK("https://cdn.shopify.com/s/files/1/0918/6066/4603/files/f7948c8462050587a8477f46d67c24d5.jpg?v=1765360358","Open")</x:f>
        <x:v>HYPERLINK is not implemented. linkLocation=https://cdn.shopify.com/s/files/1/0918/6066/4603/files/f7948c8462050587a8477f46d67c24d5.jpg?v=1765360358, friendlyName=Open</x:v>
      </x:c>
      <x:c r="C3153" s="24" t="e">
        <x:f>HYPERLINK("https://365nails.com/products/starry-glitter-sparkling-series","Stardust Mist Press On Nails｜Silver Grey Fine Glitter Stiletto | Starry Glitter · Sparkling Series")</x:f>
        <x:v>HYPERLINK is not implemented. linkLocation=https://365nails.com/products/starry-glitter-sparkling-series, friendlyName=Stardust Mist Press On Nails｜Silver Grey Fine Glitter Stiletto | Starry Glitter · Sparkling Series</x:v>
      </x:c>
      <x:c r="D3153" s="18" t="str">
        <x:v>shape: almond / square; Size: XS / S / M / L; Length: 45mm / 30mm</x:v>
      </x:c>
      <x:c r="E3153" s="25" t="str">
        <x:v>$9.00</x:v>
      </x:c>
      <x:c r="F3153" s="19" t="str">
        <x:v>1</x:v>
      </x:c>
    </x:row>
    <x:row r="3154" ht="93" customHeight="1">
      <x:c r="A3154" s="19" t="n">
        <x:v>3151</x:v>
      </x:c>
      <x:c r="B3154" s="22" t="e">
        <x:f>HYPERLINK("https://cdn.shopify.com/s/files/1/0918/6066/4603/files/O1CN01OtIt3227ZUlK42AMC__2220024697811-0-cib.jpg?v=1774957318","Open")</x:f>
        <x:v>HYPERLINK is not implemented. linkLocation=https://cdn.shopify.com/s/files/1/0918/6066/4603/files/O1CN01OtIt3227ZUlK42AMC__2220024697811-0-cib.jpg?v=1774957318, friendlyName=Open</x:v>
      </x:c>
      <x:c r="C3154" s="24" t="e">
        <x:f>HYPERLINK("https://365nails.com/products/365nails-blossom-whisper-3d-floral-handmade-almond-nails","365nails: ""Blossom Whisper"" – 3D Floral Handmade Almond Nails")</x:f>
        <x:v>HYPERLINK is not implemented. linkLocation=https://365nails.com/products/365nails-blossom-whisper-3d-floral-handmade-almond-nails, friendlyName=365nails: "Blossom Whisper" – 3D Floral Handmade Almond Nails</x:v>
      </x:c>
      <x:c r="D3154" s="18" t="str">
        <x:v>Color: Almond; Color classification: Xs / S / M / L</x:v>
      </x:c>
      <x:c r="E3154" s="25" t="str">
        <x:v>$4.49</x:v>
      </x:c>
      <x:c r="F3154" s="19" t="str">
        <x:v>3</x:v>
      </x:c>
    </x:row>
    <x:row r="3155" ht="93" customHeight="1">
      <x:c r="A3155" s="19" t="n">
        <x:v>3152</x:v>
      </x:c>
      <x:c r="B3155" s="22" t="e">
        <x:f>HYPERLINK("https://cdn.shopify.com/s/files/1/0918/6066/4603/files/O1CN01mwcBPV27ZUkk96qYL__2220024697811-0-cib.jpg?v=1774945582","Open")</x:f>
        <x:v>HYPERLINK is not implemented. linkLocation=https://cdn.shopify.com/s/files/1/0918/6066/4603/files/O1CN01mwcBPV27ZUkk96qYL__2220024697811-0-cib.jpg?v=1774945582, friendlyName=Open</x:v>
      </x:c>
      <x:c r="C3155" s="24" t="e">
        <x:f>HYPERLINK("https://365nails.com/products/365nails-tropical-whisper-3d-floral-handmade-stiletto-nails","365nails: ""Tropical Whisper"" – 3D Floral Handmade Stiletto Nails")</x:f>
        <x:v>HYPERLINK is not implemented. linkLocation=https://365nails.com/products/365nails-tropical-whisper-3d-floral-handmade-stiletto-nails, friendlyName=365nails: "Tropical Whisper" – 3D Floral Handmade Stiletto Nails</x:v>
      </x:c>
      <x:c r="D3155" s="18" t="str">
        <x:v>Color: Long tip; Color classification: Xs / S / M / L</x:v>
      </x:c>
      <x:c r="E3155" s="25" t="str">
        <x:v>$4.99</x:v>
      </x:c>
      <x:c r="F3155" s="19" t="str">
        <x:v>3</x:v>
      </x:c>
    </x:row>
    <x:row r="3156" ht="93" customHeight="1">
      <x:c r="A3156" s="19" t="n">
        <x:v>3153</x:v>
      </x:c>
      <x:c r="B3156" s="22" t="e">
        <x:f>HYPERLINK("https://cdn.shopify.com/s/files/1/0918/6066/4603/files/O1CN01dLrLfU27ZUm7NqRSN__2220024697811-0-cib.jpg?v=1774959575","Open")</x:f>
        <x:v>HYPERLINK is not implemented. linkLocation=https://cdn.shopify.com/s/files/1/0918/6066/4603/files/O1CN01dLrLfU27ZUm7NqRSN__2220024697811-0-cib.jpg?v=1774959575, friendlyName=Open</x:v>
      </x:c>
      <x:c r="C3156" s="24" t="e">
        <x:f>HYPERLINK("https://365nails.com/products/365nails-ruby-crown-3d-crystal-handmade-almond-nails","365nails: ""Ruby Crown"" – 3D Crystal Handmade Almond Nails")</x:f>
        <x:v>HYPERLINK is not implemented. linkLocation=https://365nails.com/products/365nails-ruby-crown-3d-crystal-handmade-almond-nails, friendlyName=365nails: "Ruby Crown" – 3D Crystal Handmade Almond Nails</x:v>
      </x:c>
      <x:c r="D3156" s="18" t="str">
        <x:v>Color: Right angle t; Color classification: Xs / S / M / L</x:v>
      </x:c>
      <x:c r="E3156" s="25" t="str">
        <x:v>$4.49</x:v>
      </x:c>
      <x:c r="F3156" s="19" t="str">
        <x:v>3</x:v>
      </x:c>
    </x:row>
    <x:row r="3157" ht="93" customHeight="1">
      <x:c r="A3157" s="19" t="n">
        <x:v>3154</x:v>
      </x:c>
      <x:c r="B3157" s="22" t="e">
        <x:f>HYPERLINK("https://cdn.shopify.com/s/files/1/0918/6066/4603/files/4ed4fbe4585d20304714df0d8ed25b47.jpg?v=1765337971","Open")</x:f>
        <x:v>HYPERLINK is not implemented. linkLocation=https://cdn.shopify.com/s/files/1/0918/6066/4603/files/4ed4fbe4585d20304714df0d8ed25b47.jpg?v=1765337971, friendlyName=Open</x:v>
      </x:c>
      <x:c r="C3157" s="24" t="e">
        <x:f>HYPERLINK("https://365nails.com/products/ice-diamond-galaxy-press-on-nails-silver-micro-glitter-square-starry-glitter-sparkling-series","Ice Diamond Galaxy Press On Nails Silver Micro Glitter Square| Starry Glitter · Sparkling Series")</x:f>
        <x:v>HYPERLINK is not implemented. linkLocation=https://365nails.com/products/ice-diamond-galaxy-press-on-nails-silver-micro-glitter-square-starry-glitter-sparkling-series, friendlyName=Ice Diamond Galaxy Press On Nails Silver Micro Glitter Square| Starry Glitter · Sparkling Series</x:v>
      </x:c>
      <x:c r="D3157" s="18" t="str">
        <x:v>shape: square; Size: XS / S / M / L; Length: 45mm / 30mm</x:v>
      </x:c>
      <x:c r="E3157" s="25" t="str">
        <x:v>$9.00</x:v>
      </x:c>
      <x:c r="F3157" s="19" t="str">
        <x:v>1</x:v>
      </x:c>
    </x:row>
    <x:row r="3158" ht="93" customHeight="1">
      <x:c r="A3158" s="19" t="n">
        <x:v>3155</x:v>
      </x:c>
      <x:c r="B3158" s="22" t="e">
        <x:f>HYPERLINK("https://cdn.shopify.com/s/files/1/0918/6066/4603/files/O1CN01p11KS61bAhdYCjmjz__2216807853425-0-cib.jpg?v=1772513855","Open")</x:f>
        <x:v>HYPERLINK is not implemented. linkLocation=https://cdn.shopify.com/s/files/1/0918/6066/4603/files/O1CN01p11KS61bAhdYCjmjz__2216807853425-0-cib.jpg?v=1772513855, friendlyName=Open</x:v>
      </x:c>
      <x:c r="C3158" s="24" t="e">
        <x:f>HYPERLINK("https://365nails.com/products/365nails-minimalist-ruby-cat-eye-french-medium-almond-press-on-nails-30pcs","365nails Minimalist: ""Ruby Cat Eye French"" – Medium Almond Press On Nails (30pcs)")</x:f>
        <x:v>HYPERLINK is not implemented. linkLocation=https://365nails.com/products/365nails-minimalist-ruby-cat-eye-french-medium-almond-press-on-nails-30pcs, friendlyName=365nails Minimalist: "Ruby Cat Eye French" – Medium Almond Press On Nails (30pcs)</x:v>
      </x:c>
      <x:c r="D3158" s="18" t="str">
        <x:v>Color: Cat eye red french</x:v>
      </x:c>
      <x:c r="E3158" s="25" t="str">
        <x:v>$0.99</x:v>
      </x:c>
      <x:c r="F3158" s="19" t="str">
        <x:v>1</x:v>
      </x:c>
    </x:row>
    <x:row r="3159" ht="93" customHeight="1">
      <x:c r="A3159" s="19" t="n">
        <x:v>3156</x:v>
      </x:c>
      <x:c r="B3159" s="22" t="e">
        <x:f>HYPERLINK("https://cdn.shopify.com/s/files/1/0918/6066/4603/files/O1CN010QYWJJ1bAhd2NQcuq__2216807853425-0-cib.jpg?v=1772373433","Open")</x:f>
        <x:v>HYPERLINK is not implemented. linkLocation=https://cdn.shopify.com/s/files/1/0918/6066/4603/files/O1CN010QYWJJ1bAhd2NQcuq__2216807853425-0-cib.jpg?v=1772373433, friendlyName=Open</x:v>
      </x:c>
      <x:c r="C3159" s="24" t="e">
        <x:f>HYPERLINK("https://365nails.com/products/burgundy-elegance-collection-velvet-garnet-medium-almond-press-on-nails","Burgundy Elegance Collection: ""Velvet Garnet"" – Medium Almond Press-On Nails")</x:f>
        <x:v>HYPERLINK is not implemented. linkLocation=https://365nails.com/products/burgundy-elegance-collection-velvet-garnet-medium-almond-press-on-nails, friendlyName=Burgundy Elegance Collection: "Velvet Garnet" – Medium Almond Press-On Nails</x:v>
      </x:c>
      <x:c r="D3159" s="18" t="str">
        <x:v>Color: Dxr09 wine red; Color classification: Xs+s+m / S+s+s / M+m+m</x:v>
      </x:c>
      <x:c r="E3159" s="25" t="str">
        <x:v>$0.32</x:v>
      </x:c>
      <x:c r="F3159" s="19" t="str">
        <x:v>10</x:v>
      </x:c>
    </x:row>
    <x:row r="3160" ht="93" customHeight="1">
      <x:c r="A3160" s="19" t="n">
        <x:v>3157</x:v>
      </x:c>
      <x:c r="B3160" s="22" t="e">
        <x:f>HYPERLINK("https://cdn.shopify.com/s/files/1/0918/6066/4603/files/O1CN01IahYTC27ZUlF4LL4R__2220024697811-0-cib.jpg?v=1775051733","Open")</x:f>
        <x:v>HYPERLINK is not implemented. linkLocation=https://cdn.shopify.com/s/files/1/0918/6066/4603/files/O1CN01IahYTC27ZUlF4LL4R__2220024697811-0-cib.jpg?v=1775051733, friendlyName=Open</x:v>
      </x:c>
      <x:c r="C3160" s="24" t="e">
        <x:f>HYPERLINK("https://365nails.com/products/365nails-santas-gift-3d-christmas-handmade-almond-nails","365nails: ""Santa's Gift"" – 3D Christmas Handmade Almond Nails")</x:f>
        <x:v>HYPERLINK is not implemented. linkLocation=https://365nails.com/products/365nails-santas-gift-3d-christmas-handmade-almond-nails, friendlyName=365nails: "Santa's Gift" – 3D Christmas Handmade Almond Nails</x:v>
      </x:c>
      <x:c r="D3160" s="18" t="str">
        <x:v>Color: Almond; Color classification: Xs / S / M / L</x:v>
      </x:c>
      <x:c r="E3160" s="25" t="str">
        <x:v>$4.99</x:v>
      </x:c>
      <x:c r="F3160" s="19" t="str">
        <x:v>3</x:v>
      </x:c>
    </x:row>
    <x:row r="3161" ht="93" customHeight="1">
      <x:c r="A3161" s="19" t="n">
        <x:v>3158</x:v>
      </x:c>
      <x:c r="B3161" s="22" t="e">
        <x:f>HYPERLINK("https://cdn.shopify.com/s/files/1/0918/6066/4603/files/65916461cf4145682f9b5b86cfcdfad3_c0fa46a8-1514-4186-b40c-00c8ff047991.jpg?v=1765359380","Open")</x:f>
        <x:v>HYPERLINK is not implemented. linkLocation=https://cdn.shopify.com/s/files/1/0918/6066/4603/files/65916461cf4145682f9b5b86cfcdfad3_c0fa46a8-1514-4186-b40c-00c8ff047991.jpg?v=1765359380, friendlyName=Open</x:v>
      </x:c>
      <x:c r="C3161" s="24" t="e">
        <x:f>HYPERLINK("https://365nails.com/products/midnight-gala-press-on-nails-blue-purple-chunky-glitter-stiletto-starry-glitter-sparkling-series","Midnight Gala Press On Nails Blue Purple Chunky Glitter Stiletto| Starry Glitter · Sparkling Series")</x:f>
        <x:v>HYPERLINK is not implemented. linkLocation=https://365nails.com/products/midnight-gala-press-on-nails-blue-purple-chunky-glitter-stiletto-starry-glitter-sparkling-series, friendlyName=Midnight Gala Press On Nails Blue Purple Chunky Glitter Stiletto| Starry Glitter · Sparkling Series</x:v>
      </x:c>
      <x:c r="D3161" s="18" t="str">
        <x:v>shape: almond / square; Size: XS / S / M / L; Length: 45mm / 30mm</x:v>
      </x:c>
      <x:c r="E3161" s="25" t="str">
        <x:v>$9.00</x:v>
      </x:c>
      <x:c r="F3161" s="19" t="str">
        <x:v>1</x:v>
      </x:c>
    </x:row>
    <x:row r="3162" ht="93" customHeight="1">
      <x:c r="A3162" s="19" t="n">
        <x:v>3159</x:v>
      </x:c>
      <x:c r="B3162" s="22" t="e">
        <x:f>HYPERLINK("https://cdn.shopify.com/s/files/1/0918/6066/4603/files/7fe9a48b060a4d5c14aa077b33d76faa_597a3c78-a72e-4dd6-90cb-90504962a808.jpg?v=1765359304","Open")</x:f>
        <x:v>HYPERLINK is not implemented. linkLocation=https://cdn.shopify.com/s/files/1/0918/6066/4603/files/7fe9a48b060a4d5c14aa077b33d76faa_597a3c78-a72e-4dd6-90cb-90504962a808.jpg?v=1765359304, friendlyName=Open</x:v>
      </x:c>
      <x:c r="C3162" s="24" t="e">
        <x:f>HYPERLINK("https://365nails.com/products/galactic-mirage-press-on-nails-blue-purple-fine-glitter-stiletto-starry-glitter-sparkling-series","Galactic Mirage Press On Nails Blue Purple Fine Glitter Stiletto| Starry Glitter · Sparkling Series")</x:f>
        <x:v>HYPERLINK is not implemented. linkLocation=https://365nails.com/products/galactic-mirage-press-on-nails-blue-purple-fine-glitter-stiletto-starry-glitter-sparkling-series, friendlyName=Galactic Mirage Press On Nails Blue Purple Fine Glitter Stiletto| Starry Glitter · Sparkling Series</x:v>
      </x:c>
      <x:c r="D3162" s="18" t="str">
        <x:v>Shape: almond / square; Size: XS / S / M / L; Length: 45mm / 30mm</x:v>
      </x:c>
      <x:c r="E3162" s="25" t="str">
        <x:v>$9.00</x:v>
      </x:c>
      <x:c r="F3162" s="19" t="str">
        <x:v>1</x:v>
      </x:c>
    </x:row>
    <x:row r="3163" ht="93" customHeight="1">
      <x:c r="A3163" s="19" t="n">
        <x:v>3160</x:v>
      </x:c>
      <x:c r="B3163" s="22" t="e">
        <x:f>HYPERLINK("https://cdn.shopify.com/s/files/1/0918/6066/4603/files/O1CN01SLMuyO2MQzc08qf1v__2219089449823-0-cib.jpg?v=1774065612","Open")</x:f>
        <x:v>HYPERLINK is not implemented. linkLocation=https://cdn.shopify.com/s/files/1/0918/6066/4603/files/O1CN01SLMuyO2MQzc08qf1v__2219089449823-0-cib.jpg?v=1774065612, friendlyName=Open</x:v>
      </x:c>
      <x:c r="C3163" s="24" t="e">
        <x:f>HYPERLINK("https://365nails.com/products/sunset-bloom-gradient-floral-medium-almond-handmade-nails","365nails-Sunset Bloom: ""Gradient Floral"" – Medium Almond Handmade Nails")</x:f>
        <x:v>HYPERLINK is not implemented. linkLocation=https://365nails.com/products/sunset-bloom-gradient-floral-medium-almond-handmade-nails, friendlyName=365nails-Sunset Bloom: "Gradient Floral" – Medium Almond Handmade Nails</x:v>
      </x:c>
      <x:c r="D3163" s="18" t="str">
        <x:v>Color: D308; Color classification: X s / S / M / L</x:v>
      </x:c>
      <x:c r="E3163" s="25" t="str">
        <x:v>$3.99</x:v>
      </x:c>
      <x:c r="F3163" s="19" t="str">
        <x:v>5</x:v>
      </x:c>
    </x:row>
    <x:row r="3164" ht="93" customHeight="1">
      <x:c r="A3164" s="19" t="n">
        <x:v>3161</x:v>
      </x:c>
      <x:c r="B3164" s="22" t="e">
        <x:f>HYPERLINK("https://cdn.shopify.com/s/files/1/0918/6066/4603/files/O1CN01gOTkQo27ZUlQI9Nlc__2220024697811-0-cib.jpg?v=1774957893","Open")</x:f>
        <x:v>HYPERLINK is not implemented. linkLocation=https://cdn.shopify.com/s/files/1/0918/6066/4603/files/O1CN01gOTkQo27ZUlQI9Nlc__2220024697811-0-cib.jpg?v=1774957893, friendlyName=Open</x:v>
      </x:c>
      <x:c r="C3164" s="24" t="e">
        <x:f>HYPERLINK("https://365nails.com/products/365nails-citrus-bloom-3d-floral-handmade-almond-nails","365nails: ""Citrus Bloom"" – 3D Floral Handmade Almond Nails")</x:f>
        <x:v>HYPERLINK is not implemented. linkLocation=https://365nails.com/products/365nails-citrus-bloom-3d-floral-handmade-almond-nails, friendlyName=365nails: "Citrus Bloom" – 3D Floral Handmade Almond Nails</x:v>
      </x:c>
      <x:c r="D3164" s="18" t="str">
        <x:v>Color: Almond; Color classification: Xs / S / M / L</x:v>
      </x:c>
      <x:c r="E3164" s="25" t="str">
        <x:v>$4.49</x:v>
      </x:c>
      <x:c r="F3164" s="19" t="str">
        <x:v>3</x:v>
      </x:c>
    </x:row>
    <x:row r="3165" ht="93" customHeight="1">
      <x:c r="A3165" s="19" t="n">
        <x:v>3162</x:v>
      </x:c>
      <x:c r="B3165" s="22" t="e">
        <x:f>HYPERLINK("https://cdn.shopify.com/s/files/1/0918/6066/4603/files/O1CN01fLXOLa2MQzcl8LgzV__2219089449823-0-cib.jpg?v=1774066009","Open")</x:f>
        <x:v>HYPERLINK is not implemented. linkLocation=https://cdn.shopify.com/s/files/1/0918/6066/4603/files/O1CN01fLXOLa2MQzcl8LgzV__2219089449823-0-cib.jpg?v=1774066009, friendlyName=Open</x:v>
      </x:c>
      <x:c r="C3165" s="24" t="e">
        <x:f>HYPERLINK("https://365nails.com/products/plum-blossom-shell-red-floral-shell-medium-almond-handmade-nails","365nails-Plum Blossom &amp; Shell: ""Red Floral Shell"" – Medium Almond Handmade Nails")</x:f>
        <x:v>HYPERLINK is not implemented. linkLocation=https://365nails.com/products/plum-blossom-shell-red-floral-shell-medium-almond-handmade-nails, friendlyName=365nails-Plum Blossom &amp; Shell: "Red Floral Shell" – Medium Almond Handmade Nails</x:v>
      </x:c>
      <x:c r="D3165" s="18" t="str">
        <x:v>Color: D363; Color classification: X s / S / M / L</x:v>
      </x:c>
      <x:c r="E3165" s="25" t="str">
        <x:v>$3.99</x:v>
      </x:c>
      <x:c r="F3165" s="19" t="str">
        <x:v>1</x:v>
      </x:c>
    </x:row>
    <x:row r="3166" ht="93" customHeight="1">
      <x:c r="A3166" s="19" t="n">
        <x:v>3163</x:v>
      </x:c>
      <x:c r="B3166" s="22" t="e">
        <x:f>HYPERLINK("https://cdn.shopify.com/s/files/1/0918/6066/4603/files/O1CN01zRx9iY27ZUmDJ0dQD__2220024697811-0-cib.jpg?v=1775039422","Open")</x:f>
        <x:v>HYPERLINK is not implemented. linkLocation=https://cdn.shopify.com/s/files/1/0918/6066/4603/files/O1CN01zRx9iY27ZUmDJ0dQD__2220024697811-0-cib.jpg?v=1775039422, friendlyName=Open</x:v>
      </x:c>
      <x:c r="C3166" s="24" t="e">
        <x:f>HYPERLINK("https://365nails.com/products/365nails-wild-bloom-3d-leopard-cherry-handmade-stiletto-nails","365nails: ""Wild Bloom"" – 3D Leopard &amp; Cherry Handmade Stiletto Nails")</x:f>
        <x:v>HYPERLINK is not implemented. linkLocation=https://365nails.com/products/365nails-wild-bloom-3d-leopard-cherry-handmade-stiletto-nails, friendlyName=365nails: "Wild Bloom" – 3D Leopard &amp; Cherry Handmade Stiletto Nails</x:v>
      </x:c>
      <x:c r="D3166" s="18" t="str">
        <x:v>Color: Long tip; Color classification: Xs / S / M / L</x:v>
      </x:c>
      <x:c r="E3166" s="25" t="str">
        <x:v>$4.49</x:v>
      </x:c>
      <x:c r="F3166" s="19" t="str">
        <x:v>3</x:v>
      </x:c>
    </x:row>
    <x:row r="3167" ht="93" customHeight="1">
      <x:c r="A3167" s="19" t="n">
        <x:v>3164</x:v>
      </x:c>
      <x:c r="B3167" s="22" t="e">
        <x:f>HYPERLINK("https://cdn.shopify.com/s/files/1/0918/6066/4603/files/O1CN010wOi6x2MQzcRXNCy7__2219089449823-0-cib.jpg?v=1774065883","Open")</x:f>
        <x:v>HYPERLINK is not implemented. linkLocation=https://cdn.shopify.com/s/files/1/0918/6066/4603/files/O1CN010wOi6x2MQzcRXNCy7__2219089449823-0-cib.jpg?v=1774065883, friendlyName=Open</x:v>
      </x:c>
      <x:c r="C3167" s="24" t="e">
        <x:f>HYPERLINK("https://365nails.com/products/vintage-pearl-y2k-luxury-long-almond-handmade-nails","365nails-Vintage Pearl: ""Y2K Luxury"" – Long Almond Handmade Nails")</x:f>
        <x:v>HYPERLINK is not implemented. linkLocation=https://365nails.com/products/vintage-pearl-y2k-luxury-long-almond-handmade-nails, friendlyName=365nails-Vintage Pearl: "Y2K Luxury" – Long Almond Handmade Nails</x:v>
      </x:c>
      <x:c r="D3167" s="18" t="str">
        <x:v>Color: D46; Color classification: X s / S / M / L</x:v>
      </x:c>
      <x:c r="E3167" s="25" t="str">
        <x:v>$3.99</x:v>
      </x:c>
      <x:c r="F3167" s="19" t="str">
        <x:v>1</x:v>
      </x:c>
    </x:row>
    <x:row r="3168" ht="93" customHeight="1">
      <x:c r="A3168" s="19" t="n">
        <x:v>3165</x:v>
      </x:c>
      <x:c r="B3168" s="22" t="e">
        <x:f>HYPERLINK("https://cdn.shopify.com/s/files/1/0918/6066/4603/files/6310d4f32929d326aaad0064be879f5b.jpg?v=1772707757","Open")</x:f>
        <x:v>HYPERLINK is not implemented. linkLocation=https://cdn.shopify.com/s/files/1/0918/6066/4603/files/6310d4f32929d326aaad0064be879f5b.jpg?v=1772707757, friendlyName=Open</x:v>
      </x:c>
      <x:c r="C3168" s="24" t="e">
        <x:f>HYPERLINK("https://365nails.com/products/365nails-matte-half-cover-nail-tips-cross-border-bestseller-for-gel-extensions","365nails Matte Half-Cover Nail Tips | Cross-Border Bestseller for Gel Extensions")</x:f>
        <x:v>HYPERLINK is not implemented. linkLocation=https://365nails.com/products/365nails-matte-half-cover-nail-tips-cross-border-bestseller-for-gel-extensions, friendlyName=365nails Matte Half-Cover Nail Tips | Cross-Border Bestseller for Gel Extensions</x:v>
      </x:c>
      <x:c r="D3168" s="18" t="str">
        <x:v>Color: 407 - short, shallow stickers - 240 pieces/box / 408 - light oval - 240 pieces box</x:v>
      </x:c>
      <x:c r="E3168" s="25" t="str">
        <x:v>$1.02</x:v>
      </x:c>
      <x:c r="F3168" s="19" t="str">
        <x:v>3</x:v>
      </x:c>
    </x:row>
    <x:row r="3169" ht="93" customHeight="1">
      <x:c r="A3169" s="19" t="n">
        <x:v>3166</x:v>
      </x:c>
      <x:c r="B3169" s="22" t="e">
        <x:f>HYPERLINK("https://cdn.shopify.com/s/files/1/0918/6066/4603/files/O1CN01UngKQY27ZUmKxUOgu__2220024697811-0-cib.jpg?v=1774865889","Open")</x:f>
        <x:v>HYPERLINK is not implemented. linkLocation=https://cdn.shopify.com/s/files/1/0918/6066/4603/files/O1CN01UngKQY27ZUmKxUOgu__2220024697811-0-cib.jpg?v=1774865889, friendlyName=Open</x:v>
      </x:c>
      <x:c r="C3169" s="24" t="e">
        <x:f>HYPERLINK("https://365nails.com/products/365nails-botanical-bloom-3d-floral-handmade-almond-nails","365nails: ""Botanical Bloom"" – 3D Floral Handmade Almond Nails")</x:f>
        <x:v>HYPERLINK is not implemented. linkLocation=https://365nails.com/products/365nails-botanical-bloom-3d-floral-handmade-almond-nails, friendlyName=365nails: "Botanical Bloom" – 3D Floral Handmade Almond Nails</x:v>
      </x:c>
      <x:c r="D3169" s="18" t="str">
        <x:v>Color: Right angle t; Color classification: Xs / S / M / L</x:v>
      </x:c>
      <x:c r="E3169" s="25" t="str">
        <x:v>$5.49</x:v>
      </x:c>
      <x:c r="F3169" s="19" t="str">
        <x:v>3</x:v>
      </x:c>
    </x:row>
    <x:row r="3170" ht="93" customHeight="1">
      <x:c r="A3170" s="19" t="n">
        <x:v>3167</x:v>
      </x:c>
      <x:c r="B3170" s="22" t="e">
        <x:f>HYPERLINK("https://cdn.shopify.com/s/files/1/0918/6066/4603/files/6afeb617f422bd22203cda53668358d3_e088a64c-4638-486c-b1f8-fdca8cfefe87.jpg?v=1765352269","Open")</x:f>
        <x:v>HYPERLINK is not implemented. linkLocation=https://cdn.shopify.com/s/files/1/0918/6066/4603/files/6afeb617f422bd22203cda53668358d3_e088a64c-4638-486c-b1f8-fdca8cfefe87.jpg?v=1765352269, friendlyName=Open</x:v>
      </x:c>
      <x:c r="C3170" s="24" t="e">
        <x:f>HYPERLINK("https://365nails.com/products/dreamscape-purple-press-on-nails-iridescent-candy-violet-flake-glitter-square-starry-glitter-sparkling-series","Dreamscape Purple Press On Nails Iridescent Candy Violet Flake Glitter Square| Starry Glitter · Sparkling Series")</x:f>
        <x:v>HYPERLINK is not implemented. linkLocation=https://365nails.com/products/dreamscape-purple-press-on-nails-iridescent-candy-violet-flake-glitter-square-starry-glitter-sparkling-series, friendlyName=Dreamscape Purple Press On Nails Iridescent Candy Violet Flake Glitter Square| Starry Glitter · Sparkling Series</x:v>
      </x:c>
      <x:c r="D3170" s="18" t="str">
        <x:v>shape: square / almond; Size: XS / S / M / L; Length: 45mm / 30mm</x:v>
      </x:c>
      <x:c r="E3170" s="25" t="str">
        <x:v>$9.00</x:v>
      </x:c>
      <x:c r="F3170" s="19" t="str">
        <x:v>1</x:v>
      </x:c>
    </x:row>
    <x:row r="3171" ht="93" customHeight="1">
      <x:c r="A3171" s="19" t="n">
        <x:v>3168</x:v>
      </x:c>
      <x:c r="B3171" s="22" t="e">
        <x:f>HYPERLINK("https://cdn.shopify.com/s/files/1/0918/6066/4603/files/O1CN01uLcOG827ZUlFxluju__2220024697811-0-cib.jpg?v=1775037178","Open")</x:f>
        <x:v>HYPERLINK is not implemented. linkLocation=https://cdn.shopify.com/s/files/1/0918/6066/4603/files/O1CN01uLcOG827ZUlFxluju__2220024697811-0-cib.jpg?v=1775037178, friendlyName=Open</x:v>
      </x:c>
      <x:c r="C3171" s="24" t="e">
        <x:f>HYPERLINK("https://365nails.com/products/365nails-candy-bloom-3d-floral-strawberry-handmade-almond-nails","365nails: ""Candy Bloom"" – 3D Floral &amp; Strawberry Handmade Almond Nails")</x:f>
        <x:v>HYPERLINK is not implemented. linkLocation=https://365nails.com/products/365nails-candy-bloom-3d-floral-strawberry-handmade-almond-nails, friendlyName=365nails: "Candy Bloom" – 3D Floral &amp; Strawberry Handmade Almond Nails</x:v>
      </x:c>
      <x:c r="D3171" s="18" t="str">
        <x:v>Color: Almond; Color classification: Xs / S / M / L</x:v>
      </x:c>
      <x:c r="E3171" s="25" t="str">
        <x:v>$4.49</x:v>
      </x:c>
      <x:c r="F3171" s="19" t="str">
        <x:v>3</x:v>
      </x:c>
    </x:row>
    <x:row r="3172" ht="93" customHeight="1">
      <x:c r="A3172" s="19" t="n">
        <x:v>3169</x:v>
      </x:c>
      <x:c r="B3172" s="22" t="e">
        <x:f>HYPERLINK("https://cdn.shopify.com/s/files/1/0918/6066/4603/files/O1CN01WEX3CV2MQzc0y3d5z__2219089449823-0-cib.jpg?v=1774065567","Open")</x:f>
        <x:v>HYPERLINK is not implemented. linkLocation=https://cdn.shopify.com/s/files/1/0918/6066/4603/files/O1CN01WEX3CV2MQzc0y3d5z__2219089449823-0-cib.jpg?v=1774065567, friendlyName=Open</x:v>
      </x:c>
      <x:c r="C3172" s="24" t="e">
        <x:f>HYPERLINK("https://365nails.com/products/whimsical-safari-tiger-bloom-medium-almond-handmade-nails","365nails-Whimsical Safari: ""Tiger Bloom"" – Medium Almond Handmade Nails")</x:f>
        <x:v>HYPERLINK is not implemented. linkLocation=https://365nails.com/products/whimsical-safari-tiger-bloom-medium-almond-handmade-nails, friendlyName=365nails-Whimsical Safari: "Tiger Bloom" – Medium Almond Handmade Nails</x:v>
      </x:c>
      <x:c r="D3172" s="18" t="str">
        <x:v>Color: D304; Color classification: X s / S / M / L</x:v>
      </x:c>
      <x:c r="E3172" s="25" t="str">
        <x:v>$3.99</x:v>
      </x:c>
      <x:c r="F3172" s="19" t="str">
        <x:v>5</x:v>
      </x:c>
    </x:row>
    <x:row r="3173" ht="93" customHeight="1">
      <x:c r="A3173" s="19" t="n">
        <x:v>3170</x:v>
      </x:c>
      <x:c r="B3173" s="22" t="e">
        <x:f>HYPERLINK("https://cdn.shopify.com/s/files/1/0918/6066/4603/files/ed496354913c7e440efb8dc870c4219f_44eff9c8-c614-4802-87d4-c0c12c9d28d3.jpg?v=1765352329","Open")</x:f>
        <x:v>HYPERLINK is not implemented. linkLocation=https://cdn.shopify.com/s/files/1/0918/6066/4603/files/ed496354913c7e440efb8dc870c4219f_44eff9c8-c614-4802-87d4-c0c12c9d28d3.jpg?v=1765352329, friendlyName=Open</x:v>
      </x:c>
      <x:c r="C3173" s="24" t="e">
        <x:f>HYPERLINK("https://365nails.com/products/aurora-ice-crystal-press-on-nails-iridescent-blue-stiletto-starry-glitter-sparkling-series","Aurora Ice Crystal Press On Nails｜Iridescent Blue Stiletto| Starry Glitter · Sparkling Series")</x:f>
        <x:v>HYPERLINK is not implemented. linkLocation=https://365nails.com/products/aurora-ice-crystal-press-on-nails-iridescent-blue-stiletto-starry-glitter-sparkling-series, friendlyName=Aurora Ice Crystal Press On Nails｜Iridescent Blue Stiletto| Starry Glitter · Sparkling Series</x:v>
      </x:c>
      <x:c r="D3173" s="18" t="str">
        <x:v>shape: almond / square; Size: XS / S / M / L; Length: 45mm / 30mm</x:v>
      </x:c>
      <x:c r="E3173" s="25" t="str">
        <x:v>$9.00</x:v>
      </x:c>
      <x:c r="F3173" s="19" t="str">
        <x:v>1</x:v>
      </x:c>
    </x:row>
    <x:row r="3174" ht="93" customHeight="1">
      <x:c r="A3174" s="19" t="n">
        <x:v>3171</x:v>
      </x:c>
      <x:c r="B3174" s="22" t="e">
        <x:f>HYPERLINK("https://cdn.shopify.com/s/files/1/0918/6066/4603/files/O1CN013qbVjC27ZUknAXTFp__2220024697811-0-cib.jpg?v=1774945859","Open")</x:f>
        <x:v>HYPERLINK is not implemented. linkLocation=https://cdn.shopify.com/s/files/1/0918/6066/4603/files/O1CN013qbVjC27ZUknAXTFp__2220024697811-0-cib.jpg?v=1774945859, friendlyName=Open</x:v>
      </x:c>
      <x:c r="C3174" s="24" t="e">
        <x:f>HYPERLINK("https://365nails.com/products/365nails-reptile-chic-3d-star-handmade-almond-nails","365nails: ""Reptile Chic"" – 3D Star Handmade Almond Nails")</x:f>
        <x:v>HYPERLINK is not implemented. linkLocation=https://365nails.com/products/365nails-reptile-chic-3d-star-handmade-almond-nails, friendlyName=365nails: "Reptile Chic" – 3D Star Handmade Almond Nails</x:v>
      </x:c>
      <x:c r="D3174" s="18" t="str">
        <x:v>Color: Almond; Color classification: Xs / S / M / L</x:v>
      </x:c>
      <x:c r="E3174" s="25" t="str">
        <x:v>$3.49</x:v>
      </x:c>
      <x:c r="F3174" s="19" t="str">
        <x:v>3</x:v>
      </x:c>
    </x:row>
    <x:row r="3175" ht="93" customHeight="1">
      <x:c r="A3175" s="19" t="n">
        <x:v>3172</x:v>
      </x:c>
      <x:c r="B3175" s="22" t="e">
        <x:f>HYPERLINK("https://cdn.shopify.com/s/files/1/0918/6066/4603/files/O1CN010Bv1ea27ZUlERXUUy__2220024697811-0-cib.jpg?v=1774946491","Open")</x:f>
        <x:v>HYPERLINK is not implemented. linkLocation=https://cdn.shopify.com/s/files/1/0918/6066/4603/files/O1CN010Bv1ea27ZUlERXUUy__2220024697811-0-cib.jpg?v=1774946491, friendlyName=Open</x:v>
      </x:c>
      <x:c r="C3175" s="24" t="e">
        <x:f>HYPERLINK("https://365nails.com/products/365nails-dreamy-bloom-3d-floral-handmade-almond-nails","365nails: ""Dreamy Bloom"" – 3D Floral Handmade Almond Nails")</x:f>
        <x:v>HYPERLINK is not implemented. linkLocation=https://365nails.com/products/365nails-dreamy-bloom-3d-floral-handmade-almond-nails, friendlyName=365nails: "Dreamy Bloom" – 3D Floral Handmade Almond Nails</x:v>
      </x:c>
      <x:c r="D3175" s="18" t="str">
        <x:v>Color: Almond; Color classification: Xs / S / M / L</x:v>
      </x:c>
      <x:c r="E3175" s="25" t="str">
        <x:v>$4.49</x:v>
      </x:c>
      <x:c r="F3175" s="19" t="str">
        <x:v>3</x:v>
      </x:c>
    </x:row>
    <x:row r="3176" ht="93" customHeight="1">
      <x:c r="A3176" s="19" t="n">
        <x:v>3173</x:v>
      </x:c>
      <x:c r="B3176" s="22" t="e">
        <x:f>HYPERLINK("https://cdn.shopify.com/s/files/1/0918/6066/4603/files/f8f904e24e6fd51308009414b9c18591.jpg?v=1765352363","Open")</x:f>
        <x:v>HYPERLINK is not implemented. linkLocation=https://cdn.shopify.com/s/files/1/0918/6066/4603/files/f8f904e24e6fd51308009414b9c18591.jpg?v=1765352363, friendlyName=Open</x:v>
      </x:c>
      <x:c r="C3176" s="24" t="e">
        <x:f>HYPERLINK("https://365nails.com/products/golden-blaze-press-on-nails-bright-gold-chunky-glitter-stiletto-starry-glitter-sparkling-series","Golden Blaze Press On Nails Bright Gold Chunky Glitter Stiletto| Starry Glitter · Sparkling Series")</x:f>
        <x:v>HYPERLINK is not implemented. linkLocation=https://365nails.com/products/golden-blaze-press-on-nails-bright-gold-chunky-glitter-stiletto-starry-glitter-sparkling-series, friendlyName=Golden Blaze Press On Nails Bright Gold Chunky Glitter Stiletto| Starry Glitter · Sparkling Series</x:v>
      </x:c>
      <x:c r="D3176" s="18" t="str">
        <x:v>shape: almond / square; Size: XS / S / M / L; Length: 45mm / 30mm</x:v>
      </x:c>
      <x:c r="E3176" s="25" t="str">
        <x:v>$9.00</x:v>
      </x:c>
      <x:c r="F3176" s="19" t="str">
        <x:v>1</x:v>
      </x:c>
    </x:row>
    <x:row r="3177" ht="93" customHeight="1">
      <x:c r="A3177" s="19" t="n">
        <x:v>3174</x:v>
      </x:c>
      <x:c r="B3177" s="22" t="e">
        <x:f>HYPERLINK("https://cdn.shopify.com/s/files/1/0918/6066/4603/files/O1CN01NVFAS827ZUkji0tG8__2220024697811-0-cib.jpg?v=1774945527","Open")</x:f>
        <x:v>HYPERLINK is not implemented. linkLocation=https://cdn.shopify.com/s/files/1/0918/6066/4603/files/O1CN01NVFAS827ZUkji0tG8__2220024697811-0-cib.jpg?v=1774945527, friendlyName=Open</x:v>
      </x:c>
      <x:c r="C3177" s="24" t="e">
        <x:f>HYPERLINK("https://365nails.com/products/365nails-crimson-bloom-3d-floral-handmade-stiletto-nails","365nails: ""Crimson Bloom"" – 3D Floral Handmade Stiletto Nails")</x:f>
        <x:v>HYPERLINK is not implemented. linkLocation=https://365nails.com/products/365nails-crimson-bloom-3d-floral-handmade-stiletto-nails, friendlyName=365nails: "Crimson Bloom" – 3D Floral Handmade Stiletto Nails</x:v>
      </x:c>
      <x:c r="D3177" s="18" t="str">
        <x:v>Color: Almond; Color classification: Xs / S / M / L</x:v>
      </x:c>
      <x:c r="E3177" s="25" t="str">
        <x:v>$4.49</x:v>
      </x:c>
      <x:c r="F3177" s="19" t="str">
        <x:v>3</x:v>
      </x:c>
    </x:row>
    <x:row r="3178" ht="93" customHeight="1">
      <x:c r="A3178" s="19" t="n">
        <x:v>3175</x:v>
      </x:c>
      <x:c r="B3178" s="22" t="e">
        <x:f>HYPERLINK("https://cdn.shopify.com/s/files/1/0918/6066/4603/files/O1CN017MnrQL27ZUlFFE8uN__2220024697811-0-cib.jpg?v=1774957029","Open")</x:f>
        <x:v>HYPERLINK is not implemented. linkLocation=https://cdn.shopify.com/s/files/1/0918/6066/4603/files/O1CN017MnrQL27ZUlFFE8uN__2220024697811-0-cib.jpg?v=1774957029, friendlyName=Open</x:v>
      </x:c>
      <x:c r="C3178" s="24" t="e">
        <x:f>HYPERLINK("https://365nails.com/products/365nails-shadow-play-3d-abstract-handmade-stiletto-nails","365nails: ""Shadow Play"" – 3D Abstract Handmade Stiletto Nails")</x:f>
        <x:v>HYPERLINK is not implemented. linkLocation=https://365nails.com/products/365nails-shadow-play-3d-abstract-handmade-stiletto-nails, friendlyName=365nails: "Shadow Play" – 3D Abstract Handmade Stiletto Nails</x:v>
      </x:c>
      <x:c r="D3178" s="18" t="str">
        <x:v>Color: Short square; Color classification: Xs / S / M / L</x:v>
      </x:c>
      <x:c r="E3178" s="25" t="str">
        <x:v>$4.49</x:v>
      </x:c>
      <x:c r="F3178" s="19" t="str">
        <x:v>3</x:v>
      </x:c>
    </x:row>
    <x:row r="3179" ht="93" customHeight="1">
      <x:c r="A3179" s="19" t="n">
        <x:v>3176</x:v>
      </x:c>
      <x:c r="B3179" s="22" t="e">
        <x:f>HYPERLINK("https://cdn.shopify.com/s/files/1/0918/6066/4603/files/O1CN015UtN542ABd0gPM5ld__2218458308165-0-cib.jpg?v=1776157060","Open")</x:f>
        <x:v>HYPERLINK is not implemented. linkLocation=https://cdn.shopify.com/s/files/1/0918/6066/4603/files/O1CN015UtN542ABd0gPM5ld__2218458308165-0-cib.jpg?v=1776157060, friendlyName=Open</x:v>
      </x:c>
      <x:c r="C3179" s="24" t="e">
        <x:f>HYPERLINK("https://365nails.com/products/%E6%AC%A7%E7%BE%8E%E7%A9%BF%E6%88%B4%E7%94%B2%E7%BA%A2%E8%93%9D%E9%85%8D%E8%89%B2%E8%8A%AD%E8%95%BE%E7%94%B2%E5%BD%A9%E5%B8%A6%E9%97%AA%E7%B2%89%E4%BA%94%E8%A7%92%E6%98%9F%E7%BE%8E%E7%94%B2%E7%89%87%E7%BE%8E%E5%9B%BD%E7%8B%AC%E7%AB%8B%E6%97%A5%E5%81%87%E6%8C%87%E7%94%B2","365nails: ""Mix &amp; Match Gingham"" – Mix &amp; Match Plaid Star Printed Oval Nails")</x:f>
        <x:v>HYPERLINK is not implemented. linkLocation=https://365nails.com/products/%E6%AC%A7%E7%BE%8E%E7%A9%BF%E6%88%B4%E7%94%B2%E7%BA%A2%E8%93%9D%E9%85%8D%E8%89%B2%E8%8A%AD%E8%95%BE%E7%94%B2%E5%BD%A9%E5%B8%A6%E9%97%AA%E7%B2%89%E4%BA%94%E8%A7%92%E6%98%9F%E7%BE%8E%E7%94%B2%E7%89%87%E7%BE%8E%E5%9B%BD%E7%8B%AC%E7%AB%8B%E6%97%A5%E5%81%87%E6%8C%87%E7%94%B2, friendlyName=365nails: "Mix &amp; Match Gingham" – Mix &amp; Match Plaid Star Printed Oval Nails</x:v>
      </x:c>
      <x:c r="D3179" s="18" t="str">
        <x:v>Color: Jml545 (without tools) / Jml545 (glue type) / Jml545 (jelly glue rubbing strip)</x:v>
      </x:c>
      <x:c r="E3179" s="25" t="str">
        <x:v>$0.99</x:v>
      </x:c>
      <x:c r="F3179" s="19" t="str">
        <x:v>3</x:v>
      </x:c>
    </x:row>
    <x:row r="3180" ht="93" customHeight="1">
      <x:c r="A3180" s="19" t="n">
        <x:v>3177</x:v>
      </x:c>
      <x:c r="B3180" s="22" t="e">
        <x:f>HYPERLINK("https://cdn.shopify.com/s/files/1/0918/6066/4603/files/O1CN01CBOANi2MQzcucPW82__2219089449823-0-cib.jpg?v=1774066055","Open")</x:f>
        <x:v>HYPERLINK is not implemented. linkLocation=https://cdn.shopify.com/s/files/1/0918/6066/4603/files/O1CN01CBOANi2MQzcucPW82__2219089449823-0-cib.jpg?v=1774066055, friendlyName=Open</x:v>
      </x:c>
      <x:c r="C3180" s="24" t="e">
        <x:f>HYPERLINK("https://365nails.com/products/beach-blossom-3d-floral-shell-medium-almond-handmade-nails","365nails-Beach Blossom: ""3D Floral &amp; Shell"" – Medium Almond Handmade Nails")</x:f>
        <x:v>HYPERLINK is not implemented. linkLocation=https://365nails.com/products/beach-blossom-3d-floral-shell-medium-almond-handmade-nails, friendlyName=365nails-Beach Blossom: "3D Floral &amp; Shell" – Medium Almond Handmade Nails</x:v>
      </x:c>
      <x:c r="D3180" s="18" t="str">
        <x:v>Color: D412; Color classification: X s / S / M / L</x:v>
      </x:c>
      <x:c r="E3180" s="25" t="str">
        <x:v>$3.99</x:v>
      </x:c>
      <x:c r="F3180" s="19" t="str">
        <x:v>1</x:v>
      </x:c>
    </x:row>
    <x:row r="3181" ht="93" customHeight="1">
      <x:c r="A3181" s="19" t="n">
        <x:v>3178</x:v>
      </x:c>
      <x:c r="B3181" s="22" t="e">
        <x:f>HYPERLINK("https://cdn.shopify.com/s/files/1/0918/6066/4603/files/O1CN01iPLfbX27ZUlZMJ21r__2220024697811-0-cib.jpg?v=1775038223","Open")</x:f>
        <x:v>HYPERLINK is not implemented. linkLocation=https://cdn.shopify.com/s/files/1/0918/6066/4603/files/O1CN01iPLfbX27ZUlZMJ21r__2220024697811-0-cib.jpg?v=1775038223, friendlyName=Open</x:v>
      </x:c>
      <x:c r="C3181" s="24" t="e">
        <x:f>HYPERLINK("https://365nails.com/products/365nails-vibrant-splash-abstract-marble-swirl-handmade-almond-nails","365nails: ""Vibrant Splash"" – Abstract Marble &amp; Swirl Handmade Almond Nails")</x:f>
        <x:v>HYPERLINK is not implemented. linkLocation=https://365nails.com/products/365nails-vibrant-splash-abstract-marble-swirl-handmade-almond-nails, friendlyName=365nails: "Vibrant Splash" – Abstract Marble &amp; Swirl Handmade Almond Nails</x:v>
      </x:c>
      <x:c r="D3181" s="18" t="str">
        <x:v>Color: Short square; Color classification: Xs / S / M / L</x:v>
      </x:c>
      <x:c r="E3181" s="25" t="str">
        <x:v>$4.49</x:v>
      </x:c>
      <x:c r="F3181" s="19" t="str">
        <x:v>3</x:v>
      </x:c>
    </x:row>
    <x:row r="3182" ht="93" customHeight="1">
      <x:c r="A3182" s="19" t="n">
        <x:v>3179</x:v>
      </x:c>
      <x:c r="B3182" s="22" t="e">
        <x:f>HYPERLINK("https://cdn.shopify.com/s/files/1/0918/6066/4603/files/0a2ed80f45de4d069ff0fbff2b681092_5f97e67f-820e-4843-8493-1c8298fa64ad.jpg?v=1765351140","Open")</x:f>
        <x:v>HYPERLINK is not implemented. linkLocation=https://cdn.shopify.com/s/files/1/0918/6066/4603/files/0a2ed80f45de4d069ff0fbff2b681092_5f97e67f-820e-4843-8493-1c8298fa64ad.jpg?v=1765351140, friendlyName=Open</x:v>
      </x:c>
      <x:c r="C3182" s="24" t="e">
        <x:f>HYPERLINK("https://365nails.com/products/lavender-stardust-press-on-nails-purple-chunky-glitter-stiletto-starry-glitter-sparkling-series","Lavender Stardust Press On Nails Purple Chunky Glitter Stiletto| Starry Glitter · Sparkling Series")</x:f>
        <x:v>HYPERLINK is not implemented. linkLocation=https://365nails.com/products/lavender-stardust-press-on-nails-purple-chunky-glitter-stiletto-starry-glitter-sparkling-series, friendlyName=Lavender Stardust Press On Nails Purple Chunky Glitter Stiletto| Starry Glitter · Sparkling Series</x:v>
      </x:c>
      <x:c r="D3182" s="18" t="str">
        <x:v>shape: almond / square; Size: XS / S / M / L; Length: 45mm / 30mm</x:v>
      </x:c>
      <x:c r="E3182" s="25" t="str">
        <x:v>$9.00</x:v>
      </x:c>
      <x:c r="F3182" s="19" t="str">
        <x:v>1</x:v>
      </x:c>
    </x:row>
    <x:row r="3183" ht="93" customHeight="1">
      <x:c r="A3183" s="19" t="n">
        <x:v>3180</x:v>
      </x:c>
      <x:c r="B3183" s="22" t="e">
        <x:f>HYPERLINK("https://cdn.shopify.com/s/files/1/0918/6066/4603/files/O1CN016y8fqn1CPwLY6dJjW__2213196780074-0-cib_9a250de9-ed0d-4682-b7e5-1bd5b4227213.jpg?v=1774681059","Open")</x:f>
        <x:v>HYPERLINK is not implemented. linkLocation=https://cdn.shopify.com/s/files/1/0918/6066/4603/files/O1CN016y8fqn1CPwLY6dJjW__2213196780074-0-cib_9a250de9-ed0d-4682-b7e5-1bd5b4227213.jpg?v=1774681059, friendlyName=Open</x:v>
      </x:c>
      <x:c r="C3183" s="24" t="e">
        <x:f>HYPERLINK("https://365nails.com/products/365nails-tropical-bloom-3d-floral-handmade-almond-nails","365nails: ""Tropical Bloom"" – 3D Floral Handmade Almond Nails")</x:f>
        <x:v>HYPERLINK is not implemented. linkLocation=https://365nails.com/products/365nails-tropical-bloom-3d-floral-handmade-almond-nails, friendlyName=365nails: "Tropical Bloom" – 3D Floral Handmade Almond Nails</x:v>
      </x:c>
      <x:c r="D3183" s="18" t="str">
        <x:v>Color: 672-almond a; Color classification: Extra small size xs / Small s / Medium m / Large l</x:v>
      </x:c>
      <x:c r="E3183" s="25" t="str">
        <x:v>$5.49</x:v>
      </x:c>
      <x:c r="F3183" s="19" t="str">
        <x:v>1</x:v>
      </x:c>
    </x:row>
    <x:row r="3184" ht="93" customHeight="1">
      <x:c r="A3184" s="19" t="n">
        <x:v>3181</x:v>
      </x:c>
      <x:c r="B3184" s="22" t="e">
        <x:f>HYPERLINK("https://cdn.shopify.com/s/files/1/0918/6066/4603/files/O1CN01Fl8KG41CPwMUFvLtb__2213196780074-0-cib.jpg?v=1774679121","Open")</x:f>
        <x:v>HYPERLINK is not implemented. linkLocation=https://cdn.shopify.com/s/files/1/0918/6066/4603/files/O1CN01Fl8KG41CPwMUFvLtb__2213196780074-0-cib.jpg?v=1774679121, friendlyName=Open</x:v>
      </x:c>
      <x:c r="C3184" s="24" t="e">
        <x:f>HYPERLINK("https://365nails.com/products/365nails-floral-whisper-3d-pearl-chain-pressed-flower-handmade-coffin-nails","365nails: ""Floral Whisper"" – 3D Pearl Chain &amp; Pressed Flower Handmade Coffin Nails")</x:f>
        <x:v>HYPERLINK is not implemented. linkLocation=https://365nails.com/products/365nails-floral-whisper-3d-pearl-chain-pressed-flower-handmade-coffin-nails, friendlyName=365nails: "Floral Whisper" – 3D Pearl Chain &amp; Pressed Flower Handmade Coffin Nails</x:v>
      </x:c>
      <x:c r="D3184" s="18" t="str">
        <x:v>Color: 2159-super short ladder / 2156-short oval / 2163-middle ladder; Color classification: Xs / S / M / L</x:v>
      </x:c>
      <x:c r="E3184" s="25" t="str">
        <x:v>$3.49</x:v>
      </x:c>
      <x:c r="F3184" s="19" t="str">
        <x:v>1</x:v>
      </x:c>
    </x:row>
    <x:row r="3185" ht="93" customHeight="1">
      <x:c r="A3185" s="19" t="n">
        <x:v>3182</x:v>
      </x:c>
      <x:c r="B3185" s="22" t="e">
        <x:f>HYPERLINK("https://cdn.shopify.com/s/files/1/0918/6066/4603/files/5f6d9ecc501f6b4cb050ffc74b1e3385.jpg?v=1772976720","Open")</x:f>
        <x:v>HYPERLINK is not implemented. linkLocation=https://cdn.shopify.com/s/files/1/0918/6066/4603/files/5f6d9ecc501f6b4cb050ffc74b1e3385.jpg?v=1772976720, friendlyName=Open</x:v>
      </x:c>
      <x:c r="C3185" s="24" t="e">
        <x:f>HYPERLINK("https://365nails.com/products/drama-collection-extra-long-stiletto-extra-long-stiletto-nail-tips","Drama Collection: ""Extra Long Stiletto"" – Extra Long Stiletto Nail Tips")</x:f>
        <x:v>HYPERLINK is not implemented. linkLocation=https://365nails.com/products/drama-collection-extra-long-stiletto-extra-long-stiletto-nail-tips, friendlyName=Drama Collection: "Extra Long Stiletto" – Extra Long Stiletto Nail Tips</x:v>
      </x:c>
      <x:c r="D3185" s="18" t="str">
        <x:v>Color: 130-transparent color-traceless-360 pieces in box</x:v>
      </x:c>
      <x:c r="E3185" s="25" t="str">
        <x:v>$2.46</x:v>
      </x:c>
      <x:c r="F3185" s="19" t="str">
        <x:v>3</x:v>
      </x:c>
    </x:row>
    <x:row r="3186" ht="93" customHeight="1">
      <x:c r="A3186" s="19" t="n">
        <x:v>3183</x:v>
      </x:c>
      <x:c r="B3186" s="22" t="e">
        <x:f>HYPERLINK("https://cdn.shopify.com/s/files/1/0918/6066/4603/files/O1CN01EWyDQi27ZUlQQOP4g__2220024697811-0-cib.jpg?v=1775037616","Open")</x:f>
        <x:v>HYPERLINK is not implemented. linkLocation=https://cdn.shopify.com/s/files/1/0918/6066/4603/files/O1CN01EWyDQi27ZUlQQOP4g__2220024697811-0-cib.jpg?v=1775037616, friendlyName=Open</x:v>
      </x:c>
      <x:c r="C3186" s="24" t="e">
        <x:f>HYPERLINK("https://365nails.com/products/365nails-summer-breeze-3d-floral-gradient-handmade-almond-nails","365nails: ""Summer Breeze"" – 3D Floral &amp; Gradient Handmade Almond Nails")</x:f>
        <x:v>HYPERLINK is not implemented. linkLocation=https://365nails.com/products/365nails-summer-breeze-3d-floral-gradient-handmade-almond-nails, friendlyName=365nails: "Summer Breeze" – 3D Floral &amp; Gradient Handmade Almond Nails</x:v>
      </x:c>
      <x:c r="D3186" s="18" t="str">
        <x:v>Color: Almond; Color classification: Xs / S / M / L</x:v>
      </x:c>
      <x:c r="E3186" s="25" t="str">
        <x:v>$4.49</x:v>
      </x:c>
      <x:c r="F3186" s="19" t="str">
        <x:v>3</x:v>
      </x:c>
    </x:row>
    <x:row r="3187" ht="93" customHeight="1">
      <x:c r="A3187" s="19" t="n">
        <x:v>3184</x:v>
      </x:c>
      <x:c r="B3187" s="22" t="e">
        <x:f>HYPERLINK("https://cdn.shopify.com/s/files/1/0918/6066/4603/files/721215345c88d524cd858a20df2a3b95.jpg?v=1772976692","Open")</x:f>
        <x:v>HYPERLINK is not implemented. linkLocation=https://cdn.shopify.com/s/files/1/0918/6066/4603/files/721215345c88d524cd858a20df2a3b95.jpg?v=1772976692, friendlyName=Open</x:v>
      </x:c>
      <x:c r="C3187" s="24" t="e">
        <x:f>HYPERLINK("https://365nails.com/products/drama-collection-xxl-stiletto-extra-long-stiletto-nail-tips","Drama Collection: ""XXL Stiletto"" – Extra Long Stiletto Nail Tips")</x:f>
        <x:v>HYPERLINK is not implemented. linkLocation=https://365nails.com/products/drama-collection-xxl-stiletto-extra-long-stiletto-nail-tips, friendlyName=Drama Collection: "XXL Stiletto" – Extra Long Stiletto Nail Tips</x:v>
      </x:c>
      <x:c r="D3187" s="18" t="str">
        <x:v>Color: Ys-141 pointed box transparent color 500 pieces / Ys-141 pointed box natural color 500 tablets / Ys-141 pointed bag transparent color 500 pieces / Ys-141 pointed tip natural color nail tips, 500 pieces / Ys-153xl pointed false nails, seamless transparent box, 500 pieces / Ys-551 boxed transparent color 504 tablets / Ys-551 boxed natural color 504 tablets</x:v>
      </x:c>
      <x:c r="E3187" s="25" t="str">
        <x:v>$2.46–$3.48</x:v>
      </x:c>
      <x:c r="F3187" s="19" t="str">
        <x:v>3</x:v>
      </x:c>
    </x:row>
    <x:row r="3188" ht="93" customHeight="1">
      <x:c r="A3188" s="19" t="n">
        <x:v>3185</x:v>
      </x:c>
      <x:c r="B3188" s="22" t="e">
        <x:f>HYPERLINK("https://cdn.shopify.com/s/files/1/0918/6066/4603/files/54d775efa9b496e3b803b43653f1b5fb.jpg?v=1772976758","Open")</x:f>
        <x:v>HYPERLINK is not implemented. linkLocation=https://cdn.shopify.com/s/files/1/0918/6066/4603/files/54d775efa9b496e3b803b43653f1b5fb.jpg?v=1772976758, friendlyName=Open</x:v>
      </x:c>
      <x:c r="C3188" s="24" t="e">
        <x:f>HYPERLINK("https://365nails.com/products/everyday-collection-half-matte-nail-tips-half-matte-nail-tips","Everyday Collection: ""Half-Matte Nail Tips"" – Half-Matte Nail Tips")</x:f>
        <x:v>HYPERLINK is not implemented. linkLocation=https://365nails.com/products/everyday-collection-half-matte-nail-tips-half-matte-nail-tips, friendlyName=Everyday Collection: "Half-Matte Nail Tips" – Half-Matte Nail Tips</x:v>
      </x:c>
      <x:c r="D3188" s="18" t="str">
        <x:v>Color: Ys-170*120 pieces/bag</x:v>
      </x:c>
      <x:c r="E3188" s="25" t="str">
        <x:v>$0.63</x:v>
      </x:c>
      <x:c r="F3188" s="19" t="str">
        <x:v>3</x:v>
      </x:c>
    </x:row>
    <x:row r="3189" ht="93" customHeight="1">
      <x:c r="A3189" s="19" t="n">
        <x:v>3186</x:v>
      </x:c>
      <x:c r="B3189" s="22" t="e">
        <x:f>HYPERLINK("https://cdn.shopify.com/s/files/1/0918/6066/4603/files/O1CN01zwvSfP1xxAtCxKVz4__2212202186509-0-cib.jpg?v=1763695235","Open")</x:f>
        <x:v>HYPERLINK is not implemented. linkLocation=https://cdn.shopify.com/s/files/1/0918/6066/4603/files/O1CN01zwvSfP1xxAtCxKVz4__2212202186509-0-cib.jpg?v=1763695235, friendlyName=Open</x:v>
      </x:c>
      <x:c r="C3189" s="24" t="e">
        <x:f>HYPERLINK("https://365nails.com/products/premium-press-on-nail-drawer-box-elegant-pe-pull-out-packaging-box","Premium Press‑On Nail Drawer Box – Elegant PE Pull‑Out Packaging Box")</x:f>
        <x:v>HYPERLINK is not implemented. linkLocation=https://365nails.com/products/premium-press-on-nail-drawer-box-elegant-pe-pull-out-packaging-box, friendlyName=Premium Press‑On Nail Drawer Box – Elegant PE Pull‑Out Packaging Box</x:v>
      </x:c>
      <x:c r="D3189" s="18" t="str">
        <x:v>Specifications and models: Green set; inner diameter 9 * 9 * 2cm / Green set; inner diameter 11 * 11 * 2cm / Rose red set; inner diameter 9 * 9 * 2cm / Rose red set; inner diameter 11 * 11 * 2cm / Pink set; inner diameter 9 * 9 * 2cm / Pink set; inner diameter 11 * 11 * 2cm / Beige set; inner diameter 9 * 9 * 2cm / Beige set; inner diameter 11 * 11 * 2cm / Black set; inner diameter 9 * 9 * 2cm / Black set; inner diameter 11 * 11 * 2cm / White set; inner diameter 9 * 9 * 2cm / White set; inner diameter 11 * 11 * 2cm / Flash silver butterfly set; inner diameter 9 * 9 * 2cm / Flash silver butterfly set; inner diameter 11 * 11 * 2cm / Flash black butterfly set; inner diameter 9 * 9 * 2cm / Flash black butterfly set; inner diameter 11 * 11 * 2cm / Light green set (no words; inner diameter 9 * 9 * 2cm) / Light green set (no words; inner diameter 11 * 11 * 2cm) / Purple set (no words; inner diameter 9 * 9 * 2cm) / Purple set (no words; inner diameter 11 * 11 * 2cm) / Blue set (no words; inner diameter 9 * 9 * 2cm) / Blue set (no words; inner diameter 11 * 11 * 2cm) / Orange set (no words; inner diameter 9 * 9 * 2cm) / Orange set (no words; inner diameter 11 * 11 * 2cm) / Red set (no words; inner diameter 9 * 9 * 2cm) / Red set (no words; inner diameter 11 * 11 * 2cm) / Flash silver set (no words; inner diameter 9 * 9 * 2cm) / Flash silver set (no words; inner diameter 11 * 11 * 2cm) / Pink set (no words; inner diameter 9 * 9 * 2cm) / Pink set (no words; inner diameter 11 * 11 * 2cm) / Flash black set (no words; inner diameter 9 * 9 * 2cm) / Flash black set (no words; inner diameter 11 * 11 * 2cm) / Green set (no words; inner diameter 9 * 9 * 2cm) / Green set (no words; inner diameter 11 * 11 * 2cm) / Beige set (no words; inner diameter 9 * 9 * 2cm) / Beige set (no words; inner diameter 11 * 11 * 2cm) / Rose red set (no words; inner diameter 9 * 9 * 2cm) / Rose red set (no words; inner diameter 11 * 11 * 2cm) / Black set (no words; inner diameter 9 * 9 * 2cm) / Black set (no words; inner diameter 11 * 11 * 2cm) / White set (no words; inner diameter 9 * 9 * 2cm) / White set (no words; inner diameter 11 * 11 * 2cm) / Green thumb buckle set (universal logo; inner diameter 9 * 9 * 2cm) / Green thumb buckle set (universal logo; inner diameter 11 * 11 * 2cm) / Pink thumb buckle set (universal logo; inner diameter 9 * 9 * 2cm) / Pink thumb buckle set (universal logo; inner diameter 11 * 11 * 2cm) / Beige thumb buckle set (universal logo; inner diameter 9 * 9 * 2cm) / Beige thumb buckle set (universal logo; inner diameter 11 * 11 * 2cm) / Rose red thumb buckle set (universal logo; inner diameter 9 * 9 * 2cm) / Rose red thumb buckle set (universal logo; inner diameter 11 * 11 * 2cm) / Black thumb buckle set (universal logo; inner diameter 9 * 9 * 2cm) / Black thumb buckle set (universal logo; inner diameter 11 * 11 * 2cm) / White thumb buckle set (universal logo; inner diameter 9 * 9 * 2cm) / White thumb buckle set (universal logo; inner diameter 11 * 11 * 2cm) / Blank purple thumb buckle set; inner diameter 9 * 9 * 2cm / Blank purple thumb buckle set; inner diameter 11 * 11 * 2cm / Blank light green thumb buckle set; inner diameter 9 * 9 * 2cm / Blank light green thumb buckle set; inner diameter 11 * 11 * 2cm / Blank blue thumb buckle set; inner diameter 9 * 9 * 2cm / Blank blue thumb buckle set; inner diameter 11 * 11 * 2cm / Blank orange thumb buckle set; inner diameter 9 * 9 * 2cm / Blank orange thumb buckle set; inner diameter 11 * 11 * 2cm / Blank red thumb buckle set; inner diameter 9 * 9 * 2cm / Blank red thumb buckle set; inner diameter 11 * 11 * 2cm / Blank pink thumb buckle set; inner diameter 9 * 9 * 2cm / Blank pink thumb buckle set; inner diameter 11 * 11 * 2cm / Blank green thumb buckle set; inner diameter 9 * 9 * 2cm / Blank green thumb buckle set; inner diameter 11 * 11 * 2cm / Blank beige thumb buckle set; inner diameter 9 * 9 * 2cm / Blank beige thumb buckle set; inner diameter 11 * 11 * 2cm / Blank rose red thumb buckle set; inner diameter 9 * 9 * 2cm / Blank rose red thumb buckle set; inner diameter 11 * 11 * 2cm / Blank black thumb buckle set; inner diameter 9 * 9 * 2cm / Blank black thumb buckle set; inner diameter 11 * 11 * 2cm / Blank white thumb buckle set; inner diameter 9 * 9 * 2cm / Blank white thumb buckle set; inner diameter 11 * 11 * 2cm; Quantity: 20pcs</x:v>
      </x:c>
      <x:c r="E3189" s="25" t="str">
        <x:v>$12.00–$13.80</x:v>
      </x:c>
      <x:c r="F3189" s="19" t="str">
        <x:v>1</x:v>
      </x:c>
    </x:row>
    <x:row r="3190" ht="93" customHeight="1">
      <x:c r="A3190" s="19" t="n">
        <x:v>3187</x:v>
      </x:c>
      <x:c r="B3190" s="22" t="e">
        <x:f>HYPERLINK("https://cdn.shopify.com/s/files/1/0918/6066/4603/files/O1CN01dldniW27ZUlEMDyez__2220024697811-0-cib.jpg?v=1774956658","Open")</x:f>
        <x:v>HYPERLINK is not implemented. linkLocation=https://cdn.shopify.com/s/files/1/0918/6066/4603/files/O1CN01dldniW27ZUlEMDyez__2220024697811-0-cib.jpg?v=1774956658, friendlyName=Open</x:v>
      </x:c>
      <x:c r="C3190" s="24" t="e">
        <x:f>HYPERLINK("https://365nails.com/products/365nails-muses-garden-3d-floral-pearl-handmade-almond-nails","365nails: ""Muse's Garden"" – 3D Floral &amp; Pearl Handmade Almond Nails")</x:f>
        <x:v>HYPERLINK is not implemented. linkLocation=https://365nails.com/products/365nails-muses-garden-3d-floral-pearl-handmade-almond-nails, friendlyName=365nails: "Muse's Garden" – 3D Floral &amp; Pearl Handmade Almond Nails</x:v>
      </x:c>
      <x:c r="D3190" s="18" t="str">
        <x:v>Color: Almond; Color classification: Xs / S / M / L</x:v>
      </x:c>
      <x:c r="E3190" s="25" t="str">
        <x:v>$4.49</x:v>
      </x:c>
      <x:c r="F3190" s="19" t="str">
        <x:v>3</x:v>
      </x:c>
    </x:row>
    <x:row r="3191" ht="93" customHeight="1">
      <x:c r="A3191" s="19" t="n">
        <x:v>3188</x:v>
      </x:c>
      <x:c r="B3191" s="22" t="e">
        <x:f>HYPERLINK("https://cdn.shopify.com/s/files/1/0918/6066/4603/files/O1CN014GvE6h27ZUlQQDvYp__2220024697811-0-cib.jpg?v=1774957833","Open")</x:f>
        <x:v>HYPERLINK is not implemented. linkLocation=https://cdn.shopify.com/s/files/1/0918/6066/4603/files/O1CN014GvE6h27ZUlQQDvYp__2220024697811-0-cib.jpg?v=1774957833, friendlyName=Open</x:v>
      </x:c>
      <x:c r="C3191" s="24" t="e">
        <x:f>HYPERLINK("https://365nails.com/products/365nails-botanical-fantasy-3d-floral-handmade-almond-nails","365nails: ""Botanical Fantasy"" – 3D Floral Handmade Almond Nails")</x:f>
        <x:v>HYPERLINK is not implemented. linkLocation=https://365nails.com/products/365nails-botanical-fantasy-3d-floral-handmade-almond-nails, friendlyName=365nails: "Botanical Fantasy" – 3D Floral Handmade Almond Nails</x:v>
      </x:c>
      <x:c r="D3191" s="18" t="str">
        <x:v>Color: Almond; Color classification: Xs / S / M / L</x:v>
      </x:c>
      <x:c r="E3191" s="25" t="str">
        <x:v>$4.49</x:v>
      </x:c>
      <x:c r="F3191" s="19" t="str">
        <x:v>3</x:v>
      </x:c>
    </x:row>
    <x:row r="3192" ht="93" customHeight="1">
      <x:c r="A3192" s="19" t="n">
        <x:v>3189</x:v>
      </x:c>
      <x:c r="B3192" s="22" t="e">
        <x:f>HYPERLINK("https://cdn.shopify.com/s/files/1/0918/6066/4603/files/O1CN01Wl5kUQ27ZUlRD9IWO__2220024697811-0-cib.jpg?v=1774958247","Open")</x:f>
        <x:v>HYPERLINK is not implemented. linkLocation=https://cdn.shopify.com/s/files/1/0918/6066/4603/files/O1CN01Wl5kUQ27ZUlRD9IWO__2220024697811-0-cib.jpg?v=1774958247, friendlyName=Open</x:v>
      </x:c>
      <x:c r="C3192" s="24" t="e">
        <x:f>HYPERLINK("https://365nails.com/products/365nails-midnight-garden-3d-floral-handmade-almond-nails","365nails: ""Midnight Garden"" – 3D Floral Handmade Almond Nails")</x:f>
        <x:v>HYPERLINK is not implemented. linkLocation=https://365nails.com/products/365nails-midnight-garden-3d-floral-handmade-almond-nails, friendlyName=365nails: "Midnight Garden" – 3D Floral Handmade Almond Nails</x:v>
      </x:c>
      <x:c r="D3192" s="18" t="str">
        <x:v>Color: Almond; Color classification: Xs / S / M / L</x:v>
      </x:c>
      <x:c r="E3192" s="25" t="str">
        <x:v>$4.49</x:v>
      </x:c>
      <x:c r="F3192" s="19" t="str">
        <x:v>3</x:v>
      </x:c>
    </x:row>
    <x:row r="3193" ht="93" customHeight="1">
      <x:c r="A3193" s="19" t="n">
        <x:v>3190</x:v>
      </x:c>
      <x:c r="B3193" s="22" t="e">
        <x:f>HYPERLINK("https://cdn.shopify.com/s/files/1/0918/6066/4603/files/O1CN01Dax5Ha27ZUmDO25Uq__2220024697811-0-cib.jpg?v=1774865633","Open")</x:f>
        <x:v>HYPERLINK is not implemented. linkLocation=https://cdn.shopify.com/s/files/1/0918/6066/4603/files/O1CN01Dax5Ha27ZUmDO25Uq__2220024697811-0-cib.jpg?v=1774865633, friendlyName=Open</x:v>
      </x:c>
      <x:c r="C3193" s="24" t="e">
        <x:f>HYPERLINK("https://365nails.com/products/365nails-blue-rebel-3d-cross-crystal-handmade-coffin-nails","365nails: ""Blue Rebel"" – 3D Cross &amp; Crystal Handmade Coffin Nails")</x:f>
        <x:v>HYPERLINK is not implemented. linkLocation=https://365nails.com/products/365nails-blue-rebel-3d-cross-crystal-handmade-coffin-nails, friendlyName=365nails: "Blue Rebel" – 3D Cross &amp; Crystal Handmade Coffin Nails</x:v>
      </x:c>
      <x:c r="D3193" s="18" t="str">
        <x:v>Color: Right angle t; Color classification: Xs / S / M / L</x:v>
      </x:c>
      <x:c r="E3193" s="25" t="str">
        <x:v>$4.99</x:v>
      </x:c>
      <x:c r="F3193" s="19" t="str">
        <x:v>3</x:v>
      </x:c>
    </x:row>
    <x:row r="3194" ht="93" customHeight="1">
      <x:c r="A3194" s="19" t="n">
        <x:v>3191</x:v>
      </x:c>
      <x:c r="B3194" s="22" t="e">
        <x:f>HYPERLINK("https://cdn.shopify.com/s/files/1/0918/6066/4603/files/O1CN0187cupV27ZUlRE32n5__2220024697811-0-cib.jpg?v=1774957432","Open")</x:f>
        <x:v>HYPERLINK is not implemented. linkLocation=https://cdn.shopify.com/s/files/1/0918/6066/4603/files/O1CN0187cupV27ZUlRE32n5__2220024697811-0-cib.jpg?v=1774957432, friendlyName=Open</x:v>
      </x:c>
      <x:c r="C3194" s="24" t="e">
        <x:f>HYPERLINK("https://365nails.com/products/365nails-midnight-veil-3d-abstract-handmade-coffin-nails","365nails: ""Midnight Veil"" – 3D Abstract Handmade Coffin Nails")</x:f>
        <x:v>HYPERLINK is not implemented. linkLocation=https://365nails.com/products/365nails-midnight-veil-3d-abstract-handmade-coffin-nails, friendlyName=365nails: "Midnight Veil" – 3D Abstract Handmade Coffin Nails</x:v>
      </x:c>
      <x:c r="D3194" s="18" t="str">
        <x:v>Color: Almond; Color classification: Xs / S / M / L</x:v>
      </x:c>
      <x:c r="E3194" s="25" t="str">
        <x:v>$3.99</x:v>
      </x:c>
      <x:c r="F3194" s="19" t="str">
        <x:v>3</x:v>
      </x:c>
    </x:row>
    <x:row r="3195" ht="93" customHeight="1">
      <x:c r="A3195" s="19" t="n">
        <x:v>3192</x:v>
      </x:c>
      <x:c r="B3195" s="22" t="e">
        <x:f>HYPERLINK("https://cdn.shopify.com/s/files/1/0918/6066/4603/files/O1CN01aZkbfa27ZUkj4Wg7K__2220024697811-0-cib.jpg?v=1774945207","Open")</x:f>
        <x:v>HYPERLINK is not implemented. linkLocation=https://cdn.shopify.com/s/files/1/0918/6066/4603/files/O1CN01aZkbfa27ZUkj4Wg7K__2220024697811-0-cib.jpg?v=1774945207, friendlyName=Open</x:v>
      </x:c>
      <x:c r="C3195" s="24" t="e">
        <x:f>HYPERLINK("https://365nails.com/products/365nails-bluebell-dream-3d-floral-handmade-almond-nails","365nails: ""Bluebell Dream"" – 3D Floral Handmade Almond Nails")</x:f>
        <x:v>HYPERLINK is not implemented. linkLocation=https://365nails.com/products/365nails-bluebell-dream-3d-floral-handmade-almond-nails, friendlyName=365nails: "Bluebell Dream" – 3D Floral Handmade Almond Nails</x:v>
      </x:c>
      <x:c r="D3195" s="18" t="str">
        <x:v>Color: Almond; Color classification: Xs / S / M / L</x:v>
      </x:c>
      <x:c r="E3195" s="25" t="str">
        <x:v>$4.49</x:v>
      </x:c>
      <x:c r="F3195" s="19" t="str">
        <x:v>3</x:v>
      </x:c>
    </x:row>
    <x:row r="3196" ht="93" customHeight="1">
      <x:c r="A3196" s="19" t="n">
        <x:v>3193</x:v>
      </x:c>
      <x:c r="B3196" s="22" t="e">
        <x:f>HYPERLINK("https://cdn.shopify.com/s/files/1/0918/6066/4603/files/O1CN01YhxrWK27ZUlNmRw78__2220024697811-0-cib.jpg?v=1775037434","Open")</x:f>
        <x:v>HYPERLINK is not implemented. linkLocation=https://cdn.shopify.com/s/files/1/0918/6066/4603/files/O1CN01YhxrWK27ZUlNmRw78__2220024697811-0-cib.jpg?v=1775037434, friendlyName=Open</x:v>
      </x:c>
      <x:c r="C3196" s="24" t="e">
        <x:f>HYPERLINK("https://365nails.com/products/365nails-psychedelic-muse-3d-abstract-art-handmade-coffin-nails","365nails: ""Psychedelic Muse"" – 3D Abstract Art Handmade Coffin Nails")</x:f>
        <x:v>HYPERLINK is not implemented. linkLocation=https://365nails.com/products/365nails-psychedelic-muse-3d-abstract-art-handmade-coffin-nails, friendlyName=365nails: "Psychedelic Muse" – 3D Abstract Art Handmade Coffin Nails</x:v>
      </x:c>
      <x:c r="D3196" s="18" t="str">
        <x:v>Color: Almond; Color classification: Xs / S / M / L</x:v>
      </x:c>
      <x:c r="E3196" s="25" t="str">
        <x:v>$3.99</x:v>
      </x:c>
      <x:c r="F3196" s="19" t="str">
        <x:v>3</x:v>
      </x:c>
    </x:row>
    <x:row r="3197" ht="93" customHeight="1">
      <x:c r="A3197" s="19" t="n">
        <x:v>3194</x:v>
      </x:c>
      <x:c r="B3197" s="22" t="e">
        <x:f>HYPERLINK("https://cdn.shopify.com/s/files/1/0918/6066/4603/files/O1CN01XMPWIo27ZUlFsc2cP__2220024697811-0-cib.jpg?v=1774957083","Open")</x:f>
        <x:v>HYPERLINK is not implemented. linkLocation=https://cdn.shopify.com/s/files/1/0918/6066/4603/files/O1CN01XMPWIo27ZUlFsc2cP__2220024697811-0-cib.jpg?v=1774957083, friendlyName=Open</x:v>
      </x:c>
      <x:c r="C3197" s="24" t="e">
        <x:f>HYPERLINK("https://365nails.com/products/365nails-candy-crush-3d-abstract-handmade-stiletto-nails","365nails: ""Candy Crush"" – 3D Abstract Handmade Stiletto Nails")</x:f>
        <x:v>HYPERLINK is not implemented. linkLocation=https://365nails.com/products/365nails-candy-crush-3d-abstract-handmade-stiletto-nails, friendlyName=365nails: "Candy Crush" – 3D Abstract Handmade Stiletto Nails</x:v>
      </x:c>
      <x:c r="D3197" s="18" t="str">
        <x:v>Color: Long tip; Color classification: Xs / S / M / L</x:v>
      </x:c>
      <x:c r="E3197" s="25" t="str">
        <x:v>$4.99</x:v>
      </x:c>
      <x:c r="F3197" s="19" t="str">
        <x:v>3</x:v>
      </x:c>
    </x:row>
    <x:row r="3198" ht="93" customHeight="1">
      <x:c r="A3198" s="19" t="n">
        <x:v>3195</x:v>
      </x:c>
      <x:c r="B3198" s="22" t="e">
        <x:f>HYPERLINK("https://cdn.shopify.com/s/files/1/0918/6066/4603/files/O1CN01ZYx8oc2ABd0J4pGey__2218458308165-0-cib.jpg?v=1776158063","Open")</x:f>
        <x:v>HYPERLINK is not implemented. linkLocation=https://cdn.shopify.com/s/files/1/0918/6066/4603/files/O1CN01ZYx8oc2ABd0J4pGey__2218458308165-0-cib.jpg?v=1776158063, friendlyName=Open</x:v>
      </x:c>
      <x:c r="C3198" s="24" t="e">
        <x:f>HYPERLINK("https://365nails.com/products/%E6%AC%A7%E7%BE%8E%E7%A9%BF%E6%88%B4%E7%94%B2%E7%BA%A2%E8%93%9D%E6%B3%A2%E7%82%B9%E9%97%AA%E7%B2%89%E6%98%9F%E6%98%9F%E8%A1%80%E6%BB%B4%E7%BE%8E%E7%94%B2%E8%B4%B4%E7%89%87%E7%BE%8E%E5%9B%BD%E7%8B%AC%E7%AB%8B%E6%97%A5%E5%8F%AF%E6%8B%86%E5%8D%B8%E5%81%87%E6%8C%87%E7%94%B2","365nails: ""Gingham Gala"" – Retro Printed Plaid &amp; French Short Oval Nails")</x:f>
        <x:v>HYPERLINK is not implemented. linkLocation=https://365nails.com/products/%E6%AC%A7%E7%BE%8E%E7%A9%BF%E6%88%B4%E7%94%B2%E7%BA%A2%E8%93%9D%E6%B3%A2%E7%82%B9%E9%97%AA%E7%B2%89%E6%98%9F%E6%98%9F%E8%A1%80%E6%BB%B4%E7%BE%8E%E7%94%B2%E8%B4%B4%E7%89%87%E7%BE%8E%E5%9B%BD%E7%8B%AC%E7%AB%8B%E6%97%A5%E5%8F%AF%E6%8B%86%E5%8D%B8%E5%81%87%E6%8C%87%E7%94%B2, friendlyName=365nails: "Gingham Gala" – Retro Printed Plaid &amp; French Short Oval Nails</x:v>
      </x:c>
      <x:c r="D3198" s="18" t="str">
        <x:v>Color: Jml535 (without tools) / Jml535 (glue type) / Jml535 (jelly glue rubbing strip)</x:v>
      </x:c>
      <x:c r="E3198" s="25" t="str">
        <x:v>$0.99</x:v>
      </x:c>
      <x:c r="F3198" s="19" t="str">
        <x:v>3</x:v>
      </x:c>
    </x:row>
    <x:row r="3199" ht="93" customHeight="1">
      <x:c r="A3199" s="19" t="n">
        <x:v>3196</x:v>
      </x:c>
      <x:c r="B3199" s="22" t="e">
        <x:f>HYPERLINK("https://cdn.shopify.com/s/files/1/0918/6066/4603/files/O1CN01T0zlS627ZUltVkY0y__2220024697811-0-cib.jpg?v=1775038909","Open")</x:f>
        <x:v>HYPERLINK is not implemented. linkLocation=https://cdn.shopify.com/s/files/1/0918/6066/4603/files/O1CN01T0zlS627ZUltVkY0y__2220024697811-0-cib.jpg?v=1775038909, friendlyName=Open</x:v>
      </x:c>
      <x:c r="C3199" s="24" t="e">
        <x:f>HYPERLINK("https://365nails.com/products/365nails-spring-whisper-3d-floral-marble-handmade-almond-nails","365nails: ""Spring Whisper"" – 3D Floral &amp; Marble Handmade Almond Nails")</x:f>
        <x:v>HYPERLINK is not implemented. linkLocation=https://365nails.com/products/365nails-spring-whisper-3d-floral-marble-handmade-almond-nails, friendlyName=365nails: "Spring Whisper" – 3D Floral &amp; Marble Handmade Almond Nails</x:v>
      </x:c>
      <x:c r="D3199" s="18" t="str">
        <x:v>Color: Almond; Color classification: Xs / S / M / L</x:v>
      </x:c>
      <x:c r="E3199" s="25" t="str">
        <x:v>$4.99</x:v>
      </x:c>
      <x:c r="F3199" s="19" t="str">
        <x:v>3</x:v>
      </x:c>
    </x:row>
    <x:row r="3200" ht="93" customHeight="1">
      <x:c r="A3200" s="19" t="n">
        <x:v>3197</x:v>
      </x:c>
      <x:c r="B3200" s="22" t="e">
        <x:f>HYPERLINK("https://cdn.shopify.com/s/files/1/0918/6066/4603/files/O1CN01FXH68427ZUkn6v3CH__2220024697811-0-cib.jpg?v=1774945134","Open")</x:f>
        <x:v>HYPERLINK is not implemented. linkLocation=https://cdn.shopify.com/s/files/1/0918/6066/4603/files/O1CN01FXH68427ZUkn6v3CH__2220024697811-0-cib.jpg?v=1774945134, friendlyName=Open</x:v>
      </x:c>
      <x:c r="C3200" s="24" t="e">
        <x:f>HYPERLINK("https://365nails.com/products/365nails-golden-dew-3d-crystal-handmade-stiletto-nails","365nails: ""Golden Dew"" – 3D Crystal Handmade Stiletto Nails")</x:f>
        <x:v>HYPERLINK is not implemented. linkLocation=https://365nails.com/products/365nails-golden-dew-3d-crystal-handmade-stiletto-nails, friendlyName=365nails: "Golden Dew" – 3D Crystal Handmade Stiletto Nails</x:v>
      </x:c>
      <x:c r="D3200" s="18" t="str">
        <x:v>Color: Almond; Color classification: Xs / S / M / L</x:v>
      </x:c>
      <x:c r="E3200" s="25" t="str">
        <x:v>$4.49</x:v>
      </x:c>
      <x:c r="F3200" s="19" t="str">
        <x:v>3</x:v>
      </x:c>
    </x:row>
    <x:row r="3201" ht="93" customHeight="1">
      <x:c r="A3201" s="19" t="n">
        <x:v>3198</x:v>
      </x:c>
      <x:c r="B3201" s="22" t="e">
        <x:f>HYPERLINK("https://cdn.shopify.com/s/files/1/0918/6066/4603/files/3c4484361dd0a0d2f635efea62a0d5e2.jpg?v=1772976544","Open")</x:f>
        <x:v>HYPERLINK is not implemented. linkLocation=https://cdn.shopify.com/s/files/1/0918/6066/4603/files/3c4484361dd0a0d2f635efea62a0d5e2.jpg?v=1772976544, friendlyName=Open</x:v>
      </x:c>
      <x:c r="C3201" s="24" t="e">
        <x:f>HYPERLINK("https://365nails.com/products/seamless-collection-crystal-almond-invisible-almond-press-on-nail-tips","Seamless Collection: ""Crystal Almond"" – Invisible Almond Press-On Nail Tips")</x:f>
        <x:v>HYPERLINK is not implemented. linkLocation=https://365nails.com/products/seamless-collection-crystal-almond-invisible-almond-press-on-nail-tips, friendlyName=Seamless Collection: "Crystal Almond" – Invisible Almond Press-On Nail Tips</x:v>
      </x:c>
      <x:c r="D3201" s="18" t="str">
        <x:v>Color: Ys-149-traceless-120 pieces in box / Ys-149-traceless-240 pieces in box</x:v>
      </x:c>
      <x:c r="E3201" s="25" t="str">
        <x:v>$0.78–$1.23</x:v>
      </x:c>
      <x:c r="F3201" s="19" t="str">
        <x:v>3</x:v>
      </x:c>
    </x:row>
    <x:row r="3202" ht="93" customHeight="1">
      <x:c r="A3202" s="19" t="n">
        <x:v>3199</x:v>
      </x:c>
      <x:c r="B3202" s="22" t="e">
        <x:f>HYPERLINK("https://cdn.shopify.com/s/files/1/0918/6066/4603/files/O1CN01L6Z98127ZUlW9UDPl__2220024697811-0-cib.jpg?v=1775037682","Open")</x:f>
        <x:v>HYPERLINK is not implemented. linkLocation=https://cdn.shopify.com/s/files/1/0918/6066/4603/files/O1CN01L6Z98127ZUlW9UDPl__2220024697811-0-cib.jpg?v=1775037682, friendlyName=Open</x:v>
      </x:c>
      <x:c r="C3202" s="24" t="e">
        <x:f>HYPERLINK("https://365nails.com/products/365nails-enchanted-bloom-3d-flower-gradient-handmade-stiletto-nails","365nails: ""Enchanted Bloom"" – 3D Flower &amp; Gradient Handmade Stiletto Nails")</x:f>
        <x:v>HYPERLINK is not implemented. linkLocation=https://365nails.com/products/365nails-enchanted-bloom-3d-flower-gradient-handmade-stiletto-nails, friendlyName=365nails: "Enchanted Bloom" – 3D Flower &amp; Gradient Handmade Stiletto Nails</x:v>
      </x:c>
      <x:c r="D3202" s="18" t="str">
        <x:v>Color: Almond; Color classification: Xs / S / M / L</x:v>
      </x:c>
      <x:c r="E3202" s="25" t="str">
        <x:v>$4.49</x:v>
      </x:c>
      <x:c r="F3202" s="19" t="str">
        <x:v>3</x:v>
      </x:c>
    </x:row>
    <x:row r="3203" ht="93" customHeight="1">
      <x:c r="A3203" s="19" t="n">
        <x:v>3200</x:v>
      </x:c>
      <x:c r="B3203" s="22" t="e">
        <x:f>HYPERLINK("https://cdn.shopify.com/s/files/1/0918/6066/4603/files/O1CN012M0oCG27ZUlDSEqwj__2220024697811-0-cib.jpg?v=1774956886","Open")</x:f>
        <x:v>HYPERLINK is not implemented. linkLocation=https://cdn.shopify.com/s/files/1/0918/6066/4603/files/O1CN012M0oCG27ZUlDSEqwj__2220024697811-0-cib.jpg?v=1774956886, friendlyName=Open</x:v>
      </x:c>
      <x:c r="C3203" s="24" t="e">
        <x:f>HYPERLINK("https://365nails.com/products/365nails-midnight-bloom-3d-floral-handmade-stiletto-nails","365nails: ""Midnight Bloom"" – 3D Floral Handmade Stiletto Nails")</x:f>
        <x:v>HYPERLINK is not implemented. linkLocation=https://365nails.com/products/365nails-midnight-bloom-3d-floral-handmade-stiletto-nails, friendlyName=365nails: "Midnight Bloom" – 3D Floral Handmade Stiletto Nails</x:v>
      </x:c>
      <x:c r="D3203" s="18" t="str">
        <x:v>Color: Long tip; Color classification: Xs / S / M / L</x:v>
      </x:c>
      <x:c r="E3203" s="25" t="str">
        <x:v>$5.49</x:v>
      </x:c>
      <x:c r="F3203" s="19" t="str">
        <x:v>3</x:v>
      </x:c>
    </x:row>
    <x:row r="3204" ht="93" customHeight="1">
      <x:c r="A3204" s="19" t="n">
        <x:v>3201</x:v>
      </x:c>
      <x:c r="B3204" s="22" t="e">
        <x:f>HYPERLINK("https://cdn.shopify.com/s/files/1/0918/6066/4603/files/O1CN01hnimkR27ZUlYpzzRh__2220024697811-0-cib.jpg?v=1774958583","Open")</x:f>
        <x:v>HYPERLINK is not implemented. linkLocation=https://cdn.shopify.com/s/files/1/0918/6066/4603/files/O1CN01hnimkR27ZUlYpzzRh__2220024697811-0-cib.jpg?v=1774958583, friendlyName=Open</x:v>
      </x:c>
      <x:c r="C3204" s="24" t="e">
        <x:f>HYPERLINK("https://365nails.com/products/365nails-emerald-garden-3d-floral-handmade-almond-nails","365nails: ""Emerald Garden"" – 3D Floral Handmade Almond Nails")</x:f>
        <x:v>HYPERLINK is not implemented. linkLocation=https://365nails.com/products/365nails-emerald-garden-3d-floral-handmade-almond-nails, friendlyName=365nails: "Emerald Garden" – 3D Floral Handmade Almond Nails</x:v>
      </x:c>
      <x:c r="D3204" s="18" t="str">
        <x:v>Color: Short almond; Color classification: Xs / S / M / L</x:v>
      </x:c>
      <x:c r="E3204" s="25" t="str">
        <x:v>$4.49</x:v>
      </x:c>
      <x:c r="F3204" s="19" t="str">
        <x:v>3</x:v>
      </x:c>
    </x:row>
    <x:row r="3205" ht="93" customHeight="1">
      <x:c r="A3205" s="19" t="n">
        <x:v>3202</x:v>
      </x:c>
      <x:c r="B3205" s="22" t="e">
        <x:f>HYPERLINK("https://cdn.shopify.com/s/files/1/0918/6066/4603/files/ef1858a75ad5cf42dfac90e515e950e3.jpg?v=1772976540","Open")</x:f>
        <x:v>HYPERLINK is not implemented. linkLocation=https://cdn.shopify.com/s/files/1/0918/6066/4603/files/ef1858a75ad5cf42dfac90e515e950e3.jpg?v=1772976540, friendlyName=Open</x:v>
      </x:c>
      <x:c r="C3205" s="24" t="e">
        <x:f>HYPERLINK("https://365nails.com/products/precision-collection-pro-guide-no-file-matte-nail-tips-with-length-markers","Precision Collection: ""Pro Guide"" – No-File Matte Nail Tips with Length Markers")</x:f>
        <x:v>HYPERLINK is not implemented. linkLocation=https://365nails.com/products/precision-collection-pro-guide-no-file-matte-nail-tips-with-length-markers, friendlyName=Precision Collection: "Pro Guide" – No-File Matte Nail Tips with Length Markers</x:v>
      </x:c>
      <x:c r="D3205" s="18" t="str">
        <x:v>Color: 251-long ladder-500 pieces/box / 253-ladder type armor-500 pieces/box / 254-short water droplets-500 pieces/box / 255-water drop type-500 pieces/box</x:v>
      </x:c>
      <x:c r="E3205" s="25" t="str">
        <x:v>$2.12</x:v>
      </x:c>
      <x:c r="F3205" s="19" t="str">
        <x:v>3</x:v>
      </x:c>
    </x:row>
    <x:row r="3206" ht="93" customHeight="1">
      <x:c r="A3206" s="19" t="n">
        <x:v>3203</x:v>
      </x:c>
      <x:c r="B3206" s="22" t="e">
        <x:f>HYPERLINK("https://cdn.shopify.com/s/files/1/0918/6066/4603/files/O1CN01ghdIvR27ZUlJmiXkF__2220024697811-0-cib.jpg?v=1774957371","Open")</x:f>
        <x:v>HYPERLINK is not implemented. linkLocation=https://cdn.shopify.com/s/files/1/0918/6066/4603/files/O1CN01ghdIvR27ZUlJmiXkF__2220024697811-0-cib.jpg?v=1774957371, friendlyName=Open</x:v>
      </x:c>
      <x:c r="C3206" s="24" t="e">
        <x:f>HYPERLINK("https://365nails.com/products/365nails-floral-fusion-3d-hand-painted-almond-nails","365nails: ""Floral Fusion"" – 3D Hand-Painted Almond Nails")</x:f>
        <x:v>HYPERLINK is not implemented. linkLocation=https://365nails.com/products/365nails-floral-fusion-3d-hand-painted-almond-nails, friendlyName=365nails: "Floral Fusion" – 3D Hand-Painted Almond Nails</x:v>
      </x:c>
      <x:c r="D3206" s="18" t="str">
        <x:v>Color: Almond; Color classification: Xs / S / M / L</x:v>
      </x:c>
      <x:c r="E3206" s="25" t="str">
        <x:v>$4.99</x:v>
      </x:c>
      <x:c r="F3206" s="19" t="str">
        <x:v>3</x:v>
      </x:c>
    </x:row>
    <x:row r="3207" ht="93" customHeight="1">
      <x:c r="A3207" s="19" t="n">
        <x:v>3204</x:v>
      </x:c>
      <x:c r="B3207" s="22" t="e">
        <x:f>HYPERLINK("https://cdn.shopify.com/s/files/1/0918/6066/4603/files/O1CN01OKKj2P27ZUmrTAB5f__2220024697811-0-cib_7dea6846-ce04-4d9a-97fd-b34465c527df.jpg?v=1774960112","Open")</x:f>
        <x:v>HYPERLINK is not implemented. linkLocation=https://cdn.shopify.com/s/files/1/0918/6066/4603/files/O1CN01OKKj2P27ZUmrTAB5f__2220024697811-0-cib_7dea6846-ce04-4d9a-97fd-b34465c527df.jpg?v=1774960112, friendlyName=Open</x:v>
      </x:c>
      <x:c r="C3207" s="24" t="e">
        <x:f>HYPERLINK("https://365nails.com/products/365nails-dollhouse-fantasy-3d-face-handmade-almond-nails","365nails: ""Dollhouse Fantasy"" – 3D Face Handmade Almond Nails")</x:f>
        <x:v>HYPERLINK is not implemented. linkLocation=https://365nails.com/products/365nails-dollhouse-fantasy-3d-face-handmade-almond-nails, friendlyName=365nails: "Dollhouse Fantasy" – 3D Face Handmade Almond Nails</x:v>
      </x:c>
      <x:c r="D3207" s="18" t="str">
        <x:v>Color: Almond; Color classification: Xs / S / M / L</x:v>
      </x:c>
      <x:c r="E3207" s="25" t="str">
        <x:v>$4.99</x:v>
      </x:c>
      <x:c r="F3207" s="19" t="str">
        <x:v>3</x:v>
      </x:c>
    </x:row>
    <x:row r="3208" ht="93" customHeight="1">
      <x:c r="A3208" s="19" t="n">
        <x:v>3205</x:v>
      </x:c>
      <x:c r="B3208" s="22" t="e">
        <x:f>HYPERLINK("https://cdn.shopify.com/s/files/1/0918/6066/4603/files/O1CN01EF4WiD27ZUmI5sYr5__2220024697811-0-cib.jpg?v=1774959691","Open")</x:f>
        <x:v>HYPERLINK is not implemented. linkLocation=https://cdn.shopify.com/s/files/1/0918/6066/4603/files/O1CN01EF4WiD27ZUmI5sYr5__2220024697811-0-cib.jpg?v=1774959691, friendlyName=Open</x:v>
      </x:c>
      <x:c r="C3208" s="24" t="e">
        <x:f>HYPERLINK("https://365nails.com/products/365nails-gothic-vibe-3d-plaid-handmade-almond-nails","365nails: ""Gothic Vibe"" – 3D Plaid Handmade Almond Nails")</x:f>
        <x:v>HYPERLINK is not implemented. linkLocation=https://365nails.com/products/365nails-gothic-vibe-3d-plaid-handmade-almond-nails, friendlyName=365nails: "Gothic Vibe" – 3D Plaid Handmade Almond Nails</x:v>
      </x:c>
      <x:c r="D3208" s="18" t="str">
        <x:v>Color: Short almond; Color classification: Xs / S / M / L</x:v>
      </x:c>
      <x:c r="E3208" s="25" t="str">
        <x:v>$3.99</x:v>
      </x:c>
      <x:c r="F3208" s="19" t="str">
        <x:v>3</x:v>
      </x:c>
    </x:row>
    <x:row r="3209" ht="93" customHeight="1">
      <x:c r="A3209" s="19" t="n">
        <x:v>3206</x:v>
      </x:c>
      <x:c r="B3209" s="22" t="e">
        <x:f>HYPERLINK("https://cdn.shopify.com/s/files/1/0918/6066/4603/files/O1CN01zlhAHM2MQzg0IrXn3__2219089449823-0-cib.jpg?v=1774275863","Open")</x:f>
        <x:v>HYPERLINK is not implemented. linkLocation=https://cdn.shopify.com/s/files/1/0918/6066/4603/files/O1CN01zlhAHM2MQzg0IrXn3__2219089449823-0-cib.jpg?v=1774275863, friendlyName=Open</x:v>
      </x:c>
      <x:c r="C3209" s="24" t="e">
        <x:f>HYPERLINK("https://365nails.com/products/crimson-veil-bloody-petal-long-square-press-on-nails","Crimson Veil: ""Bloody Petal"" – Long Square Press-On Nails")</x:f>
        <x:v>HYPERLINK is not implemented. linkLocation=https://365nails.com/products/crimson-veil-bloody-petal-long-square-press-on-nails, friendlyName=Crimson Veil: "Bloody Petal" – Long Square Press-On Nails</x:v>
      </x:c>
      <x:c r="D3209" s="18" t="str">
        <x:v>Color: L013; Color classification: S / M / L</x:v>
      </x:c>
      <x:c r="E3209" s="25" t="str">
        <x:v>$4.99</x:v>
      </x:c>
      <x:c r="F3209" s="19" t="str">
        <x:v>1</x:v>
      </x:c>
    </x:row>
    <x:row r="3210" ht="93" customHeight="1">
      <x:c r="A3210" s="19" t="n">
        <x:v>3207</x:v>
      </x:c>
      <x:c r="B3210" s="22" t="e">
        <x:f>HYPERLINK("https://cdn.shopify.com/s/files/1/0918/6066/4603/files/O1CN01caduUt1CPwJYjC5XN__2213196780074-0-cib.jpg?v=1775914861","Open")</x:f>
        <x:v>HYPERLINK is not implemented. linkLocation=https://cdn.shopify.com/s/files/1/0918/6066/4603/files/O1CN01caduUt1CPwJYjC5XN__2213196780074-0-cib.jpg?v=1775914861, friendlyName=Open</x:v>
      </x:c>
      <x:c r="C3210" s="24" t="e">
        <x:f>HYPERLINK("https://365nails.com/products/365nails-autumn-stripes-hand-painted-geometric-handmade-short-square-nails","365nails: ""Autumn Stripes"" – Hand-Painted Geometric Handmade Short Square Nails")</x:f>
        <x:v>HYPERLINK is not implemented. linkLocation=https://365nails.com/products/365nails-autumn-stripes-hand-painted-geometric-handmade-short-square-nails, friendlyName=365nails: "Autumn Stripes" – Hand-Painted Geometric Handmade Short Square Nails</x:v>
      </x:c>
      <x:c r="D3210" s="18" t="str">
        <x:v>Color: Extra small size xs / Small s / Medium m / Large l; Specification type: 248 short garden</x:v>
      </x:c>
      <x:c r="E3210" s="25" t="str">
        <x:v>$2.99</x:v>
      </x:c>
      <x:c r="F3210" s="19" t="str">
        <x:v>3</x:v>
      </x:c>
    </x:row>
    <x:row r="3211" ht="93" customHeight="1">
      <x:c r="A3211" s="19" t="n">
        <x:v>3208</x:v>
      </x:c>
      <x:c r="B3211" s="22" t="e">
        <x:f>HYPERLINK("https://cdn.shopify.com/s/files/1/0918/6066/4603/files/O1CN01Zby4E92MQzfiddg2e__2219089449823-0-cib.jpg?v=1774258112","Open")</x:f>
        <x:v>HYPERLINK is not implemented. linkLocation=https://cdn.shopify.com/s/files/1/0918/6066/4603/files/O1CN01Zby4E92MQzfiddg2e__2219089449823-0-cib.jpg?v=1774258112, friendlyName=Open</x:v>
      </x:c>
      <x:c r="C3211" s="24" t="e">
        <x:f>HYPERLINK("https://365nails.com/products/cherry-blossom-french-nude-red-flower-short-square-shape-handmade-press-on-nails","Cherry Blossom French: ""Nude Red Flower"" – Short Square Shape Handmade Press-On Nails")</x:f>
        <x:v>HYPERLINK is not implemented. linkLocation=https://365nails.com/products/cherry-blossom-french-nude-red-flower-short-square-shape-handmade-press-on-nails, friendlyName=Cherry Blossom French: "Nude Red Flower" – Short Square Shape Handmade Press-On Nails</x:v>
      </x:c>
      <x:c r="D3211" s="18" t="str">
        <x:v>Color: C 380; Color classification: X s / S / M / L</x:v>
      </x:c>
      <x:c r="E3211" s="25" t="str">
        <x:v>$3.49</x:v>
      </x:c>
      <x:c r="F3211" s="19" t="str">
        <x:v>1</x:v>
      </x:c>
    </x:row>
    <x:row r="3212" ht="93" customHeight="1">
      <x:c r="A3212" s="19" t="n">
        <x:v>3209</x:v>
      </x:c>
      <x:c r="B3212" s="22" t="e">
        <x:f>HYPERLINK("https://cdn.shopify.com/s/files/1/0918/6066/4603/files/O1CN01HleKCu27ZUkGdxrbq__2220024697811-0-cib.jpg?v=1775004665","Open")</x:f>
        <x:v>HYPERLINK is not implemented. linkLocation=https://cdn.shopify.com/s/files/1/0918/6066/4603/files/O1CN01HleKCu27ZUkGdxrbq__2220024697811-0-cib.jpg?v=1775004665, friendlyName=Open</x:v>
      </x:c>
      <x:c r="C3212" s="24" t="e">
        <x:f>HYPERLINK("https://365nails.com/products/365nails-honeycomb-radiance-3d-geometric-handmade-almond-nails","365nails: ""Honeycomb Radiance"" – 3D Geometric Handmade Almond Nails")</x:f>
        <x:v>HYPERLINK is not implemented. linkLocation=https://365nails.com/products/365nails-honeycomb-radiance-3d-geometric-handmade-almond-nails, friendlyName=365nails: "Honeycomb Radiance" – 3D Geometric Handmade Almond Nails</x:v>
      </x:c>
      <x:c r="D3212" s="18" t="str">
        <x:v>Color: Short almond; Color classification: Xs / S / M / L</x:v>
      </x:c>
      <x:c r="E3212" s="25" t="str">
        <x:v>$3.49</x:v>
      </x:c>
      <x:c r="F3212" s="19" t="str">
        <x:v>3</x:v>
      </x:c>
    </x:row>
    <x:row r="3213" ht="93" customHeight="1">
      <x:c r="A3213" s="19" t="n">
        <x:v>3210</x:v>
      </x:c>
      <x:c r="B3213" s="22" t="e">
        <x:f>HYPERLINK("https://cdn.shopify.com/s/files/1/0918/6066/4603/files/O1CN01hdKmVo1bAheAeBowP__2216807853425-0-cib.jpg?v=1772373459","Open")</x:f>
        <x:v>HYPERLINK is not implemented. linkLocation=https://cdn.shopify.com/s/files/1/0918/6066/4603/files/O1CN01hdKmVo1bAheAeBowP__2216807853425-0-cib.jpg?v=1772373459, friendlyName=Open</x:v>
      </x:c>
      <x:c r="C3213" s="24" t="e">
        <x:f>HYPERLINK("https://365nails.com/products/holographic-essentials-collection-pearlescent-hologram-medium-almond-press-on-nails","Holographic Essentials Collection: ""Pearlescent Hologram"" – Medium Almond Press-On Nails")</x:f>
        <x:v>HYPERLINK is not implemented. linkLocation=https://365nails.com/products/holographic-essentials-collection-pearlescent-hologram-medium-almond-press-on-nails, friendlyName=Holographic Essentials Collection: "Pearlescent Hologram" – Medium Almond Press-On Nails</x:v>
      </x:c>
      <x:c r="D3213" s="18" t="str">
        <x:v>Color: Nude glass bead cat eye (short oval); Color classification: 30 tablets(xs+s+m) / 30 pieces (s+s+s)</x:v>
      </x:c>
      <x:c r="E3213" s="25" t="str">
        <x:v>$0.54</x:v>
      </x:c>
      <x:c r="F3213" s="19" t="str">
        <x:v>10</x:v>
      </x:c>
    </x:row>
    <x:row r="3214" ht="93" customHeight="1">
      <x:c r="A3214" s="19" t="n">
        <x:v>3211</x:v>
      </x:c>
      <x:c r="B3214" s="22" t="e">
        <x:f>HYPERLINK("https://cdn.shopify.com/s/files/1/0918/6066/4603/files/O1CN01U7xT1Z1CPw5miH8BI__2213196780074-0-cib_bb27ca6a-2de4-43f3-89db-4570ace9a42f.jpg?v=1774694031","Open")</x:f>
        <x:v>HYPERLINK is not implemented. linkLocation=https://cdn.shopify.com/s/files/1/0918/6066/4603/files/O1CN01U7xT1Z1CPw5miH8BI__2213196780074-0-cib_bb27ca6a-2de4-43f3-89db-4570ace9a42f.jpg?v=1774694031, friendlyName=Open</x:v>
      </x:c>
      <x:c r="C3214" s="24" t="e">
        <x:f>HYPERLINK("https://365nails.com/products/365nails-desert-rose-3d-hand-painted-floral-gold-leaf-handmade-square-nails","365nails: ""Desert Rose"" – 3D Hand-Painted Floral &amp; Gold Leaf Handmade Square Nails")</x:f>
        <x:v>HYPERLINK is not implemented. linkLocation=https://365nails.com/products/365nails-desert-rose-3d-hand-painted-floral-gold-leaf-handmade-square-nails, friendlyName=365nails: "Desert Rose" – 3D Hand-Painted Floral &amp; Gold Leaf Handmade Square Nails</x:v>
      </x:c>
      <x:c r="D3214" s="18" t="str">
        <x:v>Color: Extra small size xs / Small s / Medium m / Large l; Specification type: Handmade roses</x:v>
      </x:c>
      <x:c r="E3214" s="25" t="str">
        <x:v>$3.49</x:v>
      </x:c>
      <x:c r="F3214" s="19" t="str">
        <x:v>1</x:v>
      </x:c>
    </x:row>
    <x:row r="3215" ht="93" customHeight="1">
      <x:c r="A3215" s="19" t="n">
        <x:v>3212</x:v>
      </x:c>
      <x:c r="B3215" s="22" t="e">
        <x:f>HYPERLINK("https://cdn.shopify.com/s/files/1/0918/6066/4603/files/O1CN01sPKw8027ZUmhPtlm5__2220024697811-0-cib.jpg?v=1775040203","Open")</x:f>
        <x:v>HYPERLINK is not implemented. linkLocation=https://cdn.shopify.com/s/files/1/0918/6066/4603/files/O1CN01sPKw8027ZUmhPtlm5__2220024697811-0-cib.jpg?v=1775040203, friendlyName=Open</x:v>
      </x:c>
      <x:c r="C3215" s="24" t="e">
        <x:f>HYPERLINK("https://365nails.com/products/365nails-jeweled-watermelon-3d-fruit-crystal-handmade-almond-nails","365nails: ""Jeweled Watermelon"" – 3D Fruit &amp; Crystal Handmade Almond Nails")</x:f>
        <x:v>HYPERLINK is not implemented. linkLocation=https://365nails.com/products/365nails-jeweled-watermelon-3d-fruit-crystal-handmade-almond-nails, friendlyName=365nails: "Jeweled Watermelon" – 3D Fruit &amp; Crystal Handmade Almond Nails</x:v>
      </x:c>
      <x:c r="D3215" s="18" t="str">
        <x:v>Color: Almond; Color classification: Xs / S / M / L</x:v>
      </x:c>
      <x:c r="E3215" s="25" t="str">
        <x:v>$4.99</x:v>
      </x:c>
      <x:c r="F3215" s="19" t="str">
        <x:v>3</x:v>
      </x:c>
    </x:row>
    <x:row r="3216" ht="93" customHeight="1">
      <x:c r="A3216" s="19" t="n">
        <x:v>3213</x:v>
      </x:c>
      <x:c r="B3216" s="22" t="e">
        <x:f>HYPERLINK("https://cdn.shopify.com/s/files/1/0918/6066/4603/files/O1CN01AdRkMr27ZUkcBs6K0__2220024697811-0-cib.jpg?v=1774929488","Open")</x:f>
        <x:v>HYPERLINK is not implemented. linkLocation=https://cdn.shopify.com/s/files/1/0918/6066/4603/files/O1CN01AdRkMr27ZUkcBs6K0__2220024697811-0-cib.jpg?v=1774929488, friendlyName=Open</x:v>
      </x:c>
      <x:c r="C3216" s="24" t="e">
        <x:f>HYPERLINK("https://365nails.com/products/365nails-autumn-blaze-3d-maple-leaf-handmade-stiletto-nails","365nails: ""Autumn Blaze"" – 3D Maple Leaf Handmade Stiletto Nails")</x:f>
        <x:v>HYPERLINK is not implemented. linkLocation=https://365nails.com/products/365nails-autumn-blaze-3d-maple-leaf-handmade-stiletto-nails, friendlyName=365nails: "Autumn Blaze" – 3D Maple Leaf Handmade Stiletto Nails</x:v>
      </x:c>
      <x:c r="D3216" s="18" t="str">
        <x:v>Color: Almond; Color classification: Xs / S / M / L</x:v>
      </x:c>
      <x:c r="E3216" s="25" t="str">
        <x:v>$4.49</x:v>
      </x:c>
      <x:c r="F3216" s="19" t="str">
        <x:v>3</x:v>
      </x:c>
    </x:row>
    <x:row r="3217" ht="93" customHeight="1">
      <x:c r="A3217" s="19" t="n">
        <x:v>3214</x:v>
      </x:c>
      <x:c r="B3217" s="22" t="e">
        <x:f>HYPERLINK("https://cdn.shopify.com/s/files/1/0918/6066/4603/files/O1CN01iSKzyy2214sWIea1S__2219480337059-0-cib.jpg?v=1773824647","Open")</x:f>
        <x:v>HYPERLINK is not implemented. linkLocation=https://cdn.shopify.com/s/files/1/0918/6066/4603/files/O1CN01iSKzyy2214sWIea1S__2219480337059-0-cib.jpg?v=1773824647, friendlyName=Open</x:v>
      </x:c>
      <x:c r="C3217" s="24" t="e">
        <x:f>HYPERLINK("https://365nails.com/products/rainbow-beetle-kids-series-colorful-bug-garden-short-square-kids-nail-art","365nails-Rainbow Beetle Kids Series: ""Colorful Bug Garden"" – Short Square Kids Nail Art")</x:f>
        <x:v>HYPERLINK is not implemented. linkLocation=https://365nails.com/products/rainbow-beetle-kids-series-colorful-bug-garden-short-square-kids-nail-art, friendlyName=365nails-Rainbow Beetle Kids Series: "Colorful Bug Garden" – Short Square Kids Nail Art</x:v>
      </x:c>
      <x:c r="D3217" s="18" t="str">
        <x:v>Color: Five colored ladybug; Color classification: Xs (about 2 years old) / S (3-4 years old) / M (5-7 years old) / L (8-11 years old)</x:v>
      </x:c>
      <x:c r="E3217" s="25" t="str">
        <x:v>$2.99</x:v>
      </x:c>
      <x:c r="F3217" s="19" t="str">
        <x:v>3</x:v>
      </x:c>
    </x:row>
    <x:row r="3218" ht="93" customHeight="1">
      <x:c r="A3218" s="19" t="n">
        <x:v>3215</x:v>
      </x:c>
      <x:c r="B3218" s="22" t="e">
        <x:f>HYPERLINK("https://cdn.shopify.com/s/files/1/0918/6066/4603/files/O1CN01wQUPYY27ZUlD25Tvd__2220024697811-0-cib.jpg?v=1774956972","Open")</x:f>
        <x:v>HYPERLINK is not implemented. linkLocation=https://cdn.shopify.com/s/files/1/0918/6066/4603/files/O1CN01wQUPYY27ZUlD25Tvd__2220024697811-0-cib.jpg?v=1774956972, friendlyName=Open</x:v>
      </x:c>
      <x:c r="C3218" s="24" t="e">
        <x:f>HYPERLINK("https://365nails.com/products/365nails-lotus-whisper-3d-floral-handmade-stiletto-nails","365nails: ""Lotus Whisper"" – 3D Floral Handmade Stiletto Nails")</x:f>
        <x:v>HYPERLINK is not implemented. linkLocation=https://365nails.com/products/365nails-lotus-whisper-3d-floral-handmade-stiletto-nails, friendlyName=365nails: "Lotus Whisper" – 3D Floral Handmade Stiletto Nails</x:v>
      </x:c>
      <x:c r="D3218" s="18" t="str">
        <x:v>Color: Almond; Color classification: Xs / S / M / L</x:v>
      </x:c>
      <x:c r="E3218" s="25" t="str">
        <x:v>$4.99</x:v>
      </x:c>
      <x:c r="F3218" s="19" t="str">
        <x:v>3</x:v>
      </x:c>
    </x:row>
    <x:row r="3219" ht="93" customHeight="1">
      <x:c r="A3219" s="19" t="n">
        <x:v>3216</x:v>
      </x:c>
      <x:c r="B3219" s="22" t="e">
        <x:f>HYPERLINK("https://cdn.shopify.com/s/files/1/0918/6066/4603/files/O1CN01CiHnyz27ZUmIKT5H9__2220024697811-0-cib.jpg?v=1774863814","Open")</x:f>
        <x:v>HYPERLINK is not implemented. linkLocation=https://cdn.shopify.com/s/files/1/0918/6066/4603/files/O1CN01CiHnyz27ZUmIKT5H9__2220024697811-0-cib.jpg?v=1774863814, friendlyName=Open</x:v>
      </x:c>
      <x:c r="C3219" s="24" t="e">
        <x:f>HYPERLINK("https://365nails.com/products/365nails-scarlet-throne-3d-crystal-cross-handmade-square-nails","365nails: ""Scarlet Throne"" – 3D Crystal Cross Handmade Square Nails")</x:f>
        <x:v>HYPERLINK is not implemented. linkLocation=https://365nails.com/products/365nails-scarlet-throne-3d-crystal-cross-handmade-square-nails, friendlyName=365nails: "Scarlet Throne" – 3D Crystal Cross Handmade Square Nails</x:v>
      </x:c>
      <x:c r="D3219" s="18" t="str">
        <x:v>Color: Right angle t; Color classification: Xs / S / M / L</x:v>
      </x:c>
      <x:c r="E3219" s="25" t="str">
        <x:v>$4.49</x:v>
      </x:c>
      <x:c r="F3219" s="19" t="str">
        <x:v>3</x:v>
      </x:c>
    </x:row>
    <x:row r="3220" ht="93" customHeight="1">
      <x:c r="A3220" s="19" t="n">
        <x:v>3217</x:v>
      </x:c>
      <x:c r="B3220" s="22" t="e">
        <x:f>HYPERLINK("https://cdn.shopify.com/s/files/1/0918/6066/4603/files/O1CN01haVY0m2MQzcAOgFYH__2219089449823-0-cib.jpg?v=1774065653","Open")</x:f>
        <x:v>HYPERLINK is not implemented. linkLocation=https://cdn.shopify.com/s/files/1/0918/6066/4603/files/O1CN01haVY0m2MQzcAOgFYH__2219089449823-0-cib.jpg?v=1774065653, friendlyName=Open</x:v>
      </x:c>
      <x:c r="C3220" s="24" t="e">
        <x:f>HYPERLINK("https://365nails.com/products/amethyst-dream-purple-haze-long-almond-handmade-nails","365nails-Amethyst Dream: ""Purple Haze"" – Long Almond Handmade Nails")</x:f>
        <x:v>HYPERLINK is not implemented. linkLocation=https://365nails.com/products/amethyst-dream-purple-haze-long-almond-handmade-nails, friendlyName=365nails-Amethyst Dream: "Purple Haze" – Long Almond Handmade Nails</x:v>
      </x:c>
      <x:c r="D3220" s="18" t="str">
        <x:v>Color: K14 fog shadow—medium almond; Color classification: X s / S / M / L</x:v>
      </x:c>
      <x:c r="E3220" s="25" t="str">
        <x:v>$3.99</x:v>
      </x:c>
      <x:c r="F3220" s="19" t="str">
        <x:v>5</x:v>
      </x:c>
    </x:row>
    <x:row r="3221" ht="93" customHeight="1">
      <x:c r="A3221" s="19" t="n">
        <x:v>3218</x:v>
      </x:c>
      <x:c r="B3221" s="22" t="e">
        <x:f>HYPERLINK("https://cdn.shopify.com/s/files/1/0918/6066/4603/files/b8f150ed3e31c2e93524f8b9a00239b4.jpg?v=1772976548","Open")</x:f>
        <x:v>HYPERLINK is not implemented. linkLocation=https://cdn.shopify.com/s/files/1/0918/6066/4603/files/b8f150ed3e31c2e93524f8b9a00239b4.jpg?v=1772976548, friendlyName=Open</x:v>
      </x:c>
      <x:c r="C3221" s="24" t="e">
        <x:f>HYPERLINK("https://365nails.com/products/everyday-collection-short-round-full-cover-short-round-nail-tips","Everyday Collection: ""Short Round"" – Full-Cover Short Round Nail Tips")</x:f>
        <x:v>HYPERLINK is not implemented. linkLocation=https://365nails.com/products/everyday-collection-short-round-full-cover-short-round-nail-tips, friendlyName=Everyday Collection: "Short Round" – Full-Cover Short Round Nail Tips</x:v>
      </x:c>
      <x:c r="D3221" s="18" t="str">
        <x:v>Color: Transparent color-600 pieces in bag / Natural color-600 pieces in bag</x:v>
      </x:c>
      <x:c r="E3221" s="25" t="str">
        <x:v>$1.57</x:v>
      </x:c>
      <x:c r="F3221" s="19" t="str">
        <x:v>3</x:v>
      </x:c>
    </x:row>
    <x:row r="3222" ht="93" customHeight="1">
      <x:c r="A3222" s="19" t="n">
        <x:v>3219</x:v>
      </x:c>
      <x:c r="B3222" s="22" t="e">
        <x:f>HYPERLINK("https://cdn.shopify.com/s/files/1/0918/6066/4603/files/O1CN01kqTJz527ZUmqzAWXg__2220024697811-0-cib_2974795c-7410-40f0-a6c8-c7ec62f12732.jpg?v=1774960393","Open")</x:f>
        <x:v>HYPERLINK is not implemented. linkLocation=https://cdn.shopify.com/s/files/1/0918/6066/4603/files/O1CN01kqTJz527ZUmqzAWXg__2220024697811-0-cib_2974795c-7410-40f0-a6c8-c7ec62f12732.jpg?v=1774960393, friendlyName=Open</x:v>
      </x:c>
      <x:c r="C3222" s="24" t="e">
        <x:f>HYPERLINK("https://365nails.com/products/365nails-retro-chic-3d-bow-handmade-almond-nails","365nails: ""Retro Chic"" – 3D Bow Handmade Almond Nails")</x:f>
        <x:v>HYPERLINK is not implemented. linkLocation=https://365nails.com/products/365nails-retro-chic-3d-bow-handmade-almond-nails, friendlyName=365nails: "Retro Chic" – 3D Bow Handmade Almond Nails</x:v>
      </x:c>
      <x:c r="D3222" s="18" t="str">
        <x:v>Color: Right angle t; Color classification: Xs / S / M / L</x:v>
      </x:c>
      <x:c r="E3222" s="25" t="str">
        <x:v>$4.49</x:v>
      </x:c>
      <x:c r="F3222" s="19" t="str">
        <x:v>3</x:v>
      </x:c>
    </x:row>
    <x:row r="3223" ht="93" customHeight="1">
      <x:c r="A3223" s="19" t="n">
        <x:v>3220</x:v>
      </x:c>
      <x:c r="B3223" s="22" t="e">
        <x:f>HYPERLINK("https://cdn.shopify.com/s/files/1/0918/6066/4603/files/O1CN01YLX0Wn27ZUknMuIyo__2220024697811-0-cib.jpg?v=1774945929","Open")</x:f>
        <x:v>HYPERLINK is not implemented. linkLocation=https://cdn.shopify.com/s/files/1/0918/6066/4603/files/O1CN01YLX0Wn27ZUknMuIyo__2220024697811-0-cib.jpg?v=1774945929, friendlyName=Open</x:v>
      </x:c>
      <x:c r="C3223" s="24" t="e">
        <x:f>HYPERLINK("https://365nails.com/products/365nails-ruby-bloom-3d-floral-handmade-stiletto-nails","365nails: ""Ruby Bloom"" – 3D Floral Handmade Stiletto Nails")</x:f>
        <x:v>HYPERLINK is not implemented. linkLocation=https://365nails.com/products/365nails-ruby-bloom-3d-floral-handmade-stiletto-nails, friendlyName=365nails: "Ruby Bloom" – 3D Floral Handmade Stiletto Nails</x:v>
      </x:c>
      <x:c r="D3223" s="18" t="str">
        <x:v>Color: Almond; Color classification: Xs / S / M / L</x:v>
      </x:c>
      <x:c r="E3223" s="25" t="str">
        <x:v>$4.49</x:v>
      </x:c>
      <x:c r="F3223" s="19" t="str">
        <x:v>3</x:v>
      </x:c>
    </x:row>
    <x:row r="3224" ht="93" customHeight="1">
      <x:c r="A3224" s="19" t="n">
        <x:v>3221</x:v>
      </x:c>
      <x:c r="B3224" s="22" t="e">
        <x:f>HYPERLINK("https://cdn.shopify.com/s/files/1/0918/6066/4603/files/1140ab788fdcc3240d40eb37d96a8cb1.jpg?v=1779848408","Open")</x:f>
        <x:v>HYPERLINK is not implemented. linkLocation=https://cdn.shopify.com/s/files/1/0918/6066/4603/files/1140ab788fdcc3240d40eb37d96a8cb1.jpg?v=1779848408, friendlyName=Open</x:v>
      </x:c>
      <x:c r="C3224" s="24" t="e">
        <x:f>HYPERLINK("https://365nails.com/products/peach-blossom-gradient-wholesale-ultra-soft-flexible-fit-handmade-nails-moq-100","""Peach Blossom Gradient"" - Wholesale Ultra-Soft Flexible Fit Handmade Nails (MOQ=100)")</x:f>
        <x:v>HYPERLINK is not implemented. linkLocation=https://365nails.com/products/peach-blossom-gradient-wholesale-ultra-soft-flexible-fit-handmade-nails-moq-100, friendlyName="Peach Blossom Gradient" - Wholesale Ultra-Soft Flexible Fit Handmade Nails (MOQ=100)</x:v>
      </x:c>
      <x:c r="D3224" s="18" t="str">
        <x:v>Size: XS / S / M / L</x:v>
      </x:c>
      <x:c r="E3224" s="25" t="str">
        <x:v>$1.99</x:v>
      </x:c>
      <x:c r="F3224" s="19" t="str">
        <x:v>100</x:v>
      </x:c>
    </x:row>
    <x:row r="3225" ht="93" customHeight="1">
      <x:c r="A3225" s="19" t="n">
        <x:v>3222</x:v>
      </x:c>
      <x:c r="B3225" s="22" t="e">
        <x:f>HYPERLINK("https://cdn.shopify.com/s/files/1/0918/6066/4603/files/O1CN01Rhxppi27ZUlfzEtrp__2220024697811-0-cib.jpg?v=1774958919","Open")</x:f>
        <x:v>HYPERLINK is not implemented. linkLocation=https://cdn.shopify.com/s/files/1/0918/6066/4603/files/O1CN01Rhxppi27ZUlfzEtrp__2220024697811-0-cib.jpg?v=1774958919, friendlyName=Open</x:v>
      </x:c>
      <x:c r="C3225" s="24" t="e">
        <x:f>HYPERLINK("https://365nails.com/products/365nails-cocoa-bloom-3d-bow-handmade-almond-nails","365nails: ""Cocoa Bloom"" – 3D Bow Handmade Almond Nails")</x:f>
        <x:v>HYPERLINK is not implemented. linkLocation=https://365nails.com/products/365nails-cocoa-bloom-3d-bow-handmade-almond-nails, friendlyName=365nails: "Cocoa Bloom" – 3D Bow Handmade Almond Nails</x:v>
      </x:c>
      <x:c r="D3225" s="18" t="str">
        <x:v>Color: Medium rectangle; Color classification: Xs / S / M / L</x:v>
      </x:c>
      <x:c r="E3225" s="25" t="str">
        <x:v>$4.99</x:v>
      </x:c>
      <x:c r="F3225" s="19" t="str">
        <x:v>3</x:v>
      </x:c>
    </x:row>
    <x:row r="3226" ht="93" customHeight="1">
      <x:c r="A3226" s="19" t="n">
        <x:v>3223</x:v>
      </x:c>
      <x:c r="B3226" s="22" t="e">
        <x:f>HYPERLINK("https://cdn.shopify.com/s/files/1/0918/6066/4603/files/O1CN01Wx4kXl2MQzftnOZSB__2219089449823-0-cib.jpg?v=1774275854","Open")</x:f>
        <x:v>HYPERLINK is not implemented. linkLocation=https://cdn.shopify.com/s/files/1/0918/6066/4603/files/O1CN01Wx4kXl2MQzftnOZSB__2219089449823-0-cib.jpg?v=1774275854, friendlyName=Open</x:v>
      </x:c>
      <x:c r="C3226" s="24" t="e">
        <x:f>HYPERLINK("https://365nails.com/products/wild-blossom-zebra-sakura-short-almond-press-on-nails","Wild Blossom: ""Zebra Sakura"" – Short Almond Press-On Nails")</x:f>
        <x:v>HYPERLINK is not implemented. linkLocation=https://365nails.com/products/wild-blossom-zebra-sakura-short-almond-press-on-nails, friendlyName=Wild Blossom: "Zebra Sakura" – Short Almond Press-On Nails</x:v>
      </x:c>
      <x:c r="D3226" s="18" t="str">
        <x:v>Color: D258; Color classification: X s / S / M / L</x:v>
      </x:c>
      <x:c r="E3226" s="25" t="str">
        <x:v>$3.99</x:v>
      </x:c>
      <x:c r="F3226" s="19" t="str">
        <x:v>1</x:v>
      </x:c>
    </x:row>
    <x:row r="3227" ht="93" customHeight="1">
      <x:c r="A3227" s="19" t="n">
        <x:v>3224</x:v>
      </x:c>
      <x:c r="B3227" s="22" t="e">
        <x:f>HYPERLINK("https://cdn.shopify.com/s/files/1/0918/6066/4603/files/O1CN01Zgf0id27ZUkeAMUNf__2220024697811-0-cib.jpg?v=1774863951","Open")</x:f>
        <x:v>HYPERLINK is not implemented. linkLocation=https://cdn.shopify.com/s/files/1/0918/6066/4603/files/O1CN01Zgf0id27ZUkeAMUNf__2220024697811-0-cib.jpg?v=1774863951, friendlyName=Open</x:v>
      </x:c>
      <x:c r="C3227" s="24" t="e">
        <x:f>HYPERLINK("https://365nails.com/products/365nails-pearlescent-whisper-3d-shell-crystal-handmade-almond-nails","365nails: ""Pearlescent Whisper"" – 3D Shell &amp; Crystal Handmade Almond Nails")</x:f>
        <x:v>HYPERLINK is not implemented. linkLocation=https://365nails.com/products/365nails-pearlescent-whisper-3d-shell-crystal-handmade-almond-nails, friendlyName=365nails: "Pearlescent Whisper" – 3D Shell &amp; Crystal Handmade Almond Nails</x:v>
      </x:c>
      <x:c r="D3227" s="18" t="str">
        <x:v>Color: Almond; Color classification: Xs / S / M / L</x:v>
      </x:c>
      <x:c r="E3227" s="25" t="str">
        <x:v>$3.99</x:v>
      </x:c>
      <x:c r="F3227" s="19" t="str">
        <x:v>3</x:v>
      </x:c>
    </x:row>
    <x:row r="3228" ht="93" customHeight="1">
      <x:c r="A3228" s="19" t="n">
        <x:v>3225</x:v>
      </x:c>
      <x:c r="B3228" s="22" t="e">
        <x:f>HYPERLINK("https://cdn.shopify.com/s/files/1/0918/6066/4603/files/O1CN01oinVcD27ZUmLDJAka__2220024697811-0-cib.jpg?v=1774866050","Open")</x:f>
        <x:v>HYPERLINK is not implemented. linkLocation=https://cdn.shopify.com/s/files/1/0918/6066/4603/files/O1CN01oinVcD27ZUmLDJAka__2220024697811-0-cib.jpg?v=1774866050, friendlyName=Open</x:v>
      </x:c>
      <x:c r="C3228" s="24" t="e">
        <x:f>HYPERLINK("https://365nails.com/products/365nails-crystal-night-3d-abstract-marble-handmade-stiletto-nails","365nails: ""Crystal Night"" – 3D Abstract Marble Handmade Stiletto Nails")</x:f>
        <x:v>HYPERLINK is not implemented. linkLocation=https://365nails.com/products/365nails-crystal-night-3d-abstract-marble-handmade-stiletto-nails, friendlyName=365nails: "Crystal Night" – 3D Abstract Marble Handmade Stiletto Nails</x:v>
      </x:c>
      <x:c r="D3228" s="18" t="str">
        <x:v>Color: Right angle t; Color classification: Xs / S / M / L</x:v>
      </x:c>
      <x:c r="E3228" s="25" t="str">
        <x:v>$4.49</x:v>
      </x:c>
      <x:c r="F3228" s="19" t="str">
        <x:v>3</x:v>
      </x:c>
    </x:row>
    <x:row r="3229" ht="93" customHeight="1">
      <x:c r="A3229" s="19" t="n">
        <x:v>3226</x:v>
      </x:c>
      <x:c r="B3229" s="22" t="e">
        <x:f>HYPERLINK("https://cdn.shopify.com/s/files/1/0918/6066/4603/files/7f8e2c8ee450fcffa5b9b16bf3ee09a2.jpg?v=1772896261","Open")</x:f>
        <x:v>HYPERLINK is not implemented. linkLocation=https://cdn.shopify.com/s/files/1/0918/6066/4603/files/7f8e2c8ee450fcffa5b9b16bf3ee09a2.jpg?v=1772896261, friendlyName=Open</x:v>
      </x:c>
      <x:c r="C3229" s="24" t="e">
        <x:f>HYPERLINK("https://365nails.com/products/seamless-collection-crystal-clear-invisible-multi-shape-press-on-nail-tips","Seamless Collection: ""Crystal Clear"" – Invisible Multi-Shape Press-On Nail Tips")</x:f>
        <x:v>HYPERLINK is not implemented. linkLocation=https://365nails.com/products/seamless-collection-crystal-clear-invisible-multi-shape-press-on-nail-tips, friendlyName=Seamless Collection: "Crystal Clear" – Invisible Multi-Shape Press-On Nail Tips</x:v>
      </x:c>
      <x:c r="D3229" s="18" t="str">
        <x:v>Color: Traceless-long water drops-504 pieces in box / Traceless-short ladder-504 pieces in box / Traceless-almond-504 tablets box / 122-short ladder-120 pieces in box / 127-almond-120 pieces in box</x:v>
      </x:c>
      <x:c r="E3229" s="25" t="str">
        <x:v>$0.78–$2.12</x:v>
      </x:c>
      <x:c r="F3229" s="19" t="str">
        <x:v>3</x:v>
      </x:c>
    </x:row>
    <x:row r="3230" ht="93" customHeight="1">
      <x:c r="A3230" s="19" t="n">
        <x:v>3227</x:v>
      </x:c>
      <x:c r="B3230" s="22" t="e">
        <x:f>HYPERLINK("https://cdn.shopify.com/s/files/1/0918/6066/4603/files/O1CN01cpbd9i2MQzfyJLcYn__2219089449823-0-cib.jpg?v=1774275871","Open")</x:f>
        <x:v>HYPERLINK is not implemented. linkLocation=https://cdn.shopify.com/s/files/1/0918/6066/4603/files/O1CN01cpbd9i2MQzfyJLcYn__2219089449823-0-cib.jpg?v=1774275871, friendlyName=Open</x:v>
      </x:c>
      <x:c r="C3230" s="24" t="e">
        <x:f>HYPERLINK("https://365nails.com/products/ocean-tear-deep-sea-gem-long-almond-press-on-nails","Ocean Tear: ""Deep Sea Gem"" – Long Almond Press-On Nails")</x:f>
        <x:v>HYPERLINK is not implemented. linkLocation=https://365nails.com/products/ocean-tear-deep-sea-gem-long-almond-press-on-nails, friendlyName=Ocean Tear: "Deep Sea Gem" – Long Almond Press-On Nails</x:v>
      </x:c>
      <x:c r="D3230" s="18" t="str">
        <x:v>Color: D263; Color classification: X s / S / M / L</x:v>
      </x:c>
      <x:c r="E3230" s="25" t="str">
        <x:v>$3.99</x:v>
      </x:c>
      <x:c r="F3230" s="19" t="str">
        <x:v>1</x:v>
      </x:c>
    </x:row>
    <x:row r="3231" ht="93" customHeight="1">
      <x:c r="A3231" s="19" t="n">
        <x:v>3228</x:v>
      </x:c>
      <x:c r="B3231" s="22" t="e">
        <x:f>HYPERLINK("https://cdn.shopify.com/s/files/1/0918/6066/4603/files/O1CN0103j9YC27ZUmE8zJmH__2220024697811-0-cib.jpg?v=1775039496","Open")</x:f>
        <x:v>HYPERLINK is not implemented. linkLocation=https://cdn.shopify.com/s/files/1/0918/6066/4603/files/O1CN0103j9YC27ZUmE8zJmH__2220024697811-0-cib.jpg?v=1775039496, friendlyName=Open</x:v>
      </x:c>
      <x:c r="C3231" s="24" t="e">
        <x:f>HYPERLINK("https://365nails.com/products/365nails-crystal-whisper-3d-chrome-gradient-handmade-stiletto-nails","365nails: ""Crystal Whisper"" – 3D Chrome &amp; Gradient Handmade Stiletto Nails")</x:f>
        <x:v>HYPERLINK is not implemented. linkLocation=https://365nails.com/products/365nails-crystal-whisper-3d-chrome-gradient-handmade-stiletto-nails, friendlyName=365nails: "Crystal Whisper" – 3D Chrome &amp; Gradient Handmade Stiletto Nails</x:v>
      </x:c>
      <x:c r="D3231" s="18" t="str">
        <x:v>Color: Long tip; Color classification: Xs / S / M / L</x:v>
      </x:c>
      <x:c r="E3231" s="25" t="str">
        <x:v>$4.49</x:v>
      </x:c>
      <x:c r="F3231" s="19" t="str">
        <x:v>3</x:v>
      </x:c>
    </x:row>
    <x:row r="3232" ht="93" customHeight="1">
      <x:c r="A3232" s="19" t="n">
        <x:v>3229</x:v>
      </x:c>
      <x:c r="B3232" s="22" t="e">
        <x:f>HYPERLINK("https://cdn.shopify.com/s/files/1/0918/6066/4603/files/231b0172641815fa43dce15fe61285b7.jpg?v=1772976706","Open")</x:f>
        <x:v>HYPERLINK is not implemented. linkLocation=https://cdn.shopify.com/s/files/1/0918/6066/4603/files/231b0172641815fa43dce15fe61285b7.jpg?v=1772976706, friendlyName=Open</x:v>
      </x:c>
      <x:c r="C3232" s="24" t="e">
        <x:f>HYPERLINK("https://365nails.com/products/drama-collection-denim-assortment-multi-size-extended-denim-nail-tips","Drama Collection: ""Denim Assortment"" – Multi-Size Extended Denim Nail Tips")</x:f>
        <x:v>HYPERLINK is not implemented. linkLocation=https://365nails.com/products/drama-collection-denim-assortment-multi-size-extended-denim-nail-tips, friendlyName=Drama Collection: "Denim Assortment" – Multi-Size Extended Denim Nail Tips</x:v>
      </x:c>
      <x:c r="D3232" s="18" t="str">
        <x:v>Color: 27-l-no c-500 tablets / 166-xl-no c-550 tablets / 132-xl-no c-500 tablets / 164-xxl-no c-500 tablets / 115-xxxl-no c-504 pieces in bag-420 pieces in box / 159-xxl-c arc - 504 pieces/bag - 480 pieces/box / 167-xl-c arc-504 pieces; Color classification: Transparent color bag / Transparent color box / Natural color bag / Natural color box</x:v>
      </x:c>
      <x:c r="E3232" s="25" t="str">
        <x:v>$1.46–$3.14</x:v>
      </x:c>
      <x:c r="F3232" s="19" t="str">
        <x:v>3</x:v>
      </x:c>
    </x:row>
    <x:row r="3233" ht="93" customHeight="1">
      <x:c r="A3233" s="19" t="n">
        <x:v>3230</x:v>
      </x:c>
      <x:c r="B3233" s="22" t="e">
        <x:f>HYPERLINK("https://cdn.shopify.com/s/files/1/0918/6066/4603/files/O1CN01H9GI7F27ZUkmkVg6S__2220024697811-0-cib.jpg?v=1774945641","Open")</x:f>
        <x:v>HYPERLINK is not implemented. linkLocation=https://cdn.shopify.com/s/files/1/0918/6066/4603/files/O1CN01H9GI7F27ZUkmkVg6S__2220024697811-0-cib.jpg?v=1774945641, friendlyName=Open</x:v>
      </x:c>
      <x:c r="C3233" s="24" t="e">
        <x:f>HYPERLINK("https://365nails.com/products/365nails-tropical-fusion-3d-floral-handmade-coffin-nails","365nails: ""Tropical Fusion"" – 3D Floral Handmade Coffin Nails")</x:f>
        <x:v>HYPERLINK is not implemented. linkLocation=https://365nails.com/products/365nails-tropical-fusion-3d-floral-handmade-coffin-nails, friendlyName=365nails: "Tropical Fusion" – 3D Floral Handmade Coffin Nails</x:v>
      </x:c>
      <x:c r="D3233" s="18" t="str">
        <x:v>Color: Medium t; Color classification: Xs / S / M / L</x:v>
      </x:c>
      <x:c r="E3233" s="25" t="str">
        <x:v>$7.49</x:v>
      </x:c>
      <x:c r="F3233" s="19" t="str">
        <x:v>3</x:v>
      </x:c>
    </x:row>
    <x:row r="3234" ht="93" customHeight="1">
      <x:c r="A3234" s="19" t="n">
        <x:v>3231</x:v>
      </x:c>
      <x:c r="B3234" s="22" t="e">
        <x:f>HYPERLINK("https://cdn.shopify.com/s/files/1/0918/6066/4603/files/O1CN0147Pdc11CPwLTPt7Bn__2213196780074-0-cib_96b700a4-b6be-4a23-800f-072bed087215.jpg?v=1774680855","Open")</x:f>
        <x:v>HYPERLINK is not implemented. linkLocation=https://cdn.shopify.com/s/files/1/0918/6066/4603/files/O1CN0147Pdc11CPwLTPt7Bn__2213196780074-0-cib_96b700a4-b6be-4a23-800f-072bed087215.jpg?v=1774680855, friendlyName=Open</x:v>
      </x:c>
      <x:c r="C3234" s="24" t="e">
        <x:f>HYPERLINK("https://365nails.com/products/365nails-vibrant-radiance-3d-crystal-pearl-handmade-stiletto-nails","365nails: ""Vibrant Radiance"" – 3D Crystal &amp; Pearl Handmade Stiletto Nails")</x:f>
        <x:v>HYPERLINK is not implemented. linkLocation=https://365nails.com/products/365nails-vibrant-radiance-3d-crystal-pearl-handmade-stiletto-nails, friendlyName=365nails: "Vibrant Radiance" – 3D Crystal &amp; Pearl Handmade Stiletto Nails</x:v>
      </x:c>
      <x:c r="D3234" s="18" t="str">
        <x:v>Color: 2026-long water drop; Color classification: Extra small size xs / Small s / Medium m / Large l</x:v>
      </x:c>
      <x:c r="E3234" s="25" t="str">
        <x:v>$3.49</x:v>
      </x:c>
      <x:c r="F3234" s="19" t="str">
        <x:v>1</x:v>
      </x:c>
    </x:row>
    <x:row r="3235" ht="93" customHeight="1">
      <x:c r="A3235" s="19" t="n">
        <x:v>3232</x:v>
      </x:c>
      <x:c r="B3235" s="22" t="e">
        <x:f>HYPERLINK("https://cdn.shopify.com/s/files/1/0918/6066/4603/files/O1CN01uwK4TG2MQzfzfXh5q__2219089449823-0-cib.jpg?v=1774275892","Open")</x:f>
        <x:v>HYPERLINK is not implemented. linkLocation=https://cdn.shopify.com/s/files/1/0918/6066/4603/files/O1CN01uwK4TG2MQzfzfXh5q__2219089449823-0-cib.jpg?v=1774275892, friendlyName=Open</x:v>
      </x:c>
      <x:c r="C3235" s="24" t="e">
        <x:f>HYPERLINK("https://365nails.com/products/gothic-thorn-dark-thorn-long-stiletto-press-on-nails","Gothic Thorn: ""Dark Thorn"" – Long Stiletto Press-On Nails")</x:f>
        <x:v>HYPERLINK is not implemented. linkLocation=https://365nails.com/products/gothic-thorn-dark-thorn-long-stiletto-press-on-nails, friendlyName=Gothic Thorn: "Dark Thorn" – Long Stiletto Press-On Nails</x:v>
      </x:c>
      <x:c r="D3235" s="18" t="str">
        <x:v>Color: L012; Color classification: S / M / L</x:v>
      </x:c>
      <x:c r="E3235" s="25" t="str">
        <x:v>$4.99</x:v>
      </x:c>
      <x:c r="F3235" s="19" t="str">
        <x:v>1</x:v>
      </x:c>
    </x:row>
    <x:row r="3236" ht="93" customHeight="1">
      <x:c r="A3236" s="19" t="n">
        <x:v>3233</x:v>
      </x:c>
      <x:c r="B3236" s="22" t="e">
        <x:f>HYPERLINK("https://cdn.shopify.com/s/files/1/0918/6066/4603/files/O1CN01HE2WIE27ZUkfHB5dZ__2220024697811-0-cib.jpg?v=1774943917","Open")</x:f>
        <x:v>HYPERLINK is not implemented. linkLocation=https://cdn.shopify.com/s/files/1/0918/6066/4603/files/O1CN01HE2WIE27ZUkfHB5dZ__2220024697811-0-cib.jpg?v=1774943917, friendlyName=Open</x:v>
      </x:c>
      <x:c r="C3236" s="24" t="e">
        <x:f>HYPERLINK("https://365nails.com/products/365nails-lilac-bloom-3d-floral-handmade-almond-nails","365nails: ""Lilac Bloom"" – 3D Floral Handmade Almond Nails")</x:f>
        <x:v>HYPERLINK is not implemented. linkLocation=https://365nails.com/products/365nails-lilac-bloom-3d-floral-handmade-almond-nails, friendlyName=365nails: "Lilac Bloom" – 3D Floral Handmade Almond Nails</x:v>
      </x:c>
      <x:c r="D3236" s="18" t="str">
        <x:v>Color: Almond; Color classification: Xs / S / M / L</x:v>
      </x:c>
      <x:c r="E3236" s="25" t="str">
        <x:v>$4.49</x:v>
      </x:c>
      <x:c r="F3236" s="19" t="str">
        <x:v>3</x:v>
      </x:c>
    </x:row>
    <x:row r="3237" ht="93" customHeight="1">
      <x:c r="A3237" s="19" t="n">
        <x:v>3234</x:v>
      </x:c>
      <x:c r="B3237" s="22" t="e">
        <x:f>HYPERLINK("https://cdn.shopify.com/s/files/1/0918/6066/4603/files/O1CN017JvrBY27ZUkDbNWpQ__2220024697811-0-cib.jpg?v=1775004813","Open")</x:f>
        <x:v>HYPERLINK is not implemented. linkLocation=https://cdn.shopify.com/s/files/1/0918/6066/4603/files/O1CN017JvrBY27ZUkDbNWpQ__2220024697811-0-cib.jpg?v=1775004813, friendlyName=Open</x:v>
      </x:c>
      <x:c r="C3237" s="24" t="e">
        <x:f>HYPERLINK("https://365nails.com/products/365nails-sunset-bloom-3d-floral-handmade-almond-nails","365nails: ""Sunset Bloom"" – 3D Floral Handmade Almond Nails")</x:f>
        <x:v>HYPERLINK is not implemented. linkLocation=https://365nails.com/products/365nails-sunset-bloom-3d-floral-handmade-almond-nails, friendlyName=365nails: "Sunset Bloom" – 3D Floral Handmade Almond Nails</x:v>
      </x:c>
      <x:c r="D3237" s="18" t="str">
        <x:v>Color: Almond; Color classification: Xs / S / M / L</x:v>
      </x:c>
      <x:c r="E3237" s="25" t="str">
        <x:v>$4.49</x:v>
      </x:c>
      <x:c r="F3237" s="19" t="str">
        <x:v>3</x:v>
      </x:c>
    </x:row>
    <x:row r="3238" ht="93" customHeight="1">
      <x:c r="A3238" s="19" t="n">
        <x:v>3235</x:v>
      </x:c>
      <x:c r="B3238" s="22" t="e">
        <x:f>HYPERLINK("https://cdn.shopify.com/s/files/1/0918/6066/4603/files/O1CN01PHwqCX2MQzdXMv9TY__2219089449823-0-cib.jpg?v=1774349042","Open")</x:f>
        <x:v>HYPERLINK is not implemented. linkLocation=https://cdn.shopify.com/s/files/1/0918/6066/4603/files/O1CN01PHwqCX2MQzdXMv9TY__2219089449823-0-cib.jpg?v=1774349042, friendlyName=Open</x:v>
      </x:c>
      <x:c r="C3238" s="24" t="e">
        <x:f>HYPERLINK("https://365nails.com/products/365nails-ocean-treasure-cove-medium-almond-blue-gradient-marine-handmade-press-on-nails","365nails: ""Ocean Treasure Cove"" – Medium Almond Blue Gradient Marine Handmade Press-On Nails")</x:f>
        <x:v>HYPERLINK is not implemented. linkLocation=https://365nails.com/products/365nails-ocean-treasure-cove-medium-almond-blue-gradient-marine-handmade-press-on-nails, friendlyName=365nails: "Ocean Treasure Cove" – Medium Almond Blue Gradient Marine Handmade Press-On Nails</x:v>
      </x:c>
      <x:c r="D3238" s="18" t="str">
        <x:v>Color: D484; Color classification: X s / S / M / L</x:v>
      </x:c>
      <x:c r="E3238" s="25" t="str">
        <x:v>$3.49</x:v>
      </x:c>
      <x:c r="F3238" s="19" t="str">
        <x:v>1</x:v>
      </x:c>
    </x:row>
    <x:row r="3239" ht="93" customHeight="1">
      <x:c r="A3239" s="19" t="n">
        <x:v>3236</x:v>
      </x:c>
      <x:c r="B3239" s="22" t="e">
        <x:f>HYPERLINK("https://cdn.shopify.com/s/files/1/0918/6066/4603/files/O1CN01wdLXfs2MQzciDiI3p__2219089449823-0-cib.jpg?v=1774065951","Open")</x:f>
        <x:v>HYPERLINK is not implemented. linkLocation=https://cdn.shopify.com/s/files/1/0918/6066/4603/files/O1CN01wdLXfs2MQzciDiI3p__2219089449823-0-cib.jpg?v=1774065951, friendlyName=Open</x:v>
      </x:c>
      <x:c r="C3239" s="24" t="e">
        <x:f>HYPERLINK("https://365nails.com/products/tropical-bloom-southeast-asian-floral-medium-almond-handmade-nails","365nails-Tropical Bloom: ""Southeast Asian Floral"" – Medium Almond Handmade Nails")</x:f>
        <x:v>HYPERLINK is not implemented. linkLocation=https://365nails.com/products/tropical-bloom-southeast-asian-floral-medium-almond-handmade-nails, friendlyName=365nails-Tropical Bloom: "Southeast Asian Floral" – Medium Almond Handmade Nails</x:v>
      </x:c>
      <x:c r="D3239" s="18" t="str">
        <x:v>Color: D356; Color classification: X s / S / M / L</x:v>
      </x:c>
      <x:c r="E3239" s="25" t="str">
        <x:v>$3.99</x:v>
      </x:c>
      <x:c r="F3239" s="19" t="str">
        <x:v>1</x:v>
      </x:c>
    </x:row>
    <x:row r="3240" ht="93" customHeight="1">
      <x:c r="A3240" s="19" t="n">
        <x:v>3237</x:v>
      </x:c>
      <x:c r="B3240" s="22" t="e">
        <x:f>HYPERLINK("https://cdn.shopify.com/s/files/1/0918/6066/4603/files/O1CN01OLBMMi27ZUkKlYqca__2220024697811-0-cib.jpg?v=1774960606","Open")</x:f>
        <x:v>HYPERLINK is not implemented. linkLocation=https://cdn.shopify.com/s/files/1/0918/6066/4603/files/O1CN01OLBMMi27ZUkKlYqca__2220024697811-0-cib.jpg?v=1774960606, friendlyName=Open</x:v>
      </x:c>
      <x:c r="C3240" s="24" t="e">
        <x:f>HYPERLINK("https://365nails.com/products/365nails-ocean-breeze-3d-seashell-handmade-stiletto-nails","365nails: ""Ocean Breeze"" – 3D Seashell Handmade Stiletto Nails")</x:f>
        <x:v>HYPERLINK is not implemented. linkLocation=https://365nails.com/products/365nails-ocean-breeze-3d-seashell-handmade-stiletto-nails, friendlyName=365nails: "Ocean Breeze" – 3D Seashell Handmade Stiletto Nails</x:v>
      </x:c>
      <x:c r="D3240" s="18" t="str">
        <x:v>Color: Almond; Color classification: Xs / S / M / L</x:v>
      </x:c>
      <x:c r="E3240" s="25" t="str">
        <x:v>$4.99</x:v>
      </x:c>
      <x:c r="F3240" s="19" t="str">
        <x:v>3</x:v>
      </x:c>
    </x:row>
    <x:row r="3241" ht="93" customHeight="1">
      <x:c r="A3241" s="19" t="n">
        <x:v>3238</x:v>
      </x:c>
      <x:c r="B3241" s="22" t="e">
        <x:f>HYPERLINK("https://cdn.shopify.com/s/files/1/0918/6066/4603/files/O1CN01SuziIg2MQzgI3mfRW__2219089449823-0-cib.jpg?v=1774349004","Open")</x:f>
        <x:v>HYPERLINK is not implemented. linkLocation=https://cdn.shopify.com/s/files/1/0918/6066/4603/files/O1CN01SuziIg2MQzgI3mfRW__2219089449823-0-cib.jpg?v=1774349004, friendlyName=Open</x:v>
      </x:c>
      <x:c r="C3241" s="24" t="e">
        <x:f>HYPERLINK("https://365nails.com/products/365nails-midnight-rose-glam-extra-long-square-black-pink-metallic-rhinestone-handmade-press-on-nails","365nails: ""Midnight Rose Glam"" – Extra Long Square Black-Pink Metallic Rhinestone Handmade Press-On Nails")</x:f>
        <x:v>HYPERLINK is not implemented. linkLocation=https://365nails.com/products/365nails-midnight-rose-glam-extra-long-square-black-pink-metallic-rhinestone-handmade-press-on-nails, friendlyName=365nails: "Midnight Rose Glam" – Extra Long Square Black-Pink Metallic Rhinestone Handmade Press-On Nails</x:v>
      </x:c>
      <x:c r="D3241" s="18" t="str">
        <x:v>Color: L017; Color classification: S / M / L</x:v>
      </x:c>
      <x:c r="E3241" s="25" t="str">
        <x:v>$4.99</x:v>
      </x:c>
      <x:c r="F3241" s="19" t="str">
        <x:v>1</x:v>
      </x:c>
    </x:row>
    <x:row r="3242" ht="93" customHeight="1">
      <x:c r="A3242" s="19" t="n">
        <x:v>3239</x:v>
      </x:c>
      <x:c r="B3242" s="22" t="e">
        <x:f>HYPERLINK("https://cdn.shopify.com/s/files/1/0918/6066/4603/files/O1CN01PAi4VR2MQzgDWcMRg__2219089449823-0-cib.jpg?v=1774348992","Open")</x:f>
        <x:v>HYPERLINK is not implemented. linkLocation=https://cdn.shopify.com/s/files/1/0918/6066/4603/files/O1CN01PAi4VR2MQzgDWcMRg__2219089449823-0-cib.jpg?v=1774348992, friendlyName=Open</x:v>
      </x:c>
      <x:c r="C3242" s="24" t="e">
        <x:f>HYPERLINK("https://365nails.com/products/365nails-golden-sakura-bow-short-square-nude-french-3d-flower-handmade-press-on-nails","365nails: ""Golden Sakura Bow"" – Short Square Nude French 3D Flower Handmade Press-On Nails")</x:f>
        <x:v>HYPERLINK is not implemented. linkLocation=https://365nails.com/products/365nails-golden-sakura-bow-short-square-nude-french-3d-flower-handmade-press-on-nails, friendlyName=365nails: "Golden Sakura Bow" – Short Square Nude French 3D Flower Handmade Press-On Nails</x:v>
      </x:c>
      <x:c r="D3242" s="18" t="str">
        <x:v>Color: L 300; Color classification: X s / S / M / L</x:v>
      </x:c>
      <x:c r="E3242" s="25" t="str">
        <x:v>$4.99</x:v>
      </x:c>
      <x:c r="F3242" s="19" t="str">
        <x:v>1</x:v>
      </x:c>
    </x:row>
    <x:row r="3243" ht="93" customHeight="1">
      <x:c r="A3243" s="19" t="n">
        <x:v>3240</x:v>
      </x:c>
      <x:c r="B3243" s="22" t="e">
        <x:f>HYPERLINK("https://cdn.shopify.com/s/files/1/0918/6066/4603/files/O1CN015gK0DT27ZUmGf5chw__2220024697811-0-cib.jpg?v=1775039549","Open")</x:f>
        <x:v>HYPERLINK is not implemented. linkLocation=https://cdn.shopify.com/s/files/1/0918/6066/4603/files/O1CN015gK0DT27ZUmGf5chw__2220024697811-0-cib.jpg?v=1775039549, friendlyName=Open</x:v>
      </x:c>
      <x:c r="C3243" s="24" t="e">
        <x:f>HYPERLINK("https://365nails.com/products/365nails-candy-bloom-3d-floral-jelly-handmade-square-nails","365nails: ""Candy Bloom"" – 3D Floral &amp; Jelly Handmade Square Nails")</x:f>
        <x:v>HYPERLINK is not implemented. linkLocation=https://365nails.com/products/365nails-candy-bloom-3d-floral-jelly-handmade-square-nails, friendlyName=365nails: "Candy Bloom" – 3D Floral &amp; Jelly Handmade Square Nails</x:v>
      </x:c>
      <x:c r="D3243" s="18" t="str">
        <x:v>Color: Right angle t; Color classification: Xs / S / M / L</x:v>
      </x:c>
      <x:c r="E3243" s="25" t="str">
        <x:v>$4.49</x:v>
      </x:c>
      <x:c r="F3243" s="19" t="str">
        <x:v>3</x:v>
      </x:c>
    </x:row>
    <x:row r="3244" ht="93" customHeight="1">
      <x:c r="A3244" s="19" t="n">
        <x:v>3241</x:v>
      </x:c>
      <x:c r="B3244" s="22" t="e">
        <x:f>HYPERLINK("https://cdn.shopify.com/s/files/1/0918/6066/4603/files/O1CN01YtXnIM27ZUlKCbf5h__2220024697811-0-cib.jpg?v=1775037235","Open")</x:f>
        <x:v>HYPERLINK is not implemented. linkLocation=https://cdn.shopify.com/s/files/1/0918/6066/4603/files/O1CN01YtXnIM27ZUlKCbf5h__2220024697811-0-cib.jpg?v=1775037235, friendlyName=Open</x:v>
      </x:c>
      <x:c r="C3244" s="24" t="e">
        <x:f>HYPERLINK("https://365nails.com/products/365nails-dark-script-abstract-ink-line-art-handmade-almond-nails","365nails: ""Dark Script"" – Abstract Ink Line Art Handmade Almond Nails")</x:f>
        <x:v>HYPERLINK is not implemented. linkLocation=https://365nails.com/products/365nails-dark-script-abstract-ink-line-art-handmade-almond-nails, friendlyName=365nails: "Dark Script" – Abstract Ink Line Art Handmade Almond Nails</x:v>
      </x:c>
      <x:c r="D3244" s="18" t="str">
        <x:v>Color: Straight t; Color classification: Xs / S / M / L</x:v>
      </x:c>
      <x:c r="E3244" s="25" t="str">
        <x:v>$4.99</x:v>
      </x:c>
      <x:c r="F3244" s="19" t="str">
        <x:v>3</x:v>
      </x:c>
    </x:row>
    <x:row r="3245" ht="93" customHeight="1">
      <x:c r="A3245" s="19" t="n">
        <x:v>3242</x:v>
      </x:c>
      <x:c r="B3245" s="22" t="e">
        <x:f>HYPERLINK("https://cdn.shopify.com/s/files/1/0918/6066/4603/files/O1CN01r7MX0Z27ZUkupI5oS__2220024697811-0-cib.jpg?v=1774960660","Open")</x:f>
        <x:v>HYPERLINK is not implemented. linkLocation=https://cdn.shopify.com/s/files/1/0918/6066/4603/files/O1CN01r7MX0Z27ZUkupI5oS__2220024697811-0-cib.jpg?v=1774960660, friendlyName=Open</x:v>
      </x:c>
      <x:c r="C3245" s="24" t="e">
        <x:f>HYPERLINK("https://365nails.com/products/365nails-tropical-bloom-3d-floral-handmade-almond-nails-6","365nails: ""Tropical Bloom"" – 3D Floral Handmade Almond Nails")</x:f>
        <x:v>HYPERLINK is not implemented. linkLocation=https://365nails.com/products/365nails-tropical-bloom-3d-floral-handmade-almond-nails-6, friendlyName=365nails: "Tropical Bloom" – 3D Floral Handmade Almond Nails</x:v>
      </x:c>
      <x:c r="D3245" s="18" t="str">
        <x:v>Color: Almond; Color classification: Xs / S / M / L</x:v>
      </x:c>
      <x:c r="E3245" s="25" t="str">
        <x:v>$4.49</x:v>
      </x:c>
      <x:c r="F3245" s="19" t="str">
        <x:v>3</x:v>
      </x:c>
    </x:row>
    <x:row r="3246" ht="93" customHeight="1">
      <x:c r="A3246" s="19" t="n">
        <x:v>3243</x:v>
      </x:c>
      <x:c r="B3246" s="22" t="e">
        <x:f>HYPERLINK("https://cdn.shopify.com/s/files/1/0918/6066/4603/files/O1CN01g9HdCK27ZUm5gXtzi__2220024697811-0-cib.jpg?v=1774959278","Open")</x:f>
        <x:v>HYPERLINK is not implemented. linkLocation=https://cdn.shopify.com/s/files/1/0918/6066/4603/files/O1CN01g9HdCK27ZUm5gXtzi__2220024697811-0-cib.jpg?v=1774959278, friendlyName=Open</x:v>
      </x:c>
      <x:c r="C3246" s="24" t="e">
        <x:f>HYPERLINK("https://365nails.com/products/365nails-blooming-whisper-3d-floral-handmade-almond-nails","365nails: ""Blooming Whisper"" – 3D Floral Handmade Almond Nails")</x:f>
        <x:v>HYPERLINK is not implemented. linkLocation=https://365nails.com/products/365nails-blooming-whisper-3d-floral-handmade-almond-nails, friendlyName=365nails: "Blooming Whisper" – 3D Floral Handmade Almond Nails</x:v>
      </x:c>
      <x:c r="D3246" s="18" t="str">
        <x:v>Color: Almond; Color classification: Xs / S / M / L</x:v>
      </x:c>
      <x:c r="E3246" s="25" t="str">
        <x:v>$4.49</x:v>
      </x:c>
      <x:c r="F3246" s="19" t="str">
        <x:v>3</x:v>
      </x:c>
    </x:row>
    <x:row r="3247" ht="93" customHeight="1">
      <x:c r="A3247" s="19" t="n">
        <x:v>3244</x:v>
      </x:c>
      <x:c r="B3247" s="22" t="e">
        <x:f>HYPERLINK("https://cdn.shopify.com/s/files/1/0918/6066/4603/files/O1CN01BTLJh71CPwLqobiOh__2213196780074-0-cib.jpg?v=1774679051","Open")</x:f>
        <x:v>HYPERLINK is not implemented. linkLocation=https://cdn.shopify.com/s/files/1/0918/6066/4603/files/O1CN01BTLJh71CPwLqobiOh__2213196780074-0-cib.jpg?v=1774679051, friendlyName=Open</x:v>
      </x:c>
      <x:c r="C3247" s="24" t="e">
        <x:f>HYPERLINK("https://365nails.com/products/365nails-whisper-of-spring-handmade-square-gradient-floral-nails","365nails: ""Whisper of Spring"" – Handmade Square Gradient Floral Nails")</x:f>
        <x:v>HYPERLINK is not implemented. linkLocation=https://365nails.com/products/365nails-whisper-of-spring-handmade-square-gradient-floral-nails, friendlyName=365nails: "Whisper of Spring" – Handmade Square Gradient Floral Nails</x:v>
      </x:c>
      <x:c r="D3247" s="18" t="str">
        <x:v>Color: 1451 - medium oval; Color classification: Xs / S / M / L</x:v>
      </x:c>
      <x:c r="E3247" s="25" t="str">
        <x:v>$3.49</x:v>
      </x:c>
      <x:c r="F3247" s="19" t="str">
        <x:v>1</x:v>
      </x:c>
    </x:row>
    <x:row r="3248" ht="93" customHeight="1">
      <x:c r="A3248" s="19" t="n">
        <x:v>3245</x:v>
      </x:c>
      <x:c r="B3248" s="22" t="e">
        <x:f>HYPERLINK("https://cdn.shopify.com/s/files/1/0918/6066/4603/files/O1CN01fbuBXu27ZUle2R1eK__2220024697811-0-cib.jpg?v=1775038393","Open")</x:f>
        <x:v>HYPERLINK is not implemented. linkLocation=https://cdn.shopify.com/s/files/1/0918/6066/4603/files/O1CN01fbuBXu27ZUle2R1eK__2220024697811-0-cib.jpg?v=1775038393, friendlyName=Open</x:v>
      </x:c>
      <x:c r="C3248" s="24" t="e">
        <x:f>HYPERLINK("https://365nails.com/products/365nails-sunset-bloom-3d-floral-gradient-handmade-almond-nails","365nails: ""Sunset Bloom"" – 3D Floral &amp; Gradient Handmade Almond Nails")</x:f>
        <x:v>HYPERLINK is not implemented. linkLocation=https://365nails.com/products/365nails-sunset-bloom-3d-floral-gradient-handmade-almond-nails, friendlyName=365nails: "Sunset Bloom" – 3D Floral &amp; Gradient Handmade Almond Nails</x:v>
      </x:c>
      <x:c r="D3248" s="18" t="str">
        <x:v>Color: Almond; Color classification: Xs / S / M / L</x:v>
      </x:c>
      <x:c r="E3248" s="25" t="str">
        <x:v>$4.49</x:v>
      </x:c>
      <x:c r="F3248" s="19" t="str">
        <x:v>3</x:v>
      </x:c>
    </x:row>
    <x:row r="3249" ht="93" customHeight="1">
      <x:c r="A3249" s="19" t="n">
        <x:v>3246</x:v>
      </x:c>
      <x:c r="B3249" s="22" t="e">
        <x:f>HYPERLINK("https://cdn.shopify.com/s/files/1/0918/6066/4603/files/O1CN01gj6FHi2MQzd2aMQJW__2219089449823-0-cib.jpg?v=1774066122","Open")</x:f>
        <x:v>HYPERLINK is not implemented. linkLocation=https://cdn.shopify.com/s/files/1/0918/6066/4603/files/O1CN01gj6FHi2MQzd2aMQJW__2219089449823-0-cib.jpg?v=1774066122, friendlyName=Open</x:v>
      </x:c>
      <x:c r="C3249" s="24" t="e">
        <x:f>HYPERLINK("https://365nails.com/products/sweet-duck-nail-blush-leopard-long-almond-handmade-nails","365nails-Sweet Duck Nail: ""Blush &amp; Leopard"" – Long Almond Handmade Nails")</x:f>
        <x:v>HYPERLINK is not implemented. linkLocation=https://365nails.com/products/sweet-duck-nail-blush-leopard-long-almond-handmade-nails, friendlyName=365nails-Sweet Duck Nail: "Blush &amp; Leopard" – Long Almond Handmade Nails</x:v>
      </x:c>
      <x:c r="D3249" s="18" t="str">
        <x:v>Color: Electroplated cat eye (randomly sent) / Popular models (video available) / Selected models (video available) / Nail art storage</x:v>
      </x:c>
      <x:c r="E3249" s="25" t="str">
        <x:v>$1.99</x:v>
      </x:c>
      <x:c r="F3249" s="19" t="str">
        <x:v>1</x:v>
      </x:c>
    </x:row>
    <x:row r="3250" ht="93" customHeight="1">
      <x:c r="A3250" s="19" t="n">
        <x:v>3247</x:v>
      </x:c>
      <x:c r="B3250" s="22" t="e">
        <x:f>HYPERLINK("https://cdn.shopify.com/s/files/1/0918/6066/4603/files/O1CN01gjRLyt27ZUlOaSYUQ__2220024697811-0-cib.jpg?v=1774957578","Open")</x:f>
        <x:v>HYPERLINK is not implemented. linkLocation=https://cdn.shopify.com/s/files/1/0918/6066/4603/files/O1CN01gjRLyt27ZUlOaSYUQ__2220024697811-0-cib.jpg?v=1774957578, friendlyName=Open</x:v>
      </x:c>
      <x:c r="C3250" s="24" t="e">
        <x:f>HYPERLINK("https://365nails.com/products/365nails-gamers-glory-3d-themed-handmade-coffin-nails","365nails: ""Gamer's Glory"" – 3D Themed Handmade Coffin Nails")</x:f>
        <x:v>HYPERLINK is not implemented. linkLocation=https://365nails.com/products/365nails-gamers-glory-3d-themed-handmade-coffin-nails, friendlyName=365nails: "Gamer's Glory" – 3D Themed Handmade Coffin Nails</x:v>
      </x:c>
      <x:c r="D3250" s="18" t="str">
        <x:v>Color: Almond; Color classification: Xs / S / M / L</x:v>
      </x:c>
      <x:c r="E3250" s="25" t="str">
        <x:v>$4.49</x:v>
      </x:c>
      <x:c r="F3250" s="19" t="str">
        <x:v>3</x:v>
      </x:c>
    </x:row>
    <x:row r="3251" ht="93" customHeight="1">
      <x:c r="A3251" s="19" t="n">
        <x:v>3248</x:v>
      </x:c>
      <x:c r="B3251" s="22" t="e">
        <x:f>HYPERLINK("https://cdn.shopify.com/s/files/1/0918/6066/4603/files/aefaf5b1f3707498ebc8194ed0e1524a.jpg?v=1779848474","Open")</x:f>
        <x:v>HYPERLINK is not implemented. linkLocation=https://cdn.shopify.com/s/files/1/0918/6066/4603/files/aefaf5b1f3707498ebc8194ed0e1524a.jpg?v=1779848474, friendlyName=Open</x:v>
      </x:c>
      <x:c r="C3251" s="24" t="e">
        <x:f>HYPERLINK("https://365nails.com/products/magenta-ombre-3d-bow-wholesale-ultra-soft-flexible-fit-handmade-nails-moq-100","""Magenta Ombre &amp; 3D Bow"" - Wholesale Ultra-Soft Flexible Fit Handmade Nails (MOQ=100)")</x:f>
        <x:v>HYPERLINK is not implemented. linkLocation=https://365nails.com/products/magenta-ombre-3d-bow-wholesale-ultra-soft-flexible-fit-handmade-nails-moq-100, friendlyName="Magenta Ombre &amp; 3D Bow" - Wholesale Ultra-Soft Flexible Fit Handmade Nails (MOQ=100)</x:v>
      </x:c>
      <x:c r="D3251" s="18" t="str">
        <x:v>Size: XS / S / M / L</x:v>
      </x:c>
      <x:c r="E3251" s="25" t="str">
        <x:v>$1.99</x:v>
      </x:c>
      <x:c r="F3251" s="19" t="str">
        <x:v>100</x:v>
      </x:c>
    </x:row>
    <x:row r="3252" ht="93" customHeight="1">
      <x:c r="A3252" s="19" t="n">
        <x:v>3249</x:v>
      </x:c>
      <x:c r="B3252" s="22" t="e">
        <x:f>HYPERLINK("https://cdn.shopify.com/s/files/1/0918/6066/4603/files/O1CN01I4l9sU2MQzcLd4MZx__2219089449823-0-cib.jpg?v=1774065738","Open")</x:f>
        <x:v>HYPERLINK is not implemented. linkLocation=https://cdn.shopify.com/s/files/1/0918/6066/4603/files/O1CN01I4l9sU2MQzcLd4MZx__2219089449823-0-cib.jpg?v=1774065738, friendlyName=Open</x:v>
      </x:c>
      <x:c r="C3252" s="24" t="e">
        <x:f>HYPERLINK("https://365nails.com/products/whimsical-farm-pastel-playground-short-almond-handmade-nails","365nails-Whimsical Farm: ""Pastel Playground"" – Short Almond Handmade Nails")</x:f>
        <x:v>HYPERLINK is not implemented. linkLocation=https://365nails.com/products/whimsical-farm-pastel-playground-short-almond-handmade-nails, friendlyName=365nails-Whimsical Farm: "Pastel Playground" – Short Almond Handmade Nails</x:v>
      </x:c>
      <x:c r="D3252" s="18" t="str">
        <x:v>Color: D006; Color classification: X s / S / M / L</x:v>
      </x:c>
      <x:c r="E3252" s="25" t="str">
        <x:v>$3.99</x:v>
      </x:c>
      <x:c r="F3252" s="19" t="str">
        <x:v>5</x:v>
      </x:c>
    </x:row>
    <x:row r="3253" ht="93" customHeight="1">
      <x:c r="A3253" s="19" t="n">
        <x:v>3250</x:v>
      </x:c>
      <x:c r="B3253" s="22" t="e">
        <x:f>HYPERLINK("https://cdn.shopify.com/s/files/1/0918/6066/4603/files/O1CN01eexMCM27ZUmJZosjN__2220024697811-0-cib.jpg?v=1774865828","Open")</x:f>
        <x:v>HYPERLINK is not implemented. linkLocation=https://cdn.shopify.com/s/files/1/0918/6066/4603/files/O1CN01eexMCM27ZUmJZosjN__2220024697811-0-cib.jpg?v=1774865828, friendlyName=Open</x:v>
      </x:c>
      <x:c r="C3253" s="24" t="e">
        <x:f>HYPERLINK("https://365nails.com/products/365nails-misty-marble-3d-abstract-art-handmade-almond-nails","365nails: ""Misty Marble"" – 3D Abstract Art Handmade Almond Nails")</x:f>
        <x:v>HYPERLINK is not implemented. linkLocation=https://365nails.com/products/365nails-misty-marble-3d-abstract-art-handmade-almond-nails, friendlyName=365nails: "Misty Marble" – 3D Abstract Art Handmade Almond Nails</x:v>
      </x:c>
      <x:c r="D3253" s="18" t="str">
        <x:v>Color: European; Color classification: S / M / L</x:v>
      </x:c>
      <x:c r="E3253" s="25" t="str">
        <x:v>$4.49</x:v>
      </x:c>
      <x:c r="F3253" s="19" t="str">
        <x:v>3</x:v>
      </x:c>
    </x:row>
    <x:row r="3254" ht="93" customHeight="1">
      <x:c r="A3254" s="19" t="n">
        <x:v>3251</x:v>
      </x:c>
      <x:c r="B3254" s="22" t="e">
        <x:f>HYPERLINK("https://cdn.shopify.com/s/files/1/0918/6066/4603/files/O1CN01PvBWvl2214svpUYOL__2219480337059-0-cib.jpg?v=1773824700","Open")</x:f>
        <x:v>HYPERLINK is not implemented. linkLocation=https://cdn.shopify.com/s/files/1/0918/6066/4603/files/O1CN01PvBWvl2214svpUYOL__2219480337059-0-cib.jpg?v=1773824700, friendlyName=Open</x:v>
      </x:c>
      <x:c r="C3254" s="24" t="e">
        <x:f>HYPERLINK("https://365nails.com/products/pink-glitter-kids-series-sparkle-sweet-heart-short-square-kids-nail-art","365nails-Pink Glitter Kids Series: ""Sparkle Sweet Heart"" – Short Square Kids Nail Art")</x:f>
        <x:v>HYPERLINK is not implemented. linkLocation=https://365nails.com/products/pink-glitter-kids-series-sparkle-sweet-heart-short-square-kids-nail-art, friendlyName=365nails-Pink Glitter Kids Series: "Sparkle Sweet Heart" – Short Square Kids Nail Art</x:v>
      </x:c>
      <x:c r="D3254" s="18" t="str">
        <x:v>Color: Rose red care bear; Color classification: Xs (about 2 years old) / S (3-4 years old) / M (5-7 years old) / L (8-11 years old)</x:v>
      </x:c>
      <x:c r="E3254" s="25" t="str">
        <x:v>$2.99</x:v>
      </x:c>
      <x:c r="F3254" s="19" t="str">
        <x:v>3</x:v>
      </x:c>
    </x:row>
    <x:row r="3255" ht="93" customHeight="1">
      <x:c r="A3255" s="19" t="n">
        <x:v>3252</x:v>
      </x:c>
      <x:c r="B3255" s="22" t="e">
        <x:f>HYPERLINK("https://cdn.shopify.com/s/files/1/0918/6066/4603/files/O1CN01X1MiHv27ZUmRYUGGk__2220024697811-0-cib.jpg?v=1774864495","Open")</x:f>
        <x:v>HYPERLINK is not implemented. linkLocation=https://cdn.shopify.com/s/files/1/0918/6066/4603/files/O1CN01X1MiHv27ZUmRYUGGk__2220024697811-0-cib.jpg?v=1774864495, friendlyName=Open</x:v>
      </x:c>
      <x:c r="C3255" s="24" t="e">
        <x:f>HYPERLINK("https://365nails.com/products/365nails-sunset-mirage-gradient-3d-crystal-handmade-stiletto-nails","365nails: ""Sunset Mirage"" – Gradient &amp; 3D Crystal Handmade Stiletto Nails")</x:f>
        <x:v>HYPERLINK is not implemented. linkLocation=https://365nails.com/products/365nails-sunset-mirage-gradient-3d-crystal-handmade-stiletto-nails, friendlyName=365nails: "Sunset Mirage" – Gradient &amp; 3D Crystal Handmade Stiletto Nails</x:v>
      </x:c>
      <x:c r="D3255" s="18" t="str">
        <x:v>Color: Almond; Color classification: Xs / S / M / L</x:v>
      </x:c>
      <x:c r="E3255" s="25" t="str">
        <x:v>$4.49</x:v>
      </x:c>
      <x:c r="F3255" s="19" t="str">
        <x:v>3</x:v>
      </x:c>
    </x:row>
    <x:row r="3256" ht="93" customHeight="1">
      <x:c r="A3256" s="19" t="n">
        <x:v>3253</x:v>
      </x:c>
      <x:c r="B3256" s="22" t="e">
        <x:f>HYPERLINK("https://cdn.shopify.com/s/files/1/0918/6066/4603/files/7f92fec02afa24701bc46c6c769af23c.jpg?v=1773306867","Open")</x:f>
        <x:v>HYPERLINK is not implemented. linkLocation=https://cdn.shopify.com/s/files/1/0918/6066/4603/files/7f92fec02afa24701bc46c6c769af23c.jpg?v=1773306867, friendlyName=Open</x:v>
      </x:c>
      <x:c r="C3256" s="24" t="e">
        <x:f>HYPERLINK("https://365nails.com/products/365nails-lilac-aurora-bow-handmade-press-on-toenails-pedicure","365nails: ""lilac aurora bow"" – handmade press-on toenails / pedicure")</x:f>
        <x:v>HYPERLINK is not implemented. linkLocation=https://365nails.com/products/365nails-lilac-aurora-bow-handmade-press-on-toenails-pedicure, friendlyName=365nails: "lilac aurora bow" – handmade press-on toenails / pedicure</x:v>
      </x:c>
      <x:c r="D3256" s="18" t="str">
        <x:v>Size: XS / S / M / L</x:v>
      </x:c>
      <x:c r="E3256" s="25" t="str">
        <x:v>$3.99</x:v>
      </x:c>
      <x:c r="F3256" s="19" t="str">
        <x:v>3</x:v>
      </x:c>
    </x:row>
    <x:row r="3257" ht="93" customHeight="1">
      <x:c r="A3257" s="19" t="n">
        <x:v>3254</x:v>
      </x:c>
      <x:c r="B3257" s="22" t="e">
        <x:f>HYPERLINK("https://cdn.shopify.com/s/files/1/0918/6066/4603/files/53938fba7237a9b20694e41105aeed1c.jpg?v=1772976553","Open")</x:f>
        <x:v>HYPERLINK is not implemented. linkLocation=https://cdn.shopify.com/s/files/1/0918/6066/4603/files/53938fba7237a9b20694e41105aeed1c.jpg?v=1772976553, friendlyName=Open</x:v>
      </x:c>
      <x:c r="C3257" s="24" t="e">
        <x:f>HYPERLINK("https://365nails.com/products/drama-collection-ballet-extensions-multi-length-extended-ballet-nail-tips","Drama Collection: ""Ballet Extensions"" – Multi-Length Extended Ballet Nail Tips")</x:f>
        <x:v>HYPERLINK is not implemented. linkLocation=https://365nails.com/products/drama-collection-ballet-extensions-multi-length-extended-ballet-nail-tips, friendlyName=Drama Collection: "Ballet Extensions" – Multi-Length Extended Ballet Nail Tips</x:v>
      </x:c>
      <x:c r="D3257" s="18" t="str">
        <x:v>Color: 63-traceless and transparent-504 pieces in box / 63-traceless and transparent-504 pieces in bag / 63-traceless nature-504 bags / 63-traceless nature-504 box / 69-traceless and transparent-504 pieces in bag / 69-traceless and transparent-504 pieces in box / 69-traceless nature-504 tablets in bag / 69-traceless nature-504 pieces in box / 111-transparent-360 pieces in box / 111-transparent-504 pieces in bag / 111-nature-360 tablets box / 111-nature-504 tablets in bag / 124-transparent-120 pieces in box / 124-transparent-120 pieces in bag / 124-natural-120 tablets box / 124-nature-120 tablets in bag / 134-transparent-300 pieces in box / 134-transparent-360 pieces in bag / 134-nature-300 tablets box / 134-nature-360 tablets in bag</x:v>
      </x:c>
      <x:c r="E3257" s="25" t="str">
        <x:v>$1.91–$2.91</x:v>
      </x:c>
      <x:c r="F3257" s="19" t="str">
        <x:v>3</x:v>
      </x:c>
    </x:row>
    <x:row r="3258" ht="93" customHeight="1">
      <x:c r="A3258" s="19" t="n">
        <x:v>3255</x:v>
      </x:c>
      <x:c r="B3258" s="22" t="e">
        <x:f>HYPERLINK("https://cdn.shopify.com/s/files/1/0918/6066/4603/files/1f48645cd56b69fc1af3a6e0fdab0971.jpg?v=1778318421","Open")</x:f>
        <x:v>HYPERLINK is not implemented. linkLocation=https://cdn.shopify.com/s/files/1/0918/6066/4603/files/1f48645cd56b69fc1af3a6e0fdab0971.jpg?v=1778318421, friendlyName=Open</x:v>
      </x:c>
      <x:c r="C3258" s="24" t="e">
        <x:f>HYPERLINK("https://365nails.com/products/365nails-sacred-rebellion-3d-crystal-cross-handmade-coffin-nails","365nails: ""Sacred Rebellion"" – 3D Crystal Cross Handmade Coffin Nails")</x:f>
        <x:v>HYPERLINK is not implemented. linkLocation=https://365nails.com/products/365nails-sacred-rebellion-3d-crystal-cross-handmade-coffin-nails, friendlyName=365nails: "Sacred Rebellion" – 3D Crystal Cross Handmade Coffin Nails</x:v>
      </x:c>
      <x:c r="D3258" s="18" t="str">
        <x:v>Size: XS / S / M / L</x:v>
      </x:c>
      <x:c r="E3258" s="25" t="str">
        <x:v>$3.99</x:v>
      </x:c>
      <x:c r="F3258" s="19" t="str">
        <x:v>5</x:v>
      </x:c>
    </x:row>
    <x:row r="3259" ht="93" customHeight="1">
      <x:c r="A3259" s="19" t="n">
        <x:v>3256</x:v>
      </x:c>
      <x:c r="B3259" s="22" t="e">
        <x:f>HYPERLINK("https://cdn.shopify.com/s/files/1/0918/6066/4603/files/O1CN01ouCHl427ZUlFP9GIk__2220024697811-0-cib.jpg?v=1774956830","Open")</x:f>
        <x:v>HYPERLINK is not implemented. linkLocation=https://cdn.shopify.com/s/files/1/0918/6066/4603/files/O1CN01ouCHl427ZUlFP9GIk__2220024697811-0-cib.jpg?v=1774956830, friendlyName=Open</x:v>
      </x:c>
      <x:c r="C3259" s="24" t="e">
        <x:f>HYPERLINK("https://365nails.com/products/365nails-winter-whimsy-3d-christmas-handmade-almond-nails","365nails: ""Winter Whimsy"" – 3D Christmas Handmade Almond Nails")</x:f>
        <x:v>HYPERLINK is not implemented. linkLocation=https://365nails.com/products/365nails-winter-whimsy-3d-christmas-handmade-almond-nails, friendlyName=365nails: "Winter Whimsy" – 3D Christmas Handmade Almond Nails</x:v>
      </x:c>
      <x:c r="D3259" s="18" t="str">
        <x:v>Color: Almond; Color classification: Xs / S / M / L</x:v>
      </x:c>
      <x:c r="E3259" s="25" t="str">
        <x:v>$4.99</x:v>
      </x:c>
      <x:c r="F3259" s="19" t="str">
        <x:v>3</x:v>
      </x:c>
    </x:row>
    <x:row r="3260" ht="93" customHeight="1">
      <x:c r="A3260" s="19" t="n">
        <x:v>3257</x:v>
      </x:c>
      <x:c r="B3260" s="22" t="e">
        <x:f>HYPERLINK("https://cdn.shopify.com/s/files/1/0918/6066/4603/files/7a7c2998b67a525f0229c68a30122eae.jpg?v=1772976563","Open")</x:f>
        <x:v>HYPERLINK is not implemented. linkLocation=https://cdn.shopify.com/s/files/1/0918/6066/4603/files/7a7c2998b67a525f0229c68a30122eae.jpg?v=1772976563, friendlyName=Open</x:v>
      </x:c>
      <x:c r="C3260" s="24" t="e">
        <x:f>HYPERLINK("https://365nails.com/products/artisan-collection-crystal-prism-3d-faceted-stiletto-nail-tips","Artisan Collection: ""Crystal Prism"" – 3D Faceted Stiletto Nail Tips")</x:f>
        <x:v>HYPERLINK is not implemented. linkLocation=https://365nails.com/products/artisan-collection-crystal-prism-3d-faceted-stiletto-nail-tips, friendlyName=Artisan Collection: "Crystal Prism" – 3D Faceted Stiletto Nail Tips</x:v>
      </x:c>
      <x:c r="D3260" s="18" t="str">
        <x:v>Color: Ys-441*150 tablets / Ys-452*150 tablets / Ys-454*150 tablets / Ys-457*150 tablets / Ys-468*150 tablets / Ys-470*150 tablets</x:v>
      </x:c>
      <x:c r="E3260" s="25" t="str">
        <x:v>$1.46</x:v>
      </x:c>
      <x:c r="F3260" s="19" t="str">
        <x:v>3</x:v>
      </x:c>
    </x:row>
    <x:row r="3261" ht="93" customHeight="1">
      <x:c r="A3261" s="19" t="n">
        <x:v>3258</x:v>
      </x:c>
      <x:c r="B3261" s="22" t="e">
        <x:f>HYPERLINK("https://cdn.shopify.com/s/files/1/0918/6066/4603/files/3767a428a3d3fa92ef0625210efb1318.jpg?v=1779783216","Open")</x:f>
        <x:v>HYPERLINK is not implemented. linkLocation=https://cdn.shopify.com/s/files/1/0918/6066/4603/files/3767a428a3d3fa92ef0625210efb1318.jpg?v=1779783216, friendlyName=Open</x:v>
      </x:c>
      <x:c r="C3261" s="24" t="e">
        <x:f>HYPERLINK("https://365nails.com/products/crimson-floral-rhinestone-wholesale-ultra-soft-flexible-fit-handmade-nails-moq-100","""Crimson Floral &amp; Rhinestone"" - Wholesale Ultra-Soft Flexible Fit Handmade Nails (MOQ=100)")</x:f>
        <x:v>HYPERLINK is not implemented. linkLocation=https://365nails.com/products/crimson-floral-rhinestone-wholesale-ultra-soft-flexible-fit-handmade-nails-moq-100, friendlyName="Crimson Floral &amp; Rhinestone" - Wholesale Ultra-Soft Flexible Fit Handmade Nails (MOQ=100)</x:v>
      </x:c>
      <x:c r="D3261" s="18" t="str">
        <x:v>Size: XS / S / M / L</x:v>
      </x:c>
      <x:c r="E3261" s="25" t="str">
        <x:v>$1.99</x:v>
      </x:c>
      <x:c r="F3261" s="19" t="str">
        <x:v>100</x:v>
      </x:c>
    </x:row>
    <x:row r="3262" ht="93" customHeight="1">
      <x:c r="A3262" s="19" t="n">
        <x:v>3259</x:v>
      </x:c>
      <x:c r="B3262" s="22" t="e">
        <x:f>HYPERLINK("https://cdn.shopify.com/s/files/1/0918/6066/4603/files/O1CN01gVMAXK2MQzcZZOyDc__2219089449823-0-cib.jpg?v=1774065550","Open")</x:f>
        <x:v>HYPERLINK is not implemented. linkLocation=https://cdn.shopify.com/s/files/1/0918/6066/4603/files/O1CN01gVMAXK2MQzcZZOyDc__2219089449823-0-cib.jpg?v=1774065550, friendlyName=Open</x:v>
      </x:c>
      <x:c r="C3262" s="24" t="e">
        <x:f>HYPERLINK("https://365nails.com/products/whimsical-garden-camellia-bloom-long-almond-handmade-nails","365nails-Whimsical Garden: ""Camellia Bloom"" – Long Almond Handmade Nails")</x:f>
        <x:v>HYPERLINK is not implemented. linkLocation=https://365nails.com/products/whimsical-garden-camellia-bloom-long-almond-handmade-nails, friendlyName=365nails-Whimsical Garden: "Camellia Bloom" – Long Almond Handmade Nails</x:v>
      </x:c>
      <x:c r="D3262" s="18" t="str">
        <x:v>Color: D283; Color classification: X s / S / M / L</x:v>
      </x:c>
      <x:c r="E3262" s="25" t="str">
        <x:v>$3.99</x:v>
      </x:c>
      <x:c r="F3262" s="19" t="str">
        <x:v>5</x:v>
      </x:c>
    </x:row>
    <x:row r="3263" ht="93" customHeight="1">
      <x:c r="A3263" s="19" t="n">
        <x:v>3260</x:v>
      </x:c>
      <x:c r="B3263" s="22" t="e">
        <x:f>HYPERLINK("https://cdn.shopify.com/s/files/1/0918/6066/4603/files/O1CN01rzmMjI27ZUkYk7l7l__2220024697811-0-cib.jpg?v=1775051277","Open")</x:f>
        <x:v>HYPERLINK is not implemented. linkLocation=https://cdn.shopify.com/s/files/1/0918/6066/4603/files/O1CN01rzmMjI27ZUkYk7l7l__2220024697811-0-cib.jpg?v=1775051277, friendlyName=Open</x:v>
      </x:c>
      <x:c r="C3263" s="24" t="e">
        <x:f>HYPERLINK("https://365nails.com/products/365nails-enchanted-bloom-3d-floral-butterfly-handmade-almond-nails","365nails: ""Enchanted Bloom"" – 3D Floral &amp; Butterfly Handmade Almond Nails")</x:f>
        <x:v>HYPERLINK is not implemented. linkLocation=https://365nails.com/products/365nails-enchanted-bloom-3d-floral-butterfly-handmade-almond-nails, friendlyName=365nails: "Enchanted Bloom" – 3D Floral &amp; Butterfly Handmade Almond Nails</x:v>
      </x:c>
      <x:c r="D3263" s="18" t="str">
        <x:v>Color: Right angle medium rectangle; Color classification: Xs / S / M / L</x:v>
      </x:c>
      <x:c r="E3263" s="25" t="str">
        <x:v>$6.49</x:v>
      </x:c>
      <x:c r="F3263" s="19" t="str">
        <x:v>3</x:v>
      </x:c>
    </x:row>
    <x:row r="3264" ht="93" customHeight="1">
      <x:c r="A3264" s="19" t="n">
        <x:v>3261</x:v>
      </x:c>
      <x:c r="B3264" s="22" t="e">
        <x:f>HYPERLINK("https://cdn.shopify.com/s/files/1/0918/6066/4603/files/b110267659d28e089264f42a8618815b.jpg?v=1779848505","Open")</x:f>
        <x:v>HYPERLINK is not implemented. linkLocation=https://cdn.shopify.com/s/files/1/0918/6066/4603/files/b110267659d28e089264f42a8618815b.jpg?v=1779848505, friendlyName=Open</x:v>
      </x:c>
      <x:c r="C3264" s="24" t="e">
        <x:f>HYPERLINK("https://365nails.com/products/pink-french-gold-bow-wholesale-ultra-soft-flexible-fit-handmade-nails-moq-100","""Pink French &amp; Gold Bow"" - Wholesale Ultra-Soft Flexible Fit Handmade Nails (MOQ=100)")</x:f>
        <x:v>HYPERLINK is not implemented. linkLocation=https://365nails.com/products/pink-french-gold-bow-wholesale-ultra-soft-flexible-fit-handmade-nails-moq-100, friendlyName="Pink French &amp; Gold Bow" - Wholesale Ultra-Soft Flexible Fit Handmade Nails (MOQ=100)</x:v>
      </x:c>
      <x:c r="D3264" s="18" t="str">
        <x:v>Size: XS / S / M / L</x:v>
      </x:c>
      <x:c r="E3264" s="25" t="str">
        <x:v>$1.99</x:v>
      </x:c>
      <x:c r="F3264" s="19" t="str">
        <x:v>100</x:v>
      </x:c>
    </x:row>
    <x:row r="3265" ht="93" customHeight="1">
      <x:c r="A3265" s="19" t="n">
        <x:v>3262</x:v>
      </x:c>
      <x:c r="B3265" s="22" t="e">
        <x:f>HYPERLINK("https://cdn.shopify.com/s/files/1/0918/6066/4603/files/O1CN01vncy0x1CPw5dw3NIn__2213196780074-0-cib_645cb604-6114-4de0-b50e-1f8592e5e984.jpg?v=1774693969","Open")</x:f>
        <x:v>HYPERLINK is not implemented. linkLocation=https://cdn.shopify.com/s/files/1/0918/6066/4603/files/O1CN01vncy0x1CPw5dw3NIn__2213196780074-0-cib_645cb604-6114-4de0-b50e-1f8592e5e984.jpg?v=1774693969, friendlyName=Open</x:v>
      </x:c>
      <x:c r="C3265" s="24" t="e">
        <x:f>HYPERLINK("https://365nails.com/products/365nails-winter-symphony-3d-crystal-pearl-handmade-square-nails","365nails: ""Winter Symphony"" – 3D Crystal &amp; Pearl Handmade Square Nails")</x:f>
        <x:v>HYPERLINK is not implemented. linkLocation=https://365nails.com/products/365nails-winter-symphony-3d-crystal-pearl-handmade-square-nails, friendlyName=365nails: "Winter Symphony" – 3D Crystal &amp; Pearl Handmade Square Nails</x:v>
      </x:c>
      <x:c r="D3265" s="18" t="str">
        <x:v>Color: Extra small size xs / Small s / Medium m / Large l; Specification type: Blue french plaid</x:v>
      </x:c>
      <x:c r="E3265" s="25" t="str">
        <x:v>$2.99</x:v>
      </x:c>
      <x:c r="F3265" s="19" t="str">
        <x:v>1</x:v>
      </x:c>
    </x:row>
    <x:row r="3266" ht="93" customHeight="1">
      <x:c r="A3266" s="19" t="n">
        <x:v>3263</x:v>
      </x:c>
      <x:c r="B3266" s="22" t="e">
        <x:f>HYPERLINK("https://cdn.shopify.com/s/files/1/0918/6066/4603/files/O1CN01d57EMk27ZUlwJmn9d__2220024697811-0-cib.jpg?v=1775038976","Open")</x:f>
        <x:v>HYPERLINK is not implemented. linkLocation=https://cdn.shopify.com/s/files/1/0918/6066/4603/files/O1CN01d57EMk27ZUlwJmn9d__2220024697811-0-cib.jpg?v=1775038976, friendlyName=Open</x:v>
      </x:c>
      <x:c r="C3266" s="24" t="e">
        <x:f>HYPERLINK("https://365nails.com/products/365nails-golden-bloom-3d-floral-glitter-handmade-almond-nails","365nails: ""Golden Bloom"" – 3D Floral &amp; Glitter Handmade Almond Nails")</x:f>
        <x:v>HYPERLINK is not implemented. linkLocation=https://365nails.com/products/365nails-golden-bloom-3d-floral-glitter-handmade-almond-nails, friendlyName=365nails: "Golden Bloom" – 3D Floral &amp; Glitter Handmade Almond Nails</x:v>
      </x:c>
      <x:c r="D3266" s="18" t="str">
        <x:v>Color: Short almond; Color classification: Xs / S / M / L</x:v>
      </x:c>
      <x:c r="E3266" s="25" t="str">
        <x:v>$4.99</x:v>
      </x:c>
      <x:c r="F3266" s="19" t="str">
        <x:v>3</x:v>
      </x:c>
    </x:row>
    <x:row r="3267" ht="93" customHeight="1">
      <x:c r="A3267" s="19" t="n">
        <x:v>3264</x:v>
      </x:c>
      <x:c r="B3267" s="22" t="e">
        <x:f>HYPERLINK("https://cdn.shopify.com/s/files/1/0918/6066/4603/files/O1CN01RlERNz27ZUkk7BYET__2220024697811-0-cib.jpg?v=1774944898","Open")</x:f>
        <x:v>HYPERLINK is not implemented. linkLocation=https://cdn.shopify.com/s/files/1/0918/6066/4603/files/O1CN01RlERNz27ZUkk7BYET__2220024697811-0-cib.jpg?v=1774944898, friendlyName=Open</x:v>
      </x:c>
      <x:c r="C3267" s="24" t="e">
        <x:f>HYPERLINK("https://365nails.com/products/365nails-zebra-bloom-3d-floral-handmade-almond-nails","365nails: ""Zebra Bloom"" – 3D Floral Handmade Almond Nails")</x:f>
        <x:v>HYPERLINK is not implemented. linkLocation=https://365nails.com/products/365nails-zebra-bloom-3d-floral-handmade-almond-nails, friendlyName=365nails: "Zebra Bloom" – 3D Floral Handmade Almond Nails</x:v>
      </x:c>
      <x:c r="D3267" s="18" t="str">
        <x:v>Color: Almond; Color classification: Xs / S / M / L</x:v>
      </x:c>
      <x:c r="E3267" s="25" t="str">
        <x:v>$4.49</x:v>
      </x:c>
      <x:c r="F3267" s="19" t="str">
        <x:v>3</x:v>
      </x:c>
    </x:row>
    <x:row r="3268" ht="93" customHeight="1">
      <x:c r="A3268" s="19" t="n">
        <x:v>3265</x:v>
      </x:c>
      <x:c r="B3268" s="22" t="e">
        <x:f>HYPERLINK("https://cdn.shopify.com/s/files/1/0918/6066/4603/files/O1CN01gCn1oF2MQzcRz5wpF__2219089449823-0-cib.jpg?v=1774065819","Open")</x:f>
        <x:v>HYPERLINK is not implemented. linkLocation=https://cdn.shopify.com/s/files/1/0918/6066/4603/files/O1CN01gCn1oF2MQzcRz5wpF__2219089449823-0-cib.jpg?v=1774065819, friendlyName=Open</x:v>
      </x:c>
      <x:c r="C3268" s="24" t="e">
        <x:f>HYPERLINK("https://365nails.com/products/jelly-bloom-3d-floral-gradient-long-almond-handmade-nails","365nails-Jelly Bloom: ""3D Floral Gradient"" – Long Almond Handmade Nails")</x:f>
        <x:v>HYPERLINK is not implemented. linkLocation=https://365nails.com/products/jelly-bloom-3d-floral-gradient-long-almond-handmade-nails, friendlyName=365nails-Jelly Bloom: "3D Floral Gradient" – Long Almond Handmade Nails</x:v>
      </x:c>
      <x:c r="D3268" s="18" t="str">
        <x:v>Color: D351; Color classification: X s / S / M / L</x:v>
      </x:c>
      <x:c r="E3268" s="25" t="str">
        <x:v>$3.99</x:v>
      </x:c>
      <x:c r="F3268" s="19" t="str">
        <x:v>5</x:v>
      </x:c>
    </x:row>
    <x:row r="3269" ht="93" customHeight="1">
      <x:c r="A3269" s="19" t="n">
        <x:v>3266</x:v>
      </x:c>
      <x:c r="B3269" s="22" t="e">
        <x:f>HYPERLINK("https://cdn.shopify.com/s/files/1/0918/6066/4603/files/792f9b29c8569409ae93a1389819e1c3.jpg?v=1779848520","Open")</x:f>
        <x:v>HYPERLINK is not implemented. linkLocation=https://cdn.shopify.com/s/files/1/0918/6066/4603/files/792f9b29c8569409ae93a1389819e1c3.jpg?v=1779848520, friendlyName=Open</x:v>
      </x:c>
      <x:c r="C3269" s="24" t="e">
        <x:f>HYPERLINK("https://365nails.com/products/sunset-tiger-3d-floral-wholesale-ultra-soft-flexible-fit-handmade-nails-moq-100","""Sunset Tiger &amp; 3D Floral"" - Wholesale Ultra-Soft Flexible Fit Handmade Nails (MOQ=100)")</x:f>
        <x:v>HYPERLINK is not implemented. linkLocation=https://365nails.com/products/sunset-tiger-3d-floral-wholesale-ultra-soft-flexible-fit-handmade-nails-moq-100, friendlyName="Sunset Tiger &amp; 3D Floral" - Wholesale Ultra-Soft Flexible Fit Handmade Nails (MOQ=100)</x:v>
      </x:c>
      <x:c r="D3269" s="18" t="str">
        <x:v>Size: XS / S / M / L</x:v>
      </x:c>
      <x:c r="E3269" s="25" t="str">
        <x:v>$1.99</x:v>
      </x:c>
      <x:c r="F3269" s="19" t="str">
        <x:v>100</x:v>
      </x:c>
    </x:row>
    <x:row r="3270" ht="93" customHeight="1">
      <x:c r="A3270" s="19" t="n">
        <x:v>3267</x:v>
      </x:c>
      <x:c r="B3270" s="22" t="e">
        <x:f>HYPERLINK("https://cdn.shopify.com/s/files/1/0918/6066/4603/files/O1CN01UtY3oh2MQzdFWRIQR__2219089449823-0-cib.jpg?v=1774349152","Open")</x:f>
        <x:v>HYPERLINK is not implemented. linkLocation=https://cdn.shopify.com/s/files/1/0918/6066/4603/files/O1CN01UtY3oh2MQzdFWRIQR__2219089449823-0-cib.jpg?v=1774349152, friendlyName=Open</x:v>
      </x:c>
      <x:c r="C3270" s="24" t="e">
        <x:f>HYPERLINK("https://365nails.com/products/sakura-bloom-blossom-golden-filigree-short-almond-press-ons","Sakura Bloom: ""Blossom &amp; Golden Filigree"" – Short Almond Press Ons")</x:f>
        <x:v>HYPERLINK is not implemented. linkLocation=https://365nails.com/products/sakura-bloom-blossom-golden-filigree-short-almond-press-ons, friendlyName=Sakura Bloom: "Blossom &amp; Golden Filigree" – Short Almond Press Ons</x:v>
      </x:c>
      <x:c r="D3270" s="18" t="str">
        <x:v>Color: L272; Color classification: X s / S / M / L</x:v>
      </x:c>
      <x:c r="E3270" s="25" t="str">
        <x:v>$4.99</x:v>
      </x:c>
      <x:c r="F3270" s="19" t="str">
        <x:v>1</x:v>
      </x:c>
    </x:row>
    <x:row r="3271" ht="93" customHeight="1">
      <x:c r="A3271" s="19" t="n">
        <x:v>3268</x:v>
      </x:c>
      <x:c r="B3271" s="22" t="e">
        <x:f>HYPERLINK("https://cdn.shopify.com/s/files/1/0918/6066/4603/files/O1CN01HEkgeV2MQzezyXfBY__2219089449823-0-cib.jpg?v=1774178770","Open")</x:f>
        <x:v>HYPERLINK is not implemented. linkLocation=https://cdn.shopify.com/s/files/1/0918/6066/4603/files/O1CN01HEkgeV2MQzezyXfBY__2219089449823-0-cib.jpg?v=1774178770, friendlyName=Open</x:v>
      </x:c>
      <x:c r="C3271" s="24" t="e">
        <x:f>HYPERLINK("https://365nails.com/products/coastal-bloom-seashell-daisy-almond-press-on-nails","Coastal Bloom: ""Seashell Daisy"" – Almond Press-On Nails")</x:f>
        <x:v>HYPERLINK is not implemented. linkLocation=https://365nails.com/products/coastal-bloom-seashell-daisy-almond-press-on-nails, friendlyName=Coastal Bloom: "Seashell Daisy" – Almond Press-On Nails</x:v>
      </x:c>
      <x:c r="D3271" s="18" t="str">
        <x:v>Color: D392; Color classification: X s / S / M / L</x:v>
      </x:c>
      <x:c r="E3271" s="25" t="str">
        <x:v>$3.49</x:v>
      </x:c>
      <x:c r="F3271" s="19" t="str">
        <x:v>1</x:v>
      </x:c>
    </x:row>
    <x:row r="3272" ht="93" customHeight="1">
      <x:c r="A3272" s="19" t="n">
        <x:v>3269</x:v>
      </x:c>
      <x:c r="B3272" s="22" t="e">
        <x:f>HYPERLINK("https://cdn.shopify.com/s/files/1/0918/6066/4603/files/O1CN019QI9t127ZUlVEohyi__2220024697811-0-cib.jpg?v=1775050944","Open")</x:f>
        <x:v>HYPERLINK is not implemented. linkLocation=https://cdn.shopify.com/s/files/1/0918/6066/4603/files/O1CN019QI9t127ZUlVEohyi__2220024697811-0-cib.jpg?v=1775050944, friendlyName=Open</x:v>
      </x:c>
      <x:c r="C3272" s="24" t="e">
        <x:f>HYPERLINK("https://365nails.com/products/365nails-crimson-bloom-hand-painted-ribbon-floral-handmade-almond-nails","365nails: ""Crimson Bloom"" – Hand-painted Ribbon &amp; Floral Handmade Almond Nails")</x:f>
        <x:v>HYPERLINK is not implemented. linkLocation=https://365nails.com/products/365nails-crimson-bloom-hand-painted-ribbon-floral-handmade-almond-nails, friendlyName=365nails: "Crimson Bloom" – Hand-painted Ribbon &amp; Floral Handmade Almond Nails</x:v>
      </x:c>
      <x:c r="D3272" s="18" t="str">
        <x:v>Color: Almond; Color classification: Xs / S / M / L</x:v>
      </x:c>
      <x:c r="E3272" s="25" t="str">
        <x:v>$4.49</x:v>
      </x:c>
      <x:c r="F3272" s="19" t="str">
        <x:v>3</x:v>
      </x:c>
    </x:row>
    <x:row r="3273" ht="93" customHeight="1">
      <x:c r="A3273" s="19" t="n">
        <x:v>3270</x:v>
      </x:c>
      <x:c r="B3273" s="22" t="e">
        <x:f>HYPERLINK("https://cdn.shopify.com/s/files/1/0918/6066/4603/files/O1CN01f4w25527ZUk6b2MUS__2220024697811-0-cib.jpg?v=1774960507","Open")</x:f>
        <x:v>HYPERLINK is not implemented. linkLocation=https://cdn.shopify.com/s/files/1/0918/6066/4603/files/O1CN01f4w25527ZUk6b2MUS__2220024697811-0-cib.jpg?v=1774960507, friendlyName=Open</x:v>
      </x:c>
      <x:c r="C3273" s="24" t="e">
        <x:f>HYPERLINK("https://365nails.com/products/365nails-whispering-roses-3d-floral-handmade-stiletto-nails","365nails: ""Whispering Roses"" – 3D Floral Handmade Stiletto Nails")</x:f>
        <x:v>HYPERLINK is not implemented. linkLocation=https://365nails.com/products/365nails-whispering-roses-3d-floral-handmade-stiletto-nails, friendlyName=365nails: "Whispering Roses" – 3D Floral Handmade Stiletto Nails</x:v>
      </x:c>
      <x:c r="D3273" s="18" t="str">
        <x:v>Color: Almond; Color classification: Xs / S / M / L</x:v>
      </x:c>
      <x:c r="E3273" s="25" t="str">
        <x:v>$3.99</x:v>
      </x:c>
      <x:c r="F3273" s="19" t="str">
        <x:v>3</x:v>
      </x:c>
    </x:row>
    <x:row r="3274" ht="93" customHeight="1">
      <x:c r="A3274" s="19" t="n">
        <x:v>3271</x:v>
      </x:c>
      <x:c r="B3274" s="22" t="e">
        <x:f>HYPERLINK("https://cdn.shopify.com/s/files/1/0918/6066/4603/files/O1CN01kWIPqh1Wy6Fc3gq64__6000000002856-0-cib.jpg?v=1775036815","Open")</x:f>
        <x:v>HYPERLINK is not implemented. linkLocation=https://cdn.shopify.com/s/files/1/0918/6066/4603/files/O1CN01kWIPqh1Wy6Fc3gq64__6000000002856-0-cib.jpg?v=1775036815, friendlyName=Open</x:v>
      </x:c>
      <x:c r="C3274" s="24" t="e">
        <x:f>HYPERLINK("https://365nails.com/products/365nails-purple-bloom-3d-floral-handmade-almond-nails","365nails: ""Purple Bloom"" – 3D Floral Handmade Almond Nails")</x:f>
        <x:v>HYPERLINK is not implemented. linkLocation=https://365nails.com/products/365nails-purple-bloom-3d-floral-handmade-almond-nails, friendlyName=365nails: "Purple Bloom" – 3D Floral Handmade Almond Nails</x:v>
      </x:c>
      <x:c r="D3274" s="18" t="str">
        <x:v>Color: Almond; Color classification: Xs / S / M / L</x:v>
      </x:c>
      <x:c r="E3274" s="25" t="str">
        <x:v>$4.99</x:v>
      </x:c>
      <x:c r="F3274" s="19" t="str">
        <x:v>3</x:v>
      </x:c>
    </x:row>
    <x:row r="3275" ht="93" customHeight="1">
      <x:c r="A3275" s="19" t="n">
        <x:v>3272</x:v>
      </x:c>
      <x:c r="B3275" s="22" t="e">
        <x:f>HYPERLINK("https://cdn.shopify.com/s/files/1/0918/6066/4603/files/O1CN01JbtIhM2214so4Ys9v__2219480337059-0-cib.jpg?v=1773320922","Open")</x:f>
        <x:v>HYPERLINK is not implemented. linkLocation=https://cdn.shopify.com/s/files/1/0918/6066/4603/files/O1CN01JbtIhM2214so4Ys9v__2219480337059-0-cib.jpg?v=1773320922, friendlyName=Open</x:v>
      </x:c>
      <x:c r="C3275" s="24" t="e">
        <x:f>HYPERLINK("https://365nails.com/products/365nails-pastel-stellalou-short-round-handmade-kids-press-on-nails","365nails: ""pastel stellalou"" – short round handmade kids press-on nails")</x:f>
        <x:v>HYPERLINK is not implemented. linkLocation=https://365nails.com/products/365nails-pastel-stellalou-short-round-handmade-kids-press-on-nails, friendlyName=365nails: "pastel stellalou" – short round handmade kids press-on nails</x:v>
      </x:c>
      <x:c r="D3275" s="18" t="str">
        <x:v>Color: Star dew butterfly; Color classification: Xs (about 2 years old) / S (3-4 years old) / M (5-7 years old) / L (8-11 years old)</x:v>
      </x:c>
      <x:c r="E3275" s="25" t="str">
        <x:v>$2.99</x:v>
      </x:c>
      <x:c r="F3275" s="19" t="str">
        <x:v>3</x:v>
      </x:c>
    </x:row>
    <x:row r="3276" ht="93" customHeight="1">
      <x:c r="A3276" s="19" t="n">
        <x:v>3273</x:v>
      </x:c>
      <x:c r="B3276" s="22" t="e">
        <x:f>HYPERLINK("https://cdn.shopify.com/s/files/1/0918/6066/4603/files/O1CN01CTZgag2MQzfuZFI3O__2219089449823-0-cib.jpg?v=1774275832","Open")</x:f>
        <x:v>HYPERLINK is not implemented. linkLocation=https://cdn.shopify.com/s/files/1/0918/6066/4603/files/O1CN01CTZgag2MQzfuZFI3O__2219089449823-0-cib.jpg?v=1774275832, friendlyName=Open</x:v>
      </x:c>
      <x:c r="C3276" s="24" t="e">
        <x:f>HYPERLINK("https://365nails.com/products/emerald-envy-venom-vein-extra-long-square-press-on-nails","Emerald Envy: ""Venom Vein"" – Extra Long Square Press-On Nails")</x:f>
        <x:v>HYPERLINK is not implemented. linkLocation=https://365nails.com/products/emerald-envy-venom-vein-extra-long-square-press-on-nails, friendlyName=Emerald Envy: "Venom Vein" – Extra Long Square Press-On Nails</x:v>
      </x:c>
      <x:c r="D3276" s="18" t="str">
        <x:v>Color: L008; Color classification: S / M / L</x:v>
      </x:c>
      <x:c r="E3276" s="25" t="str">
        <x:v>$4.99</x:v>
      </x:c>
      <x:c r="F3276" s="19" t="str">
        <x:v>1</x:v>
      </x:c>
    </x:row>
    <x:row r="3277" ht="93" customHeight="1">
      <x:c r="A3277" s="19" t="n">
        <x:v>3274</x:v>
      </x:c>
      <x:c r="B3277" s="22" t="e">
        <x:f>HYPERLINK("https://cdn.shopify.com/s/files/1/0918/6066/4603/files/O1CN01jY8gpm1CPwJOtUKe2__2213196780074-0-cib.jpg?v=1774680293","Open")</x:f>
        <x:v>HYPERLINK is not implemented. linkLocation=https://cdn.shopify.com/s/files/1/0918/6066/4603/files/O1CN01jY8gpm1CPwJOtUKe2__2213196780074-0-cib.jpg?v=1774680293, friendlyName=Open</x:v>
      </x:c>
      <x:c r="C3277" s="24" t="e">
        <x:f>HYPERLINK("https://365nails.com/products/365nails-pink-zebra-royal-3d-charm-handmade-stiletto-nails","365nails: ""Pink Zebra Royal"" – 3D Charm Handmade Stiletto Nails")</x:f>
        <x:v>HYPERLINK is not implemented. linkLocation=https://365nails.com/products/365nails-pink-zebra-royal-3d-charm-handmade-stiletto-nails, friendlyName=365nails: "Pink Zebra Royal" – 3D Charm Handmade Stiletto Nails</x:v>
      </x:c>
      <x:c r="D3277" s="18" t="str">
        <x:v>Color: Extra small size xs / Small s / Medium m / Large l; Specification type: 95-extra long ladder</x:v>
      </x:c>
      <x:c r="E3277" s="25" t="str">
        <x:v>$3.99</x:v>
      </x:c>
      <x:c r="F3277" s="19" t="str">
        <x:v>1</x:v>
      </x:c>
    </x:row>
    <x:row r="3278" ht="93" customHeight="1">
      <x:c r="A3278" s="19" t="n">
        <x:v>3275</x:v>
      </x:c>
      <x:c r="B3278" s="22" t="e">
        <x:f>HYPERLINK("https://cdn.shopify.com/s/files/1/0918/6066/4603/files/O1CN01wRDFro27ZUlmXedWv__2220024697811-0-cib.jpg?v=1775038678","Open")</x:f>
        <x:v>HYPERLINK is not implemented. linkLocation=https://cdn.shopify.com/s/files/1/0918/6066/4603/files/O1CN01wRDFro27ZUlmXedWv__2220024697811-0-cib.jpg?v=1775038678, friendlyName=Open</x:v>
      </x:c>
      <x:c r="C3278" s="24" t="e">
        <x:f>HYPERLINK("https://365nails.com/products/365nails-sweet-temptation-3d-strawberry-polka-dot-handmade-stiletto-nails","365nails: ""Sweet Temptation"" – 3D Strawberry &amp; Polka Dot Handmade Stiletto Nails")</x:f>
        <x:v>HYPERLINK is not implemented. linkLocation=https://365nails.com/products/365nails-sweet-temptation-3d-strawberry-polka-dot-handmade-stiletto-nails, friendlyName=365nails: "Sweet Temptation" – 3D Strawberry &amp; Polka Dot Handmade Stiletto Nails</x:v>
      </x:c>
      <x:c r="D3278" s="18" t="str">
        <x:v>Color: Almond; Color classification: Xs / S / M / L</x:v>
      </x:c>
      <x:c r="E3278" s="25" t="str">
        <x:v>$4.49</x:v>
      </x:c>
      <x:c r="F3278" s="19" t="str">
        <x:v>3</x:v>
      </x:c>
    </x:row>
    <x:row r="3279" ht="93" customHeight="1">
      <x:c r="A3279" s="19" t="n">
        <x:v>3276</x:v>
      </x:c>
      <x:c r="B3279" s="22" t="e">
        <x:f>HYPERLINK("https://cdn.shopify.com/s/files/1/0918/6066/4603/files/O1CN01uJacY72MQzcGcv2LU__2219089449823-0-cib.jpg?v=1774065722","Open")</x:f>
        <x:v>HYPERLINK is not implemented. linkLocation=https://cdn.shopify.com/s/files/1/0918/6066/4603/files/O1CN01uJacY72MQzcGcv2LU__2219089449823-0-cib.jpg?v=1774065722, friendlyName=Open</x:v>
      </x:c>
      <x:c r="C3279" s="24" t="e">
        <x:f>HYPERLINK("https://365nails.com/products/enchanted-garden-jewel-bow-long-almond-handmade-nails","365nails-Enchanted Garden: ""Jewel Bow"" – Long Almond Handmade Nails")</x:f>
        <x:v>HYPERLINK is not implemented. linkLocation=https://365nails.com/products/enchanted-garden-jewel-bow-long-almond-handmade-nails, friendlyName=365nails-Enchanted Garden: "Jewel Bow" – Long Almond Handmade Nails</x:v>
      </x:c>
      <x:c r="D3279" s="18" t="str">
        <x:v>Color: C97 watermelon popsicle—middle ladder; Color classification: X s / S / M / L</x:v>
      </x:c>
      <x:c r="E3279" s="25" t="str">
        <x:v>$3.99</x:v>
      </x:c>
      <x:c r="F3279" s="19" t="str">
        <x:v>5</x:v>
      </x:c>
    </x:row>
    <x:row r="3280" ht="93" customHeight="1">
      <x:c r="A3280" s="19" t="n">
        <x:v>3277</x:v>
      </x:c>
      <x:c r="B3280" s="22" t="e">
        <x:f>HYPERLINK("https://cdn.shopify.com/s/files/1/0918/6066/4603/files/O1CN01MhA9YW27ZUl7KmVKB__2220024697811-0-cib.jpg?v=1774864077","Open")</x:f>
        <x:v>HYPERLINK is not implemented. linkLocation=https://cdn.shopify.com/s/files/1/0918/6066/4603/files/O1CN01MhA9YW27ZUl7KmVKB__2220024697811-0-cib.jpg?v=1774864077, friendlyName=Open</x:v>
      </x:c>
      <x:c r="C3280" s="24" t="e">
        <x:f>HYPERLINK("https://365nails.com/products/365nails-tropical-bloom-3d-floral-handmade-square-nails","365nails: ""Tropical Bloom"" – 3D Floral Handmade Square Nails")</x:f>
        <x:v>HYPERLINK is not implemented. linkLocation=https://365nails.com/products/365nails-tropical-bloom-3d-floral-handmade-square-nails, friendlyName=365nails: "Tropical Bloom" – 3D Floral Handmade Square Nails</x:v>
      </x:c>
      <x:c r="D3280" s="18" t="str">
        <x:v>Color: Almond; Color classification: Xs / S / M / L</x:v>
      </x:c>
      <x:c r="E3280" s="25" t="str">
        <x:v>$4.99</x:v>
      </x:c>
      <x:c r="F3280" s="19" t="str">
        <x:v>3</x:v>
      </x:c>
    </x:row>
    <x:row r="3281" ht="93" customHeight="1">
      <x:c r="A3281" s="19" t="n">
        <x:v>3278</x:v>
      </x:c>
      <x:c r="B3281" s="22" t="e">
        <x:f>HYPERLINK("https://cdn.shopify.com/s/files/1/0918/6066/4603/files/699d22090623c5e1c02aebf798f6da35.jpg?v=1779848195","Open")</x:f>
        <x:v>HYPERLINK is not implemented. linkLocation=https://cdn.shopify.com/s/files/1/0918/6066/4603/files/699d22090623c5e1c02aebf798f6da35.jpg?v=1779848195, friendlyName=Open</x:v>
      </x:c>
      <x:c r="C3281" s="24" t="e">
        <x:f>HYPERLINK("https://365nails.com/products/coral-floral-crystal-wholesale-ultra-soft-flexible-fit-handmade-nails-moq-100","""Coral Floral &amp; Crystal"" - Wholesale Ultra-Soft Flexible Fit Handmade Nails (MOQ=100)")</x:f>
        <x:v>HYPERLINK is not implemented. linkLocation=https://365nails.com/products/coral-floral-crystal-wholesale-ultra-soft-flexible-fit-handmade-nails-moq-100, friendlyName="Coral Floral &amp; Crystal" - Wholesale Ultra-Soft Flexible Fit Handmade Nails (MOQ=100)</x:v>
      </x:c>
      <x:c r="D3281" s="18" t="str">
        <x:v>Size: XS / S / M / L</x:v>
      </x:c>
      <x:c r="E3281" s="25" t="str">
        <x:v>$1.99</x:v>
      </x:c>
      <x:c r="F3281" s="19" t="str">
        <x:v>100</x:v>
      </x:c>
    </x:row>
    <x:row r="3282" ht="93" customHeight="1">
      <x:c r="A3282" s="19" t="n">
        <x:v>3279</x:v>
      </x:c>
      <x:c r="B3282" s="22" t="e">
        <x:f>HYPERLINK("https://cdn.shopify.com/s/files/1/0918/6066/4603/files/O1CN01T8KYbY27ZUlVYvywA__2220024697811-0-cib.jpg?v=1774958530","Open")</x:f>
        <x:v>HYPERLINK is not implemented. linkLocation=https://cdn.shopify.com/s/files/1/0918/6066/4603/files/O1CN01T8KYbY27ZUlVYvywA__2220024697811-0-cib.jpg?v=1774958530, friendlyName=Open</x:v>
      </x:c>
      <x:c r="C3282" s="24" t="e">
        <x:f>HYPERLINK("https://365nails.com/products/365nails-seashell-whisper-3d-shell-handmade-almond-nails","365nails: ""Seashell Whisper"" – 3D Shell Handmade Almond Nails")</x:f>
        <x:v>HYPERLINK is not implemented. linkLocation=https://365nails.com/products/365nails-seashell-whisper-3d-shell-handmade-almond-nails, friendlyName=365nails: "Seashell Whisper" – 3D Shell Handmade Almond Nails</x:v>
      </x:c>
      <x:c r="D3282" s="18" t="str">
        <x:v>Color: Almond; Color classification: Xs / S / M / L</x:v>
      </x:c>
      <x:c r="E3282" s="25" t="str">
        <x:v>$4.49–$4.99</x:v>
      </x:c>
      <x:c r="F3282" s="19" t="str">
        <x:v>3</x:v>
      </x:c>
    </x:row>
    <x:row r="3283" ht="93" customHeight="1">
      <x:c r="A3283" s="19" t="n">
        <x:v>3280</x:v>
      </x:c>
      <x:c r="B3283" s="22" t="e">
        <x:f>HYPERLINK("https://cdn.shopify.com/s/files/1/0918/6066/4603/files/O1CN019eX6UF1CPwMIQypzl__2213196780074-0-cib.jpg?v=1774679090","Open")</x:f>
        <x:v>HYPERLINK is not implemented. linkLocation=https://cdn.shopify.com/s/files/1/0918/6066/4603/files/O1CN019eX6UF1CPwMIQypzl__2213196780074-0-cib.jpg?v=1774679090, friendlyName=Open</x:v>
      </x:c>
      <x:c r="C3283" s="24" t="e">
        <x:f>HYPERLINK("https://365nails.com/products/365nails-crystal-ice-dream-3d-crystal-holographic-glitter-handmade-stiletto-nails","365nails: ""Crystal Ice Dream"" – 3D Crystal &amp; Holographic Glitter Handmade Stiletto Nails")</x:f>
        <x:v>HYPERLINK is not implemented. linkLocation=https://365nails.com/products/365nails-crystal-ice-dream-3d-crystal-holographic-glitter-handmade-stiletto-nails, friendlyName=365nails: "Crystal Ice Dream" – 3D Crystal &amp; Holographic Glitter Handmade Stiletto Nails</x:v>
      </x:c>
      <x:c r="D3283" s="18" t="str">
        <x:v>Color: 2605-fine dog ladder / 2629-fine dog tip; Color classification: Xs / S / M / L</x:v>
      </x:c>
      <x:c r="E3283" s="25" t="str">
        <x:v>$3.49</x:v>
      </x:c>
      <x:c r="F3283" s="19" t="str">
        <x:v>1</x:v>
      </x:c>
    </x:row>
    <x:row r="3284" ht="93" customHeight="1">
      <x:c r="A3284" s="19" t="n">
        <x:v>3281</x:v>
      </x:c>
      <x:c r="B3284" s="22" t="e">
        <x:f>HYPERLINK("https://cdn.shopify.com/s/files/1/0918/6066/4603/files/O1CN01yE8crV2MQzdmPkKxb__2219089449823-0-cib.jpg?v=1774452982","Open")</x:f>
        <x:v>HYPERLINK is not implemented. linkLocation=https://cdn.shopify.com/s/files/1/0918/6066/4603/files/O1CN01yE8crV2MQzdmPkKxb__2219089449823-0-cib.jpg?v=1774452982, friendlyName=Open</x:v>
      </x:c>
      <x:c r="C3284" s="24" t="e">
        <x:f>HYPERLINK("https://365nails.com/products/summer-sorbet-pastel-bloom-medium-almond-handmade-press-on-nails","Summer Sorbet: ""Pastel Bloom"" – Medium Almond Handmade Press On Nails")</x:f>
        <x:v>HYPERLINK is not implemented. linkLocation=https://365nails.com/products/summer-sorbet-pastel-bloom-medium-almond-handmade-press-on-nails, friendlyName=Summer Sorbet: "Pastel Bloom" – Medium Almond Handmade Press On Nails</x:v>
      </x:c>
      <x:c r="D3284" s="18" t="str">
        <x:v>Color: D508; Color classification: X s / S / M / L</x:v>
      </x:c>
      <x:c r="E3284" s="25" t="str">
        <x:v>$3.49</x:v>
      </x:c>
      <x:c r="F3284" s="19" t="str">
        <x:v>1</x:v>
      </x:c>
    </x:row>
    <x:row r="3285" ht="93" customHeight="1">
      <x:c r="A3285" s="19" t="n">
        <x:v>3282</x:v>
      </x:c>
      <x:c r="B3285" s="22" t="e">
        <x:f>HYPERLINK("https://cdn.shopify.com/s/files/1/0918/6066/4603/files/O1CN01bGWyld247bcdEzrUn__2209064737344-0-cib_cce66154-7f17-49b3-a60e-f2a8efe02216.jpg?v=1772976724","Open")</x:f>
        <x:v>HYPERLINK is not implemented. linkLocation=https://cdn.shopify.com/s/files/1/0918/6066/4603/files/O1CN01bGWyld247bcdEzrUn__2209064737344-0-cib_cce66154-7f17-49b3-a60e-f2a8efe02216.jpg?v=1772976724, friendlyName=Open</x:v>
      </x:c>
      <x:c r="C3285" s="24" t="e">
        <x:f>HYPERLINK("https://365nails.com/products/everyday-collection-short-duck-short-duck-bill-nail-tips","Everyday Collection: ""Short Duck"" – Short Duck Bill Nail Tips")</x:f>
        <x:v>HYPERLINK is not implemented. linkLocation=https://365nails.com/products/everyday-collection-short-duck-short-duck-bill-nail-tips, friendlyName=Everyday Collection: "Short Duck" – Short Duck Bill Nail Tips</x:v>
      </x:c>
      <x:c r="D3285" s="18" t="str">
        <x:v>Color: Full coverage - clear / Full coverage - natural / Semi-transparent color / Half cover - natural / French-transparent color / French-natural color</x:v>
      </x:c>
      <x:c r="E3285" s="25" t="str">
        <x:v>$1.78</x:v>
      </x:c>
      <x:c r="F3285" s="19" t="str">
        <x:v>3</x:v>
      </x:c>
    </x:row>
    <x:row r="3286" ht="93" customHeight="1">
      <x:c r="A3286" s="19" t="n">
        <x:v>3283</x:v>
      </x:c>
      <x:c r="B3286" s="22" t="e">
        <x:f>HYPERLINK("https://cdn.shopify.com/s/files/1/0918/6066/4603/files/O1CN01hSukli27ZUlkB5tXg__2220024697811-0-cib.jpg?v=1774958642","Open")</x:f>
        <x:v>HYPERLINK is not implemented. linkLocation=https://cdn.shopify.com/s/files/1/0918/6066/4603/files/O1CN01hSukli27ZUlkB5tXg__2220024697811-0-cib.jpg?v=1774958642, friendlyName=Open</x:v>
      </x:c>
      <x:c r="C3286" s="24" t="e">
        <x:f>HYPERLINK("https://365nails.com/products/365nails-harlequins-dream-3d-crystal-handmade-almond-nails","365nails: ""Harlequin's Dream"" – 3D Crystal Handmade Almond Nails")</x:f>
        <x:v>HYPERLINK is not implemented. linkLocation=https://365nails.com/products/365nails-harlequins-dream-3d-crystal-handmade-almond-nails, friendlyName=365nails: "Harlequin's Dream" – 3D Crystal Handmade Almond Nails</x:v>
      </x:c>
      <x:c r="D3286" s="18" t="str">
        <x:v>Color: Almond; Color classification: Xs / S / M / L</x:v>
      </x:c>
      <x:c r="E3286" s="25" t="str">
        <x:v>$4.49</x:v>
      </x:c>
      <x:c r="F3286" s="19" t="str">
        <x:v>3</x:v>
      </x:c>
    </x:row>
    <x:row r="3287" ht="93" customHeight="1">
      <x:c r="A3287" s="19" t="n">
        <x:v>3284</x:v>
      </x:c>
      <x:c r="B3287" s="22" t="e">
        <x:f>HYPERLINK("https://cdn.shopify.com/s/files/1/0918/6066/4603/files/O1CN01FRnHjx27ZUkLW3oQM__2220024697811-0-cib.jpg?v=1774928776","Open")</x:f>
        <x:v>HYPERLINK is not implemented. linkLocation=https://cdn.shopify.com/s/files/1/0918/6066/4603/files/O1CN01FRnHjx27ZUkLW3oQM__2220024697811-0-cib.jpg?v=1774928776, friendlyName=Open</x:v>
      </x:c>
      <x:c r="C3287" s="24" t="e">
        <x:f>HYPERLINK("https://365nails.com/products/365nails-velvet-bloom-3d-floral-handmade-stiletto-nails","365nails: ""Velvet Bloom"" – 3D Floral Handmade Stiletto Nails")</x:f>
        <x:v>HYPERLINK is not implemented. linkLocation=https://365nails.com/products/365nails-velvet-bloom-3d-floral-handmade-stiletto-nails, friendlyName=365nails: "Velvet Bloom" – 3D Floral Handmade Stiletto Nails</x:v>
      </x:c>
      <x:c r="D3287" s="18" t="str">
        <x:v>Color: Almond; Color classification: Xs / S / M / L</x:v>
      </x:c>
      <x:c r="E3287" s="25" t="str">
        <x:v>$4.99</x:v>
      </x:c>
      <x:c r="F3287" s="19" t="str">
        <x:v>3</x:v>
      </x:c>
    </x:row>
    <x:row r="3288" ht="93" customHeight="1">
      <x:c r="A3288" s="19" t="n">
        <x:v>3285</x:v>
      </x:c>
      <x:c r="B3288" s="22" t="e">
        <x:f>HYPERLINK("https://cdn.shopify.com/s/files/1/0918/6066/4603/files/O1CN01ij7tB627ZUkDL4yqt__2220024697811-0-cib.jpg?v=1774928421","Open")</x:f>
        <x:v>HYPERLINK is not implemented. linkLocation=https://cdn.shopify.com/s/files/1/0918/6066/4603/files/O1CN01ij7tB627ZUkDL4yqt__2220024697811-0-cib.jpg?v=1774928421, friendlyName=Open</x:v>
      </x:c>
      <x:c r="C3288" s="24" t="e">
        <x:f>HYPERLINK("https://365nails.com/products/365nails-aurora-flame-gradient-flame-handmade-coffin-nails","365nails: ""Aurora Flame"" – Gradient Flame Handmade Coffin Nails")</x:f>
        <x:v>HYPERLINK is not implemented. linkLocation=https://365nails.com/products/365nails-aurora-flame-gradient-flame-handmade-coffin-nails, friendlyName=365nails: "Aurora Flame" – Gradient Flame Handmade Coffin Nails</x:v>
      </x:c>
      <x:c r="D3288" s="18" t="str">
        <x:v>Color: Almond; Color classification: Xs / S / M / L</x:v>
      </x:c>
      <x:c r="E3288" s="25" t="str">
        <x:v>$3.49</x:v>
      </x:c>
      <x:c r="F3288" s="19" t="str">
        <x:v>3</x:v>
      </x:c>
    </x:row>
    <x:row r="3289" ht="93" customHeight="1">
      <x:c r="A3289" s="19" t="n">
        <x:v>3286</x:v>
      </x:c>
      <x:c r="B3289" s="22" t="e">
        <x:f>HYPERLINK("https://cdn.shopify.com/s/files/1/0918/6066/4603/files/O1CN019ejAnZ27ZUm7pUwNm__2220024697811-0-cib.jpg?v=1775039364","Open")</x:f>
        <x:v>HYPERLINK is not implemented. linkLocation=https://cdn.shopify.com/s/files/1/0918/6066/4603/files/O1CN019ejAnZ27ZUm7pUwNm__2220024697811-0-cib.jpg?v=1775039364, friendlyName=Open</x:v>
      </x:c>
      <x:c r="C3289" s="24" t="e">
        <x:f>HYPERLINK("https://365nails.com/products/365nails-ethereal-glow-3d-floral-pearl-handmade-coffin-nails","365nails: ""Ethereal Glow"" – 3D Floral &amp; Pearl Handmade Coffin Nails")</x:f>
        <x:v>HYPERLINK is not implemented. linkLocation=https://365nails.com/products/365nails-ethereal-glow-3d-floral-pearl-handmade-coffin-nails, friendlyName=365nails: "Ethereal Glow" – 3D Floral &amp; Pearl Handmade Coffin Nails</x:v>
      </x:c>
      <x:c r="D3289" s="18" t="str">
        <x:v>Color: Duckbill; Color classification: Xs / S / M / L</x:v>
      </x:c>
      <x:c r="E3289" s="25" t="str">
        <x:v>$4.99</x:v>
      </x:c>
      <x:c r="F3289" s="19" t="str">
        <x:v>3</x:v>
      </x:c>
    </x:row>
    <x:row r="3290" ht="93" customHeight="1">
      <x:c r="A3290" s="19" t="n">
        <x:v>3287</x:v>
      </x:c>
      <x:c r="B3290" s="22" t="e">
        <x:f>HYPERLINK("https://cdn.shopify.com/s/files/1/0918/6066/4603/files/O1CN01kZDjKi1T2RXx3LETg__6000000002324-0-cib.jpg?v=1774956601","Open")</x:f>
        <x:v>HYPERLINK is not implemented. linkLocation=https://cdn.shopify.com/s/files/1/0918/6066/4603/files/O1CN01kZDjKi1T2RXx3LETg__6000000002324-0-cib.jpg?v=1774956601, friendlyName=Open</x:v>
      </x:c>
      <x:c r="C3290" s="24" t="e">
        <x:f>HYPERLINK("https://365nails.com/products/365nails-candy-crush-3d-bow-handmade-almond-nails","365nails: ""Candy Crush"" – 3D Bow Handmade Almond Nails")</x:f>
        <x:v>HYPERLINK is not implemented. linkLocation=https://365nails.com/products/365nails-candy-crush-3d-bow-handmade-almond-nails, friendlyName=365nails: "Candy Crush" – 3D Bow Handmade Almond Nails</x:v>
      </x:c>
      <x:c r="D3290" s="18" t="str">
        <x:v>Color: Long tip; Color classification: Xs / S / M / L</x:v>
      </x:c>
      <x:c r="E3290" s="25" t="str">
        <x:v>$3.99</x:v>
      </x:c>
      <x:c r="F3290" s="19" t="str">
        <x:v>3</x:v>
      </x:c>
    </x:row>
    <x:row r="3291" ht="93" customHeight="1">
      <x:c r="A3291" s="19" t="n">
        <x:v>3288</x:v>
      </x:c>
      <x:c r="B3291" s="22" t="e">
        <x:f>HYPERLINK("https://cdn.shopify.com/s/files/1/0918/6066/4603/files/2332453ba7fb532e70bf690869aa413f.jpg?v=1779848250","Open")</x:f>
        <x:v>HYPERLINK is not implemented. linkLocation=https://cdn.shopify.com/s/files/1/0918/6066/4603/files/2332453ba7fb532e70bf690869aa413f.jpg?v=1779848250, friendlyName=Open</x:v>
      </x:c>
      <x:c r="C3291" s="24" t="e">
        <x:f>HYPERLINK("https://365nails.com/products/pink-mermaid-starfish-wholesale-ultra-soft-flexible-fit-handmade-nails-moq-100","""Pink Mermaid &amp; Starfish"" - Wholesale Ultra-Soft Flexible Fit Handmade Nails (MOQ=100)")</x:f>
        <x:v>HYPERLINK is not implemented. linkLocation=https://365nails.com/products/pink-mermaid-starfish-wholesale-ultra-soft-flexible-fit-handmade-nails-moq-100, friendlyName="Pink Mermaid &amp; Starfish" - Wholesale Ultra-Soft Flexible Fit Handmade Nails (MOQ=100)</x:v>
      </x:c>
      <x:c r="D3291" s="18" t="str">
        <x:v>Size: XS / S / M / L</x:v>
      </x:c>
      <x:c r="E3291" s="25" t="str">
        <x:v>$1.99</x:v>
      </x:c>
      <x:c r="F3291" s="19" t="str">
        <x:v>100</x:v>
      </x:c>
    </x:row>
    <x:row r="3292" ht="93" customHeight="1">
      <x:c r="A3292" s="19" t="n">
        <x:v>3289</x:v>
      </x:c>
      <x:c r="B3292" s="22" t="e">
        <x:f>HYPERLINK("https://cdn.shopify.com/s/files/1/0918/6066/4603/files/44a6a1810b3982392718d7ab30660e5d.jpg?v=1772976559","Open")</x:f>
        <x:v>HYPERLINK is not implemented. linkLocation=https://cdn.shopify.com/s/files/1/0918/6066/4603/files/44a6a1810b3982392718d7ab30660e5d.jpg?v=1772976559, friendlyName=Open</x:v>
      </x:c>
      <x:c r="C3292" s="24" t="e">
        <x:f>HYPERLINK("https://365nails.com/products/drama-collection-100mm-square-extra-long-square-nail-tips","Drama Collection: ""100mm Square"" – Extra Long Square Nail Tips")</x:f>
        <x:v>HYPERLINK is not implemented. linkLocation=https://365nails.com/products/drama-collection-100mm-square-extra-long-square-nail-tips, friendlyName=Drama Collection: "100mm Square" – Extra Long Square Nail Tips</x:v>
      </x:c>
      <x:c r="D3292" s="18" t="str">
        <x:v>Color: 264-extra long square head-transparent and traceless-120 pieces in bag / 264 - extra long square tip - natural seamless - 120 pieces/bag</x:v>
      </x:c>
      <x:c r="E3292" s="25" t="str">
        <x:v>$2.91</x:v>
      </x:c>
      <x:c r="F3292" s="19" t="str">
        <x:v>3</x:v>
      </x:c>
    </x:row>
    <x:row r="3293" ht="93" customHeight="1">
      <x:c r="A3293" s="19" t="n">
        <x:v>3290</x:v>
      </x:c>
      <x:c r="B3293" s="22" t="e">
        <x:f>HYPERLINK("https://cdn.shopify.com/s/files/1/0918/6066/4603/files/b877ead804b8769a72bc5c450b5f1321.jpg?v=1779848171","Open")</x:f>
        <x:v>HYPERLINK is not implemented. linkLocation=https://cdn.shopify.com/s/files/1/0918/6066/4603/files/b877ead804b8769a72bc5c450b5f1321.jpg?v=1779848171, friendlyName=Open</x:v>
      </x:c>
      <x:c r="C3293" s="24" t="e">
        <x:f>HYPERLINK("https://365nails.com/products/leopard-floral-magenta-wholesale-ultra-soft-flexible-fit-handmade-nails-moq-100","""Leopard Floral &amp; Magenta"" - Wholesale Ultra-Soft Flexible Fit Handmade Nails (MOQ=100)")</x:f>
        <x:v>HYPERLINK is not implemented. linkLocation=https://365nails.com/products/leopard-floral-magenta-wholesale-ultra-soft-flexible-fit-handmade-nails-moq-100, friendlyName="Leopard Floral &amp; Magenta" - Wholesale Ultra-Soft Flexible Fit Handmade Nails (MOQ=100)</x:v>
      </x:c>
      <x:c r="D3293" s="18" t="str">
        <x:v>Size: XS / S / M / L</x:v>
      </x:c>
      <x:c r="E3293" s="25" t="str">
        <x:v>$1.99</x:v>
      </x:c>
      <x:c r="F3293" s="19" t="str">
        <x:v>100</x:v>
      </x:c>
    </x:row>
    <x:row r="3294" ht="93" customHeight="1">
      <x:c r="A3294" s="19" t="n">
        <x:v>3291</x:v>
      </x:c>
      <x:c r="B3294" s="22" t="e">
        <x:f>HYPERLINK("https://cdn.shopify.com/s/files/1/0918/6066/4603/files/956aae8c595d70c8fbe8566ec0eca9bb.jpg?v=1772976698","Open")</x:f>
        <x:v>HYPERLINK is not implemented. linkLocation=https://cdn.shopify.com/s/files/1/0918/6066/4603/files/956aae8c595d70c8fbe8566ec0eca9bb.jpg?v=1772976698, friendlyName=Open</x:v>
      </x:c>
      <x:c r="C3294" s="24" t="e">
        <x:f>HYPERLINK("https://365nails.com/products/pro-pedicure-collection-matte-toe-matte-toe-nail-tips","Pro Pedicure Collection: ""Matte Toe"" – Matte Toe Nail Tips")</x:f>
        <x:v>HYPERLINK is not implemented. linkLocation=https://365nails.com/products/pro-pedicure-collection-matte-toe-matte-toe-nail-tips, friendlyName=Pro Pedicure Collection: "Matte Toe" – Matte Toe Nail Tips</x:v>
      </x:c>
      <x:c r="D3294" s="18" t="str">
        <x:v>Color: Ys-290 half-stick toenails - traceless - 120 pieces in box / Ys-290 half-stick toenails - traceless - 240 pieces in box</x:v>
      </x:c>
      <x:c r="E3294" s="25" t="str">
        <x:v>$0.78–$1.46</x:v>
      </x:c>
      <x:c r="F3294" s="19" t="str">
        <x:v>3</x:v>
      </x:c>
    </x:row>
    <x:row r="3295" ht="93" customHeight="1">
      <x:c r="A3295" s="19" t="n">
        <x:v>3292</x:v>
      </x:c>
      <x:c r="B3295" s="22" t="e">
        <x:f>HYPERLINK("https://cdn.shopify.com/s/files/1/0918/6066/4603/files/c0a47453482da7eaf412b7a7ec48d078.jpg?v=1779848380","Open")</x:f>
        <x:v>HYPERLINK is not implemented. linkLocation=https://cdn.shopify.com/s/files/1/0918/6066/4603/files/c0a47453482da7eaf412b7a7ec48d078.jpg?v=1779848380, friendlyName=Open</x:v>
      </x:c>
      <x:c r="C3295" s="24" t="e">
        <x:f>HYPERLINK("https://365nails.com/products/pastel-pink-3d-blossom-wholesale-ultra-soft-flexible-fit-handmade-nails-moq-100","""Pastel Pink &amp; 3D Blossom"" - Wholesale Ultra-Soft Flexible Fit Handmade Nails (MOQ=100)")</x:f>
        <x:v>HYPERLINK is not implemented. linkLocation=https://365nails.com/products/pastel-pink-3d-blossom-wholesale-ultra-soft-flexible-fit-handmade-nails-moq-100, friendlyName="Pastel Pink &amp; 3D Blossom" - Wholesale Ultra-Soft Flexible Fit Handmade Nails (MOQ=100)</x:v>
      </x:c>
      <x:c r="D3295" s="18" t="str">
        <x:v>Size: XS / S / M / L</x:v>
      </x:c>
      <x:c r="E3295" s="25" t="str">
        <x:v>$1.99</x:v>
      </x:c>
      <x:c r="F3295" s="19" t="str">
        <x:v>100</x:v>
      </x:c>
    </x:row>
    <x:row r="3296" ht="93" customHeight="1">
      <x:c r="A3296" s="19" t="n">
        <x:v>3293</x:v>
      </x:c>
      <x:c r="B3296" s="22" t="e">
        <x:f>HYPERLINK("https://cdn.shopify.com/s/files/1/0918/6066/4603/files/O1CN01JjI80X27ZUkgSBeRl__2220024697811-0-cib.jpg?v=1774944404","Open")</x:f>
        <x:v>HYPERLINK is not implemented. linkLocation=https://cdn.shopify.com/s/files/1/0918/6066/4603/files/O1CN01JjI80X27ZUkgSBeRl__2220024697811-0-cib.jpg?v=1774944404, friendlyName=Open</x:v>
      </x:c>
      <x:c r="C3296" s="24" t="e">
        <x:f>HYPERLINK("https://365nails.com/products/365nails-tropical-bloom-3d-flower-handmade-coffin-nails","365nails: ""Tropical Bloom"" – 3D Flower Handmade Coffin Nails")</x:f>
        <x:v>HYPERLINK is not implemented. linkLocation=https://365nails.com/products/365nails-tropical-bloom-3d-flower-handmade-coffin-nails, friendlyName=365nails: "Tropical Bloom" – 3D Flower Handmade Coffin Nails</x:v>
      </x:c>
      <x:c r="D3296" s="18" t="str">
        <x:v>Color: Medium t; Color classification: Xs / S / M / L</x:v>
      </x:c>
      <x:c r="E3296" s="25" t="str">
        <x:v>$5.49</x:v>
      </x:c>
      <x:c r="F3296" s="19" t="str">
        <x:v>3</x:v>
      </x:c>
    </x:row>
    <x:row r="3297" ht="93" customHeight="1">
      <x:c r="A3297" s="19" t="n">
        <x:v>3294</x:v>
      </x:c>
      <x:c r="B3297" s="22" t="e">
        <x:f>HYPERLINK("https://cdn.shopify.com/s/files/1/0918/6066/4603/files/O1CN018N4CkI2MQzcULj3fN__2219089449823-0-cib.jpg?v=1774065898","Open")</x:f>
        <x:v>HYPERLINK is not implemented. linkLocation=https://cdn.shopify.com/s/files/1/0918/6066/4603/files/O1CN018N4CkI2MQzcULj3fN__2219089449823-0-cib.jpg?v=1774065898, friendlyName=Open</x:v>
      </x:c>
      <x:c r="C3297" s="24" t="e">
        <x:f>HYPERLINK("https://365nails.com/products/ocean-bloom-blue-wave-floral-medium-almond-handmade-nails","365nails-Ocean Bloom: ""Blue Wave Floral"" – Medium Almond Handmade Nails")</x:f>
        <x:v>HYPERLINK is not implemented. linkLocation=https://365nails.com/products/ocean-bloom-blue-wave-floral-medium-almond-handmade-nails, friendlyName=365nails-Ocean Bloom: "Blue Wave Floral" – Medium Almond Handmade Nails</x:v>
      </x:c>
      <x:c r="D3297" s="18" t="str">
        <x:v>Color: D252; Color classification: X s / S / M / L</x:v>
      </x:c>
      <x:c r="E3297" s="25" t="str">
        <x:v>$3.99</x:v>
      </x:c>
      <x:c r="F3297" s="19" t="str">
        <x:v>1</x:v>
      </x:c>
    </x:row>
    <x:row r="3298" ht="93" customHeight="1">
      <x:c r="A3298" s="19" t="n">
        <x:v>3295</x:v>
      </x:c>
      <x:c r="B3298" s="22" t="e">
        <x:f>HYPERLINK("https://cdn.shopify.com/s/files/1/0918/6066/4603/files/O1CN01bDdgHX27ZUkjitbZ8__2220024697811-0-cib.jpg?v=1774945277","Open")</x:f>
        <x:v>HYPERLINK is not implemented. linkLocation=https://cdn.shopify.com/s/files/1/0918/6066/4603/files/O1CN01bDdgHX27ZUkjitbZ8__2220024697811-0-cib.jpg?v=1774945277, friendlyName=Open</x:v>
      </x:c>
      <x:c r="C3298" s="24" t="e">
        <x:f>HYPERLINK("https://365nails.com/products/365nails-wild-bloom-3d-floral-leopard-print-handmade-almond-nails","365nails: ""Wild Bloom"" – 3D Floral Leopard Print Handmade Almond Nails")</x:f>
        <x:v>HYPERLINK is not implemented. linkLocation=https://365nails.com/products/365nails-wild-bloom-3d-floral-leopard-print-handmade-almond-nails, friendlyName=365nails: "Wild Bloom" – 3D Floral Leopard Print Handmade Almond Nails</x:v>
      </x:c>
      <x:c r="D3298" s="18" t="str">
        <x:v>Color: Almond; Color classification: Xs / S / M / L</x:v>
      </x:c>
      <x:c r="E3298" s="25" t="str">
        <x:v>$4.49</x:v>
      </x:c>
      <x:c r="F3298" s="19" t="str">
        <x:v>3</x:v>
      </x:c>
    </x:row>
    <x:row r="3299" ht="93" customHeight="1">
      <x:c r="A3299" s="19" t="n">
        <x:v>3296</x:v>
      </x:c>
      <x:c r="B3299" s="22" t="e">
        <x:f>HYPERLINK("https://cdn.shopify.com/s/files/1/0918/6066/4603/files/O1CN01Wj00q12MQzfdKMqeH__2219089449823-0-cib.jpg?v=1774258041","Open")</x:f>
        <x:v>HYPERLINK is not implemented. linkLocation=https://cdn.shopify.com/s/files/1/0918/6066/4603/files/O1CN01Wj00q12MQzfdKMqeH__2219089449823-0-cib.jpg?v=1774258041, friendlyName=Open</x:v>
      </x:c>
      <x:c r="C3299" s="24" t="e">
        <x:f>HYPERLINK("https://365nails.com/products/bow-pearl-black-french-bow-square-shape-handmade-press-on-nails","Bow &amp; Pearl: ""Black French Bow"" – Square Shape Handmade Press-On Nails")</x:f>
        <x:v>HYPERLINK is not implemented. linkLocation=https://365nails.com/products/bow-pearl-black-french-bow-square-shape-handmade-press-on-nails, friendlyName=Bow &amp; Pearl: "Black French Bow" – Square Shape Handmade Press-On Nails</x:v>
      </x:c>
      <x:c r="D3299" s="18" t="str">
        <x:v>Color: C452; Color classification: X s / S / M / L</x:v>
      </x:c>
      <x:c r="E3299" s="25" t="str">
        <x:v>$3.49</x:v>
      </x:c>
      <x:c r="F3299" s="19" t="str">
        <x:v>1</x:v>
      </x:c>
    </x:row>
    <x:row r="3300" ht="93" customHeight="1">
      <x:c r="A3300" s="19" t="n">
        <x:v>3297</x:v>
      </x:c>
      <x:c r="B3300" s="22" t="e">
        <x:f>HYPERLINK("https://cdn.shopify.com/s/files/1/0918/6066/4603/files/O1CN01j8VLxu27ZUlmHwOAJ__2220024697811-0-cib.jpg?v=1774927045","Open")</x:f>
        <x:v>HYPERLINK is not implemented. linkLocation=https://cdn.shopify.com/s/files/1/0918/6066/4603/files/O1CN01j8VLxu27ZUlmHwOAJ__2220024697811-0-cib.jpg?v=1774927045, friendlyName=Open</x:v>
      </x:c>
      <x:c r="C3300" s="24" t="e">
        <x:f>HYPERLINK("https://365nails.com/products/365nails-baroque-dream-3d-crystal-handmade-stiletto-nails","365nails: ""Baroque Dream"" – 3D Crystal Handmade Stiletto Nails")</x:f>
        <x:v>HYPERLINK is not implemented. linkLocation=https://365nails.com/products/365nails-baroque-dream-3d-crystal-handmade-stiletto-nails, friendlyName=365nails: "Baroque Dream" – 3D Crystal Handmade Stiletto Nails</x:v>
      </x:c>
      <x:c r="D3300" s="18" t="str">
        <x:v>Color: Long tip; Color classification: Xs / S / M / L</x:v>
      </x:c>
      <x:c r="E3300" s="25" t="str">
        <x:v>$4.99</x:v>
      </x:c>
      <x:c r="F3300" s="19" t="str">
        <x:v>3</x:v>
      </x:c>
    </x:row>
    <x:row r="3301" ht="93" customHeight="1">
      <x:c r="A3301" s="19" t="n">
        <x:v>3298</x:v>
      </x:c>
      <x:c r="B3301" s="22" t="e">
        <x:f>HYPERLINK("https://cdn.shopify.com/s/files/1/0918/6066/4603/files/O1CN01pRqm2Y27ZUlRztfUN__2220024697811-0-cib.jpg?v=1775053475","Open")</x:f>
        <x:v>HYPERLINK is not implemented. linkLocation=https://cdn.shopify.com/s/files/1/0918/6066/4603/files/O1CN01pRqm2Y27ZUlRztfUN__2220024697811-0-cib.jpg?v=1775053475, friendlyName=Open</x:v>
      </x:c>
      <x:c r="C3301" s="24" t="e">
        <x:f>HYPERLINK("https://365nails.com/products/365nails-reptile-fantasy-3d-snake-geometric-handmade-square-nails","365nails: ""Reptile Fantasy"" – 3D Snake &amp; Geometric Handmade Square Nails")</x:f>
        <x:v>HYPERLINK is not implemented. linkLocation=https://365nails.com/products/365nails-reptile-fantasy-3d-snake-geometric-handmade-square-nails, friendlyName=365nails: "Reptile Fantasy" – 3D Snake &amp; Geometric Handmade Square Nails</x:v>
      </x:c>
      <x:c r="D3301" s="18" t="str">
        <x:v>Color: Long t; Color classification: Xs / S / M / L</x:v>
      </x:c>
      <x:c r="E3301" s="25" t="str">
        <x:v>$4.99</x:v>
      </x:c>
      <x:c r="F3301" s="19" t="str">
        <x:v>3</x:v>
      </x:c>
    </x:row>
    <x:row r="3302" ht="93" customHeight="1">
      <x:c r="A3302" s="19" t="n">
        <x:v>3299</x:v>
      </x:c>
      <x:c r="B3302" s="22" t="e">
        <x:f>HYPERLINK("https://cdn.shopify.com/s/files/1/0918/6066/4603/files/cb1c236b92cc657ff49961b715f59a8e.jpg?v=1779848438","Open")</x:f>
        <x:v>HYPERLINK is not implemented. linkLocation=https://cdn.shopify.com/s/files/1/0918/6066/4603/files/cb1c236b92cc657ff49961b715f59a8e.jpg?v=1779848438, friendlyName=Open</x:v>
      </x:c>
      <x:c r="C3302" s="24" t="e">
        <x:f>HYPERLINK("https://365nails.com/products/sunset-ocean-shell-pearl-wholesale-ultra-soft-flexible-fit-handmade-nails-moq-100","""Sunset Ocean &amp; Shell Pearl"" - Wholesale Ultra-Soft Flexible Fit Handmade Nails (MOQ=100)")</x:f>
        <x:v>HYPERLINK is not implemented. linkLocation=https://365nails.com/products/sunset-ocean-shell-pearl-wholesale-ultra-soft-flexible-fit-handmade-nails-moq-100, friendlyName="Sunset Ocean &amp; Shell Pearl" - Wholesale Ultra-Soft Flexible Fit Handmade Nails (MOQ=100)</x:v>
      </x:c>
      <x:c r="D3302" s="18" t="str">
        <x:v>Size: XS / S / M / L</x:v>
      </x:c>
      <x:c r="E3302" s="25" t="str">
        <x:v>$1.99</x:v>
      </x:c>
      <x:c r="F3302" s="19" t="str">
        <x:v>100</x:v>
      </x:c>
    </x:row>
    <x:row r="3303" ht="93" customHeight="1">
      <x:c r="A3303" s="19" t="n">
        <x:v>3300</x:v>
      </x:c>
      <x:c r="B3303" s="22" t="e">
        <x:f>HYPERLINK("https://cdn.shopify.com/s/files/1/0918/6066/4603/files/O1CN0124RNKQ27ZUm5xxZfN__2220024697811-0-cib_63462233-560e-4370-85cc-d626febe176a.jpg?v=1775039132","Open")</x:f>
        <x:v>HYPERLINK is not implemented. linkLocation=https://cdn.shopify.com/s/files/1/0918/6066/4603/files/O1CN0124RNKQ27ZUm5xxZfN__2220024697811-0-cib_63462233-560e-4370-85cc-d626febe176a.jpg?v=1775039132, friendlyName=Open</x:v>
      </x:c>
      <x:c r="C3303" s="24" t="e">
        <x:f>HYPERLINK("https://365nails.com/products/365nails-velvet-crush-3d-heart-chrome-handmade-coffin-nails","365nails: ""Velvet Crush"" – 3D Heart &amp; Chrome Handmade Coffin Nails")</x:f>
        <x:v>HYPERLINK is not implemented. linkLocation=https://365nails.com/products/365nails-velvet-crush-3d-heart-chrome-handmade-coffin-nails, friendlyName=365nails: "Velvet Crush" – 3D Heart &amp; Chrome Handmade Coffin Nails</x:v>
      </x:c>
      <x:c r="D3303" s="18" t="str">
        <x:v>Color: Almond; Color classification: Xs / S / M / L</x:v>
      </x:c>
      <x:c r="E3303" s="25" t="str">
        <x:v>$4.49</x:v>
      </x:c>
      <x:c r="F3303" s="19" t="str">
        <x:v>3</x:v>
      </x:c>
    </x:row>
    <x:row r="3304" ht="93" customHeight="1">
      <x:c r="A3304" s="19" t="n">
        <x:v>3301</x:v>
      </x:c>
      <x:c r="B3304" s="22" t="e">
        <x:f>HYPERLINK("https://cdn.shopify.com/s/files/1/0918/6066/4603/files/O1CN01ilHC8v27ZUlInuiJd__2220024697811-0-cib.jpg?v=1774957736","Open")</x:f>
        <x:v>HYPERLINK is not implemented. linkLocation=https://cdn.shopify.com/s/files/1/0918/6066/4603/files/O1CN01ilHC8v27ZUlInuiJd__2220024697811-0-cib.jpg?v=1774957736, friendlyName=Open</x:v>
      </x:c>
      <x:c r="C3304" s="24" t="e">
        <x:f>HYPERLINK("https://365nails.com/products/365nails-tropical-bloom-3d-floral-handmade-almond-nails-4","365nails: ""Tropical Bloom"" – 3D Floral Handmade Almond Nails")</x:f>
        <x:v>HYPERLINK is not implemented. linkLocation=https://365nails.com/products/365nails-tropical-bloom-3d-floral-handmade-almond-nails-4, friendlyName=365nails: "Tropical Bloom" – 3D Floral Handmade Almond Nails</x:v>
      </x:c>
      <x:c r="D3304" s="18" t="str">
        <x:v>Color: Almond; Color classification: Xs / S / M / L</x:v>
      </x:c>
      <x:c r="E3304" s="25" t="str">
        <x:v>$4.49</x:v>
      </x:c>
      <x:c r="F3304" s="19" t="str">
        <x:v>3</x:v>
      </x:c>
    </x:row>
    <x:row r="3305" ht="93" customHeight="1">
      <x:c r="A3305" s="19" t="n">
        <x:v>3302</x:v>
      </x:c>
      <x:c r="B3305" s="22" t="e">
        <x:f>HYPERLINK("https://cdn.shopify.com/s/files/1/0918/6066/4603/files/O1CN01tYoJtT27ZUmjCamua__2220024697811-0-cib_95d61628-5f1b-44cd-9b86-6631b13724b4.jpg?v=1774960158","Open")</x:f>
        <x:v>HYPERLINK is not implemented. linkLocation=https://cdn.shopify.com/s/files/1/0918/6066/4603/files/O1CN01tYoJtT27ZUmjCamua__2220024697811-0-cib_95d61628-5f1b-44cd-9b86-6631b13724b4.jpg?v=1774960158, friendlyName=Open</x:v>
      </x:c>
      <x:c r="C3305" s="24" t="e">
        <x:f>HYPERLINK("https://365nails.com/products/365nails-kitty-s-secret-3d-bow-handmade-almond-nails","365nails: ""Kitty’s Secret"" – 3D Bow Handmade Almond Nails")</x:f>
        <x:v>HYPERLINK is not implemented. linkLocation=https://365nails.com/products/365nails-kitty-s-secret-3d-bow-handmade-almond-nails, friendlyName=365nails: "Kitty’s Secret" – 3D Bow Handmade Almond Nails</x:v>
      </x:c>
      <x:c r="D3305" s="18" t="str">
        <x:v>Color: European; Color classification: Xs / S / M / L</x:v>
      </x:c>
      <x:c r="E3305" s="25" t="str">
        <x:v>$4.99</x:v>
      </x:c>
      <x:c r="F3305" s="19" t="str">
        <x:v>3</x:v>
      </x:c>
    </x:row>
    <x:row r="3306" ht="93" customHeight="1">
      <x:c r="A3306" s="19" t="n">
        <x:v>3303</x:v>
      </x:c>
      <x:c r="B3306" s="22" t="e">
        <x:f>HYPERLINK("https://cdn.shopify.com/s/files/1/0918/6066/4603/files/O1CN01xpMiUL1CPwHSyAGXk__2213196780074-0-cib_a70a9292-4b6a-4148-be76-fad88c541629.jpg?v=1774679773","Open")</x:f>
        <x:v>HYPERLINK is not implemented. linkLocation=https://cdn.shopify.com/s/files/1/0918/6066/4603/files/O1CN01xpMiUL1CPwHSyAGXk__2213196780074-0-cib_a70a9292-4b6a-4148-be76-fad88c541629.jpg?v=1774679773, friendlyName=Open</x:v>
      </x:c>
      <x:c r="C3306" s="24" t="e">
        <x:f>HYPERLINK("https://365nails.com/products/365nails-gilded-whisper-champagne-cat-eye-handmade-coffin-nails","365nails: ""Gilded Whisper"" – Champagne Cat Eye Handmade Coffin Nails")</x:f>
        <x:v>HYPERLINK is not implemented. linkLocation=https://365nails.com/products/365nails-gilded-whisper-champagne-cat-eye-handmade-coffin-nails, friendlyName=365nails: "Gilded Whisper" – Champagne Cat Eye Handmade Coffin Nails</x:v>
      </x:c>
      <x:c r="D3306" s="18" t="str">
        <x:v>Color: 2033 middle ladder; Color classification: Extra small size xs / Small s / Medium m / Large l</x:v>
      </x:c>
      <x:c r="E3306" s="25" t="str">
        <x:v>$3.49</x:v>
      </x:c>
      <x:c r="F3306" s="19" t="str">
        <x:v>1</x:v>
      </x:c>
    </x:row>
    <x:row r="3307" ht="93" customHeight="1">
      <x:c r="A3307" s="19" t="n">
        <x:v>3304</x:v>
      </x:c>
      <x:c r="B3307" s="22" t="e">
        <x:f>HYPERLINK("https://cdn.shopify.com/s/files/1/0918/6066/4603/files/O1CN01ivTBNx2214t1ZxVXi__2219480337059-0-cib_4c4478da-4d9a-49a5-a349-21c552877f8a.jpg?v=1773824706","Open")</x:f>
        <x:v>HYPERLINK is not implemented. linkLocation=https://cdn.shopify.com/s/files/1/0918/6066/4603/files/O1CN01ivTBNx2214t1ZxVXi__2219480337059-0-cib_4c4478da-4d9a-49a5-a349-21c552877f8a.jpg?v=1773824706, friendlyName=Open</x:v>
      </x:c>
      <x:c r="C3307" s="24" t="e">
        <x:f>HYPERLINK("https://365nails.com/products/golden-heart-kids-series-shiny-golden-love-short-square-kids-nail-art","365nails-Golden Heart Kids Series: ""Shiny Golden Love"" – Short Square Kids Nail Art")</x:f>
        <x:v>HYPERLINK is not implemented. linkLocation=https://365nails.com/products/golden-heart-kids-series-shiny-golden-love-short-square-kids-nail-art, friendlyName=365nails-Golden Heart Kids Series: "Shiny Golden Love" – Short Square Kids Nail Art</x:v>
      </x:c>
      <x:c r="D3307" s="18" t="str">
        <x:v>Color: Golden heart cat eye; Color classification: Xs (about 2 years old) / S (3-4 years old) / M (5-7 years old) / L (8-11 years old)</x:v>
      </x:c>
      <x:c r="E3307" s="25" t="str">
        <x:v>$2.99</x:v>
      </x:c>
      <x:c r="F3307" s="19" t="str">
        <x:v>3</x:v>
      </x:c>
    </x:row>
    <x:row r="3308" ht="93" customHeight="1">
      <x:c r="A3308" s="19" t="n">
        <x:v>3305</x:v>
      </x:c>
      <x:c r="B3308" s="22" t="e">
        <x:f>HYPERLINK("https://cdn.shopify.com/s/files/1/0918/6066/4603/files/354789ee4b944fa8ef53359f1d5c5f74.jpg?v=1775460104","Open")</x:f>
        <x:v>HYPERLINK is not implemented. linkLocation=https://cdn.shopify.com/s/files/1/0918/6066/4603/files/354789ee4b944fa8ef53359f1d5c5f74.jpg?v=1775460104, friendlyName=Open</x:v>
      </x:c>
      <x:c r="C3308" s="24" t="e">
        <x:f>HYPERLINK("https://365nails.com/products/365nails-midnight-forest-3d-mushroom-spiderweb-handmade-long-stiletto-nails","365nails: ""Midnight Forest"" – 3D Mushroom &amp; Spiderweb Handmade Long Stiletto Nails")</x:f>
        <x:v>HYPERLINK is not implemented. linkLocation=https://365nails.com/products/365nails-midnight-forest-3d-mushroom-spiderweb-handmade-long-stiletto-nails, friendlyName=365nails: "Midnight Forest" – 3D Mushroom &amp; Spiderweb Handmade Long Stiletto Nails</x:v>
      </x:c>
      <x:c r="D3308" s="18" t="str">
        <x:v>Size: XS / S / M / L</x:v>
      </x:c>
      <x:c r="E3308" s="25" t="str">
        <x:v>$4.99</x:v>
      </x:c>
      <x:c r="F3308" s="19" t="str">
        <x:v>3</x:v>
      </x:c>
    </x:row>
    <x:row r="3309" ht="93" customHeight="1">
      <x:c r="A3309" s="19" t="n">
        <x:v>3306</x:v>
      </x:c>
      <x:c r="B3309" s="22" t="e">
        <x:f>HYPERLINK("https://cdn.shopify.com/s/files/1/0918/6066/4603/files/0bd534bb6708c2d0f205f5dc6bc164d6.jpg?v=1772976570","Open")</x:f>
        <x:v>HYPERLINK is not implemented. linkLocation=https://cdn.shopify.com/s/files/1/0918/6066/4603/files/0bd534bb6708c2d0f205f5dc6bc164d6.jpg?v=1772976570, friendlyName=Open</x:v>
      </x:c>
      <x:c r="C3309" s="24" t="e">
        <x:f>HYPERLINK("https://365nails.com/products/everyday-collection-french-nude-soft-nude-french-press-on-nails","Everyday Collection: ""French Nude"" – Soft Nude French Press-On Nails")</x:f>
        <x:v>HYPERLINK is not implemented. linkLocation=https://365nails.com/products/everyday-collection-french-nude-soft-nude-french-press-on-nails, friendlyName=Everyday Collection: "French Nude" – Soft Nude French Press-On Nails</x:v>
      </x:c>
      <x:c r="D3309" s="18" t="str">
        <x:v>Color: 192-014 white-medium ladder/120 piece bag / 192-359 white-medium ladder/120 piece bag / 192-359-medium ladder/120 piece bag / 192-2 white-medium ladder/120 piece bag / 192-2-medium ladder/120 piece bag / 192-442 white-medium ladder/120 piece bag / 192-442-medium ladder/120 piece bag / 192-new 1-medium ladder/120 piece bag / 193-359-short ladder/120 piece bag / 193-2-short ladder/120 piece bag / 193-442 white-short ladder/120 piece bag / 193-442-short ladder/120 piece bag / 193-1-short ladder/120 piece bag / 194-442-almond/120 pieces bag / 197-014 white-short square circle/120 piece bag / 197-014-short square circle/120 piece bag / 197-359 - short square round / 120-piece bag / 197-2 black-short square circle/120 piece bag / 197-2-short square circle/120 piece bag / 197-442 black-short square circle/120 piece bag / 197-442-short square circle/120 piece bag / 197-1 white-short square circle/120 piece bag / 401-014 white-short ladder/120 piece bag / 401-014-short ladder/120 piece bag / 401-2 white-short ladder/120 piece bag / 401-2-short ladder/120 piece bag / 401-442-short ladder/120 piece bag / 401-1 white-short ladder/120 piece bag / 401-1-short ladder/120 piece bag / 405-014 white-short almond/120 pieces bag / 405-014-short almond/120 pieces bag / 405-359-short almond/120 pieces bag / 405-2 white-short almond/120 pieces bag / 405-2-short almond/120 pieces bag / 405-442 black-short almond/120 pieces bag / 405-442-short almond/120 piece bag / 405-1 white-short almond/120 pieces bag / 405-1-short almond/120 pieces bag / 406-014-toenails/120 pieces bag / 406-2-toenails/120 pieces bag / 406-442-toenails/120 pieces bag / 406-1-toenails/120 pieces bag / 406-359-toenails/120 pieces bag / 411-61d-white / 411-359-white / 411-390-2-white / 411-442-white / 411-3391-1-white / 411 black-61d / 411 black-359 / 411 black-390-2 / 411 black-442 / 411 black-3391-1</x:v>
      </x:c>
      <x:c r="E3309" s="25" t="str">
        <x:v>$1.18–$1.72</x:v>
      </x:c>
      <x:c r="F3309" s="19" t="str">
        <x:v>3</x:v>
      </x:c>
    </x:row>
    <x:row r="3310" ht="93" customHeight="1">
      <x:c r="A3310" s="19" t="n">
        <x:v>3307</x:v>
      </x:c>
      <x:c r="B3310" s="22" t="e">
        <x:f>HYPERLINK("https://cdn.shopify.com/s/files/1/0918/6066/4603/files/O1CN01aUeCvy27ZUlTmRxdl__2220024697811-0-cib.jpg?v=1774958307","Open")</x:f>
        <x:v>HYPERLINK is not implemented. linkLocation=https://cdn.shopify.com/s/files/1/0918/6066/4603/files/O1CN01aUeCvy27ZUlTmRxdl__2220024697811-0-cib.jpg?v=1774958307, friendlyName=Open</x:v>
      </x:c>
      <x:c r="C3310" s="24" t="e">
        <x:f>HYPERLINK("https://365nails.com/products/365nails-safari-bloom-3d-floral-handmade-almond-nails","365nails: ""Safari Bloom"" – 3D Floral Handmade Almond Nails")</x:f>
        <x:v>HYPERLINK is not implemented. linkLocation=https://365nails.com/products/365nails-safari-bloom-3d-floral-handmade-almond-nails, friendlyName=365nails: "Safari Bloom" – 3D Floral Handmade Almond Nails</x:v>
      </x:c>
      <x:c r="D3310" s="18" t="str">
        <x:v>Color: Right angle t; Color classification: Xs / S / M / L</x:v>
      </x:c>
      <x:c r="E3310" s="25" t="str">
        <x:v>$4.49</x:v>
      </x:c>
      <x:c r="F3310" s="19" t="str">
        <x:v>3</x:v>
      </x:c>
    </x:row>
    <x:row r="3311" ht="93" customHeight="1">
      <x:c r="A3311" s="19" t="n">
        <x:v>3308</x:v>
      </x:c>
      <x:c r="B3311" s="22" t="e">
        <x:f>HYPERLINK("https://cdn.shopify.com/s/files/1/0918/6066/4603/files/O1CN01tmbknG27ZUlTmwRE1__2220024697811-0-cib.jpg?v=1774927474","Open")</x:f>
        <x:v>HYPERLINK is not implemented. linkLocation=https://cdn.shopify.com/s/files/1/0918/6066/4603/files/O1CN01tmbknG27ZUlTmwRE1__2220024697811-0-cib.jpg?v=1774927474, friendlyName=Open</x:v>
      </x:c>
      <x:c r="C3311" s="24" t="e">
        <x:f>HYPERLINK("https://365nails.com/products/365nails-gilded-symphony-3d-gold-marble-handmade-stiletto-nails","365nails: ""Gilded Symphony"" – 3D Gold Marble Handmade Stiletto Nails")</x:f>
        <x:v>HYPERLINK is not implemented. linkLocation=https://365nails.com/products/365nails-gilded-symphony-3d-gold-marble-handmade-stiletto-nails, friendlyName=365nails: "Gilded Symphony" – 3D Gold Marble Handmade Stiletto Nails</x:v>
      </x:c>
      <x:c r="D3311" s="18" t="str">
        <x:v>Color: Long tip; Color classification: Xs / S / M / L</x:v>
      </x:c>
      <x:c r="E3311" s="25" t="str">
        <x:v>$4.49</x:v>
      </x:c>
      <x:c r="F3311" s="19" t="str">
        <x:v>3</x:v>
      </x:c>
    </x:row>
    <x:row r="3312" ht="93" customHeight="1">
      <x:c r="A3312" s="19" t="n">
        <x:v>3309</x:v>
      </x:c>
      <x:c r="B3312" s="22" t="e">
        <x:f>HYPERLINK("https://cdn.shopify.com/s/files/1/0918/6066/4603/files/O1CN01VTZu1x2MQzfkZcuEJ__2219089449823-0-cib.jpg?v=1774065532","Open")</x:f>
        <x:v>HYPERLINK is not implemented. linkLocation=https://cdn.shopify.com/s/files/1/0918/6066/4603/files/O1CN01VTZu1x2MQzfkZcuEJ__2219089449823-0-cib.jpg?v=1774065532, friendlyName=Open</x:v>
      </x:c>
      <x:c r="C3312" s="24" t="e">
        <x:f>HYPERLINK("https://365nails.com/products/pastel-carnival-rainbow-floral-long-almond-handmade-nails","365nails-Pastel Carnival: ""Rainbow Floral"" – Long Almond Handmade Nails")</x:f>
        <x:v>HYPERLINK is not implemented. linkLocation=https://365nails.com/products/pastel-carnival-rainbow-floral-long-almond-handmade-nails, friendlyName=365nails-Pastel Carnival: "Rainbow Floral" – Long Almond Handmade Nails</x:v>
      </x:c>
      <x:c r="D3312" s="18" t="str">
        <x:v>Color: D246; Color classification: X s / S / M / L</x:v>
      </x:c>
      <x:c r="E3312" s="25" t="str">
        <x:v>$3.99</x:v>
      </x:c>
      <x:c r="F3312" s="19" t="str">
        <x:v>5</x:v>
      </x:c>
    </x:row>
    <x:row r="3313" ht="93" customHeight="1">
      <x:c r="A3313" s="19" t="n">
        <x:v>3310</x:v>
      </x:c>
      <x:c r="B3313" s="22" t="e">
        <x:f>HYPERLINK("https://cdn.shopify.com/s/files/1/0918/6066/4603/files/O1CN01zLkekO27ZUl8fn3h1__2220024697811-0-cib.jpg?v=1775052894","Open")</x:f>
        <x:v>HYPERLINK is not implemented. linkLocation=https://cdn.shopify.com/s/files/1/0918/6066/4603/files/O1CN01zLkekO27ZUl8fn3h1__2220024697811-0-cib.jpg?v=1775052894, friendlyName=Open</x:v>
      </x:c>
      <x:c r="C3313" s="24" t="e">
        <x:f>HYPERLINK("https://365nails.com/products/365nails-tropical-fantasy-3d-floral-polka-dot-handmade-stiletto-nails","365nails: ""Tropical Fantasy"" – 3D Floral &amp; Polka Dot Handmade Stiletto Nails")</x:f>
        <x:v>HYPERLINK is not implemented. linkLocation=https://365nails.com/products/365nails-tropical-fantasy-3d-floral-polka-dot-handmade-stiletto-nails, friendlyName=365nails: "Tropical Fantasy" – 3D Floral &amp; Polka Dot Handmade Stiletto Nails</x:v>
      </x:c>
      <x:c r="D3313" s="18" t="str">
        <x:v>Color: Long tip; Color classification: Xs / S / M / L</x:v>
      </x:c>
      <x:c r="E3313" s="25" t="str">
        <x:v>$4.49</x:v>
      </x:c>
      <x:c r="F3313" s="19" t="str">
        <x:v>3</x:v>
      </x:c>
    </x:row>
    <x:row r="3314" ht="93" customHeight="1">
      <x:c r="A3314" s="19" t="n">
        <x:v>3311</x:v>
      </x:c>
      <x:c r="B3314" s="22" t="e">
        <x:f>HYPERLINK("https://cdn.shopify.com/s/files/1/0918/6066/4603/files/O1CN01godd642MQzfqT6pi8__2219089449823-0-cib.jpg?v=1774275806","Open")</x:f>
        <x:v>HYPERLINK is not implemented. linkLocation=https://cdn.shopify.com/s/files/1/0918/6066/4603/files/O1CN01godd642MQzfqT6pi8__2219089449823-0-cib.jpg?v=1774275806, friendlyName=Open</x:v>
      </x:c>
      <x:c r="C3314" s="24" t="e">
        <x:f>HYPERLINK("https://365nails.com/products/tropic-fever-jungle-bloom-short-almond-press-on-nails","Tropic Fever: ""Jungle Bloom"" – Short Almond Press-On Nails")</x:f>
        <x:v>HYPERLINK is not implemented. linkLocation=https://365nails.com/products/tropic-fever-jungle-bloom-short-almond-press-on-nails, friendlyName=Tropic Fever: "Jungle Bloom" – Short Almond Press-On Nails</x:v>
      </x:c>
      <x:c r="D3314" s="18" t="str">
        <x:v>Color: D634; Color classification: X s / S / M / L</x:v>
      </x:c>
      <x:c r="E3314" s="25" t="str">
        <x:v>$3.99</x:v>
      </x:c>
      <x:c r="F3314" s="19" t="str">
        <x:v>1</x:v>
      </x:c>
    </x:row>
    <x:row r="3315" ht="93" customHeight="1">
      <x:c r="A3315" s="19" t="n">
        <x:v>3312</x:v>
      </x:c>
      <x:c r="B3315" s="22" t="e">
        <x:f>HYPERLINK("https://cdn.shopify.com/s/files/1/0918/6066/4603/files/O1CN01Zm8l4f27ZUkFYZUah__2220024697811-0-cib.jpg?v=1774928200","Open")</x:f>
        <x:v>HYPERLINK is not implemented. linkLocation=https://cdn.shopify.com/s/files/1/0918/6066/4603/files/O1CN01Zm8l4f27ZUkFYZUah__2220024697811-0-cib.jpg?v=1774928200, friendlyName=Open</x:v>
      </x:c>
      <x:c r="C3315" s="24" t="e">
        <x:f>HYPERLINK("https://365nails.com/products/365nails-fruity-delight-3d-fruit-art-handmade-almond-nails","365nails: ""Fruity Delight"" – 3D Fruit Art Handmade Almond Nails")</x:f>
        <x:v>HYPERLINK is not implemented. linkLocation=https://365nails.com/products/365nails-fruity-delight-3d-fruit-art-handmade-almond-nails, friendlyName=365nails: "Fruity Delight" – 3D Fruit Art Handmade Almond Nails</x:v>
      </x:c>
      <x:c r="D3315" s="18" t="str">
        <x:v>Color: Short almond; Color classification: Xs / S / M / L</x:v>
      </x:c>
      <x:c r="E3315" s="25" t="str">
        <x:v>$4.99</x:v>
      </x:c>
      <x:c r="F3315" s="19" t="str">
        <x:v>3</x:v>
      </x:c>
    </x:row>
    <x:row r="3316" ht="93" customHeight="1">
      <x:c r="A3316" s="19" t="n">
        <x:v>3313</x:v>
      </x:c>
      <x:c r="B3316" s="22" t="e">
        <x:f>HYPERLINK("https://cdn.shopify.com/s/files/1/0918/6066/4603/files/O1CN01CUmSLy2MQzf7lvlzO__2219089449823-0-cib.jpg?v=1774178792","Open")</x:f>
        <x:v>HYPERLINK is not implemented. linkLocation=https://cdn.shopify.com/s/files/1/0918/6066/4603/files/O1CN01CUmSLy2MQzf7lvlzO__2219089449823-0-cib.jpg?v=1774178792, friendlyName=Open</x:v>
      </x:c>
      <x:c r="C3316" s="24" t="e">
        <x:f>HYPERLINK("https://365nails.com/products/tropical-bloom-neon-blossom-long-almond-press-on-nails","Tropical Bloom: ""Neon Blossom"" – Long Almond Press-On Nails")</x:f>
        <x:v>HYPERLINK is not implemented. linkLocation=https://365nails.com/products/tropical-bloom-neon-blossom-long-almond-press-on-nails, friendlyName=Tropical Bloom: "Neon Blossom" – Long Almond Press-On Nails</x:v>
      </x:c>
      <x:c r="D3316" s="18" t="str">
        <x:v>Color: D593; Color classification: X s / S / M / L</x:v>
      </x:c>
      <x:c r="E3316" s="25" t="str">
        <x:v>$3.99</x:v>
      </x:c>
      <x:c r="F3316" s="19" t="str">
        <x:v>1</x:v>
      </x:c>
    </x:row>
    <x:row r="3317" ht="93" customHeight="1">
      <x:c r="A3317" s="19" t="n">
        <x:v>3314</x:v>
      </x:c>
      <x:c r="B3317" s="22" t="e">
        <x:f>HYPERLINK("https://cdn.shopify.com/s/files/1/0918/6066/4603/files/362d5011df714d722b845a5f127e3f2a.jpg?v=1778317262","Open")</x:f>
        <x:v>HYPERLINK is not implemented. linkLocation=https://cdn.shopify.com/s/files/1/0918/6066/4603/files/362d5011df714d722b845a5f127e3f2a.jpg?v=1778317262, friendlyName=Open</x:v>
      </x:c>
      <x:c r="C3317" s="24" t="e">
        <x:f>HYPERLINK("https://365nails.com/products/365nails-zebra-heartbeat-3d-rhinestone-animal-print-handmade-coffin-nails","365nails: ""Zebra Heartbeat"" – 3D Rhinestone &amp; Animal Print Handmade Coffin Nails")</x:f>
        <x:v>HYPERLINK is not implemented. linkLocation=https://365nails.com/products/365nails-zebra-heartbeat-3d-rhinestone-animal-print-handmade-coffin-nails, friendlyName=365nails: "Zebra Heartbeat" – 3D Rhinestone &amp; Animal Print Handmade Coffin Nails</x:v>
      </x:c>
      <x:c r="D3317" s="18" t="str">
        <x:v>Size: XS / S / M / L</x:v>
      </x:c>
      <x:c r="E3317" s="25" t="str">
        <x:v>$3.99</x:v>
      </x:c>
      <x:c r="F3317" s="19" t="str">
        <x:v>5</x:v>
      </x:c>
    </x:row>
    <x:row r="3318" ht="93" customHeight="1">
      <x:c r="A3318" s="19" t="n">
        <x:v>3315</x:v>
      </x:c>
      <x:c r="B3318" s="22" t="e">
        <x:f>HYPERLINK("https://cdn.shopify.com/s/files/1/0918/6066/4603/files/O1CN01OKKj2P27ZUmrTAB5f__2220024697811-0-cib.jpg?v=1772373515","Open")</x:f>
        <x:v>HYPERLINK is not implemented. linkLocation=https://cdn.shopify.com/s/files/1/0918/6066/4603/files/O1CN01OKKj2P27ZUmrTAB5f__2220024697811-0-cib.jpg?v=1772373515, friendlyName=Open</x:v>
      </x:c>
      <x:c r="C3318" s="24" t="e">
        <x:f>HYPERLINK("https://365nails.com/products/dark-academia-collection-gothic-plaid-short-square-press-on-nails","Dark Academia Collection: ""Gothic Plaid"" – Short Square Press-On Nails")</x:f>
        <x:v>HYPERLINK is not implemented. linkLocation=https://365nails.com/products/dark-academia-collection-gothic-plaid-short-square-press-on-nails, friendlyName=Dark Academia Collection: "Gothic Plaid" – Short Square Press-On Nails</x:v>
      </x:c>
      <x:c r="D3318" s="18" t="str">
        <x:v>Color: Almonds; Color classification: X s / S / M / L</x:v>
      </x:c>
      <x:c r="E3318" s="25" t="str">
        <x:v>$4.43</x:v>
      </x:c>
      <x:c r="F3318" s="19" t="str">
        <x:v>1</x:v>
      </x:c>
    </x:row>
    <x:row r="3319" ht="93" customHeight="1">
      <x:c r="A3319" s="19" t="n">
        <x:v>3316</x:v>
      </x:c>
      <x:c r="B3319" s="22" t="e">
        <x:f>HYPERLINK("https://cdn.shopify.com/s/files/1/0918/6066/4603/files/O1CN01hwVxJ62MQzfFNGtXa__2219089449823-0-cib.jpg?v=1774257935","Open")</x:f>
        <x:v>HYPERLINK is not implemented. linkLocation=https://cdn.shopify.com/s/files/1/0918/6066/4603/files/O1CN01hwVxJ62MQzfFNGtXa__2219089449823-0-cib.jpg?v=1774257935, friendlyName=Open</x:v>
      </x:c>
      <x:c r="C3319" s="24" t="e">
        <x:f>HYPERLINK("https://365nails.com/products/auspicious-lion-dance-lion-dance-firework-square-shape-handmade-press-on-nails","Auspicious Lion Dance: ""Lion Dance Firework"" – Square Shape Handmade Press-On Nails")</x:f>
        <x:v>HYPERLINK is not implemented. linkLocation=https://365nails.com/products/auspicious-lion-dance-lion-dance-firework-square-shape-handmade-press-on-nails, friendlyName=Auspicious Lion Dance: "Lion Dance Firework" – Square Shape Handmade Press-On Nails</x:v>
      </x:c>
      <x:c r="D3319" s="18" t="str">
        <x:v>Color: New short square—lucky lion awakening / New short square - prosperous lion awakening / Short square—happy lion awakening; Color classification: X s / S / M / L</x:v>
      </x:c>
      <x:c r="E3319" s="25" t="str">
        <x:v>$3.49</x:v>
      </x:c>
      <x:c r="F3319" s="19" t="str">
        <x:v>1</x:v>
      </x:c>
    </x:row>
    <x:row r="3320" ht="93" customHeight="1">
      <x:c r="A3320" s="19" t="n">
        <x:v>3317</x:v>
      </x:c>
      <x:c r="B3320" s="22" t="e">
        <x:f>HYPERLINK("https://cdn.shopify.com/s/files/1/0918/6066/4603/files/O1CN01exmknJ1CPwOcdYYNt__2213196780074-0-cib_b26bb445-8a5b-4b46-a928-717c1fb0445e.jpg?v=1774679192","Open")</x:f>
        <x:v>HYPERLINK is not implemented. linkLocation=https://cdn.shopify.com/s/files/1/0918/6066/4603/files/O1CN01exmknJ1CPwOcdYYNt__2213196780074-0-cib_b26bb445-8a5b-4b46-a928-717c1fb0445e.jpg?v=1774679192, friendlyName=Open</x:v>
      </x:c>
      <x:c r="C3320" s="24" t="e">
        <x:f>HYPERLINK("https://365nails.com/products/365nails-amber-autumn-leopard-print-cat-eye-stiletto-nails","365nails: ""Amber Autumn"" – Leopard Print &amp; Cat Eye Stiletto Nails")</x:f>
        <x:v>HYPERLINK is not implemented. linkLocation=https://365nails.com/products/365nails-amber-autumn-leopard-print-cat-eye-stiletto-nails, friendlyName=365nails: "Amber Autumn" – Leopard Print &amp; Cat Eye Stiletto Nails</x:v>
      </x:c>
      <x:c r="D3320" s="18" t="str">
        <x:v>Color: 3100-medium oval / 3102-long oval / 3104-extra long ladder; Color classification: Xs / S / M / L</x:v>
      </x:c>
      <x:c r="E3320" s="25" t="str">
        <x:v>$3.49</x:v>
      </x:c>
      <x:c r="F3320" s="19" t="str">
        <x:v>1</x:v>
      </x:c>
    </x:row>
    <x:row r="3321" ht="93" customHeight="1">
      <x:c r="A3321" s="19" t="n">
        <x:v>3318</x:v>
      </x:c>
      <x:c r="B3321" s="22" t="e">
        <x:f>HYPERLINK("https://cdn.shopify.com/s/files/1/0918/6066/4603/files/4222f66e07e3315fc7602912d761ceb9.jpg?v=1755248264","Open")</x:f>
        <x:v>HYPERLINK is not implemented. linkLocation=https://cdn.shopify.com/s/files/1/0918/6066/4603/files/4222f66e07e3315fc7602912d761ceb9.jpg?v=1755248264, friendlyName=Open</x:v>
      </x:c>
      <x:c r="C3321" s="24" t="e">
        <x:f>HYPERLINK("https://365nails.com/products/nail-tips-nail-pads-transparent-semi-stickers-shallow-stickers-500-pcs-bag-flat-head-water-pipe-nail-patches-nail-art-extension-fake-nail-pads","Nail Tips Transparent Semi-Sticker Nail Pads, Flat-Head Water Pipe Extension Nail Patches, 500 Pieces Bagged (MOQ=3)")</x:f>
        <x:v>HYPERLINK is not implemented. linkLocation=https://365nails.com/products/nail-tips-nail-pads-transparent-semi-stickers-shallow-stickers-500-pcs-bag-flat-head-water-pipe-nail-patches-nail-art-extension-fake-nail-pads, friendlyName=Nail Tips Transparent Semi-Sticker Nail Pads, Flat-Head Water Pipe Extension Nail Patches, 500 Pieces Bagged (MOQ=3)</x:v>
      </x:c>
      <x:c r="D3321" s="18" t="str">
        <x:v>Color: 500 piece bag / 500 pieces in a box; Color classification: 20-Natural color / 20-Transparent; Quantity: 3pcs</x:v>
      </x:c>
      <x:c r="E3321" s="25" t="str">
        <x:v>$4.11–$5.16</x:v>
      </x:c>
      <x:c r="F3321" s="19" t="str">
        <x:v>1</x:v>
      </x:c>
    </x:row>
    <x:row r="3322" ht="93" customHeight="1">
      <x:c r="A3322" s="19" t="n">
        <x:v>3319</x:v>
      </x:c>
      <x:c r="B3322" s="22" t="e">
        <x:f>HYPERLINK("https://cdn.shopify.com/s/files/1/0918/6066/4603/files/O1CN01ZMK9DL1CPwPhiTRM8__2213196780074-0-cib.jpg?v=1776739638","Open")</x:f>
        <x:v>HYPERLINK is not implemented. linkLocation=https://cdn.shopify.com/s/files/1/0918/6066/4603/files/O1CN01ZMK9DL1CPwPhiTRM8__2213196780074-0-cib.jpg?v=1776739638, friendlyName=Open</x:v>
      </x:c>
      <x:c r="C3322" s="24" t="e">
        <x:f>HYPERLINK("https://365nails.com/products/365nails-soft-pink-blossom-hand-painted-floral-handmade-almond-nails","365nails: ""Soft Pink Blossom"" – Hand-Painted Floral Handmade Almond Nails")</x:f>
        <x:v>HYPERLINK is not implemented. linkLocation=https://365nails.com/products/365nails-soft-pink-blossom-hand-painted-floral-handmade-almond-nails, friendlyName=365nails: "Soft Pink Blossom" – Hand-Painted Floral Handmade Almond Nails</x:v>
      </x:c>
      <x:c r="D3322" s="18" t="str">
        <x:v>Color: W225-medium oval; Color classification: Extra small size xs / Small s / Medium m / Large l</x:v>
      </x:c>
      <x:c r="E3322" s="25" t="str">
        <x:v>$2.99</x:v>
      </x:c>
      <x:c r="F3322" s="19" t="str">
        <x:v>1</x:v>
      </x:c>
    </x:row>
    <x:row r="3323" ht="93" customHeight="1">
      <x:c r="A3323" s="19" t="n">
        <x:v>3320</x:v>
      </x:c>
      <x:c r="B3323" s="22" t="e">
        <x:f>HYPERLINK("https://cdn.shopify.com/s/files/1/0918/6066/4603/files/O1CN01Fl8KG41CPwMUFvLtb__2213196780074-0-cib_a6d65806-5e87-4fb6-ae85-cc93bf6e563c.jpg?v=1774696806","Open")</x:f>
        <x:v>HYPERLINK is not implemented. linkLocation=https://cdn.shopify.com/s/files/1/0918/6066/4603/files/O1CN01Fl8KG41CPwMUFvLtb__2213196780074-0-cib_a6d65806-5e87-4fb6-ae85-cc93bf6e563c.jpg?v=1774696806, friendlyName=Open</x:v>
      </x:c>
      <x:c r="C3323" s="24" t="e">
        <x:f>HYPERLINK("https://365nails.com/products/365nails-blossom-whisper-3d-floral-pearl-handmade-square-nails","365nails: ""Blossom Whisper"" – 3D Floral &amp; Pearl Handmade Square Nails")</x:f>
        <x:v>HYPERLINK is not implemented. linkLocation=https://365nails.com/products/365nails-blossom-whisper-3d-floral-pearl-handmade-square-nails, friendlyName=365nails: "Blossom Whisper" – 3D Floral &amp; Pearl Handmade Square Nails</x:v>
      </x:c>
      <x:c r="D3323" s="18" t="str">
        <x:v>Color: 2159-super short ladder / 2156-short oval / 2163-middle ladder; Color classification: Xs / S / M / L</x:v>
      </x:c>
      <x:c r="E3323" s="25" t="str">
        <x:v>$3.49</x:v>
      </x:c>
      <x:c r="F3323" s="19" t="str">
        <x:v>1</x:v>
      </x:c>
    </x:row>
    <x:row r="3324" ht="93" customHeight="1">
      <x:c r="A3324" s="19" t="n">
        <x:v>3321</x:v>
      </x:c>
      <x:c r="B3324" s="22" t="e">
        <x:f>HYPERLINK("https://cdn.shopify.com/s/files/1/0918/6066/4603/files/O1CN01Xy9jTZ2MQzfuCgvCi__2219089449823-0-cib.jpg?v=1774275845","Open")</x:f>
        <x:v>HYPERLINK is not implemented. linkLocation=https://cdn.shopify.com/s/files/1/0918/6066/4603/files/O1CN01Xy9jTZ2MQzfuCgvCi__2219089449823-0-cib.jpg?v=1774275845, friendlyName=Open</x:v>
      </x:c>
      <x:c r="C3324" s="24" t="e">
        <x:f>HYPERLINK("https://365nails.com/products/pink-serpent-snake-spell-extra-long-square-press-on-nails","Pink Serpent: ""Snake Spell"" – Extra Long Square Press-On Nails")</x:f>
        <x:v>HYPERLINK is not implemented. linkLocation=https://365nails.com/products/pink-serpent-snake-spell-extra-long-square-press-on-nails, friendlyName=Pink Serpent: "Snake Spell" – Extra Long Square Press-On Nails</x:v>
      </x:c>
      <x:c r="D3324" s="18" t="str">
        <x:v>Color: L007; Color classification: S / M / L</x:v>
      </x:c>
      <x:c r="E3324" s="25" t="str">
        <x:v>$4.99</x:v>
      </x:c>
      <x:c r="F3324" s="19" t="str">
        <x:v>1</x:v>
      </x:c>
    </x:row>
    <x:row r="3325" ht="93" customHeight="1">
      <x:c r="A3325" s="19" t="n">
        <x:v>3322</x:v>
      </x:c>
      <x:c r="B3325" s="22" t="e">
        <x:f>HYPERLINK("https://cdn.shopify.com/s/files/1/0918/6066/4603/files/O1CN01nc8xPq2214swaKadC__2219480337059-0-cib.jpg?v=1773824663","Open")</x:f>
        <x:v>HYPERLINK is not implemented. linkLocation=https://cdn.shopify.com/s/files/1/0918/6066/4603/files/O1CN01nc8xPq2214swaKadC__2219480337059-0-cib.jpg?v=1773824663, friendlyName=Open</x:v>
      </x:c>
      <x:c r="C3325" s="24" t="e">
        <x:f>HYPERLINK("https://365nails.com/products/daisy-green-kids-series-fresh-daisy-spring-short-square-kids-nail-art","365nails-Daisy Green Kids Series: ""Fresh Daisy Spring"" – Short Square Kids Nail Art")</x:f>
        <x:v>HYPERLINK is not implemented. linkLocation=https://365nails.com/products/daisy-green-kids-series-fresh-daisy-spring-short-square-kids-nail-art, friendlyName=365nails-Daisy Green Kids Series: "Fresh Daisy Spring" – Short Square Kids Nail Art</x:v>
      </x:c>
      <x:c r="D3325" s="18" t="str">
        <x:v>Color: Green mood; Color classification: Xs (about 2 years old) / S (3-4 years old) / M (5-7 years old) / L (8-11 years old)</x:v>
      </x:c>
      <x:c r="E3325" s="25" t="str">
        <x:v>$2.99</x:v>
      </x:c>
      <x:c r="F3325" s="19" t="str">
        <x:v>3</x:v>
      </x:c>
    </x:row>
    <x:row r="3326" ht="93" customHeight="1">
      <x:c r="A3326" s="19" t="n">
        <x:v>3323</x:v>
      </x:c>
      <x:c r="B3326" s="22" t="e">
        <x:f>HYPERLINK("https://cdn.shopify.com/s/files/1/0918/6066/4603/files/O1CN012aEWS11CPwJd4aZYp__2213196780074-0-cib_5c81dd53-f3ab-4946-9ee7-a5620d1ce109.jpg?v=1775915676","Open")</x:f>
        <x:v>HYPERLINK is not implemented. linkLocation=https://cdn.shopify.com/s/files/1/0918/6066/4603/files/O1CN012aEWS11CPwJd4aZYp__2213196780074-0-cib_5c81dd53-f3ab-4946-9ee7-a5620d1ce109.jpg?v=1775915676, friendlyName=Open</x:v>
      </x:c>
      <x:c r="C3326" s="24" t="e">
        <x:f>HYPERLINK("https://365nails.com/products/365nails-amber-venom-3d-spider-handmade-long-stiletto-nails","365nails: ""Amber Venom"" – 3D Spider Handmade Long Stiletto Nails")</x:f>
        <x:v>HYPERLINK is not implemented. linkLocation=https://365nails.com/products/365nails-amber-venom-3d-spider-handmade-long-stiletto-nails, friendlyName=365nails: "Amber Venom" – 3D Spider Handmade Long Stiletto Nails</x:v>
      </x:c>
      <x:c r="D3326" s="18" t="str">
        <x:v>Color: Extra small size xs / Small s / Medium m / Large l; Specification type: 2467 long water drop</x:v>
      </x:c>
      <x:c r="E3326" s="25" t="str">
        <x:v>$3.99</x:v>
      </x:c>
      <x:c r="F3326" s="19" t="str">
        <x:v>3</x:v>
      </x:c>
    </x:row>
    <x:row r="3327" ht="93" customHeight="1">
      <x:c r="A3327" s="19" t="n">
        <x:v>3324</x:v>
      </x:c>
      <x:c r="B3327" s="22" t="e">
        <x:f>HYPERLINK("https://cdn.shopify.com/s/files/1/0918/6066/4603/files/O1CN01AzEKlF2MQzfnRboUQ__2219089449823-0-cib.jpg?v=1774275783","Open")</x:f>
        <x:v>HYPERLINK is not implemented. linkLocation=https://cdn.shopify.com/s/files/1/0918/6066/4603/files/O1CN01AzEKlF2MQzfnRboUQ__2219089449823-0-cib.jpg?v=1774275783, friendlyName=Open</x:v>
      </x:c>
      <x:c r="C3327" s="24" t="e">
        <x:f>HYPERLINK("https://365nails.com/products/sakura-whisper-blush-cherry-long-almond-press-on-nails","Sakura Whisper: ""Blush Cherry"" – Long Almond Press-On Nails")</x:f>
        <x:v>HYPERLINK is not implemented. linkLocation=https://365nails.com/products/sakura-whisper-blush-cherry-long-almond-press-on-nails, friendlyName=Sakura Whisper: "Blush Cherry" – Long Almond Press-On Nails</x:v>
      </x:c>
      <x:c r="D3327" s="18" t="str">
        <x:v>Color: D247; Color classification: X s / S / M / L</x:v>
      </x:c>
      <x:c r="E3327" s="25" t="str">
        <x:v>$3.99</x:v>
      </x:c>
      <x:c r="F3327" s="19" t="str">
        <x:v>1</x:v>
      </x:c>
    </x:row>
    <x:row r="3328" ht="93" customHeight="1">
      <x:c r="A3328" s="19" t="n">
        <x:v>3325</x:v>
      </x:c>
      <x:c r="B3328" s="22" t="e">
        <x:f>HYPERLINK("https://cdn.shopify.com/s/files/1/0918/6066/4603/files/O1CN0134G3U927ZUkCnwShM__2220024697811-0-cib.jpg?v=1774928010","Open")</x:f>
        <x:v>HYPERLINK is not implemented. linkLocation=https://cdn.shopify.com/s/files/1/0918/6066/4603/files/O1CN0134G3U927ZUkCnwShM__2220024697811-0-cib.jpg?v=1774928010, friendlyName=Open</x:v>
      </x:c>
      <x:c r="C3328" s="24" t="e">
        <x:f>HYPERLINK("https://365nails.com/products/365nails-crystal-galaxy-3d-rhinestone-handmade-stiletto-nails","365nails: ""Crystal Galaxy"" – 3D Rhinestone Handmade Stiletto Nails")</x:f>
        <x:v>HYPERLINK is not implemented. linkLocation=https://365nails.com/products/365nails-crystal-galaxy-3d-rhinestone-handmade-stiletto-nails, friendlyName=365nails: "Crystal Galaxy" – 3D Rhinestone Handmade Stiletto Nails</x:v>
      </x:c>
      <x:c r="D3328" s="18" t="str">
        <x:v>Color: Almond; Color classification: Xs / S / M / L</x:v>
      </x:c>
      <x:c r="E3328" s="25" t="str">
        <x:v>$4.49</x:v>
      </x:c>
      <x:c r="F3328" s="19" t="str">
        <x:v>3</x:v>
      </x:c>
    </x:row>
    <x:row r="3329" ht="93" customHeight="1">
      <x:c r="A3329" s="19" t="n">
        <x:v>3326</x:v>
      </x:c>
      <x:c r="B3329" s="22" t="e">
        <x:f>HYPERLINK("https://cdn.shopify.com/s/files/1/0918/6066/4603/files/O1CN01ixmnJ92214tVBC7tk__2219480337059-0-cib.jpg?v=1773320912","Open")</x:f>
        <x:v>HYPERLINK is not implemented. linkLocation=https://cdn.shopify.com/s/files/1/0918/6066/4603/files/O1CN01ixmnJ92214tVBC7tk__2219480337059-0-cib.jpg?v=1773320912, friendlyName=Open</x:v>
      </x:c>
      <x:c r="C3329" s="24" t="e">
        <x:f>HYPERLINK("https://365nails.com/products/365nails-caramel-labubu-short-round-handmade-kids-press-on-nails","365nails: ""caramel labubu"" – short round handmade kids press-on nails")</x:f>
        <x:v>HYPERLINK is not implemented. linkLocation=https://365nails.com/products/365nails-caramel-labubu-short-round-handmade-kids-press-on-nails, friendlyName=365nails: "caramel labubu" – short round handmade kids press-on nails</x:v>
      </x:c>
      <x:c r="D3329" s="18" t="str">
        <x:v>Color: Bow tie louboutin; Color classification: Xs (about 2 years old) / S (3-4 years old) / M (5-7 years old) / L (8-11 years old)</x:v>
      </x:c>
      <x:c r="E3329" s="25" t="str">
        <x:v>$2.99</x:v>
      </x:c>
      <x:c r="F3329" s="19" t="str">
        <x:v>3</x:v>
      </x:c>
    </x:row>
    <x:row r="3330" ht="93" customHeight="1">
      <x:c r="A3330" s="19" t="n">
        <x:v>3327</x:v>
      </x:c>
      <x:c r="B3330" s="22" t="e">
        <x:f>HYPERLINK("https://cdn.shopify.com/s/files/1/0918/6066/4603/files/a5d7b2f4de8b2887bdeb1dc5e73ad1c9.jpg?v=1772976605","Open")</x:f>
        <x:v>HYPERLINK is not implemented. linkLocation=https://cdn.shopify.com/s/files/1/0918/6066/4603/files/a5d7b2f4de8b2887bdeb1dc5e73ad1c9.jpg?v=1772976605, friendlyName=Open</x:v>
      </x:c>
      <x:c r="C3330" s="24" t="e">
        <x:f>HYPERLINK("https://365nails.com/products/drama-collection-xxl-half-cover-tube-xxl-half-cover-tube-nail-tips","Drama Collection: ""XXL Half-Cover Tube"" – XXL Half-Cover Tube Nail Tips")</x:f>
        <x:v>HYPERLINK is not implemented. linkLocation=https://365nails.com/products/drama-collection-xxl-half-cover-tube-xxl-half-cover-tube-nail-tips, friendlyName=Drama Collection: "XXL Half-Cover Tube" – XXL Half-Cover Tube Nail Tips</x:v>
      </x:c>
      <x:c r="D3330" s="18" t="str">
        <x:v>Color classification: 500 ordinary natural color pp bags / 500 ordinary transparent pp bags / 400 ordinary natural color ps box / 400 ordinary transparent color ps box</x:v>
      </x:c>
      <x:c r="E3330" s="25" t="str">
        <x:v>$2.46</x:v>
      </x:c>
      <x:c r="F3330" s="19" t="str">
        <x:v>3</x:v>
      </x:c>
    </x:row>
    <x:row r="3331" ht="93" customHeight="1">
      <x:c r="A3331" s="19" t="n">
        <x:v>3328</x:v>
      </x:c>
      <x:c r="B3331" s="22" t="e">
        <x:f>HYPERLINK("https://cdn.shopify.com/s/files/1/0918/6066/4603/files/055ecc527f71487539ff842dceacbbf1.jpg?v=1778317579","Open")</x:f>
        <x:v>HYPERLINK is not implemented. linkLocation=https://cdn.shopify.com/s/files/1/0918/6066/4603/files/055ecc527f71487539ff842dceacbbf1.jpg?v=1778317579, friendlyName=Open</x:v>
      </x:c>
      <x:c r="C3331" s="24" t="e">
        <x:f>HYPERLINK("https://365nails.com/products/365nails-blooming-french-3d-floral-gem-handmade-square-nails","365nails: ""Blooming French"" – 3D Floral &amp; Gem Handmade Square Nails")</x:f>
        <x:v>HYPERLINK is not implemented. linkLocation=https://365nails.com/products/365nails-blooming-french-3d-floral-gem-handmade-square-nails, friendlyName=365nails: "Blooming French" – 3D Floral &amp; Gem Handmade Square Nails</x:v>
      </x:c>
      <x:c r="D3331" s="18" t="str">
        <x:v>Size: XS / S / M / L</x:v>
      </x:c>
      <x:c r="E3331" s="25" t="str">
        <x:v>$3.99</x:v>
      </x:c>
      <x:c r="F3331" s="19" t="str">
        <x:v>5</x:v>
      </x:c>
    </x:row>
    <x:row r="3332" ht="93" customHeight="1">
      <x:c r="A3332" s="19" t="n">
        <x:v>3329</x:v>
      </x:c>
      <x:c r="B3332" s="22" t="e">
        <x:f>HYPERLINK("https://cdn.shopify.com/s/files/1/0918/6066/4603/files/O1CN01tQVvFV1CPwMkNQ2yI__2213196780074-0-cib.jpg?v=1775996280","Open")</x:f>
        <x:v>HYPERLINK is not implemented. linkLocation=https://cdn.shopify.com/s/files/1/0918/6066/4603/files/O1CN01tQVvFV1CPwMkNQ2yI__2213196780074-0-cib.jpg?v=1775996280, friendlyName=Open</x:v>
      </x:c>
      <x:c r="C3332" s="24" t="e">
        <x:f>HYPERLINK("https://365nails.com/products/365nails-golden-hour-glitter-french-tip-handmade-short-square-nails","365nails: ""Golden Hour"" – Glitter French Tip Handmade Short Square Nails")</x:f>
        <x:v>HYPERLINK is not implemented. linkLocation=https://365nails.com/products/365nails-golden-hour-glitter-french-tip-handmade-short-square-nails, friendlyName=365nails: "Golden Hour" – Glitter French Tip Handmade Short Square Nails</x:v>
      </x:c>
      <x:c r="D3332" s="18" t="str">
        <x:v>Color: 661-short narrow oval / 663-medium oval; Color classification: Xs / S / M / L</x:v>
      </x:c>
      <x:c r="E3332" s="25" t="str">
        <x:v>$3.49</x:v>
      </x:c>
      <x:c r="F3332" s="19" t="str">
        <x:v>3</x:v>
      </x:c>
    </x:row>
    <x:row r="3333" ht="93" customHeight="1">
      <x:c r="A3333" s="19" t="n">
        <x:v>3330</x:v>
      </x:c>
      <x:c r="B3333" s="22" t="e">
        <x:f>HYPERLINK("https://cdn.shopify.com/s/files/1/0918/6066/4603/files/O1CN01kcfIet27ZUkl9NFGr__2220024697811-0-cib.jpg?v=1774945027","Open")</x:f>
        <x:v>HYPERLINK is not implemented. linkLocation=https://cdn.shopify.com/s/files/1/0918/6066/4603/files/O1CN01kcfIet27ZUkl9NFGr__2220024697811-0-cib.jpg?v=1774945027, friendlyName=Open</x:v>
      </x:c>
      <x:c r="C3333" s="24" t="e">
        <x:f>HYPERLINK("https://365nails.com/products/365nails-strawberry-mint-3d-floral-handmade-almond-nails","365nails: ""Strawberry Mint"" – 3D Floral Handmade Almond Nails")</x:f>
        <x:v>HYPERLINK is not implemented. linkLocation=https://365nails.com/products/365nails-strawberry-mint-3d-floral-handmade-almond-nails, friendlyName=365nails: "Strawberry Mint" – 3D Floral Handmade Almond Nails</x:v>
      </x:c>
      <x:c r="D3333" s="18" t="str">
        <x:v>Color: Almond; Color classification: Xs / S / M / L</x:v>
      </x:c>
      <x:c r="E3333" s="25" t="str">
        <x:v>$4.49</x:v>
      </x:c>
      <x:c r="F3333" s="19" t="str">
        <x:v>3</x:v>
      </x:c>
    </x:row>
    <x:row r="3334" ht="93" customHeight="1">
      <x:c r="A3334" s="19" t="n">
        <x:v>3331</x:v>
      </x:c>
      <x:c r="B3334" s="22" t="e">
        <x:f>HYPERLINK("https://cdn.shopify.com/s/files/1/0918/6066/4603/files/O1CN01zuB1Hw2214sGc9HKM__2219480337059-0-cib.jpg?v=1773320957","Open")</x:f>
        <x:v>HYPERLINK is not implemented. linkLocation=https://cdn.shopify.com/s/files/1/0918/6066/4603/files/O1CN01zuB1Hw2214sGc9HKM__2219480337059-0-cib.jpg?v=1773320957, friendlyName=Open</x:v>
      </x:c>
      <x:c r="C3334" s="24" t="e">
        <x:f>HYPERLINK("https://365nails.com/products/365nails-caramel-bakery-bear-short-round-handmade-kids-press-on-nails","365nails: ""caramel bakery bear"" – short round handmade kids press-on nails")</x:f>
        <x:v>HYPERLINK is not implemented. linkLocation=https://365nails.com/products/365nails-caramel-bakery-bear-short-round-handmade-kids-press-on-nails, friendlyName=365nails: "caramel bakery bear" – short round handmade kids press-on nails</x:v>
      </x:c>
      <x:c r="D3334" s="18" t="str">
        <x:v>Color: 01 capy collection / 02 egg crust / 03 avocado capy / 04 taiyaki capy / 05 donut capy / 06 spotted capy / 07 mini capybara / 08 cloud capy; Color classification: X s / S / M / L</x:v>
      </x:c>
      <x:c r="E3334" s="25" t="str">
        <x:v>$2.99</x:v>
      </x:c>
      <x:c r="F3334" s="19" t="str">
        <x:v>3</x:v>
      </x:c>
    </x:row>
    <x:row r="3335" ht="93" customHeight="1">
      <x:c r="A3335" s="19" t="n">
        <x:v>3332</x:v>
      </x:c>
      <x:c r="B3335" s="22" t="e">
        <x:f>HYPERLINK("https://cdn.shopify.com/s/files/1/0918/6066/4603/files/O1CN01VSiyJz1iDB40nImI0__6000000004378-0-cib.jpg?v=1775052170","Open")</x:f>
        <x:v>HYPERLINK is not implemented. linkLocation=https://cdn.shopify.com/s/files/1/0918/6066/4603/files/O1CN01VSiyJz1iDB40nImI0__6000000004378-0-cib.jpg?v=1775052170, friendlyName=Open</x:v>
      </x:c>
      <x:c r="C3335" s="24" t="e">
        <x:f>HYPERLINK("https://365nails.com/products/365nails-blushing-bloom-3d-floral-french-handmade-stiletto-nails","365nails: ""Blushing Bloom"" – 3D Floral French Handmade Stiletto Nails")</x:f>
        <x:v>HYPERLINK is not implemented. linkLocation=https://365nails.com/products/365nails-blushing-bloom-3d-floral-french-handmade-stiletto-nails, friendlyName=365nails: "Blushing Bloom" – 3D Floral French Handmade Stiletto Nails</x:v>
      </x:c>
      <x:c r="D3335" s="18" t="str">
        <x:v>Color: Long tip; Color classification: Xs / S / M / L</x:v>
      </x:c>
      <x:c r="E3335" s="25" t="str">
        <x:v>$3.99</x:v>
      </x:c>
      <x:c r="F3335" s="19" t="str">
        <x:v>3</x:v>
      </x:c>
    </x:row>
    <x:row r="3336" ht="93" customHeight="1">
      <x:c r="A3336" s="19" t="n">
        <x:v>3333</x:v>
      </x:c>
      <x:c r="B3336" s="22" t="e">
        <x:f>HYPERLINK("https://cdn.shopify.com/s/files/1/0918/6066/4603/files/O1CN01fmx9Ro2MQzdBdWcUb__2219089449823-0-cib.jpg?v=1774066280","Open")</x:f>
        <x:v>HYPERLINK is not implemented. linkLocation=https://cdn.shopify.com/s/files/1/0918/6066/4603/files/O1CN01fmx9Ro2MQzdBdWcUb__2219089449823-0-cib.jpg?v=1774066280, friendlyName=Open</x:v>
      </x:c>
      <x:c r="C3336" s="24" t="e">
        <x:f>HYPERLINK("https://365nails.com/products/ocean-whisper-seashell-serenade-almond-shape-handmade-3d-carved-press-on-nails","365nails-Ocean Whisper: ""Seashell Serenade"" – Almond Shape Handmade 3D Carved Press-On Nails")</x:f>
        <x:v>HYPERLINK is not implemented. linkLocation=https://365nails.com/products/ocean-whisper-seashell-serenade-almond-shape-handmade-3d-carved-press-on-nails, friendlyName=365nails-Ocean Whisper: "Seashell Serenade" – Almond Shape Handmade 3D Carved Press-On Nails</x:v>
      </x:c>
      <x:c r="D3336" s="18" t="str">
        <x:v>Color: D438; Color classification: X s / S / M / L</x:v>
      </x:c>
      <x:c r="E3336" s="25" t="str">
        <x:v>$3.99</x:v>
      </x:c>
      <x:c r="F3336" s="19" t="str">
        <x:v>1</x:v>
      </x:c>
    </x:row>
    <x:row r="3337" ht="93" customHeight="1">
      <x:c r="A3337" s="19" t="n">
        <x:v>3334</x:v>
      </x:c>
      <x:c r="B3337" s="22" t="e">
        <x:f>HYPERLINK("https://cdn.shopify.com/s/files/1/0918/6066/4603/files/O1CN017swW2V2MQzd7F7YFk__2219089449823-0-cib.jpg?v=1774066137","Open")</x:f>
        <x:v>HYPERLINK is not implemented. linkLocation=https://cdn.shopify.com/s/files/1/0918/6066/4603/files/O1CN017swW2V2MQzd7F7YFk__2219089449823-0-cib.jpg?v=1774066137, friendlyName=Open</x:v>
      </x:c>
      <x:c r="C3337" s="24" t="e">
        <x:f>HYPERLINK("https://365nails.com/products/polka-dot-floral-colorful-3d-flower-medium-almond-handmade-nails","365nails-Polka Dot Floral: ""Colorful 3D Flower"" – Medium Almond Handmade Nails")</x:f>
        <x:v>HYPERLINK is not implemented. linkLocation=https://365nails.com/products/polka-dot-floral-colorful-3d-flower-medium-almond-handmade-nails, friendlyName=365nails-Polka Dot Floral: "Colorful 3D Flower" – Medium Almond Handmade Nails</x:v>
      </x:c>
      <x:c r="D3337" s="18" t="str">
        <x:v>Color: D411; Color classification: X s / S / M / L</x:v>
      </x:c>
      <x:c r="E3337" s="25" t="str">
        <x:v>$3.99</x:v>
      </x:c>
      <x:c r="F3337" s="19" t="str">
        <x:v>1</x:v>
      </x:c>
    </x:row>
    <x:row r="3338" ht="93" customHeight="1">
      <x:c r="A3338" s="19" t="n">
        <x:v>3335</x:v>
      </x:c>
      <x:c r="B3338" s="22" t="e">
        <x:f>HYPERLINK("https://cdn.shopify.com/s/files/1/0918/6066/4603/files/O1CN01sbkt3M2MQzfVmlC1w__2219089449823-0-cib.jpg?v=1774258016","Open")</x:f>
        <x:v>HYPERLINK is not implemented. linkLocation=https://cdn.shopify.com/s/files/1/0918/6066/4603/files/O1CN01sbkt3M2MQzfVmlC1w__2219089449823-0-cib.jpg?v=1774258016, friendlyName=Open</x:v>
      </x:c>
      <x:c r="C3338" s="24" t="e">
        <x:f>HYPERLINK("https://365nails.com/products/mauve-bloom-cat-eye-flower-square-shape-handmade-press-on-nails","Mauve Bloom: ""Cat Eye Flower"" – Square Shape Handmade Press-On Nails")</x:f>
        <x:v>HYPERLINK is not implemented. linkLocation=https://365nails.com/products/mauve-bloom-cat-eye-flower-square-shape-handmade-press-on-nails, friendlyName=Mauve Bloom: "Cat Eye Flower" – Square Shape Handmade Press-On Nails</x:v>
      </x:c>
      <x:c r="D3338" s="18" t="str">
        <x:v>Color: C 424; Color classification: X s / S / M / L</x:v>
      </x:c>
      <x:c r="E3338" s="25" t="str">
        <x:v>$3.49</x:v>
      </x:c>
      <x:c r="F3338" s="19" t="str">
        <x:v>1</x:v>
      </x:c>
    </x:row>
    <x:row r="3339" ht="93" customHeight="1">
      <x:c r="A3339" s="19" t="n">
        <x:v>3336</x:v>
      </x:c>
      <x:c r="B3339" s="22" t="e">
        <x:f>HYPERLINK("https://cdn.shopify.com/s/files/1/0918/6066/4603/files/O1CN01a2tqco1QqPumOhy7X__6000000002027-0-cib.jpg?v=1775036880","Open")</x:f>
        <x:v>HYPERLINK is not implemented. linkLocation=https://cdn.shopify.com/s/files/1/0918/6066/4603/files/O1CN01a2tqco1QqPumOhy7X__6000000002027-0-cib.jpg?v=1775036880, friendlyName=Open</x:v>
      </x:c>
      <x:c r="C3339" s="24" t="e">
        <x:f>HYPERLINK("https://365nails.com/products/365nails-royal-bloom-3d-gold-leaf-handmade-almond-nails","365nails: ""Royal Bloom"" – 3D Gold Leaf Handmade Almond Nails")</x:f>
        <x:v>HYPERLINK is not implemented. linkLocation=https://365nails.com/products/365nails-royal-bloom-3d-gold-leaf-handmade-almond-nails, friendlyName=365nails: "Royal Bloom" – 3D Gold Leaf Handmade Almond Nails</x:v>
      </x:c>
      <x:c r="D3339" s="18" t="str">
        <x:v>Color: Almond; Color classification: Xs / S / M / L</x:v>
      </x:c>
      <x:c r="E3339" s="25" t="str">
        <x:v>$5.49</x:v>
      </x:c>
      <x:c r="F3339" s="19" t="str">
        <x:v>3</x:v>
      </x:c>
    </x:row>
    <x:row r="3340" ht="93" customHeight="1">
      <x:c r="A3340" s="19" t="n">
        <x:v>3337</x:v>
      </x:c>
      <x:c r="B3340" s="22" t="e">
        <x:f>HYPERLINK("https://cdn.shopify.com/s/files/1/0918/6066/4603/files/O1CN01NgxzNh2MQzfaJzaep__2219089449823-0-cib.jpg?v=1774258037","Open")</x:f>
        <x:v>HYPERLINK is not implemented. linkLocation=https://cdn.shopify.com/s/files/1/0918/6066/4603/files/O1CN01NgxzNh2MQzfaJzaep__2219089449823-0-cib.jpg?v=1774258037, friendlyName=Open</x:v>
      </x:c>
      <x:c r="C3340" s="24" t="e">
        <x:f>HYPERLINK("https://365nails.com/products/bridal-glow-nude-french-flower-square-shape-handmade-press-on-nails","Bridal Glow: ""Nude French Flower"" – Square Shape Handmade Press-On Nails")</x:f>
        <x:v>HYPERLINK is not implemented. linkLocation=https://365nails.com/products/bridal-glow-nude-french-flower-square-shape-handmade-press-on-nails, friendlyName=Bridal Glow: "Nude French Flower" – Square Shape Handmade Press-On Nails</x:v>
      </x:c>
      <x:c r="D3340" s="18" t="str">
        <x:v>Color: D621; Color classification: S / M / L</x:v>
      </x:c>
      <x:c r="E3340" s="25" t="str">
        <x:v>$3.49</x:v>
      </x:c>
      <x:c r="F3340" s="19" t="str">
        <x:v>1</x:v>
      </x:c>
    </x:row>
    <x:row r="3341" ht="93" customHeight="1">
      <x:c r="A3341" s="19" t="n">
        <x:v>3338</x:v>
      </x:c>
      <x:c r="B3341" s="22" t="e">
        <x:f>HYPERLINK("https://cdn.shopify.com/s/files/1/0918/6066/4603/files/O1CN01NhDpHj2MQzcToRwZW__2219089449823-0-cib.jpg?v=1774065838","Open")</x:f>
        <x:v>HYPERLINK is not implemented. linkLocation=https://cdn.shopify.com/s/files/1/0918/6066/4603/files/O1CN01NhDpHj2MQzcToRwZW__2219089449823-0-cib.jpg?v=1774065838, friendlyName=Open</x:v>
      </x:c>
      <x:c r="C3341" s="24" t="e">
        <x:f>HYPERLINK("https://365nails.com/products/pastel-dream-translucent-floral-short-almond-handmade-nails","365nails-Pastel Dream: ""Translucent Floral"" – Short Almond Handmade Nails")</x:f>
        <x:v>HYPERLINK is not implemented. linkLocation=https://365nails.com/products/pastel-dream-translucent-floral-short-almond-handmade-nails, friendlyName=365nails-Pastel Dream: "Translucent Floral" – Short Almond Handmade Nails</x:v>
      </x:c>
      <x:c r="D3341" s="18" t="str">
        <x:v>Color: D46; Color classification: X s / S / M / L</x:v>
      </x:c>
      <x:c r="E3341" s="25" t="str">
        <x:v>$3.99</x:v>
      </x:c>
      <x:c r="F3341" s="19" t="str">
        <x:v>5</x:v>
      </x:c>
    </x:row>
    <x:row r="3342" ht="93" customHeight="1">
      <x:c r="A3342" s="19" t="n">
        <x:v>3339</x:v>
      </x:c>
      <x:c r="B3342" s="22" t="e">
        <x:f>HYPERLINK("https://cdn.shopify.com/s/files/1/0918/6066/4603/files/O1CN019aBj712214wTJtDiI__2219480337059-0-cib.jpg?v=1773824697","Open")</x:f>
        <x:v>HYPERLINK is not implemented. linkLocation=https://cdn.shopify.com/s/files/1/0918/6066/4603/files/O1CN019aBj712214wTJtDiI__2219480337059-0-cib.jpg?v=1773824697, friendlyName=Open</x:v>
      </x:c>
      <x:c r="C3342" s="24" t="e">
        <x:f>HYPERLINK("https://365nails.com/products/lucky-bunny-kids-series-cute-red-bunny-short-square-kids-nail-art","365nails-Lucky Bunny Kids Series: ""Cute Red Bunny"" – Short Square Kids Nail Art")</x:f>
        <x:v>HYPERLINK is not implemented. linkLocation=https://365nails.com/products/lucky-bunny-kids-series-cute-red-bunny-short-square-kids-nail-art, friendlyName=365nails-Lucky Bunny Kids Series: "Cute Red Bunny" – Short Square Kids Nail Art</x:v>
      </x:c>
      <x:c r="D3342" s="18" t="str">
        <x:v>Color: Hand drawn bunny; Color classification: Xs (about 2 years old) / S (3-4 years old) / M (5-7 years old) / L (8-11 years old)</x:v>
      </x:c>
      <x:c r="E3342" s="25" t="str">
        <x:v>$2.99</x:v>
      </x:c>
      <x:c r="F3342" s="19" t="str">
        <x:v>3</x:v>
      </x:c>
    </x:row>
    <x:row r="3343" ht="93" customHeight="1">
      <x:c r="A3343" s="19" t="n">
        <x:v>3340</x:v>
      </x:c>
      <x:c r="B3343" s="22" t="e">
        <x:f>HYPERLINK("https://cdn.shopify.com/s/files/1/0918/6066/4603/files/a6c851c46e7cf4350d6c4cac0bf793d8.jpg?v=1778337171","Open")</x:f>
        <x:v>HYPERLINK is not implemented. linkLocation=https://cdn.shopify.com/s/files/1/0918/6066/4603/files/a6c851c46e7cf4350d6c4cac0bf793d8.jpg?v=1778337171, friendlyName=Open</x:v>
      </x:c>
      <x:c r="C3343" s="24" t="e">
        <x:f>HYPERLINK("https://365nails.com/products/365nails-garden-party-3d-floral-gem-handmade-almond-nails","365nails: ""Garden Party"" – 3D Floral Gem Handmade Almond Nails")</x:f>
        <x:v>HYPERLINK is not implemented. linkLocation=https://365nails.com/products/365nails-garden-party-3d-floral-gem-handmade-almond-nails, friendlyName=365nails: "Garden Party" – 3D Floral Gem Handmade Almond Nails</x:v>
      </x:c>
      <x:c r="D3343" s="18" t="str">
        <x:v>Size: XS / S / M / L</x:v>
      </x:c>
      <x:c r="E3343" s="25" t="str">
        <x:v>$2.99</x:v>
      </x:c>
      <x:c r="F3343" s="19" t="str">
        <x:v>5</x:v>
      </x:c>
    </x:row>
    <x:row r="3344" ht="93" customHeight="1">
      <x:c r="A3344" s="19" t="n">
        <x:v>3341</x:v>
      </x:c>
      <x:c r="B3344" s="22" t="e">
        <x:f>HYPERLINK("https://cdn.shopify.com/s/files/1/0918/6066/4603/files/O1CN01QTTXFz1CPwPkK6u82__2213196780074-0-cib_37e1d991-2515-4dd9-8925-66d7aae46961.jpg?v=1774693579","Open")</x:f>
        <x:v>HYPERLINK is not implemented. linkLocation=https://cdn.shopify.com/s/files/1/0918/6066/4603/files/O1CN01QTTXFz1CPwPkK6u82__2213196780074-0-cib_37e1d991-2515-4dd9-8925-66d7aae46961.jpg?v=1774693579, friendlyName=Open</x:v>
      </x:c>
      <x:c r="C3344" s="24" t="e">
        <x:f>HYPERLINK("https://365nails.com/products/365nails-devils-whisper-3d-leopard-print-crystal-handmade-almond-nails","365nails: ""Devil's Whisper"" – 3D Leopard Print &amp; Crystal Handmade Almond Nails")</x:f>
        <x:v>HYPERLINK is not implemented. linkLocation=https://365nails.com/products/365nails-devils-whisper-3d-leopard-print-crystal-handmade-almond-nails, friendlyName=365nails: "Devil's Whisper" – 3D Leopard Print &amp; Crystal Handmade Almond Nails</x:v>
      </x:c>
      <x:c r="D3344" s="18" t="str">
        <x:v>Color: 1027 - medium apricot kernels; Color classification: Extra small size xs / Small s / Medium m / Large l</x:v>
      </x:c>
      <x:c r="E3344" s="25" t="str">
        <x:v>$3.99</x:v>
      </x:c>
      <x:c r="F3344" s="19" t="str">
        <x:v>1</x:v>
      </x:c>
    </x:row>
    <x:row r="3345" ht="93" customHeight="1">
      <x:c r="A3345" s="19" t="n">
        <x:v>3342</x:v>
      </x:c>
      <x:c r="B3345" s="22" t="e">
        <x:f>HYPERLINK("https://cdn.shopify.com/s/files/1/0918/6066/4603/files/O1CN01flrcYl2MQzd0vY5L6__2219089449823-0-cib.jpg?v=1774349139","Open")</x:f>
        <x:v>HYPERLINK is not implemented. linkLocation=https://cdn.shopify.com/s/files/1/0918/6066/4603/files/O1CN01flrcYl2MQzd0vY5L6__2219089449823-0-cib.jpg?v=1774349139, friendlyName=Open</x:v>
      </x:c>
      <x:c r="C3345" s="24" t="e">
        <x:f>HYPERLINK("https://365nails.com/products/whimsical-couture-strawberry-cow-floral-fantasy-almond-french-tip-press-ons","Whimsical Couture: ""Strawberry Cow &amp; Floral Fantasy"" – Almond French Tip Press Ons")</x:f>
        <x:v>HYPERLINK is not implemented. linkLocation=https://365nails.com/products/whimsical-couture-strawberry-cow-floral-fantasy-almond-french-tip-press-ons, friendlyName=Whimsical Couture: "Strawberry Cow &amp; Floral Fantasy" – Almond French Tip Press Ons</x:v>
      </x:c>
      <x:c r="D3345" s="18" t="str">
        <x:v>Color: D447; Color classification: X s / S / M / L</x:v>
      </x:c>
      <x:c r="E3345" s="25" t="str">
        <x:v>$3.99</x:v>
      </x:c>
      <x:c r="F3345" s="19" t="str">
        <x:v>1</x:v>
      </x:c>
    </x:row>
    <x:row r="3346" ht="93" customHeight="1">
      <x:c r="A3346" s="19" t="n">
        <x:v>3343</x:v>
      </x:c>
      <x:c r="B3346" s="22" t="e">
        <x:f>HYPERLINK("https://cdn.shopify.com/s/files/1/0918/6066/4603/files/72e7edb20f4886c64d967a4559f4b7f5.jpg?v=1772707746","Open")</x:f>
        <x:v>HYPERLINK is not implemented. linkLocation=https://cdn.shopify.com/s/files/1/0918/6066/4603/files/72e7edb20f4886c64d967a4559f4b7f5.jpg?v=1772707746, friendlyName=Open</x:v>
      </x:c>
      <x:c r="C3346" s="24" t="e">
        <x:f>HYPERLINK("https://365nails.com/products/365nails-240pcs-half-cover-nail-tips-with-guide-lines-clear-gel-extension-tips","365nails 240pcs Half-Cover Nail Tips with Guide Lines | Clear Gel Extension Tips")</x:f>
        <x:v>HYPERLINK is not implemented. linkLocation=https://365nails.com/products/365nails-240pcs-half-cover-nail-tips-with-guide-lines-clear-gel-extension-tips, friendlyName=365nails 240pcs Half-Cover Nail Tips with Guide Lines | Clear Gel Extension Tips</x:v>
      </x:c>
      <x:c r="D3346" s="18" t="str">
        <x:v>Color: 415-half denim-240 pieces/box / 416 - half cover long stiletto nails - 240 pieces/box / 417 - half cover long oval - 240 pieces/box</x:v>
      </x:c>
      <x:c r="E3346" s="25" t="str">
        <x:v>$1.45</x:v>
      </x:c>
      <x:c r="F3346" s="19" t="str">
        <x:v>3</x:v>
      </x:c>
    </x:row>
    <x:row r="3347" ht="93" customHeight="1">
      <x:c r="A3347" s="19" t="n">
        <x:v>3344</x:v>
      </x:c>
      <x:c r="B3347" s="22" t="e">
        <x:f>HYPERLINK("https://cdn.shopify.com/s/files/1/0918/6066/4603/files/344309cd20dfc1715a3dbaba627f212a.jpg?v=1778337191","Open")</x:f>
        <x:v>HYPERLINK is not implemented. linkLocation=https://cdn.shopify.com/s/files/1/0918/6066/4603/files/344309cd20dfc1715a3dbaba627f212a.jpg?v=1778337191, friendlyName=Open</x:v>
      </x:c>
      <x:c r="C3347" s="24" t="e">
        <x:f>HYPERLINK("https://365nails.com/products/365nails-blush-blossom-3d-floral-handmade-stiletto-nails","365nails: ""Blush Blossom"" – 3D Floral Handmade Stiletto Nails")</x:f>
        <x:v>HYPERLINK is not implemented. linkLocation=https://365nails.com/products/365nails-blush-blossom-3d-floral-handmade-stiletto-nails, friendlyName=365nails: "Blush Blossom" – 3D Floral Handmade Stiletto Nails</x:v>
      </x:c>
      <x:c r="D3347" s="18" t="str">
        <x:v>Size: XS / S / M / L</x:v>
      </x:c>
      <x:c r="E3347" s="25" t="str">
        <x:v>$2.99</x:v>
      </x:c>
      <x:c r="F3347" s="19" t="str">
        <x:v>5</x:v>
      </x:c>
    </x:row>
    <x:row r="3348" ht="93" customHeight="1">
      <x:c r="A3348" s="19" t="n">
        <x:v>3345</x:v>
      </x:c>
      <x:c r="B3348" s="22" t="e">
        <x:f>HYPERLINK("https://cdn.shopify.com/s/files/1/0918/6066/4603/files/6e662bc6788125f8fae39fe5cadebd5d.jpg?v=1775459851","Open")</x:f>
        <x:v>HYPERLINK is not implemented. linkLocation=https://cdn.shopify.com/s/files/1/0918/6066/4603/files/6e662bc6788125f8fae39fe5cadebd5d.jpg?v=1775459851, friendlyName=Open</x:v>
      </x:c>
      <x:c r="C3348" s="24" t="e">
        <x:f>HYPERLINK("https://365nails.com/products/365nails-fairy-garden-3d-mushroom-cherry-handmade-short-square-nails","365nails: ""Fairy Garden"" – 3D Mushroom &amp; Cherry Handmade Short Square Nails")</x:f>
        <x:v>HYPERLINK is not implemented. linkLocation=https://365nails.com/products/365nails-fairy-garden-3d-mushroom-cherry-handmade-short-square-nails, friendlyName=365nails: "Fairy Garden" – 3D Mushroom &amp; Cherry Handmade Short Square Nails</x:v>
      </x:c>
      <x:c r="D3348" s="18" t="str">
        <x:v>Size: XS / S / M / L</x:v>
      </x:c>
      <x:c r="E3348" s="25" t="str">
        <x:v>$3.99</x:v>
      </x:c>
      <x:c r="F3348" s="19" t="str">
        <x:v>3</x:v>
      </x:c>
    </x:row>
    <x:row r="3349" ht="93" customHeight="1">
      <x:c r="A3349" s="19" t="n">
        <x:v>3346</x:v>
      </x:c>
      <x:c r="B3349" s="22" t="e">
        <x:f>HYPERLINK("https://cdn.shopify.com/s/files/1/0918/6066/4603/files/O1CN01qZSzCa2MQzd3btrFJ__2219089449823-0-cib.jpg?v=1774066167","Open")</x:f>
        <x:v>HYPERLINK is not implemented. linkLocation=https://cdn.shopify.com/s/files/1/0918/6066/4603/files/O1CN01qZSzCa2MQzd3btrFJ__2219089449823-0-cib.jpg?v=1774066167, friendlyName=Open</x:v>
      </x:c>
      <x:c r="C3349" s="24" t="e">
        <x:f>HYPERLINK("https://365nails.com/products/seaside-serenity-ocean-breeze-almond-press-on-nails","365nails-Seaside Serenity: ""Ocean Breeze"" – Almond Press-On Nails")</x:f>
        <x:v>HYPERLINK is not implemented. linkLocation=https://365nails.com/products/seaside-serenity-ocean-breeze-almond-press-on-nails, friendlyName=365nails-Seaside Serenity: "Ocean Breeze" – Almond Press-On Nails</x:v>
      </x:c>
      <x:c r="D3349" s="18" t="str">
        <x:v>Color: D440; Color classification: X s / S / M / L</x:v>
      </x:c>
      <x:c r="E3349" s="25" t="str">
        <x:v>$3.99</x:v>
      </x:c>
      <x:c r="F3349" s="19" t="str">
        <x:v>1</x:v>
      </x:c>
    </x:row>
    <x:row r="3350" ht="93" customHeight="1">
      <x:c r="A3350" s="19" t="n">
        <x:v>3347</x:v>
      </x:c>
      <x:c r="B3350" s="22" t="e">
        <x:f>HYPERLINK("https://cdn.shopify.com/s/files/1/0918/6066/4603/files/O1CN01ExQEPZ27ZUlcFSUQO__2220024697811-0-cib.jpg?v=1774926277","Open")</x:f>
        <x:v>HYPERLINK is not implemented. linkLocation=https://cdn.shopify.com/s/files/1/0918/6066/4603/files/O1CN01ExQEPZ27ZUlcFSUQO__2220024697811-0-cib.jpg?v=1774926277, friendlyName=Open</x:v>
      </x:c>
      <x:c r="C3350" s="24" t="e">
        <x:f>HYPERLINK("https://365nails.com/products/365nails-opulent-grace-3d-crystal-cross-handmade-coffin-nails","365nails: ""Opulent Grace"" – 3D Crystal Cross Handmade Coffin Nails")</x:f>
        <x:v>HYPERLINK is not implemented. linkLocation=https://365nails.com/products/365nails-opulent-grace-3d-crystal-cross-handmade-coffin-nails, friendlyName=365nails: "Opulent Grace" – 3D Crystal Cross Handmade Coffin Nails</x:v>
      </x:c>
      <x:c r="D3350" s="18" t="str">
        <x:v>Color: Almond; Color classification: Xs / S / M / L</x:v>
      </x:c>
      <x:c r="E3350" s="25" t="str">
        <x:v>$4.99</x:v>
      </x:c>
      <x:c r="F3350" s="19" t="str">
        <x:v>3</x:v>
      </x:c>
    </x:row>
    <x:row r="3351" ht="93" customHeight="1">
      <x:c r="A3351" s="19" t="n">
        <x:v>3348</x:v>
      </x:c>
      <x:c r="B3351" s="22" t="e">
        <x:f>HYPERLINK("https://cdn.shopify.com/s/files/1/0918/6066/4603/files/O1CN01RFysdf2MQzfE2M0li__2219089449823-0-cib.jpg?v=1774257923","Open")</x:f>
        <x:v>HYPERLINK is not implemented. linkLocation=https://cdn.shopify.com/s/files/1/0918/6066/4603/files/O1CN01RFysdf2MQzfE2M0li__2219089449823-0-cib.jpg?v=1774257923, friendlyName=Open</x:v>
      </x:c>
      <x:c r="C3351" s="24" t="e">
        <x:f>HYPERLINK("https://365nails.com/products/timeless-bloom-crimson-floral-almond-shape-handmade-press-on-nails","Timeless Bloom: ""Crimson Floral"" – Almond Shape Handmade Press-On Nails")</x:f>
        <x:v>HYPERLINK is not implemented. linkLocation=https://365nails.com/products/timeless-bloom-crimson-floral-almond-shape-handmade-press-on-nails, friendlyName=Timeless Bloom: "Crimson Floral" – Almond Shape Handmade Press-On Nails</x:v>
      </x:c>
      <x:c r="D3351" s="18" t="str">
        <x:v>Color: D606; Color classification: X s / S / M / L</x:v>
      </x:c>
      <x:c r="E3351" s="25" t="str">
        <x:v>$3.49</x:v>
      </x:c>
      <x:c r="F3351" s="19" t="str">
        <x:v>1</x:v>
      </x:c>
    </x:row>
    <x:row r="3352" ht="93" customHeight="1">
      <x:c r="A3352" s="19" t="n">
        <x:v>3349</x:v>
      </x:c>
      <x:c r="B3352" s="22" t="e">
        <x:f>HYPERLINK("https://cdn.shopify.com/s/files/1/0918/6066/4603/files/O1CN01y8wTuC27ZUldq06ci__2220024697811-0-cib.jpg?v=1775051151","Open")</x:f>
        <x:v>HYPERLINK is not implemented. linkLocation=https://cdn.shopify.com/s/files/1/0918/6066/4603/files/O1CN01y8wTuC27ZUldq06ci__2220024697811-0-cib.jpg?v=1775051151, friendlyName=Open</x:v>
      </x:c>
      <x:c r="C3352" s="24" t="e">
        <x:f>HYPERLINK("https://365nails.com/products/365nails-citrus-splash-3d-fruit-floral-handmade-coffin-nails","365nails: ""Citrus Splash"" – 3D Fruit &amp; Floral Handmade Coffin Nails")</x:f>
        <x:v>HYPERLINK is not implemented. linkLocation=https://365nails.com/products/365nails-citrus-splash-3d-fruit-floral-handmade-coffin-nails, friendlyName=365nails: "Citrus Splash" – 3D Fruit &amp; Floral Handmade Coffin Nails</x:v>
      </x:c>
      <x:c r="D3352" s="18" t="str">
        <x:v>Color: Almond; Color classification: Xs / S / M / L</x:v>
      </x:c>
      <x:c r="E3352" s="25" t="str">
        <x:v>$4.99</x:v>
      </x:c>
      <x:c r="F3352" s="19" t="str">
        <x:v>3</x:v>
      </x:c>
    </x:row>
    <x:row r="3353" ht="93" customHeight="1">
      <x:c r="A3353" s="19" t="n">
        <x:v>3350</x:v>
      </x:c>
      <x:c r="B3353" s="22" t="e">
        <x:f>HYPERLINK("https://cdn.shopify.com/s/files/1/0918/6066/4603/files/O1CN01UlxKS12214sfgsgSK__2219480337059-0-cib.jpg?v=1773198693","Open")</x:f>
        <x:v>HYPERLINK is not implemented. linkLocation=https://cdn.shopify.com/s/files/1/0918/6066/4603/files/O1CN01UlxKS12214sfgsgSK__2219480337059-0-cib.jpg?v=1773198693, friendlyName=Open</x:v>
      </x:c>
      <x:c r="C3353" s="24" t="e">
        <x:f>HYPERLINK("https://365nails.com/products/365nails-melody-sweet-heart-short-squoval-handmade-kids-press-on-nails","365nails: ""melody sweet heart"" – short squoval handmade kids press-on nails")</x:f>
        <x:v>HYPERLINK is not implemented. linkLocation=https://365nails.com/products/365nails-melody-sweet-heart-short-squoval-handmade-kids-press-on-nails, friendlyName=365nails: "melody sweet heart" – short squoval handmade kids press-on nails</x:v>
      </x:c>
      <x:c r="D3353" s="18" t="str">
        <x:v>Color: Big love melody; Color classification: Xs (about 2 years old) / S (3-4 years old) / M (5-7 years old) / L (8-11 years old)</x:v>
      </x:c>
      <x:c r="E3353" s="25" t="str">
        <x:v>$2.99</x:v>
      </x:c>
      <x:c r="F3353" s="19" t="str">
        <x:v>3</x:v>
      </x:c>
    </x:row>
    <x:row r="3354" ht="93" customHeight="1">
      <x:c r="A3354" s="19" t="n">
        <x:v>3351</x:v>
      </x:c>
      <x:c r="B3354" s="22" t="e">
        <x:f>HYPERLINK("https://cdn.shopify.com/s/files/1/0918/6066/4603/files/O1CN01oRS0YJ2214uvmflrW__2219480337059-0-cib.jpg?v=1773824597","Open")</x:f>
        <x:v>HYPERLINK is not implemented. linkLocation=https://cdn.shopify.com/s/files/1/0918/6066/4603/files/O1CN01oRS0YJ2214uvmflrW__2219480337059-0-cib.jpg?v=1773824597, friendlyName=Open</x:v>
      </x:c>
      <x:c r="C3354" s="24" t="e">
        <x:f>HYPERLINK("https://365nails.com/products/spooky-halloween-kids-series-cute-halloween-squad-short-square-kids-nail-art","365nails-Spooky Halloween Kids Series: ""Cute Halloween Squad"" – Short Square Kids Nail Art")</x:f>
        <x:v>HYPERLINK is not implemented. linkLocation=https://365nails.com/products/spooky-halloween-kids-series-cute-halloween-squad-short-square-kids-nail-art, friendlyName=365nails-Spooky Halloween Kids Series: "Cute Halloween Squad" – Short Square Kids Nail Art</x:v>
      </x:c>
      <x:c r="D3354" s="18" t="str">
        <x:v>Color: 9151 ghost pumpkin; Color classification: Xs (about 2 years old) / S (3-4 years old) / M (5-7 years old) / L (8-11 years old)</x:v>
      </x:c>
      <x:c r="E3354" s="25" t="str">
        <x:v>$2.99</x:v>
      </x:c>
      <x:c r="F3354" s="19" t="str">
        <x:v>3</x:v>
      </x:c>
    </x:row>
    <x:row r="3355" ht="93" customHeight="1">
      <x:c r="A3355" s="19" t="n">
        <x:v>3352</x:v>
      </x:c>
      <x:c r="B3355" s="22" t="e">
        <x:f>HYPERLINK("https://cdn.shopify.com/s/files/1/0918/6066/4603/files/f9516a06907d06ab464876c414a61f8e.jpg?v=1772976584","Open")</x:f>
        <x:v>HYPERLINK is not implemented. linkLocation=https://cdn.shopify.com/s/files/1/0918/6066/4603/files/f9516a06907d06ab464876c414a61f8e.jpg?v=1772976584, friendlyName=Open</x:v>
      </x:c>
      <x:c r="C3355" s="24" t="e">
        <x:f>HYPERLINK("https://365nails.com/products/seamless-collection-half-bond-clear-invisible-half-cover-nail-tips","Seamless Collection: ""Half-Bond Clear"" – Invisible Half-Cover Nail Tips")</x:f>
        <x:v>HYPERLINK is not implemented. linkLocation=https://365nails.com/products/seamless-collection-half-bond-clear-invisible-half-cover-nail-tips, friendlyName=Seamless Collection: "Half-Bond Clear" – Invisible Half-Cover Nail Tips</x:v>
      </x:c>
      <x:c r="D3355" s="18" t="str">
        <x:v>Color: Transparent color-500ps box / Transparent color-500pp bag / Natural white-500ps box / Natural white-500pp bag</x:v>
      </x:c>
      <x:c r="E3355" s="25" t="str">
        <x:v>$2.35–$2.80</x:v>
      </x:c>
      <x:c r="F3355" s="19" t="str">
        <x:v>3</x:v>
      </x:c>
    </x:row>
    <x:row r="3356" ht="93" customHeight="1">
      <x:c r="A3356" s="19" t="n">
        <x:v>3353</x:v>
      </x:c>
      <x:c r="B3356" s="22" t="e">
        <x:f>HYPERLINK("https://cdn.shopify.com/s/files/1/0918/6066/4603/files/O1CN01cYZhZ21bAheAWsyhd__2216807853425-0-cib.jpg?v=1772373455","Open")</x:f>
        <x:v>HYPERLINK is not implemented. linkLocation=https://cdn.shopify.com/s/files/1/0918/6066/4603/files/O1CN01cYZhZ21bAheAWsyhd__2216807853425-0-cib.jpg?v=1772373455, friendlyName=Open</x:v>
      </x:c>
      <x:c r="C3356" s="24" t="e">
        <x:f>HYPERLINK("https://365nails.com/products/french-essentials-collection-nude-french-short-square-press-on-nails","French Essentials Collection: ""Nude French"" – Short Square Press-On Nails")</x:f>
        <x:v>HYPERLINK is not implemented. linkLocation=https://365nails.com/products/french-essentials-collection-nude-french-short-square-press-on-nails, friendlyName=French Essentials Collection: "Nude French" – Short Square Press-On Nails</x:v>
      </x:c>
      <x:c r="D3356" s="18" t="str">
        <x:v>Color: Red french (short ballerina) / Black french (short ballerina) / French strawberry milkshake (short ballerina nails)</x:v>
      </x:c>
      <x:c r="E3356" s="25" t="str">
        <x:v>$0.43–$0.48</x:v>
      </x:c>
      <x:c r="F3356" s="19" t="str">
        <x:v>10</x:v>
      </x:c>
    </x:row>
    <x:row r="3357" ht="93" customHeight="1">
      <x:c r="A3357" s="19" t="n">
        <x:v>3354</x:v>
      </x:c>
      <x:c r="B3357" s="22" t="e">
        <x:f>HYPERLINK("https://cdn.shopify.com/s/files/1/0918/6066/4603/files/O1CN01IxKHi91CPwJRIRlyn__2213196780074-0-cib_232631c9-eaf9-4be3-8e55-38085986c023.jpg?v=1774680358","Open")</x:f>
        <x:v>HYPERLINK is not implemented. linkLocation=https://cdn.shopify.com/s/files/1/0918/6066/4603/files/O1CN01IxKHi91CPwJRIRlyn__2213196780074-0-cib_232631c9-eaf9-4be3-8e55-38085986c023.jpg?v=1774680358, friendlyName=Open</x:v>
      </x:c>
      <x:c r="C3357" s="24" t="e">
        <x:f>HYPERLINK("https://365nails.com/products/365nails-midnight-gothic-3d-rhinestone-handmade-coffin-nails","365nails: ""Midnight Gothic"" – 3D Rhinestone Handmade Coffin Nails")</x:f>
        <x:v>HYPERLINK is not implemented. linkLocation=https://365nails.com/products/365nails-midnight-gothic-3d-rhinestone-handmade-coffin-nails, friendlyName=365nails: "Midnight Gothic" – 3D Rhinestone Handmade Coffin Nails</x:v>
      </x:c>
      <x:c r="D3357" s="18" t="str">
        <x:v>Color: Extra small size xs / Small s / Medium m / Large l; Specification type: 2109-extended duckbill</x:v>
      </x:c>
      <x:c r="E3357" s="25" t="str">
        <x:v>$5.49</x:v>
      </x:c>
      <x:c r="F3357" s="19" t="str">
        <x:v>1</x:v>
      </x:c>
    </x:row>
    <x:row r="3358" ht="93" customHeight="1">
      <x:c r="A3358" s="19" t="n">
        <x:v>3355</x:v>
      </x:c>
      <x:c r="B3358" s="22" t="e">
        <x:f>HYPERLINK("https://cdn.shopify.com/s/files/1/0918/6066/4603/files/O1CN01xEIrci2MQzdm7kyF3__2219089449823-0-cib.jpg?v=1774065268","Open")</x:f>
        <x:v>HYPERLINK is not implemented. linkLocation=https://cdn.shopify.com/s/files/1/0918/6066/4603/files/O1CN01xEIrci2MQzdm7kyF3__2219089449823-0-cib.jpg?v=1774065268, friendlyName=Open</x:v>
      </x:c>
      <x:c r="C3358" s="24" t="e">
        <x:f>HYPERLINK("https://365nails.com/products/ocean-lily-blue-floral-almond-shape-handmade-3d-carved-press-on-nails","365nails-Ocean Lily: ""Blue Floral"" – Almond Shape Handmade 3D Carved Press-On Nails")</x:f>
        <x:v>HYPERLINK is not implemented. linkLocation=https://365nails.com/products/ocean-lily-blue-floral-almond-shape-handmade-3d-carved-press-on-nails, friendlyName=365nails-Ocean Lily: "Blue Floral" – Almond Shape Handmade 3D Carved Press-On Nails</x:v>
      </x:c>
      <x:c r="D3358" s="18" t="str">
        <x:v>Color: D497; Color classification: X s / S / M / L</x:v>
      </x:c>
      <x:c r="E3358" s="25" t="str">
        <x:v>$3.99</x:v>
      </x:c>
      <x:c r="F3358" s="19" t="str">
        <x:v>5</x:v>
      </x:c>
    </x:row>
    <x:row r="3359" ht="93" customHeight="1">
      <x:c r="A3359" s="19" t="n">
        <x:v>3356</x:v>
      </x:c>
      <x:c r="B3359" s="22" t="e">
        <x:f>HYPERLINK("https://cdn.shopify.com/s/files/1/0918/6066/4603/files/O1CN01X4H0Mi27ZUm5gQqzL__2220024697811-0-cib.jpg?v=1775105858","Open")</x:f>
        <x:v>HYPERLINK is not implemented. linkLocation=https://cdn.shopify.com/s/files/1/0918/6066/4603/files/O1CN01X4H0Mi27ZUm5gQqzL__2220024697811-0-cib.jpg?v=1775105858, friendlyName=Open</x:v>
      </x:c>
      <x:c r="C3359" s="24" t="e">
        <x:f>HYPERLINK("https://365nails.com/products/365nails-midnight-flame-abstract-marble-handmade-coffin-nails","365nails: ""Midnight Flame"" – Abstract Marble Handmade Coffin Nails")</x:f>
        <x:v>HYPERLINK is not implemented. linkLocation=https://365nails.com/products/365nails-midnight-flame-abstract-marble-handmade-coffin-nails, friendlyName=365nails: "Midnight Flame" – Abstract Marble Handmade Coffin Nails</x:v>
      </x:c>
      <x:c r="D3359" s="18" t="str">
        <x:v>Color: Almond; Color classification: Xs / S / M / L</x:v>
      </x:c>
      <x:c r="E3359" s="25" t="str">
        <x:v>$4.49</x:v>
      </x:c>
      <x:c r="F3359" s="19" t="str">
        <x:v>3</x:v>
      </x:c>
    </x:row>
    <x:row r="3360" ht="93" customHeight="1">
      <x:c r="A3360" s="19" t="n">
        <x:v>3357</x:v>
      </x:c>
      <x:c r="B3360" s="22" t="e">
        <x:f>HYPERLINK("https://cdn.shopify.com/s/files/1/0918/6066/4603/files/O1CN015b674N2214s3D3ZMs__2219480337059-0-cib.jpg?v=1773824724","Open")</x:f>
        <x:v>HYPERLINK is not implemented. linkLocation=https://cdn.shopify.com/s/files/1/0918/6066/4603/files/O1CN015b674N2214s3D3ZMs__2219480337059-0-cib.jpg?v=1773824724, friendlyName=Open</x:v>
      </x:c>
      <x:c r="C3360" s="24" t="e">
        <x:f>HYPERLINK("https://365nails.com/products/pink-heart-kids-series-sparkle-pink-love-short-square-kids-nail-art","365nails-Pink Heart Kids Series: ""Sparkle Pink Love"" – Short Square Kids Nail Art")</x:f>
        <x:v>HYPERLINK is not implemented. linkLocation=https://365nails.com/products/pink-heart-kids-series-sparkle-pink-love-short-square-kids-nail-art, friendlyName=365nails-Pink Heart Kids Series: "Sparkle Pink Love" – Short Square Kids Nail Art</x:v>
      </x:c>
      <x:c r="D3360" s="18" t="str">
        <x:v>Color: Ice through love; Color classification: Extra small (xs) / Small size s / Medium size m / Large size l</x:v>
      </x:c>
      <x:c r="E3360" s="25" t="str">
        <x:v>$2.99</x:v>
      </x:c>
      <x:c r="F3360" s="19" t="str">
        <x:v>3</x:v>
      </x:c>
    </x:row>
    <x:row r="3361" ht="93" customHeight="1">
      <x:c r="A3361" s="19" t="n">
        <x:v>3358</x:v>
      </x:c>
      <x:c r="B3361" s="22" t="e">
        <x:f>HYPERLINK("https://cdn.shopify.com/s/files/1/0918/6066/4603/files/O1CN012Hgjhm27ZUkps7ygl__2220024697811-0-cib.jpg?v=1775036292","Open")</x:f>
        <x:v>HYPERLINK is not implemented. linkLocation=https://cdn.shopify.com/s/files/1/0918/6066/4603/files/O1CN012Hgjhm27ZUkps7ygl__2220024697811-0-cib.jpg?v=1775036292, friendlyName=Open</x:v>
      </x:c>
      <x:c r="C3361" s="24" t="e">
        <x:f>HYPERLINK("https://365nails.com/products/365nails-cocoa-bloom-3d-floral-handmade-coffin-nails","365nails: ""Cocoa Bloom"" – 3D Floral Handmade Coffin Nails")</x:f>
        <x:v>HYPERLINK is not implemented. linkLocation=https://365nails.com/products/365nails-cocoa-bloom-3d-floral-handmade-coffin-nails, friendlyName=365nails: "Cocoa Bloom" – 3D Floral Handmade Coffin Nails</x:v>
      </x:c>
      <x:c r="D3361" s="18" t="str">
        <x:v>Color: Almond; Color classification: Xs / S / M / L</x:v>
      </x:c>
      <x:c r="E3361" s="25" t="str">
        <x:v>$3.99</x:v>
      </x:c>
      <x:c r="F3361" s="19" t="str">
        <x:v>3</x:v>
      </x:c>
    </x:row>
    <x:row r="3362" ht="93" customHeight="1">
      <x:c r="A3362" s="19" t="n">
        <x:v>3359</x:v>
      </x:c>
      <x:c r="B3362" s="22" t="e">
        <x:f>HYPERLINK("https://cdn.shopify.com/s/files/1/0918/6066/4603/files/O1CN01ivANuy27ZUm5gh6qn__2220024697811-0-cib.jpg?v=1775040659","Open")</x:f>
        <x:v>HYPERLINK is not implemented. linkLocation=https://cdn.shopify.com/s/files/1/0918/6066/4603/files/O1CN01ivANuy27ZUm5gh6qn__2220024697811-0-cib.jpg?v=1775040659, friendlyName=Open</x:v>
      </x:c>
      <x:c r="C3362" s="24" t="e">
        <x:f>HYPERLINK("https://365nails.com/products/365nails-royal-bloom-3d-flower-gold-leaf-handmade-stiletto-nails","365nails: ""Royal Bloom"" – 3D Flower &amp; Gold Leaf Handmade Stiletto Nails")</x:f>
        <x:v>HYPERLINK is not implemented. linkLocation=https://365nails.com/products/365nails-royal-bloom-3d-flower-gold-leaf-handmade-stiletto-nails, friendlyName=365nails: "Royal Bloom" – 3D Flower &amp; Gold Leaf Handmade Stiletto Nails</x:v>
      </x:c>
      <x:c r="D3362" s="18" t="str">
        <x:v>Color: Long tip; Color classification: Xs / S / M / L</x:v>
      </x:c>
      <x:c r="E3362" s="25" t="str">
        <x:v>$4.49</x:v>
      </x:c>
      <x:c r="F3362" s="19" t="str">
        <x:v>3</x:v>
      </x:c>
    </x:row>
    <x:row r="3363" ht="93" customHeight="1">
      <x:c r="A3363" s="19" t="n">
        <x:v>3360</x:v>
      </x:c>
      <x:c r="B3363" s="22" t="e">
        <x:f>HYPERLINK("https://cdn.shopify.com/s/files/1/0918/6066/4603/files/O1CN01sScoD42214vA54os6__2219480337059-0-cib.jpg?v=1773824611","Open")</x:f>
        <x:v>HYPERLINK is not implemented. linkLocation=https://cdn.shopify.com/s/files/1/0918/6066/4603/files/O1CN01sScoD42214vA54os6__2219480337059-0-cib.jpg?v=1773824611, friendlyName=Open</x:v>
      </x:c>
      <x:c r="C3363" s="24" t="e">
        <x:f>HYPERLINK("https://365nails.com/products/spooky-halloween-kids-series-monster-mash-parade-short-square-kids-nail-art","365nails-Spooky Halloween Kids Series: ""Monster Mash Parade"" – Short Square Kids Nail Art")</x:f>
        <x:v>HYPERLINK is not implemented. linkLocation=https://365nails.com/products/spooky-halloween-kids-series-monster-mash-parade-short-square-kids-nail-art, friendlyName=365nails-Spooky Halloween Kids Series: "Monster Mash Parade" – Short Square Kids Nail Art</x:v>
      </x:c>
      <x:c r="D3363" s="18" t="str">
        <x:v>Color: 9162 little bear bat; Color classification: Xs (about 2 years old) / S (3-4 years old) / M (5-7 years old) / L (8-11 years old)</x:v>
      </x:c>
      <x:c r="E3363" s="25" t="str">
        <x:v>$2.99</x:v>
      </x:c>
      <x:c r="F3363" s="19" t="str">
        <x:v>3</x:v>
      </x:c>
    </x:row>
    <x:row r="3364" ht="93" customHeight="1">
      <x:c r="A3364" s="19" t="n">
        <x:v>3361</x:v>
      </x:c>
      <x:c r="B3364" s="22" t="e">
        <x:f>HYPERLINK("https://cdn.shopify.com/s/files/1/0918/6066/4603/files/O1CN0140reUy2MQzfrsyJLi__2219089449823-0-cib.jpg?v=1774275838","Open")</x:f>
        <x:v>HYPERLINK is not implemented. linkLocation=https://cdn.shopify.com/s/files/1/0918/6066/4603/files/O1CN0140reUy2MQzfrsyJLi__2219089449823-0-cib.jpg?v=1774275838, friendlyName=Open</x:v>
      </x:c>
      <x:c r="C3364" s="24" t="e">
        <x:f>HYPERLINK("https://365nails.com/products/sunny-breeze-lemon-ice-cream-short-almond-press-on-nails","Sunny Breeze: ""Lemon Ice Cream"" – Short Almond Press-On Nails")</x:f>
        <x:v>HYPERLINK is not implemented. linkLocation=https://365nails.com/products/sunny-breeze-lemon-ice-cream-short-almond-press-on-nails, friendlyName=Sunny Breeze: "Lemon Ice Cream" – Short Almond Press-On Nails</x:v>
      </x:c>
      <x:c r="D3364" s="18" t="str">
        <x:v>Color: D256; Color classification: X s / S / M / L</x:v>
      </x:c>
      <x:c r="E3364" s="25" t="str">
        <x:v>$3.99</x:v>
      </x:c>
      <x:c r="F3364" s="19" t="str">
        <x:v>1</x:v>
      </x:c>
    </x:row>
    <x:row r="3365" ht="93" customHeight="1">
      <x:c r="A3365" s="19" t="n">
        <x:v>3362</x:v>
      </x:c>
      <x:c r="B3365" s="22" t="e">
        <x:f>HYPERLINK("https://cdn.shopify.com/s/files/1/0918/6066/4603/files/O1CN01YRJ7tf27ZUkkJ7b2x__2220024697811-0-cib.jpg?v=1775005425","Open")</x:f>
        <x:v>HYPERLINK is not implemented. linkLocation=https://cdn.shopify.com/s/files/1/0918/6066/4603/files/O1CN01YRJ7tf27ZUkkJ7b2x__2220024697811-0-cib.jpg?v=1775005425, friendlyName=Open</x:v>
      </x:c>
      <x:c r="C3365" s="24" t="e">
        <x:f>HYPERLINK("https://365nails.com/products/365nails-strawberry-milk-3d-cartoon-handmade-almond-nails","365nails: ""Strawberry Milk"" – 3D Cartoon Handmade Almond Nails")</x:f>
        <x:v>HYPERLINK is not implemented. linkLocation=https://365nails.com/products/365nails-strawberry-milk-3d-cartoon-handmade-almond-nails, friendlyName=365nails: "Strawberry Milk" – 3D Cartoon Handmade Almond Nails</x:v>
      </x:c>
      <x:c r="D3365" s="18" t="str">
        <x:v>Color: Almond; Color classification: Xs / S / M / L</x:v>
      </x:c>
      <x:c r="E3365" s="25" t="str">
        <x:v>$4.49</x:v>
      </x:c>
      <x:c r="F3365" s="19" t="str">
        <x:v>3</x:v>
      </x:c>
    </x:row>
    <x:row r="3366" ht="93" customHeight="1">
      <x:c r="A3366" s="19" t="n">
        <x:v>3363</x:v>
      </x:c>
      <x:c r="B3366" s="22" t="e">
        <x:f>HYPERLINK("https://cdn.shopify.com/s/files/1/0918/6066/4603/files/O1CN01q9wCOi2214sA8Ip2C__2219480337059-0-cib.jpg?v=1773320917","Open")</x:f>
        <x:v>HYPERLINK is not implemented. linkLocation=https://cdn.shopify.com/s/files/1/0918/6066/4603/files/O1CN01q9wCOi2214sA8Ip2C__2219480337059-0-cib.jpg?v=1773320917, friendlyName=Open</x:v>
      </x:c>
      <x:c r="C3366" s="24" t="e">
        <x:f>HYPERLINK("https://365nails.com/products/365nails-mermaid-princess-short-round-handmade-kids-press-on-nails","365nails: ""mermaid princess"" – short round handmade kids press-on nails")</x:f>
        <x:v>HYPERLINK is not implemented. linkLocation=https://365nails.com/products/365nails-mermaid-princess-short-round-handmade-kids-press-on-nails, friendlyName=365nails: "mermaid princess" – short round handmade kids press-on nails</x:v>
      </x:c>
      <x:c r="D3366" s="18" t="str">
        <x:v>Color: Mermaid shell; Color classification: Extra small (xs) / Small size s / Medium size m / Large size l</x:v>
      </x:c>
      <x:c r="E3366" s="25" t="str">
        <x:v>$2.99</x:v>
      </x:c>
      <x:c r="F3366" s="19" t="str">
        <x:v>3</x:v>
      </x:c>
    </x:row>
    <x:row r="3367" ht="93" customHeight="1">
      <x:c r="A3367" s="19" t="n">
        <x:v>3364</x:v>
      </x:c>
      <x:c r="B3367" s="22" t="e">
        <x:f>HYPERLINK("https://cdn.shopify.com/s/files/1/0918/6066/4603/files/26ad63ee7fbee98eb477091e98f02dbf.jpg?v=1772976575","Open")</x:f>
        <x:v>HYPERLINK is not implemented. linkLocation=https://cdn.shopify.com/s/files/1/0918/6066/4603/files/26ad63ee7fbee98eb477091e98f02dbf.jpg?v=1772976575, friendlyName=Open</x:v>
      </x:c>
      <x:c r="C3367" s="24" t="e">
        <x:f>HYPERLINK("https://365nails.com/products/drama-collection-xxxxl-tube-extra-long-xxxl-tube-nail-tips","Drama Collection: ""XXXXL Tube"" – Extra Long XXXL Tube Nail Tips")</x:f>
        <x:v>HYPERLINK is not implemented. linkLocation=https://365nails.com/products/drama-collection-xxxxl-tube-extra-long-xxxl-tube-nail-tips, friendlyName=Drama Collection: "XXXXL Tube" – Extra Long XXXL Tube Nail Tips</x:v>
      </x:c>
      <x:c r="D3367" s="18" t="str">
        <x:v>Color: 504 tablets in bag-transparent color / Bag of 504 pieces-natural color / Box of 360 tablets - transparent color / Box of 360 tablets - natural color</x:v>
      </x:c>
      <x:c r="E3367" s="25" t="str">
        <x:v>$2.69–$3.14</x:v>
      </x:c>
      <x:c r="F3367" s="19" t="str">
        <x:v>3</x:v>
      </x:c>
    </x:row>
    <x:row r="3368" ht="93" customHeight="1">
      <x:c r="A3368" s="19" t="n">
        <x:v>3365</x:v>
      </x:c>
      <x:c r="B3368" s="22" t="e">
        <x:f>HYPERLINK("https://cdn.shopify.com/s/files/1/0918/6066/4603/files/O1CN01dGY1pJ1CPwLxHHWq8__2213196780074-0-cib_5a0ccfee-b3fa-47ad-bff0-ceb751ca219c.jpg?v=1774681640","Open")</x:f>
        <x:v>HYPERLINK is not implemented. linkLocation=https://cdn.shopify.com/s/files/1/0918/6066/4603/files/O1CN01dGY1pJ1CPwLxHHWq8__2213196780074-0-cib_5a0ccfee-b3fa-47ad-bff0-ceb751ca219c.jpg?v=1774681640, friendlyName=Open</x:v>
      </x:c>
      <x:c r="C3368" s="24" t="e">
        <x:f>HYPERLINK("https://365nails.com/products/365nails-kitty-charm-3d-cat-bow-handmade-almond-nails","365nails: ""Kitty Charm"" – 3D Cat &amp; Bow Handmade Almond Nails")</x:f>
        <x:v>HYPERLINK is not implemented. linkLocation=https://365nails.com/products/365nails-kitty-charm-3d-cat-bow-handmade-almond-nails, friendlyName=365nails: "Kitty Charm" – 3D Cat &amp; Bow Handmade Almond Nails</x:v>
      </x:c>
      <x:c r="D3368" s="18" t="str">
        <x:v>Color: 2544-short oval; Color classification: Xs / S / M / L</x:v>
      </x:c>
      <x:c r="E3368" s="25" t="str">
        <x:v>$3.49</x:v>
      </x:c>
      <x:c r="F3368" s="19" t="str">
        <x:v>1</x:v>
      </x:c>
    </x:row>
    <x:row r="3369" ht="93" customHeight="1">
      <x:c r="A3369" s="19" t="n">
        <x:v>3366</x:v>
      </x:c>
      <x:c r="B3369" s="22" t="e">
        <x:f>HYPERLINK("https://cdn.shopify.com/s/files/1/0918/6066/4603/files/O1CN01AEL7lf27ZUmJuQFzF__2220024697811-0-cib.jpg?v=1775106257","Open")</x:f>
        <x:v>HYPERLINK is not implemented. linkLocation=https://cdn.shopify.com/s/files/1/0918/6066/4603/files/O1CN01AEL7lf27ZUmJuQFzF__2220024697811-0-cib.jpg?v=1775106257, friendlyName=Open</x:v>
      </x:c>
      <x:c r="C3369" s="24" t="e">
        <x:f>HYPERLINK("https://365nails.com/products/365nails-golden-hour-3d-rhinestone-tiger-stripe-handmade-coffin-nails","365nails: ""Golden Hour"" – 3D Rhinestone &amp; Tiger Stripe Handmade Coffin Nails")</x:f>
        <x:v>HYPERLINK is not implemented. linkLocation=https://365nails.com/products/365nails-golden-hour-3d-rhinestone-tiger-stripe-handmade-coffin-nails, friendlyName=365nails: "Golden Hour" – 3D Rhinestone &amp; Tiger Stripe Handmade Coffin Nails</x:v>
      </x:c>
      <x:c r="D3369" s="18" t="str">
        <x:v>Color: Right angle t; Color classification: S / M / L</x:v>
      </x:c>
      <x:c r="E3369" s="25" t="str">
        <x:v>$4.49</x:v>
      </x:c>
      <x:c r="F3369" s="19" t="str">
        <x:v>3</x:v>
      </x:c>
    </x:row>
    <x:row r="3370" ht="93" customHeight="1">
      <x:c r="A3370" s="19" t="n">
        <x:v>3367</x:v>
      </x:c>
      <x:c r="B3370" s="22" t="e">
        <x:f>HYPERLINK("https://cdn.shopify.com/s/files/1/0918/6066/4603/files/O1CN01eYk3We1CPwLwYXeae__2213196780074-0-cib_f0915506-0b89-4b53-96e9-23ccc10f5c07.jpg?v=1774686090","Open")</x:f>
        <x:v>HYPERLINK is not implemented. linkLocation=https://cdn.shopify.com/s/files/1/0918/6066/4603/files/O1CN01eYk3We1CPwLwYXeae__2213196780074-0-cib_f0915506-0b89-4b53-96e9-23ccc10f5c07.jpg?v=1774686090, friendlyName=Open</x:v>
      </x:c>
      <x:c r="C3370" s="24" t="e">
        <x:f>HYPERLINK("https://365nails.com/products/365nails-candy-crush-multicolor-glitter-solid-color-handmade-square-nails","365nails: ""Candy Crush"" – Multicolor Glitter &amp; Solid Color Handmade Square Nails")</x:f>
        <x:v>HYPERLINK is not implemented. linkLocation=https://365nails.com/products/365nails-candy-crush-multicolor-glitter-solid-color-handmade-square-nails, friendlyName=365nails: "Candy Crush" – Multicolor Glitter &amp; Solid Color Handmade Square Nails</x:v>
      </x:c>
      <x:c r="D3370" s="18" t="str">
        <x:v>Color: 191-short round; Color classification: Xs / S / M / L</x:v>
      </x:c>
      <x:c r="E3370" s="25" t="str">
        <x:v>$2.99</x:v>
      </x:c>
      <x:c r="F3370" s="19" t="str">
        <x:v>1</x:v>
      </x:c>
    </x:row>
    <x:row r="3371" ht="93" customHeight="1">
      <x:c r="A3371" s="19" t="n">
        <x:v>3368</x:v>
      </x:c>
      <x:c r="B3371" s="22" t="e">
        <x:f>HYPERLINK("https://cdn.shopify.com/s/files/1/0918/6066/4603/files/O1CN01LikSAa1rlpNFXDleU__2215158925672-0-cib_82e18c05-e00a-4597-80e4-9b570d381041.jpg?v=1773065180","Open")</x:f>
        <x:v>HYPERLINK is not implemented. linkLocation=https://cdn.shopify.com/s/files/1/0918/6066/4603/files/O1CN01LikSAa1rlpNFXDleU__2215158925672-0-cib_82e18c05-e00a-4597-80e4-9b570d381041.jpg?v=1773065180, friendlyName=Open</x:v>
      </x:c>
      <x:c r="C3371" s="24" t="e">
        <x:f>HYPERLINK("https://365nails.com/products/365nails-monochrome-rebellion-long-almond-handmade-press-on-nails","365nails: ""Monochrome Rebellion"" – Long Almond Handmade Press-On Nails")</x:f>
        <x:v>HYPERLINK is not implemented. linkLocation=https://365nails.com/products/365nails-monochrome-rebellion-long-almond-handmade-press-on-nails, friendlyName=365nails: "Monochrome Rebellion" – Long Almond Handmade Press-On Nails</x:v>
      </x:c>
      <x:c r="D3371" s="18" t="str">
        <x:v>Color: Extended t-shirt; Color classification: X s / S / M</x:v>
      </x:c>
      <x:c r="E3371" s="25" t="str">
        <x:v>$2.49</x:v>
      </x:c>
      <x:c r="F3371" s="19" t="str">
        <x:v>3</x:v>
      </x:c>
    </x:row>
    <x:row r="3372" ht="93" customHeight="1">
      <x:c r="A3372" s="19" t="n">
        <x:v>3369</x:v>
      </x:c>
      <x:c r="B3372" s="22" t="e">
        <x:f>HYPERLINK("https://cdn.shopify.com/s/files/1/0918/6066/4603/files/8249c3012c14b074e6cd2f89b7745384.jpg?v=1776169942","Open")</x:f>
        <x:v>HYPERLINK is not implemented. linkLocation=https://cdn.shopify.com/s/files/1/0918/6066/4603/files/8249c3012c14b074e6cd2f89b7745384.jpg?v=1776169942, friendlyName=Open</x:v>
      </x:c>
      <x:c r="C3372" s="24" t="e">
        <x:f>HYPERLINK("https://365nails.com/products/365nails-candy-pop-3d-mix-match-handmade-short-square-nails","365nails: ""Candy Pop"" – 3D Mix &amp; Match Handmade Short Square Nails")</x:f>
        <x:v>HYPERLINK is not implemented. linkLocation=https://365nails.com/products/365nails-candy-pop-3d-mix-match-handmade-short-square-nails, friendlyName=365nails: "Candy Pop" – 3D Mix &amp; Match Handmade Short Square Nails</x:v>
      </x:c>
      <x:c r="D3372" s="18" t="str">
        <x:v>Size: XS / S / M / L</x:v>
      </x:c>
      <x:c r="E3372" s="25" t="str">
        <x:v>$1.99</x:v>
      </x:c>
      <x:c r="F3372" s="19" t="str">
        <x:v>3</x:v>
      </x:c>
    </x:row>
    <x:row r="3373" ht="93" customHeight="1">
      <x:c r="A3373" s="19" t="n">
        <x:v>3370</x:v>
      </x:c>
      <x:c r="B3373" s="22" t="e">
        <x:f>HYPERLINK("https://cdn.shopify.com/s/files/1/0918/6066/4603/files/O1CN01b89TUp2214sxmpBX1__2219480337059-0-cib.jpg?v=1774067510","Open")</x:f>
        <x:v>HYPERLINK is not implemented. linkLocation=https://cdn.shopify.com/s/files/1/0918/6066/4603/files/O1CN01b89TUp2214sxmpBX1__2219480337059-0-cib.jpg?v=1774067510, friendlyName=Open</x:v>
      </x:c>
      <x:c r="C3373" s="24" t="e">
        <x:f>HYPERLINK("https://365nails.com/products/pink-bunny-kids-series-sweet-bunny-ears-short-square-kids-nail-art","365nails-Pink Bunny Kids Series: ""Sweet Bunny Ears"" – Short Square Kids Nail Art")</x:f>
        <x:v>HYPERLINK is not implemented. linkLocation=https://365nails.com/products/pink-bunny-kids-series-sweet-bunny-ears-short-square-kids-nail-art, friendlyName=365nails-Pink Bunny Kids Series: "Sweet Bunny Ears" – Short Square Kids Nail Art</x:v>
      </x:c>
      <x:c r="D3373" s="18" t="str">
        <x:v>Color: Pink bunny ears; Color classification: Xs (about 2 years old) / S (3-4 years old) / M (5-7 years old) / L (8-11 years old)</x:v>
      </x:c>
      <x:c r="E3373" s="25" t="str">
        <x:v>$2.99</x:v>
      </x:c>
      <x:c r="F3373" s="19" t="str">
        <x:v>3</x:v>
      </x:c>
    </x:row>
    <x:row r="3374" ht="93" customHeight="1">
      <x:c r="A3374" s="19" t="n">
        <x:v>3371</x:v>
      </x:c>
      <x:c r="B3374" s="22" t="e">
        <x:f>HYPERLINK("https://cdn.shopify.com/s/files/1/0918/6066/4603/files/56096fe53b079f5505d3f953abad82cb.jpg?v=1765438805","Open")</x:f>
        <x:v>HYPERLINK is not implemented. linkLocation=https://cdn.shopify.com/s/files/1/0918/6066/4603/files/56096fe53b079f5505d3f953abad82cb.jpg?v=1765438805, friendlyName=Open</x:v>
      </x:c>
      <x:c r="C3374" s="24" t="e">
        <x:f>HYPERLINK("https://365nails.com/products/berry-pop-studded-press-on-nails-vivid-purple-long-stiletto-starry-glitter-sparkling-series","Berry Pop Studded Press On Nails｜Vivid Purple Long Stiletto | Crystal Armor Series")</x:f>
        <x:v>HYPERLINK is not implemented. linkLocation=https://365nails.com/products/berry-pop-studded-press-on-nails-vivid-purple-long-stiletto-starry-glitter-sparkling-series, friendlyName=Berry Pop Studded Press On Nails｜Vivid Purple Long Stiletto | Crystal Armor Series</x:v>
      </x:c>
      <x:c r="D3374" s="18" t="str">
        <x:v>shape: almond / square; Size: XS / S / M / L; length: 45mm / 30mm</x:v>
      </x:c>
      <x:c r="E3374" s="25" t="str">
        <x:v>$19.00</x:v>
      </x:c>
      <x:c r="F3374" s="19" t="str">
        <x:v>1</x:v>
      </x:c>
    </x:row>
    <x:row r="3375" ht="93" customHeight="1">
      <x:c r="A3375" s="19" t="n">
        <x:v>3372</x:v>
      </x:c>
      <x:c r="B3375" s="22" t="e">
        <x:f>HYPERLINK("https://cdn.shopify.com/s/files/1/0918/6066/4603/files/O1CN01jEEgbl27ZUmrHKajd__2220024697811-0-cib.jpg?v=1774960208","Open")</x:f>
        <x:v>HYPERLINK is not implemented. linkLocation=https://cdn.shopify.com/s/files/1/0918/6066/4603/files/O1CN01jEEgbl27ZUmrHKajd__2220024697811-0-cib.jpg?v=1774960208, friendlyName=Open</x:v>
      </x:c>
      <x:c r="C3375" s="24" t="e">
        <x:f>HYPERLINK("https://365nails.com/products/365nails-gilded-bloom-3d-floral-handmade-almond-nails","365nails: ""Gilded Bloom"" – 3D Floral Handmade Almond Nails")</x:f>
        <x:v>HYPERLINK is not implemented. linkLocation=https://365nails.com/products/365nails-gilded-bloom-3d-floral-handmade-almond-nails, friendlyName=365nails: "Gilded Bloom" – 3D Floral Handmade Almond Nails</x:v>
      </x:c>
      <x:c r="D3375" s="18" t="str">
        <x:v>Color: Right angle t; Color classification: Xs / S / M / L</x:v>
      </x:c>
      <x:c r="E3375" s="25" t="str">
        <x:v>$4.99</x:v>
      </x:c>
      <x:c r="F3375" s="19" t="str">
        <x:v>3</x:v>
      </x:c>
    </x:row>
    <x:row r="3376" ht="93" customHeight="1">
      <x:c r="A3376" s="19" t="n">
        <x:v>3373</x:v>
      </x:c>
      <x:c r="B3376" s="22" t="e">
        <x:f>HYPERLINK("https://cdn.shopify.com/s/files/1/0918/6066/4603/files/O1CN01WQ4Ylq2MQzemMoNDA__2219089449823-0-cib.jpg?v=1774178745","Open")</x:f>
        <x:v>HYPERLINK is not implemented. linkLocation=https://cdn.shopify.com/s/files/1/0918/6066/4603/files/O1CN01WQ4Ylq2MQzemMoNDA__2219089449823-0-cib.jpg?v=1774178745, friendlyName=Open</x:v>
      </x:c>
      <x:c r="C3376" s="24" t="e">
        <x:f>HYPERLINK("https://365nails.com/products/pure-desire-bloom-crimson-sakura-short-square-press-on-nails","Pure Desire Bloom: ""Crimson Sakura"" – Short Square Press-On Nails")</x:f>
        <x:v>HYPERLINK is not implemented. linkLocation=https://365nails.com/products/pure-desire-bloom-crimson-sakura-short-square-press-on-nails, friendlyName=Pure Desire Bloom: "Crimson Sakura" – Short Square Press-On Nails</x:v>
      </x:c>
      <x:c r="D3376" s="18" t="str">
        <x:v>Color: L244; Color classification: X s / S / M / L</x:v>
      </x:c>
      <x:c r="E3376" s="25" t="str">
        <x:v>$3.49</x:v>
      </x:c>
      <x:c r="F3376" s="19" t="str">
        <x:v>1</x:v>
      </x:c>
    </x:row>
    <x:row r="3377" ht="93" customHeight="1">
      <x:c r="A3377" s="19" t="n">
        <x:v>3374</x:v>
      </x:c>
      <x:c r="B3377" s="22" t="e">
        <x:f>HYPERLINK("https://cdn.shopify.com/s/files/1/0918/6066/4603/files/O1CN0171sVJ22214tL9gc3c__2219480337059-0-cib.jpg?v=1773824731","Open")</x:f>
        <x:v>HYPERLINK is not implemented. linkLocation=https://cdn.shopify.com/s/files/1/0918/6066/4603/files/O1CN0171sVJ22214tL9gc3c__2219480337059-0-cib.jpg?v=1773824731, friendlyName=Open</x:v>
      </x:c>
      <x:c r="C3377" s="24" t="e">
        <x:f>HYPERLINK("https://365nails.com/products/pink-starry-kids-series-golden-star-sparkle-short-square-kids-nail-art","Pink Starry Kids Series: ""Golden Star Sparkle"" – Short Square Kids Nail Art")</x:f>
        <x:v>HYPERLINK is not implemented. linkLocation=https://365nails.com/products/pink-starry-kids-series-golden-star-sparkle-short-square-kids-nail-art, friendlyName=Pink Starry Kids Series: "Golden Star Sparkle" – Short Square Kids Nail Art</x:v>
      </x:c>
      <x:c r="D3377" s="18" t="str">
        <x:v>Color: Sticker girl; Color classification: Xs (about 2 years old) / S (3-4 years old) / M (5-7 years old) / L (8-11 years old)</x:v>
      </x:c>
      <x:c r="E3377" s="25" t="str">
        <x:v>$2.99</x:v>
      </x:c>
      <x:c r="F3377" s="19" t="str">
        <x:v>3</x:v>
      </x:c>
    </x:row>
    <x:row r="3378" ht="93" customHeight="1">
      <x:c r="A3378" s="19" t="n">
        <x:v>3375</x:v>
      </x:c>
      <x:c r="B3378" s="22" t="e">
        <x:f>HYPERLINK("https://cdn.shopify.com/s/files/1/0918/6066/4603/files/O1CN01J2Q4ZT27ZUlGrlYQ8__2220024697811-0-cib.jpg?v=1775050697","Open")</x:f>
        <x:v>HYPERLINK is not implemented. linkLocation=https://cdn.shopify.com/s/files/1/0918/6066/4603/files/O1CN01J2Q4ZT27ZUlGrlYQ8__2220024697811-0-cib.jpg?v=1775050697, friendlyName=Open</x:v>
      </x:c>
      <x:c r="C3378" s="24" t="e">
        <x:f>HYPERLINK("https://365nails.com/products/365nails-golden-citrus-3d-sculpted-fruit-handmade-square-nails","365nails: ""Golden Citrus"" – 3D Sculpted Fruit Handmade Square Nails")</x:f>
        <x:v>HYPERLINK is not implemented. linkLocation=https://365nails.com/products/365nails-golden-citrus-3d-sculpted-fruit-handmade-square-nails, friendlyName=365nails: "Golden Citrus" – 3D Sculpted Fruit Handmade Square Nails</x:v>
      </x:c>
      <x:c r="D3378" s="18" t="str">
        <x:v>Color: Almond; Color classification: Xs / S / M / L</x:v>
      </x:c>
      <x:c r="E3378" s="25" t="str">
        <x:v>$4.49</x:v>
      </x:c>
      <x:c r="F3378" s="19" t="str">
        <x:v>3</x:v>
      </x:c>
    </x:row>
    <x:row r="3379" ht="93" customHeight="1">
      <x:c r="A3379" s="19" t="n">
        <x:v>3376</x:v>
      </x:c>
      <x:c r="B3379" s="22" t="e">
        <x:f>HYPERLINK("https://cdn.shopify.com/s/files/1/0918/6066/4603/files/O1CN01ELIf6s1CPwNLzk1yo__2213196780074-0-cib.jpg?v=1774679188","Open")</x:f>
        <x:v>HYPERLINK is not implemented. linkLocation=https://cdn.shopify.com/s/files/1/0918/6066/4603/files/O1CN01ELIf6s1CPwNLzk1yo__2213196780074-0-cib.jpg?v=1774679188, friendlyName=Open</x:v>
      </x:c>
      <x:c r="C3379" s="24" t="e">
        <x:f>HYPERLINK("https://365nails.com/products/365nails-elegant-awakening-3d-crystal-cat-eye-stiletto-nails","365nails: ""Elegant Awakening"" – 3D Crystal &amp; Cat Eye Stiletto Nails")</x:f>
        <x:v>HYPERLINK is not implemented. linkLocation=https://365nails.com/products/365nails-elegant-awakening-3d-crystal-cat-eye-stiletto-nails, friendlyName=365nails: "Elegant Awakening" – 3D Crystal &amp; Cat Eye Stiletto Nails</x:v>
      </x:c>
      <x:c r="D3379" s="18" t="str">
        <x:v>Color: 2881-extra long ladder / 2883-fine dog tip; Color classification: Xs / S / M / L</x:v>
      </x:c>
      <x:c r="E3379" s="25" t="str">
        <x:v>$3.99</x:v>
      </x:c>
      <x:c r="F3379" s="19" t="str">
        <x:v>1</x:v>
      </x:c>
    </x:row>
    <x:row r="3380" ht="93" customHeight="1">
      <x:c r="A3380" s="19" t="n">
        <x:v>3377</x:v>
      </x:c>
      <x:c r="B3380" s="22" t="e">
        <x:f>HYPERLINK("https://cdn.shopify.com/s/files/1/0918/6066/4603/files/e49e1ff5151294e4d7fe56810e9b8b39.jpg?v=1778337269","Open")</x:f>
        <x:v>HYPERLINK is not implemented. linkLocation=https://cdn.shopify.com/s/files/1/0918/6066/4603/files/e49e1ff5151294e4d7fe56810e9b8b39.jpg?v=1778337269, friendlyName=Open</x:v>
      </x:c>
      <x:c r="C3380" s="24" t="e">
        <x:f>HYPERLINK("https://365nails.com/products/365nails-blooming-butterfly-3d-floral-glitter-handmade-stiletto-nails","365nails: ""Blooming Butterfly"" – 3D Floral Glitter Handmade Stiletto Nails")</x:f>
        <x:v>HYPERLINK is not implemented. linkLocation=https://365nails.com/products/365nails-blooming-butterfly-3d-floral-glitter-handmade-stiletto-nails, friendlyName=365nails: "Blooming Butterfly" – 3D Floral Glitter Handmade Stiletto Nails</x:v>
      </x:c>
      <x:c r="D3380" s="18" t="str">
        <x:v>Size: XS / S / M / L</x:v>
      </x:c>
      <x:c r="E3380" s="25" t="str">
        <x:v>$2.99</x:v>
      </x:c>
      <x:c r="F3380" s="19" t="str">
        <x:v>5</x:v>
      </x:c>
    </x:row>
    <x:row r="3381" ht="93" customHeight="1">
      <x:c r="A3381" s="19" t="n">
        <x:v>3378</x:v>
      </x:c>
      <x:c r="B3381" s="22" t="e">
        <x:f>HYPERLINK("https://cdn.shopify.com/s/files/1/0918/6066/4603/files/O1CN01KMk2Lq2214wH9aama__2219480337059-0-cib_b24fc9b7-6d70-4f37-a62c-a1571e2f30a8.jpg?v=1773199645","Open")</x:f>
        <x:v>HYPERLINK is not implemented. linkLocation=https://cdn.shopify.com/s/files/1/0918/6066/4603/files/O1CN01KMk2Lq2214wH9aama__2219480337059-0-cib_b24fc9b7-6d70-4f37-a62c-a1571e2f30a8.jpg?v=1773199645, friendlyName=Open</x:v>
      </x:c>
      <x:c r="C3381" s="24" t="e">
        <x:f>HYPERLINK("https://365nails.com/products/365nails-zootopia-judy-nick-short-squoval-handmade-kids-press-on-nails","365nails: ""zootopia judy &amp; nick"" – short squoval handmade kids press-on nails")</x:f>
        <x:v>HYPERLINK is not implemented. linkLocation=https://365nails.com/products/365nails-zootopia-judy-nick-short-squoval-handmade-kids-press-on-nails, friendlyName=365nails: "zootopia judy &amp; nick" – short squoval handmade kids press-on nails</x:v>
      </x:c>
      <x:c r="D3381" s="18" t="str">
        <x:v>Color: 51298 colorful animal city; Color classification: Xs (about 2 years old) / S (3-4 years old) / M (5-7 years old) / L (8-11 years old)</x:v>
      </x:c>
      <x:c r="E3381" s="25" t="str">
        <x:v>$2.99</x:v>
      </x:c>
      <x:c r="F3381" s="19" t="str">
        <x:v>3</x:v>
      </x:c>
    </x:row>
    <x:row r="3382" ht="93" customHeight="1">
      <x:c r="A3382" s="19" t="n">
        <x:v>3379</x:v>
      </x:c>
      <x:c r="B3382" s="22" t="e">
        <x:f>HYPERLINK("https://cdn.shopify.com/s/files/1/0918/6066/4603/files/cca4f6eb1b43c72c887cb439973fc258.jpg?v=1755140996","Open")</x:f>
        <x:v>HYPERLINK is not implemented. linkLocation=https://cdn.shopify.com/s/files/1/0918/6066/4603/files/cca4f6eb1b43c72c887cb439973fc258.jpg?v=1755140996, friendlyName=Open</x:v>
      </x:c>
      <x:c r="C3382" s="24" t="e">
        <x:f>HYPERLINK("https://365nails.com/products/nail-tips-free-engraving-and-semi-matte-press-on-nails-pads-120-pieces-transparent-and-seamless-fake-nails-in-bags-fully-attached-to-matte-nail-pads","Transparent Semi-Matte Press-On Nail Pads, Seamless Fake Nails Fully Attached, 120 Pieces in Bags (MOQ=3)")</x:f>
        <x:v>HYPERLINK is not implemented. linkLocation=https://365nails.com/products/nail-tips-free-engraving-and-semi-matte-press-on-nails-pads-120-pieces-transparent-and-seamless-fake-nails-in-bags-fully-attached-to-matte-nail-pads, friendlyName=Transparent Semi-Matte Press-On Nail Pads, Seamless Fake Nails Fully Attached, 120 Pieces in Bags (MOQ=3)</x:v>
      </x:c>
      <x:c r="D3382" s="18" t="str">
        <x:v>Color: 101 Short Almonds / 102 Short Ballet / 103 short water droplets / 104 small fat round / 105 long ellipse / 106 Inner and outer square armor / 107 inner and outer ballet / 108 inner and outer long ellipse / 109 Inner and outer almond nail / 110 long water droplets inside and outside / 180 square armor / 181 Long Ballet / 182 long water droplets / 183 long almonds / 184 short ballet / 187 Almonds / 188 Japanese Small Short Square / 189 plus rectangle / 275 long almonds; Quantity: 3pcs</x:v>
      </x:c>
      <x:c r="E3382" s="25" t="str">
        <x:v>$1.53</x:v>
      </x:c>
      <x:c r="F3382" s="19" t="str">
        <x:v>1</x:v>
      </x:c>
    </x:row>
    <x:row r="3383" ht="93" customHeight="1">
      <x:c r="A3383" s="19" t="n">
        <x:v>3380</x:v>
      </x:c>
      <x:c r="B3383" s="22" t="e">
        <x:f>HYPERLINK("https://cdn.shopify.com/s/files/1/0918/6066/4603/files/O1CN015pXTOV27ZUmGfT3QB__2220024697811-0-cib.jpg?v=1775106031","Open")</x:f>
        <x:v>HYPERLINK is not implemented. linkLocation=https://cdn.shopify.com/s/files/1/0918/6066/4603/files/O1CN015pXTOV27ZUmGfT3QB__2220024697811-0-cib.jpg?v=1775106031, friendlyName=Open</x:v>
      </x:c>
      <x:c r="C3383" s="24" t="e">
        <x:f>HYPERLINK("https://365nails.com/products/365nails-cherry-pop-star-3d-cherry-star-handmade-square-nails","365nails: ""Cherry Pop Star"" – 3D Cherry &amp; Star Handmade Square Nails")</x:f>
        <x:v>HYPERLINK is not implemented. linkLocation=https://365nails.com/products/365nails-cherry-pop-star-3d-cherry-star-handmade-square-nails, friendlyName=365nails: "Cherry Pop Star" – 3D Cherry &amp; Star Handmade Square Nails</x:v>
      </x:c>
      <x:c r="D3383" s="18" t="str">
        <x:v>Color: Right angle t; Color classification: Xs / S / M / L</x:v>
      </x:c>
      <x:c r="E3383" s="25" t="str">
        <x:v>$4.49</x:v>
      </x:c>
      <x:c r="F3383" s="19" t="str">
        <x:v>3</x:v>
      </x:c>
    </x:row>
    <x:row r="3384" ht="93" customHeight="1">
      <x:c r="A3384" s="19" t="n">
        <x:v>3381</x:v>
      </x:c>
      <x:c r="B3384" s="22" t="e">
        <x:f>HYPERLINK("https://cdn.shopify.com/s/files/1/0918/6066/4603/files/O1CN01toJEej2MQzeu6bavR__2219089449823-0-cib.jpg?v=1774178758","Open")</x:f>
        <x:v>HYPERLINK is not implemented. linkLocation=https://cdn.shopify.com/s/files/1/0918/6066/4603/files/O1CN01toJEej2MQzeu6bavR__2219089449823-0-cib.jpg?v=1774178758, friendlyName=Open</x:v>
      </x:c>
      <x:c r="C3384" s="24" t="e">
        <x:f>HYPERLINK("https://365nails.com/products/coastal-treasure-seashell-crown-short-square-press-on-nails","Coastal Treasure: ""Seashell Crown"" – Short Square Press-On Nails")</x:f>
        <x:v>HYPERLINK is not implemented. linkLocation=https://365nails.com/products/coastal-treasure-seashell-crown-short-square-press-on-nails, friendlyName=Coastal Treasure: "Seashell Crown" – Short Square Press-On Nails</x:v>
      </x:c>
      <x:c r="D3384" s="18" t="str">
        <x:v>Color: L241; Color classification: X s / S / M / L</x:v>
      </x:c>
      <x:c r="E3384" s="25" t="str">
        <x:v>$4.99</x:v>
      </x:c>
      <x:c r="F3384" s="19" t="str">
        <x:v>1</x:v>
      </x:c>
    </x:row>
    <x:row r="3385" ht="93" customHeight="1">
      <x:c r="A3385" s="19" t="n">
        <x:v>3382</x:v>
      </x:c>
      <x:c r="B3385" s="22" t="e">
        <x:f>HYPERLINK("https://cdn.shopify.com/s/files/1/0918/6066/4603/files/O1CN01yefAcM27ZUlydIyQC__2220024697811-0-cib.jpg?v=1774926829","Open")</x:f>
        <x:v>HYPERLINK is not implemented. linkLocation=https://cdn.shopify.com/s/files/1/0918/6066/4603/files/O1CN01yefAcM27ZUlydIyQC__2220024697811-0-cib.jpg?v=1774926829, friendlyName=Open</x:v>
      </x:c>
      <x:c r="C3385" s="24" t="e">
        <x:f>HYPERLINK("https://365nails.com/products/365nails-blooming-dawn-3d-floral-handmade-square-nails","365nails: ""Blooming Dawn"" – 3D Floral Handmade Square Nails")</x:f>
        <x:v>HYPERLINK is not implemented. linkLocation=https://365nails.com/products/365nails-blooming-dawn-3d-floral-handmade-square-nails, friendlyName=365nails: "Blooming Dawn" – 3D Floral Handmade Square Nails</x:v>
      </x:c>
      <x:c r="D3385" s="18" t="str">
        <x:v>Color: Right angle; Color classification: Xs / S / M / L</x:v>
      </x:c>
      <x:c r="E3385" s="25" t="str">
        <x:v>$4.99</x:v>
      </x:c>
      <x:c r="F3385" s="19" t="str">
        <x:v>3</x:v>
      </x:c>
    </x:row>
    <x:row r="3386" ht="93" customHeight="1">
      <x:c r="A3386" s="19" t="n">
        <x:v>3383</x:v>
      </x:c>
      <x:c r="B3386" s="22" t="e">
        <x:f>HYPERLINK("https://cdn.shopify.com/s/files/1/0918/6066/4603/files/O1CN01WUVX4i1CPwMfgLFhm__2213196780074-0-cib.jpg?v=1776645427","Open")</x:f>
        <x:v>HYPERLINK is not implemented. linkLocation=https://cdn.shopify.com/s/files/1/0918/6066/4603/files/O1CN01WUVX4i1CPwMfgLFhm__2213196780074-0-cib.jpg?v=1776645427, friendlyName=Open</x:v>
      </x:c>
      <x:c r="C3386" s="24" t="e">
        <x:f>HYPERLINK("https://365nails.com/products/365nails-candyland-whimsy-3d-sculpted-handmade-short-almond-nails","365nails: ""Candyland Whimsy"" – 3D Sculpted Handmade Short Almond Nails")</x:f>
        <x:v>HYPERLINK is not implemented. linkLocation=https://365nails.com/products/365nails-candyland-whimsy-3d-sculpted-handmade-short-almond-nails, friendlyName=365nails: "Candyland Whimsy" – 3D Sculpted Handmade Short Almond Nails</x:v>
      </x:c>
      <x:c r="D3386" s="18" t="str">
        <x:v>Color: 50-medium almond; Color classification: Xs / S / M / L</x:v>
      </x:c>
      <x:c r="E3386" s="25" t="str">
        <x:v>$4.99</x:v>
      </x:c>
      <x:c r="F3386" s="19" t="str">
        <x:v>1</x:v>
      </x:c>
    </x:row>
    <x:row r="3387" ht="93" customHeight="1">
      <x:c r="A3387" s="19" t="n">
        <x:v>3384</x:v>
      </x:c>
      <x:c r="B3387" s="22" t="e">
        <x:f>HYPERLINK("https://cdn.shopify.com/s/files/1/0918/6066/4603/files/O1CN012M2ZXX1CPwPXIVnjH__2213196780074-0-cib_d1dbccbf-ebbe-4aa6-98cb-763ed92baaa5.jpg?v=1774693448","Open")</x:f>
        <x:v>HYPERLINK is not implemented. linkLocation=https://cdn.shopify.com/s/files/1/0918/6066/4603/files/O1CN012M2ZXX1CPwPXIVnjH__2213196780074-0-cib_d1dbccbf-ebbe-4aa6-98cb-763ed92baaa5.jpg?v=1774693448, friendlyName=Open</x:v>
      </x:c>
      <x:c r="C3387" s="24" t="e">
        <x:f>HYPERLINK("https://365nails.com/products/365nails-ruby-royalty-3d-crystal-red-cat-eye-handmade-stiletto-nails","365nails: ""Ruby Royalty"" – 3D Crystal &amp; Red Cat Eye Handmade Stiletto Nails")</x:f>
        <x:v>HYPERLINK is not implemented. linkLocation=https://365nails.com/products/365nails-ruby-royalty-3d-crystal-red-cat-eye-handmade-stiletto-nails, friendlyName=365nails: "Ruby Royalty" – 3D Crystal &amp; Red Cat Eye Handmade Stiletto Nails</x:v>
      </x:c>
      <x:c r="D3387" s="18" t="str">
        <x:v>Color: 580-medium oval; Color classification: Xs extra small / S small size / M medium / L large</x:v>
      </x:c>
      <x:c r="E3387" s="25" t="str">
        <x:v>$3.49</x:v>
      </x:c>
      <x:c r="F3387" s="19" t="str">
        <x:v>1</x:v>
      </x:c>
    </x:row>
    <x:row r="3388" ht="93" customHeight="1">
      <x:c r="A3388" s="19" t="n">
        <x:v>3385</x:v>
      </x:c>
      <x:c r="B3388" s="22" t="e">
        <x:f>HYPERLINK("https://cdn.shopify.com/s/files/1/0918/6066/4603/files/O1CN01MhjOCp27ZUm4upja3__2220024697811-0-cib.jpg?v=1775036697","Open")</x:f>
        <x:v>HYPERLINK is not implemented. linkLocation=https://cdn.shopify.com/s/files/1/0918/6066/4603/files/O1CN01MhjOCp27ZUm4upja3__2220024697811-0-cib.jpg?v=1775036697, friendlyName=Open</x:v>
      </x:c>
      <x:c r="C3388" s="24" t="e">
        <x:f>HYPERLINK("https://365nails.com/products/365nails-whimsical-dreams-3d-glass-bead-handmade-oval-nails","365nails: ""Whimsical Dreams"" – 3D Glass Bead Handmade Oval Nails")</x:f>
        <x:v>HYPERLINK is not implemented. linkLocation=https://365nails.com/products/365nails-whimsical-dreams-3d-glass-bead-handmade-oval-nails, friendlyName=365nails: "Whimsical Dreams" – 3D Glass Bead Handmade Oval Nails</x:v>
      </x:c>
      <x:c r="D3388" s="18" t="str">
        <x:v>Color: Almond; Color classification: Xs / S / M / L</x:v>
      </x:c>
      <x:c r="E3388" s="25" t="str">
        <x:v>$4.49</x:v>
      </x:c>
      <x:c r="F3388" s="19" t="str">
        <x:v>3</x:v>
      </x:c>
    </x:row>
    <x:row r="3389" ht="93" customHeight="1">
      <x:c r="A3389" s="19" t="n">
        <x:v>3386</x:v>
      </x:c>
      <x:c r="B3389" s="22" t="e">
        <x:f>HYPERLINK("https://cdn.shopify.com/s/files/1/0918/6066/4603/files/0efa060b937ab9edee2bbc0f166680a2.png?v=1755263712","Open")</x:f>
        <x:v>HYPERLINK is not implemented. linkLocation=https://cdn.shopify.com/s/files/1/0918/6066/4603/files/0efa060b937ab9edee2bbc0f166680a2.png?v=1755263712, friendlyName=Open</x:v>
      </x:c>
      <x:c r="C3389" s="24" t="e">
        <x:f>HYPERLINK("https://365nails.com/products/nail-tips-transparent-nail-piece-full-number-new-oval-press-on-nails-piece-boxed-non-marking-ultra-thin-small-short-round-nail-fake-nail-piece","Nail Tips Transparent Oval Press-On Nail Tips, Ultra-Thin Short Round Non-Marking Fake Nails Boxed (MOQ=3)")</x:f>
        <x:v>HYPERLINK is not implemented. linkLocation=https://365nails.com/products/nail-tips-transparent-nail-piece-full-number-new-oval-press-on-nails-piece-boxed-non-marking-ultra-thin-small-short-round-nail-fake-nail-piece, friendlyName=Nail Tips Transparent Oval Press-On Nail Tips, Ultra-Thin Short Round Non-Marking Fake Nails Boxed (MOQ=3)</x:v>
      </x:c>
      <x:c r="D3389" s="18" t="str">
        <x:v>Color: Short Round Transparent-Traceless-120 Pieces Boxed / Short Round Transparent-Traceless-240 Pieces Boxed; Quantity: 3pcs</x:v>
      </x:c>
      <x:c r="E3389" s="25" t="str">
        <x:v>$1.92–$3.00</x:v>
      </x:c>
      <x:c r="F3389" s="19" t="str">
        <x:v>1</x:v>
      </x:c>
    </x:row>
    <x:row r="3390" ht="93" customHeight="1">
      <x:c r="A3390" s="19" t="n">
        <x:v>3387</x:v>
      </x:c>
      <x:c r="B3390" s="22" t="e">
        <x:f>HYPERLINK("https://cdn.shopify.com/s/files/1/0918/6066/4603/files/O1CN01EEgS1D1CPwOlXKkWg__2213196780074-0-cib_98d6ff5e-9828-4eac-aa01-7f0ba4efb363.jpg?v=1774693226","Open")</x:f>
        <x:v>HYPERLINK is not implemented. linkLocation=https://cdn.shopify.com/s/files/1/0918/6066/4603/files/O1CN01EEgS1D1CPwOlXKkWg__2213196780074-0-cib_98d6ff5e-9828-4eac-aa01-7f0ba4efb363.jpg?v=1774693226, friendlyName=Open</x:v>
      </x:c>
      <x:c r="C3390" s="24" t="e">
        <x:f>HYPERLINK("https://365nails.com/products/365nails-fruity-splash-3d-fruit-slice-handmade-almond-nails","365nails: ""Fruity Splash"" – 3D Fruit Slice Handmade Almond Nails")</x:f>
        <x:v>HYPERLINK is not implemented. linkLocation=https://365nails.com/products/365nails-fruity-splash-3d-fruit-slice-handmade-almond-nails, friendlyName=365nails: "Fruity Splash" – 3D Fruit Slice Handmade Almond Nails</x:v>
      </x:c>
      <x:c r="D3390" s="18" t="str">
        <x:v>Color: 3121-long oval; Color classification: Xs / S / M / L</x:v>
      </x:c>
      <x:c r="E3390" s="25" t="str">
        <x:v>$3.49</x:v>
      </x:c>
      <x:c r="F3390" s="19" t="str">
        <x:v>1</x:v>
      </x:c>
    </x:row>
    <x:row r="3391" ht="93" customHeight="1">
      <x:c r="A3391" s="19" t="n">
        <x:v>3388</x:v>
      </x:c>
      <x:c r="B3391" s="22" t="e">
        <x:f>HYPERLINK("https://cdn.shopify.com/s/files/1/0918/6066/4603/files/5224d8b1f054b3cc0c9027d837f92e30.jpg?v=1772976763","Open")</x:f>
        <x:v>HYPERLINK is not implemented. linkLocation=https://cdn.shopify.com/s/files/1/0918/6066/4603/files/5224d8b1f054b3cc0c9027d837f92e30.jpg?v=1772976763, friendlyName=Open</x:v>
      </x:c>
      <x:c r="C3391" s="24" t="e">
        <x:f>HYPERLINK("https://365nails.com/products/pro-multi-style-collection-gel-nail-tip-assortment-gel-nail-tips-550pcs","Pro Multi-Style Collection: ""Gel Nail Tip Assortment"" – Gel Nail Tips (550pcs)")</x:f>
        <x:v>HYPERLINK is not implemented. linkLocation=https://365nails.com/products/pro-multi-style-collection-gel-nail-tip-assortment-gel-nail-tips-550pcs, friendlyName=Pro Multi-Style Collection: "Gel Nail Tip Assortment" – Gel Nail Tips (550pcs)</x:v>
      </x:c>
      <x:c r="D3391" s="18" t="str">
        <x:v>Color: Ys-62*550 tablets / Ys-63*550 tablets / Ys-66*550 tablets / Ys-67*550 tablets / Ys-69*550 tablets / Ys-95*550 tablets / Ys-96*550 tablets / Ys-97*550 tablets / Ys-144*550 tablets / Ys-167*550 tablets / Ys-181*550 tablets</x:v>
      </x:c>
      <x:c r="E3391" s="25" t="str">
        <x:v>$2.02</x:v>
      </x:c>
      <x:c r="F3391" s="19" t="str">
        <x:v>3</x:v>
      </x:c>
    </x:row>
    <x:row r="3392" ht="93" customHeight="1">
      <x:c r="A3392" s="19" t="n">
        <x:v>3389</x:v>
      </x:c>
      <x:c r="B3392" s="22" t="e">
        <x:f>HYPERLINK("https://cdn.shopify.com/s/files/1/0918/6066/4603/files/a2c8012dd5dbe474f395c82fc3d4df81.jpg?v=1772707762","Open")</x:f>
        <x:v>HYPERLINK is not implemented. linkLocation=https://cdn.shopify.com/s/files/1/0918/6066/4603/files/a2c8012dd5dbe474f395c82fc3d4df81.jpg?v=1772707762, friendlyName=Open</x:v>
      </x:c>
      <x:c r="C3392" s="24" t="e">
        <x:f>HYPERLINK("https://365nails.com/products/365nails-double-sided-matte-nail-tips-short-oval-tapered-short-tapered-almond-xs-s-m-l","365nails Double-Sided Matte Nail Tips | Short Oval, Tapered, Short Tapered, Almond (XS/S/M/L)")</x:f>
        <x:v>HYPERLINK is not implemented. linkLocation=https://365nails.com/products/365nails-double-sided-matte-nail-tips-short-oval-tapered-short-tapered-almond-xs-s-m-l, friendlyName=365nails Double-Sided Matte Nail Tips | Short Oval, Tapered, Short Tapered, Almond (XS/S/M/L)</x:v>
      </x:c>
      <x:c r="D3392" s="18" t="str">
        <x:v>Color: 191 short oval / 192 trapezoid / 193 short trapezoid / 194 almond armor / 199-2 japanese short fat oval / 401 short ladder / 195 short round / 197 short square circle / 404 short ballet; Color classification: X s / S / M / L</x:v>
      </x:c>
      <x:c r="E3392" s="25" t="str">
        <x:v>$1.12</x:v>
      </x:c>
      <x:c r="F3392" s="19" t="str">
        <x:v>3</x:v>
      </x:c>
    </x:row>
    <x:row r="3393" ht="93" customHeight="1">
      <x:c r="A3393" s="19" t="n">
        <x:v>3390</x:v>
      </x:c>
      <x:c r="B3393" s="22" t="e">
        <x:f>HYPERLINK("https://cdn.shopify.com/s/files/1/0918/6066/4603/files/O1CN015vgHkj27ZUlQ1wq2t__2220024697811-0-cib.jpg?v=1775051562","Open")</x:f>
        <x:v>HYPERLINK is not implemented. linkLocation=https://cdn.shopify.com/s/files/1/0918/6066/4603/files/O1CN015vgHkj27ZUlQ1wq2t__2220024697811-0-cib.jpg?v=1775051562, friendlyName=Open</x:v>
      </x:c>
      <x:c r="C3393" s="24" t="e">
        <x:f>HYPERLINK("https://365nails.com/products/365nails-nocturnal-bloom-3d-floral-marble-handmade-almond-nails","365nails: ""Nocturnal Bloom"" – 3D Floral &amp; Marble Handmade Almond Nails")</x:f>
        <x:v>HYPERLINK is not implemented. linkLocation=https://365nails.com/products/365nails-nocturnal-bloom-3d-floral-marble-handmade-almond-nails, friendlyName=365nails: "Nocturnal Bloom" – 3D Floral &amp; Marble Handmade Almond Nails</x:v>
      </x:c>
      <x:c r="D3393" s="18" t="str">
        <x:v>Color: Almond; Color classification: Xs / S / M / L</x:v>
      </x:c>
      <x:c r="E3393" s="25" t="str">
        <x:v>$4.49</x:v>
      </x:c>
      <x:c r="F3393" s="19" t="str">
        <x:v>3</x:v>
      </x:c>
    </x:row>
    <x:row r="3394" ht="93" customHeight="1">
      <x:c r="A3394" s="19" t="n">
        <x:v>3391</x:v>
      </x:c>
      <x:c r="B3394" s="22" t="e">
        <x:f>HYPERLINK("https://cdn.shopify.com/s/files/1/0918/6066/4603/files/af9b84918ea29aad84c5cd22e88b3694.jpg?v=1772976678","Open")</x:f>
        <x:v>HYPERLINK is not implemented. linkLocation=https://cdn.shopify.com/s/files/1/0918/6066/4603/files/af9b84918ea29aad84c5cd22e88b3694.jpg?v=1772976678, friendlyName=Open</x:v>
      </x:c>
      <x:c r="C3394" s="24" t="e">
        <x:f>HYPERLINK("https://365nails.com/products/drama-collection-ys-100-long-duck-long-duck-bill-nail-tips-500pcs-bag","Drama Collection: ""YS-100 Long Duck"" – Long Duck Bill Nail Tips (500pcs Bag)")</x:f>
        <x:v>HYPERLINK is not implemented. linkLocation=https://365nails.com/products/drama-collection-ys-100-long-duck-long-duck-bill-nail-tips-500pcs-bag, friendlyName=Drama Collection: "YS-100 Long Duck" – Long Duck Bill Nail Tips (500pcs Bag)</x:v>
      </x:c>
      <x:c r="D3394" s="18" t="str">
        <x:v>Color: 31-short duckbill transparent color-500 pieces in box / 31 - short duckbill natural color - 500 pieces box / 31-short duckbill transparent color-500 pieces in bag / 31 - short duckbill natural color - 500 pieces bag / 100-long duckbill transparent color-500 pieces in box / 100-long duckbill natural color-500 pieces in box / 100-long duckbill transparent color-500 pieces in bag / 100-long duckbill natural color-500 pieces in bag</x:v>
      </x:c>
      <x:c r="E3394" s="25" t="str">
        <x:v>$1.78–$2.25</x:v>
      </x:c>
      <x:c r="F3394" s="19" t="str">
        <x:v>3</x:v>
      </x:c>
    </x:row>
    <x:row r="3395" ht="93" customHeight="1">
      <x:c r="A3395" s="19" t="n">
        <x:v>3392</x:v>
      </x:c>
      <x:c r="B3395" s="22" t="e">
        <x:f>HYPERLINK("https://cdn.shopify.com/s/files/1/0918/6066/4603/files/O1CN01xO31Aq27ZUmnnDTOj__2220024697811-0-cib_f01dc4dc-4bac-4bbd-b5f0-5c915180f7dd.jpg?v=1774959983","Open")</x:f>
        <x:v>HYPERLINK is not implemented. linkLocation=https://cdn.shopify.com/s/files/1/0918/6066/4603/files/O1CN01xO31Aq27ZUmnnDTOj__2220024697811-0-cib_f01dc4dc-4bac-4bbd-b5f0-5c915180f7dd.jpg?v=1774959983, friendlyName=Open</x:v>
      </x:c>
      <x:c r="C3395" s="24" t="e">
        <x:f>HYPERLINK("https://365nails.com/products/365nails-pudding-party-3d-animal-print-handmade-almond-nails","365nails: ""Pudding Party"" – 3D Animal Print Handmade Almond Nails")</x:f>
        <x:v>HYPERLINK is not implemented. linkLocation=https://365nails.com/products/365nails-pudding-party-3d-animal-print-handmade-almond-nails, friendlyName=365nails: "Pudding Party" – 3D Animal Print Handmade Almond Nails</x:v>
      </x:c>
      <x:c r="D3395" s="18" t="str">
        <x:v>Color: European; Color classification: Xs / S / M / L</x:v>
      </x:c>
      <x:c r="E3395" s="25" t="str">
        <x:v>$4.49</x:v>
      </x:c>
      <x:c r="F3395" s="19" t="str">
        <x:v>3</x:v>
      </x:c>
    </x:row>
    <x:row r="3396" ht="93" customHeight="1">
      <x:c r="A3396" s="19" t="n">
        <x:v>3393</x:v>
      </x:c>
      <x:c r="B3396" s="22" t="e">
        <x:f>HYPERLINK("https://cdn.shopify.com/s/files/1/0918/6066/4603/files/d0ef11e0d3b66f8ca2c2606338af7015.jpg?v=1772976733","Open")</x:f>
        <x:v>HYPERLINK is not implemented. linkLocation=https://cdn.shopify.com/s/files/1/0918/6066/4603/files/d0ef11e0d3b66f8ca2c2606338af7015.jpg?v=1772976733, friendlyName=Open</x:v>
      </x:c>
      <x:c r="C3396" s="24" t="e">
        <x:f>HYPERLINK("https://365nails.com/products/drama-collection-full-cover-c-arc-ballet-full-cover-c-arc-ballet-nail-tips","Drama Collection: ""Full-Cover C-Arc Ballet"" – Full-Cover C-Arc Ballet Nail Tips")</x:f>
        <x:v>HYPERLINK is not implemented. linkLocation=https://365nails.com/products/drama-collection-full-cover-c-arc-ballet-full-cover-c-arc-ballet-nail-tips, friendlyName=Drama Collection: "Full-Cover C-Arc Ballet" – Full-Cover C-Arc Ballet Nail Tips</x:v>
      </x:c>
      <x:c r="D3396" s="18" t="str">
        <x:v>Color: 300-piece box - seamless transparent / 360-piece bag - seamless transparent</x:v>
      </x:c>
      <x:c r="E3396" s="25" t="str">
        <x:v>$2.57–$2.69</x:v>
      </x:c>
      <x:c r="F3396" s="19" t="str">
        <x:v>3</x:v>
      </x:c>
    </x:row>
    <x:row r="3397" ht="93" customHeight="1">
      <x:c r="A3397" s="19" t="n">
        <x:v>3394</x:v>
      </x:c>
      <x:c r="B3397" s="22" t="e">
        <x:f>HYPERLINK("https://cdn.shopify.com/s/files/1/0918/6066/4603/files/O1CN01yxyTkJ1bAhdMDYMKU__2216807853425-0-cib.jpg?v=1772373424","Open")</x:f>
        <x:v>HYPERLINK is not implemented. linkLocation=https://cdn.shopify.com/s/files/1/0918/6066/4603/files/O1CN01yxyTkJ1bAhdMDYMKU__2216807853425-0-cib.jpg?v=1772373424, friendlyName=Open</x:v>
      </x:c>
      <x:c r="C3397" s="24" t="e">
        <x:f>HYPERLINK("https://365nails.com/products/red-sole-collection-cl-red-sole-heels-extra-long-stiletto-press-on-nails","Red Sole Collection: ""CL Red Sole Heels"" – Extra Long Stiletto Press-On Nails")</x:f>
        <x:v>HYPERLINK is not implemented. linkLocation=https://365nails.com/products/red-sole-collection-cl-red-sole-heels-extra-long-stiletto-press-on-nails, friendlyName=Red Sole Collection: "CL Red Sole Heels" – Extra Long Stiletto Press-On Nails</x:v>
      </x:c>
      <x:c r="D3397" s="18" t="str">
        <x:v>Color: Red bottom high heels xs+s+m / S+s+s / M+m+m</x:v>
      </x:c>
      <x:c r="E3397" s="25" t="str">
        <x:v>$0.94</x:v>
      </x:c>
      <x:c r="F3397" s="19" t="str">
        <x:v>10</x:v>
      </x:c>
    </x:row>
    <x:row r="3398" ht="93" customHeight="1">
      <x:c r="A3398" s="19" t="n">
        <x:v>3395</x:v>
      </x:c>
      <x:c r="B3398" s="22" t="e">
        <x:f>HYPERLINK("https://cdn.shopify.com/s/files/1/0918/6066/4603/files/O1CN01gsUISc2MQzfsiCrWL__2219089449823-0-cib.jpg?v=1774065633","Open")</x:f>
        <x:v>HYPERLINK is not implemented. linkLocation=https://cdn.shopify.com/s/files/1/0918/6066/4603/files/O1CN01gsUISc2MQzfsiCrWL__2219089449823-0-cib.jpg?v=1774065633, friendlyName=Open</x:v>
      </x:c>
      <x:c r="C3398" s="24" t="e">
        <x:f>HYPERLINK("https://365nails.com/products/serene-garden-jade-lily-long-almond-handmade-nails","365nails-Serene Garden: ""Jade Lily"" – Long Almond Handmade Nails")</x:f>
        <x:v>HYPERLINK is not implemented. linkLocation=https://365nails.com/products/serene-garden-jade-lily-long-almond-handmade-nails, friendlyName=365nails-Serene Garden: "Jade Lily" – Long Almond Handmade Nails</x:v>
      </x:c>
      <x:c r="D3398" s="18" t="str">
        <x:v>Color: D264; Color classification: X s / S / M / L</x:v>
      </x:c>
      <x:c r="E3398" s="25" t="str">
        <x:v>$3.99</x:v>
      </x:c>
      <x:c r="F3398" s="19" t="str">
        <x:v>5</x:v>
      </x:c>
    </x:row>
    <x:row r="3399" ht="93" customHeight="1">
      <x:c r="A3399" s="19" t="n">
        <x:v>3396</x:v>
      </x:c>
      <x:c r="B3399" s="22" t="e">
        <x:f>HYPERLINK("https://cdn.shopify.com/s/files/1/0918/6066/4603/files/O1CN01rFyWiG27ZUlZ9zNBn__2220024697811-0-cib.jpg?v=1774961192","Open")</x:f>
        <x:v>HYPERLINK is not implemented. linkLocation=https://cdn.shopify.com/s/files/1/0918/6066/4603/files/O1CN01rFyWiG27ZUlZ9zNBn__2220024697811-0-cib.jpg?v=1774961192, friendlyName=Open</x:v>
      </x:c>
      <x:c r="C3399" s="24" t="e">
        <x:f>HYPERLINK("https://365nails.com/products/365nails-tropical-fiesta-3d-floral-handmade-almond-nails","365nails: ""Tropical Fiesta"" – 3D Floral Handmade Almond Nails")</x:f>
        <x:v>HYPERLINK is not implemented. linkLocation=https://365nails.com/products/365nails-tropical-fiesta-3d-floral-handmade-almond-nails, friendlyName=365nails: "Tropical Fiesta" – 3D Floral Handmade Almond Nails</x:v>
      </x:c>
      <x:c r="D3399" s="18" t="str">
        <x:v>Color: Almond; Color classification: Xs / S / M / L</x:v>
      </x:c>
      <x:c r="E3399" s="25" t="str">
        <x:v>$5.49</x:v>
      </x:c>
      <x:c r="F3399" s="19" t="str">
        <x:v>3</x:v>
      </x:c>
    </x:row>
    <x:row r="3400" ht="93" customHeight="1">
      <x:c r="A3400" s="19" t="n">
        <x:v>3397</x:v>
      </x:c>
      <x:c r="B3400" s="22" t="e">
        <x:f>HYPERLINK("https://cdn.shopify.com/s/files/1/0918/6066/4603/files/2820d839387bd3ecee69abab0fb271e8.jpg?v=1776168014","Open")</x:f>
        <x:v>HYPERLINK is not implemented. linkLocation=https://cdn.shopify.com/s/files/1/0918/6066/4603/files/2820d839387bd3ecee69abab0fb271e8.jpg?v=1776168014, friendlyName=Open</x:v>
      </x:c>
      <x:c r="C3400" s="24" t="e">
        <x:f>HYPERLINK("https://365nails.com/products/365nails-hello-kitty-dream-3d-character-handmade-short-square-nails","365nails: ""Hello Kitty Dream"" – 3D Character Handmade Short Square Nails")</x:f>
        <x:v>HYPERLINK is not implemented. linkLocation=https://365nails.com/products/365nails-hello-kitty-dream-3d-character-handmade-short-square-nails, friendlyName=365nails: "Hello Kitty Dream" – 3D Character Handmade Short Square Nails</x:v>
      </x:c>
      <x:c r="D3400" s="18" t="str">
        <x:v>Size: XS / S / M / L</x:v>
      </x:c>
      <x:c r="E3400" s="25" t="str">
        <x:v>$1.99</x:v>
      </x:c>
      <x:c r="F3400" s="19" t="str">
        <x:v>3</x:v>
      </x:c>
    </x:row>
    <x:row r="3401" ht="93" customHeight="1">
      <x:c r="A3401" s="19" t="n">
        <x:v>3398</x:v>
      </x:c>
      <x:c r="B3401" s="22" t="e">
        <x:f>HYPERLINK("https://cdn.shopify.com/s/files/1/0918/6066/4603/files/O1CN01nr170G27ZUlEQX5bp__2220024697811-0-cib.jpg?v=1774866256","Open")</x:f>
        <x:v>HYPERLINK is not implemented. linkLocation=https://cdn.shopify.com/s/files/1/0918/6066/4603/files/O1CN01nr170G27ZUlEQX5bp__2220024697811-0-cib.jpg?v=1774866256, friendlyName=Open</x:v>
      </x:c>
      <x:c r="C3401" s="24" t="e">
        <x:f>HYPERLINK("https://365nails.com/products/365nails-ethereal-mist-3d-abstract-marble-handmade-coffin-nails","365nails: ""Ethereal Mist"" – 3D Abstract Marble Handmade Coffin Nails")</x:f>
        <x:v>HYPERLINK is not implemented. linkLocation=https://365nails.com/products/365nails-ethereal-mist-3d-abstract-marble-handmade-coffin-nails, friendlyName=365nails: "Ethereal Mist" – 3D Abstract Marble Handmade Coffin Nails</x:v>
      </x:c>
      <x:c r="D3401" s="18" t="str">
        <x:v>Color: Medium t; Color classification: Xs / S / M / L</x:v>
      </x:c>
      <x:c r="E3401" s="25" t="str">
        <x:v>$3.99</x:v>
      </x:c>
      <x:c r="F3401" s="19" t="str">
        <x:v>3</x:v>
      </x:c>
    </x:row>
    <x:row r="3402" ht="93" customHeight="1">
      <x:c r="A3402" s="19" t="n">
        <x:v>3399</x:v>
      </x:c>
      <x:c r="B3402" s="22" t="e">
        <x:f>HYPERLINK("https://cdn.shopify.com/s/files/1/0918/6066/4603/files/O1CN0149QAoE2MQzdEGlhp1__2219089449823-0-cib.jpg?v=1774010880","Open")</x:f>
        <x:v>HYPERLINK is not implemented. linkLocation=https://cdn.shopify.com/s/files/1/0918/6066/4603/files/O1CN0149QAoE2MQzdEGlhp1__2219089449823-0-cib.jpg?v=1774010880, friendlyName=Open</x:v>
      </x:c>
      <x:c r="C3402" s="24" t="e">
        <x:f>HYPERLINK("https://365nails.com/products/spring-whisper-buttercup-bloom-almond-shape-handmade-3d-carved-press-on-nails","365nails-Spring Whisper: ""Buttercup Bloom"" – Almond Shape Handmade 3D Carved Press-On Nails")</x:f>
        <x:v>HYPERLINK is not implemented. linkLocation=https://365nails.com/products/spring-whisper-buttercup-bloom-almond-shape-handmade-3d-carved-press-on-nails, friendlyName=365nails-Spring Whisper: "Buttercup Bloom" – Almond Shape Handmade 3D Carved Press-On Nails</x:v>
      </x:c>
      <x:c r="D3402" s="18" t="str">
        <x:v>Color: D468; Color classification: X s / S / M / L</x:v>
      </x:c>
      <x:c r="E3402" s="25" t="str">
        <x:v>$3.99</x:v>
      </x:c>
      <x:c r="F3402" s="19" t="str">
        <x:v>1</x:v>
      </x:c>
    </x:row>
    <x:row r="3403" ht="93" customHeight="1">
      <x:c r="A3403" s="19" t="n">
        <x:v>3400</x:v>
      </x:c>
      <x:c r="B3403" s="22" t="e">
        <x:f>HYPERLINK("https://cdn.shopify.com/s/files/1/0918/6066/4603/files/O1CN01VC1fvF2MQzf5ZNfdt__2219089449823-0-cib.jpg?v=1774178817","Open")</x:f>
        <x:v>HYPERLINK is not implemented. linkLocation=https://cdn.shopify.com/s/files/1/0918/6066/4603/files/O1CN01VC1fvF2MQzf5ZNfdt__2219089449823-0-cib.jpg?v=1774178817, friendlyName=Open</x:v>
      </x:c>
      <x:c r="C3403" s="24" t="e">
        <x:f>HYPERLINK("https://365nails.com/products/vintage-bloom-burgundy-orchid-almond-press-on-nails","Vintage Bloom: ""Burgundy Orchid"" – Almond Press-On Nails")</x:f>
        <x:v>HYPERLINK is not implemented. linkLocation=https://365nails.com/products/vintage-bloom-burgundy-orchid-almond-press-on-nails, friendlyName=Vintage Bloom: "Burgundy Orchid" – Almond Press-On Nails</x:v>
      </x:c>
      <x:c r="D3403" s="18" t="str">
        <x:v>Color: D388; Color classification: X s / S / M / L</x:v>
      </x:c>
      <x:c r="E3403" s="25" t="str">
        <x:v>$3.99</x:v>
      </x:c>
      <x:c r="F3403" s="19" t="str">
        <x:v>1</x:v>
      </x:c>
    </x:row>
    <x:row r="3404" ht="93" customHeight="1">
      <x:c r="A3404" s="19" t="n">
        <x:v>3401</x:v>
      </x:c>
      <x:c r="B3404" s="22" t="e">
        <x:f>HYPERLINK("https://cdn.shopify.com/s/files/1/0918/6066/4603/files/O1CN01gBfmXX27ZUlnMI0Hl__2220024697811-0-cib.jpg?v=1775110638","Open")</x:f>
        <x:v>HYPERLINK is not implemented. linkLocation=https://cdn.shopify.com/s/files/1/0918/6066/4603/files/O1CN01gBfmXX27ZUlnMI0Hl__2220024697811-0-cib.jpg?v=1775110638, friendlyName=Open</x:v>
      </x:c>
      <x:c r="C3404" s="24" t="e">
        <x:f>HYPERLINK("https://365nails.com/products/365nails-cherry-pop-3d-lip-heart-handmade-medium-almond-nails","365nails: ""Cherry Pop"" – 3D Lip &amp; Heart Handmade Medium Almond Nails")</x:f>
        <x:v>HYPERLINK is not implemented. linkLocation=https://365nails.com/products/365nails-cherry-pop-3d-lip-heart-handmade-medium-almond-nails, friendlyName=365nails: "Cherry Pop" – 3D Lip &amp; Heart Handmade Medium Almond Nails</x:v>
      </x:c>
      <x:c r="D3404" s="18" t="str">
        <x:v>Color: Almond; Color classification: Xs / S / M / L</x:v>
      </x:c>
      <x:c r="E3404" s="25" t="str">
        <x:v>$5.49</x:v>
      </x:c>
      <x:c r="F3404" s="19" t="str">
        <x:v>3</x:v>
      </x:c>
    </x:row>
    <x:row r="3405" ht="93" customHeight="1">
      <x:c r="A3405" s="19" t="n">
        <x:v>3402</x:v>
      </x:c>
      <x:c r="B3405" s="22" t="e">
        <x:f>HYPERLINK("https://cdn.shopify.com/s/files/1/0918/6066/4603/files/O1CN01d6eRzV1CPwIQr5orP__2213196780074-0-cib.jpg?v=1776741731","Open")</x:f>
        <x:v>HYPERLINK is not implemented. linkLocation=https://cdn.shopify.com/s/files/1/0918/6066/4603/files/O1CN01d6eRzV1CPwIQr5orP__2213196780074-0-cib.jpg?v=1776741731, friendlyName=Open</x:v>
      </x:c>
      <x:c r="C3405" s="24" t="e">
        <x:f>HYPERLINK("https://365nails.com/products/365nails-midnight-bloom-3d-black-floral-handmade-coffin-nails","365nails: ""Midnight Bloom"" – 3D Black Floral Handmade Coffin Nails")</x:f>
        <x:v>HYPERLINK is not implemented. linkLocation=https://365nails.com/products/365nails-midnight-bloom-3d-black-floral-handmade-coffin-nails, friendlyName=365nails: "Midnight Bloom" – 3D Black Floral Handmade Coffin Nails</x:v>
      </x:c>
      <x:c r="D3405" s="18" t="str">
        <x:v>Color: 2297-super short ladder / 2299-short ladder / 2301 - medium oval / 2303-middle ladder; Color classification: Extra small size xs / Small s / Medium m / Large l</x:v>
      </x:c>
      <x:c r="E3405" s="25" t="str">
        <x:v>$3.49</x:v>
      </x:c>
      <x:c r="F3405" s="19" t="str">
        <x:v>1</x:v>
      </x:c>
    </x:row>
    <x:row r="3406" ht="93" customHeight="1">
      <x:c r="A3406" s="19" t="n">
        <x:v>3403</x:v>
      </x:c>
      <x:c r="B3406" s="22" t="e">
        <x:f>HYPERLINK("https://cdn.shopify.com/s/files/1/0918/6066/4603/files/O1CN01tfQ6L127ZUlsaxK3h__2220024697811-0-cib.jpg?v=1775105732","Open")</x:f>
        <x:v>HYPERLINK is not implemented. linkLocation=https://cdn.shopify.com/s/files/1/0918/6066/4603/files/O1CN01tfQ6L127ZUlsaxK3h__2220024697811-0-cib.jpg?v=1775105732, friendlyName=Open</x:v>
      </x:c>
      <x:c r="C3406" s="24" t="e">
        <x:f>HYPERLINK("https://365nails.com/products/365nails-butterfly-garden-3d-floral-butterfly-handmade-almond-nails","365nails: ""Butterfly Garden"" – 3D Floral &amp; Butterfly Handmade Almond Nails")</x:f>
        <x:v>HYPERLINK is not implemented. linkLocation=https://365nails.com/products/365nails-butterfly-garden-3d-floral-butterfly-handmade-almond-nails, friendlyName=365nails: "Butterfly Garden" – 3D Floral &amp; Butterfly Handmade Almond Nails</x:v>
      </x:c>
      <x:c r="D3406" s="18" t="str">
        <x:v>Color: Almond; Color classification: Xs / S / M / L</x:v>
      </x:c>
      <x:c r="E3406" s="25" t="str">
        <x:v>$5.49</x:v>
      </x:c>
      <x:c r="F3406" s="19" t="str">
        <x:v>3</x:v>
      </x:c>
    </x:row>
    <x:row r="3407" ht="93" customHeight="1">
      <x:c r="A3407" s="19" t="n">
        <x:v>3404</x:v>
      </x:c>
      <x:c r="B3407" s="22" t="e">
        <x:f>HYPERLINK("https://cdn.shopify.com/s/files/1/0918/6066/4603/files/O1CN01hkx1nO1CPwNFFkM2j__2213196780074-0-cib_ed4826c4-ccc8-4385-82c5-02e1b7365097.jpg?v=1776645816","Open")</x:f>
        <x:v>HYPERLINK is not implemented. linkLocation=https://cdn.shopify.com/s/files/1/0918/6066/4603/files/O1CN01hkx1nO1CPwNFFkM2j__2213196780074-0-cib_ed4826c4-ccc8-4385-82c5-02e1b7365097.jpg?v=1776645816, friendlyName=Open</x:v>
      </x:c>
      <x:c r="C3407" s="24" t="e">
        <x:f>HYPERLINK("https://365nails.com/products/365nails-strawberry-fields-3d-fruit-floral-handmade-long-almond-nails","365nails: ""Strawberry Fields"" – 3D Fruit &amp; Floral Handmade Long Almond Nails")</x:f>
        <x:v>HYPERLINK is not implemented. linkLocation=https://365nails.com/products/365nails-strawberry-fields-3d-fruit-floral-handmade-long-almond-nails, friendlyName=365nails: "Strawberry Fields" – 3D Fruit &amp; Floral Handmade Long Almond Nails</x:v>
      </x:c>
      <x:c r="D3407" s="18" t="str">
        <x:v>Color: 2834-almond a; Color classification: Xs / S / M / L</x:v>
      </x:c>
      <x:c r="E3407" s="25" t="str">
        <x:v>$3.99</x:v>
      </x:c>
      <x:c r="F3407" s="19" t="str">
        <x:v>1</x:v>
      </x:c>
    </x:row>
    <x:row r="3408" ht="93" customHeight="1">
      <x:c r="A3408" s="19" t="n">
        <x:v>3405</x:v>
      </x:c>
      <x:c r="B3408" s="22" t="e">
        <x:f>HYPERLINK("https://cdn.shopify.com/s/files/1/0918/6066/4603/files/O1CN01H4pvD52MQzekpMn4Q__2219089449823-0-cib.jpg?v=1774178741","Open")</x:f>
        <x:v>HYPERLINK is not implemented. linkLocation=https://cdn.shopify.com/s/files/1/0918/6066/4603/files/O1CN01H4pvD52MQzekpMn4Q__2219089449823-0-cib.jpg?v=1774178741, friendlyName=Open</x:v>
      </x:c>
      <x:c r="C3408" s="24" t="e">
        <x:f>HYPERLINK("https://365nails.com/products/coastal-bloom-seashell-sakura-short-square-nails","Coastal Bloom: ""Seashell Sakura"" – Short Square Nails")</x:f>
        <x:v>HYPERLINK is not implemented. linkLocation=https://365nails.com/products/coastal-bloom-seashell-sakura-short-square-nails, friendlyName=Coastal Bloom: "Seashell Sakura" – Short Square Nails</x:v>
      </x:c>
      <x:c r="D3408" s="18" t="str">
        <x:v>Color: L222; Color classification: X s / S / M / L</x:v>
      </x:c>
      <x:c r="E3408" s="25" t="str">
        <x:v>$4.99</x:v>
      </x:c>
      <x:c r="F3408" s="19" t="str">
        <x:v>1</x:v>
      </x:c>
    </x:row>
    <x:row r="3409" ht="93" customHeight="1">
      <x:c r="A3409" s="19" t="n">
        <x:v>3406</x:v>
      </x:c>
      <x:c r="B3409" s="22" t="e">
        <x:f>HYPERLINK("https://cdn.shopify.com/s/files/1/0918/6066/4603/files/O1CN01PsWYlW1CPwJzXb5HN__2213196780074-0-cib_4f6df699-293c-4a8c-946f-4df5aec18d58.jpg?v=1774680516","Open")</x:f>
        <x:v>HYPERLINK is not implemented. linkLocation=https://cdn.shopify.com/s/files/1/0918/6066/4603/files/O1CN01PsWYlW1CPwJzXb5HN__2213196780074-0-cib_4f6df699-293c-4a8c-946f-4df5aec18d58.jpg?v=1774680516, friendlyName=Open</x:v>
      </x:c>
      <x:c r="C3409" s="24" t="e">
        <x:f>HYPERLINK("https://365nails.com/products/365nails-fruit-soda-dream-3d-fruit-handmade-stiletto-nails","365nails: ""Fruit Soda Dream"" – 3D Fruit Handmade Stiletto Nails")</x:f>
        <x:v>HYPERLINK is not implemented. linkLocation=https://365nails.com/products/365nails-fruit-soda-dream-3d-fruit-handmade-stiletto-nails, friendlyName=365nails: "Fruit Soda Dream" – 3D Fruit Handmade Stiletto Nails</x:v>
      </x:c>
      <x:c r="D3409" s="18" t="str">
        <x:v>Color: Extra small size xs / Small s / Medium m / Large l; Specification type: 2552-almond a</x:v>
      </x:c>
      <x:c r="E3409" s="25" t="str">
        <x:v>$3.99</x:v>
      </x:c>
      <x:c r="F3409" s="19" t="str">
        <x:v>1</x:v>
      </x:c>
    </x:row>
    <x:row r="3410" ht="93" customHeight="1">
      <x:c r="A3410" s="19" t="n">
        <x:v>3407</x:v>
      </x:c>
      <x:c r="B3410" s="22" t="e">
        <x:f>HYPERLINK("https://cdn.shopify.com/s/files/1/0918/6066/4603/files/O1CN01F64YiA2MQzd9UurwS__2219089449823-0-cib.jpg?v=1774349148","Open")</x:f>
        <x:v>HYPERLINK is not implemented. linkLocation=https://cdn.shopify.com/s/files/1/0918/6066/4603/files/O1CN01F64YiA2MQzd9UurwS__2219089449823-0-cib.jpg?v=1774349148, friendlyName=Open</x:v>
      </x:c>
      <x:c r="C3410" s="24" t="e">
        <x:f>HYPERLINK("https://365nails.com/products/retro-summer-cherry-tortoise-floral-breeze-almond-press-ons","Retro Summer: ""Cherry Tortoise &amp; Floral Breeze"" – Almond Press Ons")</x:f>
        <x:v>HYPERLINK is not implemented. linkLocation=https://365nails.com/products/retro-summer-cherry-tortoise-floral-breeze-almond-press-ons, friendlyName=Retro Summer: "Cherry Tortoise &amp; Floral Breeze" – Almond Press Ons</x:v>
      </x:c>
      <x:c r="D3410" s="18" t="str">
        <x:v>Color: D439; Color classification: X s / S / M / L</x:v>
      </x:c>
      <x:c r="E3410" s="25" t="str">
        <x:v>$3.99</x:v>
      </x:c>
      <x:c r="F3410" s="19" t="str">
        <x:v>1</x:v>
      </x:c>
    </x:row>
    <x:row r="3411" ht="93" customHeight="1">
      <x:c r="A3411" s="19" t="n">
        <x:v>3408</x:v>
      </x:c>
      <x:c r="B3411" s="22" t="e">
        <x:f>HYPERLINK("https://cdn.shopify.com/s/files/1/0918/6066/4603/files/O1CN01lToF0Q2MQzfUGS5Ku__2219089449823-0-cib.jpg?v=1774257995","Open")</x:f>
        <x:v>HYPERLINK is not implemented. linkLocation=https://cdn.shopify.com/s/files/1/0918/6066/4603/files/O1CN01lToF0Q2MQzfUGS5Ku__2219089449823-0-cib.jpg?v=1774257995, friendlyName=Open</x:v>
      </x:c>
      <x:c r="C3411" s="24" t="e">
        <x:f>HYPERLINK("https://365nails.com/products/disco-glow-pink-iridescent-crystal-square-shape-handmade-press-on-nails","Disco Glow: ""Pink Iridescent Crystal"" – Square Shape Handmade Press-On Nails")</x:f>
        <x:v>HYPERLINK is not implemented. linkLocation=https://365nails.com/products/disco-glow-pink-iridescent-crystal-square-shape-handmade-press-on-nails, friendlyName=Disco Glow: "Pink Iridescent Crystal" – Square Shape Handmade Press-On Nails</x:v>
      </x:c>
      <x:c r="D3411" s="18" t="str">
        <x:v>Color: L190; Color classification: X s / S / M / L</x:v>
      </x:c>
      <x:c r="E3411" s="25" t="str">
        <x:v>$4.99</x:v>
      </x:c>
      <x:c r="F3411" s="19" t="str">
        <x:v>1</x:v>
      </x:c>
    </x:row>
    <x:row r="3412" ht="93" customHeight="1">
      <x:c r="A3412" s="19" t="n">
        <x:v>3409</x:v>
      </x:c>
      <x:c r="B3412" s="22" t="e">
        <x:f>HYPERLINK("https://cdn.shopify.com/s/files/1/0918/6066/4603/files/O1CN01c5jKx727ZUlEz4Mgl__2220024697811-0-cib.jpg?v=1774866436","Open")</x:f>
        <x:v>HYPERLINK is not implemented. linkLocation=https://cdn.shopify.com/s/files/1/0918/6066/4603/files/O1CN01c5jKx727ZUlEz4Mgl__2220024697811-0-cib.jpg?v=1774866436, friendlyName=Open</x:v>
      </x:c>
      <x:c r="C3412" s="24" t="e">
        <x:f>HYPERLINK("https://365nails.com/products/365nails-soft-radiance-3d-floral-pearl-handmade-stiletto-nails","365nails: ""Soft Radiance"" – 3D Floral Pearl Handmade Stiletto Nails")</x:f>
        <x:v>HYPERLINK is not implemented. linkLocation=https://365nails.com/products/365nails-soft-radiance-3d-floral-pearl-handmade-stiletto-nails, friendlyName=365nails: "Soft Radiance" – 3D Floral Pearl Handmade Stiletto Nails</x:v>
      </x:c>
      <x:c r="D3412" s="18" t="str">
        <x:v>Color: Almond; Color classification: Xs / S / M / L</x:v>
      </x:c>
      <x:c r="E3412" s="25" t="str">
        <x:v>$4.49</x:v>
      </x:c>
      <x:c r="F3412" s="19" t="str">
        <x:v>3</x:v>
      </x:c>
    </x:row>
    <x:row r="3413" ht="93" customHeight="1">
      <x:c r="A3413" s="19" t="n">
        <x:v>3410</x:v>
      </x:c>
      <x:c r="B3413" s="22" t="e">
        <x:f>HYPERLINK("https://cdn.shopify.com/s/files/1/0918/6066/4603/files/O1CN01fkIjGj2MQzf7hZEUG__2219089449823-0-cib.jpg?v=1774257911","Open")</x:f>
        <x:v>HYPERLINK is not implemented. linkLocation=https://cdn.shopify.com/s/files/1/0918/6066/4603/files/O1CN01fkIjGj2MQzf7hZEUG__2219089449823-0-cib.jpg?v=1774257911, friendlyName=Open</x:v>
      </x:c>
      <x:c r="C3413" s="24" t="e">
        <x:f>HYPERLINK("https://365nails.com/products/wild-safari-tiger-stripe-butterfly-almond-shape-handmade-press-on-nails","Wild Safari: ""Tiger Stripe Butterfly"" – Almond Shape Handmade Press-On Nails")</x:f>
        <x:v>HYPERLINK is not implemented. linkLocation=https://365nails.com/products/wild-safari-tiger-stripe-butterfly-almond-shape-handmade-press-on-nails, friendlyName=Wild Safari: "Tiger Stripe Butterfly" – Almond Shape Handmade Press-On Nails</x:v>
      </x:c>
      <x:c r="D3413" s="18" t="str">
        <x:v>Color: D–600; Color classification: X s / S / M / L</x:v>
      </x:c>
      <x:c r="E3413" s="25" t="str">
        <x:v>$3.49</x:v>
      </x:c>
      <x:c r="F3413" s="19" t="str">
        <x:v>1</x:v>
      </x:c>
    </x:row>
    <x:row r="3414" ht="93" customHeight="1">
      <x:c r="A3414" s="19" t="n">
        <x:v>3411</x:v>
      </x:c>
      <x:c r="B3414" s="22" t="e">
        <x:f>HYPERLINK("https://cdn.shopify.com/s/files/1/0918/6066/4603/files/O1CN01QH4QuL2MQzeuh2JXa__2219089449823-0-cib.jpg?v=1774178749","Open")</x:f>
        <x:v>HYPERLINK is not implemented. linkLocation=https://cdn.shopify.com/s/files/1/0918/6066/4603/files/O1CN01QH4QuL2MQzeuh2JXa__2219089449823-0-cib.jpg?v=1774178749, friendlyName=Open</x:v>
      </x:c>
      <x:c r="C3414" s="24" t="e">
        <x:f>HYPERLINK("https://365nails.com/products/fresh-citrus-bloom-orange-blossom-almond-press-on-nails","Fresh Citrus Bloom: ""Orange Blossom"" – Almond Press-On Nails")</x:f>
        <x:v>HYPERLINK is not implemented. linkLocation=https://365nails.com/products/fresh-citrus-bloom-orange-blossom-almond-press-on-nails, friendlyName=Fresh Citrus Bloom: "Orange Blossom" – Almond Press-On Nails</x:v>
      </x:c>
      <x:c r="D3414" s="18" t="str">
        <x:v>Color: D586; Color classification: X s / S / M / L</x:v>
      </x:c>
      <x:c r="E3414" s="25" t="str">
        <x:v>$3.49</x:v>
      </x:c>
      <x:c r="F3414" s="19" t="str">
        <x:v>1</x:v>
      </x:c>
    </x:row>
    <x:row r="3415" ht="93" customHeight="1">
      <x:c r="A3415" s="19" t="n">
        <x:v>3412</x:v>
      </x:c>
      <x:c r="B3415" s="22" t="e">
        <x:f>HYPERLINK("https://cdn.shopify.com/s/files/1/0918/6066/4603/files/O1CN01ktGTcy22SYiKpY4hk__2219370087119-0-cib.jpg?v=1772373474","Open")</x:f>
        <x:v>HYPERLINK is not implemented. linkLocation=https://cdn.shopify.com/s/files/1/0918/6066/4603/files/O1CN01ktGTcy22SYiKpY4hk__2219370087119-0-cib.jpg?v=1772373474, friendlyName=Open</x:v>
      </x:c>
      <x:c r="C3415" s="24" t="e">
        <x:f>HYPERLINK("https://365nails.com/products/gemstone-couture-collection-jewel-encrusted-nude-medium-almond-press-on-nails","Gemstone Couture Collection: ""Jewel Encrusted Nude"" – Medium Almond Press-On Nails")</x:f>
        <x:v>HYPERLINK is not implemented. linkLocation=https://365nails.com/products/gemstone-couture-collection-jewel-encrusted-nude-medium-almond-press-on-nails, friendlyName=Gemstone Couture Collection: "Jewel Encrusted Nude" – Medium Almond Press-On Nails</x:v>
      </x:c>
      <x:c r="D3415" s="18" t="str">
        <x:v>Color: L / M / S</x:v>
      </x:c>
      <x:c r="E3415" s="25" t="str">
        <x:v>$5.41</x:v>
      </x:c>
      <x:c r="F3415" s="19" t="str">
        <x:v>1</x:v>
      </x:c>
    </x:row>
    <x:row r="3416" ht="93" customHeight="1">
      <x:c r="A3416" s="19" t="n">
        <x:v>3413</x:v>
      </x:c>
      <x:c r="B3416" s="22" t="e">
        <x:f>HYPERLINK("https://cdn.shopify.com/s/files/1/0918/6066/4603/files/b8e5d0b6a5f73fd233bf663ccbf221e3.jpg?v=1778318723","Open")</x:f>
        <x:v>HYPERLINK is not implemented. linkLocation=https://cdn.shopify.com/s/files/1/0918/6066/4603/files/b8e5d0b6a5f73fd233bf663ccbf221e3.jpg?v=1778318723, friendlyName=Open</x:v>
      </x:c>
      <x:c r="C3416" s="24" t="e">
        <x:f>HYPERLINK("https://365nails.com/products/365nails-celestial-red-3d-charms-ombre-handmade-almond-nails","365nails: ""Celestial Red"" – 3D Charms &amp; Ombré Handmade Almond Nails")</x:f>
        <x:v>HYPERLINK is not implemented. linkLocation=https://365nails.com/products/365nails-celestial-red-3d-charms-ombre-handmade-almond-nails, friendlyName=365nails: "Celestial Red" – 3D Charms &amp; Ombré Handmade Almond Nails</x:v>
      </x:c>
      <x:c r="D3416" s="18" t="str">
        <x:v>Size: XS / S / M / L</x:v>
      </x:c>
      <x:c r="E3416" s="25" t="str">
        <x:v>$2.99</x:v>
      </x:c>
      <x:c r="F3416" s="19" t="str">
        <x:v>5</x:v>
      </x:c>
    </x:row>
    <x:row r="3417" ht="93" customHeight="1">
      <x:c r="A3417" s="19" t="n">
        <x:v>3414</x:v>
      </x:c>
      <x:c r="B3417" s="22" t="e">
        <x:f>HYPERLINK("https://cdn.shopify.com/s/files/1/0918/6066/4603/files/O1CN01dLwkCA2214vBTxxdM__2219480337059-0-cib.jpg?v=1773824605","Open")</x:f>
        <x:v>HYPERLINK is not implemented. linkLocation=https://cdn.shopify.com/s/files/1/0918/6066/4603/files/O1CN01dLwkCA2214vBTxxdM__2219480337059-0-cib.jpg?v=1773824605, friendlyName=Open</x:v>
      </x:c>
      <x:c r="C3417" s="24" t="e">
        <x:f>HYPERLINK("https://365nails.com/products/spooky-halloween-kids-series-graveyard-ghost-magic-short-square-kids-nail-art","365nails-Spooky Halloween Kids Series: ""Graveyard Ghost Magic"" – Short Square Kids Nail Art")</x:f>
        <x:v>HYPERLINK is not implemented. linkLocation=https://365nails.com/products/spooky-halloween-kids-series-graveyard-ghost-magic-short-square-kids-nail-art, friendlyName=365nails-Spooky Halloween Kids Series: "Graveyard Ghost Magic" – Short Square Kids Nail Art</x:v>
      </x:c>
      <x:c r="D3417" s="18" t="str">
        <x:v>Color: Rip little devil; Color classification: Xs (about 2 years old) / S (3-4 years old) / M (5-7 years old) / L (8-11 years old)</x:v>
      </x:c>
      <x:c r="E3417" s="25" t="str">
        <x:v>$2.99</x:v>
      </x:c>
      <x:c r="F3417" s="19" t="str">
        <x:v>3</x:v>
      </x:c>
    </x:row>
    <x:row r="3418" ht="93" customHeight="1">
      <x:c r="A3418" s="19" t="n">
        <x:v>3415</x:v>
      </x:c>
      <x:c r="B3418" s="22" t="e">
        <x:f>HYPERLINK("https://cdn.shopify.com/s/files/1/0918/6066/4603/files/O1CN01buteCW1CPwPin0HIW__2213196780074-0-cib.jpg?v=1776739723","Open")</x:f>
        <x:v>HYPERLINK is not implemented. linkLocation=https://cdn.shopify.com/s/files/1/0918/6066/4603/files/O1CN01buteCW1CPwPin0HIW__2213196780074-0-cib.jpg?v=1776739723, friendlyName=Open</x:v>
      </x:c>
      <x:c r="C3418" s="24" t="e">
        <x:f>HYPERLINK("https://365nails.com/products/365nails-butterfly-sunlight-hand-painted-floral-french-tip-handmade-almond-nails","365nails: ""Butterfly Sunlight"" – Hand-Painted Floral French Tip Handmade Almond Nails")</x:f>
        <x:v>HYPERLINK is not implemented. linkLocation=https://365nails.com/products/365nails-butterfly-sunlight-hand-painted-floral-french-tip-handmade-almond-nails, friendlyName=365nails: "Butterfly Sunlight" – Hand-Painted Floral French Tip Handmade Almond Nails</x:v>
      </x:c>
      <x:c r="D3418" s="18" t="str">
        <x:v>Color: W442-long oval; Color classification: Extra small size xs / Small s / Medium m / Large l</x:v>
      </x:c>
      <x:c r="E3418" s="25" t="str">
        <x:v>$2.99</x:v>
      </x:c>
      <x:c r="F3418" s="19" t="str">
        <x:v>1</x:v>
      </x:c>
    </x:row>
    <x:row r="3419" ht="93" customHeight="1">
      <x:c r="A3419" s="19" t="n">
        <x:v>3416</x:v>
      </x:c>
      <x:c r="B3419" s="22" t="e">
        <x:f>HYPERLINK("https://cdn.shopify.com/s/files/1/0918/6066/4603/files/c8611a92534a38f23b221f1b8f2aedc7.jpg?v=1776166855","Open")</x:f>
        <x:v>HYPERLINK is not implemented. linkLocation=https://cdn.shopify.com/s/files/1/0918/6066/4603/files/c8611a92534a38f23b221f1b8f2aedc7.jpg?v=1776166855, friendlyName=Open</x:v>
      </x:c>
      <x:c r="C3419" s="24" t="e">
        <x:f>HYPERLINK("https://365nails.com/products/365nails-puppy-love-dream-3d-cartoon-character-handmade-short-square-nails","365nails: ""Puppy Love Dream"" – 3D Cartoon Character Handmade Short Square Nails")</x:f>
        <x:v>HYPERLINK is not implemented. linkLocation=https://365nails.com/products/365nails-puppy-love-dream-3d-cartoon-character-handmade-short-square-nails, friendlyName=365nails: "Puppy Love Dream" – 3D Cartoon Character Handmade Short Square Nails</x:v>
      </x:c>
      <x:c r="D3419" s="18" t="str">
        <x:v>Size: XS / S / M / L</x:v>
      </x:c>
      <x:c r="E3419" s="25" t="str">
        <x:v>$1.99</x:v>
      </x:c>
      <x:c r="F3419" s="19" t="str">
        <x:v>3</x:v>
      </x:c>
    </x:row>
    <x:row r="3420" ht="93" customHeight="1">
      <x:c r="A3420" s="19" t="n">
        <x:v>3417</x:v>
      </x:c>
      <x:c r="B3420" s="22" t="e">
        <x:f>HYPERLINK("https://cdn.shopify.com/s/files/1/0918/6066/4603/files/O1CN01vLQVnF27ZUk76Zl95__2220024697811-0-cib.jpg?v=1774927603","Open")</x:f>
        <x:v>HYPERLINK is not implemented. linkLocation=https://cdn.shopify.com/s/files/1/0918/6066/4603/files/O1CN01vLQVnF27ZUk76Zl95__2220024697811-0-cib.jpg?v=1774927603, friendlyName=Open</x:v>
      </x:c>
      <x:c r="C3420" s="24" t="e">
        <x:f>HYPERLINK("https://365nails.com/products/365nails-sun-kissed-bloom-3d-floral-handmade-almond-nails","365nails: ""Sun-Kissed Bloom"" – 3D Floral Handmade Almond Nails")</x:f>
        <x:v>HYPERLINK is not implemented. linkLocation=https://365nails.com/products/365nails-sun-kissed-bloom-3d-floral-handmade-almond-nails, friendlyName=365nails: "Sun-Kissed Bloom" – 3D Floral Handmade Almond Nails</x:v>
      </x:c>
      <x:c r="D3420" s="18" t="str">
        <x:v>Color: Medium oval; Color classification: Xs / S / M / L</x:v>
      </x:c>
      <x:c r="E3420" s="25" t="str">
        <x:v>$4.49</x:v>
      </x:c>
      <x:c r="F3420" s="19" t="str">
        <x:v>3</x:v>
      </x:c>
    </x:row>
    <x:row r="3421" ht="93" customHeight="1">
      <x:c r="A3421" s="19" t="n">
        <x:v>3418</x:v>
      </x:c>
      <x:c r="B3421" s="22" t="e">
        <x:f>HYPERLINK("https://cdn.shopify.com/s/files/1/0918/6066/4603/files/O1CN01fIEL6L27ZUkAziIP1__2220024697811-0-cib.jpg?v=1774927896","Open")</x:f>
        <x:v>HYPERLINK is not implemented. linkLocation=https://cdn.shopify.com/s/files/1/0918/6066/4603/files/O1CN01fIEL6L27ZUkAziIP1__2220024697811-0-cib.jpg?v=1774927896, friendlyName=Open</x:v>
      </x:c>
      <x:c r="C3421" s="24" t="e">
        <x:f>HYPERLINK("https://365nails.com/products/365nails-citrus-starburst-3d-citrus-slice-handmade-almond-nails","365nails: ""Citrus Starburst"" – 3D Citrus Slice Handmade Almond Nails")</x:f>
        <x:v>HYPERLINK is not implemented. linkLocation=https://365nails.com/products/365nails-citrus-starburst-3d-citrus-slice-handmade-almond-nails, friendlyName=365nails: "Citrus Starburst" – 3D Citrus Slice Handmade Almond Nails</x:v>
      </x:c>
      <x:c r="D3421" s="18" t="str">
        <x:v>Color: Short almond; Color classification: Xs / S / M / L</x:v>
      </x:c>
      <x:c r="E3421" s="25" t="str">
        <x:v>$4.49</x:v>
      </x:c>
      <x:c r="F3421" s="19" t="str">
        <x:v>3</x:v>
      </x:c>
    </x:row>
    <x:row r="3422" ht="93" customHeight="1">
      <x:c r="A3422" s="19" t="n">
        <x:v>3419</x:v>
      </x:c>
      <x:c r="B3422" s="22" t="e">
        <x:f>HYPERLINK("https://cdn.shopify.com/s/files/1/0918/6066/4603/files/O1CN01Sm5zxv27ZUkZEo4xj__2220024697811-0-cib.jpg?v=1774943667","Open")</x:f>
        <x:v>HYPERLINK is not implemented. linkLocation=https://cdn.shopify.com/s/files/1/0918/6066/4603/files/O1CN01Sm5zxv27ZUkZEo4xj__2220024697811-0-cib.jpg?v=1774943667, friendlyName=Open</x:v>
      </x:c>
      <x:c r="C3422" s="24" t="e">
        <x:f>HYPERLINK("https://365nails.com/products/365nails-whispering-bloom-3d-floral-handmade-almond-nails","365nails: ""Whispering Bloom"" – 3D Floral Handmade Almond Nails")</x:f>
        <x:v>HYPERLINK is not implemented. linkLocation=https://365nails.com/products/365nails-whispering-bloom-3d-floral-handmade-almond-nails, friendlyName=365nails: "Whispering Bloom" – 3D Floral Handmade Almond Nails</x:v>
      </x:c>
      <x:c r="D3422" s="18" t="str">
        <x:v>Color: Almond; Color classification: Xs / S / M / L</x:v>
      </x:c>
      <x:c r="E3422" s="25" t="str">
        <x:v>$3.49</x:v>
      </x:c>
      <x:c r="F3422" s="19" t="str">
        <x:v>3</x:v>
      </x:c>
    </x:row>
    <x:row r="3423" ht="93" customHeight="1">
      <x:c r="A3423" s="19" t="n">
        <x:v>3420</x:v>
      </x:c>
      <x:c r="B3423" s="22" t="e">
        <x:f>HYPERLINK("https://cdn.shopify.com/s/files/1/0918/6066/4603/files/bb0b40356468721d9cd21361ef5e9585.jpg?v=1778317296","Open")</x:f>
        <x:v>HYPERLINK is not implemented. linkLocation=https://cdn.shopify.com/s/files/1/0918/6066/4603/files/bb0b40356468721d9cd21361ef5e9585.jpg?v=1778317296, friendlyName=Open</x:v>
      </x:c>
      <x:c r="C3423" s="24" t="e">
        <x:f>HYPERLINK("https://365nails.com/products/365nails-bunny-plaid-pop-3d-character-plaid-handmade-coffin-nails","365nails: ""Bunny Plaid Pop"" – 3D Character &amp; Plaid Handmade Coffin Nails")</x:f>
        <x:v>HYPERLINK is not implemented. linkLocation=https://365nails.com/products/365nails-bunny-plaid-pop-3d-character-plaid-handmade-coffin-nails, friendlyName=365nails: "Bunny Plaid Pop" – 3D Character &amp; Plaid Handmade Coffin Nails</x:v>
      </x:c>
      <x:c r="D3423" s="18" t="str">
        <x:v>Size: XS / S / M / L</x:v>
      </x:c>
      <x:c r="E3423" s="25" t="str">
        <x:v>$3.99</x:v>
      </x:c>
      <x:c r="F3423" s="19" t="str">
        <x:v>5</x:v>
      </x:c>
    </x:row>
    <x:row r="3424" ht="93" customHeight="1">
      <x:c r="A3424" s="19" t="n">
        <x:v>3421</x:v>
      </x:c>
      <x:c r="B3424" s="22" t="e">
        <x:f>HYPERLINK("https://cdn.shopify.com/s/files/1/0918/6066/4603/files/O1CN01K459XZ2MQzgBPCJOV__2219089449823-0-cib.jpg?v=1774348978","Open")</x:f>
        <x:v>HYPERLINK is not implemented. linkLocation=https://cdn.shopify.com/s/files/1/0918/6066/4603/files/O1CN01K459XZ2MQzgBPCJOV__2219089449823-0-cib.jpg?v=1774348978, friendlyName=Open</x:v>
      </x:c>
      <x:c r="C3424" s="24" t="e">
        <x:f>HYPERLINK("https://365nails.com/products/365nails-golden-bloom-elegance-short-square-nude-french-rhinestone-handmade-press-on-nails","365nails: ""Golden Bloom Elegance"" – Short Square Nude French Rhinestone Handmade Press-On Nails")</x:f>
        <x:v>HYPERLINK is not implemented. linkLocation=https://365nails.com/products/365nails-golden-bloom-elegance-short-square-nude-french-rhinestone-handmade-press-on-nails, friendlyName=365nails: "Golden Bloom Elegance" – Short Square Nude French Rhinestone Handmade Press-On Nails</x:v>
      </x:c>
      <x:c r="D3424" s="18" t="str">
        <x:v>Color: Dz001; Color classification: X s / S / M / L</x:v>
      </x:c>
      <x:c r="E3424" s="25" t="str">
        <x:v>$4.99</x:v>
      </x:c>
      <x:c r="F3424" s="19" t="str">
        <x:v>1</x:v>
      </x:c>
    </x:row>
    <x:row r="3425" ht="93" customHeight="1">
      <x:c r="A3425" s="19" t="n">
        <x:v>3422</x:v>
      </x:c>
      <x:c r="B3425" s="22" t="e">
        <x:f>HYPERLINK("https://cdn.shopify.com/s/files/1/0918/6066/4603/files/O1CN01gUFmft2MQzfvu007v__2219089449823-0-cib.jpg?v=1774275881","Open")</x:f>
        <x:v>HYPERLINK is not implemented. linkLocation=https://cdn.shopify.com/s/files/1/0918/6066/4603/files/O1CN01gUFmft2MQzfvu007v__2219089449823-0-cib.jpg?v=1774275881, friendlyName=Open</x:v>
      </x:c>
      <x:c r="C3425" s="24" t="e">
        <x:f>HYPERLINK("https://365nails.com/products/peach-blossom-sunset-bloom-long-almond-press-on-nails","Peach Blossom: ""Sunset Bloom"" – Long Almond Press-On Nails")</x:f>
        <x:v>HYPERLINK is not implemented. linkLocation=https://365nails.com/products/peach-blossom-sunset-bloom-long-almond-press-on-nails, friendlyName=Peach Blossom: "Sunset Bloom" – Long Almond Press-On Nails</x:v>
      </x:c>
      <x:c r="D3425" s="18" t="str">
        <x:v>Color: D261; Color classification: X s / S / M / L</x:v>
      </x:c>
      <x:c r="E3425" s="25" t="str">
        <x:v>$3.49</x:v>
      </x:c>
      <x:c r="F3425" s="19" t="str">
        <x:v>1</x:v>
      </x:c>
    </x:row>
    <x:row r="3426" ht="93" customHeight="1">
      <x:c r="A3426" s="19" t="n">
        <x:v>3423</x:v>
      </x:c>
      <x:c r="B3426" s="22" t="e">
        <x:f>HYPERLINK("https://cdn.shopify.com/s/files/1/0918/6066/4603/files/O1CN01ImggBd2MQzdJIQJsA__2219089449823-0-cib.jpg?v=1774348872","Open")</x:f>
        <x:v>HYPERLINK is not implemented. linkLocation=https://cdn.shopify.com/s/files/1/0918/6066/4603/files/O1CN01ImggBd2MQzdJIQJsA__2219089449823-0-cib.jpg?v=1774348872, friendlyName=Open</x:v>
      </x:c>
      <x:c r="C3426" s="24" t="e">
        <x:f>HYPERLINK("https://365nails.com/products/whimsical-floral-pastel-petal-whisper-medium-almond-nude-multicolor-gradient-handmade-press-o","Whimsical Floral: ""Pastel Petal Whisper"" – Medium Almond Nude &amp; Multicolor Gradient Handmade Press-O")</x:f>
        <x:v>HYPERLINK is not implemented. linkLocation=https://365nails.com/products/whimsical-floral-pastel-petal-whisper-medium-almond-nude-multicolor-gradient-handmade-press-o, friendlyName=Whimsical Floral: "Pastel Petal Whisper" – Medium Almond Nude &amp; Multicolor Gradient Handmade Press-O</x:v>
      </x:c>
      <x:c r="D3426" s="18" t="str">
        <x:v>Color: D452; Color classification: X s / S / M / L</x:v>
      </x:c>
      <x:c r="E3426" s="25" t="str">
        <x:v>$3.49</x:v>
      </x:c>
      <x:c r="F3426" s="19" t="str">
        <x:v>1</x:v>
      </x:c>
    </x:row>
    <x:row r="3427" ht="93" customHeight="1">
      <x:c r="A3427" s="19" t="n">
        <x:v>3424</x:v>
      </x:c>
      <x:c r="B3427" s="22" t="e">
        <x:f>HYPERLINK("https://cdn.shopify.com/s/files/1/0918/6066/4603/files/aeee29e2c96bb0c012f50a55ee01ece1.jpg?v=1772976711","Open")</x:f>
        <x:v>HYPERLINK is not implemented. linkLocation=https://cdn.shopify.com/s/files/1/0918/6066/4603/files/aeee29e2c96bb0c012f50a55ee01ece1.jpg?v=1772976711, friendlyName=Open</x:v>
      </x:c>
      <x:c r="C3427" s="24" t="e">
        <x:f>HYPERLINK("https://365nails.com/products/drama-collection-xxxl-super-tube-xxxl-super-long-tube-nail-tips-504pcs-bag","Drama Collection: ""XXXL Super Tube"" – XXXL Super Long Tube Nail Tips (504pcs Bag)")</x:f>
        <x:v>HYPERLINK is not implemented. linkLocation=https://365nails.com/products/drama-collection-xxxl-super-tube-xxxl-super-long-tube-nail-tips-504pcs-bag, friendlyName=Drama Collection: "XXXL Super Tube" – XXXL Super Long Tube Nail Tips (504pcs Bag)</x:v>
      </x:c>
      <x:c r="D3427" s="18" t="str">
        <x:v>Color classification: Transparent color-504 pieces in bag / Natural color-504 pieces in bag / Transparent color-360 pieces in box / Natural color-360 pieces in box</x:v>
      </x:c>
      <x:c r="E3427" s="25" t="str">
        <x:v>$2.46–$2.80</x:v>
      </x:c>
      <x:c r="F3427" s="19" t="str">
        <x:v>3</x:v>
      </x:c>
    </x:row>
    <x:row r="3428" ht="93" customHeight="1">
      <x:c r="A3428" s="19" t="n">
        <x:v>3425</x:v>
      </x:c>
      <x:c r="B3428" s="22" t="e">
        <x:f>HYPERLINK("https://cdn.shopify.com/s/files/1/0918/6066/4603/files/O1CN015sUwnx2MQzf2JaIlu__2219089449823-0-cib.jpg?v=1774178783","Open")</x:f>
        <x:v>HYPERLINK is not implemented. linkLocation=https://cdn.shopify.com/s/files/1/0918/6066/4603/files/O1CN015sUwnx2MQzf2JaIlu__2219089449823-0-cib.jpg?v=1774178783, friendlyName=Open</x:v>
      </x:c>
      <x:c r="C3428" s="24" t="e">
        <x:f>HYPERLINK("https://365nails.com/products/candy-galaxy-starry-bubblegum-almond-press-on-nails","Candy Galaxy: ""Starry Bubblegum"" – Almond Press-On Nails")</x:f>
        <x:v>HYPERLINK is not implemented. linkLocation=https://365nails.com/products/candy-galaxy-starry-bubblegum-almond-press-on-nails, friendlyName=Candy Galaxy: "Starry Bubblegum" – Almond Press-On Nails</x:v>
      </x:c>
      <x:c r="D3428" s="18" t="str">
        <x:v>Color: D391; Color classification: X s / S / M / L</x:v>
      </x:c>
      <x:c r="E3428" s="25" t="str">
        <x:v>$3.49</x:v>
      </x:c>
      <x:c r="F3428" s="19" t="str">
        <x:v>1</x:v>
      </x:c>
    </x:row>
    <x:row r="3429" ht="93" customHeight="1">
      <x:c r="A3429" s="19" t="n">
        <x:v>3426</x:v>
      </x:c>
      <x:c r="B3429" s="22" t="e">
        <x:f>HYPERLINK("https://cdn.shopify.com/s/files/1/0918/6066/4603/files/9f10fe86e682fe465f92869694ed66bb.jpg?v=1778337127","Open")</x:f>
        <x:v>HYPERLINK is not implemented. linkLocation=https://cdn.shopify.com/s/files/1/0918/6066/4603/files/9f10fe86e682fe465f92869694ed66bb.jpg?v=1778337127, friendlyName=Open</x:v>
      </x:c>
      <x:c r="C3429" s="24" t="e">
        <x:f>HYPERLINK("https://365nails.com/products/365nails-celestial-whimsy-3d-mixed-media-handmade-almond-nails","365nails: ""Celestial Whimsy"" – 3D Mixed Media Handmade Almond Nails")</x:f>
        <x:v>HYPERLINK is not implemented. linkLocation=https://365nails.com/products/365nails-celestial-whimsy-3d-mixed-media-handmade-almond-nails, friendlyName=365nails: "Celestial Whimsy" – 3D Mixed Media Handmade Almond Nails</x:v>
      </x:c>
      <x:c r="D3429" s="18" t="str">
        <x:v>Size: XS / S / M / L</x:v>
      </x:c>
      <x:c r="E3429" s="25" t="str">
        <x:v>$2.99</x:v>
      </x:c>
      <x:c r="F3429" s="19" t="str">
        <x:v>5</x:v>
      </x:c>
    </x:row>
    <x:row r="3430" ht="93" customHeight="1">
      <x:c r="A3430" s="19" t="n">
        <x:v>3427</x:v>
      </x:c>
      <x:c r="B3430" s="22" t="e">
        <x:f>HYPERLINK("https://cdn.shopify.com/s/files/1/0918/6066/4603/files/O1CN01hHF16O2MQzdj1r6JO__2219089449823-0-cib.jpg?v=1774065284","Open")</x:f>
        <x:v>HYPERLINK is not implemented. linkLocation=https://cdn.shopify.com/s/files/1/0918/6066/4603/files/O1CN01hHF16O2MQzdj1r6JO__2219089449823-0-cib.jpg?v=1774065284, friendlyName=Open</x:v>
      </x:c>
      <x:c r="C3430" s="24" t="e">
        <x:f>HYPERLINK("https://365nails.com/products/ocean-bloom-blue-floral-almond-shape-handmade-3d-carved-press-on-nails","365nails-Ocean Bloom: ""Blue Floral"" – Almond Shape Handmade 3D Carved Press-On Nails")</x:f>
        <x:v>HYPERLINK is not implemented. linkLocation=https://365nails.com/products/ocean-bloom-blue-floral-almond-shape-handmade-3d-carved-press-on-nails, friendlyName=365nails-Ocean Bloom: "Blue Floral" – Almond Shape Handmade 3D Carved Press-On Nails</x:v>
      </x:c>
      <x:c r="D3430" s="18" t="str">
        <x:v>Color: D502; Color classification: X s / S / M / L</x:v>
      </x:c>
      <x:c r="E3430" s="25" t="str">
        <x:v>$3.99</x:v>
      </x:c>
      <x:c r="F3430" s="19" t="str">
        <x:v>5</x:v>
      </x:c>
    </x:row>
    <x:row r="3431" ht="93" customHeight="1">
      <x:c r="A3431" s="19" t="n">
        <x:v>3428</x:v>
      </x:c>
      <x:c r="B3431" s="22" t="e">
        <x:f>HYPERLINK("https://cdn.shopify.com/s/files/1/0918/6066/4603/files/O1CN01VScgja27ZUkhbhu0B__2220024697811-0-cib.jpg?v=1775052038","Open")</x:f>
        <x:v>HYPERLINK is not implemented. linkLocation=https://cdn.shopify.com/s/files/1/0918/6066/4603/files/O1CN01VScgja27ZUkhbhu0B__2220024697811-0-cib.jpg?v=1775052038, friendlyName=Open</x:v>
      </x:c>
      <x:c r="C3431" s="24" t="e">
        <x:f>HYPERLINK("https://365nails.com/products/365nails-fruity-blossom-3d-floral-berry-handmade-square-nails","365nails: ""Fruity Blossom"" – 3D Floral &amp; Berry Handmade Square Nails")</x:f>
        <x:v>HYPERLINK is not implemented. linkLocation=https://365nails.com/products/365nails-fruity-blossom-3d-floral-berry-handmade-square-nails, friendlyName=365nails: "Fruity Blossom" – 3D Floral &amp; Berry Handmade Square Nails</x:v>
      </x:c>
      <x:c r="D3431" s="18" t="str">
        <x:v>Color: Duckbill; Color classification: Xs / S / M / L</x:v>
      </x:c>
      <x:c r="E3431" s="25" t="str">
        <x:v>$4.99</x:v>
      </x:c>
      <x:c r="F3431" s="19" t="str">
        <x:v>3</x:v>
      </x:c>
    </x:row>
    <x:row r="3432" ht="93" customHeight="1">
      <x:c r="A3432" s="19" t="n">
        <x:v>3429</x:v>
      </x:c>
      <x:c r="B3432" s="22" t="e">
        <x:f>HYPERLINK("https://cdn.shopify.com/s/files/1/0918/6066/4603/files/8f958bc50334dfad22f8b0dc8b96a3a7.jpg?v=1776167025","Open")</x:f>
        <x:v>HYPERLINK is not implemented. linkLocation=https://cdn.shopify.com/s/files/1/0918/6066/4603/files/8f958bc50334dfad22f8b0dc8b96a3a7.jpg?v=1776167025, friendlyName=Open</x:v>
      </x:c>
      <x:c r="C3432" s="24" t="e">
        <x:f>HYPERLINK("https://365nails.com/products/365nails-strawberry-sugar-3d-fruit-art-handmade-short-square-nails","365nails: ""Strawberry Sugar"" – 3D Fruit Art Handmade Short Square Nails")</x:f>
        <x:v>HYPERLINK is not implemented. linkLocation=https://365nails.com/products/365nails-strawberry-sugar-3d-fruit-art-handmade-short-square-nails, friendlyName=365nails: "Strawberry Sugar" – 3D Fruit Art Handmade Short Square Nails</x:v>
      </x:c>
      <x:c r="D3432" s="18" t="str">
        <x:v>Size: XS / S / M / L</x:v>
      </x:c>
      <x:c r="E3432" s="25" t="str">
        <x:v>$1.99</x:v>
      </x:c>
      <x:c r="F3432" s="19" t="str">
        <x:v>3</x:v>
      </x:c>
    </x:row>
    <x:row r="3433" ht="93" customHeight="1">
      <x:c r="A3433" s="19" t="n">
        <x:v>3430</x:v>
      </x:c>
      <x:c r="B3433" s="22" t="e">
        <x:f>HYPERLINK("https://cdn.shopify.com/s/files/1/0918/6066/4603/files/O1CN01AOMPA01CPwJNfjXV6__2213196780074-0-cib.jpg?v=1774680226","Open")</x:f>
        <x:v>HYPERLINK is not implemented. linkLocation=https://cdn.shopify.com/s/files/1/0918/6066/4603/files/O1CN01AOMPA01CPwJNfjXV6__2213196780074-0-cib.jpg?v=1774680226, friendlyName=Open</x:v>
      </x:c>
      <x:c r="C3433" s="24" t="e">
        <x:f>HYPERLINK("https://365nails.com/products/365nails-kitty-sparkle-3d-cartoon-handmade-short-square-nails","365nails: ""Kitty Sparkle"" – 3D Cartoon Handmade Short Square Nails")</x:f>
        <x:v>HYPERLINK is not implemented. linkLocation=https://365nails.com/products/365nails-kitty-sparkle-3d-cartoon-handmade-short-square-nails, friendlyName=365nails: "Kitty Sparkle" – 3D Cartoon Handmade Short Square Nails</x:v>
      </x:c>
      <x:c r="D3433" s="18" t="str">
        <x:v>Color: Extra small size xs / Small s / Medium m / Large l; Specification type: 2274-short round</x:v>
      </x:c>
      <x:c r="E3433" s="25" t="str">
        <x:v>$3.49</x:v>
      </x:c>
      <x:c r="F3433" s="19" t="str">
        <x:v>1</x:v>
      </x:c>
    </x:row>
    <x:row r="3434" ht="93" customHeight="1">
      <x:c r="A3434" s="19" t="n">
        <x:v>3431</x:v>
      </x:c>
      <x:c r="B3434" s="22" t="e">
        <x:f>HYPERLINK("https://cdn.shopify.com/s/files/1/0918/6066/4603/files/O1CN01nNxJ6r1CPwJcfWL8T__2213196780074-0-cib_f06abee1-decd-456d-98f8-29fc86884bac.jpg?v=1774695143","Open")</x:f>
        <x:v>HYPERLINK is not implemented. linkLocation=https://cdn.shopify.com/s/files/1/0918/6066/4603/files/O1CN01nNxJ6r1CPwJcfWL8T__2213196780074-0-cib_f06abee1-decd-456d-98f8-29fc86884bac.jpg?v=1774695143, friendlyName=Open</x:v>
      </x:c>
      <x:c r="C3434" s="24" t="e">
        <x:f>HYPERLINK("https://365nails.com/products/365nails-gothic-enchantment-3d-spider-crystal-handmade-coffin-nails","365nails: ""Gothic Enchantment"" – 3D Spider &amp; Crystal Handmade Coffin Nails")</x:f>
        <x:v>HYPERLINK is not implemented. linkLocation=https://365nails.com/products/365nails-gothic-enchantment-3d-spider-crystal-handmade-coffin-nails, friendlyName=365nails: "Gothic Enchantment" – 3D Spider &amp; Crystal Handmade Coffin Nails</x:v>
      </x:c>
      <x:c r="D3434" s="18" t="str">
        <x:v>Color: Extra small size xs / Small s / Medium m / Large l; Specification type: 1872 extra long ladder</x:v>
      </x:c>
      <x:c r="E3434" s="25" t="str">
        <x:v>$3.99</x:v>
      </x:c>
      <x:c r="F3434" s="19" t="str">
        <x:v>1</x:v>
      </x:c>
    </x:row>
    <x:row r="3435" ht="93" customHeight="1">
      <x:c r="A3435" s="19" t="n">
        <x:v>3432</x:v>
      </x:c>
      <x:c r="B3435" s="22" t="e">
        <x:f>HYPERLINK("https://cdn.shopify.com/s/files/1/0918/6066/4603/files/O1CN01e5mUXm2MQzfP1KWgo__2219089449823-0-cib.jpg?v=1774258033","Open")</x:f>
        <x:v>HYPERLINK is not implemented. linkLocation=https://cdn.shopify.com/s/files/1/0918/6066/4603/files/O1CN01e5mUXm2MQzfP1KWgo__2219089449823-0-cib.jpg?v=1774258033, friendlyName=Open</x:v>
      </x:c>
      <x:c r="C3435" s="24" t="e">
        <x:f>HYPERLINK("https://365nails.com/products/blue-bloom-nude-gold-chain-almond-shape-handmade-press-on-nails","Blue Bloom: ""Nude Gold Chain"" – Almond Shape Handmade Press-On Nails")</x:f>
        <x:v>HYPERLINK is not implemented. linkLocation=https://365nails.com/products/blue-bloom-nude-gold-chain-almond-shape-handmade-press-on-nails, friendlyName=Blue Bloom: "Nude Gold Chain" – Almond Shape Handmade Press-On Nails</x:v>
      </x:c>
      <x:c r="D3435" s="18" t="str">
        <x:v>Color: D616; Color classification: X s / S / M / L</x:v>
      </x:c>
      <x:c r="E3435" s="25" t="str">
        <x:v>$3.49</x:v>
      </x:c>
      <x:c r="F3435" s="19" t="str">
        <x:v>1</x:v>
      </x:c>
    </x:row>
    <x:row r="3436" ht="93" customHeight="1">
      <x:c r="A3436" s="19" t="n">
        <x:v>3433</x:v>
      </x:c>
      <x:c r="B3436" s="22" t="e">
        <x:f>HYPERLINK("https://cdn.shopify.com/s/files/1/0918/6066/4603/files/979227ee196b4287e14ee7383bb2e8ea.jpg?v=1772976674","Open")</x:f>
        <x:v>HYPERLINK is not implemented. linkLocation=https://cdn.shopify.com/s/files/1/0918/6066/4603/files/979227ee196b4287e14ee7383bb2e8ea.jpg?v=1772976674, friendlyName=Open</x:v>
      </x:c>
      <x:c r="C3436" s="24" t="e">
        <x:f>HYPERLINK("https://365nails.com/products/drama-collection-extended-tube-extra-long-half-cover-tube-nail-tips","Drama Collection: ""Extended Tube"" – Extra Long Half-Cover Tube Nail Tips")</x:f>
        <x:v>HYPERLINK is not implemented. linkLocation=https://365nails.com/products/drama-collection-extended-tube-extra-long-half-cover-tube-nail-tips, friendlyName=Drama Collection: "Extended Tube" – Extra Long Half-Cover Tube Nail Tips</x:v>
      </x:c>
      <x:c r="D3436" s="18" t="str">
        <x:v>Color: Natural white 550-count bag / Transparent color 550 pieces in bag / Box of 550 tablets-transparent color / Box of 550 tablets - natural color</x:v>
      </x:c>
      <x:c r="E3436" s="25" t="str">
        <x:v>$2.69–$3.25</x:v>
      </x:c>
      <x:c r="F3436" s="19" t="str">
        <x:v>3</x:v>
      </x:c>
    </x:row>
    <x:row r="3437" ht="93" customHeight="1">
      <x:c r="A3437" s="19" t="n">
        <x:v>3434</x:v>
      </x:c>
      <x:c r="B3437" s="22" t="e">
        <x:f>HYPERLINK("https://cdn.shopify.com/s/files/1/0918/6066/4603/files/O1CN010VtihU2MQzfpAGLJI__2219089449823-0-cib.jpg?v=1774275815","Open")</x:f>
        <x:v>HYPERLINK is not implemented. linkLocation=https://cdn.shopify.com/s/files/1/0918/6066/4603/files/O1CN010VtihU2MQzfpAGLJI__2219089449823-0-cib.jpg?v=1774275815, friendlyName=Open</x:v>
      </x:c>
      <x:c r="C3437" s="24" t="e">
        <x:f>HYPERLINK("https://365nails.com/products/cherry-fest-strawberry-bloom-long-almond-press-on-nails","Cherry Fest: ""Strawberry Bloom"" – Long Almond Press-On Nails")</x:f>
        <x:v>HYPERLINK is not implemented. linkLocation=https://365nails.com/products/cherry-fest-strawberry-bloom-long-almond-press-on-nails, friendlyName=Cherry Fest: "Strawberry Bloom" – Long Almond Press-On Nails</x:v>
      </x:c>
      <x:c r="D3437" s="18" t="str">
        <x:v>Color: D253; Color classification: X s / S / M / L</x:v>
      </x:c>
      <x:c r="E3437" s="25" t="str">
        <x:v>$3.99</x:v>
      </x:c>
      <x:c r="F3437" s="19" t="str">
        <x:v>1</x:v>
      </x:c>
    </x:row>
    <x:row r="3438" ht="93" customHeight="1">
      <x:c r="A3438" s="19" t="n">
        <x:v>3435</x:v>
      </x:c>
      <x:c r="B3438" s="22" t="e">
        <x:f>HYPERLINK("https://cdn.shopify.com/s/files/1/0918/6066/4603/files/O1CN01EYEqTu27ZUm4vphMs__2220024697811-0-cib_32fd1b73-68af-4410-9bc1-2174ee0cf1d2.jpg?v=1774928906","Open")</x:f>
        <x:v>HYPERLINK is not implemented. linkLocation=https://cdn.shopify.com/s/files/1/0918/6066/4603/files/O1CN01EYEqTu27ZUm4vphMs__2220024697811-0-cib_32fd1b73-68af-4410-9bc1-2174ee0cf1d2.jpg?v=1774928906, friendlyName=Open</x:v>
      </x:c>
      <x:c r="C3438" s="24" t="e">
        <x:f>HYPERLINK("https://365nails.com/products/365nails-whimsical-mosaic-3d-mixed-pattern-handmade-almond-nails","365nails: ""Whimsical Mosaic"" – 3D Mixed Pattern Handmade Almond Nails")</x:f>
        <x:v>HYPERLINK is not implemented. linkLocation=https://365nails.com/products/365nails-whimsical-mosaic-3d-mixed-pattern-handmade-almond-nails, friendlyName=365nails: "Whimsical Mosaic" – 3D Mixed Pattern Handmade Almond Nails</x:v>
      </x:c>
      <x:c r="D3438" s="18" t="str">
        <x:v>Color: Almond; Color classification: Xs / S / M / L</x:v>
      </x:c>
      <x:c r="E3438" s="25" t="str">
        <x:v>$4.49</x:v>
      </x:c>
      <x:c r="F3438" s="19" t="str">
        <x:v>3</x:v>
      </x:c>
    </x:row>
    <x:row r="3439" ht="93" customHeight="1">
      <x:c r="A3439" s="19" t="n">
        <x:v>3436</x:v>
      </x:c>
      <x:c r="B3439" s="22" t="e">
        <x:f>HYPERLINK("https://cdn.shopify.com/s/files/1/0918/6066/4603/files/O1CN01e2eZa227ZUm5aWxm6__2220024697811-0-cib.jpg?v=1774960448","Open")</x:f>
        <x:v>HYPERLINK is not implemented. linkLocation=https://cdn.shopify.com/s/files/1/0918/6066/4603/files/O1CN01e2eZa227ZUm5aWxm6__2220024697811-0-cib.jpg?v=1774960448, friendlyName=Open</x:v>
      </x:c>
      <x:c r="C3439" s="24" t="e">
        <x:f>HYPERLINK("https://365nails.com/products/365nails-tropical-bloom-3d-floral-handmade-almond-nails-5","365nails: ""Tropical Bloom"" – 3D Floral Handmade Almond Nails")</x:f>
        <x:v>HYPERLINK is not implemented. linkLocation=https://365nails.com/products/365nails-tropical-bloom-3d-floral-handmade-almond-nails-5, friendlyName=365nails: "Tropical Bloom" – 3D Floral Handmade Almond Nails</x:v>
      </x:c>
      <x:c r="D3439" s="18" t="str">
        <x:v>Color: Almond; Color classification: Xs / S / M / L</x:v>
      </x:c>
      <x:c r="E3439" s="25" t="str">
        <x:v>$4.49</x:v>
      </x:c>
      <x:c r="F3439" s="19" t="str">
        <x:v>3</x:v>
      </x:c>
    </x:row>
    <x:row r="3440" ht="93" customHeight="1">
      <x:c r="A3440" s="19" t="n">
        <x:v>3437</x:v>
      </x:c>
      <x:c r="B3440" s="22" t="e">
        <x:f>HYPERLINK("https://cdn.shopify.com/s/files/1/0918/6066/4603/files/bee6a8b0ba904b09065265fee13499f1.jpg?v=1772976689","Open")</x:f>
        <x:v>HYPERLINK is not implemented. linkLocation=https://cdn.shopify.com/s/files/1/0918/6066/4603/files/bee6a8b0ba904b09065265fee13499f1.jpg?v=1772976689, friendlyName=Open</x:v>
      </x:c>
      <x:c r="C3440" s="24" t="e">
        <x:f>HYPERLINK("https://365nails.com/products/drama-collection-extended-denim-extra-long-half-cover-denim-nail-tips","Drama Collection: ""Extended Denim"" – Extra Long Half-Cover Denim Nail Tips")</x:f>
        <x:v>HYPERLINK is not implemented. linkLocation=https://365nails.com/products/drama-collection-extended-denim-extra-long-half-cover-denim-nail-tips, friendlyName=Drama Collection: "Extended Denim" – Extra Long Half-Cover Denim Nail Tips</x:v>
      </x:c>
      <x:c r="D3440" s="18" t="str">
        <x:v>Color: 164-transparent 500-pp bag / 164-nature 500-pp bag / 164-transparent 500-ps box / 164-nature 500-ps boxed / 164 traceless-200 pieces in box, transparent color / 164 traceless-200 pieces in box, natural color / Transparent - no. 4-7 refill - 600 pieces in bag / Natural color - refill size 4-7 - 600 pieces in bag</x:v>
      </x:c>
      <x:c r="E3440" s="25" t="str">
        <x:v>$1.46–$3.43</x:v>
      </x:c>
      <x:c r="F3440" s="19" t="str">
        <x:v>3</x:v>
      </x:c>
    </x:row>
    <x:row r="3441" ht="93" customHeight="1">
      <x:c r="A3441" s="19" t="n">
        <x:v>3438</x:v>
      </x:c>
      <x:c r="B3441" s="22" t="e">
        <x:f>HYPERLINK("https://cdn.shopify.com/s/files/1/0918/6066/4603/files/10d915cf6dc61cd0858a681c1d14b99a.jpg?v=1778242596","Open")</x:f>
        <x:v>HYPERLINK is not implemented. linkLocation=https://cdn.shopify.com/s/files/1/0918/6066/4603/files/10d915cf6dc61cd0858a681c1d14b99a.jpg?v=1778242596, friendlyName=Open</x:v>
      </x:c>
      <x:c r="C3441" s="24" t="e">
        <x:f>HYPERLINK("https://365nails.com/products/365nails-candy-sky-3d-floral-heart-handmade-long-stiletto-nails","365nails: ""Candy Sky"" – 3D Floral &amp; Heart Handmade Long Stiletto Nails")</x:f>
        <x:v>HYPERLINK is not implemented. linkLocation=https://365nails.com/products/365nails-candy-sky-3d-floral-heart-handmade-long-stiletto-nails, friendlyName=365nails: "Candy Sky" – 3D Floral &amp; Heart Handmade Long Stiletto Nails</x:v>
      </x:c>
      <x:c r="D3441" s="18" t="str">
        <x:v>Size: XS / S / M / L</x:v>
      </x:c>
      <x:c r="E3441" s="25" t="str">
        <x:v>$4.99</x:v>
      </x:c>
      <x:c r="F3441" s="19" t="str">
        <x:v>5</x:v>
      </x:c>
    </x:row>
    <x:row r="3442" ht="93" customHeight="1">
      <x:c r="A3442" s="19" t="n">
        <x:v>3439</x:v>
      </x:c>
      <x:c r="B3442" s="22" t="e">
        <x:f>HYPERLINK("https://cdn.shopify.com/s/files/1/0918/6066/4603/files/O1CN01O6A0Mk2214tvU6IWB__2219480337059-0-cib.jpg?v=1773824720","Open")</x:f>
        <x:v>HYPERLINK is not implemented. linkLocation=https://cdn.shopify.com/s/files/1/0918/6066/4603/files/O1CN01O6A0Mk2214tvU6IWB__2219480337059-0-cib.jpg?v=1773824720, friendlyName=Open</x:v>
      </x:c>
      <x:c r="C3442" s="24" t="e">
        <x:f>HYPERLINK("https://365nails.com/products/brown-bear-kids-series-cute-bear-paw-short-square-kids-nail-art","365nails-Brown Bear Kids Series: ""Cute Bear &amp; Paw"" – Short Square Kids Nail Art")</x:f>
        <x:v>HYPERLINK is not implemented. linkLocation=https://365nails.com/products/brown-bear-kids-series-cute-bear-paw-short-square-kids-nail-art, friendlyName=365nails-Brown Bear Kids Series: "Cute Bear &amp; Paw" – Short Square Kids Nail Art</x:v>
      </x:c>
      <x:c r="D3442" s="18" t="str">
        <x:v>Color: Little brown bear; Color classification: Xs (about 2 years old) / S (3-4 years old) / M (5-7 years old) / L (8-11 years old)</x:v>
      </x:c>
      <x:c r="E3442" s="25" t="str">
        <x:v>$2.99</x:v>
      </x:c>
      <x:c r="F3442" s="19" t="str">
        <x:v>3</x:v>
      </x:c>
    </x:row>
    <x:row r="3443" ht="93" customHeight="1">
      <x:c r="A3443" s="19" t="n">
        <x:v>3440</x:v>
      </x:c>
      <x:c r="B3443" s="22" t="e">
        <x:f>HYPERLINK("https://cdn.shopify.com/s/files/1/0918/6066/4603/files/O1CN0138XvA32MQzeZBZkjQ__2219089449823-0-cib.jpg?v=1774453086","Open")</x:f>
        <x:v>HYPERLINK is not implemented. linkLocation=https://cdn.shopify.com/s/files/1/0918/6066/4603/files/O1CN0138XvA32MQzeZBZkjQ__2219089449823-0-cib.jpg?v=1774453086, friendlyName=Open</x:v>
      </x:c>
      <x:c r="C3443" s="24" t="e">
        <x:f>HYPERLINK("https://365nails.com/products/royal-gem-vintage-portrait-medium-almond-handmade-press-on-nails","Royal Gem: ""Vintage Portrait"" – Medium Almond Handmade Press On Nails")</x:f>
        <x:v>HYPERLINK is not implemented. linkLocation=https://365nails.com/products/royal-gem-vintage-portrait-medium-almond-handmade-press-on-nails, friendlyName=Royal Gem: "Vintage Portrait" – Medium Almond Handmade Press On Nails</x:v>
      </x:c>
      <x:c r="D3443" s="18" t="str">
        <x:v>Color: L162; Color classification: S / M / L</x:v>
      </x:c>
      <x:c r="E3443" s="25" t="str">
        <x:v>$4.99</x:v>
      </x:c>
      <x:c r="F3443" s="19" t="str">
        <x:v>1</x:v>
      </x:c>
    </x:row>
    <x:row r="3444" ht="93" customHeight="1">
      <x:c r="A3444" s="19" t="n">
        <x:v>3441</x:v>
      </x:c>
      <x:c r="B3444" s="22" t="e">
        <x:f>HYPERLINK("https://cdn.shopify.com/s/files/1/0918/6066/4603/files/O1CN01HaOzvv1CPwJ0qGp9F__2213196780074-0-cib.jpg?v=1776937958","Open")</x:f>
        <x:v>HYPERLINK is not implemented. linkLocation=https://cdn.shopify.com/s/files/1/0918/6066/4603/files/O1CN01HaOzvv1CPwJ0qGp9F__2213196780074-0-cib.jpg?v=1776937958, friendlyName=Open</x:v>
      </x:c>
      <x:c r="C3444" s="24" t="e">
        <x:f>HYPERLINK("https://365nails.com/products/365nails-sweet-treats-3d-cartoon-bear-donut-handmade-short-square-nails","365nails: ""Sweet Treats"" – 3D Cartoon Bear &amp; Donut Handmade Short Square Nails")</x:f>
        <x:v>HYPERLINK is not implemented. linkLocation=https://365nails.com/products/365nails-sweet-treats-3d-cartoon-bear-donut-handmade-short-square-nails, friendlyName=365nails: "Sweet Treats" – 3D Cartoon Bear &amp; Donut Handmade Short Square Nails</x:v>
      </x:c>
      <x:c r="D3444" s="18" t="str">
        <x:v>Color: 2271-short ladder; Color classification: Extra small size xs / Small s / Medium m / Large l</x:v>
      </x:c>
      <x:c r="E3444" s="25" t="str">
        <x:v>$3.49</x:v>
      </x:c>
      <x:c r="F3444" s="19" t="str">
        <x:v>1</x:v>
      </x:c>
    </x:row>
    <x:row r="3445" ht="93" customHeight="1">
      <x:c r="A3445" s="19" t="n">
        <x:v>3442</x:v>
      </x:c>
      <x:c r="B3445" s="22" t="e">
        <x:f>HYPERLINK("https://cdn.shopify.com/s/files/1/0918/6066/4603/files/O1CN01xLFQSq27ZUmImgmpW__2220024697811-0-cib.jpg?v=1774959792","Open")</x:f>
        <x:v>HYPERLINK is not implemented. linkLocation=https://cdn.shopify.com/s/files/1/0918/6066/4603/files/O1CN01xLFQSq27ZUmImgmpW__2220024697811-0-cib.jpg?v=1774959792, friendlyName=Open</x:v>
      </x:c>
      <x:c r="C3445" s="24" t="e">
        <x:f>HYPERLINK("https://365nails.com/products/365nails-whimsical-bloom-3d-floral-handmade-almond-nails","365nails: ""Whimsical Bloom"" – 3D Floral Handmade Almond Nails")</x:f>
        <x:v>HYPERLINK is not implemented. linkLocation=https://365nails.com/products/365nails-whimsical-bloom-3d-floral-handmade-almond-nails, friendlyName=365nails: "Whimsical Bloom" – 3D Floral Handmade Almond Nails</x:v>
      </x:c>
      <x:c r="D3445" s="18" t="str">
        <x:v>Color: Short almond; Color classification: Xs / S / M / L</x:v>
      </x:c>
      <x:c r="E3445" s="25" t="str">
        <x:v>$4.49</x:v>
      </x:c>
      <x:c r="F3445" s="19" t="str">
        <x:v>3</x:v>
      </x:c>
    </x:row>
    <x:row r="3446" ht="93" customHeight="1">
      <x:c r="A3446" s="19" t="n">
        <x:v>3443</x:v>
      </x:c>
      <x:c r="B3446" s="22" t="e">
        <x:f>HYPERLINK("https://cdn.shopify.com/s/files/1/0918/6066/4603/files/O1CN01XG0uTF2MQzcPvslpR__2219089449823-0-cib.jpg?v=1774065793","Open")</x:f>
        <x:v>HYPERLINK is not implemented. linkLocation=https://cdn.shopify.com/s/files/1/0918/6066/4603/files/O1CN01XG0uTF2MQzcPvslpR__2219089449823-0-cib.jpg?v=1774065793, friendlyName=Open</x:v>
      </x:c>
      <x:c r="C3446" s="24" t="e">
        <x:f>HYPERLINK("https://365nails.com/products/ocean-breeze-seashell-floral-medium-almond-handmade-nails","365nails-Ocean Breeze: ""Seashell &amp; Floral"" – Medium Almond Handmade Nails")</x:f>
        <x:v>HYPERLINK is not implemented. linkLocation=https://365nails.com/products/ocean-breeze-seashell-floral-medium-almond-handmade-nails, friendlyName=365nails-Ocean Breeze: "Seashell &amp; Floral" – Medium Almond Handmade Nails</x:v>
      </x:c>
      <x:c r="D3446" s="18" t="str">
        <x:v>Color: D352; Color classification: X s / S / M / L</x:v>
      </x:c>
      <x:c r="E3446" s="25" t="str">
        <x:v>$3.99</x:v>
      </x:c>
      <x:c r="F3446" s="19" t="str">
        <x:v>5</x:v>
      </x:c>
    </x:row>
    <x:row r="3447" ht="93" customHeight="1">
      <x:c r="A3447" s="19" t="n">
        <x:v>3444</x:v>
      </x:c>
      <x:c r="B3447" s="22" t="e">
        <x:f>HYPERLINK("https://cdn.shopify.com/s/files/1/0918/6066/4603/files/3878abe3b7afdb2b69d02246901831a1.jpg?v=1773224733","Open")</x:f>
        <x:v>HYPERLINK is not implemented. linkLocation=https://cdn.shopify.com/s/files/1/0918/6066/4603/files/3878abe3b7afdb2b69d02246901831a1.jpg?v=1773224733, friendlyName=Open</x:v>
      </x:c>
      <x:c r="C3447" s="24" t="e">
        <x:f>HYPERLINK("https://365nails.com/products/pro-c-curve-collection-500-xl-half-cover-extended-c-curve-half-cover-nail-tips-500pcs-bag","Pro C-Curve Collection: ""500 XL Half-Cover"" – Extended C-Curve Half-Cover Nail Tips (500pcs Bag)")</x:f>
        <x:v>HYPERLINK is not implemented. linkLocation=https://365nails.com/products/pro-c-curve-collection-500-xl-half-cover-extended-c-curve-half-cover-nail-tips-500pcs-bag, friendlyName=Pro C-Curve Collection: "500 XL Half-Cover" – Extended C-Curve Half-Cover Nail Tips (500pcs Bag)</x:v>
      </x:c>
      <x:c r="D3447" s="18" t="str">
        <x:v>Color: 113 transparent color-500 pieces in bag / 113-natural color-500 pieces in bag / 113-transparent color-500 pieces in box / 113-natural color-500 pieces in box</x:v>
      </x:c>
      <x:c r="E3447" s="25" t="str">
        <x:v>$3.49</x:v>
      </x:c>
      <x:c r="F3447" s="19" t="str">
        <x:v>3</x:v>
      </x:c>
    </x:row>
    <x:row r="3448" ht="93" customHeight="1">
      <x:c r="A3448" s="19" t="n">
        <x:v>3445</x:v>
      </x:c>
      <x:c r="B3448" s="22" t="e">
        <x:f>HYPERLINK("https://cdn.shopify.com/s/files/1/0918/6066/4603/files/O1CN01Y85bx51CPwOgCB4pM__2213196780074-0-cib.jpg?v=1776646416","Open")</x:f>
        <x:v>HYPERLINK is not implemented. linkLocation=https://cdn.shopify.com/s/files/1/0918/6066/4603/files/O1CN01Y85bx51CPwOgCB4pM__2213196780074-0-cib.jpg?v=1776646416, friendlyName=Open</x:v>
      </x:c>
      <x:c r="C3448" s="24" t="e">
        <x:f>HYPERLINK("https://365nails.com/products/365nails-plum-blossom-snow-hand-painted-ink-red-french-tip-handmade-almond-nails","365nails: ""Plum Blossom Snow"" – Hand-Painted Ink &amp; Red French Tip Handmade Almond Nails")</x:f>
        <x:v>HYPERLINK is not implemented. linkLocation=https://365nails.com/products/365nails-plum-blossom-snow-hand-painted-ink-red-french-tip-handmade-almond-nails, friendlyName=365nails: "Plum Blossom Snow" – Hand-Painted Ink &amp; Red French Tip Handmade Almond Nails</x:v>
      </x:c>
      <x:c r="D3448" s="18" t="str">
        <x:v>Color: 3080-short oval / 3082-long oval; Color classification: Xs / S / M / L</x:v>
      </x:c>
      <x:c r="E3448" s="25" t="str">
        <x:v>$3.99</x:v>
      </x:c>
      <x:c r="F3448" s="19" t="str">
        <x:v>1</x:v>
      </x:c>
    </x:row>
    <x:row r="3449" ht="93" customHeight="1">
      <x:c r="A3449" s="19" t="n">
        <x:v>3446</x:v>
      </x:c>
      <x:c r="B3449" s="22" t="e">
        <x:f>HYPERLINK("https://cdn.shopify.com/s/files/1/0918/6066/4603/files/O1CN01BdcQjt27ZUkFJEESZ__2220024697811-0-cib.jpg?v=1774928618","Open")</x:f>
        <x:v>HYPERLINK is not implemented. linkLocation=https://cdn.shopify.com/s/files/1/0918/6066/4603/files/O1CN01BdcQjt27ZUkFJEESZ__2220024697811-0-cib.jpg?v=1774928618, friendlyName=Open</x:v>
      </x:c>
      <x:c r="C3449" s="24" t="e">
        <x:f>HYPERLINK("https://365nails.com/products/365nails-candy-splash-3d-abstract-art-handmade-stiletto-nails","365nails: ""Candy Splash"" – 3D Abstract Art Handmade Stiletto Nails")</x:f>
        <x:v>HYPERLINK is not implemented. linkLocation=https://365nails.com/products/365nails-candy-splash-3d-abstract-art-handmade-stiletto-nails, friendlyName=365nails: "Candy Splash" – 3D Abstract Art Handmade Stiletto Nails</x:v>
      </x:c>
      <x:c r="D3449" s="18" t="str">
        <x:v>Color: Almond; Color classification: Xs / S / M / L</x:v>
      </x:c>
      <x:c r="E3449" s="25" t="str">
        <x:v>$4.49</x:v>
      </x:c>
      <x:c r="F3449" s="19" t="str">
        <x:v>3</x:v>
      </x:c>
    </x:row>
    <x:row r="3450" ht="93" customHeight="1">
      <x:c r="A3450" s="19" t="n">
        <x:v>3447</x:v>
      </x:c>
      <x:c r="B3450" s="22" t="e">
        <x:f>HYPERLINK("https://cdn.shopify.com/s/files/1/0918/6066/4603/files/6cbc8d4136a7e74bdeb0256ef298b340.jpg?v=1778337150","Open")</x:f>
        <x:v>HYPERLINK is not implemented. linkLocation=https://cdn.shopify.com/s/files/1/0918/6066/4603/files/6cbc8d4136a7e74bdeb0256ef298b340.jpg?v=1778337150, friendlyName=Open</x:v>
      </x:c>
      <x:c r="C3450" s="24" t="e">
        <x:f>HYPERLINK("https://365nails.com/products/365nails-pharaohs-treasure-3d-gold-butterfly-handmade-coffin-nails","365nails: ""Pharaoh's Treasure"" – 3D Gold Butterfly Handmade Coffin Nails")</x:f>
        <x:v>HYPERLINK is not implemented. linkLocation=https://365nails.com/products/365nails-pharaohs-treasure-3d-gold-butterfly-handmade-coffin-nails, friendlyName=365nails: "Pharaoh's Treasure" – 3D Gold Butterfly Handmade Coffin Nails</x:v>
      </x:c>
      <x:c r="D3450" s="18" t="str">
        <x:v>Size: XS / S / M / L</x:v>
      </x:c>
      <x:c r="E3450" s="25" t="str">
        <x:v>$2.99</x:v>
      </x:c>
      <x:c r="F3450" s="19" t="str">
        <x:v>5</x:v>
      </x:c>
    </x:row>
    <x:row r="3451" ht="93" customHeight="1">
      <x:c r="A3451" s="19" t="n">
        <x:v>3448</x:v>
      </x:c>
      <x:c r="B3451" s="22" t="e">
        <x:f>HYPERLINK("https://cdn.shopify.com/s/files/1/0918/6066/4603/files/O1CN01OyNlEA2214sd88hBY__2219480337059-0-cib.jpg?v=1773824659","Open")</x:f>
        <x:v>HYPERLINK is not implemented. linkLocation=https://cdn.shopify.com/s/files/1/0918/6066/4603/files/O1CN01OyNlEA2214sd88hBY__2219480337059-0-cib.jpg?v=1773824659, friendlyName=Open</x:v>
      </x:c>
      <x:c r="C3451" s="24" t="e">
        <x:f>HYPERLINK("https://365nails.com/products/unicorn-kids-series-rainbow-unicorn-dream-short-square-kids-nail-art","365nails-Unicorn Kids Series: ""Rainbow Unicorn Dream"" – Short Square Kids Nail Art")</x:f>
        <x:v>HYPERLINK is not implemented. linkLocation=https://365nails.com/products/unicorn-kids-series-rainbow-unicorn-dream-short-square-kids-nail-art, friendlyName=365nails-Unicorn Kids Series: "Rainbow Unicorn Dream" – Short Square Kids Nail Art</x:v>
      </x:c>
      <x:c r="D3451" s="18" t="str">
        <x:v>Color: Sunshine rainbow little white horse; Color classification: Xs (about 2 years old) / S (3-4 years old) / M (5-7 years old) / L (8-11 years old)</x:v>
      </x:c>
      <x:c r="E3451" s="25" t="str">
        <x:v>$2.99</x:v>
      </x:c>
      <x:c r="F3451" s="19" t="str">
        <x:v>3</x:v>
      </x:c>
    </x:row>
    <x:row r="3452" ht="93" customHeight="1">
      <x:c r="A3452" s="19" t="n">
        <x:v>3449</x:v>
      </x:c>
      <x:c r="B3452" s="22" t="e">
        <x:f>HYPERLINK("https://cdn.shopify.com/s/files/1/0918/6066/4603/files/O1CN01guUoGB1CPwHeKil58__2213196780074-0-cib_0a3b4e6d-5a8f-4978-83a5-3c9ba96542a7.jpg?v=1774679871","Open")</x:f>
        <x:v>HYPERLINK is not implemented. linkLocation=https://cdn.shopify.com/s/files/1/0918/6066/4603/files/O1CN01guUoGB1CPwHeKil58__2213196780074-0-cib_0a3b4e6d-5a8f-4978-83a5-3c9ba96542a7.jpg?v=1774679871, friendlyName=Open</x:v>
      </x:c>
      <x:c r="C3452" s="24" t="e">
        <x:f>HYPERLINK("https://365nails.com/products/365nails-kawaii-tales-hand-painted-cartoon-handmade-square-nails","365nails: ""Kawaii Tales"" – Hand-painted Cartoon Handmade Square Nails")</x:f>
        <x:v>HYPERLINK is not implemented. linkLocation=https://365nails.com/products/365nails-kawaii-tales-hand-painted-cartoon-handmade-square-nails, friendlyName=365nails: "Kawaii Tales" – Hand-painted Cartoon Handmade Square Nails</x:v>
      </x:c>
      <x:c r="D3452" s="18" t="str">
        <x:v>Color: 1894 - new short square; Color classification: Extra small size xs / Small s / Medium m / Large l</x:v>
      </x:c>
      <x:c r="E3452" s="25" t="str">
        <x:v>$3.49</x:v>
      </x:c>
      <x:c r="F3452" s="19" t="str">
        <x:v>1</x:v>
      </x:c>
    </x:row>
    <x:row r="3453" ht="93" customHeight="1">
      <x:c r="A3453" s="19" t="n">
        <x:v>3450</x:v>
      </x:c>
      <x:c r="B3453" s="22" t="e">
        <x:f>HYPERLINK("https://cdn.shopify.com/s/files/1/0918/6066/4603/files/O1CN01mSLuJh2MQzcO5dXfp__2219089449823-0-cib_01574ef1-d36d-4ee7-9d4d-b66943f88f39.jpg?v=1774065774","Open")</x:f>
        <x:v>HYPERLINK is not implemented. linkLocation=https://cdn.shopify.com/s/files/1/0918/6066/4603/files/O1CN01mSLuJh2MQzcO5dXfp__2219089449823-0-cib_01574ef1-d36d-4ee7-9d4d-b66943f88f39.jpg?v=1774065774, friendlyName=Open</x:v>
      </x:c>
      <x:c r="C3453" s="24" t="e">
        <x:f>HYPERLINK("https://365nails.com/products/sakura-blush-gradient-cherry-blossom-medium-almond-handmade-nails","365nails-Sakura Blush: ""Gradient Cherry Blossom"" – Medium Almond Handmade Nails")</x:f>
        <x:v>HYPERLINK is not implemented. linkLocation=https://365nails.com/products/sakura-blush-gradient-cherry-blossom-medium-almond-handmade-nails, friendlyName=365nails-Sakura Blush: "Gradient Cherry Blossom" – Medium Almond Handmade Nails</x:v>
      </x:c>
      <x:c r="D3453" s="18" t="str">
        <x:v>Color: D322; Color classification: X s / S / M / L</x:v>
      </x:c>
      <x:c r="E3453" s="25" t="str">
        <x:v>$3.99</x:v>
      </x:c>
      <x:c r="F3453" s="19" t="str">
        <x:v>5</x:v>
      </x:c>
    </x:row>
    <x:row r="3454" ht="93" customHeight="1">
      <x:c r="A3454" s="19" t="n">
        <x:v>3451</x:v>
      </x:c>
      <x:c r="B3454" s="22" t="e">
        <x:f>HYPERLINK("https://cdn.shopify.com/s/files/1/0918/6066/4603/files/O1CN012eypTD27ZUlKAFIoJ__2220024697811-0-cib.jpg?v=1775053673","Open")</x:f>
        <x:v>HYPERLINK is not implemented. linkLocation=https://cdn.shopify.com/s/files/1/0918/6066/4603/files/O1CN012eypTD27ZUlKAFIoJ__2220024697811-0-cib.jpg?v=1775053673, friendlyName=Open</x:v>
      </x:c>
      <x:c r="C3454" s="24" t="e">
        <x:f>HYPERLINK("https://365nails.com/products/365nails-caramel-drip-handmade-c-shape-french-gradient-square-nails","365nails: ""Caramel Drip"" – Handmade C-Shape French &amp; Gradient Square Nails")</x:f>
        <x:v>HYPERLINK is not implemented. linkLocation=https://365nails.com/products/365nails-caramel-drip-handmade-c-shape-french-gradient-square-nails, friendlyName=365nails: "Caramel Drip" – Handmade C-Shape French &amp; Gradient Square Nails</x:v>
      </x:c>
      <x:c r="D3454" s="18" t="str">
        <x:v>Color: Right angle t; Color classification: Xs / S / M / L</x:v>
      </x:c>
      <x:c r="E3454" s="25" t="str">
        <x:v>$4.49</x:v>
      </x:c>
      <x:c r="F3454" s="19" t="str">
        <x:v>3</x:v>
      </x:c>
    </x:row>
    <x:row r="3455" ht="93" customHeight="1">
      <x:c r="A3455" s="19" t="n">
        <x:v>3452</x:v>
      </x:c>
      <x:c r="B3455" s="22" t="e">
        <x:f>HYPERLINK("https://cdn.shopify.com/s/files/1/0918/6066/4603/files/O1CN01uxSnas247bcVSJGrQ__2209064737344-0-cib_7689ce93-a4df-4678-940f-3358739b6087.jpg?v=1772976750","Open")</x:f>
        <x:v>HYPERLINK is not implemented. linkLocation=https://cdn.shopify.com/s/files/1/0918/6066/4603/files/O1CN01uxSnas247bcVSJGrQ__2209064737344-0-cib_7689ce93-a4df-4678-940f-3358739b6087.jpg?v=1772976750, friendlyName=Open</x:v>
      </x:c>
      <x:c r="C3455" s="24" t="e">
        <x:f>HYPERLINK("https://365nails.com/products/pro-multi-style-collection-nail-tip-assortment-multi-style-nail-tips-boxed","Pro Multi-Style Collection: ""Nail Tip Assortment"" – Multi-Style Nail Tips (Boxed)")</x:f>
        <x:v>HYPERLINK is not implemented. linkLocation=https://365nails.com/products/pro-multi-style-collection-nail-tip-assortment-multi-style-nail-tips-boxed, friendlyName=Pro Multi-Style Collection: "Nail Tip Assortment" – Multi-Style Nail Tips (Boxed)</x:v>
      </x:c>
      <x:c r="D3455" s="18" t="str">
        <x:v>Color: Ys169-552 tablets-transparent and traceless / Ys169-240 pieces-transparent and traceless / Ys169-120 pieces-transparent and traceless</x:v>
      </x:c>
      <x:c r="E3455" s="25" t="str">
        <x:v>$0.78–$2.69</x:v>
      </x:c>
      <x:c r="F3455" s="19" t="str">
        <x:v>3</x:v>
      </x:c>
    </x:row>
    <x:row r="3456" ht="93" customHeight="1">
      <x:c r="A3456" s="19" t="n">
        <x:v>3453</x:v>
      </x:c>
      <x:c r="B3456" s="22" t="e">
        <x:f>HYPERLINK("https://cdn.shopify.com/s/files/1/0918/6066/4603/files/O1CN01QTTXFz1CPwPkK6u82__2213196780074-0-cib_8cd990d3-f08b-49d2-a891-fe3c8d50709f.jpg?v=1774860846","Open")</x:f>
        <x:v>HYPERLINK is not implemented. linkLocation=https://cdn.shopify.com/s/files/1/0918/6066/4603/files/O1CN01QTTXFz1CPwPkK6u82__2213196780074-0-cib_8cd990d3-f08b-49d2-a891-fe3c8d50709f.jpg?v=1774860846, friendlyName=Open</x:v>
      </x:c>
      <x:c r="C3456" s="24" t="e">
        <x:f>HYPERLINK("https://365nails.com/products/365nails-devils-whisper-3d-leopard-print-crystal-handmade-almond-nails-1","365nails: ""Devil's Whisper"" – 3D Leopard Print &amp; Crystal Handmade Almond Nails")</x:f>
        <x:v>HYPERLINK is not implemented. linkLocation=https://365nails.com/products/365nails-devils-whisper-3d-leopard-print-crystal-handmade-almond-nails-1, friendlyName=365nails: "Devil's Whisper" – 3D Leopard Print &amp; Crystal Handmade Almond Nails</x:v>
      </x:c>
      <x:c r="D3456" s="18" t="str">
        <x:v>Color: 1027 - medium apricot kernels; Color classification: Extra small size xs / Small s / Medium m / Large l</x:v>
      </x:c>
      <x:c r="E3456" s="25" t="str">
        <x:v>$3.99</x:v>
      </x:c>
      <x:c r="F3456" s="19" t="str">
        <x:v>1</x:v>
      </x:c>
    </x:row>
    <x:row r="3457" ht="93" customHeight="1">
      <x:c r="A3457" s="19" t="n">
        <x:v>3454</x:v>
      </x:c>
      <x:c r="B3457" s="22" t="e">
        <x:f>HYPERLINK("https://cdn.shopify.com/s/files/1/0918/6066/4603/files/O1CN01y7poDn2MQzfcX0ihh__2219089449823-0-cib.jpg?v=1774258054","Open")</x:f>
        <x:v>HYPERLINK is not implemented. linkLocation=https://cdn.shopify.com/s/files/1/0918/6066/4603/files/O1CN01y7poDn2MQzfcX0ihh__2219089449823-0-cib.jpg?v=1774258054, friendlyName=Open</x:v>
      </x:c>
      <x:c r="C3457" s="24" t="e">
        <x:f>HYPERLINK("https://365nails.com/products/red-bloom-nude-red-floral-almond-shape-handmade-press-on-nails","Red Bloom: ""Nude Red Floral"" – Almond Shape Handmade Press-On Nails")</x:f>
        <x:v>HYPERLINK is not implemented. linkLocation=https://365nails.com/products/red-bloom-nude-red-floral-almond-shape-handmade-press-on-nails, friendlyName=Red Bloom: "Nude Red Floral" – Almond Shape Handmade Press-On Nails</x:v>
      </x:c>
      <x:c r="D3457" s="18" t="str">
        <x:v>Color: C 453; Color classification: X s / S / M / L</x:v>
      </x:c>
      <x:c r="E3457" s="25" t="str">
        <x:v>$3.49</x:v>
      </x:c>
      <x:c r="F3457" s="19" t="str">
        <x:v>1</x:v>
      </x:c>
    </x:row>
    <x:row r="3458" ht="93" customHeight="1">
      <x:c r="A3458" s="19" t="n">
        <x:v>3455</x:v>
      </x:c>
      <x:c r="B3458" s="22" t="e">
        <x:f>HYPERLINK("https://cdn.shopify.com/s/files/1/0918/6066/4603/files/O1CN01CWmRGj2MQzdG0JC2Q__2219089449823-0-cib.jpg?v=1774010905","Open")</x:f>
        <x:v>HYPERLINK is not implemented. linkLocation=https://cdn.shopify.com/s/files/1/0918/6066/4603/files/O1CN01CWmRGj2MQzdG0JC2Q__2219089449823-0-cib.jpg?v=1774010905, friendlyName=Open</x:v>
      </x:c>
      <x:c r="C3458" s="24" t="e">
        <x:f>HYPERLINK("https://365nails.com/products/wild-safari-daisy-dalmatian-almond-shape-handmade-3d-carved-press-on-nails","365nails-Wild Safari: ""Daisy Dalmatian"" – Almond Shape Handmade 3D Carved Press-On Nails")</x:f>
        <x:v>HYPERLINK is not implemented. linkLocation=https://365nails.com/products/wild-safari-daisy-dalmatian-almond-shape-handmade-3d-carved-press-on-nails, friendlyName=365nails-Wild Safari: "Daisy Dalmatian" – Almond Shape Handmade 3D Carved Press-On Nails</x:v>
      </x:c>
      <x:c r="D3458" s="18" t="str">
        <x:v>Color: D461; Color classification: X s / S / M / L</x:v>
      </x:c>
      <x:c r="E3458" s="25" t="str">
        <x:v>$3.99</x:v>
      </x:c>
      <x:c r="F3458" s="19" t="str">
        <x:v>1</x:v>
      </x:c>
    </x:row>
    <x:row r="3459" ht="93" customHeight="1">
      <x:c r="A3459" s="19" t="n">
        <x:v>3456</x:v>
      </x:c>
      <x:c r="B3459" s="22" t="e">
        <x:f>HYPERLINK("https://cdn.shopify.com/s/files/1/0918/6066/4603/files/O1CN01oquL1Z2214unj9o9D__2219480337059-0-cib.jpg?v=1773824586","Open")</x:f>
        <x:v>HYPERLINK is not implemented. linkLocation=https://cdn.shopify.com/s/files/1/0918/6066/4603/files/O1CN01oquL1Z2214unj9o9D__2219480337059-0-cib.jpg?v=1773824586, friendlyName=Open</x:v>
      </x:c>
      <x:c r="C3459" s="24" t="e">
        <x:f>HYPERLINK("https://365nails.com/products/cute-monster-kids-series-green-goblin-party-short-square-kids-nail-art","365nails-Cute Monster Kids Series: ""Green Goblin Party"" – Short Square Kids Nail Art")</x:f>
        <x:v>HYPERLINK is not implemented. linkLocation=https://365nails.com/products/cute-monster-kids-series-green-goblin-party-short-square-kids-nail-art, friendlyName=365nails-Cute Monster Kids Series: "Green Goblin Party" – Short Square Kids Nail Art</x:v>
      </x:c>
      <x:c r="D3459" s="18" t="str">
        <x:v>Color: Ice cream green labubu; Color classification: Xs (about 2 years old) / S (3-4 years old) / M (5-7 years old) / L (8-11 years old)</x:v>
      </x:c>
      <x:c r="E3459" s="25" t="str">
        <x:v>$2.99</x:v>
      </x:c>
      <x:c r="F3459" s="19" t="str">
        <x:v>3</x:v>
      </x:c>
    </x:row>
    <x:row r="3460" ht="93" customHeight="1">
      <x:c r="A3460" s="19" t="n">
        <x:v>3457</x:v>
      </x:c>
      <x:c r="B3460" s="22" t="e">
        <x:f>HYPERLINK("https://cdn.shopify.com/s/files/1/0918/6066/4603/files/00d64693491935592e7c930f3ffbc72a.jpg?v=1776166928","Open")</x:f>
        <x:v>HYPERLINK is not implemented. linkLocation=https://cdn.shopify.com/s/files/1/0918/6066/4603/files/00d64693491935592e7c930f3ffbc72a.jpg?v=1776166928, friendlyName=Open</x:v>
      </x:c>
      <x:c r="C3460" s="24" t="e">
        <x:f>HYPERLINK("https://365nails.com/products/365nails-blush-water-drop-3d-water-drop-jelly-handmade-short-square-nails","365nails: ""Blush Water Drop"" – 3D Water Drop Jelly Handmade Short Square Nails")</x:f>
        <x:v>HYPERLINK is not implemented. linkLocation=https://365nails.com/products/365nails-blush-water-drop-3d-water-drop-jelly-handmade-short-square-nails, friendlyName=365nails: "Blush Water Drop" – 3D Water Drop Jelly Handmade Short Square Nails</x:v>
      </x:c>
      <x:c r="D3460" s="18" t="str">
        <x:v>Size: XS / S / M / L</x:v>
      </x:c>
      <x:c r="E3460" s="25" t="str">
        <x:v>$1.99</x:v>
      </x:c>
      <x:c r="F3460" s="19" t="str">
        <x:v>3</x:v>
      </x:c>
    </x:row>
    <x:row r="3461" ht="93" customHeight="1">
      <x:c r="A3461" s="19" t="n">
        <x:v>3458</x:v>
      </x:c>
      <x:c r="B3461" s="22" t="e">
        <x:f>HYPERLINK("https://cdn.shopify.com/s/files/1/0918/6066/4603/files/O1CN01B8aQUo2MQzfyKsKJB__2219089449823-0-cib.jpg?v=1774275850","Open")</x:f>
        <x:v>HYPERLINK is not implemented. linkLocation=https://cdn.shopify.com/s/files/1/0918/6066/4603/files/O1CN01B8aQUo2MQzfyKsKJB__2219089449823-0-cib.jpg?v=1774275850, friendlyName=Open</x:v>
      </x:c>
      <x:c r="C3461" s="24" t="e">
        <x:f>HYPERLINK("https://365nails.com/products/pastel-garden-blossom-whisper-long-almond-press-on-nails","Pastel Garden: ""Blossom Whisper"" – Long Almond Press-On Nails")</x:f>
        <x:v>HYPERLINK is not implemented. linkLocation=https://365nails.com/products/pastel-garden-blossom-whisper-long-almond-press-on-nails, friendlyName=Pastel Garden: "Blossom Whisper" – Long Almond Press-On Nails</x:v>
      </x:c>
      <x:c r="D3461" s="18" t="str">
        <x:v>Color: D265; Color classification: X s / S / M / L</x:v>
      </x:c>
      <x:c r="E3461" s="25" t="str">
        <x:v>$3.99</x:v>
      </x:c>
      <x:c r="F3461" s="19" t="str">
        <x:v>1</x:v>
      </x:c>
    </x:row>
    <x:row r="3462" ht="93" customHeight="1">
      <x:c r="A3462" s="19" t="n">
        <x:v>3459</x:v>
      </x:c>
      <x:c r="B3462" s="22" t="e">
        <x:f>HYPERLINK("https://cdn.shopify.com/s/files/1/0918/6066/4603/files/O1CN01lnY4jG27ZUkEtongO__2220024697811-0-cib.jpg?v=1774928564","Open")</x:f>
        <x:v>HYPERLINK is not implemented. linkLocation=https://cdn.shopify.com/s/files/1/0918/6066/4603/files/O1CN01lnY4jG27ZUkEtongO__2220024697811-0-cib.jpg?v=1774928564, friendlyName=Open</x:v>
      </x:c>
      <x:c r="C3462" s="24" t="e">
        <x:f>HYPERLINK("https://365nails.com/products/365nails-tropical-punch-3d-fruit-floral-handmade-almond-nails","365nails: ""Tropical Punch"" – 3D Fruit &amp; Floral Handmade Almond Nails")</x:f>
        <x:v>HYPERLINK is not implemented. linkLocation=https://365nails.com/products/365nails-tropical-punch-3d-fruit-floral-handmade-almond-nails, friendlyName=365nails: "Tropical Punch" – 3D Fruit &amp; Floral Handmade Almond Nails</x:v>
      </x:c>
      <x:c r="D3462" s="18" t="str">
        <x:v>Color: Long tip; Color classification: Xs / S / M / L</x:v>
      </x:c>
      <x:c r="E3462" s="25" t="str">
        <x:v>$4.99</x:v>
      </x:c>
      <x:c r="F3462" s="19" t="str">
        <x:v>3</x:v>
      </x:c>
    </x:row>
    <x:row r="3463" ht="93" customHeight="1">
      <x:c r="A3463" s="19" t="n">
        <x:v>3460</x:v>
      </x:c>
      <x:c r="B3463" s="22" t="e">
        <x:f>HYPERLINK("https://cdn.shopify.com/s/files/1/0918/6066/4603/files/O1CN01dGY1pJ1CPwLxHHWq8__2213196780074-0-cib.jpg?v=1774679060","Open")</x:f>
        <x:v>HYPERLINK is not implemented. linkLocation=https://cdn.shopify.com/s/files/1/0918/6066/4603/files/O1CN01dGY1pJ1CPwLxHHWq8__2213196780074-0-cib.jpg?v=1774679060, friendlyName=Open</x:v>
      </x:c>
      <x:c r="C3463" s="24" t="e">
        <x:f>HYPERLINK("https://365nails.com/products/365nails-cocoa-kitty-3d-hello-kitty-leopard-print-handmade-oval-nails","365nails: ""Cocoa Kitty"" – 3D Hello Kitty &amp; Leopard Print Handmade Oval Nails")</x:f>
        <x:v>HYPERLINK is not implemented. linkLocation=https://365nails.com/products/365nails-cocoa-kitty-3d-hello-kitty-leopard-print-handmade-oval-nails, friendlyName=365nails: "Cocoa Kitty" – 3D Hello Kitty &amp; Leopard Print Handmade Oval Nails</x:v>
      </x:c>
      <x:c r="D3463" s="18" t="str">
        <x:v>Color: 2544-short oval; Color classification: Xs / S / M / L</x:v>
      </x:c>
      <x:c r="E3463" s="25" t="str">
        <x:v>$3.49</x:v>
      </x:c>
      <x:c r="F3463" s="19" t="str">
        <x:v>1</x:v>
      </x:c>
    </x:row>
    <x:row r="3464" ht="93" customHeight="1">
      <x:c r="A3464" s="19" t="n">
        <x:v>3461</x:v>
      </x:c>
      <x:c r="B3464" s="22" t="e">
        <x:f>HYPERLINK("https://cdn.shopify.com/s/files/1/0918/6066/4603/files/O1CN01KKKVmg2214uDREUkp__2219480337059-0-cib.jpg?v=1773320943","Open")</x:f>
        <x:v>HYPERLINK is not implemented. linkLocation=https://cdn.shopify.com/s/files/1/0918/6066/4603/files/O1CN01KKKVmg2214uDREUkp__2219480337059-0-cib.jpg?v=1773320943, friendlyName=Open</x:v>
      </x:c>
      <x:c r="C3464" s="24" t="e">
        <x:f>HYPERLINK("https://365nails.com/products/365nails-sweet-hello-kitty-short-round-handmade-kids-press-on-nails","365nails: ""sweet hello kitty"" – short round handmade kids press-on nails")</x:f>
        <x:v>HYPERLINK is not implemented. linkLocation=https://365nails.com/products/365nails-sweet-hello-kitty-short-round-handmade-kids-press-on-nails, friendlyName=365nails: "sweet hello kitty" – short round handmade kids press-on nails</x:v>
      </x:c>
      <x:c r="D3464" s="18" t="str">
        <x:v>Color: Bow tie hello kitty; Color classification: Xs (about 2 years old) / S (3-4 years old) / M (5-7 years old) / L (8-11 years old)</x:v>
      </x:c>
      <x:c r="E3464" s="25" t="str">
        <x:v>$2.99</x:v>
      </x:c>
      <x:c r="F3464" s="19" t="str">
        <x:v>3</x:v>
      </x:c>
    </x:row>
    <x:row r="3465" ht="93" customHeight="1">
      <x:c r="A3465" s="19" t="n">
        <x:v>3462</x:v>
      </x:c>
      <x:c r="B3465" s="22" t="e">
        <x:f>HYPERLINK("https://cdn.shopify.com/s/files/1/0918/6066/4603/files/O1CN01Z4hKM427ZUkkmbwO1__2220024697811-0-cib.jpg?v=1775005529","Open")</x:f>
        <x:v>HYPERLINK is not implemented. linkLocation=https://cdn.shopify.com/s/files/1/0918/6066/4603/files/O1CN01Z4hKM427ZUkkmbwO1__2220024697811-0-cib.jpg?v=1775005529, friendlyName=Open</x:v>
      </x:c>
      <x:c r="C3465" s="24" t="e">
        <x:f>HYPERLINK("https://365nails.com/products/365nails-cherry-blossom-whisper-3d-floral-handmade-almond-nails","365nails: ""Cherry Blossom Whisper"" – 3D Floral Handmade Almond Nails")</x:f>
        <x:v>HYPERLINK is not implemented. linkLocation=https://365nails.com/products/365nails-cherry-blossom-whisper-3d-floral-handmade-almond-nails, friendlyName=365nails: "Cherry Blossom Whisper" – 3D Floral Handmade Almond Nails</x:v>
      </x:c>
      <x:c r="D3465" s="18" t="str">
        <x:v>Color: Almond; Color classification: Xs / S / M / L</x:v>
      </x:c>
      <x:c r="E3465" s="25" t="str">
        <x:v>$3.99</x:v>
      </x:c>
      <x:c r="F3465" s="19" t="str">
        <x:v>3</x:v>
      </x:c>
    </x:row>
    <x:row r="3466" ht="93" customHeight="1">
      <x:c r="A3466" s="19" t="n">
        <x:v>3463</x:v>
      </x:c>
      <x:c r="B3466" s="22" t="e">
        <x:f>HYPERLINK("https://cdn.shopify.com/s/files/1/0918/6066/4603/files/O1CN01APvBYz2MQzfHedgib__2219089449823-0-cib.jpg?v=1774257966","Open")</x:f>
        <x:v>HYPERLINK is not implemented. linkLocation=https://cdn.shopify.com/s/files/1/0918/6066/4603/files/O1CN01APvBYz2MQzfHedgib__2219089449823-0-cib.jpg?v=1774257966, friendlyName=Open</x:v>
      </x:c>
      <x:c r="C3466" s="24" t="e">
        <x:f>HYPERLINK("https://365nails.com/products/sakura-garden-yellow-cherry-blossom-square-shape-handmade-press-on-nails","Sakura Garden: ""Yellow Cherry Blossom"" – Square Shape Handmade Press-On Nails")</x:f>
        <x:v>HYPERLINK is not implemented. linkLocation=https://365nails.com/products/sakura-garden-yellow-cherry-blossom-square-shape-handmade-press-on-nails, friendlyName=Sakura Garden: "Yellow Cherry Blossom" – Square Shape Handmade Press-On Nails</x:v>
      </x:c>
      <x:c r="D3466" s="18" t="str">
        <x:v>Color: L277; Color classification: X s / S / M / L</x:v>
      </x:c>
      <x:c r="E3466" s="25" t="str">
        <x:v>$4.99</x:v>
      </x:c>
      <x:c r="F3466" s="19" t="str">
        <x:v>1</x:v>
      </x:c>
    </x:row>
    <x:row r="3467" ht="93" customHeight="1">
      <x:c r="A3467" s="19" t="n">
        <x:v>3464</x:v>
      </x:c>
      <x:c r="B3467" s="22" t="e">
        <x:f>HYPERLINK("https://cdn.shopify.com/s/files/1/0918/6066/4603/files/e1b5a6e556f9d19c2049af7cf21ed118.jpg?v=1775460003","Open")</x:f>
        <x:v>HYPERLINK is not implemented. linkLocation=https://cdn.shopify.com/s/files/1/0918/6066/4603/files/e1b5a6e556f9d19c2049af7cf21ed118.jpg?v=1775460003, friendlyName=Open</x:v>
      </x:c>
      <x:c r="C3467" s="24" t="e">
        <x:f>HYPERLINK("https://365nails.com/products/365nails-cherry-crush-3d-cherry-plaid-handmade-short-square-nails","365nails: ""Cherry Crush"" – 3D Cherry &amp; Plaid Handmade Short Square Nails")</x:f>
        <x:v>HYPERLINK is not implemented. linkLocation=https://365nails.com/products/365nails-cherry-crush-3d-cherry-plaid-handmade-short-square-nails, friendlyName=365nails: "Cherry Crush" – 3D Cherry &amp; Plaid Handmade Short Square Nails</x:v>
      </x:c>
      <x:c r="D3467" s="18" t="str">
        <x:v>Size: XS / S / M / L</x:v>
      </x:c>
      <x:c r="E3467" s="25" t="str">
        <x:v>$3.99</x:v>
      </x:c>
      <x:c r="F3467" s="19" t="str">
        <x:v>3</x:v>
      </x:c>
    </x:row>
    <x:row r="3468" ht="93" customHeight="1">
      <x:c r="A3468" s="19" t="n">
        <x:v>3465</x:v>
      </x:c>
      <x:c r="B3468" s="22" t="e">
        <x:f>HYPERLINK("https://cdn.shopify.com/s/files/1/0918/6066/4603/files/O1CN01eg93s62MQzf2tbSjE__2219089449823-0-cib.jpg?v=1774178787","Open")</x:f>
        <x:v>HYPERLINK is not implemented. linkLocation=https://cdn.shopify.com/s/files/1/0918/6066/4603/files/O1CN01eg93s62MQzf2tbSjE__2219089449823-0-cib.jpg?v=1774178787, friendlyName=Open</x:v>
      </x:c>
      <x:c r="C3468" s="24" t="e">
        <x:f>HYPERLINK("https://365nails.com/products/fruitful-romance-cherry-amber-almond-press-on-nails","Fruitful Romance: ""Cherry Amber"" – Almond Press-On Nails")</x:f>
        <x:v>HYPERLINK is not implemented. linkLocation=https://365nails.com/products/fruitful-romance-cherry-amber-almond-press-on-nails, friendlyName=Fruitful Romance: "Cherry Amber" – Almond Press-On Nails</x:v>
      </x:c>
      <x:c r="D3468" s="18" t="str">
        <x:v>Color: D307; Color classification: X s / S / M / L</x:v>
      </x:c>
      <x:c r="E3468" s="25" t="str">
        <x:v>$3.49</x:v>
      </x:c>
      <x:c r="F3468" s="19" t="str">
        <x:v>1</x:v>
      </x:c>
    </x:row>
    <x:row r="3469" ht="93" customHeight="1">
      <x:c r="A3469" s="19" t="n">
        <x:v>3466</x:v>
      </x:c>
      <x:c r="B3469" s="22" t="e">
        <x:f>HYPERLINK("https://cdn.shopify.com/s/files/1/0918/6066/4603/files/5184d0c8b53130563af0b45a8c0ebe68.jpg?v=1772976588","Open")</x:f>
        <x:v>HYPERLINK is not implemented. linkLocation=https://cdn.shopify.com/s/files/1/0918/6066/4603/files/5184d0c8b53130563af0b45a8c0ebe68.jpg?v=1772976588, friendlyName=Open</x:v>
      </x:c>
      <x:c r="C3469" s="24" t="e">
        <x:f>HYPERLINK("https://365nails.com/products/pro-design-collection-half-cover-tube-customizable-half-cover-tube-nail-tips","Pro Design Collection: ""Half-Cover Tube"" – Customizable Half-Cover Tube Nail Tips")</x:f>
        <x:v>HYPERLINK is not implemented. linkLocation=https://365nails.com/products/pro-design-collection-half-cover-tube-customizable-half-cover-tube-nail-tips, friendlyName=Pro Design Collection: "Half-Cover Tube" – Customizable Half-Cover Tube Nail Tips</x:v>
      </x:c>
      <x:c r="D3469" s="18" t="str">
        <x:v>Color: Transparent color-500 pieces in bag / Natural color-500 pieces in bag / Transparent color-500 pieces in box / Natural color-500 pieces in box / Traceless transparent color-500 pieces in box / Traceless natural color-500 pieces in box / Transparent color bags, sizes 4-7, 600 pieces</x:v>
      </x:c>
      <x:c r="E3469" s="25" t="str">
        <x:v>$2.57–$3.43</x:v>
      </x:c>
      <x:c r="F3469" s="19" t="str">
        <x:v>3</x:v>
      </x:c>
    </x:row>
    <x:row r="3470" ht="93" customHeight="1">
      <x:c r="A3470" s="19" t="n">
        <x:v>3467</x:v>
      </x:c>
      <x:c r="B3470" s="22" t="e">
        <x:f>HYPERLINK("https://cdn.shopify.com/s/files/1/0918/6066/4603/files/O1CN01gmsVOD2214vDJEKUb__2219480337059-0-cib_51ba3814-6aa9-41df-9a69-e8bff4839692.jpg?v=1773320947","Open")</x:f>
        <x:v>HYPERLINK is not implemented. linkLocation=https://cdn.shopify.com/s/files/1/0918/6066/4603/files/O1CN01gmsVOD2214vDJEKUb__2219480337059-0-cib_51ba3814-6aa9-41df-9a69-e8bff4839692.jpg?v=1773320947, friendlyName=Open</x:v>
      </x:c>
      <x:c r="C3470" s="24" t="e">
        <x:f>HYPERLINK("https://365nails.com/products/365nails-magical-my-little-pony-short-round-handmade-kids-press-on-nails","365nails: ""magical my little pony"" – short round handmade kids press-on nails")</x:f>
        <x:v>HYPERLINK is not implemented. linkLocation=https://365nails.com/products/365nails-magical-my-little-pony-short-round-handmade-kids-press-on-nails, friendlyName=365nails: "magical my little pony" – short round handmade kids press-on nails</x:v>
      </x:c>
      <x:c r="D3470" s="18" t="str">
        <x:v>Color: 9283 four color pony; Color classification: Xs (about 2 years old) / S (3-4 years old) / M (5-7 years old) / L (8-11 years old)</x:v>
      </x:c>
      <x:c r="E3470" s="25" t="str">
        <x:v>$2.99</x:v>
      </x:c>
      <x:c r="F3470" s="19" t="str">
        <x:v>3</x:v>
      </x:c>
    </x:row>
    <x:row r="3471" ht="93" customHeight="1">
      <x:c r="A3471" s="19" t="n">
        <x:v>3468</x:v>
      </x:c>
      <x:c r="B3471" s="22" t="e">
        <x:f>HYPERLINK("https://cdn.shopify.com/s/files/1/0918/6066/4603/files/O1CN01IYWDru27ZUlUVUYil__2220024697811-0-cib.jpg?v=1775054037","Open")</x:f>
        <x:v>HYPERLINK is not implemented. linkLocation=https://cdn.shopify.com/s/files/1/0918/6066/4603/files/O1CN01IYWDru27ZUlUVUYil__2220024697811-0-cib.jpg?v=1775054037, friendlyName=Open</x:v>
      </x:c>
      <x:c r="C3471" s="24" t="e">
        <x:f>HYPERLINK("https://365nails.com/products/365nails-angels-whisper-3d-flower-marble-handmade-almond-nails","365nails: ""Angel's Whisper"" – 3D Flower &amp; Marble Handmade Almond Nails")</x:f>
        <x:v>HYPERLINK is not implemented. linkLocation=https://365nails.com/products/365nails-angels-whisper-3d-flower-marble-handmade-almond-nails, friendlyName=365nails: "Angel's Whisper" – 3D Flower &amp; Marble Handmade Almond Nails</x:v>
      </x:c>
      <x:c r="D3471" s="18" t="str">
        <x:v>Color: Almond; Color classification: Xs / S / M / L</x:v>
      </x:c>
      <x:c r="E3471" s="25" t="str">
        <x:v>$4.99</x:v>
      </x:c>
      <x:c r="F3471" s="19" t="str">
        <x:v>3</x:v>
      </x:c>
    </x:row>
    <x:row r="3472" ht="93" customHeight="1">
      <x:c r="A3472" s="19" t="n">
        <x:v>3469</x:v>
      </x:c>
      <x:c r="B3472" s="22" t="e">
        <x:f>HYPERLINK("https://cdn.shopify.com/s/files/1/0918/6066/4603/files/O1CN01nbvWQH27ZUlE732w6__2220024697811-0-cib.jpg?v=1775051621","Open")</x:f>
        <x:v>HYPERLINK is not implemented. linkLocation=https://cdn.shopify.com/s/files/1/0918/6066/4603/files/O1CN01nbvWQH27ZUlE732w6__2220024697811-0-cib.jpg?v=1775051621, friendlyName=Open</x:v>
      </x:c>
      <x:c r="C3472" s="24" t="e">
        <x:f>HYPERLINK("https://365nails.com/products/365nails-jolly-holiday-3d-christmas-handmade-stiletto-nails","365nails: ""Jolly Holiday"" – 3D Christmas Handmade Stiletto Nails")</x:f>
        <x:v>HYPERLINK is not implemented. linkLocation=https://365nails.com/products/365nails-jolly-holiday-3d-christmas-handmade-stiletto-nails, friendlyName=365nails: "Jolly Holiday" – 3D Christmas Handmade Stiletto Nails</x:v>
      </x:c>
      <x:c r="D3472" s="18" t="str">
        <x:v>Color: Almond; Color classification: Xs / S / M / L</x:v>
      </x:c>
      <x:c r="E3472" s="25" t="str">
        <x:v>$4.99</x:v>
      </x:c>
      <x:c r="F3472" s="19" t="str">
        <x:v>3</x:v>
      </x:c>
    </x:row>
    <x:row r="3473" ht="93" customHeight="1">
      <x:c r="A3473" s="19" t="n">
        <x:v>3470</x:v>
      </x:c>
      <x:c r="B3473" s="22" t="e">
        <x:f>HYPERLINK("https://cdn.shopify.com/s/files/1/0918/6066/4603/files/O1CN01tUMrNz2214sK7fvkN__2219480337059-0-cib_3de10186-f866-470e-9ae2-00182eb0224d.jpg?v=1773135675","Open")</x:f>
        <x:v>HYPERLINK is not implemented. linkLocation=https://cdn.shopify.com/s/files/1/0918/6066/4603/files/O1CN01tUMrNz2214sK7fvkN__2219480337059-0-cib_3de10186-f866-470e-9ae2-00182eb0224d.jpg?v=1773135675, friendlyName=Open</x:v>
      </x:c>
      <x:c r="C3473" s="24" t="e">
        <x:f>HYPERLINK("https://365nails.com/products/365nails-quirky-little-monsters-short-squoval-handmade-kids-press-on-nails","365nails: ""quirky little monsters"" – short squoval handmade kids press-on nails")</x:f>
        <x:v>HYPERLINK is not implemented. linkLocation=https://365nails.com/products/365nails-quirky-little-monsters-short-squoval-handmade-kids-press-on-nails, friendlyName=365nails: "quirky little monsters" – short squoval handmade kids press-on nails</x:v>
      </x:c>
      <x:c r="D3473" s="18" t="str">
        <x:v>Color: Funny doudou; Color classification: Xs (about 2 years old) / S size (3-4 years old) / M size (5-7 years old) / L size (8-11 years old)</x:v>
      </x:c>
      <x:c r="E3473" s="25" t="str">
        <x:v>$2.99</x:v>
      </x:c>
      <x:c r="F3473" s="19" t="str">
        <x:v>3</x:v>
      </x:c>
    </x:row>
    <x:row r="3474" ht="93" customHeight="1">
      <x:c r="A3474" s="19" t="n">
        <x:v>3471</x:v>
      </x:c>
      <x:c r="B3474" s="22" t="e">
        <x:f>HYPERLINK("https://cdn.shopify.com/s/files/1/0918/6066/4603/files/O1CN01qN8SZr27ZUkDzWvg1__2220024697811-0-cib.jpg?v=1774928360","Open")</x:f>
        <x:v>HYPERLINK is not implemented. linkLocation=https://cdn.shopify.com/s/files/1/0918/6066/4603/files/O1CN01qN8SZr27ZUkDzWvg1__2220024697811-0-cib.jpg?v=1774928360, friendlyName=Open</x:v>
      </x:c>
      <x:c r="C3474" s="24" t="e">
        <x:f>HYPERLINK("https://365nails.com/products/365nails-green-oasis-3d-floral-handmade-almond-nails","365nails: ""Green Oasis"" – 3D Floral Handmade Almond Nails")</x:f>
        <x:v>HYPERLINK is not implemented. linkLocation=https://365nails.com/products/365nails-green-oasis-3d-floral-handmade-almond-nails, friendlyName=365nails: "Green Oasis" – 3D Floral Handmade Almond Nails</x:v>
      </x:c>
      <x:c r="D3474" s="18" t="str">
        <x:v>Color: Almond; Color classification: Xs / S / M / L</x:v>
      </x:c>
      <x:c r="E3474" s="25" t="str">
        <x:v>$4.49</x:v>
      </x:c>
      <x:c r="F3474" s="19" t="str">
        <x:v>3</x:v>
      </x:c>
    </x:row>
    <x:row r="3475" ht="93" customHeight="1">
      <x:c r="A3475" s="19" t="n">
        <x:v>3472</x:v>
      </x:c>
      <x:c r="B3475" s="22" t="e">
        <x:f>HYPERLINK("https://cdn.shopify.com/s/files/1/0918/6066/4603/files/O1CN014Enrm02MQzfiy5UGE__2219089449823-0-cib.jpg?v=1774258067","Open")</x:f>
        <x:v>HYPERLINK is not implemented. linkLocation=https://cdn.shopify.com/s/files/1/0918/6066/4603/files/O1CN014Enrm02MQzfiy5UGE__2219089449823-0-cib.jpg?v=1774258067, friendlyName=Open</x:v>
      </x:c>
      <x:c r="C3475" s="24" t="e">
        <x:f>HYPERLINK("https://365nails.com/products/blue-bloom-nude-blue-french-flower-almond-shape-handmade-press-on-nails","Blue Bloom: ""Nude Blue French Flower"" – Almond Shape Handmade Press-On Nails")</x:f>
        <x:v>HYPERLINK is not implemented. linkLocation=https://365nails.com/products/blue-bloom-nude-blue-french-flower-almond-shape-handmade-press-on-nails, friendlyName=Blue Bloom: "Nude Blue French Flower" – Almond Shape Handmade Press-On Nails</x:v>
      </x:c>
      <x:c r="D3475" s="18" t="str">
        <x:v>Color: D610; Color classification: X s / S / M / L</x:v>
      </x:c>
      <x:c r="E3475" s="25" t="str">
        <x:v>$3.49</x:v>
      </x:c>
      <x:c r="F3475" s="19" t="str">
        <x:v>1</x:v>
      </x:c>
    </x:row>
    <x:row r="3476" ht="93" customHeight="1">
      <x:c r="A3476" s="19" t="n">
        <x:v>3473</x:v>
      </x:c>
      <x:c r="B3476" s="22" t="e">
        <x:f>HYPERLINK("https://cdn.shopify.com/s/files/1/0918/6066/4603/files/O1CN015Sat6H2214slCuckw__2219480337059-0-cib.jpg?v=1773320984","Open")</x:f>
        <x:v>HYPERLINK is not implemented. linkLocation=https://cdn.shopify.com/s/files/1/0918/6066/4603/files/O1CN015Sat6H2214slCuckw__2219480337059-0-cib.jpg?v=1773320984, friendlyName=Open</x:v>
      </x:c>
      <x:c r="C3476" s="24" t="e">
        <x:f>HYPERLINK("https://365nails.com/products/365nails-cheerful-red-apple-short-round-handmade-kids-press-on-nails","365nails: ""cheerful red apple"" – short round handmade kids press-on nails")</x:f>
        <x:v>HYPERLINK is not implemented. linkLocation=https://365nails.com/products/365nails-cheerful-red-apple-short-round-handmade-kids-press-on-nails, friendlyName=365nails: "cheerful red apple" – short round handmade kids press-on nails</x:v>
      </x:c>
      <x:c r="D3476" s="18" t="str">
        <x:v>Color: Red apple; Color classification: Xs (about 2 years old) / S (3-4 years old) / M (5-7 years old) / L (8-11 years old)</x:v>
      </x:c>
      <x:c r="E3476" s="25" t="str">
        <x:v>$2.99</x:v>
      </x:c>
      <x:c r="F3476" s="19" t="str">
        <x:v>3</x:v>
      </x:c>
    </x:row>
    <x:row r="3477" ht="93" customHeight="1">
      <x:c r="A3477" s="19" t="n">
        <x:v>3474</x:v>
      </x:c>
      <x:c r="B3477" s="22" t="e">
        <x:f>HYPERLINK("https://cdn.shopify.com/s/files/1/0918/6066/4603/files/O1CN01g0Cbiq2MQzdb4F3fY__2219089449823-0-cib.jpg?v=1774011034","Open")</x:f>
        <x:v>HYPERLINK is not implemented. linkLocation=https://cdn.shopify.com/s/files/1/0918/6066/4603/files/O1CN01g0Cbiq2MQzdb4F3fY__2219089449823-0-cib.jpg?v=1774011034, friendlyName=Open</x:v>
      </x:c>
      <x:c r="C3477" s="24" t="e">
        <x:f>HYPERLINK("https://365nails.com/products/pink-daisy-floral-french-almond-shape-handmade-pressed-on-nails","365nails-Pink Daisy: ""Floral French"" – Almond Shape Handmade Pressed-On Nails")</x:f>
        <x:v>HYPERLINK is not implemented. linkLocation=https://365nails.com/products/pink-daisy-floral-french-almond-shape-handmade-pressed-on-nails, friendlyName=365nails-Pink Daisy: "Floral French" – Almond Shape Handmade Pressed-On Nails</x:v>
      </x:c>
      <x:c r="D3477" s="18" t="str">
        <x:v>Color: D473; Color classification: X s / S / M / L</x:v>
      </x:c>
      <x:c r="E3477" s="25" t="str">
        <x:v>$3.99</x:v>
      </x:c>
      <x:c r="F3477" s="19" t="str">
        <x:v>1</x:v>
      </x:c>
    </x:row>
    <x:row r="3478" ht="93" customHeight="1">
      <x:c r="A3478" s="19" t="n">
        <x:v>3475</x:v>
      </x:c>
      <x:c r="B3478" s="22" t="e">
        <x:f>HYPERLINK("https://cdn.shopify.com/s/files/1/0918/6066/4603/files/b295cea4c5564139396b6e0fb9654b5c.jpg?v=1772976737","Open")</x:f>
        <x:v>HYPERLINK is not implemented. linkLocation=https://cdn.shopify.com/s/files/1/0918/6066/4603/files/b295cea4c5564139396b6e0fb9654b5c.jpg?v=1772976737, friendlyName=Open</x:v>
      </x:c>
      <x:c r="C3478" s="24" t="e">
        <x:f>HYPERLINK("https://365nails.com/products/pro-multi-style-collection-nail-tip-assortment-6-in-1-multi-style-nail-tips-504pcs-box","Pro Multi-Style Collection: ""Nail Tip Assortment"" – 6-in-1 Multi-Style Nail Tips (504pcs Box)")</x:f>
        <x:v>HYPERLINK is not implemented. linkLocation=https://365nails.com/products/pro-multi-style-collection-nail-tip-assortment-6-in-1-multi-style-nail-tips-504pcs-box, friendlyName=Pro Multi-Style Collection: "Nail Tip Assortment" – 6-in-1 Multi-Style Nail Tips (504pcs Box)</x:v>
      </x:c>
      <x:c r="D3478" s="18" t="str">
        <x:v>Color: Almond - seamless 504 pieces box / Long ballet - seamless 504-piece box set / Long water drop - seamless 504-piece box set / Thickened shaping-seamless 504 pieces in box / Short ballet - seamless 504-piece box set / Long oval-seamless 504-piece box</x:v>
      </x:c>
      <x:c r="E3478" s="25" t="str">
        <x:v>$2.35</x:v>
      </x:c>
      <x:c r="F3478" s="19" t="str">
        <x:v>3</x:v>
      </x:c>
    </x:row>
    <x:row r="3479" ht="93" customHeight="1">
      <x:c r="A3479" s="19" t="n">
        <x:v>3476</x:v>
      </x:c>
      <x:c r="B3479" s="22" t="e">
        <x:f>HYPERLINK("https://cdn.shopify.com/s/files/1/0918/6066/4603/files/779751988786bfc74a493b54033680db.jpg?v=1776243774","Open")</x:f>
        <x:v>HYPERLINK is not implemented. linkLocation=https://cdn.shopify.com/s/files/1/0918/6066/4603/files/779751988786bfc74a493b54033680db.jpg?v=1776243774, friendlyName=Open</x:v>
      </x:c>
      <x:c r="C3479" s="24" t="e">
        <x:f>HYPERLINK("https://365nails.com/products/365nails-cozy-bear-picnic-3d-character-handmade-short-nails","365nails: ""Cozy Bear Picnic"" – 3D Character Handmade Short Nails")</x:f>
        <x:v>HYPERLINK is not implemented. linkLocation=https://365nails.com/products/365nails-cozy-bear-picnic-3d-character-handmade-short-nails, friendlyName=365nails: "Cozy Bear Picnic" – 3D Character Handmade Short Nails</x:v>
      </x:c>
      <x:c r="D3479" s="18" t="str">
        <x:v>Size: XS / S / M / L</x:v>
      </x:c>
      <x:c r="E3479" s="25" t="str">
        <x:v>$2.49</x:v>
      </x:c>
      <x:c r="F3479" s="19" t="str">
        <x:v>3</x:v>
      </x:c>
    </x:row>
    <x:row r="3480" ht="93" customHeight="1">
      <x:c r="A3480" s="19" t="n">
        <x:v>3477</x:v>
      </x:c>
      <x:c r="B3480" s="22" t="e">
        <x:f>HYPERLINK("https://cdn.shopify.com/s/files/1/0918/6066/4603/files/bff422bde13e4fac152a88dc6a05cd2f_455dc436-8838-4fad-bfb6-2f4f067f59bc.jpg?v=1778337341","Open")</x:f>
        <x:v>HYPERLINK is not implemented. linkLocation=https://cdn.shopify.com/s/files/1/0918/6066/4603/files/bff422bde13e4fac152a88dc6a05cd2f_455dc436-8838-4fad-bfb6-2f4f067f59bc.jpg?v=1778337341, friendlyName=Open</x:v>
      </x:c>
      <x:c r="C3480" s="24" t="e">
        <x:f>HYPERLINK("https://365nails.com/products/365nails-celestial-chic-3d-star-floral-handmade-square-nails","365nails: ""Celestial Chic"" – 3D Star &amp; Floral Handmade Square Nails")</x:f>
        <x:v>HYPERLINK is not implemented. linkLocation=https://365nails.com/products/365nails-celestial-chic-3d-star-floral-handmade-square-nails, friendlyName=365nails: "Celestial Chic" – 3D Star &amp; Floral Handmade Square Nails</x:v>
      </x:c>
      <x:c r="D3480" s="18" t="str">
        <x:v>Size: XS / S / M / L</x:v>
      </x:c>
      <x:c r="E3480" s="25" t="str">
        <x:v>$2.49</x:v>
      </x:c>
      <x:c r="F3480" s="19" t="str">
        <x:v>5</x:v>
      </x:c>
    </x:row>
    <x:row r="3481" ht="93" customHeight="1">
      <x:c r="A3481" s="19" t="n">
        <x:v>3478</x:v>
      </x:c>
      <x:c r="B3481" s="22" t="e">
        <x:f>HYPERLINK("https://cdn.shopify.com/s/files/1/0918/6066/4603/files/b41b4b96a3fd3425e044e132684914cb.jpg?v=1772976767","Open")</x:f>
        <x:v>HYPERLINK is not implemented. linkLocation=https://cdn.shopify.com/s/files/1/0918/6066/4603/files/b41b4b96a3fd3425e044e132684914cb.jpg?v=1772976767, friendlyName=Open</x:v>
      </x:c>
      <x:c r="C3481" s="24" t="e">
        <x:f>HYPERLINK("https://365nails.com/products/everyday-collection-guided-matte-nail-tips-guided-matte-nail-tips","Everyday Collection: ""Guided Matte Nail Tips"" – Guided Matte Nail Tips")</x:f>
        <x:v>HYPERLINK is not implemented. linkLocation=https://365nails.com/products/everyday-collection-guided-matte-nail-tips-guided-matte-nail-tips, friendlyName=Everyday Collection: "Guided Matte Nail Tips" – Guided Matte Nail Tips</x:v>
      </x:c>
      <x:c r="D3481" s="18" t="str">
        <x:v>Color: 580 almonds*240 pieces box / 581 short ladder*240 pieces in box / 582 short oval*240 pieces in box / 585 long oval*240 pieces in box</x:v>
      </x:c>
      <x:c r="E3481" s="25" t="str">
        <x:v>$1.23</x:v>
      </x:c>
      <x:c r="F3481" s="19" t="str">
        <x:v>3</x:v>
      </x:c>
    </x:row>
    <x:row r="3482" ht="93" customHeight="1">
      <x:c r="A3482" s="19" t="n">
        <x:v>3479</x:v>
      </x:c>
      <x:c r="B3482" s="22" t="e">
        <x:f>HYPERLINK("https://cdn.shopify.com/s/files/1/0918/6066/4603/files/d8d24f3d29302582d122ee392dfcd6ff_b54f9b01-96f2-4f50-aef3-d5658e2606f5.jpg?v=1773212378","Open")</x:f>
        <x:v>HYPERLINK is not implemented. linkLocation=https://cdn.shopify.com/s/files/1/0918/6066/4603/files/d8d24f3d29302582d122ee392dfcd6ff_b54f9b01-96f2-4f50-aef3-d5658e2606f5.jpg?v=1773212378, friendlyName=Open</x:v>
      </x:c>
      <x:c r="C3482" s="24" t="e">
        <x:f>HYPERLINK("https://365nails.com/products/365nails-navy-blue-smiley-handmade-press-on-toenails-pedicure","365nails: ""navy blue smiley"" – handmade press-on toenails / pedicure")</x:f>
        <x:v>HYPERLINK is not implemented. linkLocation=https://365nails.com/products/365nails-navy-blue-smiley-handmade-press-on-toenails-pedicure, friendlyName=365nails: "navy blue smiley" – handmade press-on toenails / pedicure</x:v>
      </x:c>
      <x:c r="D3482" s="18" t="str">
        <x:v>Size: XS / S / M / L</x:v>
      </x:c>
      <x:c r="E3482" s="25" t="str">
        <x:v>$2.99</x:v>
      </x:c>
      <x:c r="F3482" s="19" t="str">
        <x:v>3</x:v>
      </x:c>
    </x:row>
    <x:row r="3483" ht="93" customHeight="1">
      <x:c r="A3483" s="19" t="n">
        <x:v>3480</x:v>
      </x:c>
      <x:c r="B3483" s="22" t="e">
        <x:f>HYPERLINK("https://cdn.shopify.com/s/files/1/0918/6066/4603/files/O1CN01TNmVJl2MQzdId4INw__2219089449823-0-cib.jpg?v=1774010938","Open")</x:f>
        <x:v>HYPERLINK is not implemented. linkLocation=https://cdn.shopify.com/s/files/1/0918/6066/4603/files/O1CN01TNmVJl2MQzdId4INw__2219089449823-0-cib.jpg?v=1774010938, friendlyName=Open</x:v>
      </x:c>
      <x:c r="C3483" s="24" t="e">
        <x:f>HYPERLINK("https://365nails.com/products/golden-elegance-rose-bow-star-almond-shape-handmade-painted-press-on-nails","365nails-Golden Elegance: ""Rose Bow Star"" – Almond Shape Handmade Painted Press-On Nails")</x:f>
        <x:v>HYPERLINK is not implemented. linkLocation=https://365nails.com/products/golden-elegance-rose-bow-star-almond-shape-handmade-painted-press-on-nails, friendlyName=365nails-Golden Elegance: "Rose Bow Star" – Almond Shape Handmade Painted Press-On Nails</x:v>
      </x:c>
      <x:c r="D3483" s="18" t="str">
        <x:v>Color: K025; Color classification: X s / S / M / L</x:v>
      </x:c>
      <x:c r="E3483" s="25" t="str">
        <x:v>$3.99</x:v>
      </x:c>
      <x:c r="F3483" s="19" t="str">
        <x:v>1</x:v>
      </x:c>
    </x:row>
    <x:row r="3484" ht="93" customHeight="1">
      <x:c r="A3484" s="19" t="n">
        <x:v>3481</x:v>
      </x:c>
      <x:c r="B3484" s="22" t="e">
        <x:f>HYPERLINK("https://cdn.shopify.com/s/files/1/0918/6066/4603/files/O1CN01gJLMAE1CPwJt5OEaQ__2213196780074-0-cib.jpg?v=1775979332","Open")</x:f>
        <x:v>HYPERLINK is not implemented. linkLocation=https://cdn.shopify.com/s/files/1/0918/6066/4603/files/O1CN01gJLMAE1CPwJt5OEaQ__2213196780074-0-cib.jpg?v=1775979332, friendlyName=Open</x:v>
      </x:c>
      <x:c r="C3484" s="24" t="e">
        <x:f>HYPERLINK("https://365nails.com/products/365nails-gilded-whisper-champagne-glitter-gem-handmade-almond-nails","365nails: ""Gilded Whisper"" – Champagne Glitter &amp; Gem Handmade Almond Nails")</x:f>
        <x:v>HYPERLINK is not implemented. linkLocation=https://365nails.com/products/365nails-gilded-whisper-champagne-glitter-gem-handmade-almond-nails, friendlyName=365nails: "Gilded Whisper" – Champagne Glitter &amp; Gem Handmade Almond Nails</x:v>
      </x:c>
      <x:c r="D3484" s="18" t="str">
        <x:v>Color: Extra small size xs / Small s / Medium m / Large l; Specification type: 2550 medium oval</x:v>
      </x:c>
      <x:c r="E3484" s="25" t="str">
        <x:v>$3.49</x:v>
      </x:c>
      <x:c r="F3484" s="19" t="str">
        <x:v>3</x:v>
      </x:c>
    </x:row>
    <x:row r="3485" ht="93" customHeight="1">
      <x:c r="A3485" s="19" t="n">
        <x:v>3482</x:v>
      </x:c>
      <x:c r="B3485" s="22" t="e">
        <x:f>HYPERLINK("https://cdn.shopify.com/s/files/1/0918/6066/4603/files/O1CN01v82AHp1CPwMGzgeXV__2213196780074-0-cib.jpg?v=1776602925","Open")</x:f>
        <x:v>HYPERLINK is not implemented. linkLocation=https://cdn.shopify.com/s/files/1/0918/6066/4603/files/O1CN01v82AHp1CPwMGzgeXV__2213196780074-0-cib.jpg?v=1776602925, friendlyName=Open</x:v>
      </x:c>
      <x:c r="C3485" s="24" t="e">
        <x:f>HYPERLINK("https://365nails.com/products/365nails-gothic-redemption-3d-cross-french-tip-handmade-coffin-nails","365nails: ""Gothic Redemption"" – 3D Cross &amp; French Tip Handmade Coffin Nails")</x:f>
        <x:v>HYPERLINK is not implemented. linkLocation=https://365nails.com/products/365nails-gothic-redemption-3d-cross-french-tip-handmade-coffin-nails, friendlyName=365nails: "Gothic Redemption" – 3D Cross &amp; French Tip Handmade Coffin Nails</x:v>
      </x:c>
      <x:c r="D3485" s="18" t="str">
        <x:v>Color: 1474-fine dog ladder; Color classification: Xs / S / M / L</x:v>
      </x:c>
      <x:c r="E3485" s="25" t="str">
        <x:v>$5.49</x:v>
      </x:c>
      <x:c r="F3485" s="19" t="str">
        <x:v>1</x:v>
      </x:c>
    </x:row>
    <x:row r="3486" ht="93" customHeight="1">
      <x:c r="A3486" s="19" t="n">
        <x:v>3483</x:v>
      </x:c>
      <x:c r="B3486" s="22" t="e">
        <x:f>HYPERLINK("https://cdn.shopify.com/s/files/1/0918/6066/4603/files/O1CN01uSq9V82MQzffPXkau__2219089449823-0-cib.jpg?v=1774258071","Open")</x:f>
        <x:v>HYPERLINK is not implemented. linkLocation=https://cdn.shopify.com/s/files/1/0918/6066/4603/files/O1CN01uSq9V82MQzffPXkau__2219089449823-0-cib.jpg?v=1774258071, friendlyName=Open</x:v>
      </x:c>
      <x:c r="C3486" s="24" t="e">
        <x:f>HYPERLINK("https://365nails.com/products/dark-orchid-black-french-orchid-almond-shape-handmade-press-on-nails","Dark Orchid: ""Black French Orchid"" – Almond Shape Handmade Press-On Nails")</x:f>
        <x:v>HYPERLINK is not implemented. linkLocation=https://365nails.com/products/dark-orchid-black-french-orchid-almond-shape-handmade-press-on-nails, friendlyName=Dark Orchid: "Black French Orchid" – Almond Shape Handmade Press-On Nails</x:v>
      </x:c>
      <x:c r="D3486" s="18" t="str">
        <x:v>Color: C 395; Color classification: X s / S / M / L</x:v>
      </x:c>
      <x:c r="E3486" s="25" t="str">
        <x:v>$3.49</x:v>
      </x:c>
      <x:c r="F3486" s="19" t="str">
        <x:v>1</x:v>
      </x:c>
    </x:row>
    <x:row r="3487" ht="93" customHeight="1">
      <x:c r="A3487" s="19" t="n">
        <x:v>3484</x:v>
      </x:c>
      <x:c r="B3487" s="22" t="e">
        <x:f>HYPERLINK("https://cdn.shopify.com/s/files/1/0918/6066/4603/files/O1CN01zNTfjC1sJisCtOCBb__6000000005746-0-cib.jpg?v=1774010909","Open")</x:f>
        <x:v>HYPERLINK is not implemented. linkLocation=https://cdn.shopify.com/s/files/1/0918/6066/4603/files/O1CN01zNTfjC1sJisCtOCBb__6000000005746-0-cib.jpg?v=1774010909, friendlyName=Open</x:v>
      </x:c>
      <x:c r="C3487" s="24" t="e">
        <x:f>HYPERLINK("https://365nails.com/products/fruit-fiesta-tropical-fruit-platter-almond-shape-handmade-3d-carved-press-on-nails","365nails-Fruit Fiesta: ""Tropical Fruit Platter"" – Almond Shape Handmade 3D Carved Press-On Nails")</x:f>
        <x:v>HYPERLINK is not implemented. linkLocation=https://365nails.com/products/fruit-fiesta-tropical-fruit-platter-almond-shape-handmade-3d-carved-press-on-nails, friendlyName=365nails-Fruit Fiesta: "Tropical Fruit Platter" – Almond Shape Handmade 3D Carved Press-On Nails</x:v>
      </x:c>
      <x:c r="D3487" s="18" t="str">
        <x:v>Color: D435; Color classification: X s / S / M / L</x:v>
      </x:c>
      <x:c r="E3487" s="25" t="str">
        <x:v>$3.99</x:v>
      </x:c>
      <x:c r="F3487" s="19" t="str">
        <x:v>1</x:v>
      </x:c>
    </x:row>
    <x:row r="3488" ht="93" customHeight="1">
      <x:c r="A3488" s="19" t="n">
        <x:v>3485</x:v>
      </x:c>
      <x:c r="B3488" s="22" t="e">
        <x:f>HYPERLINK("https://cdn.shopify.com/s/files/1/0918/6066/4603/files/O1CN01IUxnHt27ZUlKBRtfd__2220024697811-0-cib.jpg?v=1775037286","Open")</x:f>
        <x:v>HYPERLINK is not implemented. linkLocation=https://cdn.shopify.com/s/files/1/0918/6066/4603/files/O1CN01IUxnHt27ZUlKBRtfd__2220024697811-0-cib.jpg?v=1775037286, friendlyName=Open</x:v>
      </x:c>
      <x:c r="C3488" s="24" t="e">
        <x:f>HYPERLINK("https://365nails.com/products/365nails-velvet-bloom-3d-floral-gradient-handmade-stiletto-nails","365nails: ""Velvet Bloom"" – 3D Floral &amp; Gradient Handmade Stiletto Nails")</x:f>
        <x:v>HYPERLINK is not implemented. linkLocation=https://365nails.com/products/365nails-velvet-bloom-3d-floral-gradient-handmade-stiletto-nails, friendlyName=365nails: "Velvet Bloom" – 3D Floral &amp; Gradient Handmade Stiletto Nails</x:v>
      </x:c>
      <x:c r="D3488" s="18" t="str">
        <x:v>Color: Long tip; Color classification: Xs / S / M / L</x:v>
      </x:c>
      <x:c r="E3488" s="25" t="str">
        <x:v>$4.99</x:v>
      </x:c>
      <x:c r="F3488" s="19" t="str">
        <x:v>3</x:v>
      </x:c>
    </x:row>
    <x:row r="3489" ht="93" customHeight="1">
      <x:c r="A3489" s="19" t="n">
        <x:v>3486</x:v>
      </x:c>
      <x:c r="B3489" s="22" t="e">
        <x:f>HYPERLINK("https://cdn.shopify.com/s/files/1/0918/6066/4603/files/O1CN01HlpGAQ2214v9bFWf9__2219480337059-0-cib.jpg?v=1773824608","Open")</x:f>
        <x:v>HYPERLINK is not implemented. linkLocation=https://cdn.shopify.com/s/files/1/0918/6066/4603/files/O1CN01HlpGAQ2214v9bFWf9__2219480337059-0-cib.jpg?v=1773824608, friendlyName=Open</x:v>
      </x:c>
      <x:c r="C3489" s="24" t="e">
        <x:f>HYPERLINK("https://365nails.com/products/spooky-halloween-kids-series-monster-town-party-short-square-kids-nail-art","365nails-Spooky Halloween Kids Series: ""Monster Town Party"" – Short Square Kids Nail Art")</x:f>
        <x:v>HYPERLINK is not implemented. linkLocation=https://365nails.com/products/spooky-halloween-kids-series-monster-town-party-short-square-kids-nail-art, friendlyName=365nails-Spooky Halloween Kids Series: "Monster Town Party" – Short Square Kids Nail Art</x:v>
      </x:c>
      <x:c r="D3489" s="18" t="str">
        <x:v>Color: 9161 skeleton lollipop; Color classification: Xs (about 2 years old) / S (3-4 years old) / M (5-7 years old) / L (8-11 years old)</x:v>
      </x:c>
      <x:c r="E3489" s="25" t="str">
        <x:v>$2.99</x:v>
      </x:c>
      <x:c r="F3489" s="19" t="str">
        <x:v>3</x:v>
      </x:c>
    </x:row>
    <x:row r="3490" ht="93" customHeight="1">
      <x:c r="A3490" s="19" t="n">
        <x:v>3487</x:v>
      </x:c>
      <x:c r="B3490" s="22" t="e">
        <x:f>HYPERLINK("https://cdn.shopify.com/s/files/1/0918/6066/4603/files/O1CN01v1SkLb2MQzf9boqsu__2219089449823-0-cib.jpg?v=1774257940","Open")</x:f>
        <x:v>HYPERLINK is not implemented. linkLocation=https://cdn.shopify.com/s/files/1/0918/6066/4603/files/O1CN01v1SkLb2MQzf9boqsu__2219089449823-0-cib.jpg?v=1774257940, friendlyName=Open</x:v>
      </x:c>
      <x:c r="C3490" s="24" t="e">
        <x:f>HYPERLINK("https://365nails.com/products/vintage-cherry-retro-fruit-mix-square-shape-handmade-press-on-nails","Vintage Cherry: ""Retro Fruit Mix"" – Square Shape Handmade Press-On Nails")</x:f>
        <x:v>HYPERLINK is not implemented. linkLocation=https://365nails.com/products/vintage-cherry-retro-fruit-mix-square-shape-handmade-press-on-nails, friendlyName=Vintage Cherry: "Retro Fruit Mix" – Square Shape Handmade Press-On Nails</x:v>
      </x:c>
      <x:c r="D3490" s="18" t="str">
        <x:v>Color: L287; Color classification: X s / S / M / L</x:v>
      </x:c>
      <x:c r="E3490" s="25" t="str">
        <x:v>$4.99</x:v>
      </x:c>
      <x:c r="F3490" s="19" t="str">
        <x:v>1</x:v>
      </x:c>
    </x:row>
    <x:row r="3491" ht="93" customHeight="1">
      <x:c r="A3491" s="19" t="n">
        <x:v>3488</x:v>
      </x:c>
      <x:c r="B3491" s="22" t="e">
        <x:f>HYPERLINK("https://cdn.shopify.com/s/files/1/0918/6066/4603/files/O1CN010lD1rN2MQzdamrTpR__2219089449823-0-cib.jpg?v=1774011030","Open")</x:f>
        <x:v>HYPERLINK is not implemented. linkLocation=https://cdn.shopify.com/s/files/1/0918/6066/4603/files/O1CN010lD1rN2MQzdamrTpR__2219089449823-0-cib.jpg?v=1774011030, friendlyName=Open</x:v>
      </x:c>
      <x:c r="C3491" s="24" t="e">
        <x:f>HYPERLINK("https://365nails.com/products/lemon-blossom-yellow-floral-square-handmade-3d-carved-press-on-nails","365nails-Lemon Blossom: ""Yellow Floral"" – Square Handmade 3D Carved Press-On Nails")</x:f>
        <x:v>HYPERLINK is not implemented. linkLocation=https://365nails.com/products/lemon-blossom-yellow-floral-square-handmade-3d-carved-press-on-nails, friendlyName=365nails-Lemon Blossom: "Yellow Floral" – Square Handmade 3D Carved Press-On Nails</x:v>
      </x:c>
      <x:c r="D3491" s="18" t="str">
        <x:v>Color: D474; Color classification: X s / S / M / L</x:v>
      </x:c>
      <x:c r="E3491" s="25" t="str">
        <x:v>$3.99</x:v>
      </x:c>
      <x:c r="F3491" s="19" t="str">
        <x:v>1</x:v>
      </x:c>
    </x:row>
    <x:row r="3492" ht="93" customHeight="1">
      <x:c r="A3492" s="19" t="n">
        <x:v>3489</x:v>
      </x:c>
      <x:c r="B3492" s="22" t="e">
        <x:f>HYPERLINK("https://cdn.shopify.com/s/files/1/0918/6066/4603/files/O1CN01qAPwFf27ZUmiJyAP4__2220024697811-0-cib_7250e515-95de-422e-bff9-322d25fbdfb5.jpg?v=1775040341","Open")</x:f>
        <x:v>HYPERLINK is not implemented. linkLocation=https://cdn.shopify.com/s/files/1/0918/6066/4603/files/O1CN01qAPwFf27ZUmiJyAP4__2220024697811-0-cib_7250e515-95de-422e-bff9-322d25fbdfb5.jpg?v=1775040341, friendlyName=Open</x:v>
      </x:c>
      <x:c r="C3492" s="24" t="e">
        <x:f>HYPERLINK("https://365nails.com/products/365nails-fairy-tale-forest-3d-mushroom-floral-handmade-square-nails","365nails: ""Fairy Tale Forest"" – 3D Mushroom &amp; Floral Handmade Square Nails")</x:f>
        <x:v>HYPERLINK is not implemented. linkLocation=https://365nails.com/products/365nails-fairy-tale-forest-3d-mushroom-floral-handmade-square-nails, friendlyName=365nails: "Fairy Tale Forest" – 3D Mushroom &amp; Floral Handmade Square Nails</x:v>
      </x:c>
      <x:c r="D3492" s="18" t="str">
        <x:v>Color: Duckbill; Color classification: Xs / S / M / L</x:v>
      </x:c>
      <x:c r="E3492" s="25" t="str">
        <x:v>$4.99</x:v>
      </x:c>
      <x:c r="F3492" s="19" t="str">
        <x:v>3</x:v>
      </x:c>
    </x:row>
    <x:row r="3493" ht="93" customHeight="1">
      <x:c r="A3493" s="19" t="n">
        <x:v>3490</x:v>
      </x:c>
      <x:c r="B3493" s="22" t="e">
        <x:f>HYPERLINK("https://cdn.shopify.com/s/files/1/0918/6066/4603/files/O1CN01UF5C3o2214vZq1yES__2219480337059-0-cib.jpg?v=1773824628","Open")</x:f>
        <x:v>HYPERLINK is not implemented. linkLocation=https://cdn.shopify.com/s/files/1/0918/6066/4603/files/O1CN01UF5C3o2214vZq1yES__2219480337059-0-cib.jpg?v=1773824628, friendlyName=Open</x:v>
      </x:c>
      <x:c r="C3493" s="24" t="e">
        <x:f>HYPERLINK("https://365nails.com/products/christmas-cheer-kids-series-santas-snowflake-magic-short-square-kids-nail-art","365nails-Christmas Cheer Kids Series: ""Santa's Snowflake Magic"" – Short Square Kids Nail Art")</x:f>
        <x:v>HYPERLINK is not implemented. linkLocation=https://365nails.com/products/christmas-cheer-kids-series-santas-snowflake-magic-short-square-kids-nail-art, friendlyName=365nails-Christmas Cheer Kids Series: "Santa's Snowflake Magic" – Short Square Kids Nail Art</x:v>
      </x:c>
      <x:c r="D3493" s="18" t="str">
        <x:v>Color: H9253 hand-painted santa claus; Color classification: Xs (about 2 years old) / S (3-4 years old) / M (5-7 years old) / L (8-11 years old)</x:v>
      </x:c>
      <x:c r="E3493" s="25" t="str">
        <x:v>$2.99</x:v>
      </x:c>
      <x:c r="F3493" s="19" t="str">
        <x:v>3</x:v>
      </x:c>
    </x:row>
    <x:row r="3494" ht="93" customHeight="1">
      <x:c r="A3494" s="19" t="n">
        <x:v>3491</x:v>
      </x:c>
      <x:c r="B3494" s="22" t="e">
        <x:f>HYPERLINK("https://cdn.shopify.com/s/files/1/0918/6066/4603/files/O1CN01HpWVHW27ZUkjmC5Rd__2220024697811-0-cib.jpg?v=1775005255","Open")</x:f>
        <x:v>HYPERLINK is not implemented. linkLocation=https://cdn.shopify.com/s/files/1/0918/6066/4603/files/O1CN01HpWVHW27ZUkjmC5Rd__2220024697811-0-cib.jpg?v=1775005255, friendlyName=Open</x:v>
      </x:c>
      <x:c r="C3494" s="24" t="e">
        <x:f>HYPERLINK("https://365nails.com/products/365nails-mint-bows-3d-bow-handmade-almond-nails","365nails: ""Mint Bows"" – 3D Bow Handmade Almond Nails")</x:f>
        <x:v>HYPERLINK is not implemented. linkLocation=https://365nails.com/products/365nails-mint-bows-3d-bow-handmade-almond-nails, friendlyName=365nails: "Mint Bows" – 3D Bow Handmade Almond Nails</x:v>
      </x:c>
      <x:c r="D3494" s="18" t="str">
        <x:v>Color: Almond; Color classification: Xs / S / M / L</x:v>
      </x:c>
      <x:c r="E3494" s="25" t="str">
        <x:v>$4.49</x:v>
      </x:c>
      <x:c r="F3494" s="19" t="str">
        <x:v>3</x:v>
      </x:c>
    </x:row>
    <x:row r="3495" ht="93" customHeight="1">
      <x:c r="A3495" s="19" t="n">
        <x:v>3492</x:v>
      </x:c>
      <x:c r="B3495" s="22" t="e">
        <x:f>HYPERLINK("https://cdn.shopify.com/s/files/1/0918/6066/4603/files/O1CN01sflhFf2MQzfTGcVQC__2219089449823-0-cib.jpg?v=1774258020","Open")</x:f>
        <x:v>HYPERLINK is not implemented. linkLocation=https://cdn.shopify.com/s/files/1/0918/6066/4603/files/O1CN01sflhFf2MQzfTGcVQC__2219089449823-0-cib.jpg?v=1774258020, friendlyName=Open</x:v>
      </x:c>
      <x:c r="C3495" s="24" t="e">
        <x:f>HYPERLINK("https://365nails.com/products/golden-glam-nude-gold-chain-almond-shape-handmade-press-on-nails","Golden Glam: ""Nude Gold Chain"" – Almond Shape Handmade Press-On Nails")</x:f>
        <x:v>HYPERLINK is not implemented. linkLocation=https://365nails.com/products/golden-glam-nude-gold-chain-almond-shape-handmade-press-on-nails, friendlyName=Golden Glam: "Nude Gold Chain" – Almond Shape Handmade Press-On Nails</x:v>
      </x:c>
      <x:c r="D3495" s="18" t="str">
        <x:v>Color: C 429; Color classification: X s / S / M / L</x:v>
      </x:c>
      <x:c r="E3495" s="25" t="str">
        <x:v>$3.49</x:v>
      </x:c>
      <x:c r="F3495" s="19" t="str">
        <x:v>1</x:v>
      </x:c>
    </x:row>
    <x:row r="3496" ht="93" customHeight="1">
      <x:c r="A3496" s="19" t="n">
        <x:v>3493</x:v>
      </x:c>
      <x:c r="B3496" s="22" t="e">
        <x:f>HYPERLINK("https://cdn.shopify.com/s/files/1/0918/6066/4603/files/O1CN015FsYmf1CPwImb6Crn__2213196780074-0-cib.jpg?v=1776250745","Open")</x:f>
        <x:v>HYPERLINK is not implemented. linkLocation=https://cdn.shopify.com/s/files/1/0918/6066/4603/files/O1CN015FsYmf1CPwImb6Crn__2213196780074-0-cib.jpg?v=1776250745, friendlyName=Open</x:v>
      </x:c>
      <x:c r="C3496" s="24" t="e">
        <x:f>HYPERLINK("https://365nails.com/products/365nails-noir-geometry-3d-metallic-checkerboard-handmade-short-square-nails","365nails: ""Noir Geometry"" – 3D Metallic &amp; Checkerboard Handmade Short Square Nails")</x:f>
        <x:v>HYPERLINK is not implemented. linkLocation=https://365nails.com/products/365nails-noir-geometry-3d-metallic-checkerboard-handmade-short-square-nails, friendlyName=365nails: "Noir Geometry" – 3D Metallic &amp; Checkerboard Handmade Short Square Nails</x:v>
      </x:c>
      <x:c r="D3496" s="18" t="str">
        <x:v>Color: 2293-super short ladder; Color classification: Extra small size xs / Small s / Medium m / Large l</x:v>
      </x:c>
      <x:c r="E3496" s="25" t="str">
        <x:v>$3.49</x:v>
      </x:c>
      <x:c r="F3496" s="19" t="str">
        <x:v>1</x:v>
      </x:c>
    </x:row>
    <x:row r="3497" ht="93" customHeight="1">
      <x:c r="A3497" s="19" t="n">
        <x:v>3494</x:v>
      </x:c>
      <x:c r="B3497" s="22" t="e">
        <x:f>HYPERLINK("https://cdn.shopify.com/s/files/1/0918/6066/4603/files/O1CN01dOeMda2MQzfBafeT0__2219089449823-0-cib.jpg?v=1774257931","Open")</x:f>
        <x:v>HYPERLINK is not implemented. linkLocation=https://cdn.shopify.com/s/files/1/0918/6066/4603/files/O1CN01dOeMda2MQzfBafeT0__2219089449823-0-cib.jpg?v=1774257931, friendlyName=Open</x:v>
      </x:c>
      <x:c r="C3497" s="24" t="e">
        <x:f>HYPERLINK("https://365nails.com/products/whimsical-garden-ladybug-blossom-square-shape-handmade-press-on-nails","Whimsical Garden: ""Ladybug Blossom"" – Square Shape Handmade Press-On Nails")</x:f>
        <x:v>HYPERLINK is not implemented. linkLocation=https://365nails.com/products/whimsical-garden-ladybug-blossom-square-shape-handmade-press-on-nails, friendlyName=Whimsical Garden: "Ladybug Blossom" – Square Shape Handmade Press-On Nails</x:v>
      </x:c>
      <x:c r="D3497" s="18" t="str">
        <x:v>Color: L289; Color classification: X s / S / M / L</x:v>
      </x:c>
      <x:c r="E3497" s="25" t="str">
        <x:v>$4.99</x:v>
      </x:c>
      <x:c r="F3497" s="19" t="str">
        <x:v>1</x:v>
      </x:c>
    </x:row>
    <x:row r="3498" ht="93" customHeight="1">
      <x:c r="A3498" s="19" t="n">
        <x:v>3495</x:v>
      </x:c>
      <x:c r="B3498" s="22" t="e">
        <x:f>HYPERLINK("https://cdn.shopify.com/s/files/1/0918/6066/4603/files/efc935773805d9420aac4f2d0d03b51a.jpg?v=1772976647","Open")</x:f>
        <x:v>HYPERLINK is not implemented. linkLocation=https://cdn.shopify.com/s/files/1/0918/6066/4603/files/efc935773805d9420aac4f2d0d03b51a.jpg?v=1772976647, friendlyName=Open</x:v>
      </x:c>
      <x:c r="C3498" s="24" t="e">
        <x:f>HYPERLINK("https://365nails.com/products/drama-collection-xxl-stiletto-extra-long-half-cover-stiletto-nail-tips","Drama Collection: ""XXL Stiletto"" – Extra Long Half-Cover Stiletto Nail Tips")</x:f>
        <x:v>HYPERLINK is not implemented. linkLocation=https://365nails.com/products/drama-collection-xxl-stiletto-extra-long-half-cover-stiletto-nail-tips, friendlyName=Drama Collection: "XXL Stiletto" – Extra Long Half-Cover Stiletto Nail Tips</x:v>
      </x:c>
      <x:c r="D3498" s="18" t="str">
        <x:v>Color: Extended pointed nail tips, clear, 480 pieces / Extended pointed nail tips, natural color, 480 pieces</x:v>
      </x:c>
      <x:c r="E3498" s="25" t="str">
        <x:v>$3.35</x:v>
      </x:c>
      <x:c r="F3498" s="19" t="str">
        <x:v>3</x:v>
      </x:c>
    </x:row>
    <x:row r="3499" ht="93" customHeight="1">
      <x:c r="A3499" s="19" t="n">
        <x:v>3496</x:v>
      </x:c>
      <x:c r="B3499" s="22" t="e">
        <x:f>HYPERLINK("https://cdn.shopify.com/s/files/1/0918/6066/4603/files/O1CN01QfnnHo27ZUkOzPrmU__2220024697811-0-cib.jpg?v=1774929054","Open")</x:f>
        <x:v>HYPERLINK is not implemented. linkLocation=https://cdn.shopify.com/s/files/1/0918/6066/4603/files/O1CN01QfnnHo27ZUkOzPrmU__2220024697811-0-cib.jpg?v=1774929054, friendlyName=Open</x:v>
      </x:c>
      <x:c r="C3499" s="24" t="e">
        <x:f>HYPERLINK("https://365nails.com/products/365nails-candy-paws-3d-dalmatian-handmade-coffin-nails","365nails: ""Candy Paws"" – 3D Dalmatian Handmade Coffin Nails")</x:f>
        <x:v>HYPERLINK is not implemented. linkLocation=https://365nails.com/products/365nails-candy-paws-3d-dalmatian-handmade-coffin-nails, friendlyName=365nails: "Candy Paws" – 3D Dalmatian Handmade Coffin Nails</x:v>
      </x:c>
      <x:c r="D3499" s="18" t="str">
        <x:v>Color: Duckbill; Color classification: Xs / S / M / L</x:v>
      </x:c>
      <x:c r="E3499" s="25" t="str">
        <x:v>$4.99</x:v>
      </x:c>
      <x:c r="F3499" s="19" t="str">
        <x:v>3</x:v>
      </x:c>
    </x:row>
    <x:row r="3500" ht="93" customHeight="1">
      <x:c r="A3500" s="19" t="n">
        <x:v>3497</x:v>
      </x:c>
      <x:c r="B3500" s="22" t="e">
        <x:f>HYPERLINK("https://cdn.shopify.com/s/files/1/0918/6066/4603/files/O1CN01JVM7fB27ZUm7pEpYZ__2220024697811-0-cib.jpg?v=1775105972","Open")</x:f>
        <x:v>HYPERLINK is not implemented. linkLocation=https://cdn.shopify.com/s/files/1/0918/6066/4603/files/O1CN01JVM7fB27ZUm7pEpYZ__2220024697811-0-cib.jpg?v=1775105972, friendlyName=Open</x:v>
      </x:c>
      <x:c r="C3500" s="24" t="e">
        <x:f>HYPERLINK("https://365nails.com/products/365nails-velvet-bloom-3d-floral-matte-handmade-stiletto-nails","365nails: ""Velvet Bloom"" – 3D Floral &amp; Matte Handmade Stiletto Nails")</x:f>
        <x:v>HYPERLINK is not implemented. linkLocation=https://365nails.com/products/365nails-velvet-bloom-3d-floral-matte-handmade-stiletto-nails, friendlyName=365nails: "Velvet Bloom" – 3D Floral &amp; Matte Handmade Stiletto Nails</x:v>
      </x:c>
      <x:c r="D3500" s="18" t="str">
        <x:v>Color: Long tip; Color classification: Xs / S / M / L</x:v>
      </x:c>
      <x:c r="E3500" s="25" t="str">
        <x:v>$4.49</x:v>
      </x:c>
      <x:c r="F3500" s="19" t="str">
        <x:v>3</x:v>
      </x:c>
    </x:row>
    <x:row r="3501" ht="93" customHeight="1">
      <x:c r="A3501" s="19" t="n">
        <x:v>3498</x:v>
      </x:c>
      <x:c r="B3501" s="22" t="e">
        <x:f>HYPERLINK("https://cdn.shopify.com/s/files/1/0918/6066/4603/files/O1CN01aFNk1p2MQzeQzPrVy__2219089449823-0-cib.jpg?v=1774453069","Open")</x:f>
        <x:v>HYPERLINK is not implemented. linkLocation=https://cdn.shopify.com/s/files/1/0918/6066/4603/files/O1CN01aFNk1p2MQzeQzPrVy__2219089449823-0-cib.jpg?v=1774453069, friendlyName=Open</x:v>
      </x:c>
      <x:c r="C3501" s="24" t="e">
        <x:f>HYPERLINK("https://365nails.com/products/blush-petal-pink-bloom-medium-almond-handmade-press-on-nails","Blush Petal: ""Pink Bloom"" – Medium Almond Handmade Press On Nails")</x:f>
        <x:v>HYPERLINK is not implemented. linkLocation=https://365nails.com/products/blush-petal-pink-bloom-medium-almond-handmade-press-on-nails, friendlyName=Blush Petal: "Pink Bloom" – Medium Almond Handmade Press On Nails</x:v>
      </x:c>
      <x:c r="D3501" s="18" t="str">
        <x:v>Color: D548; Color classification: X s / S / M / L</x:v>
      </x:c>
      <x:c r="E3501" s="25" t="str">
        <x:v>$3.49</x:v>
      </x:c>
      <x:c r="F3501" s="19" t="str">
        <x:v>1</x:v>
      </x:c>
    </x:row>
    <x:row r="3502" ht="93" customHeight="1">
      <x:c r="A3502" s="19" t="n">
        <x:v>3499</x:v>
      </x:c>
      <x:c r="B3502" s="22" t="e">
        <x:f>HYPERLINK("https://cdn.shopify.com/s/files/1/0918/6066/4603/files/a31875e0c5c0451334bbfc2ecee6ab3d.jpg?v=1778319177","Open")</x:f>
        <x:v>HYPERLINK is not implemented. linkLocation=https://cdn.shopify.com/s/files/1/0918/6066/4603/files/a31875e0c5c0451334bbfc2ecee6ab3d.jpg?v=1778319177, friendlyName=Open</x:v>
      </x:c>
      <x:c r="C3502" s="24" t="e">
        <x:f>HYPERLINK("https://365nails.com/products/365nails-gilded-bloom-hand-painted-floral-line-art-handmade-almond-nails","365nails: ""Gilded Bloom"" – Hand-Painted Floral Line Art Handmade Almond Nails")</x:f>
        <x:v>HYPERLINK is not implemented. linkLocation=https://365nails.com/products/365nails-gilded-bloom-hand-painted-floral-line-art-handmade-almond-nails, friendlyName=365nails: "Gilded Bloom" – Hand-Painted Floral Line Art Handmade Almond Nails</x:v>
      </x:c>
      <x:c r="D3502" s="18" t="str">
        <x:v>Size: XS / S / M / L</x:v>
      </x:c>
      <x:c r="E3502" s="25" t="str">
        <x:v>$2.99</x:v>
      </x:c>
      <x:c r="F3502" s="19" t="str">
        <x:v>5</x:v>
      </x:c>
    </x:row>
    <x:row r="3503" ht="93" customHeight="1">
      <x:c r="A3503" s="19" t="n">
        <x:v>3500</x:v>
      </x:c>
      <x:c r="B3503" s="22" t="e">
        <x:f>HYPERLINK("https://cdn.shopify.com/s/files/1/0918/6066/4603/files/O1CN01czT8cW27ZUkZK3WQh__2220024697811-0-cib.jpg?v=1774929171","Open")</x:f>
        <x:v>HYPERLINK is not implemented. linkLocation=https://cdn.shopify.com/s/files/1/0918/6066/4603/files/O1CN01czT8cW27ZUkZK3WQh__2220024697811-0-cib.jpg?v=1774929171, friendlyName=Open</x:v>
      </x:c>
      <x:c r="C3503" s="24" t="e">
        <x:f>HYPERLINK("https://365nails.com/products/365nails-midnight-bloom-3d-butterfly-handmade-stiletto-nails","365nails: ""Midnight Bloom"" – 3D Butterfly Handmade Stiletto Nails")</x:f>
        <x:v>HYPERLINK is not implemented. linkLocation=https://365nails.com/products/365nails-midnight-bloom-3d-butterfly-handmade-stiletto-nails, friendlyName=365nails: "Midnight Bloom" – 3D Butterfly Handmade Stiletto Nails</x:v>
      </x:c>
      <x:c r="D3503" s="18" t="str">
        <x:v>Color: Almond; Color classification: Xs / S / M / L</x:v>
      </x:c>
      <x:c r="E3503" s="25" t="str">
        <x:v>$4.99</x:v>
      </x:c>
      <x:c r="F3503" s="19" t="str">
        <x:v>3</x:v>
      </x:c>
    </x:row>
    <x:row r="3504" ht="93" customHeight="1">
      <x:c r="A3504" s="19" t="n">
        <x:v>3501</x:v>
      </x:c>
      <x:c r="B3504" s="22" t="e">
        <x:f>HYPERLINK("https://cdn.shopify.com/s/files/1/0918/6066/4603/files/O1CN01EMeigR2MQzdDmZ4hU__2219089449823-0-cib.jpg?v=1774066300","Open")</x:f>
        <x:v>HYPERLINK is not implemented. linkLocation=https://cdn.shopify.com/s/files/1/0918/6066/4603/files/O1CN01EMeigR2MQzdDmZ4hU__2219089449823-0-cib.jpg?v=1774066300, friendlyName=Open</x:v>
      </x:c>
      <x:c r="C3504" s="24" t="e">
        <x:f>HYPERLINK("https://365nails.com/products/summer-breeze-strawberry-sorbet-almond-shape-handmade-3d-carved-press-on-nails","365nails-Summer Breeze: ""Strawberry Sorbet"" – Almond Shape Handmade 3D Carved Press-On Nails")</x:f>
        <x:v>HYPERLINK is not implemented. linkLocation=https://365nails.com/products/summer-breeze-strawberry-sorbet-almond-shape-handmade-3d-carved-press-on-nails, friendlyName=365nails-Summer Breeze: "Strawberry Sorbet" – Almond Shape Handmade 3D Carved Press-On Nails</x:v>
      </x:c>
      <x:c r="D3504" s="18" t="str">
        <x:v>Color: D463; Color classification: X s / S / M / L</x:v>
      </x:c>
      <x:c r="E3504" s="25" t="str">
        <x:v>$3.99</x:v>
      </x:c>
      <x:c r="F3504" s="19" t="str">
        <x:v>1</x:v>
      </x:c>
    </x:row>
    <x:row r="3505" ht="93" customHeight="1">
      <x:c r="A3505" s="19" t="n">
        <x:v>3502</x:v>
      </x:c>
      <x:c r="B3505" s="22" t="e">
        <x:f>HYPERLINK("https://cdn.shopify.com/s/files/1/0918/6066/4603/files/O1CN01A2irRa27ZUkgn3TI7__2220024697811-0-cib.jpg?v=1774944363","Open")</x:f>
        <x:v>HYPERLINK is not implemented. linkLocation=https://cdn.shopify.com/s/files/1/0918/6066/4603/files/O1CN01A2irRa27ZUkgn3TI7__2220024697811-0-cib.jpg?v=1774944363, friendlyName=Open</x:v>
      </x:c>
      <x:c r="C3505" s="24" t="e">
        <x:f>HYPERLINK("https://365nails.com/products/365nails-dark-kitty-dreams-3d-embellished-handmade-stiletto-nails","365nails: ""Dark Kitty Dreams"" – 3D Embellished Handmade Stiletto Nails")</x:f>
        <x:v>HYPERLINK is not implemented. linkLocation=https://365nails.com/products/365nails-dark-kitty-dreams-3d-embellished-handmade-stiletto-nails, friendlyName=365nails: "Dark Kitty Dreams" – 3D Embellished Handmade Stiletto Nails</x:v>
      </x:c>
      <x:c r="D3505" s="18" t="str">
        <x:v>Color: Almond; Color classification: Xs / S / M / L</x:v>
      </x:c>
      <x:c r="E3505" s="25" t="str">
        <x:v>$3.99</x:v>
      </x:c>
      <x:c r="F3505" s="19" t="str">
        <x:v>3</x:v>
      </x:c>
    </x:row>
    <x:row r="3506" ht="93" customHeight="1">
      <x:c r="A3506" s="19" t="n">
        <x:v>3503</x:v>
      </x:c>
      <x:c r="B3506" s="22" t="e">
        <x:f>HYPERLINK("https://cdn.shopify.com/s/files/1/0918/6066/4603/files/O1CN01iLrNI12MQzdscGfUc__2219089449823-0-cib.jpg?v=1774452994","Open")</x:f>
        <x:v>HYPERLINK is not implemented. linkLocation=https://cdn.shopify.com/s/files/1/0918/6066/4603/files/O1CN01iLrNI12MQzdscGfUc__2219089449823-0-cib.jpg?v=1774452994, friendlyName=Open</x:v>
      </x:c>
      <x:c r="C3506" s="24" t="e">
        <x:f>HYPERLINK("https://365nails.com/products/enchanted-fairy-rainbow-bloom-short-square-handmade-press-on-nails","Enchanted Fairy: ""Rainbow Bloom"" – Short Square Handmade Press On Nails")</x:f>
        <x:v>HYPERLINK is not implemented. linkLocation=https://365nails.com/products/enchanted-fairy-rainbow-bloom-short-square-handmade-press-on-nails, friendlyName=Enchanted Fairy: "Rainbow Bloom" – Short Square Handmade Press On Nails</x:v>
      </x:c>
      <x:c r="D3506" s="18" t="str">
        <x:v>Color: L263; Color classification: X s / S / M / L</x:v>
      </x:c>
      <x:c r="E3506" s="25" t="str">
        <x:v>$4.99</x:v>
      </x:c>
      <x:c r="F3506" s="19" t="str">
        <x:v>1</x:v>
      </x:c>
    </x:row>
    <x:row r="3507" ht="93" customHeight="1">
      <x:c r="A3507" s="19" t="n">
        <x:v>3504</x:v>
      </x:c>
      <x:c r="B3507" s="22" t="e">
        <x:f>HYPERLINK("https://cdn.shopify.com/s/files/1/0918/6066/4603/files/e4daef1c6cbfa1df5697efe0aa00f50e.jpg?v=1772976715","Open")</x:f>
        <x:v>HYPERLINK is not implemented. linkLocation=https://cdn.shopify.com/s/files/1/0918/6066/4603/files/e4daef1c6cbfa1df5697efe0aa00f50e.jpg?v=1772976715, friendlyName=Open</x:v>
      </x:c>
      <x:c r="C3507" s="24" t="e">
        <x:f>HYPERLINK("https://365nails.com/products/drama-collection-no-c-tube-assortment-no-c-curve-half-cover-tube-nail-tips-xl-xxl-xxxl","Drama Collection: ""No-C Tube Assortment"" – No-C-Curve Half-Cover Tube Nail Tips (XL/XXL/XXXL)")</x:f>
        <x:v>HYPERLINK is not implemented. linkLocation=https://365nails.com/products/drama-collection-no-c-tube-assortment-no-c-curve-half-cover-tube-nail-tips-xl-xxl-xxxl, friendlyName=Drama Collection: "No-C Tube Assortment" – No-C-Curve Half-Cover Tube Nail Tips (XL/XXL/XXXL)</x:v>
      </x:c>
      <x:c r="D3507" s="18" t="str">
        <x:v>Color: 133-xl-transparent color-500 pieces in bag / 133-xl-transparent color-500 pieces box / 133-xl-natural-500 tablets in bag / 133-xl-natural-500 tablets box / 113-xxl-natural-500 pieces in bag / 113-xxl-natural-500 pieces in box / 113-xxl-transparent-500 pieces in bag / 113-xxl-transparent-500 pieces in box / 118-xxl-natural-500 pieces in bag / 118-xxl-natural-500 pieces in box / 118-xxl-transparent-500 pieces in bag / 118-xxl-transparent-500 pieces in box / 118-xxl-natural supplement-600 tablets in bag / 125-xxxl-transparent-504 pieces in bag / 125-xxxl-natural-504 tablets in bags / 125-xxxl-transparent-360 pieces in box / 125-xxxl-natural-360 tablets box</x:v>
      </x:c>
      <x:c r="E3507" s="25" t="str">
        <x:v>$2.35–$3.65</x:v>
      </x:c>
      <x:c r="F3507" s="19" t="str">
        <x:v>3</x:v>
      </x:c>
    </x:row>
    <x:row r="3508" ht="93" customHeight="1">
      <x:c r="A3508" s="19" t="n">
        <x:v>3505</x:v>
      </x:c>
      <x:c r="B3508" s="22" t="e">
        <x:f>HYPERLINK("https://cdn.shopify.com/s/files/1/0918/6066/4603/files/f72a84497ee6aacc5f74b4e7e839a8f0.jpg?v=1755141836","Open")</x:f>
        <x:v>HYPERLINK is not implemented. linkLocation=https://cdn.shopify.com/s/files/1/0918/6066/4603/files/f72a84497ee6aacc5f74b4e7e839a8f0.jpg?v=1755141836, friendlyName=Open</x:v>
      </x:c>
      <x:c r="C3508" s="24" t="e">
        <x:f>HYPERLINK("https://365nails.com/products/nail-tips-nail-mold-crystal-color-extension-without-paper-tray-rapid-phototherapy-extension-nail-piece-288-pieces-boxed-nail-film-set","Crystal Color Nail Extension Mold, Paperless Rapid Phototherapy Nail Forms Set, 288 Pieces Boxed (MOQ=3)")</x:f>
        <x:v>HYPERLINK is not implemented. linkLocation=https://365nails.com/products/nail-tips-nail-mold-crystal-color-extension-without-paper-tray-rapid-phototherapy-extension-nail-piece-288-pieces-boxed-nail-film-set, friendlyName=Crystal Color Nail Extension Mold, Paperless Rapid Phototherapy Nail Forms Set, 288 Pieces Boxed (MOQ=3)</x:v>
      </x:c>
      <x:c r="D3508" s="18" t="str">
        <x:v>Color: Color nail mold set * 288 pieces / Color nail mold set * 144 pieces; Quantity: 3pcs</x:v>
      </x:c>
      <x:c r="E3508" s="25" t="str">
        <x:v>$2.73–$4.65</x:v>
      </x:c>
      <x:c r="F3508" s="19" t="str">
        <x:v>1</x:v>
      </x:c>
    </x:row>
    <x:row r="3509" ht="93" customHeight="1">
      <x:c r="A3509" s="19" t="n">
        <x:v>3506</x:v>
      </x:c>
      <x:c r="B3509" s="22" t="e">
        <x:f>HYPERLINK("https://cdn.shopify.com/s/files/1/0918/6066/4603/files/175700b5a9240d8fec1346395b542bc9.jpg?v=1772976742","Open")</x:f>
        <x:v>HYPERLINK is not implemented. linkLocation=https://cdn.shopify.com/s/files/1/0918/6066/4603/files/175700b5a9240d8fec1346395b542bc9.jpg?v=1772976742, friendlyName=Open</x:v>
      </x:c>
      <x:c r="C3509" s="24" t="e">
        <x:f>HYPERLINK("https://365nails.com/products/drama-collection-xl-water-drop-xl-water-drop-nail-tips-504pcs-box","Drama Collection: ""XL Water Drop"" – XL Water Drop Nail Tips (504pcs Box)")</x:f>
        <x:v>HYPERLINK is not implemented. linkLocation=https://365nails.com/products/drama-collection-xl-water-drop-xl-water-drop-nail-tips-504pcs-box, friendlyName=Drama Collection: "XL Water Drop" – XL Water Drop Nail Tips (504pcs Box)</x:v>
      </x:c>
      <x:c r="D3509" s="18" t="str">
        <x:v>Color: Long water drop - 360 pieces - clear color box packaging / Long water drop - 360 pieces - natural color boxed / Long ballet - 360 pieces - clear color box / Long ballet - 360 pieces - natural color boxed set</x:v>
      </x:c>
      <x:c r="E3509" s="25" t="str">
        <x:v>$1.91–$2.12</x:v>
      </x:c>
      <x:c r="F3509" s="19" t="str">
        <x:v>3</x:v>
      </x:c>
    </x:row>
    <x:row r="3510" ht="93" customHeight="1">
      <x:c r="A3510" s="19" t="n">
        <x:v>3507</x:v>
      </x:c>
      <x:c r="B3510" s="22" t="e">
        <x:f>HYPERLINK("https://cdn.shopify.com/s/files/1/0918/6066/4603/files/O1CN018HFk3u2MQzdJe6Ak3__2219089449823-0-cib.jpg?v=1774010898","Open")</x:f>
        <x:v>HYPERLINK is not implemented. linkLocation=https://cdn.shopify.com/s/files/1/0918/6066/4603/files/O1CN018HFk3u2MQzdJe6Ak3__2219089449823-0-cib.jpg?v=1774010898, friendlyName=Open</x:v>
      </x:c>
      <x:c r="C3510" s="24" t="e">
        <x:f>HYPERLINK("https://365nails.com/products/summer-daze-lemonade-splash-almond-shape-handmade-3d-carved-press-on-nails","365nails-Summer Daze: ""Lemonade Splash"" – Almond Shape Handmade 3D Carved Press-On Nails")</x:f>
        <x:v>HYPERLINK is not implemented. linkLocation=https://365nails.com/products/summer-daze-lemonade-splash-almond-shape-handmade-3d-carved-press-on-nails, friendlyName=365nails-Summer Daze: "Lemonade Splash" – Almond Shape Handmade 3D Carved Press-On Nails</x:v>
      </x:c>
      <x:c r="D3510" s="18" t="str">
        <x:v>Color: D450s; Color classification: X s / S / M / L</x:v>
      </x:c>
      <x:c r="E3510" s="25" t="str">
        <x:v>$3.99</x:v>
      </x:c>
      <x:c r="F3510" s="19" t="str">
        <x:v>1</x:v>
      </x:c>
    </x:row>
    <x:row r="3511" ht="93" customHeight="1">
      <x:c r="A3511" s="19" t="n">
        <x:v>3508</x:v>
      </x:c>
      <x:c r="B3511" s="22" t="e">
        <x:f>HYPERLINK("https://cdn.shopify.com/s/files/1/0918/6066/4603/files/O1CN01j25sBy2214vDtYpLd__2219480337059-0-cib.jpg?v=1773824615","Open")</x:f>
        <x:v>HYPERLINK is not implemented. linkLocation=https://cdn.shopify.com/s/files/1/0918/6066/4603/files/O1CN01j25sBy2214vDtYpLd__2219480337059-0-cib.jpg?v=1773824615, friendlyName=Open</x:v>
      </x:c>
      <x:c r="C3511" s="24" t="e">
        <x:f>HYPERLINK("https://365nails.com/products/spooky-halloween-kids-series-cute-ghost-carnival-short-square-kids-nail-art","365nails-Spooky Halloween Kids Series: ""Cute Ghost Carnival"" – Short Square Kids Nail Art")</x:f>
        <x:v>HYPERLINK is not implemented. linkLocation=https://365nails.com/products/spooky-halloween-kids-series-cute-ghost-carnival-short-square-kids-nail-art, friendlyName=365nails-Spooky Halloween Kids Series: "Cute Ghost Carnival" – Short Square Kids Nail Art</x:v>
      </x:c>
      <x:c r="D3511" s="18" t="str">
        <x:v>Color: 9163 ghost magic hat; Color classification: Xs (about 2 years old) / S (3-4 years old) / M (5-7 years old) / L (8-11 years old)</x:v>
      </x:c>
      <x:c r="E3511" s="25" t="str">
        <x:v>$2.99</x:v>
      </x:c>
      <x:c r="F3511" s="19" t="str">
        <x:v>3</x:v>
      </x:c>
    </x:row>
    <x:row r="3512" ht="93" customHeight="1">
      <x:c r="A3512" s="19" t="n">
        <x:v>3509</x:v>
      </x:c>
      <x:c r="B3512" s="22" t="e">
        <x:f>HYPERLINK("https://cdn.shopify.com/s/files/1/0918/6066/4603/files/O1CN01oMDriO2214wFAAYzU__2219480337059-0-cib.jpg?v=1773198433","Open")</x:f>
        <x:v>HYPERLINK is not implemented. linkLocation=https://cdn.shopify.com/s/files/1/0918/6066/4603/files/O1CN01oMDriO2214wFAAYzU__2219480337059-0-cib.jpg?v=1773198433, friendlyName=Open</x:v>
      </x:c>
      <x:c r="C3512" s="24" t="e">
        <x:f>HYPERLINK("https://365nails.com/products/365nails-zootopia-fun-party-short-squoval-handmade-kids-press-on-nails","365nails: ""zootopia fun party"" – short squoval handmade kids press-on nails")</x:f>
        <x:v>HYPERLINK is not implemented. linkLocation=https://365nails.com/products/365nails-zootopia-fun-party-short-squoval-handmade-kids-press-on-nails, friendlyName=365nails: "zootopia fun party" – short squoval handmade kids press-on nails</x:v>
      </x:c>
      <x:c r="D3512" s="18" t="str">
        <x:v>Color: 51296 zoo donuts; Color classification: Xs (about 2 years old) / S (3-4 years old) / M (5-7 years old) / L (8-11 years old)</x:v>
      </x:c>
      <x:c r="E3512" s="25" t="str">
        <x:v>$2.99</x:v>
      </x:c>
      <x:c r="F3512" s="19" t="str">
        <x:v>3</x:v>
      </x:c>
    </x:row>
    <x:row r="3513" ht="93" customHeight="1">
      <x:c r="A3513" s="19" t="n">
        <x:v>3510</x:v>
      </x:c>
      <x:c r="B3513" s="22" t="e">
        <x:f>HYPERLINK("https://cdn.shopify.com/s/files/1/0918/6066/4603/files/O1CN0150ToNg27ZUlXzPX2M__2220024697811-0-cib.jpg?v=1775054192","Open")</x:f>
        <x:v>HYPERLINK is not implemented. linkLocation=https://cdn.shopify.com/s/files/1/0918/6066/4603/files/O1CN0150ToNg27ZUlXzPX2M__2220024697811-0-cib.jpg?v=1775054192, friendlyName=Open</x:v>
      </x:c>
      <x:c r="C3513" s="24" t="e">
        <x:f>HYPERLINK("https://365nails.com/products/365nails-blue-macchiato-handmade-marble-gold-leaf-square-nails","365nails: ""Blue Macchiato"" – Handmade Marble &amp; Gold Leaf Square Nails")</x:f>
        <x:v>HYPERLINK is not implemented. linkLocation=https://365nails.com/products/365nails-blue-macchiato-handmade-marble-gold-leaf-square-nails, friendlyName=365nails: "Blue Macchiato" – Handmade Marble &amp; Gold Leaf Square Nails</x:v>
      </x:c>
      <x:c r="D3513" s="18" t="str">
        <x:v>Color: Almond; Color classification: Xs / S / M / L</x:v>
      </x:c>
      <x:c r="E3513" s="25" t="str">
        <x:v>$3.49</x:v>
      </x:c>
      <x:c r="F3513" s="19" t="str">
        <x:v>3</x:v>
      </x:c>
    </x:row>
    <x:row r="3514" ht="93" customHeight="1">
      <x:c r="A3514" s="19" t="n">
        <x:v>3511</x:v>
      </x:c>
      <x:c r="B3514" s="22" t="e">
        <x:f>HYPERLINK("https://cdn.shopify.com/s/files/1/0918/6066/4603/files/e9f14664b23b044a8a38413fdc236e9a.jpg?v=1772976623","Open")</x:f>
        <x:v>HYPERLINK is not implemented. linkLocation=https://cdn.shopify.com/s/files/1/0918/6066/4603/files/e9f14664b23b044a8a38413fdc236e9a.jpg?v=1772976623, friendlyName=Open</x:v>
      </x:c>
      <x:c r="C3514" s="24" t="e">
        <x:f>HYPERLINK("https://365nails.com/products/everyday-collection-240-square-half-cover-half-cover-square-nail-tips-240pcs-box","Everyday Collection: ""240 Square Half-Cover"" – Half-Cover Square Nail Tips (240pcs Box)")</x:f>
        <x:v>HYPERLINK is not implemented. linkLocation=https://365nails.com/products/everyday-collection-240-square-half-cover-half-cover-square-nail-tips-240pcs-box, friendlyName=Everyday Collection: "240 Square Half-Cover" – Half-Cover Square Nail Tips (240pcs Box)</x:v>
      </x:c>
      <x:c r="D3514" s="18" t="str">
        <x:v>Color: Transparent - half cover - square tip nail tips - 240 pieces box / Ys-38 traceless half sand*100 pieces in box</x:v>
      </x:c>
      <x:c r="E3514" s="25" t="str">
        <x:v>$0.78–$1.23</x:v>
      </x:c>
      <x:c r="F3514" s="19" t="str">
        <x:v>3</x:v>
      </x:c>
    </x:row>
    <x:row r="3515" ht="93" customHeight="1">
      <x:c r="A3515" s="19" t="n">
        <x:v>3512</x:v>
      </x:c>
      <x:c r="B3515" s="22" t="e">
        <x:f>HYPERLINK("https://cdn.shopify.com/s/files/1/0918/6066/4603/files/O1CN01DcTQA62MQzdF5R5RQ__2219089449823-0-cib.jpg?v=1774349156","Open")</x:f>
        <x:v>HYPERLINK is not implemented. linkLocation=https://cdn.shopify.com/s/files/1/0918/6066/4603/files/O1CN01DcTQA62MQzdF5R5RQ__2219089449823-0-cib.jpg?v=1774349156, friendlyName=Open</x:v>
      </x:c>
      <x:c r="C3515" s="24" t="e">
        <x:f>HYPERLINK("https://365nails.com/products/dark-punk-mushroom-zebra-edge-almond-press-ons","Dark Punk: ""Mushroom &amp; Zebra Edge"" – Almond Press Ons")</x:f>
        <x:v>HYPERLINK is not implemented. linkLocation=https://365nails.com/products/dark-punk-mushroom-zebra-edge-almond-press-ons, friendlyName=Dark Punk: "Mushroom &amp; Zebra Edge" – Almond Press Ons</x:v>
      </x:c>
      <x:c r="D3515" s="18" t="str">
        <x:v>Color: D462; Color classification: X s / S / M / L</x:v>
      </x:c>
      <x:c r="E3515" s="25" t="str">
        <x:v>$3.99</x:v>
      </x:c>
      <x:c r="F3515" s="19" t="str">
        <x:v>1</x:v>
      </x:c>
    </x:row>
    <x:row r="3516" ht="93" customHeight="1">
      <x:c r="A3516" s="19" t="n">
        <x:v>3513</x:v>
      </x:c>
      <x:c r="B3516" s="22" t="e">
        <x:f>HYPERLINK("https://cdn.shopify.com/s/files/1/0918/6066/4603/files/c94b3b0566bc39cb7a7666d20b3365e3.jpg?v=1776170461","Open")</x:f>
        <x:v>HYPERLINK is not implemented. linkLocation=https://cdn.shopify.com/s/files/1/0918/6066/4603/files/c94b3b0566bc39cb7a7666d20b3365e3.jpg?v=1776170461, friendlyName=Open</x:v>
      </x:c>
      <x:c r="C3516" s="24" t="e">
        <x:f>HYPERLINK("https://365nails.com/products/365nails-candy-heart-3d-sweet-heart-handmade-short-square-nails","365nails: ""Candy Heart"" – 3D Sweet Heart Handmade Short Square Nails")</x:f>
        <x:v>HYPERLINK is not implemented. linkLocation=https://365nails.com/products/365nails-candy-heart-3d-sweet-heart-handmade-short-square-nails, friendlyName=365nails: "Candy Heart" – 3D Sweet Heart Handmade Short Square Nails</x:v>
      </x:c>
      <x:c r="D3516" s="18" t="str">
        <x:v>Size: XS / S / M / L</x:v>
      </x:c>
      <x:c r="E3516" s="25" t="str">
        <x:v>$1.99</x:v>
      </x:c>
      <x:c r="F3516" s="19" t="str">
        <x:v>3</x:v>
      </x:c>
    </x:row>
    <x:row r="3517" ht="93" customHeight="1">
      <x:c r="A3517" s="19" t="n">
        <x:v>3514</x:v>
      </x:c>
      <x:c r="B3517" s="22" t="e">
        <x:f>HYPERLINK("https://cdn.shopify.com/s/files/1/0918/6066/4603/files/O1CN01SwCQHj2MQzdwxBH87__2219089449823-0-cib.jpg?v=1774453007","Open")</x:f>
        <x:v>HYPERLINK is not implemented. linkLocation=https://cdn.shopify.com/s/files/1/0918/6066/4603/files/O1CN01SwCQHj2MQzdwxBH87__2219089449823-0-cib.jpg?v=1774453007, friendlyName=Open</x:v>
      </x:c>
      <x:c r="C3517" s="24" t="e">
        <x:f>HYPERLINK("https://365nails.com/products/berry-bliss-strawberry-daisy-medium-almond-handmade-press-on-nails","Berry Bliss: ""Strawberry Daisy"" – Medium Almond Handmade Press On Nails")</x:f>
        <x:v>HYPERLINK is not implemented. linkLocation=https://365nails.com/products/berry-bliss-strawberry-daisy-medium-almond-handmade-press-on-nails, friendlyName=Berry Bliss: "Strawberry Daisy" – Medium Almond Handmade Press On Nails</x:v>
      </x:c>
      <x:c r="D3517" s="18" t="str">
        <x:v>Color: D516; Color classification: X s / S / M / L</x:v>
      </x:c>
      <x:c r="E3517" s="25" t="str">
        <x:v>$3.49</x:v>
      </x:c>
      <x:c r="F3517" s="19" t="str">
        <x:v>1</x:v>
      </x:c>
    </x:row>
    <x:row r="3518" ht="93" customHeight="1">
      <x:c r="A3518" s="19" t="n">
        <x:v>3515</x:v>
      </x:c>
      <x:c r="B3518" s="22" t="e">
        <x:f>HYPERLINK("https://cdn.shopify.com/s/files/1/0918/6066/4603/files/a599e4bf25ecd70ae9ed2576bf6f34bb.jpg?v=1776245631","Open")</x:f>
        <x:v>HYPERLINK is not implemented. linkLocation=https://cdn.shopify.com/s/files/1/0918/6066/4603/files/a599e4bf25ecd70ae9ed2576bf6f34bb.jpg?v=1776245631, friendlyName=Open</x:v>
      </x:c>
      <x:c r="C3518" s="24" t="e">
        <x:f>HYPERLINK("https://365nails.com/products/365nails-fairy-dust-dreams-3d-glitter-handmade-short-nails","365nails: ""Fairy Dust Dreams"" – 3D Glitter Handmade Short Nails")</x:f>
        <x:v>HYPERLINK is not implemented. linkLocation=https://365nails.com/products/365nails-fairy-dust-dreams-3d-glitter-handmade-short-nails, friendlyName=365nails: "Fairy Dust Dreams" – 3D Glitter Handmade Short Nails</x:v>
      </x:c>
      <x:c r="D3518" s="18" t="str">
        <x:v>Size: XS / S / M / L</x:v>
      </x:c>
      <x:c r="E3518" s="25" t="str">
        <x:v>$2.49</x:v>
      </x:c>
      <x:c r="F3518" s="19" t="str">
        <x:v>3</x:v>
      </x:c>
    </x:row>
    <x:row r="3519" ht="93" customHeight="1">
      <x:c r="A3519" s="19" t="n">
        <x:v>3516</x:v>
      </x:c>
      <x:c r="B3519" s="22" t="e">
        <x:f>HYPERLINK("https://cdn.shopify.com/s/files/1/0918/6066/4603/files/O1CN01bfGk4K1Ohb2uwCBfZ__6000000001737-0-cib.jpg?v=1774010942","Open")</x:f>
        <x:v>HYPERLINK is not implemented. linkLocation=https://cdn.shopify.com/s/files/1/0918/6066/4603/files/O1CN01bfGk4K1Ohb2uwCBfZ__6000000001737-0-cib.jpg?v=1774010942, friendlyName=Open</x:v>
      </x:c>
      <x:c r="C3519" s="24" t="e">
        <x:f>HYPERLINK("https://365nails.com/products/ocean-whisper-seashell-starfish-almond-shape-handmade-3d-carved-press-on-nails","365nails-Ocean Whisper: ""Seashell Starfish"" – Almond Shape Handmade 3D Carved Press-On Nails")</x:f>
        <x:v>HYPERLINK is not implemented. linkLocation=https://365nails.com/products/ocean-whisper-seashell-starfish-almond-shape-handmade-3d-carved-press-on-nails, friendlyName=365nails-Ocean Whisper: "Seashell Starfish" – Almond Shape Handmade 3D Carved Press-On Nails</x:v>
      </x:c>
      <x:c r="D3519" s="18" t="str">
        <x:v>Color: D434; Color classification: X s / S / M / L</x:v>
      </x:c>
      <x:c r="E3519" s="25" t="str">
        <x:v>$3.99</x:v>
      </x:c>
      <x:c r="F3519" s="19" t="str">
        <x:v>1</x:v>
      </x:c>
    </x:row>
    <x:row r="3520" ht="93" customHeight="1">
      <x:c r="A3520" s="19" t="n">
        <x:v>3517</x:v>
      </x:c>
      <x:c r="B3520" s="22" t="e">
        <x:f>HYPERLINK("https://cdn.shopify.com/s/files/1/0918/6066/4603/files/a3082484426b211d57f7d5535eb5c589.jpg?v=1776170298","Open")</x:f>
        <x:v>HYPERLINK is not implemented. linkLocation=https://cdn.shopify.com/s/files/1/0918/6066/4603/files/a3082484426b211d57f7d5535eb5c589.jpg?v=1776170298, friendlyName=Open</x:v>
      </x:c>
      <x:c r="C3520" s="24" t="e">
        <x:f>HYPERLINK("https://365nails.com/products/365nails-kitty-sparkle-3d-cat-character-handmade-short-square-nails","365nails: ""Kitty Sparkle"" – 3D Cat Character Handmade Short Square Nails")</x:f>
        <x:v>HYPERLINK is not implemented. linkLocation=https://365nails.com/products/365nails-kitty-sparkle-3d-cat-character-handmade-short-square-nails, friendlyName=365nails: "Kitty Sparkle" – 3D Cat Character Handmade Short Square Nails</x:v>
      </x:c>
      <x:c r="D3520" s="18" t="str">
        <x:v>Size: XS / S / M / L</x:v>
      </x:c>
      <x:c r="E3520" s="25" t="str">
        <x:v>$1.99</x:v>
      </x:c>
      <x:c r="F3520" s="19" t="str">
        <x:v>3</x:v>
      </x:c>
    </x:row>
    <x:row r="3521" ht="93" customHeight="1">
      <x:c r="A3521" s="19" t="n">
        <x:v>3518</x:v>
      </x:c>
      <x:c r="B3521" s="22" t="e">
        <x:f>HYPERLINK("https://cdn.shopify.com/s/files/1/0918/6066/4603/files/O1CN01LTvEdj2MQzdI6R8YJ__2219089449823-0-cib.jpg?v=1774010921","Open")</x:f>
        <x:v>HYPERLINK is not implemented. linkLocation=https://cdn.shopify.com/s/files/1/0918/6066/4603/files/O1CN01LTvEdj2MQzdI6R8YJ__2219089449823-0-cib.jpg?v=1774010921, friendlyName=Open</x:v>
      </x:c>
      <x:c r="C3521" s="24" t="e">
        <x:f>HYPERLINK("https://365nails.com/products/spring-dew-lemon-daisy-almond-shape-handmade-3d-carved-press-on-nails","365nails-Spring Dew: ""Lemon Daisy"" – Almond Shape Handmade 3D Carved Press-On Nails")</x:f>
        <x:v>HYPERLINK is not implemented. linkLocation=https://365nails.com/products/spring-dew-lemon-daisy-almond-shape-handmade-3d-carved-press-on-nails, friendlyName=365nails-Spring Dew: "Lemon Daisy" – Almond Shape Handmade 3D Carved Press-On Nails</x:v>
      </x:c>
      <x:c r="D3521" s="18" t="str">
        <x:v>Color: D455; Color classification: X s / S / M / L</x:v>
      </x:c>
      <x:c r="E3521" s="25" t="str">
        <x:v>$3.99</x:v>
      </x:c>
      <x:c r="F3521" s="19" t="str">
        <x:v>1</x:v>
      </x:c>
    </x:row>
    <x:row r="3522" ht="93" customHeight="1">
      <x:c r="A3522" s="19" t="n">
        <x:v>3519</x:v>
      </x:c>
      <x:c r="B3522" s="22" t="e">
        <x:f>HYPERLINK("https://cdn.shopify.com/s/files/1/0918/6066/4603/files/O1CN017RV2PH2214vgrslgU__2219480337059-0-cib.jpg?v=1773824632","Open")</x:f>
        <x:v>HYPERLINK is not implemented. linkLocation=https://cdn.shopify.com/s/files/1/0918/6066/4603/files/O1CN017RV2PH2214vgrslgU__2219480337059-0-cib.jpg?v=1773824632, friendlyName=Open</x:v>
      </x:c>
      <x:c r="C3522" s="24" t="e">
        <x:f>HYPERLINK("https://365nails.com/products/christmas-cheer-kids-series-santas-winter-friends-short-square-kids-nail-art","365nails-Christmas Cheer Kids Series: ""Santa's Winter Friends"" – Short Square Kids Nail Art")</x:f>
        <x:v>HYPERLINK is not implemented. linkLocation=https://365nails.com/products/christmas-cheer-kids-series-santas-winter-friends-short-square-kids-nail-art, friendlyName=365nails-Christmas Cheer Kids Series: "Santa's Winter Friends" – Short Square Kids Nail Art</x:v>
      </x:c>
      <x:c r="D3522" s="18" t="str">
        <x:v>Color: 10318; Color classification: X s / S / M / L</x:v>
      </x:c>
      <x:c r="E3522" s="25" t="str">
        <x:v>$2.99</x:v>
      </x:c>
      <x:c r="F3522" s="19" t="str">
        <x:v>3</x:v>
      </x:c>
    </x:row>
    <x:row r="3523" ht="93" customHeight="1">
      <x:c r="A3523" s="19" t="n">
        <x:v>3520</x:v>
      </x:c>
      <x:c r="B3523" s="22" t="e">
        <x:f>HYPERLINK("https://cdn.shopify.com/s/files/1/0918/6066/4603/files/O1CN01AaMGzp2214v5PYV8v__2219480337059-0-cib.jpg?v=1773824593","Open")</x:f>
        <x:v>HYPERLINK is not implemented. linkLocation=https://cdn.shopify.com/s/files/1/0918/6066/4603/files/O1CN01AaMGzp2214v5PYV8v__2219480337059-0-cib.jpg?v=1773824593, friendlyName=Open</x:v>
      </x:c>
      <x:c r="C3523" s="24" t="e">
        <x:f>HYPERLINK("https://365nails.com/products/spooky-halloween-kids-series-purple-skull-magic-short-square-kids-nail-art","365nails-Spooky Halloween Kids Series: ""Purple Skull Magic"" – Short Square Kids Nail Art")</x:f>
        <x:v>HYPERLINK is not implemented. linkLocation=https://365nails.com/products/spooky-halloween-kids-series-purple-skull-magic-short-square-kids-nail-art, friendlyName=365nails-Spooky Halloween Kids Series: "Purple Skull Magic" – Short Square Kids Nail Art</x:v>
      </x:c>
      <x:c r="D3523" s="18" t="str">
        <x:v>Color: 9160 polka dot skull; Color classification: Xs (about 2 years old) / S (3-4 years old) / M (5-7 years old) / L (8-11 years old)</x:v>
      </x:c>
      <x:c r="E3523" s="25" t="str">
        <x:v>$2.99</x:v>
      </x:c>
      <x:c r="F3523" s="19" t="str">
        <x:v>3</x:v>
      </x:c>
    </x:row>
    <x:row r="3524" ht="93" customHeight="1">
      <x:c r="A3524" s="19" t="n">
        <x:v>3521</x:v>
      </x:c>
      <x:c r="B3524" s="22" t="e">
        <x:f>HYPERLINK("https://cdn.shopify.com/s/files/1/0918/6066/4603/files/O1CN01LXpuTU27ZUlF8Wl87__2220024697811-0-cib.jpg?v=1774957214","Open")</x:f>
        <x:v>HYPERLINK is not implemented. linkLocation=https://cdn.shopify.com/s/files/1/0918/6066/4603/files/O1CN01LXpuTU27ZUlF8Wl87__2220024697811-0-cib.jpg?v=1774957214, friendlyName=Open</x:v>
      </x:c>
      <x:c r="C3524" s="24" t="e">
        <x:f>HYPERLINK("https://365nails.com/products/365nails-enchanted-bloom-3d-butterfly-handmade-stiletto-nails","365nails: ""Enchanted Bloom"" – 3D Butterfly Handmade Stiletto Nails")</x:f>
        <x:v>HYPERLINK is not implemented. linkLocation=https://365nails.com/products/365nails-enchanted-bloom-3d-butterfly-handmade-stiletto-nails, friendlyName=365nails: "Enchanted Bloom" – 3D Butterfly Handmade Stiletto Nails</x:v>
      </x:c>
      <x:c r="D3524" s="18" t="str">
        <x:v>Color: Almond; Color classification: Xs / S / M / L</x:v>
      </x:c>
      <x:c r="E3524" s="25" t="str">
        <x:v>$4.99</x:v>
      </x:c>
      <x:c r="F3524" s="19" t="str">
        <x:v>3</x:v>
      </x:c>
    </x:row>
    <x:row r="3525" ht="93" customHeight="1">
      <x:c r="A3525" s="19" t="n">
        <x:v>3522</x:v>
      </x:c>
      <x:c r="B3525" s="22" t="e">
        <x:f>HYPERLINK("https://cdn.shopify.com/s/files/1/0918/6066/4603/files/O1CN013whwDr27ZUmM2E2WS__2220024697811-0-cib.jpg?v=1774959847","Open")</x:f>
        <x:v>HYPERLINK is not implemented. linkLocation=https://cdn.shopify.com/s/files/1/0918/6066/4603/files/O1CN013whwDr27ZUmM2E2WS__2220024697811-0-cib.jpg?v=1774959847, friendlyName=Open</x:v>
      </x:c>
      <x:c r="C3525" s="24" t="e">
        <x:f>HYPERLINK("https://365nails.com/products/365nails-seaside-fantasy-3d-starfish-handmade-almond-nails","365nails: ""Seaside Fantasy"" – 3D Starfish Handmade Almond Nails")</x:f>
        <x:v>HYPERLINK is not implemented. linkLocation=https://365nails.com/products/365nails-seaside-fantasy-3d-starfish-handmade-almond-nails, friendlyName=365nails: "Seaside Fantasy" – 3D Starfish Handmade Almond Nails</x:v>
      </x:c>
      <x:c r="D3525" s="18" t="str">
        <x:v>Color: Short almond; Color classification: Xs / S / M / L</x:v>
      </x:c>
      <x:c r="E3525" s="25" t="str">
        <x:v>$4.49</x:v>
      </x:c>
      <x:c r="F3525" s="19" t="str">
        <x:v>3</x:v>
      </x:c>
    </x:row>
    <x:row r="3526" ht="93" customHeight="1">
      <x:c r="A3526" s="19" t="n">
        <x:v>3523</x:v>
      </x:c>
      <x:c r="B3526" s="22" t="e">
        <x:f>HYPERLINK("https://cdn.shopify.com/s/files/1/0918/6066/4603/files/O1CN01cOOZxl2214s8E9Idv__2219480337059-0-cib.jpg?v=1773824727","Open")</x:f>
        <x:v>HYPERLINK is not implemented. linkLocation=https://cdn.shopify.com/s/files/1/0918/6066/4603/files/O1CN01cOOZxl2214s8E9Idv__2219480337059-0-cib.jpg?v=1773824727, friendlyName=Open</x:v>
      </x:c>
      <x:c r="C3526" s="24" t="e">
        <x:f>HYPERLINK("https://365nails.com/products/linabell-kids-series-cute-pink-fox-short-square-kids-nail-art","365nails-LinaBell Kids Series: ""Cute Pink Fox"" – Short Square Kids Nail Art")</x:f>
        <x:v>HYPERLINK is not implemented. linkLocation=https://365nails.com/products/linabell-kids-series-cute-pink-fox-short-square-kids-nail-art, friendlyName=365nails-LinaBell Kids Series: "Cute Pink Fox" – Short Square Kids Nail Art</x:v>
      </x:c>
      <x:c r="D3526" s="18" t="str">
        <x:v>Color: Linabell; Color classification: Extra small (xs) / Small size s / Medium size m / Large size l</x:v>
      </x:c>
      <x:c r="E3526" s="25" t="str">
        <x:v>$2.99</x:v>
      </x:c>
      <x:c r="F3526" s="19" t="str">
        <x:v>3</x:v>
      </x:c>
    </x:row>
    <x:row r="3527" ht="93" customHeight="1">
      <x:c r="A3527" s="19" t="n">
        <x:v>3524</x:v>
      </x:c>
      <x:c r="B3527" s="22" t="e">
        <x:f>HYPERLINK("https://cdn.shopify.com/s/files/1/0918/6066/4603/files/O1CN013M0H3K27ZUkknnLta__2220024697811-0-cib.jpg?v=1774944824","Open")</x:f>
        <x:v>HYPERLINK is not implemented. linkLocation=https://cdn.shopify.com/s/files/1/0918/6066/4603/files/O1CN013M0H3K27ZUkknnLta__2220024697811-0-cib.jpg?v=1774944824, friendlyName=Open</x:v>
      </x:c>
      <x:c r="C3527" s="24" t="e">
        <x:f>HYPERLINK("https://365nails.com/products/365nails-chic-noir-3d-bow-handmade-almond-nails","365nails: ""Chic Noir"" – 3D Bow Handmade Almond Nails")</x:f>
        <x:v>HYPERLINK is not implemented. linkLocation=https://365nails.com/products/365nails-chic-noir-3d-bow-handmade-almond-nails, friendlyName=365nails: "Chic Noir" – 3D Bow Handmade Almond Nails</x:v>
      </x:c>
      <x:c r="D3527" s="18" t="str">
        <x:v>Color: Almond; Color classification: Xs / S / M / L</x:v>
      </x:c>
      <x:c r="E3527" s="25" t="str">
        <x:v>$3.99</x:v>
      </x:c>
      <x:c r="F3527" s="19" t="str">
        <x:v>3</x:v>
      </x:c>
    </x:row>
    <x:row r="3528" ht="93" customHeight="1">
      <x:c r="A3528" s="19" t="n">
        <x:v>3525</x:v>
      </x:c>
      <x:c r="B3528" s="22" t="e">
        <x:f>HYPERLINK("https://cdn.shopify.com/s/files/1/0918/6066/4603/files/O1CN01TZwc6w27ZUmGJjKJd__2220024697811-0-cib.jpg?v=1774926971","Open")</x:f>
        <x:v>HYPERLINK is not implemented. linkLocation=https://cdn.shopify.com/s/files/1/0918/6066/4603/files/O1CN01TZwc6w27ZUmGJjKJd__2220024697811-0-cib.jpg?v=1774926971, friendlyName=Open</x:v>
      </x:c>
      <x:c r="C3528" s="24" t="e">
        <x:f>HYPERLINK("https://365nails.com/products/365nails-emerald-majesty-3d-floral-gold-handmade-square-nails","365nails: ""Emerald Majesty"" – 3D Floral &amp; Gold Handmade Square Nails")</x:f>
        <x:v>HYPERLINK is not implemented. linkLocation=https://365nails.com/products/365nails-emerald-majesty-3d-floral-gold-handmade-square-nails, friendlyName=365nails: "Emerald Majesty" – 3D Floral &amp; Gold Handmade Square Nails</x:v>
      </x:c>
      <x:c r="D3528" s="18" t="str">
        <x:v>Color: Right angle t; Color classification: Xs / S / M / L</x:v>
      </x:c>
      <x:c r="E3528" s="25" t="str">
        <x:v>$4.99</x:v>
      </x:c>
      <x:c r="F3528" s="19" t="str">
        <x:v>3</x:v>
      </x:c>
    </x:row>
    <x:row r="3529" ht="93" customHeight="1">
      <x:c r="A3529" s="19" t="n">
        <x:v>3526</x:v>
      </x:c>
      <x:c r="B3529" s="22" t="e">
        <x:f>HYPERLINK("https://cdn.shopify.com/s/files/1/0918/6066/4603/files/O1CN01rVSPA02MQzfpBPJ21__2219089449823-0-cib.jpg?v=1774275788","Open")</x:f>
        <x:v>HYPERLINK is not implemented. linkLocation=https://cdn.shopify.com/s/files/1/0918/6066/4603/files/O1CN01rVSPA02MQzfpBPJ21__2219089449823-0-cib.jpg?v=1774275788, friendlyName=Open</x:v>
      </x:c>
      <x:c r="C3529" s="24" t="e">
        <x:f>HYPERLINK("https://365nails.com/products/sacred-grace-divine-crimson-short-square-press-on-nails","Sacred Grace: ""Divine Crimson"" – Short Square Press-On Nails")</x:f>
        <x:v>HYPERLINK is not implemented. linkLocation=https://365nails.com/products/sacred-grace-divine-crimson-short-square-press-on-nails, friendlyName=Sacred Grace: "Divine Crimson" – Short Square Press-On Nails</x:v>
      </x:c>
      <x:c r="D3529" s="18" t="str">
        <x:v>Color: L298; Color classification: X s / S / M / L</x:v>
      </x:c>
      <x:c r="E3529" s="25" t="str">
        <x:v>$4.99</x:v>
      </x:c>
      <x:c r="F3529" s="19" t="str">
        <x:v>1</x:v>
      </x:c>
    </x:row>
    <x:row r="3530" ht="93" customHeight="1">
      <x:c r="A3530" s="19" t="n">
        <x:v>3527</x:v>
      </x:c>
      <x:c r="B3530" s="22" t="e">
        <x:f>HYPERLINK("https://cdn.shopify.com/s/files/1/0918/6066/4603/files/998fccb27713f74581cdebeca799b85d.jpg?v=1772976608","Open")</x:f>
        <x:v>HYPERLINK is not implemented. linkLocation=https://cdn.shopify.com/s/files/1/0918/6066/4603/files/998fccb27713f74581cdebeca799b85d.jpg?v=1772976608, friendlyName=Open</x:v>
      </x:c>
      <x:c r="C3530" s="24" t="e">
        <x:f>HYPERLINK("https://365nails.com/products/pro-c-curve-collection-extended-denim-c-arc-extended-denim-nail-tips","Pro C-Curve Collection: ""Extended Denim"" – C-Arc Extended Denim Nail Tips")</x:f>
        <x:v>HYPERLINK is not implemented. linkLocation=https://365nails.com/products/pro-c-curve-collection-extended-denim-c-arc-extended-denim-nail-tips, friendlyName=Pro C-Curve Collection: "Extended Denim" – C-Arc Extended Denim Nail Tips</x:v>
      </x:c>
      <x:c r="D3530" s="18" t="str">
        <x:v>Color: Traceless-240 pieces/box / Traceless-504 pieces/bag / Traceless-480 pieces/box / Ordinary-240 pieces-pp box / Ordinary-504 pieces-pp bag / Ordinary-480 pieces-ps box</x:v>
      </x:c>
      <x:c r="E3530" s="25" t="str">
        <x:v>$1.23–$2.69</x:v>
      </x:c>
      <x:c r="F3530" s="19" t="str">
        <x:v>3</x:v>
      </x:c>
    </x:row>
    <x:row r="3531" ht="93" customHeight="1">
      <x:c r="A3531" s="19" t="n">
        <x:v>3528</x:v>
      </x:c>
      <x:c r="B3531" s="22" t="e">
        <x:f>HYPERLINK("https://cdn.shopify.com/s/files/1/0918/6066/4603/files/O1CN01MAV1sF2MQzdeJUT7H__2219089449823-0-cib.jpg?v=1774011018","Open")</x:f>
        <x:v>HYPERLINK is not implemented. linkLocation=https://cdn.shopify.com/s/files/1/0918/6066/4603/files/O1CN01MAV1sF2MQzdeJUT7H__2219089449823-0-cib.jpg?v=1774011018, friendlyName=Open</x:v>
      </x:c>
      <x:c r="C3531" s="24" t="e">
        <x:f>HYPERLINK("https://365nails.com/products/mango-tango-sunny-mango-almond-shape-handmade-3d-carved-press-on-nails","365nails-Mango Tango: ""Sunny Mango"" – Almond Shape Handmade 3D Carved Press-On Nails")</x:f>
        <x:v>HYPERLINK is not implemented. linkLocation=https://365nails.com/products/mango-tango-sunny-mango-almond-shape-handmade-3d-carved-press-on-nails, friendlyName=365nails-Mango Tango: "Sunny Mango" – Almond Shape Handmade 3D Carved Press-On Nails</x:v>
      </x:c>
      <x:c r="D3531" s="18" t="str">
        <x:v>Color: D472; Color classification: X s / S / M / L</x:v>
      </x:c>
      <x:c r="E3531" s="25" t="str">
        <x:v>$3.99</x:v>
      </x:c>
      <x:c r="F3531" s="19" t="str">
        <x:v>1</x:v>
      </x:c>
    </x:row>
    <x:row r="3532" ht="93" customHeight="1">
      <x:c r="A3532" s="19" t="n">
        <x:v>3529</x:v>
      </x:c>
      <x:c r="B3532" s="22" t="e">
        <x:f>HYPERLINK("https://cdn.shopify.com/s/files/1/0918/6066/4603/files/O1CN01nsxw882MQzeymowwx__2219089449823-0-cib.jpg?v=1774178766","Open")</x:f>
        <x:v>HYPERLINK is not implemented. linkLocation=https://cdn.shopify.com/s/files/1/0918/6066/4603/files/O1CN01nsxw882MQzeymowwx__2219089449823-0-cib.jpg?v=1774178766, friendlyName=Open</x:v>
      </x:c>
      <x:c r="C3532" s="24" t="e">
        <x:f>HYPERLINK("https://365nails.com/products/gothic-starlight-noir-cross-long-square-press-on-nails","Gothic Starlight: ""Noir Cross"" – Long Square Press-On Nails")</x:f>
        <x:v>HYPERLINK is not implemented. linkLocation=https://365nails.com/products/gothic-starlight-noir-cross-long-square-press-on-nails, friendlyName=Gothic Starlight: "Noir Cross" – Long Square Press-On Nails</x:v>
      </x:c>
      <x:c r="D3532" s="18" t="str">
        <x:v>Color: L237; Color classification: X s / S / M / L</x:v>
      </x:c>
      <x:c r="E3532" s="25" t="str">
        <x:v>$4.99</x:v>
      </x:c>
      <x:c r="F3532" s="19" t="str">
        <x:v>1</x:v>
      </x:c>
    </x:row>
    <x:row r="3533" ht="93" customHeight="1">
      <x:c r="A3533" s="19" t="n">
        <x:v>3530</x:v>
      </x:c>
      <x:c r="B3533" s="22" t="e">
        <x:f>HYPERLINK("https://cdn.shopify.com/s/files/1/0918/6066/4603/files/7cef12805b25eedbe46254498e20e078.jpg?v=1778317072","Open")</x:f>
        <x:v>HYPERLINK is not implemented. linkLocation=https://cdn.shopify.com/s/files/1/0918/6066/4603/files/7cef12805b25eedbe46254498e20e078.jpg?v=1778317072, friendlyName=Open</x:v>
      </x:c>
      <x:c r="C3533" s="24" t="e">
        <x:f>HYPERLINK("https://365nails.com/products/365nails-pink-honeycomb-rhinestone-arch-geometric-handmade-coffin-nails","365nails: ""Pink Honeycomb"" – Rhinestone Arch &amp; Geometric Handmade Coffin Nails")</x:f>
        <x:v>HYPERLINK is not implemented. linkLocation=https://365nails.com/products/365nails-pink-honeycomb-rhinestone-arch-geometric-handmade-coffin-nails, friendlyName=365nails: "Pink Honeycomb" – Rhinestone Arch &amp; Geometric Handmade Coffin Nails</x:v>
      </x:c>
      <x:c r="D3533" s="18" t="str">
        <x:v>Size: XS / S / M / L</x:v>
      </x:c>
      <x:c r="E3533" s="25" t="str">
        <x:v>$3.99</x:v>
      </x:c>
      <x:c r="F3533" s="19" t="str">
        <x:v>5</x:v>
      </x:c>
    </x:row>
    <x:row r="3534" ht="93" customHeight="1">
      <x:c r="A3534" s="19" t="n">
        <x:v>3531</x:v>
      </x:c>
      <x:c r="B3534" s="22" t="e">
        <x:f>HYPERLINK("https://cdn.shopify.com/s/files/1/0918/6066/4603/files/O1CN01yqb4pB2MQzek7ChPr__2219089449823-0-cib.jpg?v=1774453125","Open")</x:f>
        <x:v>HYPERLINK is not implemented. linkLocation=https://cdn.shopify.com/s/files/1/0918/6066/4603/files/O1CN01yqb4pB2MQzek7ChPr__2219089449823-0-cib.jpg?v=1774453125, friendlyName=Open</x:v>
      </x:c>
      <x:c r="C3534" s="24" t="e">
        <x:f>HYPERLINK("https://365nails.com/products/punk-royal-spiked-heart-short-almond-handmade-press-on-nails","Punk Royal: ""Spiked Heart"" – Short Almond Handmade Press On Nails")</x:f>
        <x:v>HYPERLINK is not implemented. linkLocation=https://365nails.com/products/punk-royal-spiked-heart-short-almond-handmade-press-on-nails, friendlyName=Punk Royal: "Spiked Heart" – Short Almond Handmade Press On Nails</x:v>
      </x:c>
      <x:c r="D3534" s="18" t="str">
        <x:v>Color: L221; Color classification: X s / S / M / L</x:v>
      </x:c>
      <x:c r="E3534" s="25" t="str">
        <x:v>$4.99</x:v>
      </x:c>
      <x:c r="F3534" s="19" t="str">
        <x:v>1</x:v>
      </x:c>
    </x:row>
    <x:row r="3535" ht="93" customHeight="1">
      <x:c r="A3535" s="19" t="n">
        <x:v>3532</x:v>
      </x:c>
      <x:c r="B3535" s="22" t="e">
        <x:f>HYPERLINK("https://cdn.shopify.com/s/files/1/0918/6066/4603/files/O1CN01Z8ChH72MQze2cHpNG__2219089449823-0-cib.jpg?v=1774097031","Open")</x:f>
        <x:v>HYPERLINK is not implemented. linkLocation=https://cdn.shopify.com/s/files/1/0918/6066/4603/files/O1CN01Z8ChH72MQze2cHpNG__2219089449823-0-cib.jpg?v=1774097031, friendlyName=Open</x:v>
      </x:c>
      <x:c r="C3535" s="24" t="e">
        <x:f>HYPERLINK("https://365nails.com/products/daisy-dream-buttercup-almond-press-ons","Daisy Dream: ""Buttercup"" – Almond Press-Ons")</x:f>
        <x:v>HYPERLINK is not implemented. linkLocation=https://365nails.com/products/daisy-dream-buttercup-almond-press-ons, friendlyName=Daisy Dream: "Buttercup" – Almond Press-Ons</x:v>
      </x:c>
      <x:c r="D3535" s="18" t="str">
        <x:v>Color: D531; Color classification: X s / S / M / L</x:v>
      </x:c>
      <x:c r="E3535" s="25" t="str">
        <x:v>$3.99</x:v>
      </x:c>
      <x:c r="F3535" s="19" t="str">
        <x:v>1</x:v>
      </x:c>
    </x:row>
    <x:row r="3536" ht="93" customHeight="1">
      <x:c r="A3536" s="19" t="n">
        <x:v>3533</x:v>
      </x:c>
      <x:c r="B3536" s="22" t="e">
        <x:f>HYPERLINK("https://cdn.shopify.com/s/files/1/0918/6066/4603/files/e297724215f6677fda98819b85dff294.jpg?v=1778337314","Open")</x:f>
        <x:v>HYPERLINK is not implemented. linkLocation=https://cdn.shopify.com/s/files/1/0918/6066/4603/files/e297724215f6677fda98819b85dff294.jpg?v=1778337314, friendlyName=Open</x:v>
      </x:c>
      <x:c r="C3536" s="24" t="e">
        <x:f>HYPERLINK("https://365nails.com/products/365nails-wild-luxury-3d-gold-chain-leopard-print-handmade-square-nails","365nails: ""Wild Luxury"" – 3D Gold Chain Leopard Print Handmade Square Nails")</x:f>
        <x:v>HYPERLINK is not implemented. linkLocation=https://365nails.com/products/365nails-wild-luxury-3d-gold-chain-leopard-print-handmade-square-nails, friendlyName=365nails: "Wild Luxury" – 3D Gold Chain Leopard Print Handmade Square Nails</x:v>
      </x:c>
      <x:c r="D3536" s="18" t="str">
        <x:v>Size: XS / S / M / L</x:v>
      </x:c>
      <x:c r="E3536" s="25" t="str">
        <x:v>$2.49</x:v>
      </x:c>
      <x:c r="F3536" s="19" t="str">
        <x:v>5</x:v>
      </x:c>
    </x:row>
    <x:row r="3537" ht="93" customHeight="1">
      <x:c r="A3537" s="19" t="n">
        <x:v>3534</x:v>
      </x:c>
      <x:c r="B3537" s="22" t="e">
        <x:f>HYPERLINK("https://cdn.shopify.com/s/files/1/0918/6066/4603/files/O1CN01zgCm8K27ZUkYmIp31__2220024697811-0-cib.jpg?v=1774929343","Open")</x:f>
        <x:v>HYPERLINK is not implemented. linkLocation=https://cdn.shopify.com/s/files/1/0918/6066/4603/files/O1CN01zgCm8K27ZUkYmIp31__2220024697811-0-cib.jpg?v=1774929343, friendlyName=Open</x:v>
      </x:c>
      <x:c r="C3537" s="24" t="e">
        <x:f>HYPERLINK("https://365nails.com/products/365nails-rainbow-reverie-3d-floral-crystal-handmade-coffin-nails","365nails: ""Rainbow Reverie"" – 3D Floral Crystal Handmade Coffin Nails")</x:f>
        <x:v>HYPERLINK is not implemented. linkLocation=https://365nails.com/products/365nails-rainbow-reverie-3d-floral-crystal-handmade-coffin-nails, friendlyName=365nails: "Rainbow Reverie" – 3D Floral Crystal Handmade Coffin Nails</x:v>
      </x:c>
      <x:c r="D3537" s="18" t="str">
        <x:v>Color: Duckbill; Color classification: Xs / S / M / L</x:v>
      </x:c>
      <x:c r="E3537" s="25" t="str">
        <x:v>$4.99</x:v>
      </x:c>
      <x:c r="F3537" s="19" t="str">
        <x:v>3</x:v>
      </x:c>
    </x:row>
    <x:row r="3538" ht="93" customHeight="1">
      <x:c r="A3538" s="19" t="n">
        <x:v>3535</x:v>
      </x:c>
      <x:c r="B3538" s="22" t="e">
        <x:f>HYPERLINK("https://cdn.shopify.com/s/files/1/0918/6066/4603/files/O1CN01vncy0x1CPw5dw3NIn__2213196780074-0-cib_ca648104-f6b5-4079-8297-ed7d4d4ae3a8.jpg?v=1774861234","Open")</x:f>
        <x:v>HYPERLINK is not implemented. linkLocation=https://cdn.shopify.com/s/files/1/0918/6066/4603/files/O1CN01vncy0x1CPw5dw3NIn__2213196780074-0-cib_ca648104-f6b5-4079-8297-ed7d4d4ae3a8.jpg?v=1774861234, friendlyName=Open</x:v>
      </x:c>
      <x:c r="C3538" s="24" t="e">
        <x:f>HYPERLINK("https://365nails.com/products/365nails-blue-french-fantasy-3d-star-crystal-handmade-square-nails","365nails: ""Blue French Fantasy"" – 3D Star &amp; Crystal Handmade Square Nails")</x:f>
        <x:v>HYPERLINK is not implemented. linkLocation=https://365nails.com/products/365nails-blue-french-fantasy-3d-star-crystal-handmade-square-nails, friendlyName=365nails: "Blue French Fantasy" – 3D Star &amp; Crystal Handmade Square Nails</x:v>
      </x:c>
      <x:c r="D3538" s="18" t="str">
        <x:v>Color: Extra small size xs / Small s / Medium m / Large l; Specification type: Blue french plaid</x:v>
      </x:c>
      <x:c r="E3538" s="25" t="str">
        <x:v>$2.99</x:v>
      </x:c>
      <x:c r="F3538" s="19" t="str">
        <x:v>1</x:v>
      </x:c>
    </x:row>
    <x:row r="3539" ht="93" customHeight="1">
      <x:c r="A3539" s="19" t="n">
        <x:v>3536</x:v>
      </x:c>
      <x:c r="B3539" s="22" t="e">
        <x:f>HYPERLINK("https://cdn.shopify.com/s/files/1/0918/6066/4603/files/O1CN01ZmUDHI2214vbT0UQE__2219480337059-0-cib.jpg?v=1773824689","Open")</x:f>
        <x:v>HYPERLINK is not implemented. linkLocation=https://cdn.shopify.com/s/files/1/0918/6066/4603/files/O1CN01ZmUDHI2214vbT0UQE__2219480337059-0-cib.jpg?v=1773824689, friendlyName=Open</x:v>
      </x:c>
      <x:c r="C3539" s="24" t="e">
        <x:f>HYPERLINK("https://365nails.com/products/christmas-kids-series-festive-santa-reindeer-short-square-kids-nail-art","365nails-Christmas Kids Series: ""Festive Santa &amp; Reindeer"" – Short Square Kids Nail Art")</x:f>
        <x:v>HYPERLINK is not implemented. linkLocation=https://365nails.com/products/christmas-kids-series-festive-santa-reindeer-short-square-kids-nail-art, friendlyName=365nails-Christmas Kids Series: "Festive Santa &amp; Reindeer" – Short Square Kids Nail Art</x:v>
      </x:c>
      <x:c r="D3539" s="18" t="str">
        <x:v>Color: H9256 happy christmas; Color classification: Xs (about 2 years old) / S (3-4 years old) / M (5-7 years old) / L (8-11 years old)</x:v>
      </x:c>
      <x:c r="E3539" s="25" t="str">
        <x:v>$2.99</x:v>
      </x:c>
      <x:c r="F3539" s="19" t="str">
        <x:v>3</x:v>
      </x:c>
    </x:row>
    <x:row r="3540" ht="93" customHeight="1">
      <x:c r="A3540" s="19" t="n">
        <x:v>3537</x:v>
      </x:c>
      <x:c r="B3540" s="22" t="e">
        <x:f>HYPERLINK("https://cdn.shopify.com/s/files/1/0918/6066/4603/files/01e691ca45a9189e1c78169763f17f8c.jpg?v=1776170007","Open")</x:f>
        <x:v>HYPERLINK is not implemented. linkLocation=https://cdn.shopify.com/s/files/1/0918/6066/4603/files/01e691ca45a9189e1c78169763f17f8c.jpg?v=1776170007, friendlyName=Open</x:v>
      </x:c>
      <x:c r="C3540" s="24" t="e">
        <x:f>HYPERLINK("https://365nails.com/products/365nails-sweet-treats-3d-cartoon-handmade-short-square-nails","365nails: ""Sweet Treats"" – 3D Cartoon Handmade Short Square Nails")</x:f>
        <x:v>HYPERLINK is not implemented. linkLocation=https://365nails.com/products/365nails-sweet-treats-3d-cartoon-handmade-short-square-nails, friendlyName=365nails: "Sweet Treats" – 3D Cartoon Handmade Short Square Nails</x:v>
      </x:c>
      <x:c r="D3540" s="18" t="str">
        <x:v>Size: XS / S / M / L</x:v>
      </x:c>
      <x:c r="E3540" s="25" t="str">
        <x:v>$1.99</x:v>
      </x:c>
      <x:c r="F3540" s="19" t="str">
        <x:v>3</x:v>
      </x:c>
    </x:row>
    <x:row r="3541" ht="93" customHeight="1">
      <x:c r="A3541" s="19" t="n">
        <x:v>3538</x:v>
      </x:c>
      <x:c r="B3541" s="22" t="e">
        <x:f>HYPERLINK("https://cdn.shopify.com/s/files/1/0918/6066/4603/files/O1CN01MxzgtQ2MQzdqDpBm9__2219089449823-0-cib.jpg?v=1774452968","Open")</x:f>
        <x:v>HYPERLINK is not implemented. linkLocation=https://cdn.shopify.com/s/files/1/0918/6066/4603/files/O1CN01MxzgtQ2MQzdqDpBm9__2219089449823-0-cib.jpg?v=1774452968, friendlyName=Open</x:v>
      </x:c>
      <x:c r="C3541" s="24" t="e">
        <x:f>HYPERLINK("https://365nails.com/products/whimsical-carnival-cartoon-mix-medium-almond-handmade-press-on-nails","Whimsical Carnival: ""Cartoon Mix"" – Medium Almond Handmade Press On Nails")</x:f>
        <x:v>HYPERLINK is not implemented. linkLocation=https://365nails.com/products/whimsical-carnival-cartoon-mix-medium-almond-handmade-press-on-nails, friendlyName=Whimsical Carnival: "Cartoon Mix" – Medium Almond Handmade Press On Nails</x:v>
      </x:c>
      <x:c r="D3541" s="18" t="str">
        <x:v>Color: D427; Color classification: X s / S / M / L</x:v>
      </x:c>
      <x:c r="E3541" s="25" t="str">
        <x:v>$3.49</x:v>
      </x:c>
      <x:c r="F3541" s="19" t="str">
        <x:v>1</x:v>
      </x:c>
    </x:row>
    <x:row r="3542" ht="93" customHeight="1">
      <x:c r="A3542" s="19" t="n">
        <x:v>3539</x:v>
      </x:c>
      <x:c r="B3542" s="22" t="e">
        <x:f>HYPERLINK("https://cdn.shopify.com/s/files/1/0918/6066/4603/files/O1CN01ZxyLj62214uahwMC2__2219480337059-0-cib.jpg?v=1773321001","Open")</x:f>
        <x:v>HYPERLINK is not implemented. linkLocation=https://cdn.shopify.com/s/files/1/0918/6066/4603/files/O1CN01ZxyLj62214uahwMC2__2219480337059-0-cib.jpg?v=1773321001, friendlyName=Open</x:v>
      </x:c>
      <x:c r="C3542" s="24" t="e">
        <x:f>HYPERLINK("https://365nails.com/products/365nails-retro-red-floral-short-round-handmade-kids-press-on-nails","365nails: ""retro red floral"" – short round handmade kids press-on nails")</x:f>
        <x:v>HYPERLINK is not implemented. linkLocation=https://365nails.com/products/365nails-retro-red-floral-short-round-handmade-kids-press-on-nails, friendlyName=365nails: "retro red floral" – short round handmade kids press-on nails</x:v>
      </x:c>
      <x:c r="D3542" s="18" t="str">
        <x:v>Color: Flower bow; Color classification: Xs (about 2 years old) / S (3-4 years old) / M (5-7 years old) / L (8-11 years old)</x:v>
      </x:c>
      <x:c r="E3542" s="25" t="str">
        <x:v>$2.99</x:v>
      </x:c>
      <x:c r="F3542" s="19" t="str">
        <x:v>3</x:v>
      </x:c>
    </x:row>
    <x:row r="3543" ht="93" customHeight="1">
      <x:c r="A3543" s="19" t="n">
        <x:v>3540</x:v>
      </x:c>
      <x:c r="B3543" s="22" t="e">
        <x:f>HYPERLINK("https://cdn.shopify.com/s/files/1/0918/6066/4603/files/O1CN01XG0Rej27ZUkdq7Cig__2220024697811-0-cib.jpg?v=1774929397","Open")</x:f>
        <x:v>HYPERLINK is not implemented. linkLocation=https://cdn.shopify.com/s/files/1/0918/6066/4603/files/O1CN01XG0Rej27ZUkdq7Cig__2220024697811-0-cib.jpg?v=1774929397, friendlyName=Open</x:v>
      </x:c>
      <x:c r="C3543" s="24" t="e">
        <x:f>HYPERLINK("https://365nails.com/products/365nails-pastel-whisper-3d-floral-handmade-almond-nails","365nails: ""Pastel Whisper"" – 3D Floral Handmade Almond Nails")</x:f>
        <x:v>HYPERLINK is not implemented. linkLocation=https://365nails.com/products/365nails-pastel-whisper-3d-floral-handmade-almond-nails, friendlyName=365nails: "Pastel Whisper" – 3D Floral Handmade Almond Nails</x:v>
      </x:c>
      <x:c r="D3543" s="18" t="str">
        <x:v>Color: Almond; Color classification: Xs / S / M / L</x:v>
      </x:c>
      <x:c r="E3543" s="25" t="str">
        <x:v>$3.99</x:v>
      </x:c>
      <x:c r="F3543" s="19" t="str">
        <x:v>3</x:v>
      </x:c>
    </x:row>
    <x:row r="3544" ht="93" customHeight="1">
      <x:c r="A3544" s="19" t="n">
        <x:v>3541</x:v>
      </x:c>
      <x:c r="B3544" s="22" t="e">
        <x:f>HYPERLINK("https://cdn.shopify.com/s/files/1/0918/6066/4603/files/456b90b44de2624682d297920b9d25a3.jpg?v=1773901364","Open")</x:f>
        <x:v>HYPERLINK is not implemented. linkLocation=https://cdn.shopify.com/s/files/1/0918/6066/4603/files/456b90b44de2624682d297920b9d25a3.jpg?v=1773901364, friendlyName=Open</x:v>
      </x:c>
      <x:c r="C3544" s="24" t="e">
        <x:f>HYPERLINK("https://365nails.com/products/365nails-dark-night-cross-star-handmade-press-on-nails-gothic-punk-street-cool","365Nails: ""Dark Night Cross Star"" – handmade press-on nails (Gothic Punk/Street Cool)")</x:f>
        <x:v>HYPERLINK is not implemented. linkLocation=https://365nails.com/products/365nails-dark-night-cross-star-handmade-press-on-nails-gothic-punk-street-cool, friendlyName=365Nails: "Dark Night Cross Star" – handmade press-on nails (Gothic Punk/Street Cool)</x:v>
      </x:c>
      <x:c r="D3544" s="18" t="str">
        <x:v>Size: XS / S / M / L</x:v>
      </x:c>
      <x:c r="E3544" s="25" t="str">
        <x:v>$3.99</x:v>
      </x:c>
      <x:c r="F3544" s="19" t="str">
        <x:v>5</x:v>
      </x:c>
    </x:row>
    <x:row r="3545" ht="93" customHeight="1">
      <x:c r="A3545" s="19" t="n">
        <x:v>3542</x:v>
      </x:c>
      <x:c r="B3545" s="22" t="e">
        <x:f>HYPERLINK("https://cdn.shopify.com/s/files/1/0918/6066/4603/files/O1CN01JncWnU2214sGSi7MT__2219480337059-0-cib_2cdc9f22-04a2-488e-8dee-4d27cfffe000.jpg?v=1773197202","Open")</x:f>
        <x:v>HYPERLINK is not implemented. linkLocation=https://cdn.shopify.com/s/files/1/0918/6066/4603/files/O1CN01JncWnU2214sGSi7MT__2219480337059-0-cib_2cdc9f22-04a2-488e-8dee-4d27cfffe000.jpg?v=1773197202, friendlyName=Open</x:v>
      </x:c>
      <x:c r="C3545" s="24" t="e">
        <x:f>HYPERLINK("https://365nails.com/products/365nails-caramel-capybara-breakfast-short-squoval-handmade-kids-press-on-nails","365nails: ""caramel capybara breakfast"" – short squoval handmade kids press-on nails")</x:f>
        <x:v>HYPERLINK is not implemented. linkLocation=https://365nails.com/products/365nails-caramel-capybara-breakfast-short-squoval-handmade-kids-press-on-nails, friendlyName=365nails: "caramel capybara breakfast" – short squoval handmade kids press-on nails</x:v>
      </x:c>
      <x:c r="D3545" s="18" t="str">
        <x:v>Color: Egg crust; Color classification: Xs (about 2 years old) / S (3-4 years old) / M (5-7 years old) / L (8-11 years old)</x:v>
      </x:c>
      <x:c r="E3545" s="25" t="str">
        <x:v>$2.99</x:v>
      </x:c>
      <x:c r="F3545" s="19" t="str">
        <x:v>3</x:v>
      </x:c>
    </x:row>
    <x:row r="3546" ht="93" customHeight="1">
      <x:c r="A3546" s="19" t="n">
        <x:v>3543</x:v>
      </x:c>
      <x:c r="B3546" s="22" t="e">
        <x:f>HYPERLINK("https://cdn.shopify.com/s/files/1/0918/6066/4603/files/O1CN01gOauXd2MQzdZRawpn__2219089449823-0-cib.jpg?v=1774011006","Open")</x:f>
        <x:v>HYPERLINK is not implemented. linkLocation=https://cdn.shopify.com/s/files/1/0918/6066/4603/files/O1CN01gOauXd2MQzdZRawpn__2219089449823-0-cib.jpg?v=1774011006, friendlyName=Open</x:v>
      </x:c>
      <x:c r="C3546" s="24" t="e">
        <x:f>HYPERLINK("https://365nails.com/products/%E8%B7%A8%E5%A2%83%E6%AC%A7%E7%BE%8E%E6%9D%8F%E4%BB%81%E7%94%B23d%E9%9B%95%E8%8A%B1%E5%A5%B6%E9%BB%84%E6%B3%95%E5%BC%8F%E7%BA%AF%E6%89%8B%E5%B7%A5%E7%A9%BF%E6%88%B4%E7%94%B2pressonnails%E6%88%90%E5%93%81%E6%89%B9%E5%8F%91","Citrus Bloom: ""Fruity Floral"" – Almond Shape Handmade Painted Press-On Nails")</x:f>
        <x:v>HYPERLINK is not implemented. linkLocation=https://365nails.com/products/%E8%B7%A8%E5%A2%83%E6%AC%A7%E7%BE%8E%E6%9D%8F%E4%BB%81%E7%94%B23d%E9%9B%95%E8%8A%B1%E5%A5%B6%E9%BB%84%E6%B3%95%E5%BC%8F%E7%BA%AF%E6%89%8B%E5%B7%A5%E7%A9%BF%E6%88%B4%E7%94%B2pressonnails%E6%88%90%E5%93%81%E6%89%B9%E5%8F%91, friendlyName=Citrus Bloom: "Fruity Floral" – Almond Shape Handmade Painted Press-On Nails</x:v>
      </x:c>
      <x:c r="D3546" s="18" t="str">
        <x:v>Color: D475; Color classification: X s / S / M / L</x:v>
      </x:c>
      <x:c r="E3546" s="25" t="str">
        <x:v>$3.99</x:v>
      </x:c>
      <x:c r="F3546" s="19" t="str">
        <x:v>1</x:v>
      </x:c>
    </x:row>
    <x:row r="3547" ht="93" customHeight="1">
      <x:c r="A3547" s="19" t="n">
        <x:v>3544</x:v>
      </x:c>
      <x:c r="B3547" s="22" t="e">
        <x:f>HYPERLINK("https://cdn.shopify.com/s/files/1/0918/6066/4603/files/O1CN01MnbvTa1CPwJev5MZt__2213196780074-0-cib.jpg?v=1775915811","Open")</x:f>
        <x:v>HYPERLINK is not implemented. linkLocation=https://cdn.shopify.com/s/files/1/0918/6066/4603/files/O1CN01MnbvTa1CPwJev5MZt__2213196780074-0-cib.jpg?v=1775915811, friendlyName=Open</x:v>
      </x:c>
      <x:c r="C3547" s="24" t="e">
        <x:f>HYPERLINK("https://365nails.com/products/365nails-midnight-ruby-3d-gemstone-handmade-long-almond-nails","365nails: ""Midnight Ruby"" – 3D Gemstone Handmade Long Almond Nails")</x:f>
        <x:v>HYPERLINK is not implemented. linkLocation=https://365nails.com/products/365nails-midnight-ruby-3d-gemstone-handmade-long-almond-nails, friendlyName=365nails: "Midnight Ruby" – 3D Gemstone Handmade Long Almond Nails</x:v>
      </x:c>
      <x:c r="D3547" s="18" t="str">
        <x:v>Color: Extra small size xs / Small s / Medium m / Large l; Specification type: 2444 long pointed round</x:v>
      </x:c>
      <x:c r="E3547" s="25" t="str">
        <x:v>$3.99</x:v>
      </x:c>
      <x:c r="F3547" s="19" t="str">
        <x:v>3</x:v>
      </x:c>
    </x:row>
    <x:row r="3548" ht="93" customHeight="1">
      <x:c r="A3548" s="19" t="n">
        <x:v>3545</x:v>
      </x:c>
      <x:c r="B3548" s="22" t="e">
        <x:f>HYPERLINK("https://cdn.shopify.com/s/files/1/0918/6066/4603/files/O1CN01Ob78cv27ZUlXXtkyB__2220024697811-0-cib.jpg?v=1775113244","Open")</x:f>
        <x:v>HYPERLINK is not implemented. linkLocation=https://cdn.shopify.com/s/files/1/0918/6066/4603/files/O1CN01Ob78cv27ZUlXXtkyB__2220024697811-0-cib.jpg?v=1775113244, friendlyName=Open</x:v>
      </x:c>
      <x:c r="C3548" s="24" t="e">
        <x:f>HYPERLINK("https://365nails.com/products/365nails-cherry-dot-3d-cherry-french-tip-handmade-short-square-nails","365nails: ""Cherry Dot"" – 3D Cherry &amp; French Tip Handmade Short Square Nails")</x:f>
        <x:v>HYPERLINK is not implemented. linkLocation=https://365nails.com/products/365nails-cherry-dot-3d-cherry-french-tip-handmade-short-square-nails, friendlyName=365nails: "Cherry Dot" – 3D Cherry &amp; French Tip Handmade Short Square Nails</x:v>
      </x:c>
      <x:c r="D3548" s="18" t="str">
        <x:v>Color: Almond; Color classification: Xs / S / M / L</x:v>
      </x:c>
      <x:c r="E3548" s="25" t="str">
        <x:v>$4.49</x:v>
      </x:c>
      <x:c r="F3548" s="19" t="str">
        <x:v>3</x:v>
      </x:c>
    </x:row>
    <x:row r="3549" ht="93" customHeight="1">
      <x:c r="A3549" s="19" t="n">
        <x:v>3546</x:v>
      </x:c>
      <x:c r="B3549" s="22" t="e">
        <x:f>HYPERLINK("https://cdn.shopify.com/s/files/1/0918/6066/4603/files/c2c8eb1b7cbfcbcbcbeace56e0acf1c2.jpg?v=1776244376","Open")</x:f>
        <x:v>HYPERLINK is not implemented. linkLocation=https://cdn.shopify.com/s/files/1/0918/6066/4603/files/c2c8eb1b7cbfcbcbcbeace56e0acf1c2.jpg?v=1776244376, friendlyName=Open</x:v>
      </x:c>
      <x:c r="C3549" s="24" t="e">
        <x:f>HYPERLINK("https://365nails.com/products/365nails-unicorn-dreams-3d-character-handmade-short-nails","365nails: ""Unicorn Dreams"" – 3D Character Handmade Short Nails")</x:f>
        <x:v>HYPERLINK is not implemented. linkLocation=https://365nails.com/products/365nails-unicorn-dreams-3d-character-handmade-short-nails, friendlyName=365nails: "Unicorn Dreams" – 3D Character Handmade Short Nails</x:v>
      </x:c>
      <x:c r="D3549" s="18" t="str">
        <x:v>Size: XS / S / M / L</x:v>
      </x:c>
      <x:c r="E3549" s="25" t="str">
        <x:v>$2.49</x:v>
      </x:c>
      <x:c r="F3549" s="19" t="str">
        <x:v>3</x:v>
      </x:c>
    </x:row>
    <x:row r="3550" ht="93" customHeight="1">
      <x:c r="A3550" s="19" t="n">
        <x:v>3547</x:v>
      </x:c>
      <x:c r="B3550" s="22" t="e">
        <x:f>HYPERLINK("https://cdn.shopify.com/s/files/1/0918/6066/4603/files/O1CN0155pdn92214tDFVitz__2219480337059-0-cib.jpg?v=1773320889","Open")</x:f>
        <x:v>HYPERLINK is not implemented. linkLocation=https://cdn.shopify.com/s/files/1/0918/6066/4603/files/O1CN0155pdn92214tDFVitz__2219480337059-0-cib.jpg?v=1773320889, friendlyName=Open</x:v>
      </x:c>
      <x:c r="C3550" s="24" t="e">
        <x:f>HYPERLINK("https://365nails.com/products/365nails-purple-star-pony-short-round-handmade-kids-press-on-nails","365nails: ""purple star pony"" – short round handmade kids press-on nails")</x:f>
        <x:v>HYPERLINK is not implemented. linkLocation=https://365nails.com/products/365nails-purple-star-pony-short-round-handmade-kids-press-on-nails, friendlyName=365nails: "purple star pony" – short round handmade kids press-on nails</x:v>
      </x:c>
      <x:c r="D3550" s="18" t="str">
        <x:v>Color: Pony ziyue; Color classification: Xs (about 2 years old) / S (3-4 years old) / M (5-7 years old) / L (8-11 years old)</x:v>
      </x:c>
      <x:c r="E3550" s="25" t="str">
        <x:v>$2.99</x:v>
      </x:c>
      <x:c r="F3550" s="19" t="str">
        <x:v>3</x:v>
      </x:c>
    </x:row>
    <x:row r="3551" ht="93" customHeight="1">
      <x:c r="A3551" s="19" t="n">
        <x:v>3548</x:v>
      </x:c>
      <x:c r="B3551" s="22" t="e">
        <x:f>HYPERLINK("https://cdn.shopify.com/s/files/1/0918/6066/4603/files/O1CN01Lb03nW1CPwJdHQWtS__2213196780074-0-cib.jpg?v=1775915742","Open")</x:f>
        <x:v>HYPERLINK is not implemented. linkLocation=https://cdn.shopify.com/s/files/1/0918/6066/4603/files/O1CN01Lb03nW1CPwJdHQWtS__2213196780074-0-cib.jpg?v=1775915742, friendlyName=Open</x:v>
      </x:c>
      <x:c r="C3551" s="24" t="e">
        <x:f>HYPERLINK("https://365nails.com/products/365nails-golden-dynasty-3d-floral-gem-handmade-long-stiletto-nails","365nails: ""Golden Dynasty"" – 3D Floral &amp; Gem Handmade Long Stiletto Nails")</x:f>
        <x:v>HYPERLINK is not implemented. linkLocation=https://365nails.com/products/365nails-golden-dynasty-3d-floral-gem-handmade-long-stiletto-nails, friendlyName=365nails: "Golden Dynasty" – 3D Floral &amp; Gem Handmade Long Stiletto Nails</x:v>
      </x:c>
      <x:c r="D3551" s="18" t="str">
        <x:v>Color: Extra small size xs / Small s / Medium m / Large l; Specification type: 1863 long water drop</x:v>
      </x:c>
      <x:c r="E3551" s="25" t="str">
        <x:v>$3.49</x:v>
      </x:c>
      <x:c r="F3551" s="19" t="str">
        <x:v>3</x:v>
      </x:c>
    </x:row>
    <x:row r="3552" ht="93" customHeight="1">
      <x:c r="A3552" s="19" t="n">
        <x:v>3549</x:v>
      </x:c>
      <x:c r="B3552" s="22" t="e">
        <x:f>HYPERLINK("https://cdn.shopify.com/s/files/1/0918/6066/4603/files/O1CN012i4uNX27ZUm7ajjpd__2220024697811-0-cib.jpg?v=1774959635","Open")</x:f>
        <x:v>HYPERLINK is not implemented. linkLocation=https://cdn.shopify.com/s/files/1/0918/6066/4603/files/O1CN012i4uNX27ZUm7ajjpd__2220024697811-0-cib.jpg?v=1774959635, friendlyName=Open</x:v>
      </x:c>
      <x:c r="C3552" s="24" t="e">
        <x:f>HYPERLINK("https://365nails.com/products/365nails-blooming-whisper-3d-floral-handmade-almond-nails-1","365nails: ""Blooming Whisper"" – 3D Floral Handmade Almond Nails")</x:f>
        <x:v>HYPERLINK is not implemented. linkLocation=https://365nails.com/products/365nails-blooming-whisper-3d-floral-handmade-almond-nails-1, friendlyName=365nails: "Blooming Whisper" – 3D Floral Handmade Almond Nails</x:v>
      </x:c>
      <x:c r="D3552" s="18" t="str">
        <x:v>Color: Duckbill; Color classification: Xs / S / M / L</x:v>
      </x:c>
      <x:c r="E3552" s="25" t="str">
        <x:v>$4.99</x:v>
      </x:c>
      <x:c r="F3552" s="19" t="str">
        <x:v>3</x:v>
      </x:c>
    </x:row>
    <x:row r="3553" ht="93" customHeight="1">
      <x:c r="A3553" s="19" t="n">
        <x:v>3550</x:v>
      </x:c>
      <x:c r="B3553" s="22" t="e">
        <x:f>HYPERLINK("https://cdn.shopify.com/s/files/1/0918/6066/4603/files/O1CN01lrR3n42MQzdBUltM5__2219089449823-0-cib.jpg?v=1774011283","Open")</x:f>
        <x:v>HYPERLINK is not implemented. linkLocation=https://cdn.shopify.com/s/files/1/0918/6066/4603/files/O1CN01lrR3n42MQzdBUltM5__2219089449823-0-cib.jpg?v=1774011283, friendlyName=Open</x:v>
      </x:c>
      <x:c r="C3553" s="24" t="e">
        <x:f>HYPERLINK("https://365nails.com/products/%E8%B7%A8%E5%A2%83%E5%A4%8F%E6%97%A5%E9%A3%8E%E6%83%85%E6%9D%8F%E4%BB%81%E6%89%8B%E5%B7%A5%E7%A9%BF%E6%88%B4%E7%94%B2%E6%B8%90%E5%8F%98%E6%B3%95%E5%BC%8F%E5%81%87%E6%8C%87%E7%94%B23d%E8%B4%9D%E5%A3%B3%E8%8A%B1%E5%8D%89%E5%8F%AF%E6%8B%86%E5%8D%B8%E7%94%B2%E7%89%87","Summer Breeze: ""Strawberry Sorbet"" – Almond Shape Handmade 3D Carved Press-On Nails")</x:f>
        <x:v>HYPERLINK is not implemented. linkLocation=https://365nails.com/products/%E8%B7%A8%E5%A2%83%E5%A4%8F%E6%97%A5%E9%A3%8E%E6%83%85%E6%9D%8F%E4%BB%81%E6%89%8B%E5%B7%A5%E7%A9%BF%E6%88%B4%E7%94%B2%E6%B8%90%E5%8F%98%E6%B3%95%E5%BC%8F%E5%81%87%E6%8C%87%E7%94%B23d%E8%B4%9D%E5%A3%B3%E8%8A%B1%E5%8D%89%E5%8F%AF%E6%8B%86%E5%8D%B8%E7%94%B2%E7%89%87, friendlyName=Summer Breeze: "Strawberry Sorbet" – Almond Shape Handmade 3D Carved Press-On Nails</x:v>
      </x:c>
      <x:c r="D3553" s="18" t="str">
        <x:v>Color: D464; Color classification: X s / S / M / L</x:v>
      </x:c>
      <x:c r="E3553" s="25" t="str">
        <x:v>$3.99</x:v>
      </x:c>
      <x:c r="F3553" s="19" t="str">
        <x:v>1</x:v>
      </x:c>
    </x:row>
    <x:row r="3554" ht="93" customHeight="1">
      <x:c r="A3554" s="19" t="n">
        <x:v>3551</x:v>
      </x:c>
      <x:c r="B3554" s="22" t="e">
        <x:f>HYPERLINK("https://cdn.shopify.com/s/files/1/0918/6066/4603/files/O1CN01ubUo5L2MQzdF7vwkw__2219089449823-0-cib.jpg?v=1774010889","Open")</x:f>
        <x:v>HYPERLINK is not implemented. linkLocation=https://cdn.shopify.com/s/files/1/0918/6066/4603/files/O1CN01ubUo5L2MQzdF7vwkw__2219089449823-0-cib.jpg?v=1774010889, friendlyName=Open</x:v>
      </x:c>
      <x:c r="C3554" s="24" t="e">
        <x:f>HYPERLINK("https://365nails.com/products/ocean-breeze-coral-starfish-almond-shape-handmade-3d-carved-press-on-nails","365nails-Ocean Breeze: ""Coral Starfish"" – Almond Shape Handmade 3D Carved Press-On Nails")</x:f>
        <x:v>HYPERLINK is not implemented. linkLocation=https://365nails.com/products/ocean-breeze-coral-starfish-almond-shape-handmade-3d-carved-press-on-nails, friendlyName=365nails-Ocean Breeze: "Coral Starfish" – Almond Shape Handmade 3D Carved Press-On Nails</x:v>
      </x:c>
      <x:c r="D3554" s="18" t="str">
        <x:v>Color: D411; Color classification: X s / S / M / L</x:v>
      </x:c>
      <x:c r="E3554" s="25" t="str">
        <x:v>$3.99</x:v>
      </x:c>
      <x:c r="F3554" s="19" t="str">
        <x:v>1</x:v>
      </x:c>
    </x:row>
    <x:row r="3555" ht="93" customHeight="1">
      <x:c r="A3555" s="19" t="n">
        <x:v>3552</x:v>
      </x:c>
      <x:c r="B3555" s="22" t="e">
        <x:f>HYPERLINK("https://cdn.shopify.com/s/files/1/0918/6066/4603/files/O1CN01u6exrH27ZUkCAoL0a__2220024697811-0-cib.jpg?v=1774928148","Open")</x:f>
        <x:v>HYPERLINK is not implemented. linkLocation=https://cdn.shopify.com/s/files/1/0918/6066/4603/files/O1CN01u6exrH27ZUkCAoL0a__2220024697811-0-cib.jpg?v=1774928148, friendlyName=Open</x:v>
      </x:c>
      <x:c r="C3555" s="24" t="e">
        <x:f>HYPERLINK("https://365nails.com/products/365nails-retro-bloom-3d-floral-handmade-almond-nails","365nails: ""Retro Bloom"" – 3D Floral Handmade Almond Nails")</x:f>
        <x:v>HYPERLINK is not implemented. linkLocation=https://365nails.com/products/365nails-retro-bloom-3d-floral-handmade-almond-nails, friendlyName=365nails: "Retro Bloom" – 3D Floral Handmade Almond Nails</x:v>
      </x:c>
      <x:c r="D3555" s="18" t="str">
        <x:v>Color: Almond; Color classification: Xs / S / M / L</x:v>
      </x:c>
      <x:c r="E3555" s="25" t="str">
        <x:v>$4.99</x:v>
      </x:c>
      <x:c r="F3555" s="19" t="str">
        <x:v>3</x:v>
      </x:c>
    </x:row>
    <x:row r="3556" ht="93" customHeight="1">
      <x:c r="A3556" s="19" t="n">
        <x:v>3553</x:v>
      </x:c>
      <x:c r="B3556" s="22" t="e">
        <x:f>HYPERLINK("https://cdn.shopify.com/s/files/1/0918/6066/4603/files/O1CN01UMcQDn2MQzdsvXE3F__2219089449823-0-cib.jpg?v=1774452999","Open")</x:f>
        <x:v>HYPERLINK is not implemented. linkLocation=https://cdn.shopify.com/s/files/1/0918/6066/4603/files/O1CN01UMcQDn2MQzdsvXE3F__2219089449823-0-cib.jpg?v=1774452999, friendlyName=Open</x:v>
      </x:c>
      <x:c r="C3556" s="24" t="e">
        <x:f>HYPERLINK("https://365nails.com/products/spring-whisper-tiger-bloom-medium-almond-handmade-press-on-nails","Spring Whisper: ""Tiger &amp; Bloom"" – Medium Almond Handmade Press On Nails")</x:f>
        <x:v>HYPERLINK is not implemented. linkLocation=https://365nails.com/products/spring-whisper-tiger-bloom-medium-almond-handmade-press-on-nails, friendlyName=Spring Whisper: "Tiger &amp; Bloom" – Medium Almond Handmade Press On Nails</x:v>
      </x:c>
      <x:c r="D3556" s="18" t="str">
        <x:v>Color: D421; Color classification: X s / S / M / L</x:v>
      </x:c>
      <x:c r="E3556" s="25" t="str">
        <x:v>$3.49</x:v>
      </x:c>
      <x:c r="F3556" s="19" t="str">
        <x:v>1</x:v>
      </x:c>
    </x:row>
    <x:row r="3557" ht="93" customHeight="1">
      <x:c r="A3557" s="19" t="n">
        <x:v>3554</x:v>
      </x:c>
      <x:c r="B3557" s="22" t="e">
        <x:f>HYPERLINK("https://cdn.shopify.com/s/files/1/0918/6066/4603/files/O1CN01nFvZvf2214wQreuwk__2219480337059-0-cib.jpg?v=1773320971","Open")</x:f>
        <x:v>HYPERLINK is not implemented. linkLocation=https://cdn.shopify.com/s/files/1/0918/6066/4603/files/O1CN01nFvZvf2214wQreuwk__2219480337059-0-cib.jpg?v=1773320971, friendlyName=Open</x:v>
      </x:c>
      <x:c r="C3557" s="24" t="e">
        <x:f>HYPERLINK("https://365nails.com/products/365nails-pastel-pink-lion-dance-short-round-handmade-kids-press-on-nails","365nails: ""pastel pink lion dance"" – short round handmade kids press-on nails")</x:f>
        <x:v>HYPERLINK is not implemented. linkLocation=https://365nails.com/products/365nails-pastel-pink-lion-dance-short-round-handmade-kids-press-on-nails, friendlyName=365nails: "pastel pink lion dance" – short round handmade kids press-on nails</x:v>
      </x:c>
      <x:c r="D3557" s="18" t="str">
        <x:v>Color: Pink heart awakening lion; Color classification: Xs (about 2 years old) / S (3-4 years old) / M (5-7 years old) / L (8-11 years old)</x:v>
      </x:c>
      <x:c r="E3557" s="25" t="str">
        <x:v>$2.99</x:v>
      </x:c>
      <x:c r="F3557" s="19" t="str">
        <x:v>3</x:v>
      </x:c>
    </x:row>
    <x:row r="3558" ht="93" customHeight="1">
      <x:c r="A3558" s="19" t="n">
        <x:v>3555</x:v>
      </x:c>
      <x:c r="B3558" s="22" t="e">
        <x:f>HYPERLINK("https://cdn.shopify.com/s/files/1/0918/6066/4603/files/O1CN01EPUFxt2214sYuKkL7__2219480337059-0-cib.jpg?v=1773321022","Open")</x:f>
        <x:v>HYPERLINK is not implemented. linkLocation=https://cdn.shopify.com/s/files/1/0918/6066/4603/files/O1CN01EPUFxt2214sYuKkL7__2219480337059-0-cib.jpg?v=1773321022, friendlyName=Open</x:v>
      </x:c>
      <x:c r="C3558" s="24" t="e">
        <x:f>HYPERLINK("https://365nails.com/products/365nails-silver-shimmer-kitty-short-round-handmade-kids-press-on-nails","365nails: ""silver shimmer kitty"" – short round handmade kids press-on nails")</x:f>
        <x:v>HYPERLINK is not implemented. linkLocation=https://365nails.com/products/365nails-silver-shimmer-kitty-short-round-handmade-kids-press-on-nails, friendlyName=365nails: "silver shimmer kitty" – short round handmade kids press-on nails</x:v>
      </x:c>
      <x:c r="D3558" s="18" t="str">
        <x:v>Color: Cat eye hello kitty; Color classification: Xs (about 2 years old) / S (3-4 years old) / M (5-7 years old) / L (8-11 years old)</x:v>
      </x:c>
      <x:c r="E3558" s="25" t="str">
        <x:v>$2.99</x:v>
      </x:c>
      <x:c r="F3558" s="19" t="str">
        <x:v>3</x:v>
      </x:c>
    </x:row>
    <x:row r="3559" ht="93" customHeight="1">
      <x:c r="A3559" s="19" t="n">
        <x:v>3556</x:v>
      </x:c>
      <x:c r="B3559" s="22" t="e">
        <x:f>HYPERLINK("https://cdn.shopify.com/s/files/1/0918/6066/4603/files/O1CN01aLpEh52214sVmzQBY__2219480337059-0-cib.jpg?v=1773824639","Open")</x:f>
        <x:v>HYPERLINK is not implemented. linkLocation=https://cdn.shopify.com/s/files/1/0918/6066/4603/files/O1CN01aLpEh52214sVmzQBY__2219480337059-0-cib.jpg?v=1773824639, friendlyName=Open</x:v>
      </x:c>
      <x:c r="C3559" s="24" t="e">
        <x:f>HYPERLINK("https://365nails.com/products/strawberry-bear-kids-series-sweet-berry-forest-short-square-kids-nail-art","365nails-Strawberry Bear Kids Series: ""Sweet Berry Forest"" – Short Square Kids Nail Art")</x:f>
        <x:v>HYPERLINK is not implemented. linkLocation=https://365nails.com/products/strawberry-bear-kids-series-sweet-berry-forest-short-square-kids-nail-art, friendlyName=365nails-Strawberry Bear Kids Series: "Sweet Berry Forest" – Short Square Kids Nail Art</x:v>
      </x:c>
      <x:c r="D3559" s="18" t="str">
        <x:v>Color: Hand drawn strawberry bear; Color classification: Xs (about 2 years old) / S (3-4 years old) / M (5-7 years old) / L (8-11 years old)</x:v>
      </x:c>
      <x:c r="E3559" s="25" t="str">
        <x:v>$2.99</x:v>
      </x:c>
      <x:c r="F3559" s="19" t="str">
        <x:v>3</x:v>
      </x:c>
    </x:row>
    <x:row r="3560" ht="93" customHeight="1">
      <x:c r="A3560" s="19" t="n">
        <x:v>3557</x:v>
      </x:c>
      <x:c r="B3560" s="22" t="e">
        <x:f>HYPERLINK("https://cdn.shopify.com/s/files/1/0918/6066/4603/files/O1CN01p6mUOX27ZUlDztyj7__2220024697811-0-cib.jpg?v=1775052946","Open")</x:f>
        <x:v>HYPERLINK is not implemented. linkLocation=https://cdn.shopify.com/s/files/1/0918/6066/4603/files/O1CN01p6mUOX27ZUlDztyj7__2220024697811-0-cib.jpg?v=1775052946, friendlyName=Open</x:v>
      </x:c>
      <x:c r="C3560" s="24" t="e">
        <x:f>HYPERLINK("https://365nails.com/products/365nails-golden-touch-3d-charm-marble-handmade-almond-nails","365nails: ""Golden Touch"" – 3D Charm &amp; Marble Handmade Almond Nails")</x:f>
        <x:v>HYPERLINK is not implemented. linkLocation=https://365nails.com/products/365nails-golden-touch-3d-charm-marble-handmade-almond-nails, friendlyName=365nails: "Golden Touch" – 3D Charm &amp; Marble Handmade Almond Nails</x:v>
      </x:c>
      <x:c r="D3560" s="18" t="str">
        <x:v>Color: Almond; Color classification: Xs / S / M / L</x:v>
      </x:c>
      <x:c r="E3560" s="25" t="str">
        <x:v>$4.49</x:v>
      </x:c>
      <x:c r="F3560" s="19" t="str">
        <x:v>3</x:v>
      </x:c>
    </x:row>
    <x:row r="3561" ht="93" customHeight="1">
      <x:c r="A3561" s="19" t="n">
        <x:v>3558</x:v>
      </x:c>
      <x:c r="B3561" s="22" t="e">
        <x:f>HYPERLINK("https://cdn.shopify.com/s/files/1/0918/6066/4603/files/6bc9e4abf2953cdf8806ae9cfb25672a.jpg?v=1772976617","Open")</x:f>
        <x:v>HYPERLINK is not implemented. linkLocation=https://cdn.shopify.com/s/files/1/0918/6066/4603/files/6bc9e4abf2953cdf8806ae9cfb25672a.jpg?v=1772976617, friendlyName=Open</x:v>
      </x:c>
      <x:c r="C3561" s="24" t="e">
        <x:f>HYPERLINK("https://365nails.com/products/pro-c-curve-collection-l-xl-xxl-tube-c-arc-extended-half-cover-tube-nail-tips","Pro C-Curve Collection: ""L/XL/XXL Tube"" – C-Arc Extended Half-Cover Tube Nail Tips")</x:f>
        <x:v>HYPERLINK is not implemented. linkLocation=https://365nails.com/products/pro-c-curve-collection-l-xl-xxl-tube-c-arc-extended-half-cover-tube-nail-tips, friendlyName=Pro C-Curve Collection: "L/XL/XXL Tube" – C-Arc Extended Half-Cover Tube Nail Tips</x:v>
      </x:c>
      <x:c r="D3561" s="18" t="str">
        <x:v>Color: 20-l-transparent-500 pieces in bag / 20-l-natural-500 tablets in bag / 20-l-transparent-500 pieces in box / 20-l-natural-500 tablets box / 157-xl-natural-550 tablets in bag / 157-xl-transparent-550 pieces in bag / 157-xl-transparent-440 pieces in box / 157-xl-natural-440 pieces in box / 155-xxl-transparent-500 pieces in bag / 155-xxl-natural 500 tablets bag / 155-xxl-transparent-400 pieces in box / 155-xxl-natural-400 pieces in box</x:v>
      </x:c>
      <x:c r="E3561" s="25" t="str">
        <x:v>$1.68–$2.69</x:v>
      </x:c>
      <x:c r="F3561" s="19" t="str">
        <x:v>3</x:v>
      </x:c>
    </x:row>
    <x:row r="3562" ht="93" customHeight="1">
      <x:c r="A3562" s="19" t="n">
        <x:v>3559</x:v>
      </x:c>
      <x:c r="B3562" s="22" t="e">
        <x:f>HYPERLINK("https://cdn.shopify.com/s/files/1/0918/6066/4603/files/O1CN01nQVIsv1CPwPvKhHE1__2213196780074-0-cib.jpg?v=1776739872","Open")</x:f>
        <x:v>HYPERLINK is not implemented. linkLocation=https://cdn.shopify.com/s/files/1/0918/6066/4603/files/O1CN01nQVIsv1CPwPvKhHE1__2213196780074-0-cib.jpg?v=1776739872, friendlyName=Open</x:v>
      </x:c>
      <x:c r="C3562" s="24" t="e">
        <x:f>HYPERLINK("https://365nails.com/products/365nails-neon-tropics-3d-floral-gradient-handmade-coffin-nails","365nails: ""Neon Tropics"" – 3D Floral &amp; Gradient Handmade Coffin Nails")</x:f>
        <x:v>HYPERLINK is not implemented. linkLocation=https://365nails.com/products/365nails-neon-tropics-3d-floral-gradient-handmade-coffin-nails, friendlyName=365nails: "Neon Tropics" – 3D Floral &amp; Gradient Handmade Coffin Nails</x:v>
      </x:c>
      <x:c r="D3562" s="18" t="str">
        <x:v>Color: 1858 - medium apricot kernels; Color classification: Extra small size xs / Small s / Medium m / Large l</x:v>
      </x:c>
      <x:c r="E3562" s="25" t="str">
        <x:v>$3.49</x:v>
      </x:c>
      <x:c r="F3562" s="19" t="str">
        <x:v>1</x:v>
      </x:c>
    </x:row>
    <x:row r="3563" ht="93" customHeight="1">
      <x:c r="A3563" s="19" t="n">
        <x:v>3560</x:v>
      </x:c>
      <x:c r="B3563" s="22" t="e">
        <x:f>HYPERLINK("https://cdn.shopify.com/s/files/1/0918/6066/4603/files/O1CN01RRZZL42MQzeFnnRZv__2219089449823-0-cib.jpg?v=1774453051","Open")</x:f>
        <x:v>HYPERLINK is not implemented. linkLocation=https://cdn.shopify.com/s/files/1/0918/6066/4603/files/O1CN01RRZZL42MQzeFnnRZv__2219089449823-0-cib.jpg?v=1774453051, friendlyName=Open</x:v>
      </x:c>
      <x:c r="C3563" s="24" t="e">
        <x:f>HYPERLINK("https://365nails.com/products/jungle-bloom-tiger-lily-short-square-handmade-press-on-nails","Jungle Bloom: ""Tiger Lily"" – Short Square Handmade Press On Nails")</x:f>
        <x:v>HYPERLINK is not implemented. linkLocation=https://365nails.com/products/jungle-bloom-tiger-lily-short-square-handmade-press-on-nails, friendlyName=Jungle Bloom: "Tiger Lily" – Short Square Handmade Press On Nails</x:v>
      </x:c>
      <x:c r="D3563" s="18" t="str">
        <x:v>Color: L249; Color classification: X s / S / M / L</x:v>
      </x:c>
      <x:c r="E3563" s="25" t="str">
        <x:v>$4.99</x:v>
      </x:c>
      <x:c r="F3563" s="19" t="str">
        <x:v>1</x:v>
      </x:c>
    </x:row>
    <x:row r="3564" ht="93" customHeight="1">
      <x:c r="A3564" s="19" t="n">
        <x:v>3561</x:v>
      </x:c>
      <x:c r="B3564" s="22" t="e">
        <x:f>HYPERLINK("https://cdn.shopify.com/s/files/1/0918/6066/4603/files/O1CN01NPiyKX27ZUkZ2Nph9__2220024697811-0-cib.jpg?v=1774929577","Open")</x:f>
        <x:v>HYPERLINK is not implemented. linkLocation=https://cdn.shopify.com/s/files/1/0918/6066/4603/files/O1CN01NPiyKX27ZUkZ2Nph9__2220024697811-0-cib.jpg?v=1774929577, friendlyName=Open</x:v>
      </x:c>
      <x:c r="C3564" s="24" t="e">
        <x:f>HYPERLINK("https://365nails.com/products/365nails-azure-bloom-3d-floral-marble-handmade-almond-nails","365nails: ""Azure Bloom"" – 3D Floral Marble Handmade Almond Nails")</x:f>
        <x:v>HYPERLINK is not implemented. linkLocation=https://365nails.com/products/365nails-azure-bloom-3d-floral-marble-handmade-almond-nails, friendlyName=365nails: "Azure Bloom" – 3D Floral Marble Handmade Almond Nails</x:v>
      </x:c>
      <x:c r="D3564" s="18" t="str">
        <x:v>Color: Medium t; Color classification: Xs / S / M / L</x:v>
      </x:c>
      <x:c r="E3564" s="25" t="str">
        <x:v>$4.99</x:v>
      </x:c>
      <x:c r="F3564" s="19" t="str">
        <x:v>3</x:v>
      </x:c>
    </x:row>
    <x:row r="3565" ht="93" customHeight="1">
      <x:c r="A3565" s="19" t="n">
        <x:v>3562</x:v>
      </x:c>
      <x:c r="B3565" s="22" t="e">
        <x:f>HYPERLINK("https://cdn.shopify.com/s/files/1/0918/6066/4603/files/O1CN01CqcnvW27ZUlEwdSyq__2220024697811-0-cib.jpg?v=1775004252","Open")</x:f>
        <x:v>HYPERLINK is not implemented. linkLocation=https://cdn.shopify.com/s/files/1/0918/6066/4603/files/O1CN01CqcnvW27ZUlEwdSyq__2220024697811-0-cib.jpg?v=1775004252, friendlyName=Open</x:v>
      </x:c>
      <x:c r="C3565" s="24" t="e">
        <x:f>HYPERLINK("https://365nails.com/products/365nails-winter-berry-3d-cherry-handmade-square-nails","365nails: ""Winter Berry"" – 3D Cherry Handmade Square Nails")</x:f>
        <x:v>HYPERLINK is not implemented. linkLocation=https://365nails.com/products/365nails-winter-berry-3d-cherry-handmade-square-nails, friendlyName=365nails: "Winter Berry" – 3D Cherry Handmade Square Nails</x:v>
      </x:c>
      <x:c r="D3565" s="18" t="str">
        <x:v>Color: Short square; Color classification: Xs / S / M / L</x:v>
      </x:c>
      <x:c r="E3565" s="25" t="str">
        <x:v>$4.49</x:v>
      </x:c>
      <x:c r="F3565" s="19" t="str">
        <x:v>3</x:v>
      </x:c>
    </x:row>
    <x:row r="3566" ht="93" customHeight="1">
      <x:c r="A3566" s="19" t="n">
        <x:v>3563</x:v>
      </x:c>
      <x:c r="B3566" s="22" t="e">
        <x:f>HYPERLINK("https://cdn.shopify.com/s/files/1/0918/6066/4603/files/6cf47457906e09225915ad142d78444c.jpg?v=1775459909","Open")</x:f>
        <x:v>HYPERLINK is not implemented. linkLocation=https://cdn.shopify.com/s/files/1/0918/6066/4603/files/6cf47457906e09225915ad142d78444c.jpg?v=1775459909, friendlyName=Open</x:v>
      </x:c>
      <x:c r="C3566" s="24" t="e">
        <x:f>HYPERLINK("https://365nails.com/products/365nails-rebel-punk-3d-cross-skull-handmade-medium-almond-nails","365nails: ""Rebel Punk"" – 3D Cross &amp; Skull Handmade Medium Almond Nails")</x:f>
        <x:v>HYPERLINK is not implemented. linkLocation=https://365nails.com/products/365nails-rebel-punk-3d-cross-skull-handmade-medium-almond-nails, friendlyName=365nails: "Rebel Punk" – 3D Cross &amp; Skull Handmade Medium Almond Nails</x:v>
      </x:c>
      <x:c r="D3566" s="18" t="str">
        <x:v>Size: XS / S / M / L</x:v>
      </x:c>
      <x:c r="E3566" s="25" t="str">
        <x:v>$3.99</x:v>
      </x:c>
      <x:c r="F3566" s="19" t="str">
        <x:v>3</x:v>
      </x:c>
    </x:row>
    <x:row r="3567" ht="93" customHeight="1">
      <x:c r="A3567" s="19" t="n">
        <x:v>3564</x:v>
      </x:c>
      <x:c r="B3567" s="22" t="e">
        <x:f>HYPERLINK("https://cdn.shopify.com/s/files/1/0918/6066/4603/files/O1CN01SKfkZx2MQzduGldZ3__2219089449823-0-cib.jpg?v=1774453003","Open")</x:f>
        <x:v>HYPERLINK is not implemented. linkLocation=https://cdn.shopify.com/s/files/1/0918/6066/4603/files/O1CN01SKfkZx2MQzduGldZ3__2219089449823-0-cib.jpg?v=1774453003, friendlyName=Open</x:v>
      </x:c>
      <x:c r="C3567" s="24" t="e">
        <x:f>HYPERLINK("https://365nails.com/products/summer-garden-bumblebee-bloom-medium-almond-handmade-press-on-nails","Summer Garden: ""Bumblebee Bloom"" – Medium Almond Handmade Press On Nails")</x:f>
        <x:v>HYPERLINK is not implemented. linkLocation=https://365nails.com/products/summer-garden-bumblebee-bloom-medium-almond-handmade-press-on-nails, friendlyName=Summer Garden: "Bumblebee Bloom" – Medium Almond Handmade Press On Nails</x:v>
      </x:c>
      <x:c r="D3567" s="18" t="str">
        <x:v>Color: D513; Color classification: X s / S / M / L</x:v>
      </x:c>
      <x:c r="E3567" s="25" t="str">
        <x:v>$3.49</x:v>
      </x:c>
      <x:c r="F3567" s="19" t="str">
        <x:v>1</x:v>
      </x:c>
    </x:row>
    <x:row r="3568" ht="93" customHeight="1">
      <x:c r="A3568" s="19" t="n">
        <x:v>3565</x:v>
      </x:c>
      <x:c r="B3568" s="22" t="e">
        <x:f>HYPERLINK("https://cdn.shopify.com/s/files/1/0918/6066/4603/files/a8214b6905cdbdd7f8e888582aa6726a.jpg?v=1773827983","Open")</x:f>
        <x:v>HYPERLINK is not implemented. linkLocation=https://cdn.shopify.com/s/files/1/0918/6066/4603/files/a8214b6905cdbdd7f8e888582aa6726a.jpg?v=1773827983, friendlyName=Open</x:v>
      </x:c>
      <x:c r="C3568" s="24" t="e">
        <x:f>HYPERLINK("https://365nails.com/products/365nails-strawberry-dots-red-handmade-press-on-nails-candy-series-sweet-girly-style","365Nails: ""Strawberry Dots Red"" – handmade press-on nails (Candy Series/Sweet Girly Style)")</x:f>
        <x:v>HYPERLINK is not implemented. linkLocation=https://365nails.com/products/365nails-strawberry-dots-red-handmade-press-on-nails-candy-series-sweet-girly-style, friendlyName=365Nails: "Strawberry Dots Red" – handmade press-on nails (Candy Series/Sweet Girly Style)</x:v>
      </x:c>
      <x:c r="D3568" s="18" t="str">
        <x:v>Size: XS / S / M / L</x:v>
      </x:c>
      <x:c r="E3568" s="25" t="str">
        <x:v>$3.99</x:v>
      </x:c>
      <x:c r="F3568" s="19" t="str">
        <x:v>10</x:v>
      </x:c>
    </x:row>
    <x:row r="3569" ht="93" customHeight="1">
      <x:c r="A3569" s="19" t="n">
        <x:v>3566</x:v>
      </x:c>
      <x:c r="B3569" s="22" t="e">
        <x:f>HYPERLINK("https://cdn.shopify.com/s/files/1/0918/6066/4603/files/b7e7b9c356a94c50cf2b3bfeea192621.jpg?v=1778242747","Open")</x:f>
        <x:v>HYPERLINK is not implemented. linkLocation=https://cdn.shopify.com/s/files/1/0918/6066/4603/files/b7e7b9c356a94c50cf2b3bfeea192621.jpg?v=1778242747, friendlyName=Open</x:v>
      </x:c>
      <x:c r="C3569" s="24" t="e">
        <x:f>HYPERLINK("https://365nails.com/products/365nails-electric-heart-3d-heart-glitter-handmade-long-stiletto-nails","365nails: ""Electric Heart"" – 3D Heart &amp; Glitter Handmade Long Stiletto Nails")</x:f>
        <x:v>HYPERLINK is not implemented. linkLocation=https://365nails.com/products/365nails-electric-heart-3d-heart-glitter-handmade-long-stiletto-nails, friendlyName=365nails: "Electric Heart" – 3D Heart &amp; Glitter Handmade Long Stiletto Nails</x:v>
      </x:c>
      <x:c r="D3569" s="18" t="str">
        <x:v>Size: XS / S / M / L</x:v>
      </x:c>
      <x:c r="E3569" s="25" t="str">
        <x:v>$3.99</x:v>
      </x:c>
      <x:c r="F3569" s="19" t="str">
        <x:v>5</x:v>
      </x:c>
    </x:row>
    <x:row r="3570" ht="93" customHeight="1">
      <x:c r="A3570" s="19" t="n">
        <x:v>3567</x:v>
      </x:c>
      <x:c r="B3570" s="22" t="e">
        <x:f>HYPERLINK("https://cdn.shopify.com/s/files/1/0918/6066/4603/files/O1CN01hg53PE27ZUmQgxlXe__2220024697811-0-cib.jpg?v=1774866543","Open")</x:f>
        <x:v>HYPERLINK is not implemented. linkLocation=https://cdn.shopify.com/s/files/1/0918/6066/4603/files/O1CN01hg53PE27ZUmQgxlXe__2220024697811-0-cib.jpg?v=1774866543, friendlyName=Open</x:v>
      </x:c>
      <x:c r="C3570" s="24" t="e">
        <x:f>HYPERLINK("https://365nails.com/products/365nails-enchanted-bloom-3d-floral-pearl-handmade-almond-nails","365nails: ""Enchanted Bloom"" – 3D Floral Pearl Handmade Almond Nails")</x:f>
        <x:v>HYPERLINK is not implemented. linkLocation=https://365nails.com/products/365nails-enchanted-bloom-3d-floral-pearl-handmade-almond-nails, friendlyName=365nails: "Enchanted Bloom" – 3D Floral Pearl Handmade Almond Nails</x:v>
      </x:c>
      <x:c r="D3570" s="18" t="str">
        <x:v>Color: Almond; Color classification: Xs / S / M / L</x:v>
      </x:c>
      <x:c r="E3570" s="25" t="str">
        <x:v>$4.49</x:v>
      </x:c>
      <x:c r="F3570" s="19" t="str">
        <x:v>3</x:v>
      </x:c>
    </x:row>
    <x:row r="3571" ht="93" customHeight="1">
      <x:c r="A3571" s="19" t="n">
        <x:v>3568</x:v>
      </x:c>
      <x:c r="B3571" s="22" t="e">
        <x:f>HYPERLINK("https://cdn.shopify.com/s/files/1/0918/6066/4603/files/O1CN01V0x48P27ZUk9wkcvC__2220024697811-0-cib.jpg?v=1775051798","Open")</x:f>
        <x:v>HYPERLINK is not implemented. linkLocation=https://cdn.shopify.com/s/files/1/0918/6066/4603/files/O1CN01V0x48P27ZUk9wkcvC__2220024697811-0-cib.jpg?v=1775051798, friendlyName=Open</x:v>
      </x:c>
      <x:c r="C3571" s="24" t="e">
        <x:f>HYPERLINK("https://365nails.com/products/365nails-sweet-garden-3d-fruit-mushroom-handmade-almond-nails","365nails: ""Sweet Garden"" – 3D Fruit &amp; Mushroom Handmade Almond Nails")</x:f>
        <x:v>HYPERLINK is not implemented. linkLocation=https://365nails.com/products/365nails-sweet-garden-3d-fruit-mushroom-handmade-almond-nails, friendlyName=365nails: "Sweet Garden" – 3D Fruit &amp; Mushroom Handmade Almond Nails</x:v>
      </x:c>
      <x:c r="D3571" s="18" t="str">
        <x:v>Color: Short almond; Color classification: Xs / S / M / L</x:v>
      </x:c>
      <x:c r="E3571" s="25" t="str">
        <x:v>$4.99</x:v>
      </x:c>
      <x:c r="F3571" s="19" t="str">
        <x:v>3</x:v>
      </x:c>
    </x:row>
    <x:row r="3572" ht="93" customHeight="1">
      <x:c r="A3572" s="19" t="n">
        <x:v>3569</x:v>
      </x:c>
      <x:c r="B3572" s="22" t="e">
        <x:f>HYPERLINK("https://cdn.shopify.com/s/files/1/0918/6066/4603/files/O1CN01pZPpKP2MQzeqg3gET__2219089449823-0-cib.jpg?v=1774453171","Open")</x:f>
        <x:v>HYPERLINK is not implemented. linkLocation=https://cdn.shopify.com/s/files/1/0918/6066/4603/files/O1CN01pZPpKP2MQzeqg3gET__2219089449823-0-cib.jpg?v=1774453171, friendlyName=Open</x:v>
      </x:c>
      <x:c r="C3572" s="24" t="e">
        <x:f>HYPERLINK("https://365nails.com/products/tiger-love-i-%E2%9D%A4%EF%B8%8F-me-short-square-handmade-press-on-nails","Tiger Love: ""I ❤️ ME"" – Short Square Handmade Press On Nails")</x:f>
        <x:v>HYPERLINK is not implemented. linkLocation=https://365nails.com/products/tiger-love-i-%E2%9D%A4%EF%B8%8F-me-short-square-handmade-press-on-nails, friendlyName=Tiger Love: "I ❤️ ME" – Short Square Handmade Press On Nails</x:v>
      </x:c>
      <x:c r="D3572" s="18" t="str">
        <x:v>Color: L238; Color classification: X s / S / M / L</x:v>
      </x:c>
      <x:c r="E3572" s="25" t="str">
        <x:v>$4.99</x:v>
      </x:c>
      <x:c r="F3572" s="19" t="str">
        <x:v>1</x:v>
      </x:c>
    </x:row>
    <x:row r="3573" ht="93" customHeight="1">
      <x:c r="A3573" s="19" t="n">
        <x:v>3570</x:v>
      </x:c>
      <x:c r="B3573" s="22" t="e">
        <x:f>HYPERLINK("https://cdn.shopify.com/s/files/1/0918/6066/4603/files/O1CN01GOnYAP2MQzeaWu6ij__2219089449823-0-cib.jpg?v=1774453099","Open")</x:f>
        <x:v>HYPERLINK is not implemented. linkLocation=https://cdn.shopify.com/s/files/1/0918/6066/4603/files/O1CN01GOnYAP2MQzeaWu6ij__2219089449823-0-cib.jpg?v=1774453099, friendlyName=Open</x:v>
      </x:c>
      <x:c r="C3573" s="24" t="e">
        <x:f>HYPERLINK("https://365nails.com/products/gothic-gem-heart-crown-short-almond-handmade-press-on-nails","Gothic Gem: ""Heart &amp; Crown"" – Short Almond Handmade Press On Nails")</x:f>
        <x:v>HYPERLINK is not implemented. linkLocation=https://365nails.com/products/gothic-gem-heart-crown-short-almond-handmade-press-on-nails, friendlyName=Gothic Gem: "Heart &amp; Crown" – Short Almond Handmade Press On Nails</x:v>
      </x:c>
      <x:c r="D3573" s="18" t="str">
        <x:v>Color: L161; Color classification: S / M / L</x:v>
      </x:c>
      <x:c r="E3573" s="25" t="str">
        <x:v>$4.99</x:v>
      </x:c>
      <x:c r="F3573" s="19" t="str">
        <x:v>1</x:v>
      </x:c>
    </x:row>
    <x:row r="3574" ht="93" customHeight="1">
      <x:c r="A3574" s="19" t="n">
        <x:v>3571</x:v>
      </x:c>
      <x:c r="B3574" s="22" t="e">
        <x:f>HYPERLINK("https://cdn.shopify.com/s/files/1/0918/6066/4603/files/O1CN019ep5pT2214tFqk4zO__2219480337059-0-cib.jpg?v=1773320962","Open")</x:f>
        <x:v>HYPERLINK is not implemented. linkLocation=https://cdn.shopify.com/s/files/1/0918/6066/4603/files/O1CN019ep5pT2214tFqk4zO__2219480337059-0-cib.jpg?v=1773320962, friendlyName=Open</x:v>
      </x:c>
      <x:c r="C3574" s="24" t="e">
        <x:f>HYPERLINK("https://365nails.com/products/365nails-dreamy-starlight-unicorn-short-round-handmade-kids-press-on-nails","365nails: ""dreamy starlight unicorn"" – short round handmade kids press-on nails")</x:f>
        <x:v>HYPERLINK is not implemented. linkLocation=https://365nails.com/products/365nails-dreamy-starlight-unicorn-short-round-handmade-kids-press-on-nails, friendlyName=365nails: "dreamy starlight unicorn" – short round handmade kids press-on nails</x:v>
      </x:c>
      <x:c r="D3574" s="18" t="str">
        <x:v>Color: Unicorn bow; Color classification: Xs (about 2 years old) / S (3-4 years old) / M (5-7 years old) / L (8-11 years old)</x:v>
      </x:c>
      <x:c r="E3574" s="25" t="str">
        <x:v>$2.99</x:v>
      </x:c>
      <x:c r="F3574" s="19" t="str">
        <x:v>3</x:v>
      </x:c>
    </x:row>
    <x:row r="3575" ht="93" customHeight="1">
      <x:c r="A3575" s="19" t="n">
        <x:v>3572</x:v>
      </x:c>
      <x:c r="B3575" s="22" t="e">
        <x:f>HYPERLINK("https://cdn.shopify.com/s/files/1/0918/6066/4603/files/O1CN01MhAbry27ZUkCUiuG2__2220024697811-0-cib.jpg?v=1775040488","Open")</x:f>
        <x:v>HYPERLINK is not implemented. linkLocation=https://cdn.shopify.com/s/files/1/0918/6066/4603/files/O1CN01MhAbry27ZUkCUiuG2__2220024697811-0-cib.jpg?v=1775040488, friendlyName=Open</x:v>
      </x:c>
      <x:c r="C3575" s="24" t="e">
        <x:f>HYPERLINK("https://365nails.com/products/365nails-millennial-prism-multicolor-gradient-3d-charm-handmade-almond-nails","365nails: ""Millennial Prism"" – Multicolor Gradient &amp; 3D Charm Handmade Almond Nails")</x:f>
        <x:v>HYPERLINK is not implemented. linkLocation=https://365nails.com/products/365nails-millennial-prism-multicolor-gradient-3d-charm-handmade-almond-nails, friendlyName=365nails: "Millennial Prism" – Multicolor Gradient &amp; 3D Charm Handmade Almond Nails</x:v>
      </x:c>
      <x:c r="D3575" s="18" t="str">
        <x:v>Color: Almond; Color classification: Xs / S / M / L</x:v>
      </x:c>
      <x:c r="E3575" s="25" t="str">
        <x:v>$4.49</x:v>
      </x:c>
      <x:c r="F3575" s="19" t="str">
        <x:v>3</x:v>
      </x:c>
    </x:row>
    <x:row r="3576" ht="93" customHeight="1">
      <x:c r="A3576" s="19" t="n">
        <x:v>3573</x:v>
      </x:c>
      <x:c r="B3576" s="22" t="e">
        <x:f>HYPERLINK("https://cdn.shopify.com/s/files/1/0918/6066/4603/files/O1CN01ARgRU21CPwLNAc6zs__2213196780074-0-cib_39d336ba-7150-4489-bf19-0d6ef6c166b7.jpg?v=1774680792","Open")</x:f>
        <x:v>HYPERLINK is not implemented. linkLocation=https://cdn.shopify.com/s/files/1/0918/6066/4603/files/O1CN01ARgRU21CPwLNAc6zs__2213196780074-0-cib_39d336ba-7150-4489-bf19-0d6ef6c166b7.jpg?v=1774680792, friendlyName=Open</x:v>
      </x:c>
      <x:c r="C3576" s="24" t="e">
        <x:f>HYPERLINK("https://365nails.com/products/365nails-blushing-stars-3d-bow-leopard-print-handmade-coffin-nails","365nails: ""Blushing Stars"" – 3D Bow &amp; Leopard Print Handmade Coffin Nails")</x:f>
        <x:v>HYPERLINK is not implemented. linkLocation=https://365nails.com/products/365nails-blushing-stars-3d-bow-leopard-print-handmade-coffin-nails, friendlyName=365nails: "Blushing Stars" – 3D Bow &amp; Leopard Print Handmade Coffin Nails</x:v>
      </x:c>
      <x:c r="D3576" s="18" t="str">
        <x:v>Color: 277 - medium oval; Color classification: Extra small size xs / Small s / Medium m / Large l</x:v>
      </x:c>
      <x:c r="E3576" s="25" t="str">
        <x:v>$3.49</x:v>
      </x:c>
      <x:c r="F3576" s="19" t="str">
        <x:v>1</x:v>
      </x:c>
    </x:row>
    <x:row r="3577" ht="93" customHeight="1">
      <x:c r="A3577" s="19" t="n">
        <x:v>3574</x:v>
      </x:c>
      <x:c r="B3577" s="22" t="e">
        <x:f>HYPERLINK("https://cdn.shopify.com/s/files/1/0918/6066/4603/files/O1CN01P6zmDA27ZUlmv4eaY__2220024697811-0-cib.jpg?v=1774926762","Open")</x:f>
        <x:v>HYPERLINK is not implemented. linkLocation=https://cdn.shopify.com/s/files/1/0918/6066/4603/files/O1CN01P6zmDA27ZUlmv4eaY__2220024697811-0-cib.jpg?v=1774926762, friendlyName=Open</x:v>
      </x:c>
      <x:c r="C3577" s="24" t="e">
        <x:f>HYPERLINK("https://365nails.com/products/365nails-blue-moon-shadow-cat-eye-handmade-square-nails","365nails: ""Blue Moon Shadow"" – Cat Eye Handmade Square Nails")</x:f>
        <x:v>HYPERLINK is not implemented. linkLocation=https://365nails.com/products/365nails-blue-moon-shadow-cat-eye-handmade-square-nails, friendlyName=365nails: "Blue Moon Shadow" – Cat Eye Handmade Square Nails</x:v>
      </x:c>
      <x:c r="D3577" s="18" t="str">
        <x:v>Color: Short round bean nails; Color classification: Xs / S / M / L</x:v>
      </x:c>
      <x:c r="E3577" s="25" t="str">
        <x:v>$2.49</x:v>
      </x:c>
      <x:c r="F3577" s="19" t="str">
        <x:v>3</x:v>
      </x:c>
    </x:row>
    <x:row r="3578" ht="93" customHeight="1">
      <x:c r="A3578" s="19" t="n">
        <x:v>3575</x:v>
      </x:c>
      <x:c r="B3578" s="22" t="e">
        <x:f>HYPERLINK("https://cdn.shopify.com/s/files/1/0918/6066/4603/files/O1CN01TudV2G27ZUkveQerG__2220024697811-0-cib.jpg?v=1774864012","Open")</x:f>
        <x:v>HYPERLINK is not implemented. linkLocation=https://cdn.shopify.com/s/files/1/0918/6066/4603/files/O1CN01TudV2G27ZUkveQerG__2220024697811-0-cib.jpg?v=1774864012, friendlyName=Open</x:v>
      </x:c>
      <x:c r="C3578" s="24" t="e">
        <x:f>HYPERLINK("https://365nails.com/products/365nails-floral-whisper-3d-floral-crystal-handmade-stiletto-nails","365nails: ""Floral Whisper"" – 3D Floral &amp; Crystal Handmade Stiletto Nails")</x:f>
        <x:v>HYPERLINK is not implemented. linkLocation=https://365nails.com/products/365nails-floral-whisper-3d-floral-crystal-handmade-stiletto-nails, friendlyName=365nails: "Floral Whisper" – 3D Floral &amp; Crystal Handmade Stiletto Nails</x:v>
      </x:c>
      <x:c r="D3578" s="18" t="str">
        <x:v>Color: Almond; Color classification: Xs / S / M / L</x:v>
      </x:c>
      <x:c r="E3578" s="25" t="str">
        <x:v>$4.99</x:v>
      </x:c>
      <x:c r="F3578" s="19" t="str">
        <x:v>3</x:v>
      </x:c>
    </x:row>
    <x:row r="3579" ht="93" customHeight="1">
      <x:c r="A3579" s="19" t="n">
        <x:v>3576</x:v>
      </x:c>
      <x:c r="B3579" s="22" t="e">
        <x:f>HYPERLINK("https://cdn.shopify.com/s/files/1/0918/6066/4603/files/ba560af0a99d2c99b848cb08ec9b2f89.jpg?v=1776170063","Open")</x:f>
        <x:v>HYPERLINK is not implemented. linkLocation=https://cdn.shopify.com/s/files/1/0918/6066/4603/files/ba560af0a99d2c99b848cb08ec9b2f89.jpg?v=1776170063, friendlyName=Open</x:v>
      </x:c>
      <x:c r="C3579" s="24" t="e">
        <x:f>HYPERLINK("https://365nails.com/products/365nails-playful-pals-3d-character-handmade-short-square-nails","365nails: ""Playful Pals"" – 3D Character Handmade Short Square Nails")</x:f>
        <x:v>HYPERLINK is not implemented. linkLocation=https://365nails.com/products/365nails-playful-pals-3d-character-handmade-short-square-nails, friendlyName=365nails: "Playful Pals" – 3D Character Handmade Short Square Nails</x:v>
      </x:c>
      <x:c r="D3579" s="18" t="str">
        <x:v>Size: XS / S / M / L</x:v>
      </x:c>
      <x:c r="E3579" s="25" t="str">
        <x:v>$1.99</x:v>
      </x:c>
      <x:c r="F3579" s="19" t="str">
        <x:v>3</x:v>
      </x:c>
    </x:row>
    <x:row r="3580" ht="93" customHeight="1">
      <x:c r="A3580" s="19" t="n">
        <x:v>3577</x:v>
      </x:c>
      <x:c r="B3580" s="22" t="e">
        <x:f>HYPERLINK("https://cdn.shopify.com/s/files/1/0918/6066/4603/files/O1CN01BmppuZ27ZUlUUoGeX__2220024697811-0-cib.jpg?v=1775054127","Open")</x:f>
        <x:v>HYPERLINK is not implemented. linkLocation=https://cdn.shopify.com/s/files/1/0918/6066/4603/files/O1CN01BmppuZ27ZUlUUoGeX__2220024697811-0-cib.jpg?v=1775054127, friendlyName=Open</x:v>
      </x:c>
      <x:c r="C3580" s="24" t="e">
        <x:f>HYPERLINK("https://365nails.com/products/365nails-aqua-treasure-3d-seashell-gold-leaf-handmade-stiletto-nails","365nails: ""Aqua Treasure"" – 3D Seashell &amp; Gold Leaf Handmade Stiletto Nails")</x:f>
        <x:v>HYPERLINK is not implemented. linkLocation=https://365nails.com/products/365nails-aqua-treasure-3d-seashell-gold-leaf-handmade-stiletto-nails, friendlyName=365nails: "Aqua Treasure" – 3D Seashell &amp; Gold Leaf Handmade Stiletto Nails</x:v>
      </x:c>
      <x:c r="D3580" s="18" t="str">
        <x:v>Color: Almond; Color classification: Xs / S / M / L</x:v>
      </x:c>
      <x:c r="E3580" s="25" t="str">
        <x:v>$3.49</x:v>
      </x:c>
      <x:c r="F3580" s="19" t="str">
        <x:v>3</x:v>
      </x:c>
    </x:row>
    <x:row r="3581" ht="93" customHeight="1">
      <x:c r="A3581" s="19" t="n">
        <x:v>3578</x:v>
      </x:c>
      <x:c r="B3581" s="22" t="e">
        <x:f>HYPERLINK("https://cdn.shopify.com/s/files/1/0918/6066/4603/files/O1CN01VvteO32NGHubEfC0s__4234819935-0-cib_b7b5a340-b00a-43b7-a6c8-f814a47eaa8f.jpg?v=1761287588","Open")</x:f>
        <x:v>HYPERLINK is not implemented. linkLocation=https://cdn.shopify.com/s/files/1/0918/6066/4603/files/O1CN01VvteO32NGHubEfC0s__4234819935-0-cib_b7b5a340-b00a-43b7-a6c8-f814a47eaa8f.jpg?v=1761287588, friendlyName=Open</x:v>
      </x:c>
      <x:c r="C3581" s="24" t="e">
        <x:f>HYPERLINK("https://365nails.com/products/coated-white-solid-color-manicure-fake-nails-short-almond-plain-wearing-nail-piece-cross-border-fake-nails","Coated white solid color manicure fake nails short almond plain wearing nail piece cross-border fake nails")</x:f>
        <x:v>HYPERLINK is not implemented. linkLocation=https://365nails.com/products/coated-white-solid-color-manicure-fake-nails-short-almond-plain-wearing-nail-piece-cross-border-fake-nails, friendlyName=Coated white solid color manicure fake nails short almond plain wearing nail piece cross-border fake nails</x:v>
      </x:c>
      <x:c r="D3581" s="18" t="str">
        <x:v>color: JP3493</x:v>
      </x:c>
      <x:c r="E3581" s="25" t="str">
        <x:v>$1.32</x:v>
      </x:c>
      <x:c r="F3581" s="19" t="str">
        <x:v>1</x:v>
      </x:c>
    </x:row>
    <x:row r="3582" ht="93" customHeight="1">
      <x:c r="A3582" s="19" t="n">
        <x:v>3579</x:v>
      </x:c>
      <x:c r="B3582" s="22" t="e">
        <x:f>HYPERLINK("https://cdn.shopify.com/s/files/1/0918/6066/4603/files/O1CN01xr8o3X2MQzdg3d9Nh__2219089449823-0-cib.jpg?v=1774011047","Open")</x:f>
        <x:v>HYPERLINK is not implemented. linkLocation=https://cdn.shopify.com/s/files/1/0918/6066/4603/files/O1CN01xr8o3X2MQzdg3d9Nh__2219089449823-0-cib.jpg?v=1774011047, friendlyName=Open</x:v>
      </x:c>
      <x:c r="C3582" s="24" t="e">
        <x:f>HYPERLINK("https://365nails.com/products/pop-art-floral-colorful-mix-almond-shape-handmade-3d-carved-press-on-nails","365nails-Pop Art Floral: ""Colorful Mix"" – Almond Shape Handmade 3D Carved Press-On Nails")</x:f>
        <x:v>HYPERLINK is not implemented. linkLocation=https://365nails.com/products/pop-art-floral-colorful-mix-almond-shape-handmade-3d-carved-press-on-nails, friendlyName=365nails-Pop Art Floral: "Colorful Mix" – Almond Shape Handmade 3D Carved Press-On Nails</x:v>
      </x:c>
      <x:c r="D3582" s="18" t="str">
        <x:v>Color: D427; Color classification: X s / S / M / L</x:v>
      </x:c>
      <x:c r="E3582" s="25" t="str">
        <x:v>$3.99</x:v>
      </x:c>
      <x:c r="F3582" s="19" t="str">
        <x:v>5</x:v>
      </x:c>
    </x:row>
    <x:row r="3583" ht="93" customHeight="1">
      <x:c r="A3583" s="19" t="n">
        <x:v>3580</x:v>
      </x:c>
      <x:c r="B3583" s="22" t="e">
        <x:f>HYPERLINK("https://cdn.shopify.com/s/files/1/0918/6066/4603/files/O1CN013EvQpx27ZUm7NcTmx__2220024697811-0-cib.jpg?v=1774959470","Open")</x:f>
        <x:v>HYPERLINK is not implemented. linkLocation=https://cdn.shopify.com/s/files/1/0918/6066/4603/files/O1CN013EvQpx27ZUm7NcTmx__2220024697811-0-cib.jpg?v=1774959470, friendlyName=Open</x:v>
      </x:c>
      <x:c r="C3583" s="24" t="e">
        <x:f>HYPERLINK("https://365nails.com/products/365nails-imperial-gold-3d-crystal-handmade-almond-nails","365nails: ""Imperial Gold"" – 3D Crystal Handmade Almond Nails")</x:f>
        <x:v>HYPERLINK is not implemented. linkLocation=https://365nails.com/products/365nails-imperial-gold-3d-crystal-handmade-almond-nails, friendlyName=365nails: "Imperial Gold" – 3D Crystal Handmade Almond Nails</x:v>
      </x:c>
      <x:c r="D3583" s="18" t="str">
        <x:v>Color: Right angle t; Color classification: Xs / S / M / L</x:v>
      </x:c>
      <x:c r="E3583" s="25" t="str">
        <x:v>$4.49</x:v>
      </x:c>
      <x:c r="F3583" s="19" t="str">
        <x:v>3</x:v>
      </x:c>
    </x:row>
    <x:row r="3584" ht="93" customHeight="1">
      <x:c r="A3584" s="19" t="n">
        <x:v>3581</x:v>
      </x:c>
      <x:c r="B3584" s="22" t="e">
        <x:f>HYPERLINK("https://cdn.shopify.com/s/files/1/0918/6066/4603/files/O1CN019DZmQC27ZUlJoNvfV__2220024697811-0-cib.jpg?v=1774926701","Open")</x:f>
        <x:v>HYPERLINK is not implemented. linkLocation=https://cdn.shopify.com/s/files/1/0918/6066/4603/files/O1CN019DZmQC27ZUlJoNvfV__2220024697811-0-cib.jpg?v=1774926701, friendlyName=Open</x:v>
      </x:c>
      <x:c r="C3584" s="24" t="e">
        <x:f>HYPERLINK("https://365nails.com/products/365nails-crimson-bloom-3d-floral-handmade-square-nails","365nails: ""Crimson Bloom"" – 3D Floral Handmade Square Nails")</x:f>
        <x:v>HYPERLINK is not implemented. linkLocation=https://365nails.com/products/365nails-crimson-bloom-3d-floral-handmade-square-nails, friendlyName=365nails: "Crimson Bloom" – 3D Floral Handmade Square Nails</x:v>
      </x:c>
      <x:c r="D3584" s="18" t="str">
        <x:v>Color: Almond; Color classification: Xs / S / M / L</x:v>
      </x:c>
      <x:c r="E3584" s="25" t="str">
        <x:v>$3.99</x:v>
      </x:c>
      <x:c r="F3584" s="19" t="str">
        <x:v>3</x:v>
      </x:c>
    </x:row>
    <x:row r="3585" ht="93" customHeight="1">
      <x:c r="A3585" s="19" t="n">
        <x:v>3582</x:v>
      </x:c>
      <x:c r="B3585" s="22" t="e">
        <x:f>HYPERLINK("https://cdn.shopify.com/s/files/1/0918/6066/4603/files/O1CN01iD6aYS1CPwLr1wcHX__2213196780074-0-cib.jpg?v=1776762935","Open")</x:f>
        <x:v>HYPERLINK is not implemented. linkLocation=https://cdn.shopify.com/s/files/1/0918/6066/4603/files/O1CN01iD6aYS1CPwLr1wcHX__2213196780074-0-cib.jpg?v=1776762935, friendlyName=Open</x:v>
      </x:c>
      <x:c r="C3585" s="24" t="e">
        <x:f>HYPERLINK("https://365nails.com/products/365nails-mint-blossom-3d-floral-cat-eye-gradient-handmade-almond-nails","365nails: ""Mint Blossom"" – 3D Floral Cat Eye Gradient Handmade Almond Nails")</x:f>
        <x:v>HYPERLINK is not implemented. linkLocation=https://365nails.com/products/365nails-mint-blossom-3d-floral-cat-eye-gradient-handmade-almond-nails, friendlyName=365nails: "Mint Blossom" – 3D Floral Cat Eye Gradient Handmade Almond Nails</x:v>
      </x:c>
      <x:c r="D3585" s="18" t="str">
        <x:v>Color: 1328 - fine point tip; Color classification: Xs / S / M / L</x:v>
      </x:c>
      <x:c r="E3585" s="25" t="str">
        <x:v>$3.99</x:v>
      </x:c>
      <x:c r="F3585" s="19" t="str">
        <x:v>1</x:v>
      </x:c>
    </x:row>
    <x:row r="3586" ht="93" customHeight="1">
      <x:c r="A3586" s="19" t="n">
        <x:v>3583</x:v>
      </x:c>
      <x:c r="B3586" s="22" t="e">
        <x:f>HYPERLINK("https://cdn.shopify.com/s/files/1/0918/6066/4603/files/O1CN010vrdtI2214vEdWtcg__2219480337059-0-cib_b1404f60-ebb6-43a9-a15c-9da09d36e751.jpg?v=1773824670","Open")</x:f>
        <x:v>HYPERLINK is not implemented. linkLocation=https://cdn.shopify.com/s/files/1/0918/6066/4603/files/O1CN010vrdtI2214vEdWtcg__2219480337059-0-cib_b1404f60-ebb6-43a9-a15c-9da09d36e751.jpg?v=1773824670, friendlyName=Open</x:v>
      </x:c>
      <x:c r="C3586" s="24" t="e">
        <x:f>HYPERLINK("https://365nails.com/products/halloween-pumpkin-kids-series-pumpkin-ghost-festival-short-square-kids-nail-art","365nails-Halloween Pumpkin Kids Series: ""Pumpkin Ghost Festival"" – Short Square Kids Nail Art")</x:f>
        <x:v>HYPERLINK is not implemented. linkLocation=https://365nails.com/products/halloween-pumpkin-kids-series-pumpkin-ghost-festival-short-square-kids-nail-art, friendlyName=365nails-Halloween Pumpkin Kids Series: "Pumpkin Ghost Festival" – Short Square Kids Nail Art</x:v>
      </x:c>
      <x:c r="D3586" s="18" t="str">
        <x:v>Color: 9164 yellow polka dot little ghost; Color classification: Xs (about 2 years old) / S (3-4 years old) / M (5-7 years old) / L (8-11 years old)</x:v>
      </x:c>
      <x:c r="E3586" s="25" t="str">
        <x:v>$2.99</x:v>
      </x:c>
      <x:c r="F3586" s="19" t="str">
        <x:v>3</x:v>
      </x:c>
    </x:row>
    <x:row r="3587" ht="93" customHeight="1">
      <x:c r="A3587" s="19" t="n">
        <x:v>3584</x:v>
      </x:c>
      <x:c r="B3587" s="22" t="e">
        <x:f>HYPERLINK("https://cdn.shopify.com/s/files/1/0918/6066/4603/files/O1CN01woekSN2MQzdZ0Ddyi__2219089449823-0-cib.jpg?v=1774011010","Open")</x:f>
        <x:v>HYPERLINK is not implemented. linkLocation=https://cdn.shopify.com/s/files/1/0918/6066/4603/files/O1CN01woekSN2MQzdZ0Ddyi__2219089449823-0-cib.jpg?v=1774011010, friendlyName=Open</x:v>
      </x:c>
      <x:c r="C3587" s="24" t="e">
        <x:f>HYPERLINK("https://365nails.com/products/misty-forest-green-floral-almond-shape-handmade-3d-carved-press-on-nails","365nails-Misty Forest: ""Green Floral"" – Almond Shape Handmade 3D Carved Press-On Nails")</x:f>
        <x:v>HYPERLINK is not implemented. linkLocation=https://365nails.com/products/misty-forest-green-floral-almond-shape-handmade-3d-carved-press-on-nails, friendlyName=365nails-Misty Forest: "Green Floral" – Almond Shape Handmade 3D Carved Press-On Nails</x:v>
      </x:c>
      <x:c r="D3587" s="18" t="str">
        <x:v>Color: (c99) qingyou orchid is a long oval; Color classification: X s / S / M / L</x:v>
      </x:c>
      <x:c r="E3587" s="25" t="str">
        <x:v>$3.99</x:v>
      </x:c>
      <x:c r="F3587" s="19" t="str">
        <x:v>1</x:v>
      </x:c>
    </x:row>
    <x:row r="3588" ht="93" customHeight="1">
      <x:c r="A3588" s="19" t="n">
        <x:v>3585</x:v>
      </x:c>
      <x:c r="B3588" s="22" t="e">
        <x:f>HYPERLINK("https://cdn.shopify.com/s/files/1/0918/6066/4603/files/3a3566c28b29b44a869b7fe16918be3d.jpg?v=1773884277","Open")</x:f>
        <x:v>HYPERLINK is not implemented. linkLocation=https://cdn.shopify.com/s/files/1/0918/6066/4603/files/3a3566c28b29b44a869b7fe16918be3d.jpg?v=1773884277, friendlyName=Open</x:v>
      </x:c>
      <x:c r="C3588" s="24" t="e">
        <x:f>HYPERLINK("https://365nails.com/products/365nails-cute-orange-soda-handmade-press-on-nails","365nails: ""cute orange soda"" – handmade press-on nails")</x:f>
        <x:v>HYPERLINK is not implemented. linkLocation=https://365nails.com/products/365nails-cute-orange-soda-handmade-press-on-nails, friendlyName=365nails: "cute orange soda" – handmade press-on nails</x:v>
      </x:c>
      <x:c r="D3588" s="18" t="str">
        <x:v>Size: XS / S / M / L</x:v>
      </x:c>
      <x:c r="E3588" s="25" t="str">
        <x:v>$3.99</x:v>
      </x:c>
      <x:c r="F3588" s="19" t="str">
        <x:v>10</x:v>
      </x:c>
    </x:row>
    <x:row r="3589" ht="93" customHeight="1">
      <x:c r="A3589" s="19" t="n">
        <x:v>3586</x:v>
      </x:c>
      <x:c r="B3589" s="22" t="e">
        <x:f>HYPERLINK("https://cdn.shopify.com/s/files/1/0918/6066/4603/files/O1CN01wwWbbJ22pusbpFprL__6000000007170-0-cib.jpg?v=1775108599","Open")</x:f>
        <x:v>HYPERLINK is not implemented. linkLocation=https://cdn.shopify.com/s/files/1/0918/6066/4603/files/O1CN01wwWbbJ22pusbpFprL__6000000007170-0-cib.jpg?v=1775108599, friendlyName=Open</x:v>
      </x:c>
      <x:c r="C3589" s="24" t="e">
        <x:f>HYPERLINK("https://365nails.com/products/365nails-sweet-blush-hand-painted-floral-striped-handmade-medium-square-nails","365nails: ""Sweet Blush"" – Hand Painted Floral &amp; Striped Handmade Medium Square Nails")</x:f>
        <x:v>HYPERLINK is not implemented. linkLocation=https://365nails.com/products/365nails-sweet-blush-hand-painted-floral-striped-handmade-medium-square-nails, friendlyName=365nails: "Sweet Blush" – Hand Painted Floral &amp; Striped Handmade Medium Square Nails</x:v>
      </x:c>
      <x:c r="D3589" s="18" t="str">
        <x:v>Color: Almond; Color classification: Xs / S / M / L</x:v>
      </x:c>
      <x:c r="E3589" s="25" t="str">
        <x:v>$4.49</x:v>
      </x:c>
      <x:c r="F3589" s="19" t="str">
        <x:v>3</x:v>
      </x:c>
    </x:row>
    <x:row r="3590" ht="93" customHeight="1">
      <x:c r="A3590" s="19" t="n">
        <x:v>3587</x:v>
      </x:c>
      <x:c r="B3590" s="22" t="e">
        <x:f>HYPERLINK("https://cdn.shopify.com/s/files/1/0918/6066/4603/files/O1CN01qFRmob2214v0dqs12__2219480337059-0-cib.jpg?v=1773824590","Open")</x:f>
        <x:v>HYPERLINK is not implemented. linkLocation=https://cdn.shopify.com/s/files/1/0918/6066/4603/files/O1CN01qFRmob2214v0dqs12__2219480337059-0-cib.jpg?v=1773824590, friendlyName=Open</x:v>
      </x:c>
      <x:c r="C3590" s="24" t="e">
        <x:f>HYPERLINK("https://365nails.com/products/spooky-halloween-kids-series-haunted-house-party-short-square-kids-nail-art","365nails-Spooky Halloween Kids Series: ""Haunted House Party"" – Short Square Kids Nail Art")</x:f>
        <x:v>HYPERLINK is not implemented. linkLocation=https://365nails.com/products/spooky-halloween-kids-series-haunted-house-party-short-square-kids-nail-art, friendlyName=365nails-Spooky Halloween Kids Series: "Haunted House Party" – Short Square Kids Nail Art</x:v>
      </x:c>
      <x:c r="D3590" s="18" t="str">
        <x:v>Color: 9153 pumpkin house; Color classification: Xs (about 2 years old) / S (3-4 years old) / M (5-7 years old) / L (8-11 years old)</x:v>
      </x:c>
      <x:c r="E3590" s="25" t="str">
        <x:v>$2.99</x:v>
      </x:c>
      <x:c r="F3590" s="19" t="str">
        <x:v>3</x:v>
      </x:c>
    </x:row>
    <x:row r="3591" ht="93" customHeight="1">
      <x:c r="A3591" s="19" t="n">
        <x:v>3588</x:v>
      </x:c>
      <x:c r="B3591" s="22" t="e">
        <x:f>HYPERLINK("https://cdn.shopify.com/s/files/1/0918/6066/4603/files/O1CN01UYe5LU27ZUm5QEqdS__2220024697811-0-cib.jpg?v=1774959404","Open")</x:f>
        <x:v>HYPERLINK is not implemented. linkLocation=https://cdn.shopify.com/s/files/1/0918/6066/4603/files/O1CN01UYe5LU27ZUm5QEqdS__2220024697811-0-cib.jpg?v=1774959404, friendlyName=Open</x:v>
      </x:c>
      <x:c r="C3591" s="24" t="e">
        <x:f>HYPERLINK("https://365nails.com/products/365nails-arctic-ruby-3d-geometric-handmade-almond-nails","365nails: ""Arctic Ruby"" – 3D Geometric Handmade Almond Nails")</x:f>
        <x:v>HYPERLINK is not implemented. linkLocation=https://365nails.com/products/365nails-arctic-ruby-3d-geometric-handmade-almond-nails, friendlyName=365nails: "Arctic Ruby" – 3D Geometric Handmade Almond Nails</x:v>
      </x:c>
      <x:c r="D3591" s="18" t="str">
        <x:v>Color: Almond; Color classification: Xs / S / M / L</x:v>
      </x:c>
      <x:c r="E3591" s="25" t="str">
        <x:v>$4.49</x:v>
      </x:c>
      <x:c r="F3591" s="19" t="str">
        <x:v>3</x:v>
      </x:c>
    </x:row>
    <x:row r="3592" ht="93" customHeight="1">
      <x:c r="A3592" s="19" t="n">
        <x:v>3589</x:v>
      </x:c>
      <x:c r="B3592" s="22" t="e">
        <x:f>HYPERLINK("https://cdn.shopify.com/s/files/1/0918/6066/4603/files/O1CN01Espu2h2MQzdWLegGO__2219089449823-0-cib.jpg?v=1774010977","Open")</x:f>
        <x:v>HYPERLINK is not implemented. linkLocation=https://cdn.shopify.com/s/files/1/0918/6066/4603/files/O1CN01Espu2h2MQzdWLegGO__2219089449823-0-cib.jpg?v=1774010977, friendlyName=Open</x:v>
      </x:c>
      <x:c r="C3592" s="24" t="e">
        <x:f>HYPERLINK("https://365nails.com/products/pastel-dream-rainbow-flower-almond-shape-handmade-3d-carved-press-on-nails","365nails-Pastel Dream: ""Rainbow Flower"" – Almond Shape Handmade 3D Carved Press-On Nails")</x:f>
        <x:v>HYPERLINK is not implemented. linkLocation=https://365nails.com/products/pastel-dream-rainbow-flower-almond-shape-handmade-3d-carved-press-on-nails, friendlyName=365nails-Pastel Dream: "Rainbow Flower" – Almond Shape Handmade 3D Carved Press-On Nails</x:v>
      </x:c>
      <x:c r="D3592" s="18" t="str">
        <x:v>Color: D490; Color classification: X s / S / M / L</x:v>
      </x:c>
      <x:c r="E3592" s="25" t="str">
        <x:v>$3.99</x:v>
      </x:c>
      <x:c r="F3592" s="19" t="str">
        <x:v>1</x:v>
      </x:c>
    </x:row>
    <x:row r="3593" ht="93" customHeight="1">
      <x:c r="A3593" s="19" t="n">
        <x:v>3590</x:v>
      </x:c>
      <x:c r="B3593" s="22" t="e">
        <x:f>HYPERLINK("https://cdn.shopify.com/s/files/1/0918/6066/4603/files/O1CN01KBgTxm2214tW4zqTI__2219480337059-0-cib_7b6d6480-fe4a-473e-89ec-fb1ee35751d1.jpg?v=1773824712","Open")</x:f>
        <x:v>HYPERLINK is not implemented. linkLocation=https://cdn.shopify.com/s/files/1/0918/6066/4603/files/O1CN01KBgTxm2214tW4zqTI__2219480337059-0-cib_7b6d6480-fe4a-473e-89ec-fb1ee35751d1.jpg?v=1773824712, friendlyName=Open</x:v>
      </x:c>
      <x:c r="C3593" s="24" t="e">
        <x:f>HYPERLINK("https://365nails.com/products/rainbow-labubu-kids-series-colorful-monster-fun-short-square-kids-nail-art","365nails-Rainbow Labubu Kids Series: ""Colorful Monster Fun"" – Short Square Kids Nail Art")</x:f>
        <x:v>HYPERLINK is not implemented. linkLocation=https://365nails.com/products/rainbow-labubu-kids-series-colorful-monster-fun-short-square-kids-nail-art, friendlyName=365nails-Rainbow Labubu Kids Series: "Colorful Monster Fun" – Short Square Kids Nail Art</x:v>
      </x:c>
      <x:c r="D3593" s="18" t="str">
        <x:v>Color: Four-color louboutin fabric; Color classification: Xs (about 2 years old) / S (3-4 years old) / M (5-7 years old) / L (8-11 years old)</x:v>
      </x:c>
      <x:c r="E3593" s="25" t="str">
        <x:v>$2.99</x:v>
      </x:c>
      <x:c r="F3593" s="19" t="str">
        <x:v>3</x:v>
      </x:c>
    </x:row>
    <x:row r="3594" ht="93" customHeight="1">
      <x:c r="A3594" s="19" t="n">
        <x:v>3591</x:v>
      </x:c>
      <x:c r="B3594" s="22" t="e">
        <x:f>HYPERLINK("https://cdn.shopify.com/s/files/1/0918/6066/4603/files/e42eab5a3e85c0858821bfe941bc75bd.jpg?v=1776170567","Open")</x:f>
        <x:v>HYPERLINK is not implemented. linkLocation=https://cdn.shopify.com/s/files/1/0918/6066/4603/files/e42eab5a3e85c0858821bfe941bc75bd.jpg?v=1776170567, friendlyName=Open</x:v>
      </x:c>
      <x:c r="C3594" s="24" t="e">
        <x:f>HYPERLINK("https://365nails.com/products/365nails-cartoon-friends-3d-character-handmade-short-square-nails","365nails: ""Cartoon Friends"" – 3D Character Handmade Short Square Nails")</x:f>
        <x:v>HYPERLINK is not implemented. linkLocation=https://365nails.com/products/365nails-cartoon-friends-3d-character-handmade-short-square-nails, friendlyName=365nails: "Cartoon Friends" – 3D Character Handmade Short Square Nails</x:v>
      </x:c>
      <x:c r="D3594" s="18" t="str">
        <x:v>Size: XS / S / M / L</x:v>
      </x:c>
      <x:c r="E3594" s="25" t="str">
        <x:v>$1.99</x:v>
      </x:c>
      <x:c r="F3594" s="19" t="str">
        <x:v>3</x:v>
      </x:c>
    </x:row>
    <x:row r="3595" ht="93" customHeight="1">
      <x:c r="A3595" s="19" t="n">
        <x:v>3592</x:v>
      </x:c>
      <x:c r="B3595" s="22" t="e">
        <x:f>HYPERLINK("https://cdn.shopify.com/s/files/1/0918/6066/4603/files/12427cd16b5f475e24d6605e84302bac.jpg?v=1778337247","Open")</x:f>
        <x:v>HYPERLINK is not implemented. linkLocation=https://cdn.shopify.com/s/files/1/0918/6066/4603/files/12427cd16b5f475e24d6605e84302bac.jpg?v=1778337247, friendlyName=Open</x:v>
      </x:c>
      <x:c r="C3595" s="24" t="e">
        <x:f>HYPERLINK("https://365nails.com/products/365nails-midnight-elegance-3d-bow-silver-glitter-handmade-stiletto-nails","365nails: ""Midnight Elegance"" – 3D Bow Silver Glitter Handmade Stiletto Nails")</x:f>
        <x:v>HYPERLINK is not implemented. linkLocation=https://365nails.com/products/365nails-midnight-elegance-3d-bow-silver-glitter-handmade-stiletto-nails, friendlyName=365nails: "Midnight Elegance" – 3D Bow Silver Glitter Handmade Stiletto Nails</x:v>
      </x:c>
      <x:c r="D3595" s="18" t="str">
        <x:v>Size: XS / S / M / L</x:v>
      </x:c>
      <x:c r="E3595" s="25" t="str">
        <x:v>$2.99</x:v>
      </x:c>
      <x:c r="F3595" s="19" t="str">
        <x:v>5</x:v>
      </x:c>
    </x:row>
    <x:row r="3596" ht="93" customHeight="1">
      <x:c r="A3596" s="19" t="n">
        <x:v>3593</x:v>
      </x:c>
      <x:c r="B3596" s="22" t="e">
        <x:f>HYPERLINK("https://cdn.shopify.com/s/files/1/0918/6066/4603/files/O1CN01nUddMI1BxXphFHEZr__6000000000012-0-cib.jpg?v=1774349038","Open")</x:f>
        <x:v>HYPERLINK is not implemented. linkLocation=https://cdn.shopify.com/s/files/1/0918/6066/4603/files/O1CN01nUddMI1BxXphFHEZr__6000000000012-0-cib.jpg?v=1774349038, friendlyName=Open</x:v>
      </x:c>
      <x:c r="C3596" s="24" t="e">
        <x:f>HYPERLINK("https://365nails.com/products/365nails-milky-pearl-dew-medium-almond-milky-white-rhinestone-handmade-press-on-nails","365nails: ""Milky Pearl Dew"" – Medium Almond Milky White Rhinestone Handmade Press-On Nails")</x:f>
        <x:v>HYPERLINK is not implemented. linkLocation=https://365nails.com/products/365nails-milky-pearl-dew-medium-almond-milky-white-rhinestone-handmade-press-on-nails, friendlyName=365nails: "Milky Pearl Dew" – Medium Almond Milky White Rhinestone Handmade Press-On Nails</x:v>
      </x:c>
      <x:c r="D3596" s="18" t="str">
        <x:v>Color: D480; Color classification: X s / S / M / L</x:v>
      </x:c>
      <x:c r="E3596" s="25" t="str">
        <x:v>$3.49</x:v>
      </x:c>
      <x:c r="F3596" s="19" t="str">
        <x:v>1</x:v>
      </x:c>
    </x:row>
    <x:row r="3597" ht="93" customHeight="1">
      <x:c r="A3597" s="19" t="n">
        <x:v>3594</x:v>
      </x:c>
      <x:c r="B3597" s="22" t="e">
        <x:f>HYPERLINK("https://cdn.shopify.com/s/files/1/0918/6066/4603/files/O1CN01902iPA1wj9KBEuh3s__6000000006343-0-cib.jpg?v=1774010960","Open")</x:f>
        <x:v>HYPERLINK is not implemented. linkLocation=https://cdn.shopify.com/s/files/1/0918/6066/4603/files/O1CN01902iPA1wj9KBEuh3s__6000000006343-0-cib.jpg?v=1774010960, friendlyName=Open</x:v>
      </x:c>
      <x:c r="C3597" s="24" t="e">
        <x:f>HYPERLINK("https://365nails.com/products/icy-bloom-frosty-flower-almond-shape-handmade-3d-carved-press-on-nails","365nails-Icy Bloom: ""Frosty Flower"" – Almond Shape Handmade 3D Carved Press-On Nails")</x:f>
        <x:v>HYPERLINK is not implemented. linkLocation=https://365nails.com/products/icy-bloom-frosty-flower-almond-shape-handmade-3d-carved-press-on-nails, friendlyName=365nails-Icy Bloom: "Frosty Flower" – Almond Shape Handmade 3D Carved Press-On Nails</x:v>
      </x:c>
      <x:c r="D3597" s="18" t="str">
        <x:v>Color: D436; Color classification: X s / S / M / L</x:v>
      </x:c>
      <x:c r="E3597" s="25" t="str">
        <x:v>$3.99</x:v>
      </x:c>
      <x:c r="F3597" s="19" t="str">
        <x:v>1</x:v>
      </x:c>
    </x:row>
    <x:row r="3598" ht="93" customHeight="1">
      <x:c r="A3598" s="19" t="n">
        <x:v>3595</x:v>
      </x:c>
      <x:c r="B3598" s="22" t="e">
        <x:f>HYPERLINK("https://cdn.shopify.com/s/files/1/0918/6066/4603/files/O1CN01C7tzRj1CPwLzGINkF__2213196780074-0-cib.jpg?v=1775994362","Open")</x:f>
        <x:v>HYPERLINK is not implemented. linkLocation=https://cdn.shopify.com/s/files/1/0918/6066/4603/files/O1CN01C7tzRj1CPwLzGINkF__2213196780074-0-cib.jpg?v=1775994362, friendlyName=Open</x:v>
      </x:c>
      <x:c r="C3598" s="24" t="e">
        <x:f>HYPERLINK("https://365nails.com/products/365nails-golden-bloom-3d-crystal-flower-glitter-handmade-long-stiletto-nails","365nails: ""Golden Bloom"" – 3D Crystal Flower &amp; Glitter Handmade Long Stiletto Nails")</x:f>
        <x:v>HYPERLINK is not implemented. linkLocation=https://365nails.com/products/365nails-golden-bloom-3d-crystal-flower-glitter-handmade-long-stiletto-nails, friendlyName=365nails: "Golden Bloom" – 3D Crystal Flower &amp; Glitter Handmade Long Stiletto Nails</x:v>
      </x:c>
      <x:c r="D3598" s="18" t="str">
        <x:v>Color: A6-long water drop (12 fingers); Color classification: Xs / S / M / L</x:v>
      </x:c>
      <x:c r="E3598" s="25" t="str">
        <x:v>$6.49</x:v>
      </x:c>
      <x:c r="F3598" s="19" t="str">
        <x:v>3</x:v>
      </x:c>
    </x:row>
    <x:row r="3599" ht="93" customHeight="1">
      <x:c r="A3599" s="19" t="n">
        <x:v>3596</x:v>
      </x:c>
      <x:c r="B3599" s="22" t="e">
        <x:f>HYPERLINK("https://cdn.shopify.com/s/files/1/0918/6066/4603/files/ebcb6b934cb4fb46ee76776ed6b3fda4.jpg?v=1775725152","Open")</x:f>
        <x:v>HYPERLINK is not implemented. linkLocation=https://cdn.shopify.com/s/files/1/0918/6066/4603/files/ebcb6b934cb4fb46ee76776ed6b3fda4.jpg?v=1775725152, friendlyName=Open</x:v>
      </x:c>
      <x:c r="C3599" s="24" t="e">
        <x:f>HYPERLINK("https://365nails.com/products/365nails-wild-pop-3d-animal-print-mixed-media-handmade-almond-nails","365nails: ""Wild Pop"" – 3D Animal Print Mixed Media Handmade Almond Nails")</x:f>
        <x:v>HYPERLINK is not implemented. linkLocation=https://365nails.com/products/365nails-wild-pop-3d-animal-print-mixed-media-handmade-almond-nails, friendlyName=365nails: "Wild Pop" – 3D Animal Print Mixed Media Handmade Almond Nails</x:v>
      </x:c>
      <x:c r="D3599" s="18" t="str">
        <x:v>Size: XS / S / M / L</x:v>
      </x:c>
      <x:c r="E3599" s="25" t="str">
        <x:v>$2.99</x:v>
      </x:c>
      <x:c r="F3599" s="19" t="str">
        <x:v>5</x:v>
      </x:c>
    </x:row>
    <x:row r="3600" ht="93" customHeight="1">
      <x:c r="A3600" s="19" t="n">
        <x:v>3597</x:v>
      </x:c>
      <x:c r="B3600" s="22" t="e">
        <x:f>HYPERLINK("https://cdn.shopify.com/s/files/1/0918/6066/4603/files/O1CN01k8tBFk2MQzdx1JSnX__2219089449823-0-cib.jpg?v=1774453034","Open")</x:f>
        <x:v>HYPERLINK is not implemented. linkLocation=https://cdn.shopify.com/s/files/1/0918/6066/4603/files/O1CN01k8tBFk2MQzdx1JSnX__2219089449823-0-cib.jpg?v=1774453034, friendlyName=Open</x:v>
      </x:c>
      <x:c r="C3600" s="24" t="e">
        <x:f>HYPERLINK("https://365nails.com/products/pastel-dream-fruit-bloom-medium-almond-handmade-press-on-nails","Pastel Dream: ""Fruit &amp; Bloom"" – Medium Almond Handmade Press On Nails")</x:f>
        <x:v>HYPERLINK is not implemented. linkLocation=https://365nails.com/products/pastel-dream-fruit-bloom-medium-almond-handmade-press-on-nails, friendlyName=Pastel Dream: "Fruit &amp; Bloom" – Medium Almond Handmade Press On Nails</x:v>
      </x:c>
      <x:c r="D3600" s="18" t="str">
        <x:v>Color: D532; Color classification: X s / S / M / L</x:v>
      </x:c>
      <x:c r="E3600" s="25" t="str">
        <x:v>$3.49</x:v>
      </x:c>
      <x:c r="F3600" s="19" t="str">
        <x:v>1</x:v>
      </x:c>
    </x:row>
    <x:row r="3601" ht="93" customHeight="1">
      <x:c r="A3601" s="19" t="n">
        <x:v>3598</x:v>
      </x:c>
      <x:c r="B3601" s="22" t="e">
        <x:f>HYPERLINK("https://cdn.shopify.com/s/files/1/0918/6066/4603/files/O1CN01v3walF27ZUlgxiPn3__2220024697811-0-cib.jpg?v=1775038524","Open")</x:f>
        <x:v>HYPERLINK is not implemented. linkLocation=https://cdn.shopify.com/s/files/1/0918/6066/4603/files/O1CN01v3walF27ZUlgxiPn3__2220024697811-0-cib.jpg?v=1775038524, friendlyName=Open</x:v>
      </x:c>
      <x:c r="C3601" s="24" t="e">
        <x:f>HYPERLINK("https://365nails.com/products/365nails-parisian-chic-3d-bow-eiffel-tower-handmade-square-nails","365nails: ""Parisian Chic"" – 3D Bow &amp; Eiffel Tower Handmade Square Nails")</x:f>
        <x:v>HYPERLINK is not implemented. linkLocation=https://365nails.com/products/365nails-parisian-chic-3d-bow-eiffel-tower-handmade-square-nails, friendlyName=365nails: "Parisian Chic" – 3D Bow &amp; Eiffel Tower Handmade Square Nails</x:v>
      </x:c>
      <x:c r="D3601" s="18" t="str">
        <x:v>Color: Duckbill; Color classification: Xs / S / M / L</x:v>
      </x:c>
      <x:c r="E3601" s="25" t="str">
        <x:v>$4.49</x:v>
      </x:c>
      <x:c r="F3601" s="19" t="str">
        <x:v>3</x:v>
      </x:c>
    </x:row>
    <x:row r="3602" ht="93" customHeight="1">
      <x:c r="A3602" s="19" t="n">
        <x:v>3599</x:v>
      </x:c>
      <x:c r="B3602" s="22" t="e">
        <x:f>HYPERLINK("https://cdn.shopify.com/s/files/1/0918/6066/4603/files/O1CN01Z4I13K1CPwLxGKNkv__2213196780074-0-cib.jpg?v=1776818738","Open")</x:f>
        <x:v>HYPERLINK is not implemented. linkLocation=https://cdn.shopify.com/s/files/1/0918/6066/4603/files/O1CN01Z4I13K1CPwLxGKNkv__2213196780074-0-cib.jpg?v=1776818738, friendlyName=Open</x:v>
      </x:c>
      <x:c r="C3602" s="24" t="e">
        <x:f>HYPERLINK("https://365nails.com/products/365nails-gilded-baroque-3d-floral-crystal-handmade-long-almond-nails","365nails: ""Gilded Baroque"" – 3D Floral &amp; Crystal Handmade Long Almond Nails")</x:f>
        <x:v>HYPERLINK is not implemented. linkLocation=https://365nails.com/products/365nails-gilded-baroque-3d-floral-crystal-handmade-long-almond-nails, friendlyName=365nails: "Gilded Baroque" – 3D Floral &amp; Crystal Handmade Long Almond Nails</x:v>
      </x:c>
      <x:c r="D3602" s="18" t="str">
        <x:v>Color: 1908 - fine point; Color classification: Xs / S / M / L</x:v>
      </x:c>
      <x:c r="E3602" s="25" t="str">
        <x:v>$5.99</x:v>
      </x:c>
      <x:c r="F3602" s="19" t="str">
        <x:v>1</x:v>
      </x:c>
    </x:row>
    <x:row r="3603" ht="93" customHeight="1">
      <x:c r="A3603" s="19" t="n">
        <x:v>3600</x:v>
      </x:c>
      <x:c r="B3603" s="22" t="e">
        <x:f>HYPERLINK("https://cdn.shopify.com/s/files/1/0918/6066/4603/files/O1CN01Pqpap22MQzeyYsPHp__2219089449823-0-cib.jpg?v=1774178775","Open")</x:f>
        <x:v>HYPERLINK is not implemented. linkLocation=https://cdn.shopify.com/s/files/1/0918/6066/4603/files/O1CN01Pqpap22MQzeyYsPHp__2219089449823-0-cib.jpg?v=1774178775, friendlyName=Open</x:v>
      </x:c>
      <x:c r="C3603" s="24" t="e">
        <x:f>HYPERLINK("https://365nails.com/products/violet-bloom-amethyst-flower-almond-press-on-nails","Violet Bloom: ""Amethyst Flower"" – Almond Press-On Nails")</x:f>
        <x:v>HYPERLINK is not implemented. linkLocation=https://365nails.com/products/violet-bloom-amethyst-flower-almond-press-on-nails, friendlyName=Violet Bloom: "Amethyst Flower" – Almond Press-On Nails</x:v>
      </x:c>
      <x:c r="D3603" s="18" t="str">
        <x:v>Color: O001; Color classification: X s / S / M / L</x:v>
      </x:c>
      <x:c r="E3603" s="25" t="str">
        <x:v>$3.49</x:v>
      </x:c>
      <x:c r="F3603" s="19" t="str">
        <x:v>1</x:v>
      </x:c>
    </x:row>
    <x:row r="3604" ht="93" customHeight="1">
      <x:c r="A3604" s="19" t="n">
        <x:v>3601</x:v>
      </x:c>
      <x:c r="B3604" s="22" t="e">
        <x:f>HYPERLINK("https://cdn.shopify.com/s/files/1/0918/6066/4603/files/O1CN01jj5Eau2214uPAgDIN__2219480337059-0-cib.jpg?v=1773320931","Open")</x:f>
        <x:v>HYPERLINK is not implemented. linkLocation=https://cdn.shopify.com/s/files/1/0918/6066/4603/files/O1CN01jj5Eau2214uPAgDIN__2219480337059-0-cib.jpg?v=1773320931, friendlyName=Open</x:v>
      </x:c>
      <x:c r="C3604" s="24" t="e">
        <x:f>HYPERLINK("https://365nails.com/products/365nails-caramel-kitty-short-round-handmade-kids-press-on-nails","365nails: ""caramel kitty"" – short round handmade kids press-on nails")</x:f>
        <x:v>HYPERLINK is not implemented. linkLocation=https://365nails.com/products/365nails-caramel-kitty-short-round-handmade-kids-press-on-nails, friendlyName=365nails: "caramel kitty" – short round handmade kids press-on nails</x:v>
      </x:c>
      <x:c r="D3604" s="18" t="str">
        <x:v>Color: Cat fish; Color classification: Xs (about 2 years old) / S (3-4 years old) / M (5-7 years old) / L (8-11 years old)</x:v>
      </x:c>
      <x:c r="E3604" s="25" t="str">
        <x:v>$2.99</x:v>
      </x:c>
      <x:c r="F3604" s="19" t="str">
        <x:v>3</x:v>
      </x:c>
    </x:row>
    <x:row r="3605" ht="93" customHeight="1">
      <x:c r="A3605" s="19" t="n">
        <x:v>3602</x:v>
      </x:c>
      <x:c r="B3605" s="22" t="e">
        <x:f>HYPERLINK("https://cdn.shopify.com/s/files/1/0918/6066/4603/files/O1CN01WGZDFQ21GMVcTQAZc__6000000006957-0-cib.jpg?v=1774010892","Open")</x:f>
        <x:v>HYPERLINK is not implemented. linkLocation=https://cdn.shopify.com/s/files/1/0918/6066/4603/files/O1CN01WGZDFQ21GMVcTQAZc__6000000006957-0-cib.jpg?v=1774010892, friendlyName=Open</x:v>
      </x:c>
      <x:c r="C3605" s="24" t="e">
        <x:f>HYPERLINK("https://365nails.com/products/seaside-serenity-mother-of-pearl-bloom-short-square-handmade-3d-carved-press-on-nails","365nails-Seaside Serenity: ""Mother-of-Pearl Bloom"" – Short Square Handmade 3D Carved Press-On Nails")</x:f>
        <x:v>HYPERLINK is not implemented. linkLocation=https://365nails.com/products/seaside-serenity-mother-of-pearl-bloom-short-square-handmade-3d-carved-press-on-nails, friendlyName=365nails-Seaside Serenity: "Mother-of-Pearl Bloom" – Short Square Handmade 3D Carved Press-On Nails</x:v>
      </x:c>
      <x:c r="D3605" s="18" t="str">
        <x:v>Color: D444; Color classification: X s / S / M / L</x:v>
      </x:c>
      <x:c r="E3605" s="25" t="str">
        <x:v>$3.99</x:v>
      </x:c>
      <x:c r="F3605" s="19" t="str">
        <x:v>1</x:v>
      </x:c>
    </x:row>
    <x:row r="3606" ht="93" customHeight="1">
      <x:c r="A3606" s="19" t="n">
        <x:v>3603</x:v>
      </x:c>
      <x:c r="B3606" s="22" t="e">
        <x:f>HYPERLINK("https://cdn.shopify.com/s/files/1/0918/6066/4603/files/O1CN01wxyTWO2214v1RlARG__2219480337059-0-cib_2a7d1ae1-5a30-47a2-83e1-657cc3f2be7e.jpg?v=1773824667","Open")</x:f>
        <x:v>HYPERLINK is not implemented. linkLocation=https://cdn.shopify.com/s/files/1/0918/6066/4603/files/O1CN01wxyTWO2214v1RlARG__2219480337059-0-cib_2a7d1ae1-5a30-47a2-83e1-657cc3f2be7e.jpg?v=1773824667, friendlyName=Open</x:v>
      </x:c>
      <x:c r="C3606" s="24" t="e">
        <x:f>HYPERLINK("https://365nails.com/products/spooky-cute-kids-series-pink-ghost-parade-short-square-kids-nail-art","365nails-Spooky Cute Kids Series: ""Pink Ghost Parade"" – Short Square Kids Nail Art")</x:f>
        <x:v>HYPERLINK is not implemented. linkLocation=https://365nails.com/products/spooky-cute-kids-series-pink-ghost-parade-short-square-kids-nail-art, friendlyName=365nails-Spooky Cute Kids Series: "Pink Ghost Parade" – Short Square Kids Nail Art</x:v>
      </x:c>
      <x:c r="D3606" s="18" t="str">
        <x:v>Color: 9150 pink love skull; Color classification: Xs (about 2 years old) / S (3-4 years old) / M (5-7 years old) / L (8-11 years old)</x:v>
      </x:c>
      <x:c r="E3606" s="25" t="str">
        <x:v>$2.99</x:v>
      </x:c>
      <x:c r="F3606" s="19" t="str">
        <x:v>3</x:v>
      </x:c>
    </x:row>
    <x:row r="3607" ht="93" customHeight="1">
      <x:c r="A3607" s="19" t="n">
        <x:v>3604</x:v>
      </x:c>
      <x:c r="B3607" s="22" t="e">
        <x:f>HYPERLINK("https://cdn.shopify.com/s/files/1/0918/6066/4603/files/O1CN019pFF0N2214vfJNKcU__2219480337059-0-cib.jpg?v=1773136079","Open")</x:f>
        <x:v>HYPERLINK is not implemented. linkLocation=https://cdn.shopify.com/s/files/1/0918/6066/4603/files/O1CN019pFF0N2214vfJNKcU__2219480337059-0-cib.jpg?v=1773136079, friendlyName=Open</x:v>
      </x:c>
      <x:c r="C3607" s="24" t="e">
        <x:f>HYPERLINK("https://365nails.com/products/365nails-ruby-heart-sparkle-short-wide-handmade-kids-press-on-nails","365nails: ""ruby heart sparkle"" – short wide handmade kids press-on nails")</x:f>
        <x:v>HYPERLINK is not implemented. linkLocation=https://365nails.com/products/365nails-ruby-heart-sparkle-short-wide-handmade-kids-press-on-nails, friendlyName=365nails: "ruby heart sparkle" – short wide handmade kids press-on nails</x:v>
      </x:c>
      <x:c r="D3607" s="18" t="str">
        <x:v>Color: 10316 sequin cat eye; Color classification: Xs (about 2 years old) / S (3-4 years old) / M (5-7 years old) / L (8-11 years old)</x:v>
      </x:c>
      <x:c r="E3607" s="25" t="str">
        <x:v>$2.99</x:v>
      </x:c>
      <x:c r="F3607" s="19" t="str">
        <x:v>3</x:v>
      </x:c>
    </x:row>
    <x:row r="3608" ht="93" customHeight="1">
      <x:c r="A3608" s="19" t="n">
        <x:v>3605</x:v>
      </x:c>
      <x:c r="B3608" s="22" t="e">
        <x:f>HYPERLINK("https://cdn.shopify.com/s/files/1/0918/6066/4603/files/O1CN019i8y9c2214vZ2lhOQ__2219480337059-0-cib.jpg?v=1773320952","Open")</x:f>
        <x:v>HYPERLINK is not implemented. linkLocation=https://cdn.shopify.com/s/files/1/0918/6066/4603/files/O1CN019i8y9c2214vZ2lhOQ__2219480337059-0-cib.jpg?v=1773320952, friendlyName=Open</x:v>
      </x:c>
      <x:c r="C3608" s="24" t="e">
        <x:f>HYPERLINK("https://365nails.com/products/365nails-sweet-strawberry-bear-short-round-handmade-kids-press-on-nails","365nails: ""sweet strawberry bear"" – short round handmade kids press-on nails")</x:f>
        <x:v>HYPERLINK is not implemented. linkLocation=https://365nails.com/products/365nails-sweet-strawberry-bear-short-round-handmade-kids-press-on-nails, friendlyName=365nails: "sweet strawberry bear" – short round handmade kids press-on nails</x:v>
      </x:c>
      <x:c r="D3608" s="18" t="str">
        <x:v>Color: 10205 strawberry brown bear; Color classification: Xs (about 2 years old) / S (3-4 years old) / M (5-7 years old) / L (8-11 years old)</x:v>
      </x:c>
      <x:c r="E3608" s="25" t="str">
        <x:v>$2.99</x:v>
      </x:c>
      <x:c r="F3608" s="19" t="str">
        <x:v>3</x:v>
      </x:c>
    </x:row>
    <x:row r="3609" ht="93" customHeight="1">
      <x:c r="A3609" s="19" t="n">
        <x:v>3606</x:v>
      </x:c>
      <x:c r="B3609" s="22" t="e">
        <x:f>HYPERLINK("https://cdn.shopify.com/s/files/1/0918/6066/4603/files/O1CN01DbrRDX2214tZRM9vY__2219480337059-0-cib.jpg?v=1773320873","Open")</x:f>
        <x:v>HYPERLINK is not implemented. linkLocation=https://cdn.shopify.com/s/files/1/0918/6066/4603/files/O1CN01DbrRDX2214tZRM9vY__2219480337059-0-cib.jpg?v=1773320873, friendlyName=Open</x:v>
      </x:c>
      <x:c r="C3609" s="24" t="e">
        <x:f>HYPERLINK("https://365nails.com/products/365nails-colorful-kawaii-dolls-short-round-handmade-kids-press-on-nails","365nails: ""colorful kawaii dolls"" – short round handmade kids press-on nails")</x:f>
        <x:v>HYPERLINK is not implemented. linkLocation=https://365nails.com/products/365nails-colorful-kawaii-dolls-short-round-handmade-kids-press-on-nails, friendlyName=365nails: "colorful kawaii dolls" – short round handmade kids press-on nails</x:v>
      </x:c>
      <x:c r="D3609" s="18" t="str">
        <x:v>Color: Labubu kt; Color classification: Xs (about 2 years old) / S (3-4 years old) / M (5-7 years old) / L (8-11 years old)</x:v>
      </x:c>
      <x:c r="E3609" s="25" t="str">
        <x:v>$2.99</x:v>
      </x:c>
      <x:c r="F3609" s="19" t="str">
        <x:v>3</x:v>
      </x:c>
    </x:row>
    <x:row r="3610" ht="93" customHeight="1">
      <x:c r="A3610" s="19" t="n">
        <x:v>3607</x:v>
      </x:c>
      <x:c r="B3610" s="22" t="e">
        <x:f>HYPERLINK("https://cdn.shopify.com/s/files/1/0918/6066/4603/files/O1CN01ELIf6s1CPwNLzk1yo__2213196780074-0-cib_06f4b8cd-b89b-4f77-9a9c-28117a1c8a76.jpg?v=1774693108","Open")</x:f>
        <x:v>HYPERLINK is not implemented. linkLocation=https://cdn.shopify.com/s/files/1/0918/6066/4603/files/O1CN01ELIf6s1CPwNLzk1yo__2213196780074-0-cib_06f4b8cd-b89b-4f77-9a9c-28117a1c8a76.jpg?v=1774693108, friendlyName=Open</x:v>
      </x:c>
      <x:c r="C3610" s="24" t="e">
        <x:f>HYPERLINK("https://365nails.com/products/365nails-regal-dewdrop-3d-crystal-pearl-handmade-stiletto-nails","365nails: ""Regal Dewdrop"" – 3D Crystal &amp; Pearl Handmade Stiletto Nails")</x:f>
        <x:v>HYPERLINK is not implemented. linkLocation=https://365nails.com/products/365nails-regal-dewdrop-3d-crystal-pearl-handmade-stiletto-nails, friendlyName=365nails: "Regal Dewdrop" – 3D Crystal &amp; Pearl Handmade Stiletto Nails</x:v>
      </x:c>
      <x:c r="D3610" s="18" t="str">
        <x:v>Color: 2881-extra long ladder / 2883-fine dog tip; Color classification: Xs / S / M / L</x:v>
      </x:c>
      <x:c r="E3610" s="25" t="str">
        <x:v>$3.49</x:v>
      </x:c>
      <x:c r="F3610" s="19" t="str">
        <x:v>1</x:v>
      </x:c>
    </x:row>
    <x:row r="3611" ht="93" customHeight="1">
      <x:c r="A3611" s="19" t="n">
        <x:v>3608</x:v>
      </x:c>
      <x:c r="B3611" s="22" t="e">
        <x:f>HYPERLINK("https://cdn.shopify.com/s/files/1/0918/6066/4603/files/O1CN01VyKfIX2MQzdDRJGwd__2219089449823-0-cib.jpg?v=1774066193","Open")</x:f>
        <x:v>HYPERLINK is not implemented. linkLocation=https://cdn.shopify.com/s/files/1/0918/6066/4603/files/O1CN01VyKfIX2MQzdDRJGwd__2219089449823-0-cib.jpg?v=1774066193, friendlyName=Open</x:v>
      </x:c>
      <x:c r="C3611" s="24" t="e">
        <x:f>HYPERLINK("https://365nails.com/products/purple-fantasy-lavender-bloom-almond-shape-handmade-3d-carved-press-on-nails","365nails-Purple Fantasy: ""Lavender Bloom"" – Almond Shape Handmade 3D Carved Press-On Nails")</x:f>
        <x:v>HYPERLINK is not implemented. linkLocation=https://365nails.com/products/purple-fantasy-lavender-bloom-almond-shape-handmade-3d-carved-press-on-nails, friendlyName=365nails-Purple Fantasy: "Lavender Bloom" – Almond Shape Handmade 3D Carved Press-On Nails</x:v>
      </x:c>
      <x:c r="D3611" s="18" t="str">
        <x:v>Color: D437; Color classification: X s / S / M / L</x:v>
      </x:c>
      <x:c r="E3611" s="25" t="str">
        <x:v>$3.99</x:v>
      </x:c>
      <x:c r="F3611" s="19" t="str">
        <x:v>1</x:v>
      </x:c>
    </x:row>
    <x:row r="3612" ht="93" customHeight="1">
      <x:c r="A3612" s="19" t="n">
        <x:v>3609</x:v>
      </x:c>
      <x:c r="B3612" s="22" t="e">
        <x:f>HYPERLINK("https://cdn.shopify.com/s/files/1/0918/6066/4603/files/b0b78bba90321541189ae99b689b1070.jpg?v=1772976635","Open")</x:f>
        <x:v>HYPERLINK is not implemented. linkLocation=https://cdn.shopify.com/s/files/1/0918/6066/4603/files/b0b78bba90321541189ae99b689b1070.jpg?v=1772976635, friendlyName=Open</x:v>
      </x:c>
      <x:c r="C3612" s="24" t="e">
        <x:f>HYPERLINK("https://365nails.com/products/pro-matte-collection-240pcs-3-style-half-cover-small-batch-custom-matte-half-cover-nail-tips","Pro Matte Collection: ""240PCS 3-Style Half-Cover"" – Small Batch Custom Matte Half-Cover Nail Tips")</x:f>
        <x:v>HYPERLINK is not implemented. linkLocation=https://365nails.com/products/pro-matte-collection-240pcs-3-style-half-cover-small-batch-custom-matte-half-cover-nail-tips, friendlyName=Pro Matte Collection: "240PCS 3-Style Half-Cover" – Small Batch Custom Matte Half-Cover Nail Tips</x:v>
      </x:c>
      <x:c r="D3612" s="18" t="str">
        <x:v>Color: Ys-292*240 tablets / Ys-293*240 tablets / Ys-294*240 tablets</x:v>
      </x:c>
      <x:c r="E3612" s="25" t="str">
        <x:v>$1.91</x:v>
      </x:c>
      <x:c r="F3612" s="19" t="str">
        <x:v>3</x:v>
      </x:c>
    </x:row>
    <x:row r="3613" ht="93" customHeight="1">
      <x:c r="A3613" s="19" t="n">
        <x:v>3610</x:v>
      </x:c>
      <x:c r="B3613" s="22" t="e">
        <x:f>HYPERLINK("https://cdn.shopify.com/s/files/1/0918/6066/4603/files/205c39c708ceaa5a97f3b8e78fdc73df.jpg?v=1776168928","Open")</x:f>
        <x:v>HYPERLINK is not implemented. linkLocation=https://cdn.shopify.com/s/files/1/0918/6066/4603/files/205c39c708ceaa5a97f3b8e78fdc73df.jpg?v=1776168928, friendlyName=Open</x:v>
      </x:c>
      <x:c r="C3613" s="24" t="e">
        <x:f>HYPERLINK("https://365nails.com/products/365nails-berry-sweet-3d-mix-match-handmade-short-square-nails","365nails: ""Berry Sweet"" – 3D Mix &amp; Match Handmade Short Square Nails")</x:f>
        <x:v>HYPERLINK is not implemented. linkLocation=https://365nails.com/products/365nails-berry-sweet-3d-mix-match-handmade-short-square-nails, friendlyName=365nails: "Berry Sweet" – 3D Mix &amp; Match Handmade Short Square Nails</x:v>
      </x:c>
      <x:c r="D3613" s="18" t="str">
        <x:v>Size: XS / S / M / L</x:v>
      </x:c>
      <x:c r="E3613" s="25" t="str">
        <x:v>$1.99</x:v>
      </x:c>
      <x:c r="F3613" s="19" t="str">
        <x:v>3</x:v>
      </x:c>
    </x:row>
    <x:row r="3614" ht="93" customHeight="1">
      <x:c r="A3614" s="19" t="n">
        <x:v>3611</x:v>
      </x:c>
      <x:c r="B3614" s="22" t="e">
        <x:f>HYPERLINK("https://cdn.shopify.com/s/files/1/0918/6066/4603/files/fa0b138199964fd1e8882520aba663c2.jpg?v=1776168077","Open")</x:f>
        <x:v>HYPERLINK is not implemented. linkLocation=https://cdn.shopify.com/s/files/1/0918/6066/4603/files/fa0b138199964fd1e8882520aba663c2.jpg?v=1776168077, friendlyName=Open</x:v>
      </x:c>
      <x:c r="C3614" s="24" t="e">
        <x:f>HYPERLINK("https://365nails.com/products/365nails-candy-land-3d-mix-match-handmade-short-square-nails","365nails: ""Candy Land"" – 3D Mix &amp; Match Handmade Short Square Nails")</x:f>
        <x:v>HYPERLINK is not implemented. linkLocation=https://365nails.com/products/365nails-candy-land-3d-mix-match-handmade-short-square-nails, friendlyName=365nails: "Candy Land" – 3D Mix &amp; Match Handmade Short Square Nails</x:v>
      </x:c>
      <x:c r="D3614" s="18" t="str">
        <x:v>Size: XS / S / M / L</x:v>
      </x:c>
      <x:c r="E3614" s="25" t="str">
        <x:v>$1.99</x:v>
      </x:c>
      <x:c r="F3614" s="19" t="str">
        <x:v>3</x:v>
      </x:c>
    </x:row>
    <x:row r="3615" ht="93" customHeight="1">
      <x:c r="A3615" s="19" t="n">
        <x:v>3612</x:v>
      </x:c>
      <x:c r="B3615" s="22" t="e">
        <x:f>HYPERLINK("https://cdn.shopify.com/s/files/1/0918/6066/4603/files/O1CN01tTltPG2MQzdDBbXSb__2219089449823-0-cib.jpg?v=1774010885","Open")</x:f>
        <x:v>HYPERLINK is not implemented. linkLocation=https://cdn.shopify.com/s/files/1/0918/6066/4603/files/O1CN01tTltPG2MQzdDBbXSb__2219089449823-0-cib.jpg?v=1774010885, friendlyName=Open</x:v>
      </x:c>
      <x:c r="C3615" s="24" t="e">
        <x:f>HYPERLINK("https://365nails.com/products/tropical-bloom-frangipani-flutter-almond-shape-handmade-3d-carved-press-on-nails","365nails-Tropical Bloom: ""Frangipani Flutter"" – Almond Shape Handmade 3D Carved Press-On Nails")</x:f>
        <x:v>HYPERLINK is not implemented. linkLocation=https://365nails.com/products/tropical-bloom-frangipani-flutter-almond-shape-handmade-3d-carved-press-on-nails, friendlyName=365nails-Tropical Bloom: "Frangipani Flutter" – Almond Shape Handmade 3D Carved Press-On Nails</x:v>
      </x:c>
      <x:c r="D3615" s="18" t="str">
        <x:v>Color: D465; Color classification: X s / S / M / L</x:v>
      </x:c>
      <x:c r="E3615" s="25" t="str">
        <x:v>$3.99</x:v>
      </x:c>
      <x:c r="F3615" s="19" t="str">
        <x:v>1</x:v>
      </x:c>
    </x:row>
    <x:row r="3616" ht="93" customHeight="1">
      <x:c r="A3616" s="19" t="n">
        <x:v>3613</x:v>
      </x:c>
      <x:c r="B3616" s="22" t="e">
        <x:f>HYPERLINK("https://cdn.shopify.com/s/files/1/0918/6066/4603/files/O1CN01FKYZRo27ZUkG9eGr5__2220024697811-0-cib.jpg?v=1774864875","Open")</x:f>
        <x:v>HYPERLINK is not implemented. linkLocation=https://cdn.shopify.com/s/files/1/0918/6066/4603/files/O1CN01FKYZRo27ZUkG9eGr5__2220024697811-0-cib.jpg?v=1774864875, friendlyName=Open</x:v>
      </x:c>
      <x:c r="C3616" s="24" t="e">
        <x:f>HYPERLINK("https://365nails.com/products/365nails-demonic-bloom-3d-hand-sculpted-floral-abstract-art-stiletto-nails","365nails: ""Demonic Bloom"" – 3D Hand-sculpted Floral &amp; Abstract Art Stiletto Nails")</x:f>
        <x:v>HYPERLINK is not implemented. linkLocation=https://365nails.com/products/365nails-demonic-bloom-3d-hand-sculpted-floral-abstract-art-stiletto-nails, friendlyName=365nails: "Demonic Bloom" – 3D Hand-sculpted Floral &amp; Abstract Art Stiletto Nails</x:v>
      </x:c>
      <x:c r="D3616" s="18" t="str">
        <x:v>Color: Medium t; Color classification: Xs / S / M / L</x:v>
      </x:c>
      <x:c r="E3616" s="25" t="str">
        <x:v>$4.99</x:v>
      </x:c>
      <x:c r="F3616" s="19" t="str">
        <x:v>3</x:v>
      </x:c>
    </x:row>
    <x:row r="3617" ht="93" customHeight="1">
      <x:c r="A3617" s="19" t="n">
        <x:v>3614</x:v>
      </x:c>
      <x:c r="B3617" s="22" t="e">
        <x:f>HYPERLINK("https://cdn.shopify.com/s/files/1/0918/6066/4603/files/e8ba0ebb1a3a786b1f3e68c3fca98078.jpg?v=1778318700","Open")</x:f>
        <x:v>HYPERLINK is not implemented. linkLocation=https://cdn.shopify.com/s/files/1/0918/6066/4603/files/e8ba0ebb1a3a786b1f3e68c3fca98078.jpg?v=1778318700, friendlyName=Open</x:v>
      </x:c>
      <x:c r="C3617" s="24" t="e">
        <x:f>HYPERLINK("https://365nails.com/products/365nails-wild-bloom-3d-bow-zebra-print-handmade-almond-nails","365nails: ""Wild Bloom"" – 3D Bow &amp; Zebra Print Handmade Almond Nails")</x:f>
        <x:v>HYPERLINK is not implemented. linkLocation=https://365nails.com/products/365nails-wild-bloom-3d-bow-zebra-print-handmade-almond-nails, friendlyName=365nails: "Wild Bloom" – 3D Bow &amp; Zebra Print Handmade Almond Nails</x:v>
      </x:c>
      <x:c r="D3617" s="18" t="str">
        <x:v>Size: XS / S / M / L</x:v>
      </x:c>
      <x:c r="E3617" s="25" t="str">
        <x:v>$2.99</x:v>
      </x:c>
      <x:c r="F3617" s="19" t="str">
        <x:v>5</x:v>
      </x:c>
    </x:row>
    <x:row r="3618" ht="93" customHeight="1">
      <x:c r="A3618" s="19" t="n">
        <x:v>3615</x:v>
      </x:c>
      <x:c r="B3618" s="22" t="e">
        <x:f>HYPERLINK("https://cdn.shopify.com/s/files/1/0918/6066/4603/files/O1CN01Pf9bzw27ZUlS1Javn__2220024697811-0-cib.jpg?v=1774961078","Open")</x:f>
        <x:v>HYPERLINK is not implemented. linkLocation=https://cdn.shopify.com/s/files/1/0918/6066/4603/files/O1CN01Pf9bzw27ZUlS1Javn__2220024697811-0-cib.jpg?v=1774961078, friendlyName=Open</x:v>
      </x:c>
      <x:c r="C3618" s="24" t="e">
        <x:f>HYPERLINK("https://365nails.com/products/365nails-pastel-blooms-3d-floral-handmade-almond-nails","365nails: ""Pastel Blooms"" – 3D Floral Handmade Almond Nails")</x:f>
        <x:v>HYPERLINK is not implemented. linkLocation=https://365nails.com/products/365nails-pastel-blooms-3d-floral-handmade-almond-nails, friendlyName=365nails: "Pastel Blooms" – 3D Floral Handmade Almond Nails</x:v>
      </x:c>
      <x:c r="D3618" s="18" t="str">
        <x:v>Color: Almond; Color classification: Xs / S / M / L</x:v>
      </x:c>
      <x:c r="E3618" s="25" t="str">
        <x:v>$4.99</x:v>
      </x:c>
      <x:c r="F3618" s="19" t="str">
        <x:v>3</x:v>
      </x:c>
    </x:row>
    <x:row r="3619" ht="93" customHeight="1">
      <x:c r="A3619" s="19" t="n">
        <x:v>3616</x:v>
      </x:c>
      <x:c r="B3619" s="22" t="e">
        <x:f>HYPERLINK("https://cdn.shopify.com/s/files/1/0918/6066/4603/files/O1CN01SMV1NO2MQzfvJedYI__2219089449823-0-cib.jpg?v=1774275867","Open")</x:f>
        <x:v>HYPERLINK is not implemented. linkLocation=https://cdn.shopify.com/s/files/1/0918/6066/4603/files/O1CN01SMV1NO2MQzfvJedYI__2219089449823-0-cib.jpg?v=1774275867, friendlyName=Open</x:v>
      </x:c>
      <x:c r="C3619" s="24" t="e">
        <x:f>HYPERLINK("https://365nails.com/products/ocean-bloom-azure-blossom-long-almond-press-on-nails","Ocean Bloom: ""Azure Blossom"" – Long Almond Press-On Nails")</x:f>
        <x:v>HYPERLINK is not implemented. linkLocation=https://365nails.com/products/ocean-bloom-azure-blossom-long-almond-press-on-nails, friendlyName=Ocean Bloom: "Azure Blossom" – Long Almond Press-On Nails</x:v>
      </x:c>
      <x:c r="D3619" s="18" t="str">
        <x:v>Color: D 260; Color classification: X s / S / M / L</x:v>
      </x:c>
      <x:c r="E3619" s="25" t="str">
        <x:v>$3.99</x:v>
      </x:c>
      <x:c r="F3619" s="19" t="str">
        <x:v>1</x:v>
      </x:c>
    </x:row>
    <x:row r="3620" ht="93" customHeight="1">
      <x:c r="A3620" s="19" t="n">
        <x:v>3617</x:v>
      </x:c>
      <x:c r="B3620" s="22" t="e">
        <x:f>HYPERLINK("https://cdn.shopify.com/s/files/1/0918/6066/4603/files/6e1efd4da56caa0738008e891b0c8b05.jpg?v=1776245450","Open")</x:f>
        <x:v>HYPERLINK is not implemented. linkLocation=https://cdn.shopify.com/s/files/1/0918/6066/4603/files/6e1efd4da56caa0738008e891b0c8b05.jpg?v=1776245450, friendlyName=Open</x:v>
      </x:c>
      <x:c r="C3620" s="24" t="e">
        <x:f>HYPERLINK("https://365nails.com/products/365nails-electric-adventure-3d-character-handmade-short-nails","365nails: ""Electric Adventure"" – 3D Character Handmade Short Nails")</x:f>
        <x:v>HYPERLINK is not implemented. linkLocation=https://365nails.com/products/365nails-electric-adventure-3d-character-handmade-short-nails, friendlyName=365nails: "Electric Adventure" – 3D Character Handmade Short Nails</x:v>
      </x:c>
      <x:c r="D3620" s="18" t="str">
        <x:v>Size: XS / S / M / L</x:v>
      </x:c>
      <x:c r="E3620" s="25" t="str">
        <x:v>$2.49</x:v>
      </x:c>
      <x:c r="F3620" s="19" t="str">
        <x:v>3</x:v>
      </x:c>
    </x:row>
    <x:row r="3621" ht="93" customHeight="1">
      <x:c r="A3621" s="19" t="n">
        <x:v>3618</x:v>
      </x:c>
      <x:c r="B3621" s="22" t="e">
        <x:f>HYPERLINK("https://cdn.shopify.com/s/files/1/0918/6066/4603/files/8022b61c1d89439fb92ea243d0dd1359.jpg?v=1776167080","Open")</x:f>
        <x:v>HYPERLINK is not implemented. linkLocation=https://cdn.shopify.com/s/files/1/0918/6066/4603/files/8022b61c1d89439fb92ea243d0dd1359.jpg?v=1776167080, friendlyName=Open</x:v>
      </x:c>
      <x:c r="C3621" s="24" t="e">
        <x:f>HYPERLINK("https://365nails.com/products/365nails-strawberry-glitter-3d-fruit-sparkle-handmade-short-square-nails","365nails: ""Strawberry Glitter"" – 3D Fruit &amp; Sparkle Handmade Short Square Nails")</x:f>
        <x:v>HYPERLINK is not implemented. linkLocation=https://365nails.com/products/365nails-strawberry-glitter-3d-fruit-sparkle-handmade-short-square-nails, friendlyName=365nails: "Strawberry Glitter" – 3D Fruit &amp; Sparkle Handmade Short Square Nails</x:v>
      </x:c>
      <x:c r="D3621" s="18" t="str">
        <x:v>Size: XS / S / M / L</x:v>
      </x:c>
      <x:c r="E3621" s="25" t="str">
        <x:v>$1.99</x:v>
      </x:c>
      <x:c r="F3621" s="19" t="str">
        <x:v>3</x:v>
      </x:c>
    </x:row>
    <x:row r="3622" ht="93" customHeight="1">
      <x:c r="A3622" s="19" t="n">
        <x:v>3619</x:v>
      </x:c>
      <x:c r="B3622" s="22" t="e">
        <x:f>HYPERLINK("https://cdn.shopify.com/s/files/1/0918/6066/4603/files/714ebfe9c81b040491d34e147073a83a_7ab3e7e0-dc54-48fc-9a38-886bb921993a.jpg?v=1773210280","Open")</x:f>
        <x:v>HYPERLINK is not implemented. linkLocation=https://cdn.shopify.com/s/files/1/0918/6066/4603/files/714ebfe9c81b040491d34e147073a83a_7ab3e7e0-dc54-48fc-9a38-886bb921993a.jpg?v=1773210280, friendlyName=Open</x:v>
      </x:c>
      <x:c r="C3622" s="24" t="e">
        <x:f>HYPERLINK("https://365nails.com/products/365nails-smiley-daisy-handmade-press-on-toenails-pedicure","365nails: ""smiley daisy"" – handmade press-on toenails / pedicure")</x:f>
        <x:v>HYPERLINK is not implemented. linkLocation=https://365nails.com/products/365nails-smiley-daisy-handmade-press-on-toenails-pedicure, friendlyName=365nails: "smiley daisy" – handmade press-on toenails / pedicure</x:v>
      </x:c>
      <x:c r="D3622" s="18" t="str">
        <x:v>Size: XS / S / M / L</x:v>
      </x:c>
      <x:c r="E3622" s="25" t="str">
        <x:v>$2.99</x:v>
      </x:c>
      <x:c r="F3622" s="19" t="str">
        <x:v>3</x:v>
      </x:c>
    </x:row>
    <x:row r="3623" ht="93" customHeight="1">
      <x:c r="A3623" s="19" t="n">
        <x:v>3620</x:v>
      </x:c>
      <x:c r="B3623" s="22" t="e">
        <x:f>HYPERLINK("https://cdn.shopify.com/s/files/1/0918/6066/4603/files/e25361322ef013b9c60bd992e5771023.jpg?v=1775724606","Open")</x:f>
        <x:v>HYPERLINK is not implemented. linkLocation=https://cdn.shopify.com/s/files/1/0918/6066/4603/files/e25361322ef013b9c60bd992e5771023.jpg?v=1775724606, friendlyName=Open</x:v>
      </x:c>
      <x:c r="C3623" s="24" t="e">
        <x:f>HYPERLINK("https://365nails.com/products/365nails-retro-starlight-3d-geometric-hand-painted-handmade-almond-nails","365nails: ""Retro Starlight"" – 3D Geometric Hand-Painted Handmade Almond Nails")</x:f>
        <x:v>HYPERLINK is not implemented. linkLocation=https://365nails.com/products/365nails-retro-starlight-3d-geometric-hand-painted-handmade-almond-nails, friendlyName=365nails: "Retro Starlight" – 3D Geometric Hand-Painted Handmade Almond Nails</x:v>
      </x:c>
      <x:c r="D3623" s="18" t="str">
        <x:v>Size: XS / S / M / L</x:v>
      </x:c>
      <x:c r="E3623" s="25" t="str">
        <x:v>$2.99</x:v>
      </x:c>
      <x:c r="F3623" s="19" t="str">
        <x:v>5</x:v>
      </x:c>
    </x:row>
    <x:row r="3624" ht="93" customHeight="1">
      <x:c r="A3624" s="19" t="n">
        <x:v>3621</x:v>
      </x:c>
      <x:c r="B3624" s="22" t="e">
        <x:f>HYPERLINK("https://cdn.shopify.com/s/files/1/0918/6066/4603/files/O1CN01nLonXa27ZUlqz0AW1__2220024697811-0-cib.jpg?v=1775110736","Open")</x:f>
        <x:v>HYPERLINK is not implemented. linkLocation=https://cdn.shopify.com/s/files/1/0918/6066/4603/files/O1CN01nLonXa27ZUlqz0AW1__2220024697811-0-cib.jpg?v=1775110736, friendlyName=Open</x:v>
      </x:c>
      <x:c r="C3624" s="24" t="e">
        <x:f>HYPERLINK("https://365nails.com/products/365nails-amber-bloom-3d-floral-metallic-handmade-medium-almond-nails","365nails: ""Amber Bloom"" – 3D Floral &amp; Metallic Handmade Medium Almond Nails")</x:f>
        <x:v>HYPERLINK is not implemented. linkLocation=https://365nails.com/products/365nails-amber-bloom-3d-floral-metallic-handmade-medium-almond-nails, friendlyName=365nails: "Amber Bloom" – 3D Floral &amp; Metallic Handmade Medium Almond Nails</x:v>
      </x:c>
      <x:c r="D3624" s="18" t="str">
        <x:v>Color: Almond; Color classification: Xs / S / M / L</x:v>
      </x:c>
      <x:c r="E3624" s="25" t="str">
        <x:v>$4.49</x:v>
      </x:c>
      <x:c r="F3624" s="19" t="str">
        <x:v>3</x:v>
      </x:c>
    </x:row>
    <x:row r="3625" ht="93" customHeight="1">
      <x:c r="A3625" s="19" t="n">
        <x:v>3622</x:v>
      </x:c>
      <x:c r="B3625" s="22" t="e">
        <x:f>HYPERLINK("https://cdn.shopify.com/s/files/1/0918/6066/4603/files/O1CN01qFedbX2MQzemLym9P__2219089449823-0-cib.jpg?v=1774453163","Open")</x:f>
        <x:v>HYPERLINK is not implemented. linkLocation=https://cdn.shopify.com/s/files/1/0918/6066/4603/files/O1CN01qFedbX2MQzemLym9P__2219089449823-0-cib.jpg?v=1774453163, friendlyName=Open</x:v>
      </x:c>
      <x:c r="C3625" s="24" t="e">
        <x:f>HYPERLINK("https://365nails.com/products/whimsical-fruit-cherry-leopard-long-almond-handmade-press-on-nails","Whimsical Fruit: ""Cherry &amp; Leopard"" – Long Almond Handmade Press On Nails")</x:f>
        <x:v>HYPERLINK is not implemented. linkLocation=https://365nails.com/products/whimsical-fruit-cherry-leopard-long-almond-handmade-press-on-nails, friendlyName=Whimsical Fruit: "Cherry &amp; Leopard" – Long Almond Handmade Press On Nails</x:v>
      </x:c>
      <x:c r="D3625" s="18" t="str">
        <x:v>Color: D397; Color classification: X s / S / M / L</x:v>
      </x:c>
      <x:c r="E3625" s="25" t="str">
        <x:v>$3.49</x:v>
      </x:c>
      <x:c r="F3625" s="19" t="str">
        <x:v>1</x:v>
      </x:c>
    </x:row>
    <x:row r="3626" ht="93" customHeight="1">
      <x:c r="A3626" s="19" t="n">
        <x:v>3623</x:v>
      </x:c>
      <x:c r="B3626" s="22" t="e">
        <x:f>HYPERLINK("https://cdn.shopify.com/s/files/1/0918/6066/4603/files/a2289fc8ba530fe54ef869dc327a105e.jpg?v=1776213971","Open")</x:f>
        <x:v>HYPERLINK is not implemented. linkLocation=https://cdn.shopify.com/s/files/1/0918/6066/4603/files/a2289fc8ba530fe54ef869dc327a105e.jpg?v=1776213971, friendlyName=Open</x:v>
      </x:c>
      <x:c r="C3626" s="24" t="e">
        <x:f>HYPERLINK("https://365nails.com/products/365nails-little-penguin-3d-character-handcrafted-sweet-short-square-nails","365nails: ""Little Penguin"" – 3D Character Handcrafted Sweet Short Square Nails")</x:f>
        <x:v>HYPERLINK is not implemented. linkLocation=https://365nails.com/products/365nails-little-penguin-3d-character-handcrafted-sweet-short-square-nails, friendlyName=365nails: "Little Penguin" – 3D Character Handcrafted Sweet Short Square Nails</x:v>
      </x:c>
      <x:c r="D3626" s="18" t="str">
        <x:v>Size: XS / S / M / L</x:v>
      </x:c>
      <x:c r="E3626" s="25" t="str">
        <x:v>$1.99</x:v>
      </x:c>
      <x:c r="F3626" s="19" t="str">
        <x:v>3</x:v>
      </x:c>
    </x:row>
    <x:row r="3627" ht="93" customHeight="1">
      <x:c r="A3627" s="19" t="n">
        <x:v>3624</x:v>
      </x:c>
      <x:c r="B3627" s="22" t="e">
        <x:f>HYPERLINK("https://cdn.shopify.com/s/files/1/0918/6066/4603/files/O1CN01bsMYS02MQzeLIroup__2219089449823-0-cib.jpg?v=1774453042","Open")</x:f>
        <x:v>HYPERLINK is not implemented. linkLocation=https://cdn.shopify.com/s/files/1/0918/6066/4603/files/O1CN01bsMYS02MQzeLIroup__2219089449823-0-cib.jpg?v=1774453042, friendlyName=Open</x:v>
      </x:c>
      <x:c r="C3627" s="24" t="e">
        <x:f>HYPERLINK("https://365nails.com/products/summer-citrus-orange-bloom-medium-almond-handmade-press-on-nails","Summer Citrus: ""Orange Bloom"" – Medium Almond Handmade Press On Nails")</x:f>
        <x:v>HYPERLINK is not implemented. linkLocation=https://365nails.com/products/summer-citrus-orange-bloom-medium-almond-handmade-press-on-nails, friendlyName=Summer Citrus: "Orange Bloom" – Medium Almond Handmade Press On Nails</x:v>
      </x:c>
      <x:c r="D3627" s="18" t="str">
        <x:v>Color: D555; Color classification: X s / S / M / L</x:v>
      </x:c>
      <x:c r="E3627" s="25" t="str">
        <x:v>$3.49</x:v>
      </x:c>
      <x:c r="F3627" s="19" t="str">
        <x:v>1</x:v>
      </x:c>
    </x:row>
    <x:row r="3628" ht="93" customHeight="1">
      <x:c r="A3628" s="19" t="n">
        <x:v>3625</x:v>
      </x:c>
      <x:c r="B3628" s="22" t="e">
        <x:f>HYPERLINK("https://cdn.shopify.com/s/files/1/0918/6066/4603/files/O1CN01i2edff27ZUlQnJsm3__2220024697811-0-cib.jpg?v=1775050754","Open")</x:f>
        <x:v>HYPERLINK is not implemented. linkLocation=https://cdn.shopify.com/s/files/1/0918/6066/4603/files/O1CN01i2edff27ZUlQnJsm3__2220024697811-0-cib.jpg?v=1775050754, friendlyName=Open</x:v>
      </x:c>
      <x:c r="C3628" s="24" t="e">
        <x:f>HYPERLINK("https://365nails.com/products/365nails-gothic-royalty-3d-cross-jewel-handmade-stiletto-nails","365nails: ""Gothic Royalty"" – 3D Cross &amp; Jewel Handmade Stiletto Nails")</x:f>
        <x:v>HYPERLINK is not implemented. linkLocation=https://365nails.com/products/365nails-gothic-royalty-3d-cross-jewel-handmade-stiletto-nails, friendlyName=365nails: "Gothic Royalty" – 3D Cross &amp; Jewel Handmade Stiletto Nails</x:v>
      </x:c>
      <x:c r="D3628" s="18" t="str">
        <x:v>Color: Long tip; Color classification: Xs / S / M / L</x:v>
      </x:c>
      <x:c r="E3628" s="25" t="str">
        <x:v>$5.49</x:v>
      </x:c>
      <x:c r="F3628" s="19" t="str">
        <x:v>3</x:v>
      </x:c>
    </x:row>
    <x:row r="3629" ht="93" customHeight="1">
      <x:c r="A3629" s="19" t="n">
        <x:v>3626</x:v>
      </x:c>
      <x:c r="B3629" s="22" t="e">
        <x:f>HYPERLINK("https://cdn.shopify.com/s/files/1/0918/6066/4603/files/O1CN01nHmDbl2214sVYYam1__2219480337059-0-cib.jpg?v=1773824643","Open")</x:f>
        <x:v>HYPERLINK is not implemented. linkLocation=https://cdn.shopify.com/s/files/1/0918/6066/4603/files/O1CN01nHmDbl2214sVYYam1__2219480337059-0-cib.jpg?v=1773824643, friendlyName=Open</x:v>
      </x:c>
      <x:c r="C3629" s="24" t="e">
        <x:f>HYPERLINK("https://365nails.com/products/cute-capybara-kids-series-rainbow-cavy-adventure-short-square-kids-nail-art","365nails-Cute Capybara Kids Series: ""Rainbow Cavy Adventure"" – Short Square Kids Nail Art")</x:f>
        <x:v>HYPERLINK is not implemented. linkLocation=https://365nails.com/products/cute-capybara-kids-series-rainbow-cavy-adventure-short-square-kids-nail-art, friendlyName=365nails-Cute Capybara Kids Series: "Rainbow Cavy Adventure" – Short Square Kids Nail Art</x:v>
      </x:c>
      <x:c r="D3629" s="18" t="str">
        <x:v>Color: Avocado capy; Color classification: Xs (about 2 years old) / S (3-4 years old) / M (5-7 years old) / L (8-11 years old)</x:v>
      </x:c>
      <x:c r="E3629" s="25" t="str">
        <x:v>$2.99</x:v>
      </x:c>
      <x:c r="F3629" s="19" t="str">
        <x:v>3</x:v>
      </x:c>
    </x:row>
    <x:row r="3630" ht="93" customHeight="1">
      <x:c r="A3630" s="19" t="n">
        <x:v>3627</x:v>
      </x:c>
      <x:c r="B3630" s="22" t="e">
        <x:f>HYPERLINK("https://cdn.shopify.com/s/files/1/0918/6066/4603/files/e7bc319b1895c5404b45f1e95b894ad9.jpg?v=1772976701","Open")</x:f>
        <x:v>HYPERLINK is not implemented. linkLocation=https://cdn.shopify.com/s/files/1/0918/6066/4603/files/e7bc319b1895c5404b45f1e95b894ad9.jpg?v=1772976701, friendlyName=Open</x:v>
      </x:c>
      <x:c r="C3630" s="24" t="e">
        <x:f>HYPERLINK("https://365nails.com/products/pro-precision-collection-guided-half-cover-half-cover-nail-tips-with-guide-lines-240pcs","Pro Precision Collection: ""Guided Half-Cover"" – Half-Cover Nail Tips with Guide Lines (240pcs)")</x:f>
        <x:v>HYPERLINK is not implemented. linkLocation=https://365nails.com/products/pro-precision-collection-guided-half-cover-half-cover-nail-tips-with-guide-lines-240pcs, friendlyName=Pro Precision Collection: "Guided Half-Cover" – Half-Cover Nail Tips with Guide Lines (240pcs)</x:v>
      </x:c>
      <x:c r="D3630" s="18" t="str">
        <x:v>Color: 415-half denim-240 pieces/box / 416 - half cover long tapered nail tips - 240pcs/box / 417 - half cover long oval - 240 pieces/box</x:v>
      </x:c>
      <x:c r="E3630" s="25" t="str">
        <x:v>$1.45</x:v>
      </x:c>
      <x:c r="F3630" s="19" t="str">
        <x:v>3</x:v>
      </x:c>
    </x:row>
    <x:row r="3631" ht="93" customHeight="1">
      <x:c r="A3631" s="19" t="n">
        <x:v>3628</x:v>
      </x:c>
      <x:c r="B3631" s="22" t="e">
        <x:f>HYPERLINK("https://cdn.shopify.com/s/files/1/0918/6066/4603/files/O1CN01YDHi441CPwKWe9mea__2213196780074-0-cib.jpg?v=1776743699","Open")</x:f>
        <x:v>HYPERLINK is not implemented. linkLocation=https://cdn.shopify.com/s/files/1/0918/6066/4603/files/O1CN01YDHi441CPwKWe9mea__2213196780074-0-cib.jpg?v=1776743699, friendlyName=Open</x:v>
      </x:c>
      <x:c r="C3631" s="24" t="e">
        <x:f>HYPERLINK("https://365nails.com/products/365nails-chic-plaid-hand-painted-french-tip-glitter-handmade-square-nails","365nails: ""Chic Plaid"" – Hand-Painted French Tip &amp; Glitter Handmade Square Nails")</x:f>
        <x:v>HYPERLINK is not implemented. linkLocation=https://365nails.com/products/365nails-chic-plaid-hand-painted-french-tip-glitter-handmade-square-nails, friendlyName=365nails: "Chic Plaid" – Hand-Painted French Tip &amp; Glitter Handmade Square Nails</x:v>
      </x:c>
      <x:c r="D3631" s="18" t="str">
        <x:v>Color: Extra small size xs / Small s / Medium m / Large l; Specification type: 2386 super short ladder</x:v>
      </x:c>
      <x:c r="E3631" s="25" t="str">
        <x:v>$2.99</x:v>
      </x:c>
      <x:c r="F3631" s="19" t="str">
        <x:v>3</x:v>
      </x:c>
    </x:row>
    <x:row r="3632" ht="93" customHeight="1">
      <x:c r="A3632" s="19" t="n">
        <x:v>3629</x:v>
      </x:c>
      <x:c r="B3632" s="22" t="e">
        <x:f>HYPERLINK("https://cdn.shopify.com/s/files/1/0918/6066/4603/files/41989e14d85d2b2df3a97ecd089305a4.jpg?v=1772976630","Open")</x:f>
        <x:v>HYPERLINK is not implemented. linkLocation=https://cdn.shopify.com/s/files/1/0918/6066/4603/files/41989e14d85d2b2df3a97ecd089305a4.jpg?v=1772976630, friendlyName=Open</x:v>
      </x:c>
      <x:c r="C3632" s="24" t="e">
        <x:f>HYPERLINK("https://365nails.com/products/gel-x-collection-550-gel-full-cover-gel-full-cover-nail-tips-550pcs-box","Gel X Collection: ""550 Gel Full-Cover"" – Gel Full-Cover Nail Tips (550pcs Box)")</x:f>
        <x:v>HYPERLINK is not implemented. linkLocation=https://365nails.com/products/gel-x-collection-550-gel-full-cover-gel-full-cover-nail-tips-550pcs-box, friendlyName=Gel X Collection: "550 Gel Full-Cover" – Gel Full-Cover Nail Tips (550pcs Box)</x:v>
      </x:c>
      <x:c r="D3632" s="18" t="str">
        <x:v>Color: 157-traceless and transparent-550 pieces in box</x:v>
      </x:c>
      <x:c r="E3632" s="25" t="str">
        <x:v>$2.80</x:v>
      </x:c>
      <x:c r="F3632" s="19" t="str">
        <x:v>3</x:v>
      </x:c>
    </x:row>
    <x:row r="3633" ht="93" customHeight="1">
      <x:c r="A3633" s="19" t="n">
        <x:v>3630</x:v>
      </x:c>
      <x:c r="B3633" s="22" t="e">
        <x:f>HYPERLINK("https://cdn.shopify.com/s/files/1/0918/6066/4603/files/O1CN010aZ2M82214sKA5dsV__2219480337059-0-cib.jpg?v=1773824747","Open")</x:f>
        <x:v>HYPERLINK is not implemented. linkLocation=https://cdn.shopify.com/s/files/1/0918/6066/4603/files/O1CN010aZ2M82214sKA5dsV__2219480337059-0-cib.jpg?v=1773824747, friendlyName=Open</x:v>
      </x:c>
      <x:c r="C3633" s="24" t="e">
        <x:f>HYPERLINK("https://365nails.com/products/unicorn-fantasy-kids-series-purple-sparkle-unicorn-short-square-kids-nail-art","Unicorn Fantasy Kids Series: ""Purple Sparkle Unicorn"" – Short Square Kids Nail Art")</x:f>
        <x:v>HYPERLINK is not implemented. linkLocation=https://365nails.com/products/unicorn-fantasy-kids-series-purple-sparkle-unicorn-short-square-kids-nail-art, friendlyName=Unicorn Fantasy Kids Series: "Purple Sparkle Unicorn" – Short Square Kids Nail Art</x:v>
      </x:c>
      <x:c r="D3633" s="18" t="str">
        <x:v>Color: Sparkling pony; Color classification: Xs (about 2 years old) / S (3-4 years old) / M (5-7 years old) / L (8-11 years old)</x:v>
      </x:c>
      <x:c r="E3633" s="25" t="str">
        <x:v>$2.99</x:v>
      </x:c>
      <x:c r="F3633" s="19" t="str">
        <x:v>3</x:v>
      </x:c>
    </x:row>
    <x:row r="3634" ht="93" customHeight="1">
      <x:c r="A3634" s="19" t="n">
        <x:v>3631</x:v>
      </x:c>
      <x:c r="B3634" s="22" t="e">
        <x:f>HYPERLINK("https://cdn.shopify.com/s/files/1/0918/6066/4603/files/da5d1f5484a585d2def3a947bb1967df.jpg?v=1776167892","Open")</x:f>
        <x:v>HYPERLINK is not implemented. linkLocation=https://cdn.shopify.com/s/files/1/0918/6066/4603/files/da5d1f5484a585d2def3a947bb1967df.jpg?v=1776167892, friendlyName=Open</x:v>
      </x:c>
      <x:c r="C3634" s="24" t="e">
        <x:f>HYPERLINK("https://365nails.com/products/365nails-ruby-blossom-3d-floral-handmade-short-square-nails","365nails: ""Ruby Blossom"" – 3D Floral Handmade Short Square Nails")</x:f>
        <x:v>HYPERLINK is not implemented. linkLocation=https://365nails.com/products/365nails-ruby-blossom-3d-floral-handmade-short-square-nails, friendlyName=365nails: "Ruby Blossom" – 3D Floral Handmade Short Square Nails</x:v>
      </x:c>
      <x:c r="D3634" s="18" t="str">
        <x:v>Size: XS / S / M / L</x:v>
      </x:c>
      <x:c r="E3634" s="25" t="str">
        <x:v>$1.99</x:v>
      </x:c>
      <x:c r="F3634" s="19" t="str">
        <x:v>3</x:v>
      </x:c>
    </x:row>
    <x:row r="3635" ht="93" customHeight="1">
      <x:c r="A3635" s="19" t="n">
        <x:v>3632</x:v>
      </x:c>
      <x:c r="B3635" s="22" t="e">
        <x:f>HYPERLINK("https://cdn.shopify.com/s/files/1/0918/6066/4603/files/O1CN01E0cefG2MQzdIVwtdv__2219089449823-0-cib.jpg?v=1774010913","Open")</x:f>
        <x:v>HYPERLINK is not implemented. linkLocation=https://cdn.shopify.com/s/files/1/0918/6066/4603/files/O1CN01E0cefG2MQzdIVwtdv__2219089449823-0-cib.jpg?v=1774010913, friendlyName=Open</x:v>
      </x:c>
      <x:c r="C3635" s="24" t="e">
        <x:f>HYPERLINK("https://365nails.com/products/coastal-escape-seashell-starfish-almond-shape-handmade-3d-carved-press-on-nails","365nails-Coastal Escape: ""Seashell Starfish"" – Almond Shape Handmade 3D Carved Press-On Nails")</x:f>
        <x:v>HYPERLINK is not implemented. linkLocation=https://365nails.com/products/coastal-escape-seashell-starfish-almond-shape-handmade-3d-carved-press-on-nails, friendlyName=365nails-Coastal Escape: "Seashell Starfish" – Almond Shape Handmade 3D Carved Press-On Nails</x:v>
      </x:c>
      <x:c r="D3635" s="18" t="str">
        <x:v>Color: D454; Color classification: X s / S / M / L</x:v>
      </x:c>
      <x:c r="E3635" s="25" t="str">
        <x:v>$3.99</x:v>
      </x:c>
      <x:c r="F3635" s="19" t="str">
        <x:v>1</x:v>
      </x:c>
    </x:row>
    <x:row r="3636" ht="93" customHeight="1">
      <x:c r="A3636" s="19" t="n">
        <x:v>3633</x:v>
      </x:c>
      <x:c r="B3636" s="22" t="e">
        <x:f>HYPERLINK("https://cdn.shopify.com/s/files/1/0918/6066/4603/files/d3315c6d3717f0d05d11f2e2ef60965b.jpg?v=1776167388","Open")</x:f>
        <x:v>HYPERLINK is not implemented. linkLocation=https://cdn.shopify.com/s/files/1/0918/6066/4603/files/d3315c6d3717f0d05d11f2e2ef60965b.jpg?v=1776167388, friendlyName=Open</x:v>
      </x:c>
      <x:c r="C3636" s="24" t="e">
        <x:f>HYPERLINK("https://365nails.com/products/365nails-pastel-ghost-party-3d-cartoon-character-handmade-short-square-nails","365nails: ""Pastel Ghost Party"" – 3D Cartoon Character Handmade Short Square Nails")</x:f>
        <x:v>HYPERLINK is not implemented. linkLocation=https://365nails.com/products/365nails-pastel-ghost-party-3d-cartoon-character-handmade-short-square-nails, friendlyName=365nails: "Pastel Ghost Party" – 3D Cartoon Character Handmade Short Square Nails</x:v>
      </x:c>
      <x:c r="D3636" s="18" t="str">
        <x:v>Size: XS / S / M / L</x:v>
      </x:c>
      <x:c r="E3636" s="25" t="str">
        <x:v>$1.99</x:v>
      </x:c>
      <x:c r="F3636" s="19" t="str">
        <x:v>3</x:v>
      </x:c>
    </x:row>
    <x:row r="3637" ht="93" customHeight="1">
      <x:c r="A3637" s="19" t="n">
        <x:v>3634</x:v>
      </x:c>
      <x:c r="B3637" s="22" t="e">
        <x:f>HYPERLINK("https://cdn.shopify.com/s/files/1/0918/6066/4603/files/O1CN01vncy0x1CPw5dw3NIn__2213196780074-0-cib.jpg?v=1774679281","Open")</x:f>
        <x:v>HYPERLINK is not implemented. linkLocation=https://cdn.shopify.com/s/files/1/0918/6066/4603/files/O1CN01vncy0x1CPw5dw3NIn__2213196780074-0-cib.jpg?v=1774679281, friendlyName=Open</x:v>
      </x:c>
      <x:c r="C3637" s="24" t="e">
        <x:f>HYPERLINK("https://365nails.com/products/365nails-blue-french-fantasy-3d-star-pearl-handmade-square-nails","365nails: ""Blue French Fantasy"" – 3D Star &amp; Pearl Handmade Square Nails")</x:f>
        <x:v>HYPERLINK is not implemented. linkLocation=https://365nails.com/products/365nails-blue-french-fantasy-3d-star-pearl-handmade-square-nails, friendlyName=365nails: "Blue French Fantasy" – 3D Star &amp; Pearl Handmade Square Nails</x:v>
      </x:c>
      <x:c r="D3637" s="18" t="str">
        <x:v>Color: Extra small size xs / Small s / Medium m / Large l; Specification type: Blue french plaid</x:v>
      </x:c>
      <x:c r="E3637" s="25" t="str">
        <x:v>$2.99</x:v>
      </x:c>
      <x:c r="F3637" s="19" t="str">
        <x:v>1</x:v>
      </x:c>
    </x:row>
    <x:row r="3638" ht="93" customHeight="1">
      <x:c r="A3638" s="19" t="n">
        <x:v>3635</x:v>
      </x:c>
      <x:c r="B3638" s="22" t="e">
        <x:f>HYPERLINK("https://cdn.shopify.com/s/files/1/0918/6066/4603/files/O1CN019lwmzz2214t0UVo9P__2219480337059-0-cib.jpg?v=1773321030","Open")</x:f>
        <x:v>HYPERLINK is not implemented. linkLocation=https://cdn.shopify.com/s/files/1/0918/6066/4603/files/O1CN019lwmzz2214t0UVo9P__2219480337059-0-cib.jpg?v=1773321030, friendlyName=Open</x:v>
      </x:c>
      <x:c r="C3638" s="24" t="e">
        <x:f>HYPERLINK("https://365nails.com/products/365nails-ice-clear-aurora-bow-short-round-handmade-kids-press-on-nails","365nails: ""ice clear aurora bow"" – short round handmade kids press-on nails")</x:f>
        <x:v>HYPERLINK is not implemented. linkLocation=https://365nails.com/products/365nails-ice-clear-aurora-bow-short-round-handmade-kids-press-on-nails, friendlyName=365nails: "ice clear aurora bow" – short round handmade kids press-on nails</x:v>
      </x:c>
      <x:c r="D3638" s="18" t="str">
        <x:v>Color: Flashing butterfly; Color classification: Xs (about 2 years old) / S (3-4 years old) / M (5-7 years old) / L (8-11 years old)</x:v>
      </x:c>
      <x:c r="E3638" s="25" t="str">
        <x:v>$2.99</x:v>
      </x:c>
      <x:c r="F3638" s="19" t="str">
        <x:v>3</x:v>
      </x:c>
    </x:row>
    <x:row r="3639" ht="93" customHeight="1">
      <x:c r="A3639" s="19" t="n">
        <x:v>3636</x:v>
      </x:c>
      <x:c r="B3639" s="22" t="e">
        <x:f>HYPERLINK("https://cdn.shopify.com/s/files/1/0918/6066/4603/files/a49e34e9521677c4f516abfec92b987e.jpg?v=1776167272","Open")</x:f>
        <x:v>HYPERLINK is not implemented. linkLocation=https://cdn.shopify.com/s/files/1/0918/6066/4603/files/a49e34e9521677c4f516abfec92b987e.jpg?v=1776167272, friendlyName=Open</x:v>
      </x:c>
      <x:c r="C3639" s="24" t="e">
        <x:f>HYPERLINK("https://365nails.com/products/365nails-cherry-crystal-3d-fruit-rhinestone-handmade-short-square-nails","365nails: ""Cherry Crystal"" – 3D Fruit &amp; Rhinestone Handmade Short Square Nails")</x:f>
        <x:v>HYPERLINK is not implemented. linkLocation=https://365nails.com/products/365nails-cherry-crystal-3d-fruit-rhinestone-handmade-short-square-nails, friendlyName=365nails: "Cherry Crystal" – 3D Fruit &amp; Rhinestone Handmade Short Square Nails</x:v>
      </x:c>
      <x:c r="D3639" s="18" t="str">
        <x:v>Size: XS / S / M / L</x:v>
      </x:c>
      <x:c r="E3639" s="25" t="str">
        <x:v>$1.99</x:v>
      </x:c>
      <x:c r="F3639" s="19" t="str">
        <x:v>3</x:v>
      </x:c>
    </x:row>
    <x:row r="3640" ht="93" customHeight="1">
      <x:c r="A3640" s="19" t="n">
        <x:v>3637</x:v>
      </x:c>
      <x:c r="B3640" s="22" t="e">
        <x:f>HYPERLINK("https://cdn.shopify.com/s/files/1/0918/6066/4603/files/O1CN013pfstj2MQzerkzvrB__2219089449823-0-cib.jpg?v=1774453159","Open")</x:f>
        <x:v>HYPERLINK is not implemented. linkLocation=https://cdn.shopify.com/s/files/1/0918/6066/4603/files/O1CN013pfstj2MQzerkzvrB__2219089449823-0-cib.jpg?v=1774453159, friendlyName=Open</x:v>
      </x:c>
      <x:c r="C3640" s="24" t="e">
        <x:f>HYPERLINK("https://365nails.com/products/coquette-dots-pink-black-polka-dot-medium-almond-handmade-press-on-nails","Coquette Dots: ""Pink &amp; Black Polka Dot"" – Medium Almond Handmade Press On Nails")</x:f>
        <x:v>HYPERLINK is not implemented. linkLocation=https://365nails.com/products/coquette-dots-pink-black-polka-dot-medium-almond-handmade-press-on-nails, friendlyName=Coquette Dots: "Pink &amp; Black Polka Dot" – Medium Almond Handmade Press On Nails</x:v>
      </x:c>
      <x:c r="D3640" s="18" t="str">
        <x:v>Color: D580; Color classification: X s / S / M / L</x:v>
      </x:c>
      <x:c r="E3640" s="25" t="str">
        <x:v>$3.49</x:v>
      </x:c>
      <x:c r="F3640" s="19" t="str">
        <x:v>1</x:v>
      </x:c>
    </x:row>
    <x:row r="3641" ht="93" customHeight="1">
      <x:c r="A3641" s="19" t="n">
        <x:v>3638</x:v>
      </x:c>
      <x:c r="B3641" s="22" t="e">
        <x:f>HYPERLINK("https://cdn.shopify.com/s/files/1/0918/6066/4603/files/O1CN011ibxt42MQzdifKlIb__2219089449823-0-cib.jpg?v=1774011054","Open")</x:f>
        <x:v>HYPERLINK is not implemented. linkLocation=https://cdn.shopify.com/s/files/1/0918/6066/4603/files/O1CN011ibxt42MQzdifKlIb__2219089449823-0-cib.jpg?v=1774011054, friendlyName=Open</x:v>
      </x:c>
      <x:c r="C3641" s="24" t="e">
        <x:f>HYPERLINK("https://365nails.com/products/wild-safari-animal-print-mix-almond-shape-handmade-3d-carved-press-on-nails","365nails-Wild Safari: ""Animal Print Mix"" – Almond Shape Handmade 3D Carved Press-On Nails")</x:f>
        <x:v>HYPERLINK is not implemented. linkLocation=https://365nails.com/products/wild-safari-animal-print-mix-almond-shape-handmade-3d-carved-press-on-nails, friendlyName=365nails-Wild Safari: "Animal Print Mix" – Almond Shape Handmade 3D Carved Press-On Nails</x:v>
      </x:c>
      <x:c r="D3641" s="18" t="str">
        <x:v>Color: D501; Color classification: X s / S / M / L</x:v>
      </x:c>
      <x:c r="E3641" s="25" t="str">
        <x:v>$3.99</x:v>
      </x:c>
      <x:c r="F3641" s="19" t="str">
        <x:v>5</x:v>
      </x:c>
    </x:row>
    <x:row r="3642" ht="93" customHeight="1">
      <x:c r="A3642" s="19" t="n">
        <x:v>3639</x:v>
      </x:c>
      <x:c r="B3642" s="22" t="e">
        <x:f>HYPERLINK("https://cdn.shopify.com/s/files/1/0918/6066/4603/files/O1CN01NcS8372MQzfoJVp3Q__2219089449823-0-cib.jpg?v=1774275823","Open")</x:f>
        <x:v>HYPERLINK is not implemented. linkLocation=https://cdn.shopify.com/s/files/1/0918/6066/4603/files/O1CN01NcS8372MQzfoJVp3Q__2219089449823-0-cib.jpg?v=1774275823, friendlyName=Open</x:v>
      </x:c>
      <x:c r="C3642" s="24" t="e">
        <x:f>HYPERLINK("https://365nails.com/products/cherry-dot-lace-bow-short-round-press-on-nails","Cherry Dot: ""Lace Bow"" – Short Round Press-On Nails")</x:f>
        <x:v>HYPERLINK is not implemented. linkLocation=https://365nails.com/products/cherry-dot-lace-bow-short-round-press-on-nails, friendlyName=Cherry Dot: "Lace Bow" – Short Round Press-On Nails</x:v>
      </x:c>
      <x:c r="D3642" s="18" t="str">
        <x:v>Color: C 411; Color classification: X s / S / M / L</x:v>
      </x:c>
      <x:c r="E3642" s="25" t="str">
        <x:v>$3.99</x:v>
      </x:c>
      <x:c r="F3642" s="19" t="str">
        <x:v>1</x:v>
      </x:c>
    </x:row>
    <x:row r="3643" ht="93" customHeight="1">
      <x:c r="A3643" s="19" t="n">
        <x:v>3640</x:v>
      </x:c>
      <x:c r="B3643" s="22" t="e">
        <x:f>HYPERLINK("https://cdn.shopify.com/s/files/1/0918/6066/4603/files/52f4cb3c355663486435b8547cc91e8b.jpg?v=1772707742","Open")</x:f>
        <x:v>HYPERLINK is not implemented. linkLocation=https://cdn.shopify.com/s/files/1/0918/6066/4603/files/52f4cb3c355663486435b8547cc91e8b.jpg?v=1772707742, friendlyName=Open</x:v>
      </x:c>
      <x:c r="C3643" s="24" t="e">
        <x:f>HYPERLINK("https://365nails.com/products/365nails-flat-nail-savior-matte-no-file-stiletto-coffin-tips-for-flat-nails","365nails Flat Nail Savior | Matte No-File Stiletto &amp; Coffin Tips for Flat Nails")</x:f>
        <x:v>HYPERLINK is not implemented. linkLocation=https://365nails.com/products/365nails-flat-nail-savior-matte-no-file-stiletto-coffin-tips-for-flat-nails, friendlyName=365nails Flat Nail Savior | Matte No-File Stiletto &amp; Coffin Tips for Flat Nails</x:v>
      </x:c>
      <x:c r="D3643" s="18" t="str">
        <x:v>Color: Matte and traceless-ballet nails-500 pieces / Frosted and traceless-water drop nails-500 pieces / Matte finish - square tip - 500 count / Matte seamless - short teardrop - 500 count / Matte seamless - long oval - 500 count / Matte finish, seamless - square tip - 360 count box</x:v>
      </x:c>
      <x:c r="E3643" s="25" t="str">
        <x:v>$1.97–$2.14</x:v>
      </x:c>
      <x:c r="F3643" s="19" t="str">
        <x:v>3</x:v>
      </x:c>
    </x:row>
    <x:row r="3644" ht="93" customHeight="1">
      <x:c r="A3644" s="19" t="n">
        <x:v>3641</x:v>
      </x:c>
      <x:c r="B3644" s="22" t="e">
        <x:f>HYPERLINK("https://cdn.shopify.com/s/files/1/0918/6066/4603/files/O1CN01fWcTBp2214tDZS2wX__2219480337059-0-cib.jpg?v=1773321009","Open")</x:f>
        <x:v>HYPERLINK is not implemented. linkLocation=https://cdn.shopify.com/s/files/1/0918/6066/4603/files/O1CN01fWcTBp2214tDZS2wX__2219480337059-0-cib.jpg?v=1773321009, friendlyName=Open</x:v>
      </x:c>
      <x:c r="C3644" s="24" t="e">
        <x:f>HYPERLINK("https://365nails.com/products/365nails-strawberry-sweetheart-bunny-short-round-handmade-kids-press-on-nails","365nails: ""strawberry sweetheart bunny"" – short round handmade kids press-on nails")</x:f>
        <x:v>HYPERLINK is not implemented. linkLocation=https://365nails.com/products/365nails-strawberry-sweetheart-bunny-short-round-handmade-kids-press-on-nails, friendlyName=365nails: "strawberry sweetheart bunny" – short round handmade kids press-on nails</x:v>
      </x:c>
      <x:c r="D3644" s="18" t="str">
        <x:v>Color: Red strawberry rabbit; Color classification: Xs (about 2 years old) / S (3-4 years old) / M (5-7 years old) / L (8-11 years old)</x:v>
      </x:c>
      <x:c r="E3644" s="25" t="str">
        <x:v>$2.99</x:v>
      </x:c>
      <x:c r="F3644" s="19" t="str">
        <x:v>3</x:v>
      </x:c>
    </x:row>
    <x:row r="3645" ht="93" customHeight="1">
      <x:c r="A3645" s="19" t="n">
        <x:v>3642</x:v>
      </x:c>
      <x:c r="B3645" s="22" t="e">
        <x:f>HYPERLINK("https://cdn.shopify.com/s/files/1/0918/6066/4603/files/O1CN01IdlJ6N1CPwQ1xrqRS__2213196780074-0-cib_699702ee-8ae8-4215-9849-7d6d28dacf6f.jpg?v=1774693716","Open")</x:f>
        <x:v>HYPERLINK is not implemented. linkLocation=https://cdn.shopify.com/s/files/1/0918/6066/4603/files/O1CN01IdlJ6N1CPwQ1xrqRS__2213196780074-0-cib_699702ee-8ae8-4215-9849-7d6d28dacf6f.jpg?v=1774693716, friendlyName=Open</x:v>
      </x:c>
      <x:c r="C3645" s="24" t="e">
        <x:f>HYPERLINK("https://365nails.com/products/365nails-caramel-cocoa-3d-crystal-polka-dot-handmade-oval-nails","365nails: ""Caramel Cocoa"" – 3D Crystal &amp; Polka Dot Handmade Oval Nails")</x:f>
        <x:v>HYPERLINK is not implemented. linkLocation=https://365nails.com/products/365nails-caramel-cocoa-3d-crystal-polka-dot-handmade-oval-nails, friendlyName=365nails: "Caramel Cocoa" – 3D Crystal &amp; Polka Dot Handmade Oval Nails</x:v>
      </x:c>
      <x:c r="D3645" s="18" t="str">
        <x:v>Color: 3217-short oval / 3219-long oval; Color classification: Extra small size xs / Small s / Medium m / Large l</x:v>
      </x:c>
      <x:c r="E3645" s="25" t="str">
        <x:v>$3.49</x:v>
      </x:c>
      <x:c r="F3645" s="19" t="str">
        <x:v>1</x:v>
      </x:c>
    </x:row>
    <x:row r="3646" ht="93" customHeight="1">
      <x:c r="A3646" s="19" t="n">
        <x:v>3643</x:v>
      </x:c>
      <x:c r="B3646" s="22" t="e">
        <x:f>HYPERLINK("https://cdn.shopify.com/s/files/1/0918/6066/4603/files/e061de3099251df110f50a96e502839d.jpg?v=1776171855","Open")</x:f>
        <x:v>HYPERLINK is not implemented. linkLocation=https://cdn.shopify.com/s/files/1/0918/6066/4603/files/e061de3099251df110f50a96e502839d.jpg?v=1776171855, friendlyName=Open</x:v>
      </x:c>
      <x:c r="C3646" s="24" t="e">
        <x:f>HYPERLINK("https://365nails.com/products/365nails-kitty-paw-3d-character-cat-paw-handmade-short-square-nails","365nails: ""Kitty Paw"" – 3D Character &amp; Cat Paw Handmade Short Square Nails")</x:f>
        <x:v>HYPERLINK is not implemented. linkLocation=https://365nails.com/products/365nails-kitty-paw-3d-character-cat-paw-handmade-short-square-nails, friendlyName=365nails: "Kitty Paw" – 3D Character &amp; Cat Paw Handmade Short Square Nails</x:v>
      </x:c>
      <x:c r="D3646" s="18" t="str">
        <x:v>Size: XS / S / M / L</x:v>
      </x:c>
      <x:c r="E3646" s="25" t="str">
        <x:v>$1.99</x:v>
      </x:c>
      <x:c r="F3646" s="19" t="str">
        <x:v>3</x:v>
      </x:c>
    </x:row>
    <x:row r="3647" ht="93" customHeight="1">
      <x:c r="A3647" s="19" t="n">
        <x:v>3644</x:v>
      </x:c>
      <x:c r="B3647" s="22" t="e">
        <x:f>HYPERLINK("https://cdn.shopify.com/s/files/1/0918/6066/4603/files/O1CN01usWRJX1CPwKBRHEc5__2213196780074-0-cib.jpg?v=1775987075","Open")</x:f>
        <x:v>HYPERLINK is not implemented. linkLocation=https://cdn.shopify.com/s/files/1/0918/6066/4603/files/O1CN01usWRJX1CPwKBRHEc5__2213196780074-0-cib.jpg?v=1775987075, friendlyName=Open</x:v>
      </x:c>
      <x:c r="C3647" s="24" t="e">
        <x:f>HYPERLINK("https://365nails.com/products/365nails-crimson-medusa-hand-painted-snake-3d-rose-short-square-nails","365nails: ""Crimson Medusa"" – Hand-Painted Snake &amp; 3D Rose Short Square Nails")</x:f>
        <x:v>HYPERLINK is not implemented. linkLocation=https://365nails.com/products/365nails-crimson-medusa-hand-painted-snake-3d-rose-short-square-nails, friendlyName=365nails: "Crimson Medusa" – Hand-Painted Snake &amp; 3D Rose Short Square Nails</x:v>
      </x:c>
      <x:c r="D3647" s="18" t="str">
        <x:v>Color: Extra small size xs / Small s / Medium m / Large l; Specification type: 2646 short round</x:v>
      </x:c>
      <x:c r="E3647" s="25" t="str">
        <x:v>$3.49</x:v>
      </x:c>
      <x:c r="F3647" s="19" t="str">
        <x:v>3</x:v>
      </x:c>
    </x:row>
    <x:row r="3648" ht="93" customHeight="1">
      <x:c r="A3648" s="19" t="n">
        <x:v>3645</x:v>
      </x:c>
      <x:c r="B3648" s="22" t="e">
        <x:f>HYPERLINK("https://cdn.shopify.com/s/files/1/0918/6066/4603/files/O1CN01tRu3RV1CPwJbfSS05__2213196780074-0-cib.jpg?v=1776321274","Open")</x:f>
        <x:v>HYPERLINK is not implemented. linkLocation=https://cdn.shopify.com/s/files/1/0918/6066/4603/files/O1CN01tRu3RV1CPwJbfSS05__2213196780074-0-cib.jpg?v=1776321274, friendlyName=Open</x:v>
      </x:c>
      <x:c r="C3648" s="24" t="e">
        <x:f>HYPERLINK("https://365nails.com/products/365nails-pop-art-dots-hand-painted-polka-dot-short-square-nails","365nails: ""Pop Art Dots"" – Hand-Painted Polka Dot Short Square Nails")</x:f>
        <x:v>HYPERLINK is not implemented. linkLocation=https://365nails.com/products/365nails-pop-art-dots-hand-painted-polka-dot-short-square-nails, friendlyName=365nails: "Pop Art Dots" – Hand-Painted Polka Dot Short Square Nails</x:v>
      </x:c>
      <x:c r="D3648" s="18" t="str">
        <x:v>Color: Extra small size xs / Small s / Medium m / Large l; Specification type: 246 short round</x:v>
      </x:c>
      <x:c r="E3648" s="25" t="str">
        <x:v>$2.99</x:v>
      </x:c>
      <x:c r="F3648" s="19" t="str">
        <x:v>1</x:v>
      </x:c>
    </x:row>
    <x:row r="3649" ht="93" customHeight="1">
      <x:c r="A3649" s="19" t="n">
        <x:v>3646</x:v>
      </x:c>
      <x:c r="B3649" s="22" t="e">
        <x:f>HYPERLINK("https://cdn.shopify.com/s/files/1/0918/6066/4603/files/O1CN018xslO51zjYWVCXhj6__6000000006750-0-cib.jpg?v=1774010956","Open")</x:f>
        <x:v>HYPERLINK is not implemented. linkLocation=https://cdn.shopify.com/s/files/1/0918/6066/4603/files/O1CN018xslO51zjYWVCXhj6__6000000006750-0-cib.jpg?v=1774010956, friendlyName=Open</x:v>
      </x:c>
      <x:c r="C3649" s="24" t="e">
        <x:f>HYPERLINK("https://365nails.com/products/fresh-clover-leopard-clover-almond-shape-handmade-3d-carved-press-on-nail","365nails-Fresh Clover: ""Leopard Clover"" – Almond Shape Handmade 3D Carved Press-On Nail")</x:f>
        <x:v>HYPERLINK is not implemented. linkLocation=https://365nails.com/products/fresh-clover-leopard-clover-almond-shape-handmade-3d-carved-press-on-nail, friendlyName=365nails-Fresh Clover: "Leopard Clover" – Almond Shape Handmade 3D Carved Press-On Nail</x:v>
      </x:c>
      <x:c r="D3649" s="18" t="str">
        <x:v>Color: D411; Color classification: X s / S / M / L</x:v>
      </x:c>
      <x:c r="E3649" s="25" t="str">
        <x:v>$3.99</x:v>
      </x:c>
      <x:c r="F3649" s="19" t="str">
        <x:v>1</x:v>
      </x:c>
    </x:row>
    <x:row r="3650" ht="93" customHeight="1">
      <x:c r="A3650" s="19" t="n">
        <x:v>3647</x:v>
      </x:c>
      <x:c r="B3650" s="22" t="e">
        <x:f>HYPERLINK("https://cdn.shopify.com/s/files/1/0918/6066/4603/files/7d99e30dff4ce2776abcfcd0c5154ea7.jpg?v=1778315218","Open")</x:f>
        <x:v>HYPERLINK is not implemented. linkLocation=https://cdn.shopify.com/s/files/1/0918/6066/4603/files/7d99e30dff4ce2776abcfcd0c5154ea7.jpg?v=1778315218, friendlyName=Open</x:v>
      </x:c>
      <x:c r="C3650" s="24" t="e">
        <x:f>HYPERLINK("https://365nails.com/products/365nails-candy-kaleidoscope-mixed-media-eclectic-handmade-medium-almond-nails","365nails: ""Candy Kaleidoscope"" – Mixed Media Eclectic Handmade Medium Almond Nails")</x:f>
        <x:v>HYPERLINK is not implemented. linkLocation=https://365nails.com/products/365nails-candy-kaleidoscope-mixed-media-eclectic-handmade-medium-almond-nails, friendlyName=365nails: "Candy Kaleidoscope" – Mixed Media Eclectic Handmade Medium Almond Nails</x:v>
      </x:c>
      <x:c r="D3650" s="18" t="str">
        <x:v>Size: XS / S / M / L</x:v>
      </x:c>
      <x:c r="E3650" s="25" t="str">
        <x:v>$3.99</x:v>
      </x:c>
      <x:c r="F3650" s="19" t="str">
        <x:v>5</x:v>
      </x:c>
    </x:row>
    <x:row r="3651" ht="93" customHeight="1">
      <x:c r="A3651" s="19" t="n">
        <x:v>3648</x:v>
      </x:c>
      <x:c r="B3651" s="22" t="e">
        <x:f>HYPERLINK("https://cdn.shopify.com/s/files/1/0918/6066/4603/files/94fa8f93705e24ee6c895e830036d4f5.jpg?v=1776243839","Open")</x:f>
        <x:v>HYPERLINK is not implemented. linkLocation=https://cdn.shopify.com/s/files/1/0918/6066/4603/files/94fa8f93705e24ee6c895e830036d4f5.jpg?v=1776243839, friendlyName=Open</x:v>
      </x:c>
      <x:c r="C3651" s="24" t="e">
        <x:f>HYPERLINK("https://365nails.com/products/365nails-candyland-sweetheart-3d-character-handmade-short-nails","365nails: ""Candyland Sweetheart"" – 3D Character Handmade Short Nails")</x:f>
        <x:v>HYPERLINK is not implemented. linkLocation=https://365nails.com/products/365nails-candyland-sweetheart-3d-character-handmade-short-nails, friendlyName=365nails: "Candyland Sweetheart" – 3D Character Handmade Short Nails</x:v>
      </x:c>
      <x:c r="D3651" s="18" t="str">
        <x:v>Size: XS / S / M / L</x:v>
      </x:c>
      <x:c r="E3651" s="25" t="str">
        <x:v>$2.99</x:v>
      </x:c>
      <x:c r="F3651" s="19" t="str">
        <x:v>3</x:v>
      </x:c>
    </x:row>
    <x:row r="3652" ht="93" customHeight="1">
      <x:c r="A3652" s="19" t="n">
        <x:v>3649</x:v>
      </x:c>
      <x:c r="B3652" s="22" t="e">
        <x:f>HYPERLINK("https://cdn.shopify.com/s/files/1/0918/6066/4603/files/O1CN01i9OvrU27ZUm5fzC7R__2220024697811-0-cib.jpg?v=1774944671","Open")</x:f>
        <x:v>HYPERLINK is not implemented. linkLocation=https://cdn.shopify.com/s/files/1/0918/6066/4603/files/O1CN01i9OvrU27ZUm5fzC7R__2220024697811-0-cib.jpg?v=1774944671, friendlyName=Open</x:v>
      </x:c>
      <x:c r="C3652" s="24" t="e">
        <x:f>HYPERLINK("https://365nails.com/products/365nails-midnight-bloom-3d-floral-handmade-almond-nails","365nails: ""Midnight Bloom"" – 3D Floral Handmade Almond Nails")</x:f>
        <x:v>HYPERLINK is not implemented. linkLocation=https://365nails.com/products/365nails-midnight-bloom-3d-floral-handmade-almond-nails, friendlyName=365nails: "Midnight Bloom" – 3D Floral Handmade Almond Nails</x:v>
      </x:c>
      <x:c r="D3652" s="18" t="str">
        <x:v>Color: Almond; Color classification: Xs / S / M / L</x:v>
      </x:c>
      <x:c r="E3652" s="25" t="str">
        <x:v>$4.99</x:v>
      </x:c>
      <x:c r="F3652" s="19" t="str">
        <x:v>3</x:v>
      </x:c>
    </x:row>
    <x:row r="3653" ht="93" customHeight="1">
      <x:c r="A3653" s="19" t="n">
        <x:v>3650</x:v>
      </x:c>
      <x:c r="B3653" s="22" t="e">
        <x:f>HYPERLINK("https://cdn.shopify.com/s/files/1/0918/6066/4603/files/O1CN01bpjOln1CPwQIUPqzA__2213196780074-0-cib.jpg?v=1776739948","Open")</x:f>
        <x:v>HYPERLINK is not implemented. linkLocation=https://cdn.shopify.com/s/files/1/0918/6066/4603/files/O1CN01bpjOln1CPwQIUPqzA__2213196780074-0-cib.jpg?v=1776739948, friendlyName=Open</x:v>
      </x:c>
      <x:c r="C3653" s="24" t="e">
        <x:f>HYPERLINK("https://365nails.com/products/365nails-gilded-pharaoh-3d-skull-cat-eye-handmade-coffin-nails","365nails: ""Gilded Pharaoh"" – 3D Skull &amp; Cat Eye Handmade Coffin Nails")</x:f>
        <x:v>HYPERLINK is not implemented. linkLocation=https://365nails.com/products/365nails-gilded-pharaoh-3d-skull-cat-eye-handmade-coffin-nails, friendlyName=365nails: "Gilded Pharaoh" – 3D Skull &amp; Cat Eye Handmade Coffin Nails</x:v>
      </x:c>
      <x:c r="D3653" s="18" t="str">
        <x:v>Color: 3437-middle oval; Color classification: Extra small size xs / Small s / Medium m / Large l</x:v>
      </x:c>
      <x:c r="E3653" s="25" t="str">
        <x:v>$3.49</x:v>
      </x:c>
      <x:c r="F3653" s="19" t="str">
        <x:v>1</x:v>
      </x:c>
    </x:row>
    <x:row r="3654" ht="93" customHeight="1">
      <x:c r="A3654" s="19" t="n">
        <x:v>3651</x:v>
      </x:c>
      <x:c r="B3654" s="22" t="e">
        <x:f>HYPERLINK("https://cdn.shopify.com/s/files/1/0918/6066/4603/files/O1CN01rW5BvW2MQzdoCeOQs__2219089449823-0-cib.jpg?v=1774065323","Open")</x:f>
        <x:v>HYPERLINK is not implemented. linkLocation=https://cdn.shopify.com/s/files/1/0918/6066/4603/files/O1CN01rW5BvW2MQzdoCeOQs__2219089449823-0-cib.jpg?v=1774065323, friendlyName=Open</x:v>
      </x:c>
      <x:c r="C3654" s="24" t="e">
        <x:f>HYPERLINK("https://365nails.com/products/enchanted-sea-ocean-bloom-almond-shape-handmade-press-on-nail","365nails-Enchanted Sea: ""Ocean Bloom"" – Almond Shape Handmade Press-On Nail")</x:f>
        <x:v>HYPERLINK is not implemented. linkLocation=https://365nails.com/products/enchanted-sea-ocean-bloom-almond-shape-handmade-press-on-nail, friendlyName=365nails-Enchanted Sea: "Ocean Bloom" – Almond Shape Handmade Press-On Nail</x:v>
      </x:c>
      <x:c r="D3654" s="18" t="str">
        <x:v>Color: D504; Color classification: X s / S / M / L</x:v>
      </x:c>
      <x:c r="E3654" s="25" t="str">
        <x:v>$3.99</x:v>
      </x:c>
      <x:c r="F3654" s="19" t="str">
        <x:v>5</x:v>
      </x:c>
    </x:row>
    <x:row r="3655" ht="93" customHeight="1">
      <x:c r="A3655" s="19" t="n">
        <x:v>3652</x:v>
      </x:c>
      <x:c r="B3655" s="22" t="e">
        <x:f>HYPERLINK("https://cdn.shopify.com/s/files/1/0918/6066/4603/files/fcd297337ee2b95d8b01a004a6b136b1.jpg?v=1773209381","Open")</x:f>
        <x:v>HYPERLINK is not implemented. linkLocation=https://cdn.shopify.com/s/files/1/0918/6066/4603/files/fcd297337ee2b95d8b01a004a6b136b1.jpg?v=1773209381, friendlyName=Open</x:v>
      </x:c>
      <x:c r="C3655" s="24" t="e">
        <x:f>HYPERLINK("https://365nails.com/products/365nails-mermaid-confetti-handmade-press-on-toenails-pedicure","365nails: ""mermaid confetti"" – handmade press-on toenails / pedicure")</x:f>
        <x:v>HYPERLINK is not implemented. linkLocation=https://365nails.com/products/365nails-mermaid-confetti-handmade-press-on-toenails-pedicure, friendlyName=365nails: "mermaid confetti" – handmade press-on toenails / pedicure</x:v>
      </x:c>
      <x:c r="D3655" s="18" t="str">
        <x:v>Size: XS / S / M / L</x:v>
      </x:c>
      <x:c r="E3655" s="25" t="str">
        <x:v>$2.99</x:v>
      </x:c>
      <x:c r="F3655" s="19" t="str">
        <x:v>3</x:v>
      </x:c>
    </x:row>
    <x:row r="3656" ht="93" customHeight="1">
      <x:c r="A3656" s="19" t="n">
        <x:v>3653</x:v>
      </x:c>
      <x:c r="B3656" s="22" t="e">
        <x:f>HYPERLINK("https://cdn.shopify.com/s/files/1/0918/6066/4603/files/b6760f539f11f36a260804663e092f04.jpg?v=1778319154","Open")</x:f>
        <x:v>HYPERLINK is not implemented. linkLocation=https://cdn.shopify.com/s/files/1/0918/6066/4603/files/b6760f539f11f36a260804663e092f04.jpg?v=1778319154, friendlyName=Open</x:v>
      </x:c>
      <x:c r="C3656" s="24" t="e">
        <x:f>HYPERLINK("https://365nails.com/products/365nails-crystal-garden-3d-floral-rhinestone-handmade-almond-nails","365nails: ""Crystal Garden"" – 3D Floral Rhinestone Handmade Almond Nails")</x:f>
        <x:v>HYPERLINK is not implemented. linkLocation=https://365nails.com/products/365nails-crystal-garden-3d-floral-rhinestone-handmade-almond-nails, friendlyName=365nails: "Crystal Garden" – 3D Floral Rhinestone Handmade Almond Nails</x:v>
      </x:c>
      <x:c r="D3656" s="18" t="str">
        <x:v>Size: XS / S / M / L</x:v>
      </x:c>
      <x:c r="E3656" s="25" t="str">
        <x:v>$2.99</x:v>
      </x:c>
      <x:c r="F3656" s="19" t="str">
        <x:v>5</x:v>
      </x:c>
    </x:row>
    <x:row r="3657" ht="93" customHeight="1">
      <x:c r="A3657" s="19" t="n">
        <x:v>3654</x:v>
      </x:c>
      <x:c r="B3657" s="22" t="e">
        <x:f>HYPERLINK("https://cdn.shopify.com/s/files/1/0918/6066/4603/files/62364cb2d3b636c4dc0ad2ca2e4fa918.jpg?v=1777726598","Open")</x:f>
        <x:v>HYPERLINK is not implemented. linkLocation=https://cdn.shopify.com/s/files/1/0918/6066/4603/files/62364cb2d3b636c4dc0ad2ca2e4fa918.jpg?v=1777726598, friendlyName=Open</x:v>
      </x:c>
      <x:c r="C3657" s="24" t="e">
        <x:f>HYPERLINK("https://365nails.com/products/365nails-crimson-velvet-3d-red-rhinestone-handmade-square-nails","365nails: ""Crimson Velvet"" – 3D Red Rhinestone Handmade Square Nails")</x:f>
        <x:v>HYPERLINK is not implemented. linkLocation=https://365nails.com/products/365nails-crimson-velvet-3d-red-rhinestone-handmade-square-nails, friendlyName=365nails: "Crimson Velvet" – 3D Red Rhinestone Handmade Square Nails</x:v>
      </x:c>
      <x:c r="D3657" s="18" t="str">
        <x:v>Size: XS / S / M / L</x:v>
      </x:c>
      <x:c r="E3657" s="25" t="str">
        <x:v>$5.99</x:v>
      </x:c>
      <x:c r="F3657" s="19" t="str">
        <x:v>5</x:v>
      </x:c>
    </x:row>
    <x:row r="3658" ht="93" customHeight="1">
      <x:c r="A3658" s="19" t="n">
        <x:v>3655</x:v>
      </x:c>
      <x:c r="B3658" s="22" t="e">
        <x:f>HYPERLINK("https://cdn.shopify.com/s/files/1/0918/6066/4603/files/O1CN01gBj5gk27ZUkvqCkdz__2220024697811-0-cib.jpg?v=1775036468","Open")</x:f>
        <x:v>HYPERLINK is not implemented. linkLocation=https://cdn.shopify.com/s/files/1/0918/6066/4603/files/O1CN01gBj5gk27ZUkvqCkdz__2220024697811-0-cib.jpg?v=1775036468, friendlyName=Open</x:v>
      </x:c>
      <x:c r="C3658" s="24" t="e">
        <x:f>HYPERLINK("https://365nails.com/products/365nails-aqua-oasis-3d-water-drop-handmade-almond-nails","365nails: ""Aqua Oasis"" – 3D Water Drop Handmade Almond Nails")</x:f>
        <x:v>HYPERLINK is not implemented. linkLocation=https://365nails.com/products/365nails-aqua-oasis-3d-water-drop-handmade-almond-nails, friendlyName=365nails: "Aqua Oasis" – 3D Water Drop Handmade Almond Nails</x:v>
      </x:c>
      <x:c r="D3658" s="18" t="str">
        <x:v>Color: Almond; Color classification: Xs / S / M / L</x:v>
      </x:c>
      <x:c r="E3658" s="25" t="str">
        <x:v>$4.49</x:v>
      </x:c>
      <x:c r="F3658" s="19" t="str">
        <x:v>3</x:v>
      </x:c>
    </x:row>
    <x:row r="3659" ht="93" customHeight="1">
      <x:c r="A3659" s="19" t="n">
        <x:v>3656</x:v>
      </x:c>
      <x:c r="B3659" s="22" t="e">
        <x:f>HYPERLINK("https://cdn.shopify.com/s/files/1/0918/6066/4603/files/O1CN01Ub9qP327ZUlQgXE0R__2220024697811-0-cib.jpg?v=1775004175","Open")</x:f>
        <x:v>HYPERLINK is not implemented. linkLocation=https://cdn.shopify.com/s/files/1/0918/6066/4603/files/O1CN01Ub9qP327ZUlQgXE0R__2220024697811-0-cib.jpg?v=1775004175, friendlyName=Open</x:v>
      </x:c>
      <x:c r="C3659" s="24" t="e">
        <x:f>HYPERLINK("https://365nails.com/products/365nails-golden-leaf-3d-floral-handmade-almond-nails","365nails: ""Golden Leaf"" – 3D Floral Handmade Almond Nails")</x:f>
        <x:v>HYPERLINK is not implemented. linkLocation=https://365nails.com/products/365nails-golden-leaf-3d-floral-handmade-almond-nails, friendlyName=365nails: "Golden Leaf" – 3D Floral Handmade Almond Nails</x:v>
      </x:c>
      <x:c r="D3659" s="18" t="str">
        <x:v>Color: Almond; Color classification: Xs / S / M / L</x:v>
      </x:c>
      <x:c r="E3659" s="25" t="str">
        <x:v>$4.49</x:v>
      </x:c>
      <x:c r="F3659" s="19" t="str">
        <x:v>3</x:v>
      </x:c>
    </x:row>
    <x:row r="3660" ht="93" customHeight="1">
      <x:c r="A3660" s="19" t="n">
        <x:v>3657</x:v>
      </x:c>
      <x:c r="B3660" s="22" t="e">
        <x:f>HYPERLINK("https://cdn.shopify.com/s/files/1/0918/6066/4603/files/O1CN01cp12S42214sYon4dq__2219480337059-0-cib.jpg?v=1773135306","Open")</x:f>
        <x:v>HYPERLINK is not implemented. linkLocation=https://cdn.shopify.com/s/files/1/0918/6066/4603/files/O1CN01cp12S42214sYon4dq__2219480337059-0-cib.jpg?v=1773135306, friendlyName=Open</x:v>
      </x:c>
      <x:c r="C3660" s="24" t="e">
        <x:f>HYPERLINK("https://365nails.com/products/365nails-hawaiian-holiday-kitty-short-wide-handmade-kids-press-on-nails","365nails: ""hawaiian holiday kitty"" – short wide handmade kids press-on nails")</x:f>
        <x:v>HYPERLINK is not implemented. linkLocation=https://365nails.com/products/365nails-hawaiian-holiday-kitty-short-wide-handmade-kids-press-on-nails, friendlyName=365nails: "hawaiian holiday kitty" – short wide handmade kids press-on nails</x:v>
      </x:c>
      <x:c r="D3660" s="18" t="str">
        <x:v>Color: Swimming ring hello kitty; Color classification: Xs (about 2 years old) / S (3-4 years old) / M (5-7 years old) / L (8-11 years old)</x:v>
      </x:c>
      <x:c r="E3660" s="25" t="str">
        <x:v>$2.99</x:v>
      </x:c>
      <x:c r="F3660" s="19" t="str">
        <x:v>3</x:v>
      </x:c>
    </x:row>
    <x:row r="3661" ht="93" customHeight="1">
      <x:c r="A3661" s="19" t="n">
        <x:v>3658</x:v>
      </x:c>
      <x:c r="B3661" s="22" t="e">
        <x:f>HYPERLINK("https://cdn.shopify.com/s/files/1/0918/6066/4603/files/O1CN01UVO8cs2MQzdwfwf3G__2219089449823-0-cib.jpg?v=1774453016","Open")</x:f>
        <x:v>HYPERLINK is not implemented. linkLocation=https://cdn.shopify.com/s/files/1/0918/6066/4603/files/O1CN01UVO8cs2MQzdwfwf3G__2219089449823-0-cib.jpg?v=1774453016, friendlyName=Open</x:v>
      </x:c>
      <x:c r="C3661" s="24" t="e">
        <x:f>HYPERLINK("https://365nails.com/products/whimsical-garden-bloom-buzz-medium-almond-handmade-press-on-nails","Whimsical Garden: ""Bloom &amp; Buzz"" – Medium Almond Handmade Press On Nails")</x:f>
        <x:v>HYPERLINK is not implemented. linkLocation=https://365nails.com/products/whimsical-garden-bloom-buzz-medium-almond-handmade-press-on-nails, friendlyName=Whimsical Garden: "Bloom &amp; Buzz" – Medium Almond Handmade Press On Nails</x:v>
      </x:c>
      <x:c r="D3661" s="18" t="str">
        <x:v>Color: D521; Color classification: X s / S / M / L</x:v>
      </x:c>
      <x:c r="E3661" s="25" t="str">
        <x:v>$3.49</x:v>
      </x:c>
      <x:c r="F3661" s="19" t="str">
        <x:v>1</x:v>
      </x:c>
    </x:row>
    <x:row r="3662" ht="93" customHeight="1">
      <x:c r="A3662" s="19" t="n">
        <x:v>3659</x:v>
      </x:c>
      <x:c r="B3662" s="22" t="e">
        <x:f>HYPERLINK("https://cdn.shopify.com/s/files/1/0918/6066/4603/files/O1CN01vtiFhh247bkUiEjjm__2209064737344-0-cib_acc7cc2a-f73f-440a-b88e-1b4d87d70f9c.jpg?v=1772707665","Open")</x:f>
        <x:v>HYPERLINK is not implemented. linkLocation=https://cdn.shopify.com/s/files/1/0918/6066/4603/files/O1CN01vtiFhh247bkUiEjjm__2209064737344-0-cib_acc7cc2a-f73f-440a-b88e-1b4d87d70f9c.jpg?v=1772707665, friendlyName=Open</x:v>
      </x:c>
      <x:c r="C3662" s="24" t="e">
        <x:f>HYPERLINK("https://365nails.com/products/365nails-classic-french-pedicure-short-square-press-on-toenails","365nails: ""Classic French Pedicure"" – Short Square Press-On Toenails")</x:f>
        <x:v>HYPERLINK is not implemented. linkLocation=https://365nails.com/products/365nails-classic-french-pedicure-short-square-press-on-toenails, friendlyName=365nails: "Classic French Pedicure" – Short Square Press-On Toenails</x:v>
      </x:c>
      <x:c r="D3662" s="18" t="str">
        <x:v>Color: 5-color french edge - 3391 * 150 pieces box / Ys-1449-518-c2*150 pieces in box / Ys-1449-518-390*150 pieces in box / Ys-1449-518-3391-1*150 pieces in box / Ys-1450-518-390-2*150 pieces in box / Ys-1450-518-3391-1 powder*150 tablets box / Ys-1450-518-c2*150 pieces in box / Ys-1451-518-390-2*150 pieces in box / Ys-1451-518-3391-1 powder*150 tablets box / Ys-1451-518-c2*150 pieces in box / Ys-1449-518-3391 black-1*150 pieces box / 1450-518-3391*150 tablets in box / 1451-518-3391*150 tablets in box</x:v>
      </x:c>
      <x:c r="E3662" s="25" t="str">
        <x:v>$2.58</x:v>
      </x:c>
      <x:c r="F3662" s="19" t="str">
        <x:v>3</x:v>
      </x:c>
    </x:row>
    <x:row r="3663" ht="93" customHeight="1">
      <x:c r="A3663" s="19" t="n">
        <x:v>3660</x:v>
      </x:c>
      <x:c r="B3663" s="22" t="e">
        <x:f>HYPERLINK("https://cdn.shopify.com/s/files/1/0918/6066/4603/files/O1CN01rREyq11bAhdYwU9WM__2216807853425-0-cib.jpg?v=1772373429","Open")</x:f>
        <x:v>HYPERLINK is not implemented. linkLocation=https://cdn.shopify.com/s/files/1/0918/6066/4603/files/O1CN01rREyq11bAhdYwU9WM__2216807853425-0-cib.jpg?v=1772373429, friendlyName=Open</x:v>
      </x:c>
      <x:c r="C3663" s="24" t="e">
        <x:f>HYPERLINK("https://365nails.com/products/nude-essentials-collection-nude-all-round-multi-size-multi-shape-press-on-nails","Nude Essentials Collection: ""Nude All-Round"" – Multi-Size &amp; Multi-Shape Press-On Nails")</x:f>
        <x:v>HYPERLINK is not implemented. linkLocation=https://365nails.com/products/nude-essentials-collection-nude-all-round-multi-size-multi-shape-press-on-nails, friendlyName=Nude Essentials Collection: "Nude All-Round" – Multi-Size &amp; Multi-Shape Press-On Nails</x:v>
      </x:c>
      <x:c r="D3663" s="18" t="str">
        <x:v>Color: Clear light pink / Mist gray purple / Heartbeat blush - short oval nail shape / Heartbeat blush - long oval nail shape / Heartbeat blush - long pointed round nail tips / Heartbeat blush - medium oval nail shape / Heartbeat blush - medium a-shape</x:v>
      </x:c>
      <x:c r="E3663" s="25" t="str">
        <x:v>$0.61</x:v>
      </x:c>
      <x:c r="F3663" s="19" t="str">
        <x:v>10</x:v>
      </x:c>
    </x:row>
    <x:row r="3664" ht="93" customHeight="1">
      <x:c r="A3664" s="19" t="n">
        <x:v>3661</x:v>
      </x:c>
      <x:c r="B3664" s="22" t="e">
        <x:f>HYPERLINK("https://cdn.shopify.com/s/files/1/0918/6066/4603/files/O1CN01EmbA3y2MQzesvTG5C__2219089449823-0-cib.jpg?v=1774453176","Open")</x:f>
        <x:v>HYPERLINK is not implemented. linkLocation=https://cdn.shopify.com/s/files/1/0918/6066/4603/files/O1CN01EmbA3y2MQzesvTG5C__2219089449823-0-cib.jpg?v=1774453176, friendlyName=Open</x:v>
      </x:c>
      <x:c r="C3664" s="24" t="e">
        <x:f>HYPERLINK("https://365nails.com/products/spring-bloom-pink-flower-vine-medium-almond-handmade-press-on-nails","Spring Bloom: ""Pink Flower &amp; Vine"" – Medium Almond Handmade Press On Nails")</x:f>
        <x:v>HYPERLINK is not implemented. linkLocation=https://365nails.com/products/spring-bloom-pink-flower-vine-medium-almond-handmade-press-on-nails, friendlyName=Spring Bloom: "Pink Flower &amp; Vine" – Medium Almond Handmade Press On Nails</x:v>
      </x:c>
      <x:c r="D3664" s="18" t="str">
        <x:v>Color: D585; Color classification: X s / S / M / L</x:v>
      </x:c>
      <x:c r="E3664" s="25" t="str">
        <x:v>$3.49</x:v>
      </x:c>
      <x:c r="F3664" s="19" t="str">
        <x:v>1</x:v>
      </x:c>
    </x:row>
    <x:row r="3665" ht="93" customHeight="1">
      <x:c r="A3665" s="19" t="n">
        <x:v>3662</x:v>
      </x:c>
      <x:c r="B3665" s="22" t="e">
        <x:f>HYPERLINK("https://cdn.shopify.com/s/files/1/0918/6066/4603/files/O1CN01oc0kGI1CPwKZFCC1G__2213196780074-0-cib_be819254-e778-47d0-97d1-d3e53a3791d7.jpg?v=1776600371","Open")</x:f>
        <x:v>HYPERLINK is not implemented. linkLocation=https://cdn.shopify.com/s/files/1/0918/6066/4603/files/O1CN01oc0kGI1CPwKZFCC1G__2213196780074-0-cib_be819254-e778-47d0-97d1-d3e53a3791d7.jpg?v=1776600371, friendlyName=Open</x:v>
      </x:c>
      <x:c r="C3665" s="24" t="e">
        <x:f>HYPERLINK("https://365nails.com/products/365nails-gothic-web-3d-spider-cross-handmade-coffin-nails","365nails: ""Gothic Web"" – 3D Spider &amp; Cross Handmade Coffin Nails")</x:f>
        <x:v>HYPERLINK is not implemented. linkLocation=https://365nails.com/products/365nails-gothic-web-3d-spider-cross-handmade-coffin-nails, friendlyName=365nails: "Gothic Web" – 3D Spider &amp; Cross Handmade Coffin Nails</x:v>
      </x:c>
      <x:c r="D3665" s="18" t="str">
        <x:v>Color: Extra small size xs / Small s / Medium m / Large l; Specification type: 2732-short duckbill</x:v>
      </x:c>
      <x:c r="E3665" s="25" t="str">
        <x:v>$3.49</x:v>
      </x:c>
      <x:c r="F3665" s="19" t="str">
        <x:v>1</x:v>
      </x:c>
    </x:row>
    <x:row r="3666" ht="93" customHeight="1">
      <x:c r="A3666" s="19" t="n">
        <x:v>3663</x:v>
      </x:c>
      <x:c r="B3666" s="22" t="e">
        <x:f>HYPERLINK("https://cdn.shopify.com/s/files/1/0918/6066/4603/files/O1CN01xjfxFT27ZUkgRgdPI__2220024697811-0-cib.jpg?v=1774943990","Open")</x:f>
        <x:v>HYPERLINK is not implemented. linkLocation=https://cdn.shopify.com/s/files/1/0918/6066/4603/files/O1CN01xjfxFT27ZUkgRgdPI__2220024697811-0-cib.jpg?v=1774943990, friendlyName=Open</x:v>
      </x:c>
      <x:c r="C3666" s="24" t="e">
        <x:f>HYPERLINK("https://365nails.com/products/365nails-fruity-sorbet-3d-slice-handmade-almond-nails","365nails: ""Fruity Sorbet"" – 3D Slice Handmade Almond Nails")</x:f>
        <x:v>HYPERLINK is not implemented. linkLocation=https://365nails.com/products/365nails-fruity-sorbet-3d-slice-handmade-almond-nails, friendlyName=365nails: "Fruity Sorbet" – 3D Slice Handmade Almond Nails</x:v>
      </x:c>
      <x:c r="D3666" s="18" t="str">
        <x:v>Color: Almond; Color classification: Xs / S / M / L</x:v>
      </x:c>
      <x:c r="E3666" s="25" t="str">
        <x:v>$4.99</x:v>
      </x:c>
      <x:c r="F3666" s="19" t="str">
        <x:v>3</x:v>
      </x:c>
    </x:row>
    <x:row r="3667" ht="93" customHeight="1">
      <x:c r="A3667" s="19" t="n">
        <x:v>3664</x:v>
      </x:c>
      <x:c r="B3667" s="22" t="e">
        <x:f>HYPERLINK("https://cdn.shopify.com/s/files/1/0918/6066/4603/files/c4597e404988765c5f16c25dc644f801.jpg?v=1773824621","Open")</x:f>
        <x:v>HYPERLINK is not implemented. linkLocation=https://cdn.shopify.com/s/files/1/0918/6066/4603/files/c4597e404988765c5f16c25dc644f801.jpg?v=1773824621, friendlyName=Open</x:v>
      </x:c>
      <x:c r="C3667" s="24" t="e">
        <x:f>HYPERLINK("https://365nails.com/products/spooky-halloween-kids-series-halloween-animal-parade-short-square-kids-nail-art","365nails-Spooky Halloween Kids Series: ""Halloween Animal Parade"" – Short Square Kids Nail Art")</x:f>
        <x:v>HYPERLINK is not implemented. linkLocation=https://365nails.com/products/spooky-halloween-kids-series-halloween-animal-parade-short-square-kids-nail-art, friendlyName=365nails-Spooky Halloween Kids Series: "Halloween Animal Parade" – Short Square Kids Nail Art</x:v>
      </x:c>
      <x:c r="D3667" s="18" t="str">
        <x:v>Color: 9150 pink love skull / 9151 ghost pumpkin / 9152 ghost house / 9153 pumpkin house / 9160 halloween little witch / 9161 skeleton lollipop / 9162 dark bat / 9163 halloween party / 9164 yellow polka dot little ghost / Pumpkin bat / Halloween ghost; Color classification: Xs (about 2 years old) / S (3-4 years old) / M (5-7 years old) / L (8-11 years old)</x:v>
      </x:c>
      <x:c r="E3667" s="25" t="str">
        <x:v>$2.99</x:v>
      </x:c>
      <x:c r="F3667" s="19" t="str">
        <x:v>3</x:v>
      </x:c>
    </x:row>
    <x:row r="3668" ht="93" customHeight="1">
      <x:c r="A3668" s="19" t="n">
        <x:v>3665</x:v>
      </x:c>
      <x:c r="B3668" s="22" t="e">
        <x:f>HYPERLINK("https://cdn.shopify.com/s/files/1/0918/6066/4603/files/O1CN01fCB2EF2MQzdgcS4aq__2219089449823-0-cib.jpg?v=1774011039","Open")</x:f>
        <x:v>HYPERLINK is not implemented. linkLocation=https://cdn.shopify.com/s/files/1/0918/6066/4603/files/O1CN01fCB2EF2MQzdgcS4aq__2219089449823-0-cib.jpg?v=1774011039, friendlyName=Open</x:v>
      </x:c>
      <x:c r="C3668" s="24" t="e">
        <x:f>HYPERLINK("https://365nails.com/products/blossom-mix-colorful-floral-almond-shape-handmade-3d-carved-press-on-nails","365nails-Blossom Mix: ""Colorful Floral"" – Almond Shape Handmade 3D Carved Press-On Nails")</x:f>
        <x:v>HYPERLINK is not implemented. linkLocation=https://365nails.com/products/blossom-mix-colorful-floral-almond-shape-handmade-3d-carved-press-on-nails, friendlyName=365nails-Blossom Mix: "Colorful Floral" – Almond Shape Handmade 3D Carved Press-On Nails</x:v>
      </x:c>
      <x:c r="D3668" s="18" t="str">
        <x:v>Color: (e25) cherry blossom pink almond nail; Color classification: X s / S / M / L</x:v>
      </x:c>
      <x:c r="E3668" s="25" t="str">
        <x:v>$3.99</x:v>
      </x:c>
      <x:c r="F3668" s="19" t="str">
        <x:v>5</x:v>
      </x:c>
    </x:row>
    <x:row r="3669" ht="93" customHeight="1">
      <x:c r="A3669" s="19" t="n">
        <x:v>3666</x:v>
      </x:c>
      <x:c r="B3669" s="22" t="e">
        <x:f>HYPERLINK("https://cdn.shopify.com/s/files/1/0918/6066/4603/files/O1CN01SMLEsC2MQzdYzRrs0__2219089449823-0-cib.jpg?v=1774010994","Open")</x:f>
        <x:v>HYPERLINK is not implemented. linkLocation=https://cdn.shopify.com/s/files/1/0918/6066/4603/files/O1CN01SMLEsC2MQzdYzRrs0__2219089449823-0-cib.jpg?v=1774010994, friendlyName=Open</x:v>
      </x:c>
      <x:c r="C3669" s="24" t="e">
        <x:f>HYPERLINK("https://365nails.com/products/lemon-cherry-fruit-floral-almond-shape-handmade-pressed-on-nails","365nails-Lemon Cherry: ""Fruit Floral"" – Almond Shape Handmade Pressed-On Nails")</x:f>
        <x:v>HYPERLINK is not implemented. linkLocation=https://365nails.com/products/lemon-cherry-fruit-floral-almond-shape-handmade-pressed-on-nails, friendlyName=365nails-Lemon Cherry: "Fruit Floral" – Almond Shape Handmade Pressed-On Nails</x:v>
      </x:c>
      <x:c r="D3669" s="18" t="str">
        <x:v>Color: D483; Color classification: X s / S / M / L</x:v>
      </x:c>
      <x:c r="E3669" s="25" t="str">
        <x:v>$3.99</x:v>
      </x:c>
      <x:c r="F3669" s="19" t="str">
        <x:v>1</x:v>
      </x:c>
    </x:row>
    <x:row r="3670" ht="93" customHeight="1">
      <x:c r="A3670" s="19" t="n">
        <x:v>3667</x:v>
      </x:c>
      <x:c r="B3670" s="22" t="e">
        <x:f>HYPERLINK("https://cdn.shopify.com/s/files/1/0918/6066/4603/files/O1CN01TNQS912MQzdp6Vk9P__2219089449823-0-cib.jpg?v=1774452972","Open")</x:f>
        <x:v>HYPERLINK is not implemented. linkLocation=https://cdn.shopify.com/s/files/1/0918/6066/4603/files/O1CN01TNQS912MQzdp6Vk9P__2219089449823-0-cib.jpg?v=1774452972, friendlyName=Open</x:v>
      </x:c>
      <x:c r="C3670" s="24" t="e">
        <x:f>HYPERLINK("https://365nails.com/products/tropical-bloom-floral-fantasy-medium-almond-handmade-press-on-nails","Tropical Bloom: ""Floral Fantasy"" – Medium Almond Handmade Press On Nails")</x:f>
        <x:v>HYPERLINK is not implemented. linkLocation=https://365nails.com/products/tropical-bloom-floral-fantasy-medium-almond-handmade-press-on-nails, friendlyName=Tropical Bloom: "Floral Fantasy" – Medium Almond Handmade Press On Nails</x:v>
      </x:c>
      <x:c r="D3670" s="18" t="str">
        <x:v>Color: K036; Color classification: X s / S / M / L</x:v>
      </x:c>
      <x:c r="E3670" s="25" t="str">
        <x:v>$3.99</x:v>
      </x:c>
      <x:c r="F3670" s="19" t="str">
        <x:v>1</x:v>
      </x:c>
    </x:row>
    <x:row r="3671" ht="93" customHeight="1">
      <x:c r="A3671" s="19" t="n">
        <x:v>3668</x:v>
      </x:c>
      <x:c r="B3671" s="22" t="e">
        <x:f>HYPERLINK("https://cdn.shopify.com/s/files/1/0918/6066/4603/files/O1CN01PRrqZ52214v9Otte0__2219480337059-0-cib.jpg?v=1773824601","Open")</x:f>
        <x:v>HYPERLINK is not implemented. linkLocation=https://cdn.shopify.com/s/files/1/0918/6066/4603/files/O1CN01PRrqZ52214v9Otte0__2219480337059-0-cib.jpg?v=1773824601, friendlyName=Open</x:v>
      </x:c>
      <x:c r="C3671" s="24" t="e">
        <x:f>HYPERLINK("https://365nails.com/products/christmas-cheer-kids-series-santas-festive-friends-short-square-kids-nail-art","365nails-Christmas Cheer Kids Series: ""Santa's Festive Friends"" – Short Square Kids Nail Art")</x:f>
        <x:v>HYPERLINK is not implemented. linkLocation=https://365nails.com/products/christmas-cheer-kids-series-santas-festive-friends-short-square-kids-nail-art, friendlyName=365nails-Christmas Cheer Kids Series: "Santa's Festive Friends" – Short Square Kids Nail Art</x:v>
      </x:c>
      <x:c r="D3671" s="18" t="str">
        <x:v>Color: H9251 christmas wreath; Color classification: Xs (about 2 years old) / S (3-4 years old) / M (5-7 years old) / L (8-11 years old)</x:v>
      </x:c>
      <x:c r="E3671" s="25" t="str">
        <x:v>$2.99</x:v>
      </x:c>
      <x:c r="F3671" s="19" t="str">
        <x:v>3</x:v>
      </x:c>
    </x:row>
    <x:row r="3672" ht="93" customHeight="1">
      <x:c r="A3672" s="19" t="n">
        <x:v>3669</x:v>
      </x:c>
      <x:c r="B3672" s="22" t="e">
        <x:f>HYPERLINK("https://cdn.shopify.com/s/files/1/0918/6066/4603/files/f5f0e88c8b05a6da5d0042d9ea23bed5.jpg?v=1778317219","Open")</x:f>
        <x:v>HYPERLINK is not implemented. linkLocation=https://cdn.shopify.com/s/files/1/0918/6066/4603/files/f5f0e88c8b05a6da5d0042d9ea23bed5.jpg?v=1778317219, friendlyName=Open</x:v>
      </x:c>
      <x:c r="C3672" s="24" t="e">
        <x:f>HYPERLINK("https://365nails.com/products/365nails-abstract-punk-3d-texture-mixed-pattern-handmade-coffin-nails","365nails: ""Abstract Punk"" – 3D Texture &amp; Mixed Pattern Handmade Coffin Nails")</x:f>
        <x:v>HYPERLINK is not implemented. linkLocation=https://365nails.com/products/365nails-abstract-punk-3d-texture-mixed-pattern-handmade-coffin-nails, friendlyName=365nails: "Abstract Punk" – 3D Texture &amp; Mixed Pattern Handmade Coffin Nails</x:v>
      </x:c>
      <x:c r="D3672" s="18" t="str">
        <x:v>Size: XS / S / M / L</x:v>
      </x:c>
      <x:c r="E3672" s="25" t="str">
        <x:v>$3.99</x:v>
      </x:c>
      <x:c r="F3672" s="19" t="str">
        <x:v>5</x:v>
      </x:c>
    </x:row>
    <x:row r="3673" ht="93" customHeight="1">
      <x:c r="A3673" s="19" t="n">
        <x:v>3670</x:v>
      </x:c>
      <x:c r="B3673" s="22" t="e">
        <x:f>HYPERLINK("https://cdn.shopify.com/s/files/1/0918/6066/4603/files/46c5fc728c516579922fc4951ed88e9f.jpg?v=1772976670","Open")</x:f>
        <x:v>HYPERLINK is not implemented. linkLocation=https://cdn.shopify.com/s/files/1/0918/6066/4603/files/46c5fc728c516579922fc4951ed88e9f.jpg?v=1772976670, friendlyName=Open</x:v>
      </x:c>
      <x:c r="C3673" s="24" t="e">
        <x:f>HYPERLINK("https://365nails.com/products/everyday-collection-500-short-tube-short-half-cover-tube-nail-tips-500pcs-box","Everyday Collection: ""500 Short Tube"" – Short Half-Cover Tube Nail Tips (500pcs Box)")</x:f>
        <x:v>HYPERLINK is not implemented. linkLocation=https://365nails.com/products/everyday-collection-500-short-tube-short-half-cover-tube-nail-tips-500pcs-box, friendlyName=Everyday Collection: "500 Short Tube" – Short Half-Cover Tube Nail Tips (500pcs Box)</x:v>
      </x:c>
      <x:c r="D3673" s="18" t="str">
        <x:v>Color: 500 tablets in bag / 500 tablets box; Color classification: 20-natural color / 20-transparent</x:v>
      </x:c>
      <x:c r="E3673" s="25" t="str">
        <x:v>$1.68–$2.12</x:v>
      </x:c>
      <x:c r="F3673" s="19" t="str">
        <x:v>3</x:v>
      </x:c>
    </x:row>
    <x:row r="3674" ht="93" customHeight="1">
      <x:c r="A3674" s="19" t="n">
        <x:v>3671</x:v>
      </x:c>
      <x:c r="B3674" s="22" t="e">
        <x:f>HYPERLINK("https://cdn.shopify.com/s/files/1/0918/6066/4603/files/O1CN01wjoTeJ2214wQwwdwy__2219480337059-0-cib.jpg?v=1773195796","Open")</x:f>
        <x:v>HYPERLINK is not implemented. linkLocation=https://cdn.shopify.com/s/files/1/0918/6066/4603/files/O1CN01wjoTeJ2214wQwwdwy__2219480337059-0-cib.jpg?v=1773195796, friendlyName=Open</x:v>
      </x:c>
      <x:c r="C3674" s="24" t="e">
        <x:f>HYPERLINK("https://365nails.com/products/365nails-sweet-strawberry-tanghulu-short-squoval-handmade-kids-press-on-nails","365nails: ""sweet strawberry tanghulu"" – short squoval handmade kids press-on nails")</x:f>
        <x:v>HYPERLINK is not implemented. linkLocation=https://365nails.com/products/365nails-sweet-strawberry-tanghulu-short-squoval-handmade-kids-press-on-nails, friendlyName=365nails: "sweet strawberry tanghulu" – short squoval handmade kids press-on nails</x:v>
      </x:c>
      <x:c r="D3674" s="18" t="str">
        <x:v>Color: Handmade strawberry hawthorn candy; Color classification: Xs (about 2 years old) / S (3-4 years old) / M (5-7 years old) / L (8-11 years old)</x:v>
      </x:c>
      <x:c r="E3674" s="25" t="str">
        <x:v>$2.99</x:v>
      </x:c>
      <x:c r="F3674" s="19" t="str">
        <x:v>3</x:v>
      </x:c>
    </x:row>
    <x:row r="3675" ht="93" customHeight="1">
      <x:c r="A3675" s="19" t="n">
        <x:v>3672</x:v>
      </x:c>
      <x:c r="B3675" s="22" t="e">
        <x:f>HYPERLINK("https://cdn.shopify.com/s/files/1/0918/6066/4603/files/O1CN01G10tuK1CPwMg2M054__2213196780074-0-cib_37edf5f7-9ac9-40c5-8d28-e8282af798bb.jpg?v=1774682285","Open")</x:f>
        <x:v>HYPERLINK is not implemented. linkLocation=https://cdn.shopify.com/s/files/1/0918/6066/4603/files/O1CN01G10tuK1CPwMg2M054__2213196780074-0-cib_37edf5f7-9ac9-40c5-8d28-e8282af798bb.jpg?v=1774682285, friendlyName=Open</x:v>
      </x:c>
      <x:c r="C3675" s="24" t="e">
        <x:f>HYPERLINK("https://365nails.com/products/365nails-tropical-paradise-3d-floral-watercolor-handmade-stiletto-nails","365nails: ""Tropical Paradise"" – 3D Floral &amp; Watercolor Handmade Stiletto Nails")</x:f>
        <x:v>HYPERLINK is not implemented. linkLocation=https://365nails.com/products/365nails-tropical-paradise-3d-floral-watercolor-handmade-stiletto-nails, friendlyName=365nails: "Tropical Paradise" – 3D Floral &amp; Watercolor Handmade Stiletto Nails</x:v>
      </x:c>
      <x:c r="D3675" s="18" t="str">
        <x:v>Color: 340-long water drop; Color classification: Xs / S / M / L</x:v>
      </x:c>
      <x:c r="E3675" s="25" t="str">
        <x:v>$7.49</x:v>
      </x:c>
      <x:c r="F3675" s="19" t="str">
        <x:v>1</x:v>
      </x:c>
    </x:row>
    <x:row r="3676" ht="93" customHeight="1">
      <x:c r="A3676" s="19" t="n">
        <x:v>3673</x:v>
      </x:c>
      <x:c r="B3676" s="22" t="e">
        <x:f>HYPERLINK("https://cdn.shopify.com/s/files/1/0918/6066/4603/files/O1CN01M5g5on2MQzekuytFR__2219089449823-0-cib.jpg?v=1774453137","Open")</x:f>
        <x:v>HYPERLINK is not implemented. linkLocation=https://cdn.shopify.com/s/files/1/0918/6066/4603/files/O1CN01M5g5on2MQzekuytFR__2219089449823-0-cib.jpg?v=1774453137, friendlyName=Open</x:v>
      </x:c>
      <x:c r="C3676" s="24" t="e">
        <x:f>HYPERLINK("https://365nails.com/products/coquette-punk-bow-chain-short-square-handmade-press-on-nails","Coquette Punk: ""Bow &amp; Chain"" – Short Square Handmade Press On Nails")</x:f>
        <x:v>HYPERLINK is not implemented. linkLocation=https://365nails.com/products/coquette-punk-bow-chain-short-square-handmade-press-on-nails, friendlyName=Coquette Punk: "Bow &amp; Chain" – Short Square Handmade Press On Nails</x:v>
      </x:c>
      <x:c r="D3676" s="18" t="str">
        <x:v>Color: L225; Color classification: X s / S / M / L</x:v>
      </x:c>
      <x:c r="E3676" s="25" t="str">
        <x:v>$4.99</x:v>
      </x:c>
      <x:c r="F3676" s="19" t="str">
        <x:v>1</x:v>
      </x:c>
    </x:row>
    <x:row r="3677" ht="93" customHeight="1">
      <x:c r="A3677" s="19" t="n">
        <x:v>3674</x:v>
      </x:c>
      <x:c r="B3677" s="22" t="e">
        <x:f>HYPERLINK("https://cdn.shopify.com/s/files/1/0918/6066/4603/files/eba4bcb37db2bd90d148d0f141550afe.jpg?v=1776171575","Open")</x:f>
        <x:v>HYPERLINK is not implemented. linkLocation=https://cdn.shopify.com/s/files/1/0918/6066/4603/files/eba4bcb37db2bd90d148d0f141550afe.jpg?v=1776171575, friendlyName=Open</x:v>
      </x:c>
      <x:c r="C3677" s="24" t="e">
        <x:f>HYPERLINK("https://365nails.com/products/365nails-quacky-pop-3d-character-mix-handmade-short-square-nails","365nails: ""Quacky Pop"" – 3D Character Mix Handmade Short Square Nails")</x:f>
        <x:v>HYPERLINK is not implemented. linkLocation=https://365nails.com/products/365nails-quacky-pop-3d-character-mix-handmade-short-square-nails, friendlyName=365nails: "Quacky Pop" – 3D Character Mix Handmade Short Square Nails</x:v>
      </x:c>
      <x:c r="D3677" s="18" t="str">
        <x:v>Size: XS / S / M / L</x:v>
      </x:c>
      <x:c r="E3677" s="25" t="str">
        <x:v>$1.99</x:v>
      </x:c>
      <x:c r="F3677" s="19" t="str">
        <x:v>3</x:v>
      </x:c>
    </x:row>
    <x:row r="3678" ht="93" customHeight="1">
      <x:c r="A3678" s="19" t="n">
        <x:v>3675</x:v>
      </x:c>
      <x:c r="B3678" s="22" t="e">
        <x:f>HYPERLINK("https://cdn.shopify.com/s/files/1/0918/6066/4603/files/e4870191c994a435b9f9e77b1b4c7a18.jpg?v=1775725226","Open")</x:f>
        <x:v>HYPERLINK is not implemented. linkLocation=https://cdn.shopify.com/s/files/1/0918/6066/4603/files/e4870191c994a435b9f9e77b1b4c7a18.jpg?v=1775725226, friendlyName=Open</x:v>
      </x:c>
      <x:c r="C3678" s="24" t="e">
        <x:f>HYPERLINK("https://365nails.com/products/365nails-neon-bloom-abstract-hand-painted-handmade-almond-nails","365nails: ""Neon Bloom"" – Abstract Hand-Painted Handmade Almond Nails")</x:f>
        <x:v>HYPERLINK is not implemented. linkLocation=https://365nails.com/products/365nails-neon-bloom-abstract-hand-painted-handmade-almond-nails, friendlyName=365nails: "Neon Bloom" – Abstract Hand-Painted Handmade Almond Nails</x:v>
      </x:c>
      <x:c r="D3678" s="18" t="str">
        <x:v>Size: XS / S / M / L</x:v>
      </x:c>
      <x:c r="E3678" s="25" t="str">
        <x:v>$2.99</x:v>
      </x:c>
      <x:c r="F3678" s="19" t="str">
        <x:v>5</x:v>
      </x:c>
    </x:row>
    <x:row r="3679" ht="93" customHeight="1">
      <x:c r="A3679" s="19" t="n">
        <x:v>3676</x:v>
      </x:c>
      <x:c r="B3679" s="22" t="e">
        <x:f>HYPERLINK("https://cdn.shopify.com/s/files/1/0918/6066/4603/files/e79132393c95cc66ff024e61345fadff.jpg?v=1776170156","Open")</x:f>
        <x:v>HYPERLINK is not implemented. linkLocation=https://cdn.shopify.com/s/files/1/0918/6066/4603/files/e79132393c95cc66ff024e61345fadff.jpg?v=1776170156, friendlyName=Open</x:v>
      </x:c>
      <x:c r="C3679" s="24" t="e">
        <x:f>HYPERLINK("https://365nails.com/products/365nails-kitty-cat-3d-character-handmade-short-square-nails","365nails: ""Kitty Cat"" – 3D Character Handmade Short Square Nails")</x:f>
        <x:v>HYPERLINK is not implemented. linkLocation=https://365nails.com/products/365nails-kitty-cat-3d-character-handmade-short-square-nails, friendlyName=365nails: "Kitty Cat" – 3D Character Handmade Short Square Nails</x:v>
      </x:c>
      <x:c r="D3679" s="18" t="str">
        <x:v>Size: XS / S / M / L</x:v>
      </x:c>
      <x:c r="E3679" s="25" t="str">
        <x:v>$1.99</x:v>
      </x:c>
      <x:c r="F3679" s="19" t="str">
        <x:v>3</x:v>
      </x:c>
    </x:row>
    <x:row r="3680" ht="93" customHeight="1">
      <x:c r="A3680" s="19" t="n">
        <x:v>3677</x:v>
      </x:c>
      <x:c r="B3680" s="22" t="e">
        <x:f>HYPERLINK("https://cdn.shopify.com/s/files/1/0918/6066/4603/files/O1CN01K7QaPS1CPwLaYZ2UV__2213196780074-0-cib_952628fc-5291-484e-8085-587da27c9be3.jpg?v=1774685749","Open")</x:f>
        <x:v>HYPERLINK is not implemented. linkLocation=https://cdn.shopify.com/s/files/1/0918/6066/4603/files/O1CN01K7QaPS1CPwLaYZ2UV__2213196780074-0-cib_952628fc-5291-484e-8085-587da27c9be3.jpg?v=1774685749, friendlyName=Open</x:v>
      </x:c>
      <x:c r="C3680" s="24" t="e">
        <x:f>HYPERLINK("https://365nails.com/products/365nails-royal-velvet-3d-bow-pearl-handmade-stiletto-nails","365nails: ""Royal Velvet"" – 3D Bow &amp; Pearl Handmade Stiletto Nails")</x:f>
        <x:v>HYPERLINK is not implemented. linkLocation=https://365nails.com/products/365nails-royal-velvet-3d-bow-pearl-handmade-stiletto-nails, friendlyName=365nails: "Royal Velvet" – 3D Bow &amp; Pearl Handmade Stiletto Nails</x:v>
      </x:c>
      <x:c r="D3680" s="18" t="str">
        <x:v>Color: 673-long water drop; Color classification: Extra small size xs / Small s / Medium m / Large l</x:v>
      </x:c>
      <x:c r="E3680" s="25" t="str">
        <x:v>$4.49</x:v>
      </x:c>
      <x:c r="F3680" s="19" t="str">
        <x:v>1</x:v>
      </x:c>
    </x:row>
    <x:row r="3681" ht="93" customHeight="1">
      <x:c r="A3681" s="19" t="n">
        <x:v>3678</x:v>
      </x:c>
      <x:c r="B3681" s="22" t="e">
        <x:f>HYPERLINK("https://cdn.shopify.com/s/files/1/0918/6066/4603/files/O1CN01BbTma82214wFlIHdS__2219480337059-0-cib.jpg?v=1773321078","Open")</x:f>
        <x:v>HYPERLINK is not implemented. linkLocation=https://cdn.shopify.com/s/files/1/0918/6066/4603/files/O1CN01BbTma82214wFlIHdS__2219480337059-0-cib.jpg?v=1773321078, friendlyName=Open</x:v>
      </x:c>
      <x:c r="C3681" s="24" t="e">
        <x:f>HYPERLINK("https://365nails.com/products/365nails-zootopia-buddies-short-round-handmade-kids-press-on-nails","365nails: ""zootopia buddies"" – short round handmade kids press-on nails")</x:f>
        <x:v>HYPERLINK is not implemented. linkLocation=https://365nails.com/products/365nails-zootopia-buddies-short-round-handmade-kids-press-on-nails, friendlyName=365nails: "zootopia buddies" – short round handmade kids press-on nails</x:v>
      </x:c>
      <x:c r="D3681" s="18" t="str">
        <x:v>Color: 51293 candy animal city; Color classification: Xs (about 2 years old) / S (3-4 years old) / M (5-7 years old) / L (8-11 years old)</x:v>
      </x:c>
      <x:c r="E3681" s="25" t="str">
        <x:v>$2.99</x:v>
      </x:c>
      <x:c r="F3681" s="19" t="str">
        <x:v>3</x:v>
      </x:c>
    </x:row>
    <x:row r="3682" ht="93" customHeight="1">
      <x:c r="A3682" s="19" t="n">
        <x:v>3679</x:v>
      </x:c>
      <x:c r="B3682" s="22" t="e">
        <x:f>HYPERLINK("https://cdn.shopify.com/s/files/1/0918/6066/4603/files/O1CN01ACytho27ZUlJgiBzq__2220024697811-0-cib.jpg?v=1775109489","Open")</x:f>
        <x:v>HYPERLINK is not implemented. linkLocation=https://cdn.shopify.com/s/files/1/0918/6066/4603/files/O1CN01ACytho27ZUlJgiBzq__2220024697811-0-cib.jpg?v=1775109489, friendlyName=Open</x:v>
      </x:c>
      <x:c r="C3682" s="24" t="e">
        <x:f>HYPERLINK("https://365nails.com/products/365nails-retro-bloom-3d-floral-handmade-short-almond-nails","365nails: ""Retro Bloom"" – 3D Floral Handmade Short Almond Nails")</x:f>
        <x:v>HYPERLINK is not implemented. linkLocation=https://365nails.com/products/365nails-retro-bloom-3d-floral-handmade-short-almond-nails, friendlyName=365nails: "Retro Bloom" – 3D Floral Handmade Short Almond Nails</x:v>
      </x:c>
      <x:c r="D3682" s="18" t="str">
        <x:v>Color: Almond; Color classification: Xs / S / M / L</x:v>
      </x:c>
      <x:c r="E3682" s="25" t="str">
        <x:v>$4.49</x:v>
      </x:c>
      <x:c r="F3682" s="19" t="str">
        <x:v>3</x:v>
      </x:c>
    </x:row>
    <x:row r="3683" ht="93" customHeight="1">
      <x:c r="A3683" s="19" t="n">
        <x:v>3680</x:v>
      </x:c>
      <x:c r="B3683" s="22" t="e">
        <x:f>HYPERLINK("https://cdn.shopify.com/s/files/1/0918/6066/4603/files/d1378a9b94805473143e9a35d0a3bf71_d6570207-99fe-4f96-a5c6-96b601802057.jpg?v=1773901018","Open")</x:f>
        <x:v>HYPERLINK is not implemented. linkLocation=https://cdn.shopify.com/s/files/1/0918/6066/4603/files/d1378a9b94805473143e9a35d0a3bf71_d6570207-99fe-4f96-a5c6-96b601802057.jpg?v=1773901018, friendlyName=Open</x:v>
      </x:c>
      <x:c r="C3683" s="24" t="e">
        <x:f>HYPERLINK("https://365nails.com/products/365nails-baroque-relief-angel-handmade-press-on-nails-sweet-cool-y2k-streetwear","365Nails: ""Baroque Relief Angel"" – handmade press-on nails (Sweet Cool/Y2K Streetwear)")</x:f>
        <x:v>HYPERLINK is not implemented. linkLocation=https://365nails.com/products/365nails-baroque-relief-angel-handmade-press-on-nails-sweet-cool-y2k-streetwear, friendlyName=365Nails: "Baroque Relief Angel" – handmade press-on nails (Sweet Cool/Y2K Streetwear)</x:v>
      </x:c>
      <x:c r="D3683" s="18" t="str">
        <x:v>Size: XS / S / M / L</x:v>
      </x:c>
      <x:c r="E3683" s="25" t="str">
        <x:v>$3.99</x:v>
      </x:c>
      <x:c r="F3683" s="19" t="str">
        <x:v>5</x:v>
      </x:c>
    </x:row>
    <x:row r="3684" ht="93" customHeight="1">
      <x:c r="A3684" s="19" t="n">
        <x:v>3681</x:v>
      </x:c>
      <x:c r="B3684" s="22" t="e">
        <x:f>HYPERLINK("https://cdn.shopify.com/s/files/1/0918/6066/4603/files/O1CN0120BLgZ2214sboc2tZ__2219480337059-0-cib.jpg?v=1774067483","Open")</x:f>
        <x:v>HYPERLINK is not implemented. linkLocation=https://cdn.shopify.com/s/files/1/0918/6066/4603/files/O1CN0120BLgZ2214sboc2tZ__2219480337059-0-cib.jpg?v=1774067483, friendlyName=Open</x:v>
      </x:c>
      <x:c r="C3684" s="24" t="e">
        <x:f>HYPERLINK("https://365nails.com/products/kuromi-sweet-kids-series-purple-heart-kuromi-short-square-kids-nail-art","365nails-Kuromi Sweet Kids Series: ""Purple Heart Kuromi"" – Short Square Kids Nail Art")</x:f>
        <x:v>HYPERLINK is not implemented. linkLocation=https://365nails.com/products/kuromi-sweet-kids-series-purple-heart-kuromi-short-square-kids-nail-art, friendlyName=365nails-Kuromi Sweet Kids Series: "Purple Heart Kuromi" – Short Square Kids Nail Art</x:v>
      </x:c>
      <x:c r="D3684" s="18" t="str">
        <x:v>Color: Caring kuromi; Color classification: Xs (about 2 years old) / S (3-4 years old) / M (5-7 years old) / L (8-11 years old)</x:v>
      </x:c>
      <x:c r="E3684" s="25" t="str">
        <x:v>$2.99</x:v>
      </x:c>
      <x:c r="F3684" s="19" t="str">
        <x:v>3</x:v>
      </x:c>
    </x:row>
    <x:row r="3685" ht="93" customHeight="1">
      <x:c r="A3685" s="19" t="n">
        <x:v>3682</x:v>
      </x:c>
      <x:c r="B3685" s="22" t="e">
        <x:f>HYPERLINK("https://cdn.shopify.com/s/files/1/0918/6066/4603/files/O1CN01gaU4X42MQzdGNFQE0__2219089449823-0-cib.jpg?v=1774349169","Open")</x:f>
        <x:v>HYPERLINK is not implemented. linkLocation=https://cdn.shopify.com/s/files/1/0918/6066/4603/files/O1CN01gaU4X42MQzdGNFQE0__2219089449823-0-cib.jpg?v=1774349169, friendlyName=Open</x:v>
      </x:c>
      <x:c r="C3685" s="24" t="e">
        <x:f>HYPERLINK("https://365nails.com/products/y2k-pop-fruit-pom-pom-glitter-edge-square-press-ons","Y2K Pop: ""Fruit Pom-Pom &amp; Glitter Edge"" – Square Press Ons")</x:f>
        <x:v>HYPERLINK is not implemented. linkLocation=https://365nails.com/products/y2k-pop-fruit-pom-pom-glitter-edge-square-press-ons, friendlyName=Y2K Pop: "Fruit Pom-Pom &amp; Glitter Edge" – Square Press Ons</x:v>
      </x:c>
      <x:c r="D3685" s="18" t="str">
        <x:v>Color: M112; Color classification: X s / S / M / L</x:v>
      </x:c>
      <x:c r="E3685" s="25" t="str">
        <x:v>$4.99</x:v>
      </x:c>
      <x:c r="F3685" s="19" t="str">
        <x:v>1</x:v>
      </x:c>
    </x:row>
    <x:row r="3686" ht="93" customHeight="1">
      <x:c r="A3686" s="19" t="n">
        <x:v>3683</x:v>
      </x:c>
      <x:c r="B3686" s="22" t="e">
        <x:f>HYPERLINK("https://cdn.shopify.com/s/files/1/0918/6066/4603/files/O1CN01wkOyUX2214uCJSGB8__2219480337059-0-cib.jpg?v=1773321048","Open")</x:f>
        <x:v>HYPERLINK is not implemented. linkLocation=https://cdn.shopify.com/s/files/1/0918/6066/4603/files/O1CN01wkOyUX2214uCJSGB8__2219480337059-0-cib.jpg?v=1773321048, friendlyName=Open</x:v>
      </x:c>
      <x:c r="C3686" s="24" t="e">
        <x:f>HYPERLINK("https://365nails.com/products/365nails-starlit-daisy-short-round-handmade-kids-press-on-nails","365nails: ""starlit daisy"" – short round handmade kids press-on nails")</x:f>
        <x:v>HYPERLINK is not implemented. linkLocation=https://365nails.com/products/365nails-starlit-daisy-short-round-handmade-kids-press-on-nails, friendlyName=365nails: "starlit daisy" – short round handmade kids press-on nails</x:v>
      </x:c>
      <x:c r="D3686" s="18" t="str">
        <x:v>Color: Little daisy; Color classification: X s / S / M / L</x:v>
      </x:c>
      <x:c r="E3686" s="25" t="str">
        <x:v>$2.99</x:v>
      </x:c>
      <x:c r="F3686" s="19" t="str">
        <x:v>3</x:v>
      </x:c>
    </x:row>
    <x:row r="3687" ht="93" customHeight="1">
      <x:c r="A3687" s="19" t="n">
        <x:v>3684</x:v>
      </x:c>
      <x:c r="B3687" s="22" t="e">
        <x:f>HYPERLINK("https://cdn.shopify.com/s/files/1/0918/6066/4603/files/bce50f968e09f03e5b372e8e293ac351.jpg?v=1773884141","Open")</x:f>
        <x:v>HYPERLINK is not implemented. linkLocation=https://cdn.shopify.com/s/files/1/0918/6066/4603/files/bce50f968e09f03e5b372e8e293ac351.jpg?v=1773884141, friendlyName=Open</x:v>
      </x:c>
      <x:c r="C3687" s="24" t="e">
        <x:f>HYPERLINK("https://365nails.com/products/365nails-nude-pink-gold-sand-shattered-diamond-handmade-press-on-nails","365nails: ""nude pink gold sand &amp; shattered diamond"" – handmade press-on nails")</x:f>
        <x:v>HYPERLINK is not implemented. linkLocation=https://365nails.com/products/365nails-nude-pink-gold-sand-shattered-diamond-handmade-press-on-nails, friendlyName=365nails: "nude pink gold sand &amp; shattered diamond" – handmade press-on nails</x:v>
      </x:c>
      <x:c r="D3687" s="18" t="str">
        <x:v>Size: XS / S / M / L</x:v>
      </x:c>
      <x:c r="E3687" s="25" t="str">
        <x:v>$3.99</x:v>
      </x:c>
      <x:c r="F3687" s="19" t="str">
        <x:v>10</x:v>
      </x:c>
    </x:row>
    <x:row r="3688" ht="93" customHeight="1">
      <x:c r="A3688" s="19" t="n">
        <x:v>3685</x:v>
      </x:c>
      <x:c r="B3688" s="22" t="e">
        <x:f>HYPERLINK("https://cdn.shopify.com/s/files/1/0918/6066/4603/files/O1CN01UknFEJ1CPwPoaWneG__2213196780074-0-cib.jpg?v=1776819274","Open")</x:f>
        <x:v>HYPERLINK is not implemented. linkLocation=https://cdn.shopify.com/s/files/1/0918/6066/4603/files/O1CN01UknFEJ1CPwPoaWneG__2213196780074-0-cib.jpg?v=1776819274, friendlyName=Open</x:v>
      </x:c>
      <x:c r="C3688" s="24" t="e">
        <x:f>HYPERLINK("https://365nails.com/products/365nails-pink-tiger-3d-floral-crystal-handmade-short-square-nails","365nails: ""Pink Tiger"" – 3D Floral &amp; Crystal Handmade Short Square Nails")</x:f>
        <x:v>HYPERLINK is not implemented. linkLocation=https://365nails.com/products/365nails-pink-tiger-3d-floral-crystal-handmade-short-square-nails, friendlyName=365nails: "Pink Tiger" – 3D Floral &amp; Crystal Handmade Short Square Nails</x:v>
      </x:c>
      <x:c r="D3688" s="18" t="str">
        <x:v>Color: 963-short duckbill; Color classification: Extra small size xs / Small s / Medium m / Large l</x:v>
      </x:c>
      <x:c r="E3688" s="25" t="str">
        <x:v>$3.99</x:v>
      </x:c>
      <x:c r="F3688" s="19" t="str">
        <x:v>1</x:v>
      </x:c>
    </x:row>
    <x:row r="3689" ht="93" customHeight="1">
      <x:c r="A3689" s="19" t="n">
        <x:v>3686</x:v>
      </x:c>
      <x:c r="B3689" s="22" t="e">
        <x:f>HYPERLINK("https://cdn.shopify.com/s/files/1/0918/6066/4603/files/tufan_2Fb99c4c36-ca7e-11f0-a086-00163e1f8035.jpg?v=1764131026","Open")</x:f>
        <x:v>HYPERLINK is not implemented. linkLocation=https://cdn.shopify.com/s/files/1/0918/6066/4603/files/tufan_2Fb99c4c36-ca7e-11f0-a086-00163e1f8035.jpg?v=1764131026, friendlyName=Open</x:v>
      </x:c>
      <x:c r="C3689" s="24" t="e">
        <x:f>HYPERLINK("https://365nails.com/products/nude-gradient-leopard-print-short-square-nail-set","Nude Gradient Leopard Print Short Square Nail Set")</x:f>
        <x:v>HYPERLINK is not implemented. linkLocation=https://365nails.com/products/nude-gradient-leopard-print-short-square-nail-set, friendlyName=Nude Gradient Leopard Print Short Square Nail Set</x:v>
      </x:c>
      <x:c r="D3689" s="18" t="str">
        <x:v>Color: C055; Quantity: 3pcs</x:v>
      </x:c>
      <x:c r="E3689" s="25" t="str">
        <x:v>$3.84</x:v>
      </x:c>
      <x:c r="F3689" s="19" t="str">
        <x:v>1</x:v>
      </x:c>
    </x:row>
    <x:row r="3690" ht="93" customHeight="1">
      <x:c r="A3690" s="19" t="n">
        <x:v>3687</x:v>
      </x:c>
      <x:c r="B3690" s="22" t="e">
        <x:f>HYPERLINK("https://cdn.shopify.com/s/files/1/0918/6066/4603/files/O1CN01BOPxNA1CPwK3bs9kq__2213196780074-0-cib.jpg?v=1776743646","Open")</x:f>
        <x:v>HYPERLINK is not implemented. linkLocation=https://cdn.shopify.com/s/files/1/0918/6066/4603/files/O1CN01BOPxNA1CPwK3bs9kq__2213196780074-0-cib.jpg?v=1776743646, friendlyName=Open</x:v>
      </x:c>
      <x:c r="C3690" s="24" t="e">
        <x:f>HYPERLINK("https://365nails.com/products/365nails-velvet-dusk-ombre-crystal-handmade-stiletto-nails","365nails: ""Velvet Dusk"" – Ombre &amp; Crystal Handmade Stiletto Nails")</x:f>
        <x:v>HYPERLINK is not implemented. linkLocation=https://365nails.com/products/365nails-velvet-dusk-ombre-crystal-handmade-stiletto-nails, friendlyName=365nails: "Velvet Dusk" – Ombre &amp; Crystal Handmade Stiletto Nails</x:v>
      </x:c>
      <x:c r="D3690" s="18" t="str">
        <x:v>Color: Extra small size xs / Small s / Medium m / Large l; Specification type: 2602 thin dog tip</x:v>
      </x:c>
      <x:c r="E3690" s="25" t="str">
        <x:v>$3.99</x:v>
      </x:c>
      <x:c r="F3690" s="19" t="str">
        <x:v>1</x:v>
      </x:c>
    </x:row>
    <x:row r="3691" ht="93" customHeight="1">
      <x:c r="A3691" s="19" t="n">
        <x:v>3688</x:v>
      </x:c>
      <x:c r="B3691" s="22" t="e">
        <x:f>HYPERLINK("https://cdn.shopify.com/s/files/1/0918/6066/4603/files/O1CN01i47Dq627ZUmQLWdQ1__2220024697811-0-cib.jpg?v=1774926648","Open")</x:f>
        <x:v>HYPERLINK is not implemented. linkLocation=https://cdn.shopify.com/s/files/1/0918/6066/4603/files/O1CN01i47Dq627ZUmQLWdQ1__2220024697811-0-cib.jpg?v=1774926648, friendlyName=Open</x:v>
      </x:c>
      <x:c r="C3691" s="24" t="e">
        <x:f>HYPERLINK("https://365nails.com/products/365nails-crimson-elegance-3d-rose-gold-leaf-handmade-square-nails","365nails: ""Crimson Elegance"" – 3D Rose &amp; Gold Leaf Handmade Square Nails")</x:f>
        <x:v>HYPERLINK is not implemented. linkLocation=https://365nails.com/products/365nails-crimson-elegance-3d-rose-gold-leaf-handmade-square-nails, friendlyName=365nails: "Crimson Elegance" – 3D Rose &amp; Gold Leaf Handmade Square Nails</x:v>
      </x:c>
      <x:c r="D3691" s="18" t="str">
        <x:v>Color: European; Color classification: S / M / L</x:v>
      </x:c>
      <x:c r="E3691" s="25" t="str">
        <x:v>$4.99</x:v>
      </x:c>
      <x:c r="F3691" s="19" t="str">
        <x:v>3</x:v>
      </x:c>
    </x:row>
    <x:row r="3692" ht="93" customHeight="1">
      <x:c r="A3692" s="19" t="n">
        <x:v>3689</x:v>
      </x:c>
      <x:c r="B3692" s="22" t="e">
        <x:f>HYPERLINK("https://cdn.shopify.com/s/files/1/0918/6066/4603/files/0abc157528e4585b112978c57ed91c6a.jpg?v=1778318319","Open")</x:f>
        <x:v>HYPERLINK is not implemented. linkLocation=https://cdn.shopify.com/s/files/1/0918/6066/4603/files/0abc157528e4585b112978c57ed91c6a.jpg?v=1778318319, friendlyName=Open</x:v>
      </x:c>
      <x:c r="C3692" s="24" t="e">
        <x:f>HYPERLINK("https://365nails.com/products/365nails-divine-graffiti-3d-cross-graffiti-handmade-stiletto-nails","365nails: ""Divine Graffiti"" – 3D Cross &amp; Graffiti Handmade Stiletto Nails")</x:f>
        <x:v>HYPERLINK is not implemented. linkLocation=https://365nails.com/products/365nails-divine-graffiti-3d-cross-graffiti-handmade-stiletto-nails, friendlyName=365nails: "Divine Graffiti" – 3D Cross &amp; Graffiti Handmade Stiletto Nails</x:v>
      </x:c>
      <x:c r="D3692" s="18" t="str">
        <x:v>Size: XS / S / M / L</x:v>
      </x:c>
      <x:c r="E3692" s="25" t="str">
        <x:v>$3.99</x:v>
      </x:c>
      <x:c r="F3692" s="19" t="str">
        <x:v>5</x:v>
      </x:c>
    </x:row>
    <x:row r="3693" ht="93" customHeight="1">
      <x:c r="A3693" s="19" t="n">
        <x:v>3690</x:v>
      </x:c>
      <x:c r="B3693" s="22" t="e">
        <x:f>HYPERLINK("https://cdn.shopify.com/s/files/1/0918/6066/4603/files/O1CN01C9FWeP27ZUkDLx5Yi__2220024697811-0-cib.jpg?v=1774927833","Open")</x:f>
        <x:v>HYPERLINK is not implemented. linkLocation=https://cdn.shopify.com/s/files/1/0918/6066/4603/files/O1CN01C9FWeP27ZUkDLx5Yi__2220024697811-0-cib.jpg?v=1774927833, friendlyName=Open</x:v>
      </x:c>
      <x:c r="C3693" s="24" t="e">
        <x:f>HYPERLINK("https://365nails.com/products/365nails-ethereal-blooms-3d-floral-handmade-almond-nails","365nails: ""Ethereal Blooms"" – 3D Floral Handmade Almond Nails")</x:f>
        <x:v>HYPERLINK is not implemented. linkLocation=https://365nails.com/products/365nails-ethereal-blooms-3d-floral-handmade-almond-nails, friendlyName=365nails: "Ethereal Blooms" – 3D Floral Handmade Almond Nails</x:v>
      </x:c>
      <x:c r="D3693" s="18" t="str">
        <x:v>Color: Almond; Color classification: Xs / S / M / L</x:v>
      </x:c>
      <x:c r="E3693" s="25" t="str">
        <x:v>$4.49</x:v>
      </x:c>
      <x:c r="F3693" s="19" t="str">
        <x:v>3</x:v>
      </x:c>
    </x:row>
    <x:row r="3694" ht="93" customHeight="1">
      <x:c r="A3694" s="19" t="n">
        <x:v>3691</x:v>
      </x:c>
      <x:c r="B3694" s="22" t="e">
        <x:f>HYPERLINK("https://cdn.shopify.com/s/files/1/0918/6066/4603/files/O1CN01f1tGRn1CPwPlSVp52__2213196780074-0-cib.jpg?v=1774679248","Open")</x:f>
        <x:v>HYPERLINK is not implemented. linkLocation=https://cdn.shopify.com/s/files/1/0918/6066/4603/files/O1CN01f1tGRn1CPwPlSVp52__2213196780074-0-cib.jpg?v=1774679248, friendlyName=Open</x:v>
      </x:c>
      <x:c r="C3694" s="24" t="e">
        <x:f>HYPERLINK("https://365nails.com/products/365nails-gilded-reverie-3d-cross-glitter-handmade-square-nails","365nails: ""Gilded Reverie"" – 3D Cross &amp; Glitter Handmade Square Nails")</x:f>
        <x:v>HYPERLINK is not implemented. linkLocation=https://365nails.com/products/365nails-gilded-reverie-3d-cross-glitter-handmade-square-nails, friendlyName=365nails: "Gilded Reverie" – 3D Cross &amp; Glitter Handmade Square Nails</x:v>
      </x:c>
      <x:c r="D3694" s="18" t="str">
        <x:v>Color: 1846-super short ladder; Color classification: Extra small size xs / Small s / Medium m / Large l</x:v>
      </x:c>
      <x:c r="E3694" s="25" t="str">
        <x:v>$3.49</x:v>
      </x:c>
      <x:c r="F3694" s="19" t="str">
        <x:v>1</x:v>
      </x:c>
    </x:row>
    <x:row r="3695" ht="93" customHeight="1">
      <x:c r="A3695" s="19" t="n">
        <x:v>3692</x:v>
      </x:c>
      <x:c r="B3695" s="22" t="e">
        <x:f>HYPERLINK("https://cdn.shopify.com/s/files/1/0918/6066/4603/files/O1CN01K8WWkI27ZUmjrkiNu__2220024697811-0-cib_b89611f7-6b4b-4b1a-8396-edf29a20346b.jpg?v=1775040399","Open")</x:f>
        <x:v>HYPERLINK is not implemented. linkLocation=https://cdn.shopify.com/s/files/1/0918/6066/4603/files/O1CN01K8WWkI27ZUmjrkiNu__2220024697811-0-cib_b89611f7-6b4b-4b1a-8396-edf29a20346b.jpg?v=1775040399, friendlyName=Open</x:v>
      </x:c>
      <x:c r="C3695" s="24" t="e">
        <x:f>HYPERLINK("https://365nails.com/products/365nails-blooming-enchantment-3d-floral-leaf-handmade-almond-nails","365nails: ""Blooming Enchantment"" – 3D Floral &amp; Leaf Handmade Almond Nails")</x:f>
        <x:v>HYPERLINK is not implemented. linkLocation=https://365nails.com/products/365nails-blooming-enchantment-3d-floral-leaf-handmade-almond-nails, friendlyName=365nails: "Blooming Enchantment" – 3D Floral &amp; Leaf Handmade Almond Nails</x:v>
      </x:c>
      <x:c r="D3695" s="18" t="str">
        <x:v>Color: Long tip; Color classification: Xs / S / M / L</x:v>
      </x:c>
      <x:c r="E3695" s="25" t="str">
        <x:v>$5.49</x:v>
      </x:c>
      <x:c r="F3695" s="19" t="str">
        <x:v>3</x:v>
      </x:c>
    </x:row>
    <x:row r="3696" ht="93" customHeight="1">
      <x:c r="A3696" s="19" t="n">
        <x:v>3693</x:v>
      </x:c>
      <x:c r="B3696" s="22" t="e">
        <x:f>HYPERLINK("https://cdn.shopify.com/s/files/1/0918/6066/4603/files/O1CN01zupdPK27ZUkAE2b2v__2220024697811-0-cib.jpg?v=1775004488","Open")</x:f>
        <x:v>HYPERLINK is not implemented. linkLocation=https://cdn.shopify.com/s/files/1/0918/6066/4603/files/O1CN01zupdPK27ZUkAE2b2v__2220024697811-0-cib.jpg?v=1775004488, friendlyName=Open</x:v>
      </x:c>
      <x:c r="C3696" s="24" t="e">
        <x:f>HYPERLINK("https://365nails.com/products/365nails-pink-fantasy-3d-butterfly-handmade-stiletto-nails","365nails: ""Pink Fantasy"" – 3D Butterfly Handmade Stiletto Nails")</x:f>
        <x:v>HYPERLINK is not implemented. linkLocation=https://365nails.com/products/365nails-pink-fantasy-3d-butterfly-handmade-stiletto-nails, friendlyName=365nails: "Pink Fantasy" – 3D Butterfly Handmade Stiletto Nails</x:v>
      </x:c>
      <x:c r="D3696" s="18" t="str">
        <x:v>Color: Long tip; Color classification: Xs / S / M / L</x:v>
      </x:c>
      <x:c r="E3696" s="25" t="str">
        <x:v>$4.99</x:v>
      </x:c>
      <x:c r="F3696" s="19" t="str">
        <x:v>3</x:v>
      </x:c>
    </x:row>
    <x:row r="3697" ht="93" customHeight="1">
      <x:c r="A3697" s="19" t="n">
        <x:v>3694</x:v>
      </x:c>
      <x:c r="B3697" s="22" t="e">
        <x:f>HYPERLINK("https://cdn.shopify.com/s/files/1/0918/6066/4603/files/O1CN01oxxDDK27ZUlERxLEB__2220024697811-0-cib.jpg?v=1774961024","Open")</x:f>
        <x:v>HYPERLINK is not implemented. linkLocation=https://cdn.shopify.com/s/files/1/0918/6066/4603/files/O1CN01oxxDDK27ZUlERxLEB__2220024697811-0-cib.jpg?v=1774961024, friendlyName=Open</x:v>
      </x:c>
      <x:c r="C3697" s="24" t="e">
        <x:f>HYPERLINK("https://365nails.com/products/365nails-yuletide-magic-3d-christmas-handmade-almond-nails","365nails: ""Yuletide Magic"" – 3D Christmas Handmade Almond Nails")</x:f>
        <x:v>HYPERLINK is not implemented. linkLocation=https://365nails.com/products/365nails-yuletide-magic-3d-christmas-handmade-almond-nails, friendlyName=365nails: "Yuletide Magic" – 3D Christmas Handmade Almond Nails</x:v>
      </x:c>
      <x:c r="D3697" s="18" t="str">
        <x:v>Color: Almond; Color classification: Xs / S / M / L</x:v>
      </x:c>
      <x:c r="E3697" s="25" t="str">
        <x:v>$4.99</x:v>
      </x:c>
      <x:c r="F3697" s="19" t="str">
        <x:v>3</x:v>
      </x:c>
    </x:row>
    <x:row r="3698" ht="93" customHeight="1">
      <x:c r="A3698" s="19" t="n">
        <x:v>3695</x:v>
      </x:c>
      <x:c r="B3698" s="22" t="e">
        <x:f>HYPERLINK("https://cdn.shopify.com/s/files/1/0918/6066/4603/files/O1CN01bF4kAU2MQzgH8ETfU__2219089449823-0-cib.jpg?v=1774349021","Open")</x:f>
        <x:v>HYPERLINK is not implemented. linkLocation=https://cdn.shopify.com/s/files/1/0918/6066/4603/files/O1CN01bF4kAU2MQzgH8ETfU__2219089449823-0-cib.jpg?v=1774349021, friendlyName=Open</x:v>
      </x:c>
      <x:c r="C3698" s="24" t="e">
        <x:f>HYPERLINK("https://365nails.com/products/365nails-butterfly-daisy-bloom-extra-long-square-pink-yellow-french-handmade-press-on-nails","365nails: ""Butterfly Daisy Bloom"" – Extra Long Square Pink-Yellow French Handmade Press-On Nails")</x:f>
        <x:v>HYPERLINK is not implemented. linkLocation=https://365nails.com/products/365nails-butterfly-daisy-bloom-extra-long-square-pink-yellow-french-handmade-press-on-nails, friendlyName=365nails: "Butterfly Daisy Bloom" – Extra Long Square Pink-Yellow French Handmade Press-On Nails</x:v>
      </x:c>
      <x:c r="D3698" s="18" t="str">
        <x:v>Color: L016; Color classification: S / M / L</x:v>
      </x:c>
      <x:c r="E3698" s="25" t="str">
        <x:v>$4.99</x:v>
      </x:c>
      <x:c r="F3698" s="19" t="str">
        <x:v>1</x:v>
      </x:c>
    </x:row>
    <x:row r="3699" ht="93" customHeight="1">
      <x:c r="A3699" s="19" t="n">
        <x:v>3696</x:v>
      </x:c>
      <x:c r="B3699" s="22" t="e">
        <x:f>HYPERLINK("https://cdn.shopify.com/s/files/1/0918/6066/4603/files/O1CN01ypysYb2214vNElOoB__2219480337059-0-cib.jpg?v=1773320926","Open")</x:f>
        <x:v>HYPERLINK is not implemented. linkLocation=https://cdn.shopify.com/s/files/1/0918/6066/4603/files/O1CN01ypysYb2214vNElOoB__2219480337059-0-cib.jpg?v=1773320926, friendlyName=Open</x:v>
      </x:c>
      <x:c r="C3699" s="24" t="e">
        <x:f>HYPERLINK("https://365nails.com/products/365nails-powerpuff-girls-short-round-handmade-kids-press-on-nails","365nails: ""powerpuff girls"" – short round handmade kids press-on nails")</x:f>
        <x:v>HYPERLINK is not implemented. linkLocation=https://365nails.com/products/365nails-powerpuff-girls-short-round-handmade-kids-press-on-nails, friendlyName=365nails: "powerpuff girls" – short round handmade kids press-on nails</x:v>
      </x:c>
      <x:c r="D3699" s="18" t="str">
        <x:v>Color: 10092; Color classification: Xs (about 2 years old) / S (3-4 years old) / M (5-7 years old) / L (8-11 years old)</x:v>
      </x:c>
      <x:c r="E3699" s="25" t="str">
        <x:v>$2.99</x:v>
      </x:c>
      <x:c r="F3699" s="19" t="str">
        <x:v>3</x:v>
      </x:c>
    </x:row>
    <x:row r="3700" ht="93" customHeight="1">
      <x:c r="A3700" s="19" t="n">
        <x:v>3697</x:v>
      </x:c>
      <x:c r="B3700" s="22" t="e">
        <x:f>HYPERLINK("https://cdn.shopify.com/s/files/1/0918/6066/4603/files/O1CN01UHmV7127ZUlFPlewo__2220024697811-0-cib.jpg?v=1774864553","Open")</x:f>
        <x:v>HYPERLINK is not implemented. linkLocation=https://cdn.shopify.com/s/files/1/0918/6066/4603/files/O1CN01UHmV7127ZUlFPlewo__2220024697811-0-cib.jpg?v=1774864553, friendlyName=Open</x:v>
      </x:c>
      <x:c r="C3700" s="24" t="e">
        <x:f>HYPERLINK("https://365nails.com/products/365nails-golden-elegance-3d-pearl-lace-handmade-almond-nails","365nails: ""Golden Elegance"" – 3D Pearl &amp; Lace Handmade Almond Nails")</x:f>
        <x:v>HYPERLINK is not implemented. linkLocation=https://365nails.com/products/365nails-golden-elegance-3d-pearl-lace-handmade-almond-nails, friendlyName=365nails: "Golden Elegance" – 3D Pearl &amp; Lace Handmade Almond Nails</x:v>
      </x:c>
      <x:c r="D3700" s="18" t="str">
        <x:v>Color: Almond; Color classification: Xs / S / M / L</x:v>
      </x:c>
      <x:c r="E3700" s="25" t="str">
        <x:v>$4.49</x:v>
      </x:c>
      <x:c r="F3700" s="19" t="str">
        <x:v>3</x:v>
      </x:c>
    </x:row>
    <x:row r="3701" ht="93" customHeight="1">
      <x:c r="A3701" s="19" t="n">
        <x:v>3698</x:v>
      </x:c>
      <x:c r="B3701" s="22" t="e">
        <x:f>HYPERLINK("https://cdn.shopify.com/s/files/1/0918/6066/4603/files/O1CN01QAX6KG2MQzdYNRCj3__2219089449823-0-cib.jpg?v=1774010981","Open")</x:f>
        <x:v>HYPERLINK is not implemented. linkLocation=https://cdn.shopify.com/s/files/1/0918/6066/4603/files/O1CN01QAX6KG2MQzdYNRCj3__2219089449823-0-cib.jpg?v=1774010981, friendlyName=Open</x:v>
      </x:c>
      <x:c r="C3701" s="24" t="e">
        <x:f>HYPERLINK("https://365nails.com/products/lily-grace-pink-lily-leaf-almond-shape-handmade-3d-carved-press-on-nails","365nails-Lily Grace: ""Pink Lily Leaf"" – Almond Shape Handmade 3D Carved Press-On Nails")</x:f>
        <x:v>HYPERLINK is not implemented. linkLocation=https://365nails.com/products/lily-grace-pink-lily-leaf-almond-shape-handmade-3d-carved-press-on-nails, friendlyName=365nails-Lily Grace: "Pink Lily Leaf" – Almond Shape Handmade 3D Carved Press-On Nails</x:v>
      </x:c>
      <x:c r="D3701" s="18" t="str">
        <x:v>Color: D486; Color classification: X s / S / M / L</x:v>
      </x:c>
      <x:c r="E3701" s="25" t="str">
        <x:v>$3.99</x:v>
      </x:c>
      <x:c r="F3701" s="19" t="str">
        <x:v>1</x:v>
      </x:c>
    </x:row>
    <x:row r="3702" ht="93" customHeight="1">
      <x:c r="A3702" s="19" t="n">
        <x:v>3699</x:v>
      </x:c>
      <x:c r="B3702" s="22" t="e">
        <x:f>HYPERLINK("https://cdn.shopify.com/s/files/1/0918/6066/4603/files/O1CN017MvLHH29WrhthJTze__6000000008076-0-cib.jpg?v=1774010946","Open")</x:f>
        <x:v>HYPERLINK is not implemented. linkLocation=https://cdn.shopify.com/s/files/1/0918/6066/4603/files/O1CN017MvLHH29WrhthJTze__6000000008076-0-cib.jpg?v=1774010946, friendlyName=Open</x:v>
      </x:c>
      <x:c r="C3702" s="24" t="e">
        <x:f>HYPERLINK("https://365nails.com/products/island-night-seashell-flower-almond-shape-handmade-3d-carved-press-on-nails","365nails-Island Night: ""Seashell Flower"" – Almond Shape Handmade 3D Carved Press-On Nails")</x:f>
        <x:v>HYPERLINK is not implemented. linkLocation=https://365nails.com/products/island-night-seashell-flower-almond-shape-handmade-3d-carved-press-on-nails, friendlyName=365nails-Island Night: "Seashell Flower" – Almond Shape Handmade 3D Carved Press-On Nails</x:v>
      </x:c>
      <x:c r="D3702" s="18" t="str">
        <x:v>Color: D433; Color classification: X s / S / M / L</x:v>
      </x:c>
      <x:c r="E3702" s="25" t="str">
        <x:v>$3.99</x:v>
      </x:c>
      <x:c r="F3702" s="19" t="str">
        <x:v>1</x:v>
      </x:c>
    </x:row>
    <x:row r="3703" ht="93" customHeight="1">
      <x:c r="A3703" s="19" t="n">
        <x:v>3700</x:v>
      </x:c>
      <x:c r="B3703" s="22" t="e">
        <x:f>HYPERLINK("https://cdn.shopify.com/s/files/1/0918/6066/4603/files/99fbc4b3c855d1e7eb781874fd4542f2.jpg?v=1776169136","Open")</x:f>
        <x:v>HYPERLINK is not implemented. linkLocation=https://cdn.shopify.com/s/files/1/0918/6066/4603/files/99fbc4b3c855d1e7eb781874fd4542f2.jpg?v=1776169136, friendlyName=Open</x:v>
      </x:c>
      <x:c r="C3703" s="24" t="e">
        <x:f>HYPERLINK("https://365nails.com/products/365nails-gift-of-love-3d-bow-handmade-short-square-nails","365nails: ""Gift of Love"" – 3D Bow Handmade Short Square Nails")</x:f>
        <x:v>HYPERLINK is not implemented. linkLocation=https://365nails.com/products/365nails-gift-of-love-3d-bow-handmade-short-square-nails, friendlyName=365nails: "Gift of Love" – 3D Bow Handmade Short Square Nails</x:v>
      </x:c>
      <x:c r="D3703" s="18" t="str">
        <x:v>Size: XS / S / M / L</x:v>
      </x:c>
      <x:c r="E3703" s="25" t="str">
        <x:v>$1.99</x:v>
      </x:c>
      <x:c r="F3703" s="19" t="str">
        <x:v>3</x:v>
      </x:c>
    </x:row>
    <x:row r="3704" ht="93" customHeight="1">
      <x:c r="A3704" s="19" t="n">
        <x:v>3701</x:v>
      </x:c>
      <x:c r="B3704" s="22" t="e">
        <x:f>HYPERLINK("https://cdn.shopify.com/s/files/1/0918/6066/4603/files/O1CN01bbYHMk2214vik3xRH__2219480337059-0-cib.jpg?v=1773320893","Open")</x:f>
        <x:v>HYPERLINK is not implemented. linkLocation=https://cdn.shopify.com/s/files/1/0918/6066/4603/files/O1CN01bbYHMk2214vik3xRH__2219480337059-0-cib.jpg?v=1773320893, friendlyName=Open</x:v>
      </x:c>
      <x:c r="C3704" s="24" t="e">
        <x:f>HYPERLINK("https://365nails.com/products/365nails-fun-animal-city-short-round-handmade-kids-press-on-nails","365nails: ""fun animal city"" – short round handmade kids press-on nails")</x:f>
        <x:v>HYPERLINK is not implemented. linkLocation=https://365nails.com/products/365nails-fun-animal-city-short-round-handmade-kids-press-on-nails, friendlyName=365nails: "fun animal city" – short round handmade kids press-on nails</x:v>
      </x:c>
      <x:c r="D3704" s="18" t="str">
        <x:v>Color: 10322 animal city; Color classification: Xs (about 2 years old) / S (3-4 years old) / M (5-7 years old) / L (8-11 years old)</x:v>
      </x:c>
      <x:c r="E3704" s="25" t="str">
        <x:v>$2.99</x:v>
      </x:c>
      <x:c r="F3704" s="19" t="str">
        <x:v>3</x:v>
      </x:c>
    </x:row>
    <x:row r="3705" ht="93" customHeight="1">
      <x:c r="A3705" s="19" t="n">
        <x:v>3702</x:v>
      </x:c>
      <x:c r="B3705" s="22" t="e">
        <x:f>HYPERLINK("https://cdn.shopify.com/s/files/1/0918/6066/4603/files/O1CN01rrZaFD27ZUkC2A1wU__2220024697811-0-cib.jpg?v=1775004410","Open")</x:f>
        <x:v>HYPERLINK is not implemented. linkLocation=https://cdn.shopify.com/s/files/1/0918/6066/4603/files/O1CN01rrZaFD27ZUkC2A1wU__2220024697811-0-cib.jpg?v=1775004410, friendlyName=Open</x:v>
      </x:c>
      <x:c r="C3705" s="24" t="e">
        <x:f>HYPERLINK("https://365nails.com/products/365nails-midnight-bloom-3d-floral-handmade-stiletto-nails-1","365nails: ""Midnight Bloom"" – 3D Floral Handmade Stiletto Nails")</x:f>
        <x:v>HYPERLINK is not implemented. linkLocation=https://365nails.com/products/365nails-midnight-bloom-3d-floral-handmade-stiletto-nails-1, friendlyName=365nails: "Midnight Bloom" – 3D Floral Handmade Stiletto Nails</x:v>
      </x:c>
      <x:c r="D3705" s="18" t="str">
        <x:v>Color: Almond; Color classification: Xs / S / M / L</x:v>
      </x:c>
      <x:c r="E3705" s="25" t="str">
        <x:v>$5.49</x:v>
      </x:c>
      <x:c r="F3705" s="19" t="str">
        <x:v>3</x:v>
      </x:c>
    </x:row>
    <x:row r="3706" ht="93" customHeight="1">
      <x:c r="A3706" s="19" t="n">
        <x:v>3703</x:v>
      </x:c>
      <x:c r="B3706" s="22" t="e">
        <x:f>HYPERLINK("https://cdn.shopify.com/s/files/1/0918/6066/4603/files/O1CN01amk4gw1rlpNUBFw9s__2215158925672-0-cib_f6c80822-c928-410d-9cd6-cc9e82b4715f.jpg?v=1773224520","Open")</x:f>
        <x:v>HYPERLINK is not implemented. linkLocation=https://cdn.shopify.com/s/files/1/0918/6066/4603/files/O1CN01amk4gw1rlpNUBFw9s__2215158925672-0-cib_f6c80822-c928-410d-9cd6-cc9e82b4715f.jpg?v=1773224520, friendlyName=Open</x:v>
      </x:c>
      <x:c r="C3706" s="24" t="e">
        <x:f>HYPERLINK("https://365nails.com/products/365nails-winter-wonderland-short-square-handmade-press-on-nails","365nails: ""Winter Wonderland"" – Short Square Handmade Press-On Nails")</x:f>
        <x:v>HYPERLINK is not implemented. linkLocation=https://365nails.com/products/365nails-winter-wonderland-short-square-handmade-press-on-nails, friendlyName=365nails: "Winter Wonderland" – Short Square Handmade Press-On Nails</x:v>
      </x:c>
      <x:c r="D3706" s="18" t="str">
        <x:v>Color: Short round; Color classification: X s / S / M / L</x:v>
      </x:c>
      <x:c r="E3706" s="25" t="str">
        <x:v>$2.49</x:v>
      </x:c>
      <x:c r="F3706" s="19" t="str">
        <x:v>3</x:v>
      </x:c>
    </x:row>
    <x:row r="3707" ht="93" customHeight="1">
      <x:c r="A3707" s="19" t="n">
        <x:v>3704</x:v>
      </x:c>
      <x:c r="B3707" s="22" t="e">
        <x:f>HYPERLINK("https://cdn.shopify.com/s/files/1/0918/6066/4603/files/O1CN019v9x2L2MQzcUDlhAX__2219089449823-0-cib.jpg?v=1774349085","Open")</x:f>
        <x:v>HYPERLINK is not implemented. linkLocation=https://cdn.shopify.com/s/files/1/0918/6066/4603/files/O1CN019v9x2L2MQzcUDlhAX__2219089449823-0-cib.jpg?v=1774349085, friendlyName=Open</x:v>
      </x:c>
      <x:c r="C3707" s="24" t="e">
        <x:f>HYPERLINK("https://365nails.com/products/365nails-plum-sakura-noir-short-oval-plum-pink-floral-handmade-press-on-nails","365nails: ""Plum Sakura Noir"" – Short Oval Plum-Pink Floral Handmade Press-On Nails")</x:f>
        <x:v>HYPERLINK is not implemented. linkLocation=https://365nails.com/products/365nails-plum-sakura-noir-short-oval-plum-pink-floral-handmade-press-on-nails, friendlyName=365nails: "Plum Sakura Noir" – Short Oval Plum-Pink Floral Handmade Press-On Nails</x:v>
      </x:c>
      <x:c r="D3707" s="18" t="str">
        <x:v>Color: D302; Color classification: X s / S / M / L</x:v>
      </x:c>
      <x:c r="E3707" s="25" t="str">
        <x:v>$3.49</x:v>
      </x:c>
      <x:c r="F3707" s="19" t="str">
        <x:v>1</x:v>
      </x:c>
    </x:row>
    <x:row r="3708" ht="93" customHeight="1">
      <x:c r="A3708" s="19" t="n">
        <x:v>3705</x:v>
      </x:c>
      <x:c r="B3708" s="22" t="e">
        <x:f>HYPERLINK("https://cdn.shopify.com/s/files/1/0918/6066/4603/files/O1CN01wi7oey1CPwOINxJ5S__2213196780074-0-cib.jpg?v=1776646206","Open")</x:f>
        <x:v>HYPERLINK is not implemented. linkLocation=https://cdn.shopify.com/s/files/1/0918/6066/4603/files/O1CN01wi7oey1CPwOINxJ5S__2213196780074-0-cib.jpg?v=1776646206, friendlyName=Open</x:v>
      </x:c>
      <x:c r="C3708" s="24" t="e">
        <x:f>HYPERLINK("https://365nails.com/products/365nails-golden-hour-glitter-ombre-silver-flake-handmade-long-coffin-nails","365nails: ""Golden Hour"" – Glitter Ombré &amp; Silver Flake Handmade Long Coffin Nails")</x:f>
        <x:v>HYPERLINK is not implemented. linkLocation=https://365nails.com/products/365nails-golden-hour-glitter-ombre-silver-flake-handmade-long-coffin-nails, friendlyName=365nails: "Golden Hour" – Glitter Ombré &amp; Silver Flake Handmade Long Coffin Nails</x:v>
      </x:c>
      <x:c r="D3708" s="18" t="str">
        <x:v>Color: W171-long oval; Color classification: Xs / S / M / L</x:v>
      </x:c>
      <x:c r="E3708" s="25" t="str">
        <x:v>$2.49</x:v>
      </x:c>
      <x:c r="F3708" s="19" t="str">
        <x:v>1</x:v>
      </x:c>
    </x:row>
    <x:row r="3709" ht="93" customHeight="1">
      <x:c r="A3709" s="19" t="n">
        <x:v>3706</x:v>
      </x:c>
      <x:c r="B3709" s="22" t="e">
        <x:f>HYPERLINK("https://cdn.shopify.com/s/files/1/0918/6066/4603/files/d625258fcd7e70ba388265084b991b24.jpg?v=1776172981","Open")</x:f>
        <x:v>HYPERLINK is not implemented. linkLocation=https://cdn.shopify.com/s/files/1/0918/6066/4603/files/d625258fcd7e70ba388265084b991b24.jpg?v=1776172981, friendlyName=Open</x:v>
      </x:c>
      <x:c r="C3709" s="24" t="e">
        <x:f>HYPERLINK("https://365nails.com/products/365nails-cocoa-bunny-3d-character-bow-handmade-short-square-nails","365nails: ""Cocoa Bunny"" – 3D Character &amp; Bow Handmade Short Square Nails")</x:f>
        <x:v>HYPERLINK is not implemented. linkLocation=https://365nails.com/products/365nails-cocoa-bunny-3d-character-bow-handmade-short-square-nails, friendlyName=365nails: "Cocoa Bunny" – 3D Character &amp; Bow Handmade Short Square Nails</x:v>
      </x:c>
      <x:c r="D3709" s="18" t="str">
        <x:v>Size: XS / S / M / L</x:v>
      </x:c>
      <x:c r="E3709" s="25" t="str">
        <x:v>$1.99</x:v>
      </x:c>
      <x:c r="F3709" s="19" t="str">
        <x:v>3</x:v>
      </x:c>
    </x:row>
    <x:row r="3710" ht="93" customHeight="1">
      <x:c r="A3710" s="19" t="n">
        <x:v>3707</x:v>
      </x:c>
      <x:c r="B3710" s="22" t="e">
        <x:f>HYPERLINK("https://cdn.shopify.com/s/files/1/0918/6066/4603/files/O1CN01Tgty5G2214wSXKsgG__2219480337059-0-cib.jpg?v=1773824739","Open")</x:f>
        <x:v>HYPERLINK is not implemented. linkLocation=https://cdn.shopify.com/s/files/1/0918/6066/4603/files/O1CN01Tgty5G2214wSXKsgG__2219480337059-0-cib.jpg?v=1773824739, friendlyName=Open</x:v>
      </x:c>
      <x:c r="C3710" s="24" t="e">
        <x:f>HYPERLINK("https://365nails.com/products/chinese-lion-dance-kids-series-lucky-lion-doll-short-square-kids-nail-art","Chinese Lion Dance Kids Series: ""Lucky Lion &amp; Doll"" – Short Square Kids Nail Art")</x:f>
        <x:v>HYPERLINK is not implemented. linkLocation=https://365nails.com/products/chinese-lion-dance-kids-series-lucky-lion-doll-short-square-kids-nail-art, friendlyName=Chinese Lion Dance Kids Series: "Lucky Lion &amp; Doll" – Short Square Kids Nail Art</x:v>
      </x:c>
      <x:c r="D3710" s="18" t="str">
        <x:v>Color: Lion dance girl; Color classification: Xs (about 2 years old) / S (3-4 years old) / M (5-7 years old) / L (8-11 years old)</x:v>
      </x:c>
      <x:c r="E3710" s="25" t="str">
        <x:v>$2.99</x:v>
      </x:c>
      <x:c r="F3710" s="19" t="str">
        <x:v>3</x:v>
      </x:c>
    </x:row>
    <x:row r="3711" ht="93" customHeight="1">
      <x:c r="A3711" s="19" t="n">
        <x:v>3708</x:v>
      </x:c>
      <x:c r="B3711" s="22" t="e">
        <x:f>HYPERLINK("https://cdn.shopify.com/s/files/1/0918/6066/4603/files/8ea12604f3c790709f429fba65af0618.jpg?v=1776169259","Open")</x:f>
        <x:v>HYPERLINK is not implemented. linkLocation=https://cdn.shopify.com/s/files/1/0918/6066/4603/files/8ea12604f3c790709f429fba65af0618.jpg?v=1776169259, friendlyName=Open</x:v>
      </x:c>
      <x:c r="C3711" s="24" t="e">
        <x:f>HYPERLINK("https://365nails.com/products/365nails-love-letter-3d-heart-handmade-short-square-nails","365nails: ""Love Letter"" – 3D Heart Handmade Short Square Nails")</x:f>
        <x:v>HYPERLINK is not implemented. linkLocation=https://365nails.com/products/365nails-love-letter-3d-heart-handmade-short-square-nails, friendlyName=365nails: "Love Letter" – 3D Heart Handmade Short Square Nails</x:v>
      </x:c>
      <x:c r="D3711" s="18" t="str">
        <x:v>Size: XS / S / M / L</x:v>
      </x:c>
      <x:c r="E3711" s="25" t="str">
        <x:v>$1.99</x:v>
      </x:c>
      <x:c r="F3711" s="19" t="str">
        <x:v>3</x:v>
      </x:c>
    </x:row>
    <x:row r="3712" ht="93" customHeight="1">
      <x:c r="A3712" s="19" t="n">
        <x:v>3709</x:v>
      </x:c>
      <x:c r="B3712" s="22" t="e">
        <x:f>HYPERLINK("https://cdn.shopify.com/s/files/1/0918/6066/4603/files/O1CN01a0dZCe2MQzeUDZKfe__2219089449823-0-cib.jpg?v=1774453077","Open")</x:f>
        <x:v>HYPERLINK is not implemented. linkLocation=https://cdn.shopify.com/s/files/1/0918/6066/4603/files/O1CN01a0dZCe2MQzeUDZKfe__2219089449823-0-cib.jpg?v=1774453077, friendlyName=Open</x:v>
      </x:c>
      <x:c r="C3712" s="24" t="e">
        <x:f>HYPERLINK("https://365nails.com/products/tropical-bloom-exotic-petal-medium-almond-handmade-press-on-nails","Tropical Bloom: ""Exotic Petal"" – Medium Almond Handmade Press On Nails")</x:f>
        <x:v>HYPERLINK is not implemented. linkLocation=https://365nails.com/products/tropical-bloom-exotic-petal-medium-almond-handmade-press-on-nails, friendlyName=Tropical Bloom: "Exotic Petal" – Medium Almond Handmade Press On Nails</x:v>
      </x:c>
      <x:c r="D3712" s="18" t="str">
        <x:v>Color: D402; Color classification: X s / S / M / L</x:v>
      </x:c>
      <x:c r="E3712" s="25" t="str">
        <x:v>$3.49</x:v>
      </x:c>
      <x:c r="F3712" s="19" t="str">
        <x:v>1</x:v>
      </x:c>
    </x:row>
    <x:row r="3713" ht="93" customHeight="1">
      <x:c r="A3713" s="19" t="n">
        <x:v>3710</x:v>
      </x:c>
      <x:c r="B3713" s="22" t="e">
        <x:f>HYPERLINK("https://cdn.shopify.com/s/files/1/0918/6066/4603/files/O1CN01i4TOL72214tgJg0kP__2219480337059-0-cib.jpg?v=1773321043","Open")</x:f>
        <x:v>HYPERLINK is not implemented. linkLocation=https://cdn.shopify.com/s/files/1/0918/6066/4603/files/O1CN01i4TOL72214tgJg0kP__2219480337059-0-cib.jpg?v=1773321043, friendlyName=Open</x:v>
      </x:c>
      <x:c r="C3713" s="24" t="e">
        <x:f>HYPERLINK("https://365nails.com/products/365nails-polka-dot-kitty-melody-short-round-handmade-kids-press-on-nails","365nails: ""polka dot kitty &amp; melody"" – short round handmade kids press-on nails")</x:f>
        <x:v>HYPERLINK is not implemented. linkLocation=https://365nails.com/products/365nails-polka-dot-kitty-melody-short-round-handmade-kids-press-on-nails, friendlyName=365nails: "polka dot kitty &amp; melody" – short round handmade kids press-on nails</x:v>
      </x:c>
      <x:c r="D3713" s="18" t="str">
        <x:v>Color: Melody hello kitty; Color classification: Xs (about 2 years old) / S (3-4 years old) / M (5-7 years old) / L (8-11 years old)</x:v>
      </x:c>
      <x:c r="E3713" s="25" t="str">
        <x:v>$2.99</x:v>
      </x:c>
      <x:c r="F3713" s="19" t="str">
        <x:v>3</x:v>
      </x:c>
    </x:row>
    <x:row r="3714" ht="93" customHeight="1">
      <x:c r="A3714" s="19" t="n">
        <x:v>3711</x:v>
      </x:c>
      <x:c r="B3714" s="22" t="e">
        <x:f>HYPERLINK("https://cdn.shopify.com/s/files/1/0918/6066/4603/files/O1CN01IILFg62MQzdzSwKD3__2219089449823-0-cib.jpg?v=1774453025","Open")</x:f>
        <x:v>HYPERLINK is not implemented. linkLocation=https://cdn.shopify.com/s/files/1/0918/6066/4603/files/O1CN01IILFg62MQzdzSwKD3__2219089449823-0-cib.jpg?v=1774453025, friendlyName=Open</x:v>
      </x:c>
      <x:c r="C3714" s="24" t="e">
        <x:f>HYPERLINK("https://365nails.com/products/sapphire-berry-royal-heart-short-square-handmade-press-on-nails","Sapphire Berry: ""Royal Heart"" – Short Square Handmade Press On Nails")</x:f>
        <x:v>HYPERLINK is not implemented. linkLocation=https://365nails.com/products/sapphire-berry-royal-heart-short-square-handmade-press-on-nails, friendlyName=Sapphire Berry: "Royal Heart" – Short Square Handmade Press On Nails</x:v>
      </x:c>
      <x:c r="D3714" s="18" t="str">
        <x:v>Color: L257; Color classification: X s / S / M / L</x:v>
      </x:c>
      <x:c r="E3714" s="25" t="str">
        <x:v>$4.99</x:v>
      </x:c>
      <x:c r="F3714" s="19" t="str">
        <x:v>1</x:v>
      </x:c>
    </x:row>
    <x:row r="3715" ht="93" customHeight="1">
      <x:c r="A3715" s="19" t="n">
        <x:v>3712</x:v>
      </x:c>
      <x:c r="B3715" s="22" t="e">
        <x:f>HYPERLINK("https://cdn.shopify.com/s/files/1/0918/6066/4603/files/f171b8a121876dc8076d29f2c4d6c594.jpg?v=1776244592","Open")</x:f>
        <x:v>HYPERLINK is not implemented. linkLocation=https://cdn.shopify.com/s/files/1/0918/6066/4603/files/f171b8a121876dc8076d29f2c4d6c594.jpg?v=1776244592, friendlyName=Open</x:v>
      </x:c>
      <x:c r="C3715" s="24" t="e">
        <x:f>HYPERLINK("https://365nails.com/products/365nails-strawberry-bears-picnic-3d-character-handmade-short-nails","365nails: ""Strawberry Bear's Picnic"" – 3D Character Handmade Short Nails")</x:f>
        <x:v>HYPERLINK is not implemented. linkLocation=https://365nails.com/products/365nails-strawberry-bears-picnic-3d-character-handmade-short-nails, friendlyName=365nails: "Strawberry Bear's Picnic" – 3D Character Handmade Short Nails</x:v>
      </x:c>
      <x:c r="D3715" s="18" t="str">
        <x:v>Size: XS / S / M / L</x:v>
      </x:c>
      <x:c r="E3715" s="25" t="str">
        <x:v>$2.49</x:v>
      </x:c>
      <x:c r="F3715" s="19" t="str">
        <x:v>3</x:v>
      </x:c>
    </x:row>
    <x:row r="3716" ht="93" customHeight="1">
      <x:c r="A3716" s="19" t="n">
        <x:v>3713</x:v>
      </x:c>
      <x:c r="B3716" s="22" t="e">
        <x:f>HYPERLINK("https://cdn.shopify.com/s/files/1/0918/6066/4603/files/O1CN01eqIZo81CPwOWpcQuQ__2213196780074-0-cib.jpg?v=1776646281","Open")</x:f>
        <x:v>HYPERLINK is not implemented. linkLocation=https://cdn.shopify.com/s/files/1/0918/6066/4603/files/O1CN01eqIZo81CPwOWpcQuQ__2213196780074-0-cib.jpg?v=1776646281, friendlyName=Open</x:v>
      </x:c>
      <x:c r="C3716" s="24" t="e">
        <x:f>HYPERLINK("https://365nails.com/products/365nails-imperial-bloom-3d-red-gem-gold-leaf-handmade-long-coffin-nails","365nails: ""Imperial Bloom"" – 3D Red Gem &amp; Gold Leaf Handmade Long Coffin Nails")</x:f>
        <x:v>HYPERLINK is not implemented. linkLocation=https://365nails.com/products/365nails-imperial-bloom-3d-red-gem-gold-leaf-handmade-long-coffin-nails, friendlyName=365nails: "Imperial Bloom" – 3D Red Gem &amp; Gold Leaf Handmade Long Coffin Nails</x:v>
      </x:c>
      <x:c r="D3716" s="18" t="str">
        <x:v>Color: 3073-new china / 3075-middle ladder / 3077-long oval / 3079-fine dog tip; Color classification: Xs / S / M / L</x:v>
      </x:c>
      <x:c r="E3716" s="25" t="str">
        <x:v>$3.49</x:v>
      </x:c>
      <x:c r="F3716" s="19" t="str">
        <x:v>1</x:v>
      </x:c>
    </x:row>
    <x:row r="3717" ht="93" customHeight="1">
      <x:c r="A3717" s="19" t="n">
        <x:v>3714</x:v>
      </x:c>
      <x:c r="B3717" s="22" t="e">
        <x:f>HYPERLINK("https://cdn.shopify.com/s/files/1/0918/6066/4603/files/2d1d7cfa05c5b25d2d28b69d9f613f7c.jpg?v=1776245854","Open")</x:f>
        <x:v>HYPERLINK is not implemented. linkLocation=https://cdn.shopify.com/s/files/1/0918/6066/4603/files/2d1d7cfa05c5b25d2d28b69d9f613f7c.jpg?v=1776245854, friendlyName=Open</x:v>
      </x:c>
      <x:c r="C3717" s="24" t="e">
        <x:f>HYPERLINK("https://365nails.com/products/365nails-hello-kittys-tea-party-3d-character-handmade-short-nails","365nails: ""Hello Kitty's Tea Party"" – 3D Character Handmade Short Nails")</x:f>
        <x:v>HYPERLINK is not implemented. linkLocation=https://365nails.com/products/365nails-hello-kittys-tea-party-3d-character-handmade-short-nails, friendlyName=365nails: "Hello Kitty's Tea Party" – 3D Character Handmade Short Nails</x:v>
      </x:c>
      <x:c r="D3717" s="18" t="str">
        <x:v>Size: XS / S / M / L</x:v>
      </x:c>
      <x:c r="E3717" s="25" t="str">
        <x:v>$2.49</x:v>
      </x:c>
      <x:c r="F3717" s="19" t="str">
        <x:v>3</x:v>
      </x:c>
    </x:row>
    <x:row r="3718" ht="93" customHeight="1">
      <x:c r="A3718" s="19" t="n">
        <x:v>3715</x:v>
      </x:c>
      <x:c r="B3718" s="22" t="e">
        <x:f>HYPERLINK("https://cdn.shopify.com/s/files/1/0918/6066/4603/files/O1CN014losnp247bTKq0vt1__2209064737344-0-cib.jpg?v=1772976591","Open")</x:f>
        <x:v>HYPERLINK is not implemented. linkLocation=https://cdn.shopify.com/s/files/1/0918/6066/4603/files/O1CN014losnp247bTKq0vt1__2209064737344-0-cib.jpg?v=1772976591, friendlyName=Open</x:v>
      </x:c>
      <x:c r="C3718" s="24" t="e">
        <x:f>HYPERLINK("https://365nails.com/products/drama-collection-xl-pointed-extra-long-pointed-nail-tips","Drama Collection: ""XL Pointed"" – Extra Long Pointed Nail Tips")</x:f>
        <x:v>HYPERLINK is not implemented. linkLocation=https://365nails.com/products/drama-collection-xl-pointed-extra-long-pointed-nail-tips, friendlyName=Drama Collection: "XL Pointed" – Extra Long Pointed Nail Tips</x:v>
      </x:c>
      <x:c r="D3718" s="18" t="str">
        <x:v>Color classification: Transparent-boxed / Natural color-boxed</x:v>
      </x:c>
      <x:c r="E3718" s="25" t="str">
        <x:v>$2.69</x:v>
      </x:c>
      <x:c r="F3718" s="19" t="str">
        <x:v>3</x:v>
      </x:c>
    </x:row>
    <x:row r="3719" ht="93" customHeight="1">
      <x:c r="A3719" s="19" t="n">
        <x:v>3716</x:v>
      </x:c>
      <x:c r="B3719" s="22" t="e">
        <x:f>HYPERLINK("https://cdn.shopify.com/s/files/1/0918/6066/4603/files/O1CN01xPzlpB27ZUlv7RBAC__2220024697811-0-cib.jpg?v=1775105648","Open")</x:f>
        <x:v>HYPERLINK is not implemented. linkLocation=https://cdn.shopify.com/s/files/1/0918/6066/4603/files/O1CN01xPzlpB27ZUlv7RBAC__2220024697811-0-cib.jpg?v=1775105648, friendlyName=Open</x:v>
      </x:c>
      <x:c r="C3719" s="24" t="e">
        <x:f>HYPERLINK("https://365nails.com/products/365nails-crimson-bloom-3d-floral-glaze-handmade-press-on-nails-almond-nails","365nails: ""Crimson Bloom"" – 3D Floral &amp; Glaze Handmade Press on Nails Almond Nails")</x:f>
        <x:v>HYPERLINK is not implemented. linkLocation=https://365nails.com/products/365nails-crimson-bloom-3d-floral-glaze-handmade-press-on-nails-almond-nails, friendlyName=365nails: "Crimson Bloom" – 3D Floral &amp; Glaze Handmade Press on Nails Almond Nails</x:v>
      </x:c>
      <x:c r="D3719" s="18" t="str">
        <x:v>Color: Right angle; Color classification: Xs / S / M / L</x:v>
      </x:c>
      <x:c r="E3719" s="25" t="str">
        <x:v>$4.99</x:v>
      </x:c>
      <x:c r="F3719" s="19" t="str">
        <x:v>3</x:v>
      </x:c>
    </x:row>
    <x:row r="3720" ht="93" customHeight="1">
      <x:c r="A3720" s="19" t="n">
        <x:v>3717</x:v>
      </x:c>
      <x:c r="B3720" s="22" t="e">
        <x:f>HYPERLINK("https://cdn.shopify.com/s/files/1/0918/6066/4603/files/O1CN01LEXdZC2214sFHxOid__2219480337059-0-cib.jpg?v=1773321102","Open")</x:f>
        <x:v>HYPERLINK is not implemented. linkLocation=https://cdn.shopify.com/s/files/1/0918/6066/4603/files/O1CN01LEXdZC2214sFHxOid__2219480337059-0-cib.jpg?v=1773321102, friendlyName=Open</x:v>
      </x:c>
      <x:c r="C3720" s="24" t="e">
        <x:f>HYPERLINK("https://365nails.com/products/365nails-morning-dew-rose-fairy-short-round-handmade-kids-press-on-nails","365nails: ""morning dew rose fairy"" – short round handmade kids press-on nails")</x:f>
        <x:v>HYPERLINK is not implemented. linkLocation=https://365nails.com/products/365nails-morning-dew-rose-fairy-short-round-handmade-kids-press-on-nails, friendlyName=365nails: "morning dew rose fairy" – short round handmade kids press-on nails</x:v>
      </x:c>
      <x:c r="D3720" s="18" t="str">
        <x:v>Color: Camellia; Color classification: Xs (about 2 years old) / S (3-4 years old) / M (5-7 years old) / L (8-11 years old)</x:v>
      </x:c>
      <x:c r="E3720" s="25" t="str">
        <x:v>$2.99</x:v>
      </x:c>
      <x:c r="F3720" s="19" t="str">
        <x:v>3</x:v>
      </x:c>
    </x:row>
    <x:row r="3721" ht="93" customHeight="1">
      <x:c r="A3721" s="19" t="n">
        <x:v>3718</x:v>
      </x:c>
      <x:c r="B3721" s="22" t="e">
        <x:f>HYPERLINK("https://cdn.shopify.com/s/files/1/0918/6066/4603/files/O1CN01ijaCmC2MQzgIFbgTX__2219089449823-0-cib.jpg?v=1774349013","Open")</x:f>
        <x:v>HYPERLINK is not implemented. linkLocation=https://cdn.shopify.com/s/files/1/0918/6066/4603/files/O1CN01ijaCmC2MQzgIFbgTX__2219089449823-0-cib.jpg?v=1774349013, friendlyName=Open</x:v>
      </x:c>
      <x:c r="C3721" s="24" t="e">
        <x:f>HYPERLINK("https://365nails.com/products/365nails-pink-butterfly-glitter-extra-long-square-glittery-pink-butterfly-handmade-press-on-nails","365nails: ""Pink Butterfly Glitter"" – Extra Long Square Glittery Pink Butterfly Handmade Press-On Nails")</x:f>
        <x:v>HYPERLINK is not implemented. linkLocation=https://365nails.com/products/365nails-pink-butterfly-glitter-extra-long-square-glittery-pink-butterfly-handmade-press-on-nails, friendlyName=365nails: "Pink Butterfly Glitter" – Extra Long Square Glittery Pink Butterfly Handmade Press-On Nails</x:v>
      </x:c>
      <x:c r="D3721" s="18" t="str">
        <x:v>Color: L018; Color classification: S / M / L</x:v>
      </x:c>
      <x:c r="E3721" s="25" t="str">
        <x:v>$4.99</x:v>
      </x:c>
      <x:c r="F3721" s="19" t="str">
        <x:v>1</x:v>
      </x:c>
    </x:row>
    <x:row r="3722" ht="93" customHeight="1">
      <x:c r="A3722" s="19" t="n">
        <x:v>3719</x:v>
      </x:c>
      <x:c r="B3722" s="22" t="e">
        <x:f>HYPERLINK("https://cdn.shopify.com/s/files/1/0918/6066/4603/files/884c6d035c8041a6c8136e64206a4a70.jpg?v=1772976684","Open")</x:f>
        <x:v>HYPERLINK is not implemented. linkLocation=https://cdn.shopify.com/s/files/1/0918/6066/4603/files/884c6d035c8041a6c8136e64206a4a70.jpg?v=1772976684, friendlyName=Open</x:v>
      </x:c>
      <x:c r="C3722" s="24" t="e">
        <x:f>HYPERLINK("https://365nails.com/products/pro-multi-style-collection-premium-assorted-multi-style-premium-nail-tips","Pro Multi-Style Collection: ""Premium Assorted"" – Multi-Style Premium Nail Tips")</x:f>
        <x:v>HYPERLINK is not implemented. linkLocation=https://365nails.com/products/pro-multi-style-collection-premium-assorted-multi-style-premium-nail-tips, friendlyName=Pro Multi-Style Collection: "Premium Assorted" – Multi-Style Premium Nail Tips</x:v>
      </x:c>
      <x:c r="D3722" s="18" t="str">
        <x:v>Color: Ys-02 porcelain white-500 bags / Ys-02 ordinary-500 bags / Ys-02 natural-500 bags / Ys-20 transparent-500 bags / Ys-20 natural - 500 bags / Ys-34 transparent-600 bags / Ys-34 natural - 600 bags / Ys-61 porcelain white-600 bags / Ys-61 transparent-600 bags / Ys-62 transparent-500 bags / Ys-62 natural-500 bags / Ys-63 transparent-500 bags / Ys-63 natural - 500 bags / Ys-67 natural - 500 bags / Ys-69 transparent-500 bags / Ys-73 transparent-500 bags / Ys-74 transparent-504 bag / Ys-74 natural - 504 bags / Ys-88 transparent-504 bags / Ys-88 natural - 504 bags / Ys-90 transparent-504 bags / Ys-90 natural - 504 bags / Ys-92 transparent-504 bags / Ys-92 natural - 504 bags / Ys-111 natural - 504 bags / Ys-111 transparent-360 box / Ys-111 natural-360 boxed / Ys-112 transparent-360 boxed / Ys-112 natural-360 boxed / Ys-113 transparent-500 box / Ys-126 transparent-504 bags</x:v>
      </x:c>
      <x:c r="E3722" s="25" t="str">
        <x:v>$1.34–$3.14</x:v>
      </x:c>
      <x:c r="F3722" s="19" t="str">
        <x:v>3</x:v>
      </x:c>
    </x:row>
    <x:row r="3723" ht="93" customHeight="1">
      <x:c r="A3723" s="19" t="n">
        <x:v>3720</x:v>
      </x:c>
      <x:c r="B3723" s="22" t="e">
        <x:f>HYPERLINK("https://cdn.shopify.com/s/files/1/0918/6066/4603/files/O1CN01PqmSr527ZUlYUsfcT__2220024697811-0-cib.jpg?v=1774865778","Open")</x:f>
        <x:v>HYPERLINK is not implemented. linkLocation=https://cdn.shopify.com/s/files/1/0918/6066/4603/files/O1CN01PqmSr527ZUlYUsfcT__2220024697811-0-cib.jpg?v=1774865778, friendlyName=Open</x:v>
      </x:c>
      <x:c r="C3723" s="24" t="e">
        <x:f>HYPERLINK("https://365nails.com/products/365nails-candy-swirl-abstract-marble-handmade-stiletto-nails","365nails: ""Candy Swirl"" – Abstract Marble Handmade Stiletto Nails")</x:f>
        <x:v>HYPERLINK is not implemented. linkLocation=https://365nails.com/products/365nails-candy-swirl-abstract-marble-handmade-stiletto-nails, friendlyName=365nails: "Candy Swirl" – Abstract Marble Handmade Stiletto Nails</x:v>
      </x:c>
      <x:c r="D3723" s="18" t="str">
        <x:v>Color: Almond; Color classification: Xs / S / M / L</x:v>
      </x:c>
      <x:c r="E3723" s="25" t="str">
        <x:v>$4.49</x:v>
      </x:c>
      <x:c r="F3723" s="19" t="str">
        <x:v>3</x:v>
      </x:c>
    </x:row>
    <x:row r="3724" ht="93" customHeight="1">
      <x:c r="A3724" s="19" t="n">
        <x:v>3721</x:v>
      </x:c>
      <x:c r="B3724" s="22" t="e">
        <x:f>HYPERLINK("https://cdn.shopify.com/s/files/1/0918/6066/4603/files/O1CN010kjWQ72MQzevc1vOv__2219089449823-0-cib.jpg?v=1774178754","Open")</x:f>
        <x:v>HYPERLINK is not implemented. linkLocation=https://cdn.shopify.com/s/files/1/0918/6066/4603/files/O1CN010kjWQ72MQzevc1vOv__2219089449823-0-cib.jpg?v=1774178754, friendlyName=Open</x:v>
      </x:c>
      <x:c r="C3724" s="24" t="e">
        <x:f>HYPERLINK("https://365nails.com/products/cherry-blossom-gala-blossom-cherry-short-square-press-on-nails","Cherry Blossom Gala: ""Blossom Cherry"" – Short Square Press-On Nails")</x:f>
        <x:v>HYPERLINK is not implemented. linkLocation=https://365nails.com/products/cherry-blossom-gala-blossom-cherry-short-square-press-on-nails, friendlyName=Cherry Blossom Gala: "Blossom Cherry" – Short Square Press-On Nails</x:v>
      </x:c>
      <x:c r="D3724" s="18" t="str">
        <x:v>Color: L240; Color classification: X s / S / M / L</x:v>
      </x:c>
      <x:c r="E3724" s="25" t="str">
        <x:v>$4.99</x:v>
      </x:c>
      <x:c r="F3724" s="19" t="str">
        <x:v>1</x:v>
      </x:c>
    </x:row>
    <x:row r="3725" ht="93" customHeight="1">
      <x:c r="A3725" s="19" t="n">
        <x:v>3722</x:v>
      </x:c>
      <x:c r="B3725" s="22" t="e">
        <x:f>HYPERLINK("https://cdn.shopify.com/s/files/1/0918/6066/4603/files/bdc4e73cae80729077d8033f1f0f9b80.jpg?v=1778317608","Open")</x:f>
        <x:v>HYPERLINK is not implemented. linkLocation=https://cdn.shopify.com/s/files/1/0918/6066/4603/files/bdc4e73cae80729077d8033f1f0f9b80.jpg?v=1778317608, friendlyName=Open</x:v>
      </x:c>
      <x:c r="C3725" s="24" t="e">
        <x:f>HYPERLINK("https://365nails.com/products/365nails-gothic-angel-3d-bow-starburst-handmade-coffin-nails","365nails: ""Gothic Angel"" – 3D Bow &amp; Starburst Handmade Coffin Nails")</x:f>
        <x:v>HYPERLINK is not implemented. linkLocation=https://365nails.com/products/365nails-gothic-angel-3d-bow-starburst-handmade-coffin-nails, friendlyName=365nails: "Gothic Angel" – 3D Bow &amp; Starburst Handmade Coffin Nails</x:v>
      </x:c>
      <x:c r="D3725" s="18" t="str">
        <x:v>Size: XS / S / M / L</x:v>
      </x:c>
      <x:c r="E3725" s="25" t="str">
        <x:v>$3.99</x:v>
      </x:c>
      <x:c r="F3725" s="19" t="str">
        <x:v>5</x:v>
      </x:c>
    </x:row>
    <x:row r="3726" ht="93" customHeight="1">
      <x:c r="A3726" s="19" t="n">
        <x:v>3723</x:v>
      </x:c>
      <x:c r="B3726" s="22" t="e">
        <x:f>HYPERLINK("https://cdn.shopify.com/s/files/1/0918/6066/4603/files/bb140459420da3e1395a17459db6805d.jpg?v=1778317739","Open")</x:f>
        <x:v>HYPERLINK is not implemented. linkLocation=https://cdn.shopify.com/s/files/1/0918/6066/4603/files/bb140459420da3e1395a17459db6805d.jpg?v=1778317739, friendlyName=Open</x:v>
      </x:c>
      <x:c r="C3726" s="24" t="e">
        <x:f>HYPERLINK("https://365nails.com/products/365nails-glittering-dream-chunky-silver-glitter-pink-french-tip-handmade-square-nails","365nails: ""Glittering Dream"" – Chunky Silver Glitter &amp; Pink French Tip Handmade Square Nails")</x:f>
        <x:v>HYPERLINK is not implemented. linkLocation=https://365nails.com/products/365nails-glittering-dream-chunky-silver-glitter-pink-french-tip-handmade-square-nails, friendlyName=365nails: "Glittering Dream" – Chunky Silver Glitter &amp; Pink French Tip Handmade Square Nails</x:v>
      </x:c>
      <x:c r="D3726" s="18" t="str">
        <x:v>Size: XS / S / M / L</x:v>
      </x:c>
      <x:c r="E3726" s="25" t="str">
        <x:v>$3.99</x:v>
      </x:c>
      <x:c r="F3726" s="19" t="str">
        <x:v>5</x:v>
      </x:c>
    </x:row>
    <x:row r="3727" ht="93" customHeight="1">
      <x:c r="A3727" s="19" t="n">
        <x:v>3724</x:v>
      </x:c>
      <x:c r="B3727" s="22" t="e">
        <x:f>HYPERLINK("https://cdn.shopify.com/s/files/1/0918/6066/4603/files/O1CN018JVWao27ZUkmlQbsV__2220024697811-0-cib.jpg?v=1775108445","Open")</x:f>
        <x:v>HYPERLINK is not implemented. linkLocation=https://cdn.shopify.com/s/files/1/0918/6066/4603/files/O1CN018JVWao27ZUkmlQbsV__2220024697811-0-cib.jpg?v=1775108445, friendlyName=Open</x:v>
      </x:c>
      <x:c r="C3727" s="24" t="e">
        <x:f>HYPERLINK("https://365nails.com/products/365nails-ivory-garden-3d-floral-handmade-short-almond-nails","365nails: ""Ivory Garden"" – 3D Floral Handmade Short Almond Nails")</x:f>
        <x:v>HYPERLINK is not implemented. linkLocation=https://365nails.com/products/365nails-ivory-garden-3d-floral-handmade-short-almond-nails, friendlyName=365nails: "Ivory Garden" – 3D Floral Handmade Short Almond Nails</x:v>
      </x:c>
      <x:c r="D3727" s="18" t="str">
        <x:v>Color: Almond; Color classification: Xs / S / M / L</x:v>
      </x:c>
      <x:c r="E3727" s="25" t="str">
        <x:v>$4.49</x:v>
      </x:c>
      <x:c r="F3727" s="19" t="str">
        <x:v>3</x:v>
      </x:c>
    </x:row>
    <x:row r="3728" ht="93" customHeight="1">
      <x:c r="A3728" s="19" t="n">
        <x:v>3725</x:v>
      </x:c>
      <x:c r="B3728" s="22" t="e">
        <x:f>HYPERLINK("https://cdn.shopify.com/s/files/1/0918/6066/4603/files/O1CN01p0ipDX2MQzdEDJXzn__2219089449823-0-cib_be0f2120-dfaa-43c7-bed8-b108701eb8d7.jpg?v=1774066208","Open")</x:f>
        <x:v>HYPERLINK is not implemented. linkLocation=https://cdn.shopify.com/s/files/1/0918/6066/4603/files/O1CN01p0ipDX2MQzdEDJXzn__2219089449823-0-cib_be0f2120-dfaa-43c7-bed8-b108701eb8d7.jpg?v=1774066208, friendlyName=Open</x:v>
      </x:c>
      <x:c r="C3728" s="24" t="e">
        <x:f>HYPERLINK("https://365nails.com/products/seaside-dream-cloisonne-bloom-almond-shape-handmade-3d-carved-press-on-nails","365nails-Seaside Dream: ""Cloisonné Bloom"" – Almond Shape Handmade 3D Carved Press-On Nails")</x:f>
        <x:v>HYPERLINK is not implemented. linkLocation=https://365nails.com/products/seaside-dream-cloisonne-bloom-almond-shape-handmade-3d-carved-press-on-nails, friendlyName=365nails-Seaside Dream: "Cloisonné Bloom" – Almond Shape Handmade 3D Carved Press-On Nails</x:v>
      </x:c>
      <x:c r="D3728" s="18" t="str">
        <x:v>Color: D469; Color classification: X s / S / M / L</x:v>
      </x:c>
      <x:c r="E3728" s="25" t="str">
        <x:v>$3.99</x:v>
      </x:c>
      <x:c r="F3728" s="19" t="str">
        <x:v>1</x:v>
      </x:c>
    </x:row>
    <x:row r="3729" ht="93" customHeight="1">
      <x:c r="A3729" s="19" t="n">
        <x:v>3726</x:v>
      </x:c>
      <x:c r="B3729" s="22" t="e">
        <x:f>HYPERLINK("https://cdn.shopify.com/s/files/1/0918/6066/4603/files/O1CN01XdJZ7j2NGHrKIQs8z__4234819935-0-cib_480ab794-87b6-4aac-adc5-c13a62382bb7.jpg?v=1761289766","Open")</x:f>
        <x:v>HYPERLINK is not implemented. linkLocation=https://cdn.shopify.com/s/files/1/0918/6066/4603/files/O1CN01XdJZ7j2NGHrKIQs8z__4234819935-0-cib_480ab794-87b6-4aac-adc5-c13a62382bb7.jpg?v=1761289766, friendlyName=Open</x:v>
      </x:c>
      <x:c r="C3729" s="24" t="e">
        <x:f>HYPERLINK("https://365nails.com/products/2024-new-pink-solid-color-manicure-short-square-wearing-nail-piece-wholesale-internet-celebrity-explosion-coated-fake-nails","Pink solid color manicure short square wearing nail piece wholesale Internet celebrity explosion coated fake nails")</x:f>
        <x:v>HYPERLINK is not implemented. linkLocation=https://365nails.com/products/2024-new-pink-solid-color-manicure-short-square-wearing-nail-piece-wholesale-internet-celebrity-explosion-coated-fake-nails, friendlyName=Pink solid color manicure short square wearing nail piece wholesale Internet celebrity explosion coated fake nails</x:v>
      </x:c>
      <x:c r="D3729" s="18" t="str">
        <x:v>Color: JP3246</x:v>
      </x:c>
      <x:c r="E3729" s="25" t="str">
        <x:v>$1.10</x:v>
      </x:c>
      <x:c r="F3729" s="19" t="str">
        <x:v>1</x:v>
      </x:c>
    </x:row>
    <x:row r="3730" ht="93" customHeight="1">
      <x:c r="A3730" s="19" t="n">
        <x:v>3727</x:v>
      </x:c>
      <x:c r="B3730" s="22" t="e">
        <x:f>HYPERLINK("https://cdn.shopify.com/s/files/1/0918/6066/4603/files/O1CN01U7xT1Z1CPw5miH8BI__2213196780074-0-cib.jpg?v=1774610567","Open")</x:f>
        <x:v>HYPERLINK is not implemented. linkLocation=https://cdn.shopify.com/s/files/1/0918/6066/4603/files/O1CN01U7xT1Z1CPw5miH8BI__2213196780074-0-cib.jpg?v=1774610567, friendlyName=Open</x:v>
      </x:c>
      <x:c r="C3730" s="24" t="e">
        <x:f>HYPERLINK("https://365nails.com/products/365nails-withered-rose-hand-painted-floral-matte-handmade-coffin-nails","365nails: ""Withered Rose"" – Hand-painted Floral Matte Handmade Coffin Nails")</x:f>
        <x:v>HYPERLINK is not implemented. linkLocation=https://365nails.com/products/365nails-withered-rose-hand-painted-floral-matte-handmade-coffin-nails, friendlyName=365nails: "Withered Rose" – Hand-painted Floral Matte Handmade Coffin Nails</x:v>
      </x:c>
      <x:c r="D3730" s="18" t="str">
        <x:v>Color: Extra small size xs / Small s / Medium m / Large l; Specification type: Handmade roses</x:v>
      </x:c>
      <x:c r="E3730" s="25" t="str">
        <x:v>$3.49</x:v>
      </x:c>
      <x:c r="F3730" s="19" t="str">
        <x:v>1</x:v>
      </x:c>
    </x:row>
    <x:row r="3731" ht="93" customHeight="1">
      <x:c r="A3731" s="19" t="n">
        <x:v>3728</x:v>
      </x:c>
      <x:c r="B3731" s="22" t="e">
        <x:f>HYPERLINK("https://cdn.shopify.com/s/files/1/0918/6066/4603/files/O1CN01rQyF531CPwIYYAG4Q__2213196780074-0-cib_580e5801-1cc4-4bc0-8a1f-532c1089a7c4.jpg?v=1776741661","Open")</x:f>
        <x:v>HYPERLINK is not implemented. linkLocation=https://cdn.shopify.com/s/files/1/0918/6066/4603/files/O1CN01rQyF531CPwIYYAG4Q__2213196780074-0-cib_580e5801-1cc4-4bc0-8a1f-532c1089a7c4.jpg?v=1776741661, friendlyName=Open</x:v>
      </x:c>
      <x:c r="C3731" s="24" t="e">
        <x:f>HYPERLINK("https://365nails.com/products/365nails-golden-hour-glam-3d-bow-leopard-print-handmade-coffin-nails","365nails: ""Golden Hour Glam"" – 3D Bow &amp; Leopard Print Handmade Coffin Nails")</x:f>
        <x:v>HYPERLINK is not implemented. linkLocation=https://365nails.com/products/365nails-golden-hour-glam-3d-bow-leopard-print-handmade-coffin-nails, friendlyName=365nails: "Golden Hour Glam" – 3D Bow &amp; Leopard Print Handmade Coffin Nails</x:v>
      </x:c>
      <x:c r="D3731" s="18" t="str">
        <x:v>Color: 2239-duckbill armor; Color classification: Extra small size xs / Small s / Medium m / Large l</x:v>
      </x:c>
      <x:c r="E3731" s="25" t="str">
        <x:v>$3.99</x:v>
      </x:c>
      <x:c r="F3731" s="19" t="str">
        <x:v>1</x:v>
      </x:c>
    </x:row>
    <x:row r="3732" ht="93" customHeight="1">
      <x:c r="A3732" s="19" t="n">
        <x:v>3729</x:v>
      </x:c>
      <x:c r="B3732" s="22" t="e">
        <x:f>HYPERLINK("https://cdn.shopify.com/s/files/1/0918/6066/4603/files/O1CN01Qo9nna2MQzdibOig4__2219089449823-0-cib.jpg?v=1774011051","Open")</x:f>
        <x:v>HYPERLINK is not implemented. linkLocation=https://cdn.shopify.com/s/files/1/0918/6066/4603/files/O1CN01Qo9nna2MQzdibOig4__2219089449823-0-cib.jpg?v=1774011051, friendlyName=Open</x:v>
      </x:c>
      <x:c r="C3732" s="24" t="e">
        <x:f>HYPERLINK("https://365nails.com/products/cherry-blossom-fruity-floral-almond-shape-handmade-3d-carved-press-on-nails","365nails-Cherry Blossom: ""Fruity Floral"" – Almond Shape Handmade 3D Carved Press-On Nails")</x:f>
        <x:v>HYPERLINK is not implemented. linkLocation=https://365nails.com/products/cherry-blossom-fruity-floral-almond-shape-handmade-3d-carved-press-on-nails, friendlyName=365nails-Cherry Blossom: "Fruity Floral" – Almond Shape Handmade 3D Carved Press-On Nails</x:v>
      </x:c>
      <x:c r="D3732" s="18" t="str">
        <x:v>Color: D500s; Color classification: X s / S / M / L</x:v>
      </x:c>
      <x:c r="E3732" s="25" t="str">
        <x:v>$3.99</x:v>
      </x:c>
      <x:c r="F3732" s="19" t="str">
        <x:v>5</x:v>
      </x:c>
    </x:row>
    <x:row r="3733" ht="93" customHeight="1">
      <x:c r="A3733" s="19" t="n">
        <x:v>3730</x:v>
      </x:c>
      <x:c r="B3733" s="22" t="e">
        <x:f>HYPERLINK("https://cdn.shopify.com/s/files/1/0918/6066/4603/files/O1CN01dxbrJP27ZUmgsIi1M__2220024697811-0-cib.jpg?v=1775111366","Open")</x:f>
        <x:v>HYPERLINK is not implemented. linkLocation=https://cdn.shopify.com/s/files/1/0918/6066/4603/files/O1CN01dxbrJP27ZUmgsIi1M__2220024697811-0-cib.jpg?v=1775111366, friendlyName=Open</x:v>
      </x:c>
      <x:c r="C3733" s="24" t="e">
        <x:f>HYPERLINK("https://365nails.com/products/365nails-sweet-pop-3d-cartoon-dots-handmade-medium-stiletto-nails","365nails: ""Sweet Pop"" – 3D Cartoon &amp; Dots Handmade Medium Stiletto Nails")</x:f>
        <x:v>HYPERLINK is not implemented. linkLocation=https://365nails.com/products/365nails-sweet-pop-3d-cartoon-dots-handmade-medium-stiletto-nails, friendlyName=365nails: "Sweet Pop" – 3D Cartoon &amp; Dots Handmade Medium Stiletto Nails</x:v>
      </x:c>
      <x:c r="D3733" s="18" t="str">
        <x:v>Color: Almond; Color classification: Xs / S / M / L</x:v>
      </x:c>
      <x:c r="E3733" s="25" t="str">
        <x:v>$4.99</x:v>
      </x:c>
      <x:c r="F3733" s="19" t="str">
        <x:v>3</x:v>
      </x:c>
    </x:row>
    <x:row r="3734" ht="93" customHeight="1">
      <x:c r="A3734" s="19" t="n">
        <x:v>3731</x:v>
      </x:c>
      <x:c r="B3734" s="22" t="e">
        <x:f>HYPERLINK("https://cdn.shopify.com/s/files/1/0918/6066/4603/files/166abe3141c185f0fa0f3772fb1fc525.jpg?v=1777726535","Open")</x:f>
        <x:v>HYPERLINK is not implemented. linkLocation=https://cdn.shopify.com/s/files/1/0918/6066/4603/files/166abe3141c185f0fa0f3772fb1fc525.jpg?v=1777726535, friendlyName=Open</x:v>
      </x:c>
      <x:c r="C3734" s="24" t="e">
        <x:f>HYPERLINK("https://365nails.com/products/365nails-iridescent-dreams-3d-crystal-rhinestone-handmade-almond-nails","365nails: ""Iridescent Dreams"" – 3D Crystal &amp; Rhinestone Handmade Almond Nails")</x:f>
        <x:v>HYPERLINK is not implemented. linkLocation=https://365nails.com/products/365nails-iridescent-dreams-3d-crystal-rhinestone-handmade-almond-nails, friendlyName=365nails: "Iridescent Dreams" – 3D Crystal &amp; Rhinestone Handmade Almond Nails</x:v>
      </x:c>
      <x:c r="D3734" s="18" t="str">
        <x:v>Size: XS / S / M / L</x:v>
      </x:c>
      <x:c r="E3734" s="25" t="str">
        <x:v>$5.99</x:v>
      </x:c>
      <x:c r="F3734" s="19" t="str">
        <x:v>5</x:v>
      </x:c>
    </x:row>
    <x:row r="3735" ht="93" customHeight="1">
      <x:c r="A3735" s="19" t="n">
        <x:v>3732</x:v>
      </x:c>
      <x:c r="B3735" s="22" t="e">
        <x:f>HYPERLINK("https://cdn.shopify.com/s/files/1/0918/6066/4603/files/O1CN01m2SGxw2MQzfRceGCl__2219089449823-0-cib.jpg?v=1774258011","Open")</x:f>
        <x:v>HYPERLINK is not implemented. linkLocation=https://cdn.shopify.com/s/files/1/0918/6066/4603/files/O1CN01m2SGxw2MQzfRceGCl__2219089449823-0-cib.jpg?v=1774258011, friendlyName=Open</x:v>
      </x:c>
      <x:c r="C3735" s="24" t="e">
        <x:f>HYPERLINK("https://365nails.com/products/sunny-cherry-yellow-stripe-cherry-square-shape-handmade-press-on-nails","Sunny Cherry: ""Yellow Stripe Cherry"" – Square Shape Handmade Press-On Nails")</x:f>
        <x:v>HYPERLINK is not implemented. linkLocation=https://365nails.com/products/sunny-cherry-yellow-stripe-cherry-square-shape-handmade-press-on-nails, friendlyName=Sunny Cherry: "Yellow Stripe Cherry" – Square Shape Handmade Press-On Nails</x:v>
      </x:c>
      <x:c r="D3735" s="18" t="str">
        <x:v>Color: D336; Color classification: X s / S / M / L</x:v>
      </x:c>
      <x:c r="E3735" s="25" t="str">
        <x:v>$3.49</x:v>
      </x:c>
      <x:c r="F3735" s="19" t="str">
        <x:v>1</x:v>
      </x:c>
    </x:row>
    <x:row r="3736" ht="93" customHeight="1">
      <x:c r="A3736" s="19" t="n">
        <x:v>3733</x:v>
      </x:c>
      <x:c r="B3736" s="22" t="e">
        <x:f>HYPERLINK("https://cdn.shopify.com/s/files/1/0918/6066/4603/files/O1CN01j7Wgr027ZUmRHrzeN__2220024697811-0-cib.jpg?v=1774863704","Open")</x:f>
        <x:v>HYPERLINK is not implemented. linkLocation=https://cdn.shopify.com/s/files/1/0918/6066/4603/files/O1CN01j7Wgr027ZUmRHrzeN__2220024697811-0-cib.jpg?v=1774863704, friendlyName=Open</x:v>
      </x:c>
      <x:c r="C3736" s="24" t="e">
        <x:f>HYPERLINK("https://365nails.com/products/365nails-jeweled-garden-3d-floral-crystal-handmade-coffin-nails","365nails: ""Jeweled Garden"" – 3D Floral &amp; Crystal Handmade Coffin Nails")</x:f>
        <x:v>HYPERLINK is not implemented. linkLocation=https://365nails.com/products/365nails-jeweled-garden-3d-floral-crystal-handmade-coffin-nails, friendlyName=365nails: "Jeweled Garden" – 3D Floral &amp; Crystal Handmade Coffin Nails</x:v>
      </x:c>
      <x:c r="D3736" s="18" t="str">
        <x:v>Color: European; Color classification: S / M / L</x:v>
      </x:c>
      <x:c r="E3736" s="25" t="str">
        <x:v>$4.49</x:v>
      </x:c>
      <x:c r="F3736" s="19" t="str">
        <x:v>3</x:v>
      </x:c>
    </x:row>
    <x:row r="3737" ht="93" customHeight="1">
      <x:c r="A3737" s="19" t="n">
        <x:v>3734</x:v>
      </x:c>
      <x:c r="B3737" s="22" t="e">
        <x:f>HYPERLINK("https://cdn.shopify.com/s/files/1/0918/6066/4603/files/O1CN01e7ECMv2MQzeMGw9Bi__2219089449823-0-cib.jpg?v=1774453055","Open")</x:f>
        <x:v>HYPERLINK is not implemented. linkLocation=https://cdn.shopify.com/s/files/1/0918/6066/4603/files/O1CN01e7ECMv2MQzeMGw9Bi__2219089449823-0-cib.jpg?v=1774453055, friendlyName=Open</x:v>
      </x:c>
      <x:c r="C3737" s="24" t="e">
        <x:f>HYPERLINK("https://365nails.com/products/coastal-breeze-seashell-bloom-medium-almond-handmade-press-on-nails","Coastal Breeze: ""Seashell Bloom"" – Medium Almond Handmade Press On Nails")</x:f>
        <x:v>HYPERLINK is not implemented. linkLocation=https://365nails.com/products/coastal-breeze-seashell-bloom-medium-almond-handmade-press-on-nails, friendlyName=Coastal Breeze: "Seashell Bloom" – Medium Almond Handmade Press On Nails</x:v>
      </x:c>
      <x:c r="D3737" s="18" t="str">
        <x:v>Color: D553; Color classification: X s / S / M / L</x:v>
      </x:c>
      <x:c r="E3737" s="25" t="str">
        <x:v>$3.49</x:v>
      </x:c>
      <x:c r="F3737" s="19" t="str">
        <x:v>1</x:v>
      </x:c>
    </x:row>
    <x:row r="3738" ht="93" customHeight="1">
      <x:c r="A3738" s="19" t="n">
        <x:v>3735</x:v>
      </x:c>
      <x:c r="B3738" s="22" t="e">
        <x:f>HYPERLINK("https://cdn.shopify.com/s/files/1/0918/6066/4603/files/O1CN01eTYeSS2MQzdEq6ak7__2219089449823-0-cib.jpg?v=1774349080","Open")</x:f>
        <x:v>HYPERLINK is not implemented. linkLocation=https://cdn.shopify.com/s/files/1/0918/6066/4603/files/O1CN01eTYeSS2MQzdEq6ak7__2219089449823-0-cib.jpg?v=1774349080, friendlyName=Open</x:v>
      </x:c>
      <x:c r="C3738" s="24" t="e">
        <x:f>HYPERLINK("https://365nails.com/products/365nails-spring-bunny-strawberry-medium-almond-cartoon-fruit-floral-handmade-press-on-nails","365nails: ""Spring Bunny &amp; Strawberry"" – Medium Almond Cartoon Fruit Floral Handmade Press-On Nails")</x:f>
        <x:v>HYPERLINK is not implemented. linkLocation=https://365nails.com/products/365nails-spring-bunny-strawberry-medium-almond-cartoon-fruit-floral-handmade-press-on-nails, friendlyName=365nails: "Spring Bunny &amp; Strawberry" – Medium Almond Cartoon Fruit Floral Handmade Press-On Nails</x:v>
      </x:c>
      <x:c r="D3738" s="18" t="str">
        <x:v>Color: D334; Color classification: X s / S / M / L</x:v>
      </x:c>
      <x:c r="E3738" s="25" t="str">
        <x:v>$3.49</x:v>
      </x:c>
      <x:c r="F3738" s="19" t="str">
        <x:v>1</x:v>
      </x:c>
    </x:row>
    <x:row r="3739" ht="93" customHeight="1">
      <x:c r="A3739" s="19" t="n">
        <x:v>3736</x:v>
      </x:c>
      <x:c r="B3739" s="22" t="e">
        <x:f>HYPERLINK("https://cdn.shopify.com/s/files/1/0918/6066/4603/files/O1CN01yMa2Fr2MQzdHkBviP__2219089449823-0-cib.jpg?v=1774010901","Open")</x:f>
        <x:v>HYPERLINK is not implemented. linkLocation=https://cdn.shopify.com/s/files/1/0918/6066/4603/files/O1CN01yMa2Fr2MQzdHkBviP__2219089449823-0-cib.jpg?v=1774010901, friendlyName=Open</x:v>
      </x:c>
      <x:c r="C3739" s="24" t="e">
        <x:f>HYPERLINK("https://365nails.com/products/spring-bloom-colorful-floral-alslmond-shape-handmade-3d-carved-press-on-nai","365nails-Spring Bloom: ""Colorful Floral"" – Alslmond Shape Handmade 3D Carved Press-On Nai")</x:f>
        <x:v>HYPERLINK is not implemented. linkLocation=https://365nails.com/products/spring-bloom-colorful-floral-alslmond-shape-handmade-3d-carved-press-on-nai, friendlyName=365nails-Spring Bloom: "Colorful Floral" – Alslmond Shape Handmade 3D Carved Press-On Nai</x:v>
      </x:c>
      <x:c r="D3739" s="18" t="str">
        <x:v>Color: D459; Color classification: X s / S / M / L</x:v>
      </x:c>
      <x:c r="E3739" s="25" t="str">
        <x:v>$3.99</x:v>
      </x:c>
      <x:c r="F3739" s="19" t="str">
        <x:v>1</x:v>
      </x:c>
    </x:row>
    <x:row r="3740" ht="93" customHeight="1">
      <x:c r="A3740" s="19" t="n">
        <x:v>3737</x:v>
      </x:c>
      <x:c r="B3740" s="22" t="e">
        <x:f>HYPERLINK("https://cdn.shopify.com/s/files/1/0918/6066/4603/files/O1CN01UiSayG1CPwLwXaQLD__2213196780074-0-cib_181e46f9-9835-4e79-92e8-5013209b230e.jpg?v=1776603154","Open")</x:f>
        <x:v>HYPERLINK is not implemented. linkLocation=https://cdn.shopify.com/s/files/1/0918/6066/4603/files/O1CN01UiSayG1CPwLwXaQLD__2213196780074-0-cib_181e46f9-9835-4e79-92e8-5013209b230e.jpg?v=1776603154, friendlyName=Open</x:v>
      </x:c>
      <x:c r="C3740" s="24" t="e">
        <x:f>HYPERLINK("https://365nails.com/products/365nails-sweet-dreams-3d-candy-bow-handmade-almond-nails","365nails: ""Sweet Dreams"" – 3D Candy &amp; Bow Handmade Almond Nails")</x:f>
        <x:v>HYPERLINK is not implemented. linkLocation=https://365nails.com/products/365nails-sweet-dreams-3d-candy-bow-handmade-almond-nails, friendlyName=365nails: "Sweet Dreams" – 3D Candy &amp; Bow Handmade Almond Nails</x:v>
      </x:c>
      <x:c r="D3740" s="18" t="str">
        <x:v>Color: 1948 - long almond; Color classification: Xs / S / M / L</x:v>
      </x:c>
      <x:c r="E3740" s="25" t="str">
        <x:v>$4.49</x:v>
      </x:c>
      <x:c r="F3740" s="19" t="str">
        <x:v>1</x:v>
      </x:c>
    </x:row>
    <x:row r="3741" ht="93" customHeight="1">
      <x:c r="A3741" s="19" t="n">
        <x:v>3738</x:v>
      </x:c>
      <x:c r="B3741" s="22" t="e">
        <x:f>HYPERLINK("https://cdn.shopify.com/s/files/1/0918/6066/4603/files/O1CN01Hb8d1o1rlpaDBHn1B__2215158925672-0-cib.jpg?v=1763182333","Open")</x:f>
        <x:v>HYPERLINK is not implemented. linkLocation=https://cdn.shopify.com/s/files/1/0918/6066/4603/files/O1CN01Hb8d1o1rlpaDBHn1B__2215158925672-0-cib.jpg?v=1763182333, friendlyName=Open</x:v>
      </x:c>
      <x:c r="C3741" s="24" t="e">
        <x:f>HYPERLINK("https://365nails.com/products/burgundy-blossom-series-press-on-nails","Burgundy Blossom Series Press-On Nails")</x:f>
        <x:v>HYPERLINK is not implemented. linkLocation=https://365nails.com/products/burgundy-blossom-series-press-on-nails, friendlyName=Burgundy Blossom Series Press-On Nails</x:v>
      </x:c>
      <x:c r="D3741" s="18" t="str">
        <x:v>SIZE: S / M / L</x:v>
      </x:c>
      <x:c r="E3741" s="25" t="str">
        <x:v>$3.99</x:v>
      </x:c>
      <x:c r="F3741" s="19" t="str">
        <x:v>30</x:v>
      </x:c>
    </x:row>
    <x:row r="3742" ht="93" customHeight="1">
      <x:c r="A3742" s="19" t="n">
        <x:v>3739</x:v>
      </x:c>
      <x:c r="B3742" s="22" t="e">
        <x:f>HYPERLINK("https://cdn.shopify.com/s/files/1/0918/6066/4603/files/0abc653810bda984bd78a9f157e76e44.jpg?v=1776214552","Open")</x:f>
        <x:v>HYPERLINK is not implemented. linkLocation=https://cdn.shopify.com/s/files/1/0918/6066/4603/files/0abc653810bda984bd78a9f157e76e44.jpg?v=1776214552, friendlyName=Open</x:v>
      </x:c>
      <x:c r="C3742" s="24" t="e">
        <x:f>HYPERLINK("https://365nails.com/products/365nails-kuromis-revenge-3d-character-handcrafted-cool-short-square-nails","365nails: ""Kuromi's Revenge"" – 3D Character Handcrafted Cool Short Square Nails")</x:f>
        <x:v>HYPERLINK is not implemented. linkLocation=https://365nails.com/products/365nails-kuromis-revenge-3d-character-handcrafted-cool-short-square-nails, friendlyName=365nails: "Kuromi's Revenge" – 3D Character Handcrafted Cool Short Square Nails</x:v>
      </x:c>
      <x:c r="D3742" s="18" t="str">
        <x:v>Size: XS / S / M / L</x:v>
      </x:c>
      <x:c r="E3742" s="25" t="str">
        <x:v>$2.99</x:v>
      </x:c>
      <x:c r="F3742" s="19" t="str">
        <x:v>3</x:v>
      </x:c>
    </x:row>
    <x:row r="3743" ht="93" customHeight="1">
      <x:c r="A3743" s="19" t="n">
        <x:v>3740</x:v>
      </x:c>
      <x:c r="B3743" s="22" t="e">
        <x:f>HYPERLINK("https://cdn.shopify.com/s/files/1/0918/6066/4603/files/O1CN01pHoYmC2MQzfsQnykb__2219089449823-0-cib.jpg?v=1774275819","Open")</x:f>
        <x:v>HYPERLINK is not implemented. linkLocation=https://cdn.shopify.com/s/files/1/0918/6066/4603/files/O1CN01pHoYmC2MQzfsQnykb__2219089449823-0-cib.jpg?v=1774275819, friendlyName=Open</x:v>
      </x:c>
      <x:c r="C3743" s="24" t="e">
        <x:f>HYPERLINK("https://365nails.com/products/crimson-crush-cowgirl-rose-extra-long-stiletto-press-on-nails","Crimson Crush: ""Cowgirl Rose"" – Extra Long Stiletto Press-On Nails")</x:f>
        <x:v>HYPERLINK is not implemented. linkLocation=https://365nails.com/products/crimson-crush-cowgirl-rose-extra-long-stiletto-press-on-nails, friendlyName=Crimson Crush: "Cowgirl Rose" – Extra Long Stiletto Press-On Nails</x:v>
      </x:c>
      <x:c r="D3743" s="18" t="str">
        <x:v>Color: L005; Color classification: S / M / L</x:v>
      </x:c>
      <x:c r="E3743" s="25" t="str">
        <x:v>$4.99</x:v>
      </x:c>
      <x:c r="F3743" s="19" t="str">
        <x:v>1</x:v>
      </x:c>
    </x:row>
    <x:row r="3744" ht="93" customHeight="1">
      <x:c r="A3744" s="19" t="n">
        <x:v>3741</x:v>
      </x:c>
      <x:c r="B3744" s="22" t="e">
        <x:f>HYPERLINK("https://cdn.shopify.com/s/files/1/0918/6066/4603/files/1c0d01d660abb5a369a2d3d4d86f36fd.jpg?v=1776244448","Open")</x:f>
        <x:v>HYPERLINK is not implemented. linkLocation=https://cdn.shopify.com/s/files/1/0918/6066/4603/files/1c0d01d660abb5a369a2d3d4d86f36fd.jpg?v=1776244448, friendlyName=Open</x:v>
      </x:c>
      <x:c r="C3744" s="24" t="e">
        <x:f>HYPERLINK("https://365nails.com/products/365nails-my-melodys-sparkle-3d-character-handmade-short-nails","365nails: ""My Melody's Sparkle"" – 3D Character Handmade Short Nails")</x:f>
        <x:v>HYPERLINK is not implemented. linkLocation=https://365nails.com/products/365nails-my-melodys-sparkle-3d-character-handmade-short-nails, friendlyName=365nails: "My Melody's Sparkle" – 3D Character Handmade Short Nails</x:v>
      </x:c>
      <x:c r="D3744" s="18" t="str">
        <x:v>Size: XS / S / M / L</x:v>
      </x:c>
      <x:c r="E3744" s="25" t="str">
        <x:v>$2.49</x:v>
      </x:c>
      <x:c r="F3744" s="19" t="str">
        <x:v>3</x:v>
      </x:c>
    </x:row>
    <x:row r="3745" ht="93" customHeight="1">
      <x:c r="A3745" s="19" t="n">
        <x:v>3742</x:v>
      </x:c>
      <x:c r="B3745" s="22" t="e">
        <x:f>HYPERLINK("https://cdn.shopify.com/s/files/1/0918/6066/4603/files/aab5560876bdb6abfa4a730f20554f0b.jpg?v=1775459701","Open")</x:f>
        <x:v>HYPERLINK is not implemented. linkLocation=https://cdn.shopify.com/s/files/1/0918/6066/4603/files/aab5560876bdb6abfa4a730f20554f0b.jpg?v=1775459701, friendlyName=Open</x:v>
      </x:c>
      <x:c r="C3745" s="24" t="e">
        <x:f>HYPERLINK("https://365nails.com/products/365nails-candy-blush-3d-floral-gold-bow-handmade-short-almond-nails","365nails: ""Candy Blush"" – 3D Floral &amp; Gold Bow Handmade Short Almond Nails")</x:f>
        <x:v>HYPERLINK is not implemented. linkLocation=https://365nails.com/products/365nails-candy-blush-3d-floral-gold-bow-handmade-short-almond-nails, friendlyName=365nails: "Candy Blush" – 3D Floral &amp; Gold Bow Handmade Short Almond Nails</x:v>
      </x:c>
      <x:c r="D3745" s="18" t="str">
        <x:v>Size: XS / S / M / L</x:v>
      </x:c>
      <x:c r="E3745" s="25" t="str">
        <x:v>$3.99</x:v>
      </x:c>
      <x:c r="F3745" s="19" t="str">
        <x:v>3</x:v>
      </x:c>
    </x:row>
    <x:row r="3746" ht="93" customHeight="1">
      <x:c r="A3746" s="19" t="n">
        <x:v>3743</x:v>
      </x:c>
      <x:c r="B3746" s="22" t="e">
        <x:f>HYPERLINK("https://cdn.shopify.com/s/files/1/0918/6066/4603/files/O1CN01WjHI6J27ZUlmS8je8__2220024697811-0-cib.jpg?v=1775038851","Open")</x:f>
        <x:v>HYPERLINK is not implemented. linkLocation=https://cdn.shopify.com/s/files/1/0918/6066/4603/files/O1CN01WjHI6J27ZUlmS8je8__2220024697811-0-cib.jpg?v=1775038851, friendlyName=Open</x:v>
      </x:c>
      <x:c r="C3746" s="24" t="e">
        <x:f>HYPERLINK("https://365nails.com/products/365nails-tropical-bloom-3d-floral-marble-handmade-stiletto-nails","365nails: ""Tropical Bloom"" – 3D Floral &amp; Marble Handmade Stiletto Nails")</x:f>
        <x:v>HYPERLINK is not implemented. linkLocation=https://365nails.com/products/365nails-tropical-bloom-3d-floral-marble-handmade-stiletto-nails, friendlyName=365nails: "Tropical Bloom" – 3D Floral &amp; Marble Handmade Stiletto Nails</x:v>
      </x:c>
      <x:c r="D3746" s="18" t="str">
        <x:v>Color: Long tip; Color classification: Xs / S / M / L</x:v>
      </x:c>
      <x:c r="E3746" s="25" t="str">
        <x:v>$4.49</x:v>
      </x:c>
      <x:c r="F3746" s="19" t="str">
        <x:v>3</x:v>
      </x:c>
    </x:row>
    <x:row r="3747" ht="93" customHeight="1">
      <x:c r="A3747" s="19" t="n">
        <x:v>3744</x:v>
      </x:c>
      <x:c r="B3747" s="22" t="e">
        <x:f>HYPERLINK("https://cdn.shopify.com/s/files/1/0918/6066/4603/files/O1CN01LPGacW1CPwIfyjV5Q__2213196780074-0-cib.jpg?v=1776741870","Open")</x:f>
        <x:v>HYPERLINK is not implemented. linkLocation=https://cdn.shopify.com/s/files/1/0918/6066/4603/files/O1CN01LPGacW1CPwIfyjV5Q__2213196780074-0-cib.jpg?v=1776741870, friendlyName=Open</x:v>
      </x:c>
      <x:c r="C3747" s="24" t="e">
        <x:f>HYPERLINK("https://365nails.com/products/365nails-cocoa-bow-3d-bow-chocolate-drip-handmade-short-nails","365nails: ""Cocoa Bow"" – 3D Bow &amp; Chocolate Drip Handmade Short Nails")</x:f>
        <x:v>HYPERLINK is not implemented. linkLocation=https://365nails.com/products/365nails-cocoa-bow-3d-bow-chocolate-drip-handmade-short-nails, friendlyName=365nails: "Cocoa Bow" – 3D Bow &amp; Chocolate Drip Handmade Short Nails</x:v>
      </x:c>
      <x:c r="D3747" s="18" t="str">
        <x:v>Color: 2337-short round; Color classification: Extra small size xs / Small s / Medium m / Large l</x:v>
      </x:c>
      <x:c r="E3747" s="25" t="str">
        <x:v>$3.49</x:v>
      </x:c>
      <x:c r="F3747" s="19" t="str">
        <x:v>1</x:v>
      </x:c>
    </x:row>
    <x:row r="3748" ht="93" customHeight="1">
      <x:c r="A3748" s="19" t="n">
        <x:v>3745</x:v>
      </x:c>
      <x:c r="B3748" s="22" t="e">
        <x:f>HYPERLINK("https://cdn.shopify.com/s/files/1/0918/6066/4603/files/O1CN01nKBDdC2214sFrdIVf__2219480337059-0-cib.jpg?v=1773321062","Open")</x:f>
        <x:v>HYPERLINK is not implemented. linkLocation=https://cdn.shopify.com/s/files/1/0918/6066/4603/files/O1CN01nKBDdC2214sFrdIVf__2219480337059-0-cib.jpg?v=1773321062, friendlyName=Open</x:v>
      </x:c>
      <x:c r="C3748" s="24" t="e">
        <x:f>HYPERLINK("https://365nails.com/products/365nails-strawberry-cream-bunny-short-round-handmade-kids-press-on-nails","365nails: ""strawberry cream bunny"" – short round handmade kids press-on nails")</x:f>
        <x:v>HYPERLINK is not implemented. linkLocation=https://365nails.com/products/365nails-strawberry-cream-bunny-short-round-handmade-kids-press-on-nails, friendlyName=365nails: "strawberry cream bunny" – short round handmade kids press-on nails</x:v>
      </x:c>
      <x:c r="D3748" s="18" t="str">
        <x:v>Color: Bow-tie bunny; Color classification: Xs (about 2 years old) / S (3-4 years old) / M (5-7 years old) / L (8-11 years old)</x:v>
      </x:c>
      <x:c r="E3748" s="25" t="str">
        <x:v>$2.99</x:v>
      </x:c>
      <x:c r="F3748" s="19" t="str">
        <x:v>3</x:v>
      </x:c>
    </x:row>
    <x:row r="3749" ht="93" customHeight="1">
      <x:c r="A3749" s="19" t="n">
        <x:v>3746</x:v>
      </x:c>
      <x:c r="B3749" s="22" t="e">
        <x:f>HYPERLINK("https://cdn.shopify.com/s/files/1/0918/6066/4603/files/O1CN01DX4stW27ZUkFXjvve__2220024697811-0-cib.jpg?v=1774928279","Open")</x:f>
        <x:v>HYPERLINK is not implemented. linkLocation=https://cdn.shopify.com/s/files/1/0918/6066/4603/files/O1CN01DX4stW27ZUkFXjvve__2220024697811-0-cib.jpg?v=1774928279, friendlyName=Open</x:v>
      </x:c>
      <x:c r="C3749" s="24" t="e">
        <x:f>HYPERLINK("https://365nails.com/products/365nails-spring-blossom-3d-floral-handmade-almond-nails","365nails: ""Spring Blossom"" – 3D Floral Handmade Almond Nails")</x:f>
        <x:v>HYPERLINK is not implemented. linkLocation=https://365nails.com/products/365nails-spring-blossom-3d-floral-handmade-almond-nails, friendlyName=365nails: "Spring Blossom" – 3D Floral Handmade Almond Nails</x:v>
      </x:c>
      <x:c r="D3749" s="18" t="str">
        <x:v>Color: Short almond; Color classification: Xs / S / M / L</x:v>
      </x:c>
      <x:c r="E3749" s="25" t="str">
        <x:v>$4.99</x:v>
      </x:c>
      <x:c r="F3749" s="19" t="str">
        <x:v>3</x:v>
      </x:c>
    </x:row>
    <x:row r="3750" ht="93" customHeight="1">
      <x:c r="A3750" s="19" t="n">
        <x:v>3747</x:v>
      </x:c>
      <x:c r="B3750" s="22" t="e">
        <x:f>HYPERLINK("https://cdn.shopify.com/s/files/1/0918/6066/4603/files/O1CN01RCGslV27ZUmEL8Jr4__2220024697811-0-cib.jpg?v=1775039705","Open")</x:f>
        <x:v>HYPERLINK is not implemented. linkLocation=https://cdn.shopify.com/s/files/1/0918/6066/4603/files/O1CN01RCGslV27ZUmEL8Jr4__2220024697811-0-cib.jpg?v=1775039705, friendlyName=Open</x:v>
      </x:c>
      <x:c r="C3750" s="24" t="e">
        <x:f>HYPERLINK("https://365nails.com/products/365nails-pink-leopard-animal-print-crystal-handmade-almond-nails","365nails: ""Pink Leopard"" – Animal Print &amp; Crystal Handmade Almond Nails")</x:f>
        <x:v>HYPERLINK is not implemented. linkLocation=https://365nails.com/products/365nails-pink-leopard-animal-print-crystal-handmade-almond-nails, friendlyName=365nails: "Pink Leopard" – Animal Print &amp; Crystal Handmade Almond Nails</x:v>
      </x:c>
      <x:c r="D3750" s="18" t="str">
        <x:v>Color: Short almond; Color classification: Xs / S / M / L</x:v>
      </x:c>
      <x:c r="E3750" s="25" t="str">
        <x:v>$3.99</x:v>
      </x:c>
      <x:c r="F3750" s="19" t="str">
        <x:v>3</x:v>
      </x:c>
    </x:row>
    <x:row r="3751" ht="93" customHeight="1">
      <x:c r="A3751" s="19" t="n">
        <x:v>3748</x:v>
      </x:c>
      <x:c r="B3751" s="22" t="e">
        <x:f>HYPERLINK("https://cdn.shopify.com/s/files/1/0918/6066/4603/files/O1CN01nNxJ6r1CPwJcfWL8T__2213196780074-0-cib_a609fc9a-0a21-4cc3-89f2-ab658556ea24.jpg?v=1774680452","Open")</x:f>
        <x:v>HYPERLINK is not implemented. linkLocation=https://cdn.shopify.com/s/files/1/0918/6066/4603/files/O1CN01nNxJ6r1CPwJcfWL8T__2213196780074-0-cib_a609fc9a-0a21-4cc3-89f2-ab658556ea24.jpg?v=1774680452, friendlyName=Open</x:v>
      </x:c>
      <x:c r="C3751" s="24" t="e">
        <x:f>HYPERLINK("https://365nails.com/products/365nails-midnight-spider-3d-spider-handmade-coffin-nails","365nails: ""Midnight Spider"" – 3D Spider Handmade Coffin Nails")</x:f>
        <x:v>HYPERLINK is not implemented. linkLocation=https://365nails.com/products/365nails-midnight-spider-3d-spider-handmade-coffin-nails, friendlyName=365nails: "Midnight Spider" – 3D Spider Handmade Coffin Nails</x:v>
      </x:c>
      <x:c r="D3751" s="18" t="str">
        <x:v>Color: Extra small size xs / Small s / Medium m / Large l; Specification type: 1872 extra long ladder</x:v>
      </x:c>
      <x:c r="E3751" s="25" t="str">
        <x:v>$3.99</x:v>
      </x:c>
      <x:c r="F3751" s="19" t="str">
        <x:v>1</x:v>
      </x:c>
    </x:row>
    <x:row r="3752" ht="93" customHeight="1">
      <x:c r="A3752" s="19" t="n">
        <x:v>3749</x:v>
      </x:c>
      <x:c r="B3752" s="22" t="e">
        <x:f>HYPERLINK("https://cdn.shopify.com/s/files/1/0918/6066/4603/files/O1CN01Eb7TdR2MQzdG2sMvK__2219089449823-0-cib.jpg?v=1774349164","Open")</x:f>
        <x:v>HYPERLINK is not implemented. linkLocation=https://cdn.shopify.com/s/files/1/0918/6066/4603/files/O1CN01Eb7TdR2MQzdG2sMvK__2219089449823-0-cib.jpg?v=1774349164, friendlyName=Open</x:v>
      </x:c>
      <x:c r="C3752" s="24" t="e">
        <x:f>HYPERLINK("https://365nails.com/products/sweet-cowgirl-pink-dalmatian-golden-charms-square-press-ons","Sweet Cowgirl: ""Pink Dalmatian &amp; Golden Charms"" – Square Press Ons")</x:f>
        <x:v>HYPERLINK is not implemented. linkLocation=https://365nails.com/products/sweet-cowgirl-pink-dalmatian-golden-charms-square-press-ons, friendlyName=Sweet Cowgirl: "Pink Dalmatian &amp; Golden Charms" – Square Press Ons</x:v>
      </x:c>
      <x:c r="D3752" s="18" t="str">
        <x:v>Color: L271; Color classification: X s / S / M / L</x:v>
      </x:c>
      <x:c r="E3752" s="25" t="str">
        <x:v>$4.99</x:v>
      </x:c>
      <x:c r="F3752" s="19" t="str">
        <x:v>1</x:v>
      </x:c>
    </x:row>
    <x:row r="3753" ht="93" customHeight="1">
      <x:c r="A3753" s="19" t="n">
        <x:v>3750</x:v>
      </x:c>
      <x:c r="B3753" s="22" t="e">
        <x:f>HYPERLINK("https://cdn.shopify.com/s/files/1/0918/6066/4603/files/59b052239b26f28d4e75142d2fa3970e.jpg?v=1775459789","Open")</x:f>
        <x:v>HYPERLINK is not implemented. linkLocation=https://cdn.shopify.com/s/files/1/0918/6066/4603/files/59b052239b26f28d4e75142d2fa3970e.jpg?v=1775459789, friendlyName=Open</x:v>
      </x:c>
      <x:c r="C3753" s="24" t="e">
        <x:f>HYPERLINK("https://365nails.com/products/365nails-matcha-truffle-3d-butterfly-abstract-handmade-long-almond-nails","365nails: ""Matcha Truffle"" – 3D Butterfly Abstract Handmade Long Almond Nails")</x:f>
        <x:v>HYPERLINK is not implemented. linkLocation=https://365nails.com/products/365nails-matcha-truffle-3d-butterfly-abstract-handmade-long-almond-nails, friendlyName=365nails: "Matcha Truffle" – 3D Butterfly Abstract Handmade Long Almond Nails</x:v>
      </x:c>
      <x:c r="D3753" s="18" t="str">
        <x:v>Size: XS / S / M / L</x:v>
      </x:c>
      <x:c r="E3753" s="25" t="str">
        <x:v>$3.99</x:v>
      </x:c>
      <x:c r="F3753" s="19" t="str">
        <x:v>3</x:v>
      </x:c>
    </x:row>
    <x:row r="3754" ht="93" customHeight="1">
      <x:c r="A3754" s="19" t="n">
        <x:v>3751</x:v>
      </x:c>
      <x:c r="B3754" s="22" t="e">
        <x:f>HYPERLINK("https://cdn.shopify.com/s/files/1/0918/6066/4603/files/5fd786012bf171ccd548c8590b1a2178.jpg?v=1775460161","Open")</x:f>
        <x:v>HYPERLINK is not implemented. linkLocation=https://cdn.shopify.com/s/files/1/0918/6066/4603/files/5fd786012bf171ccd548c8590b1a2178.jpg?v=1775460161, friendlyName=Open</x:v>
      </x:c>
      <x:c r="C3754" s="24" t="e">
        <x:f>HYPERLINK("https://365nails.com/products/365nails-royal-heart-3d-gem-gold-chain-handmade-long-stiletto-nails","365nails: ""Royal Heart"" – 3D Gem &amp; Gold Chain Handmade Long Stiletto Nails")</x:f>
        <x:v>HYPERLINK is not implemented. linkLocation=https://365nails.com/products/365nails-royal-heart-3d-gem-gold-chain-handmade-long-stiletto-nails, friendlyName=365nails: "Royal Heart" – 3D Gem &amp; Gold Chain Handmade Long Stiletto Nails</x:v>
      </x:c>
      <x:c r="D3754" s="18" t="str">
        <x:v>Size: XS / S / M / L</x:v>
      </x:c>
      <x:c r="E3754" s="25" t="str">
        <x:v>$4.99</x:v>
      </x:c>
      <x:c r="F3754" s="19" t="str">
        <x:v>3</x:v>
      </x:c>
    </x:row>
    <x:row r="3755" ht="93" customHeight="1">
      <x:c r="A3755" s="19" t="n">
        <x:v>3752</x:v>
      </x:c>
      <x:c r="B3755" s="22" t="e">
        <x:f>HYPERLINK("https://cdn.shopify.com/s/files/1/0918/6066/4603/files/O1CN01y0FjyK1ec8Aix1o2m__6000000003891-0-cib.jpg?v=1774010933","Open")</x:f>
        <x:v>HYPERLINK is not implemented. linkLocation=https://cdn.shopify.com/s/files/1/0918/6066/4603/files/O1CN01y0FjyK1ec8Aix1o2m__6000000003891-0-cib.jpg?v=1774010933, friendlyName=Open</x:v>
      </x:c>
      <x:c r="C3755" s="24" t="e">
        <x:f>HYPERLINK("https://365nails.com/products/sakura-pearl-cherry-blossom-stripe-almond-shape-handmade-3d-carved-press-on-nails","365nails-Sakura Pearl: ""Cherry Blossom Stripe"" – Almond Shape Handmade 3D Carved Press-On Nails")</x:f>
        <x:v>HYPERLINK is not implemented. linkLocation=https://365nails.com/products/sakura-pearl-cherry-blossom-stripe-almond-shape-handmade-3d-carved-press-on-nails, friendlyName=365nails-Sakura Pearl: "Cherry Blossom Stripe" – Almond Shape Handmade 3D Carved Press-On Nails</x:v>
      </x:c>
      <x:c r="D3755" s="18" t="str">
        <x:v>Color: D479; Color classification: X s / S / M / L</x:v>
      </x:c>
      <x:c r="E3755" s="25" t="str">
        <x:v>$3.99</x:v>
      </x:c>
      <x:c r="F3755" s="19" t="str">
        <x:v>1</x:v>
      </x:c>
    </x:row>
    <x:row r="3756" ht="93" customHeight="1">
      <x:c r="A3756" s="19" t="n">
        <x:v>3753</x:v>
      </x:c>
      <x:c r="B3756" s="22" t="e">
        <x:f>HYPERLINK("https://cdn.shopify.com/s/files/1/0918/6066/4603/files/O1CN01P2eceX2214vbQT3ps__2219480337059-0-cib.jpg?v=1773824624","Open")</x:f>
        <x:v>HYPERLINK is not implemented. linkLocation=https://cdn.shopify.com/s/files/1/0918/6066/4603/files/O1CN01P2eceX2214vbQT3ps__2219480337059-0-cib.jpg?v=1773824624, friendlyName=Open</x:v>
      </x:c>
      <x:c r="C3756" s="24" t="e">
        <x:f>HYPERLINK("https://365nails.com/products/christmas-cheer-kids-series-festive-wreath-santa-short-square-kids-nail-art","365nails-Christmas Cheer Kids Series: ""Festive Wreath &amp; Santa"" – Short Square Kids Nail Art")</x:f>
        <x:v>HYPERLINK is not implemented. linkLocation=https://365nails.com/products/christmas-cheer-kids-series-festive-wreath-santa-short-square-kids-nail-art, friendlyName=365nails-Christmas Cheer Kids Series: "Festive Wreath &amp; Santa" – Short Square Kids Nail Art</x:v>
      </x:c>
      <x:c r="D3756" s="18" t="str">
        <x:v>Color: H9257 scarf christmas hat; Color classification: Xs (about 2 years old) / S (3-4 years old) / M (5-7 years old) / L (8-11 years old)</x:v>
      </x:c>
      <x:c r="E3756" s="25" t="str">
        <x:v>$2.99</x:v>
      </x:c>
      <x:c r="F3756" s="19" t="str">
        <x:v>3</x:v>
      </x:c>
    </x:row>
    <x:row r="3757" ht="93" customHeight="1">
      <x:c r="A3757" s="19" t="n">
        <x:v>3754</x:v>
      </x:c>
      <x:c r="B3757" s="22" t="e">
        <x:f>HYPERLINK("https://cdn.shopify.com/s/files/1/0918/6066/4603/files/O1CN01ZVi4ap27ZUm6LwoAV__2220024697811-0-cib.jpg?v=1775105913","Open")</x:f>
        <x:v>HYPERLINK is not implemented. linkLocation=https://cdn.shopify.com/s/files/1/0918/6066/4603/files/O1CN01ZVi4ap27ZUm6LwoAV__2220024697811-0-cib.jpg?v=1775105913, friendlyName=Open</x:v>
      </x:c>
      <x:c r="C3757" s="24" t="e">
        <x:f>HYPERLINK("https://365nails.com/products/365nails-celestial-blooms-3d-floral-gradient-handmade-almond-nails","365nails: ""Celestial Blooms"" – 3D Floral &amp; Gradient Handmade Almond Nails")</x:f>
        <x:v>HYPERLINK is not implemented. linkLocation=https://365nails.com/products/365nails-celestial-blooms-3d-floral-gradient-handmade-almond-nails, friendlyName=365nails: "Celestial Blooms" – 3D Floral &amp; Gradient Handmade Almond Nails</x:v>
      </x:c>
      <x:c r="D3757" s="18" t="str">
        <x:v>Color: Almond; Color classification: Xs / S / M / L</x:v>
      </x:c>
      <x:c r="E3757" s="25" t="str">
        <x:v>$4.99</x:v>
      </x:c>
      <x:c r="F3757" s="19" t="str">
        <x:v>3</x:v>
      </x:c>
    </x:row>
    <x:row r="3758" ht="93" customHeight="1">
      <x:c r="A3758" s="19" t="n">
        <x:v>3755</x:v>
      </x:c>
      <x:c r="B3758" s="22" t="e">
        <x:f>HYPERLINK("https://cdn.shopify.com/s/files/1/0918/6066/4603/files/O1CN01y4dpIH2214t0guMUw__2219480337059-0-cib.jpg?v=1773321013","Open")</x:f>
        <x:v>HYPERLINK is not implemented. linkLocation=https://cdn.shopify.com/s/files/1/0918/6066/4603/files/O1CN01y4dpIH2214t0guMUw__2219480337059-0-cib.jpg?v=1773321013, friendlyName=Open</x:v>
      </x:c>
      <x:c r="C3758" s="24" t="e">
        <x:f>HYPERLINK("https://365nails.com/products/365nails-dreamy-stellalou-short-round-handmade-kids-press-on-nails","365nails: ""dreamy stellalou"" – short round handmade kids press-on nails")</x:f>
        <x:v>HYPERLINK is not implemented. linkLocation=https://365nails.com/products/365nails-dreamy-stellalou-short-round-handmade-kids-press-on-nails, friendlyName=365nails: "dreamy stellalou" – short round handmade kids press-on nails</x:v>
      </x:c>
      <x:c r="D3758" s="18" t="str">
        <x:v>Color: Exploding star dai lu; Color classification: Xs (about 2 years old) / S (3-4 years old) / M (5-7 years old) / L (8-11 years old)</x:v>
      </x:c>
      <x:c r="E3758" s="25" t="str">
        <x:v>$2.99</x:v>
      </x:c>
      <x:c r="F3758" s="19" t="str">
        <x:v>3</x:v>
      </x:c>
    </x:row>
    <x:row r="3759" ht="93" customHeight="1">
      <x:c r="A3759" s="19" t="n">
        <x:v>3756</x:v>
      </x:c>
      <x:c r="B3759" s="22" t="e">
        <x:f>HYPERLINK("https://cdn.shopify.com/s/files/1/0918/6066/4603/files/721fb75a550a05f8e41d04404884b8de_d01be9f3-3c10-4066-a0e9-abeb3b893910.jpg?v=1773212073","Open")</x:f>
        <x:v>HYPERLINK is not implemented. linkLocation=https://cdn.shopify.com/s/files/1/0918/6066/4603/files/721fb75a550a05f8e41d04404884b8de_d01be9f3-3c10-4066-a0e9-abeb3b893910.jpg?v=1773212073, friendlyName=Open</x:v>
      </x:c>
      <x:c r="C3759" s="24" t="e">
        <x:f>HYPERLINK("https://365nails.com/products/365nails-pop-art-polka-dot-handmade-press-on-toenails-pedicure","365nails: ""pop art polka dot"" – handmade press-on toenails / pedicure")</x:f>
        <x:v>HYPERLINK is not implemented. linkLocation=https://365nails.com/products/365nails-pop-art-polka-dot-handmade-press-on-toenails-pedicure, friendlyName=365nails: "pop art polka dot" – handmade press-on toenails / pedicure</x:v>
      </x:c>
      <x:c r="D3759" s="18" t="str">
        <x:v>Size: XS / S / M / L</x:v>
      </x:c>
      <x:c r="E3759" s="25" t="str">
        <x:v>$3.99</x:v>
      </x:c>
      <x:c r="F3759" s="19" t="str">
        <x:v>3</x:v>
      </x:c>
    </x:row>
    <x:row r="3760" ht="93" customHeight="1">
      <x:c r="A3760" s="19" t="n">
        <x:v>3757</x:v>
      </x:c>
      <x:c r="B3760" s="22" t="e">
        <x:f>HYPERLINK("https://cdn.shopify.com/s/files/1/0918/6066/4603/files/O1CN01A9TPR91CPwNFHmMnQ__2213196780074-0-cib_3bf3ea53-2e38-4f92-877f-ffcfb4ad5ac8.jpg?v=1774860213","Open")</x:f>
        <x:v>HYPERLINK is not implemented. linkLocation=https://cdn.shopify.com/s/files/1/0918/6066/4603/files/O1CN01A9TPR91CPwNFHmMnQ__2213196780074-0-cib_3bf3ea53-2e38-4f92-877f-ffcfb4ad5ac8.jpg?v=1774860213, friendlyName=Open</x:v>
      </x:c>
      <x:c r="C3760" s="24" t="e">
        <x:f>HYPERLINK("https://365nails.com/products/365nails-blossom-symphony-3d-floral-handmade-stiletto-nails","365nails: ""Blossom Symphony"" – 3D Floral Handmade Stiletto Nails")</x:f>
        <x:v>HYPERLINK is not implemented. linkLocation=https://365nails.com/products/365nails-blossom-symphony-3d-floral-handmade-stiletto-nails, friendlyName=365nails: "Blossom Symphony" – 3D Floral Handmade Stiletto Nails</x:v>
      </x:c>
      <x:c r="D3760" s="18" t="str">
        <x:v>Color: 2832-almond a; Color classification: Xs / S / M / L</x:v>
      </x:c>
      <x:c r="E3760" s="25" t="str">
        <x:v>$3.49</x:v>
      </x:c>
      <x:c r="F3760" s="19" t="str">
        <x:v>1</x:v>
      </x:c>
    </x:row>
    <x:row r="3761" ht="93" customHeight="1">
      <x:c r="A3761" s="19" t="n">
        <x:v>3758</x:v>
      </x:c>
      <x:c r="B3761" s="22" t="e">
        <x:f>HYPERLINK("https://cdn.shopify.com/s/files/1/0918/6066/4603/files/O1CN01nevrWa2MQzdWOp6kT__2219089449823-0-cib.jpg?v=1774010990","Open")</x:f>
        <x:v>HYPERLINK is not implemented. linkLocation=https://cdn.shopify.com/s/files/1/0918/6066/4603/files/O1CN01nevrWa2MQzdWOp6kT__2219089449823-0-cib.jpg?v=1774010990, friendlyName=Open</x:v>
      </x:c>
      <x:c r="C3761" s="24" t="e">
        <x:f>HYPERLINK("https://365nails.com/products/pink-wildcat-zebra-flower-square-handmade-3d-carved-press-on-nails","365nails-Pink Wildcat: ""Zebra Flower"" – Square Handmade 3D Carved Press-On Nails")</x:f>
        <x:v>HYPERLINK is not implemented. linkLocation=https://365nails.com/products/pink-wildcat-zebra-flower-square-handmade-3d-carved-press-on-nails, friendlyName=365nails-Pink Wildcat: "Zebra Flower" – Square Handmade 3D Carved Press-On Nails</x:v>
      </x:c>
      <x:c r="D3761" s="18" t="str">
        <x:v>Color: D337; Color classification: X s / S / M / L</x:v>
      </x:c>
      <x:c r="E3761" s="25" t="str">
        <x:v>$3.99</x:v>
      </x:c>
      <x:c r="F3761" s="19" t="str">
        <x:v>1</x:v>
      </x:c>
    </x:row>
    <x:row r="3762" ht="93" customHeight="1">
      <x:c r="A3762" s="19" t="n">
        <x:v>3759</x:v>
      </x:c>
      <x:c r="B3762" s="22" t="e">
        <x:f>HYPERLINK("https://cdn.shopify.com/s/files/1/0918/6066/4603/files/O1CN01zcDxEe2MQzfhK3YBw__2219089449823-0-cib.jpg?v=1774258104","Open")</x:f>
        <x:v>HYPERLINK is not implemented. linkLocation=https://cdn.shopify.com/s/files/1/0918/6066/4603/files/O1CN01zcDxEe2MQzfhK3YBw__2219089449823-0-cib.jpg?v=1774258104, friendlyName=Open</x:v>
      </x:c>
      <x:c r="C3762" s="24" t="e">
        <x:f>HYPERLINK("https://365nails.com/products/starry-plum-red-french-star-almond-shape-handmade-press-on-nails","Starry Plum: ""Red French Star"" - Almond Shape Handmade Press-On Nails")</x:f>
        <x:v>HYPERLINK is not implemented. linkLocation=https://365nails.com/products/starry-plum-red-french-star-almond-shape-handmade-press-on-nails, friendlyName=Starry Plum: "Red French Star" - Almond Shape Handmade Press-On Nails</x:v>
      </x:c>
      <x:c r="D3762" s="18" t="str">
        <x:v>Color: C377; Color classification: X s / S / M / L</x:v>
      </x:c>
      <x:c r="E3762" s="25" t="str">
        <x:v>$3.49</x:v>
      </x:c>
      <x:c r="F3762" s="19" t="str">
        <x:v>1</x:v>
      </x:c>
    </x:row>
    <x:row r="3763" ht="93" customHeight="1">
      <x:c r="A3763" s="19" t="n">
        <x:v>3760</x:v>
      </x:c>
      <x:c r="B3763" s="22" t="e">
        <x:f>HYPERLINK("https://cdn.shopify.com/s/files/1/0918/6066/4603/files/O1CN01gUGRiR2MQzfZMew5p__2219089449823-0-cib.jpg?v=1774258045","Open")</x:f>
        <x:v>HYPERLINK is not implemented. linkLocation=https://cdn.shopify.com/s/files/1/0918/6066/4603/files/O1CN01gUGRiR2MQzfZMew5p__2219089449823-0-cib.jpg?v=1774258045, friendlyName=Open</x:v>
      </x:c>
      <x:c r="C3763" s="24" t="e">
        <x:f>HYPERLINK("https://365nails.com/products/fruit-cocktail-cherry-cow-flower-almond-shape-handmade-press-on-nails","Fruit Cocktail: ""Cherry Cow Flower"" – Almond Shape Handmade Press-On Nails")</x:f>
        <x:v>HYPERLINK is not implemented. linkLocation=https://365nails.com/products/fruit-cocktail-cherry-cow-flower-almond-shape-handmade-press-on-nails, friendlyName=Fruit Cocktail: "Cherry Cow Flower" – Almond Shape Handmade Press-On Nails</x:v>
      </x:c>
      <x:c r="D3763" s="18" t="str">
        <x:v>Color: D628; Color classification: X s / S / M / L</x:v>
      </x:c>
      <x:c r="E3763" s="25" t="str">
        <x:v>$3.49</x:v>
      </x:c>
      <x:c r="F3763" s="19" t="str">
        <x:v>1</x:v>
      </x:c>
    </x:row>
    <x:row r="3764" ht="93" customHeight="1">
      <x:c r="A3764" s="19" t="n">
        <x:v>3761</x:v>
      </x:c>
      <x:c r="B3764" s="22" t="e">
        <x:f>HYPERLINK("https://cdn.shopify.com/s/files/1/0918/6066/4603/files/3ddbd3bcb9e2acabeb9b77e6fce6fa23.jpg?v=1775907256","Open")</x:f>
        <x:v>HYPERLINK is not implemented. linkLocation=https://cdn.shopify.com/s/files/1/0918/6066/4603/files/3ddbd3bcb9e2acabeb9b77e6fce6fa23.jpg?v=1775907256, friendlyName=Open</x:v>
      </x:c>
      <x:c r="C3764" s="24" t="e">
        <x:f>HYPERLINK("https://365nails.com/products/365nails-midnight-jasmine-3d-floral-handmade-coffin-nails","365nails: ""Midnight Jasmine"" – 3D Floral Handmade Coffin Nails")</x:f>
        <x:v>HYPERLINK is not implemented. linkLocation=https://365nails.com/products/365nails-midnight-jasmine-3d-floral-handmade-coffin-nails, friendlyName=365nails: "Midnight Jasmine" – 3D Floral Handmade Coffin Nails</x:v>
      </x:c>
      <x:c r="D3764" s="18" t="str">
        <x:v>Size: XS / S / M / L</x:v>
      </x:c>
      <x:c r="E3764" s="25" t="str">
        <x:v>$3.99</x:v>
      </x:c>
      <x:c r="F3764" s="19" t="str">
        <x:v>5</x:v>
      </x:c>
    </x:row>
    <x:row r="3765" ht="93" customHeight="1">
      <x:c r="A3765" s="19" t="n">
        <x:v>3762</x:v>
      </x:c>
      <x:c r="B3765" s="22" t="e">
        <x:f>HYPERLINK("https://cdn.shopify.com/s/files/1/0918/6066/4603/files/O1CN01CILdwN27ZUlkLbBwh__2220024697811-0-cib.jpg?v=1775038584","Open")</x:f>
        <x:v>HYPERLINK is not implemented. linkLocation=https://cdn.shopify.com/s/files/1/0918/6066/4603/files/O1CN01CILdwN27ZUlkLbBwh__2220024697811-0-cib.jpg?v=1775038584, friendlyName=Open</x:v>
      </x:c>
      <x:c r="C3765" s="24" t="e">
        <x:f>HYPERLINK("https://365nails.com/products/365nails-sacred-profane-3d-cross-gothic-charm-handmade-stiletto-nails","365nails: ""Sacred &amp; Profane"" – 3D Cross &amp; Gothic Charm Handmade Stiletto Nails")</x:f>
        <x:v>HYPERLINK is not implemented. linkLocation=https://365nails.com/products/365nails-sacred-profane-3d-cross-gothic-charm-handmade-stiletto-nails, friendlyName=365nails: "Sacred &amp; Profane" – 3D Cross &amp; Gothic Charm Handmade Stiletto Nails</x:v>
      </x:c>
      <x:c r="D3765" s="18" t="str">
        <x:v>Color: Almond; Color classification: Xs / S / M / L</x:v>
      </x:c>
      <x:c r="E3765" s="25" t="str">
        <x:v>$4.49</x:v>
      </x:c>
      <x:c r="F3765" s="19" t="str">
        <x:v>3</x:v>
      </x:c>
    </x:row>
    <x:row r="3766" ht="93" customHeight="1">
      <x:c r="A3766" s="19" t="n">
        <x:v>3763</x:v>
      </x:c>
      <x:c r="B3766" s="22" t="e">
        <x:f>HYPERLINK("https://cdn.shopify.com/s/files/1/0918/6066/4603/files/O1CN01JAKAEj27ZUkHq8ahW__2220024697811-0-cib.jpg?v=1775108323","Open")</x:f>
        <x:v>HYPERLINK is not implemented. linkLocation=https://cdn.shopify.com/s/files/1/0918/6066/4603/files/O1CN01JAKAEj27ZUkHq8ahW__2220024697811-0-cib.jpg?v=1775108323, friendlyName=Open</x:v>
      </x:c>
      <x:c r="C3766" s="24" t="e">
        <x:f>HYPERLINK("https://365nails.com/products/365nails-starry-night-gradient-3d-star-french-tip-handmade-medium-almond-nails","365nails: ""Starry Night Gradient"" – 3D Star &amp; French Tip Handmade Medium Almond Nails")</x:f>
        <x:v>HYPERLINK is not implemented. linkLocation=https://365nails.com/products/365nails-starry-night-gradient-3d-star-french-tip-handmade-medium-almond-nails, friendlyName=365nails: "Starry Night Gradient" – 3D Star &amp; French Tip Handmade Medium Almond Nails</x:v>
      </x:c>
      <x:c r="D3766" s="18" t="str">
        <x:v>Color: Short almond; Color classification: Xs / S / M / L</x:v>
      </x:c>
      <x:c r="E3766" s="25" t="str">
        <x:v>$3.99</x:v>
      </x:c>
      <x:c r="F3766" s="19" t="str">
        <x:v>3</x:v>
      </x:c>
    </x:row>
    <x:row r="3767" ht="93" customHeight="1">
      <x:c r="A3767" s="19" t="n">
        <x:v>3764</x:v>
      </x:c>
      <x:c r="B3767" s="22" t="e">
        <x:f>HYPERLINK("https://cdn.shopify.com/s/files/1/0918/6066/4603/files/O1CN01TvPlhF2MQzfEZRMOL__2219089449823-0-cib.jpg?v=1774520800","Open")</x:f>
        <x:v>HYPERLINK is not implemented. linkLocation=https://cdn.shopify.com/s/files/1/0918/6066/4603/files/O1CN01TvPlhF2MQzfEZRMOL__2219089449823-0-cib.jpg?v=1774520800, friendlyName=Open</x:v>
      </x:c>
      <x:c r="C3767" s="24" t="e">
        <x:f>HYPERLINK("https://365nails.com/products/bridal-bloom-pearl-flower-french-almond-press-on-nails","Bridal Bloom: ""Pearl Flower French"" – Almond Press-On Nails")</x:f>
        <x:v>HYPERLINK is not implemented. linkLocation=https://365nails.com/products/bridal-bloom-pearl-flower-french-almond-press-on-nails, friendlyName=Bridal Bloom: "Pearl Flower French" – Almond Press-On Nails</x:v>
      </x:c>
      <x:c r="D3767" s="18" t="str">
        <x:v>Color: D595; Color classification: Xs / S / M / L</x:v>
      </x:c>
      <x:c r="E3767" s="25" t="str">
        <x:v>$3.99</x:v>
      </x:c>
      <x:c r="F3767" s="19" t="str">
        <x:v>1</x:v>
      </x:c>
    </x:row>
    <x:row r="3768" ht="93" customHeight="1">
      <x:c r="A3768" s="19" t="n">
        <x:v>3765</x:v>
      </x:c>
      <x:c r="B3768" s="22" t="e">
        <x:f>HYPERLINK("https://cdn.shopify.com/s/files/1/0918/6066/4603/files/O1CN01Pj4zhI1CPwHHQ1PXU__2213196780074-0-cib_629eb4aa-58e9-4339-b9e9-b4ab5eef46fe.jpg?v=1774694089","Open")</x:f>
        <x:v>HYPERLINK is not implemented. linkLocation=https://cdn.shopify.com/s/files/1/0918/6066/4603/files/O1CN01Pj4zhI1CPwHHQ1PXU__2213196780074-0-cib_629eb4aa-58e9-4339-b9e9-b4ab5eef46fe.jpg?v=1774694089, friendlyName=Open</x:v>
      </x:c>
      <x:c r="C3768" s="24" t="e">
        <x:f>HYPERLINK("https://365nails.com/products/365nails-alices-butterfly-3d-hand-painted-butterfly-cat-eye-handmade-almond-nails","365nails: ""Alice's Butterfly"" – 3D Hand-Painted Butterfly &amp; Cat Eye Handmade Almond Nails")</x:f>
        <x:v>HYPERLINK is not implemented. linkLocation=https://365nails.com/products/365nails-alices-butterfly-3d-hand-painted-butterfly-cat-eye-handmade-almond-nails, friendlyName=365nails: "Alice's Butterfly" – 3D Hand-Painted Butterfly &amp; Cat Eye Handmade Almond Nails</x:v>
      </x:c>
      <x:c r="D3768" s="18" t="str">
        <x:v>Color: 2044 - medium oval / 2045-middle ladder / 2043-short ladder; Color classification: Extra small size xs / Small s / Medium m / Large l</x:v>
      </x:c>
      <x:c r="E3768" s="25" t="str">
        <x:v>$2.99</x:v>
      </x:c>
      <x:c r="F3768" s="19" t="str">
        <x:v>1</x:v>
      </x:c>
    </x:row>
    <x:row r="3769" ht="93" customHeight="1">
      <x:c r="A3769" s="19" t="n">
        <x:v>3766</x:v>
      </x:c>
      <x:c r="B3769" s="22" t="e">
        <x:f>HYPERLINK("https://cdn.shopify.com/s/files/1/0918/6066/4603/files/O1CN01PRkphn1tEyOAR0BeC__6000000005871-0-cib.jpg?v=1775052104","Open")</x:f>
        <x:v>HYPERLINK is not implemented. linkLocation=https://cdn.shopify.com/s/files/1/0918/6066/4603/files/O1CN01PRkphn1tEyOAR0BeC__6000000005871-0-cib.jpg?v=1775052104, friendlyName=Open</x:v>
      </x:c>
      <x:c r="C3769" s="24" t="e">
        <x:f>HYPERLINK("https://365nails.com/products/365nails-midnight-bloom-3d-floral-starry-handmade-stiletto-nails","365nails: ""Midnight Bloom"" – 3D Floral &amp; Starry Handmade Stiletto Nails")</x:f>
        <x:v>HYPERLINK is not implemented. linkLocation=https://365nails.com/products/365nails-midnight-bloom-3d-floral-starry-handmade-stiletto-nails, friendlyName=365nails: "Midnight Bloom" – 3D Floral &amp; Starry Handmade Stiletto Nails</x:v>
      </x:c>
      <x:c r="D3769" s="18" t="str">
        <x:v>Color: Almond; Color classification: Xs / S / M / L</x:v>
      </x:c>
      <x:c r="E3769" s="25" t="str">
        <x:v>$4.49</x:v>
      </x:c>
      <x:c r="F3769" s="19" t="str">
        <x:v>3</x:v>
      </x:c>
    </x:row>
    <x:row r="3770" ht="93" customHeight="1">
      <x:c r="A3770" s="19" t="n">
        <x:v>3767</x:v>
      </x:c>
      <x:c r="B3770" s="22" t="e">
        <x:f>HYPERLINK("https://cdn.shopify.com/s/files/1/0918/6066/4603/files/O1CN01aMpXii1v7Iz3gMcvb__2218399446125-0-cib.jpg?v=1763632109","Open")</x:f>
        <x:v>HYPERLINK is not implemented. linkLocation=https://cdn.shopify.com/s/files/1/0918/6066/4603/files/O1CN01aMpXii1v7Iz3gMcvb__2218399446125-0-cib.jpg?v=1763632109, friendlyName=Open</x:v>
      </x:c>
      <x:c r="C3770" s="24" t="e">
        <x:f>HYPERLINK("https://365nails.com/products/fireworks-christmas-ball-nail-art-sticker-5d-embossed-three-dimensional-shell-light-christmas-fireworks-nail-sticker-ornament-sl","Fireworks Christmas Ball Nail Art Sticker 5D Embossed Three-dimensional Shell Light Christmas Fireworks Nail Sticker Ornament SL")</x:f>
        <x:v>HYPERLINK is not implemented. linkLocation=https://365nails.com/products/fireworks-christmas-ball-nail-art-sticker-5d-embossed-three-dimensional-shell-light-christmas-fireworks-nail-sticker-ornament-sl, friendlyName=Fireworks Christmas Ball Nail Art Sticker 5D Embossed Three-dimensional Shell Light Christmas Fireworks Nail Sticker Ornament SL</x:v>
      </x:c>
      <x:c r="D3770" s="18" t="str">
        <x:v>Specification type: SL-1005 / SL-1006 / SL-1009 / SL-1016</x:v>
      </x:c>
      <x:c r="E3770" s="25" t="str">
        <x:v>$0.50</x:v>
      </x:c>
      <x:c r="F3770" s="19" t="str">
        <x:v>1</x:v>
      </x:c>
    </x:row>
    <x:row r="3771" ht="93" customHeight="1">
      <x:c r="A3771" s="19" t="n">
        <x:v>3768</x:v>
      </x:c>
      <x:c r="B3771" s="22" t="e">
        <x:f>HYPERLINK("https://cdn.shopify.com/s/files/1/0918/6066/4603/files/685f14b16b0bec448b99f3fb313b8bbc.jpg?v=1778240884","Open")</x:f>
        <x:v>HYPERLINK is not implemented. linkLocation=https://cdn.shopify.com/s/files/1/0918/6066/4603/files/685f14b16b0bec448b99f3fb313b8bbc.jpg?v=1778240884, friendlyName=Open</x:v>
      </x:c>
      <x:c r="C3771" s="24" t="e">
        <x:f>HYPERLINK("https://365nails.com/products/365nails-starlight-stripes-3d-bear-star-handmade-long-stiletto-nails","365nails: ""Starlight Stripes"" – 3D Bear &amp; Star Handmade Long Stiletto Nails")</x:f>
        <x:v>HYPERLINK is not implemented. linkLocation=https://365nails.com/products/365nails-starlight-stripes-3d-bear-star-handmade-long-stiletto-nails, friendlyName=365nails: "Starlight Stripes" – 3D Bear &amp; Star Handmade Long Stiletto Nails</x:v>
      </x:c>
      <x:c r="D3771" s="18" t="str">
        <x:v>Size: XS / S / M / L</x:v>
      </x:c>
      <x:c r="E3771" s="25" t="str">
        <x:v>$4.99</x:v>
      </x:c>
      <x:c r="F3771" s="19" t="str">
        <x:v>5</x:v>
      </x:c>
    </x:row>
    <x:row r="3772" ht="93" customHeight="1">
      <x:c r="A3772" s="19" t="n">
        <x:v>3769</x:v>
      </x:c>
      <x:c r="B3772" s="22" t="e">
        <x:f>HYPERLINK("https://cdn.shopify.com/s/files/1/0918/6066/4603/files/O1CN01vi15wi27ZUk56VzwJ__2220024697811-0-cib.jpg?v=1775004740","Open")</x:f>
        <x:v>HYPERLINK is not implemented. linkLocation=https://cdn.shopify.com/s/files/1/0918/6066/4603/files/O1CN01vi15wi27ZUk56VzwJ__2220024697811-0-cib.jpg?v=1775004740, friendlyName=Open</x:v>
      </x:c>
      <x:c r="C3772" s="24" t="e">
        <x:f>HYPERLINK("https://365nails.com/products/365nails-summer-breeze-3d-floral-handmade-almond-nails","365nails: ""Summer Breeze"" – 3D Floral Handmade Almond Nails")</x:f>
        <x:v>HYPERLINK is not implemented. linkLocation=https://365nails.com/products/365nails-summer-breeze-3d-floral-handmade-almond-nails, friendlyName=365nails: "Summer Breeze" – 3D Floral Handmade Almond Nails</x:v>
      </x:c>
      <x:c r="D3772" s="18" t="str">
        <x:v>Color: Almond; Color classification: Xs / S / M / L</x:v>
      </x:c>
      <x:c r="E3772" s="25" t="str">
        <x:v>$4.99</x:v>
      </x:c>
      <x:c r="F3772" s="19" t="str">
        <x:v>3</x:v>
      </x:c>
    </x:row>
    <x:row r="3773" ht="93" customHeight="1">
      <x:c r="A3773" s="19" t="n">
        <x:v>3770</x:v>
      </x:c>
      <x:c r="B3773" s="22" t="e">
        <x:f>HYPERLINK("https://cdn.shopify.com/s/files/1/0918/6066/4603/files/O1CN01GvfwnM2MQzfC4B3Eb__2219089449823-0-cib.jpg?v=1774257919","Open")</x:f>
        <x:v>HYPERLINK is not implemented. linkLocation=https://cdn.shopify.com/s/files/1/0918/6066/4603/files/O1CN01GvfwnM2MQzfC4B3Eb__2219089449823-0-cib.jpg?v=1774257919, friendlyName=Open</x:v>
      </x:c>
      <x:c r="C3773" s="24" t="e">
        <x:f>HYPERLINK("https://365nails.com/products/elegant-pearl-crimson-orchid-almond-shape-handmade-press-on-nails","Elegant Pearl: ""Crimson Orchid"" – Almond Shape Handmade Press-On Nails")</x:f>
        <x:v>HYPERLINK is not implemented. linkLocation=https://365nails.com/products/elegant-pearl-crimson-orchid-almond-shape-handmade-press-on-nails, friendlyName=Elegant Pearl: "Crimson Orchid" – Almond Shape Handmade Press-On Nails</x:v>
      </x:c>
      <x:c r="D3773" s="18" t="str">
        <x:v>Color: D598; Color classification: X s / S / M / L</x:v>
      </x:c>
      <x:c r="E3773" s="25" t="str">
        <x:v>$3.49</x:v>
      </x:c>
      <x:c r="F3773" s="19" t="str">
        <x:v>1</x:v>
      </x:c>
    </x:row>
    <x:row r="3774" ht="93" customHeight="1">
      <x:c r="A3774" s="19" t="n">
        <x:v>3771</x:v>
      </x:c>
      <x:c r="B3774" s="22" t="e">
        <x:f>HYPERLINK("https://cdn.shopify.com/s/files/1/0918/6066/4603/files/1104c10606ad208b81c65e8b952446f3.jpg?v=1778317518","Open")</x:f>
        <x:v>HYPERLINK is not implemented. linkLocation=https://cdn.shopify.com/s/files/1/0918/6066/4603/files/1104c10606ad208b81c65e8b952446f3.jpg?v=1778317518, friendlyName=Open</x:v>
      </x:c>
      <x:c r="C3774" s="24" t="e">
        <x:f>HYPERLINK("https://365nails.com/products/365nails-nude-opulence-3d-floral-crystal-handmade-almond-nails","365nails: ""Nude Opulence"" – 3D Floral &amp; Crystal Handmade Almond Nails")</x:f>
        <x:v>HYPERLINK is not implemented. linkLocation=https://365nails.com/products/365nails-nude-opulence-3d-floral-crystal-handmade-almond-nails, friendlyName=365nails: "Nude Opulence" – 3D Floral &amp; Crystal Handmade Almond Nails</x:v>
      </x:c>
      <x:c r="D3774" s="18" t="str">
        <x:v>Size: XS / S / M / L</x:v>
      </x:c>
      <x:c r="E3774" s="25" t="str">
        <x:v>$3.99</x:v>
      </x:c>
      <x:c r="F3774" s="19" t="str">
        <x:v>5</x:v>
      </x:c>
    </x:row>
    <x:row r="3775" ht="93" customHeight="1">
      <x:c r="A3775" s="19" t="n">
        <x:v>3772</x:v>
      </x:c>
      <x:c r="B3775" s="22" t="e">
        <x:f>HYPERLINK("https://cdn.shopify.com/s/files/1/0918/6066/4603/files/O1CN017FcFVV2MQzdCuSFrB__2219089449823-0-cib.jpg?v=1774066241","Open")</x:f>
        <x:v>HYPERLINK is not implemented. linkLocation=https://cdn.shopify.com/s/files/1/0918/6066/4603/files/O1CN017FcFVV2MQzdCuSFrB__2219089449823-0-cib.jpg?v=1774066241, friendlyName=Open</x:v>
      </x:c>
      <x:c r="C3775" s="24" t="e">
        <x:f>HYPERLINK("https://365nails.com/products/coral-bloom-tropical-frangipani-almond-shape-handmade-3d-carved-press-on-nails","365nails-Coral Bloom: ""Tropical Frangipani"" – Almond Shape Handmade 3D Carved Press-On Nails")</x:f>
        <x:v>HYPERLINK is not implemented. linkLocation=https://365nails.com/products/coral-bloom-tropical-frangipani-almond-shape-handmade-3d-carved-press-on-nails, friendlyName=365nails-Coral Bloom: "Tropical Frangipani" – Almond Shape Handmade 3D Carved Press-On Nails</x:v>
      </x:c>
      <x:c r="D3775" s="18" t="str">
        <x:v>Color: D466; Color classification: X s / S / M / L</x:v>
      </x:c>
      <x:c r="E3775" s="25" t="str">
        <x:v>$3.99</x:v>
      </x:c>
      <x:c r="F3775" s="19" t="str">
        <x:v>1</x:v>
      </x:c>
    </x:row>
    <x:row r="3776" ht="93" customHeight="1">
      <x:c r="A3776" s="19" t="n">
        <x:v>3773</x:v>
      </x:c>
      <x:c r="B3776" s="22" t="e">
        <x:f>HYPERLINK("https://cdn.shopify.com/s/files/1/0918/6066/4603/files/O1CN01G44RTX2MQzedZ4u4l__2219089449823-0-cib.jpg?v=1774453142","Open")</x:f>
        <x:v>HYPERLINK is not implemented. linkLocation=https://cdn.shopify.com/s/files/1/0918/6066/4603/files/O1CN01G44RTX2MQzedZ4u4l__2219089449823-0-cib.jpg?v=1774453142, friendlyName=Open</x:v>
      </x:c>
      <x:c r="C3776" s="24" t="e">
        <x:f>HYPERLINK("https://365nails.com/products/ocean-bloom-blue-petal-medium-almond-handmade-press-on-nails","Ocean Bloom: ""Blue Petal"" – Medium Almond Handmade Press On Nails")</x:f>
        <x:v>HYPERLINK is not implemented. linkLocation=https://365nails.com/products/ocean-bloom-blue-petal-medium-almond-handmade-press-on-nails, friendlyName=Ocean Bloom: "Blue Petal" – Medium Almond Handmade Press On Nails</x:v>
      </x:c>
      <x:c r="D3776" s="18" t="str">
        <x:v>Color: D566; Color classification: X s / S / M / L</x:v>
      </x:c>
      <x:c r="E3776" s="25" t="str">
        <x:v>$3.49</x:v>
      </x:c>
      <x:c r="F3776" s="19" t="str">
        <x:v>1</x:v>
      </x:c>
    </x:row>
    <x:row r="3777" ht="93" customHeight="1">
      <x:c r="A3777" s="19" t="n">
        <x:v>3774</x:v>
      </x:c>
      <x:c r="B3777" s="22" t="e">
        <x:f>HYPERLINK("https://cdn.shopify.com/s/files/1/0918/6066/4603/files/O1CN01nNrv3p27ZUlDVU3Iz__2220024697811-0-cib.jpg?v=1774865720","Open")</x:f>
        <x:v>HYPERLINK is not implemented. linkLocation=https://cdn.shopify.com/s/files/1/0918/6066/4603/files/O1CN01nNrv3p27ZUlDVU3Iz__2220024697811-0-cib.jpg?v=1774865720, friendlyName=Open</x:v>
      </x:c>
      <x:c r="C3777" s="24" t="e">
        <x:f>HYPERLINK("https://365nails.com/products/365nails-pastel-bloom-3d-floral-handmade-almond-nails","365nails: ""Pastel Bloom"" – 3D Floral Handmade Almond Nails")</x:f>
        <x:v>HYPERLINK is not implemented. linkLocation=https://365nails.com/products/365nails-pastel-bloom-3d-floral-handmade-almond-nails, friendlyName=365nails: "Pastel Bloom" – 3D Floral Handmade Almond Nails</x:v>
      </x:c>
      <x:c r="D3777" s="18" t="str">
        <x:v>Color: Almond; Color classification: Xs / S / M / L</x:v>
      </x:c>
      <x:c r="E3777" s="25" t="str">
        <x:v>$4.99</x:v>
      </x:c>
      <x:c r="F3777" s="19" t="str">
        <x:v>3</x:v>
      </x:c>
    </x:row>
    <x:row r="3778" ht="93" customHeight="1">
      <x:c r="A3778" s="19" t="n">
        <x:v>3775</x:v>
      </x:c>
      <x:c r="B3778" s="22" t="e">
        <x:f>HYPERLINK("https://cdn.shopify.com/s/files/1/0918/6066/4603/files/O1CN014kCsXh2MQzdoietIA__2219089449823-0-cib.jpg?v=1774011082","Open")</x:f>
        <x:v>HYPERLINK is not implemented. linkLocation=https://cdn.shopify.com/s/files/1/0918/6066/4603/files/O1CN014kCsXh2MQzdoietIA__2219089449823-0-cib.jpg?v=1774011082, friendlyName=Open</x:v>
      </x:c>
      <x:c r="C3778" s="24" t="e">
        <x:f>HYPERLINK("https://365nails.com/products/%E6%AC%A7%E7%BE%8E%E8%B7%A8%E5%A2%83%E7%88%86%E6%AC%BE%E6%89%8B%E5%B7%A5%E7%A9%BF%E6%88%B4%E7%94%B2%E7%B2%BE%E5%93%81%E9%9B%95%E8%8A%B1%E6%9D%8F%E4%BB%81%E5%9E%8B%E5%81%87%E6%8C%87%E7%94%B2%E7%89%87%E4%B8%9C%E5%8D%97%E4%BA%9A%E7%83%AD%E9%94%80%E5%8F%AF%E6%8B%86%E5%8D%B8","Gothic Noir: ""Midnight Rose Eclipse"" – Extra Long Coffin Handmade Press-On Nails")</x:f>
        <x:v>HYPERLINK is not implemented. linkLocation=https://365nails.com/products/%E6%AC%A7%E7%BE%8E%E8%B7%A8%E5%A2%83%E7%88%86%E6%AC%BE%E6%89%8B%E5%B7%A5%E7%A9%BF%E6%88%B4%E7%94%B2%E7%B2%BE%E5%93%81%E9%9B%95%E8%8A%B1%E6%9D%8F%E4%BB%81%E5%9E%8B%E5%81%87%E6%8C%87%E7%94%B2%E7%89%87%E4%B8%9C%E5%8D%97%E4%BA%9A%E7%83%AD%E9%94%80%E5%8F%AF%E6%8B%86%E5%8D%B8, friendlyName=Gothic Noir: "Midnight Rose Eclipse" – Extra Long Coffin Handmade Press-On Nails</x:v>
      </x:c>
      <x:c r="D3778" s="18" t="str">
        <x:v>Color: (d49) hua xi bank; Color classification: X s / S / M / L</x:v>
      </x:c>
      <x:c r="E3778" s="25" t="str">
        <x:v>$3.99</x:v>
      </x:c>
      <x:c r="F3778" s="19" t="str">
        <x:v>5</x:v>
      </x:c>
    </x:row>
    <x:row r="3779" ht="93" customHeight="1">
      <x:c r="A3779" s="19" t="n">
        <x:v>3776</x:v>
      </x:c>
      <x:c r="B3779" s="22" t="e">
        <x:f>HYPERLINK("https://cdn.shopify.com/s/files/1/0918/6066/4603/files/O1CN01mkUHjV2214vxb7K4S__2219480337059-0-cib_fe0f033d-df2e-4762-ba45-9211b5797ecc.jpg?v=1773198474","Open")</x:f>
        <x:v>HYPERLINK is not implemented. linkLocation=https://cdn.shopify.com/s/files/1/0918/6066/4603/files/O1CN01mkUHjV2214vxb7K4S__2219480337059-0-cib_fe0f033d-df2e-4762-ba45-9211b5797ecc.jpg?v=1773198474, friendlyName=Open</x:v>
      </x:c>
      <x:c r="C3779" s="24" t="e">
        <x:f>HYPERLINK("https://365nails.com/products/365nails-retro-cherry-kitty-short-squoval-handmade-kids-press-on-nails","365nails: ""retro cherry kitty"" – short squoval handmade kids press-on nails")</x:f>
        <x:v>HYPERLINK is not implemented. linkLocation=https://365nails.com/products/365nails-retro-cherry-kitty-short-squoval-handmade-kids-press-on-nails, friendlyName=365nails: "retro cherry kitty" – short squoval handmade kids press-on nails</x:v>
      </x:c>
      <x:c r="D3779" s="18" t="str">
        <x:v>Color: Polka dot bow; Color classification: Xs (about 2 years old) / S (3-4 years old) / M (5-7 years old) / L (8-11 years old)</x:v>
      </x:c>
      <x:c r="E3779" s="25" t="str">
        <x:v>$2.99</x:v>
      </x:c>
      <x:c r="F3779" s="19" t="str">
        <x:v>3</x:v>
      </x:c>
    </x:row>
    <x:row r="3780" ht="93" customHeight="1">
      <x:c r="A3780" s="19" t="n">
        <x:v>3777</x:v>
      </x:c>
      <x:c r="B3780" s="22" t="e">
        <x:f>HYPERLINK("https://cdn.shopify.com/s/files/1/0918/6066/4603/files/5ee520a676529f84c86c93b99a9f8211.jpg?v=1778337210","Open")</x:f>
        <x:v>HYPERLINK is not implemented. linkLocation=https://cdn.shopify.com/s/files/1/0918/6066/4603/files/5ee520a676529f84c86c93b99a9f8211.jpg?v=1778337210, friendlyName=Open</x:v>
      </x:c>
      <x:c r="C3780" s="24" t="e">
        <x:f>HYPERLINK("https://365nails.com/products/365nails-hot-pink-royalty-3d-jewel-heart-handmade-coffin-nails","365nails: ""Hot Pink Royalty"" – 3D Jewel Heart Handmade Coffin Nails")</x:f>
        <x:v>HYPERLINK is not implemented. linkLocation=https://365nails.com/products/365nails-hot-pink-royalty-3d-jewel-heart-handmade-coffin-nails, friendlyName=365nails: "Hot Pink Royalty" – 3D Jewel Heart Handmade Coffin Nails</x:v>
      </x:c>
      <x:c r="D3780" s="18" t="str">
        <x:v>Size: XS / S / M / L</x:v>
      </x:c>
      <x:c r="E3780" s="25" t="str">
        <x:v>$2.99</x:v>
      </x:c>
      <x:c r="F3780" s="19" t="str">
        <x:v>5</x:v>
      </x:c>
    </x:row>
    <x:row r="3781" ht="93" customHeight="1">
      <x:c r="A3781" s="19" t="n">
        <x:v>3778</x:v>
      </x:c>
      <x:c r="B3781" s="22" t="e">
        <x:f>HYPERLINK("https://cdn.shopify.com/s/files/1/0918/6066/4603/files/O1CN01dGY1pJ1CPwLxHHWq8__2213196780074-0-cib_30be8926-4566-4a51-8a3b-2c982e65d555.jpg?v=1774686159","Open")</x:f>
        <x:v>HYPERLINK is not implemented. linkLocation=https://cdn.shopify.com/s/files/1/0918/6066/4603/files/O1CN01dGY1pJ1CPwLxHHWq8__2213196780074-0-cib_30be8926-4566-4a51-8a3b-2c982e65d555.jpg?v=1774686159, friendlyName=Open</x:v>
      </x:c>
      <x:c r="C3781" s="24" t="e">
        <x:f>HYPERLINK("https://365nails.com/products/365nails-hello-kitty-chic-3d-bow-leopard-print-handmade-square-nails","365nails: ""Hello Kitty Chic"" – 3D Bow &amp; Leopard Print Handmade Square Nails")</x:f>
        <x:v>HYPERLINK is not implemented. linkLocation=https://365nails.com/products/365nails-hello-kitty-chic-3d-bow-leopard-print-handmade-square-nails, friendlyName=365nails: "Hello Kitty Chic" – 3D Bow &amp; Leopard Print Handmade Square Nails</x:v>
      </x:c>
      <x:c r="D3781" s="18" t="str">
        <x:v>Color: 2544-short oval; Color classification: Xs / S / M / L</x:v>
      </x:c>
      <x:c r="E3781" s="25" t="str">
        <x:v>$3.49</x:v>
      </x:c>
      <x:c r="F3781" s="19" t="str">
        <x:v>1</x:v>
      </x:c>
    </x:row>
    <x:row r="3782" ht="93" customHeight="1">
      <x:c r="A3782" s="19" t="n">
        <x:v>3779</x:v>
      </x:c>
      <x:c r="B3782" s="22" t="e">
        <x:f>HYPERLINK("https://cdn.shopify.com/s/files/1/0918/6066/4603/files/O1CN013qwB5W1rlpRh09LdE__2215158925672-0-cib.jpg?v=1754377235","Open")</x:f>
        <x:v>HYPERLINK is not implemented. linkLocation=https://cdn.shopify.com/s/files/1/0918/6066/4603/files/O1CN013qwB5W1rlpRh09LdE__2215158925672-0-cib.jpg?v=1754377235, friendlyName=Open</x:v>
      </x:c>
      <x:c r="C3782" s="24" t="e">
        <x:f>HYPERLINK("https://365nails.com/products/adam-has-the-same-handmade-press-on-nails-sweet-and-cool-spice-girl-cat-eye-short-nail-patch-style-fake-nails-365nails","Mystic Cat Eye Series Press-On Nails")</x:f>
        <x:v>HYPERLINK is not implemented. linkLocation=https://365nails.com/products/adam-has-the-same-handmade-press-on-nails-sweet-and-cool-spice-girl-cat-eye-short-nail-patch-style-fake-nails-365nails, friendlyName=Mystic Cat Eye Series Press-On Nails</x:v>
      </x:c>
      <x:c r="D3782" s="18" t="str">
        <x:v>Color: new short square; Color classification: XS / S / M / L</x:v>
      </x:c>
      <x:c r="E3782" s="25" t="str">
        <x:v>$2.49</x:v>
      </x:c>
      <x:c r="F3782" s="19" t="str">
        <x:v>30</x:v>
      </x:c>
    </x:row>
    <x:row r="3783" ht="93" customHeight="1">
      <x:c r="A3783" s="19" t="n">
        <x:v>3780</x:v>
      </x:c>
      <x:c r="B3783" s="22" t="e">
        <x:f>HYPERLINK("https://cdn.shopify.com/s/files/1/0918/6066/4603/files/O1CN016OIG182214wSEHIQG__2219480337059-0-cib.jpg?v=1773824743","Open")</x:f>
        <x:v>HYPERLINK is not implemented. linkLocation=https://cdn.shopify.com/s/files/1/0918/6066/4603/files/O1CN016OIG182214wSEHIQG__2219480337059-0-cib.jpg?v=1773824743, friendlyName=Open</x:v>
      </x:c>
      <x:c r="C3783" s="24" t="e">
        <x:f>HYPERLINK("https://365nails.com/products/lucky-lion-dance-kids-series-fortune-prosperity-short-square-kids-nail-art","Lucky Lion Dance Kids Series: ""Fortune &amp; Prosperity"" – Short Square Kids Nail Art")</x:f>
        <x:v>HYPERLINK is not implemented. linkLocation=https://365nails.com/products/lucky-lion-dance-kids-series-fortune-prosperity-short-square-kids-nail-art, friendlyName=Lucky Lion Dance Kids Series: "Fortune &amp; Prosperity" – Short Square Kids Nail Art</x:v>
      </x:c>
      <x:c r="D3783" s="18" t="str">
        <x:v>Color: Lion awakening to make fortune; Color classification: Xs (about 2 years old) / S (3-4 years old) / M (5-7 years old) / L (8-11 years old)</x:v>
      </x:c>
      <x:c r="E3783" s="25" t="str">
        <x:v>$2.99</x:v>
      </x:c>
      <x:c r="F3783" s="19" t="str">
        <x:v>3</x:v>
      </x:c>
    </x:row>
    <x:row r="3784" ht="93" customHeight="1">
      <x:c r="A3784" s="19" t="n">
        <x:v>3781</x:v>
      </x:c>
      <x:c r="B3784" s="22" t="e">
        <x:f>HYPERLINK("https://cdn.shopify.com/s/files/1/0918/6066/4603/files/O1CN01XxWyLC2NGHt9gHnau__4234819935-0-cib_04065852-a74d-4b06-a75b-8f82bc501162.jpg?v=1761288951","Open")</x:f>
        <x:v>HYPERLINK is not implemented. linkLocation=https://cdn.shopify.com/s/files/1/0918/6066/4603/files/O1CN01XxWyLC2NGHt9gHnau__4234819935-0-cib_04065852-a74d-4b06-a75b-8f82bc501162.jpg?v=1761288951, friendlyName=Open</x:v>
      </x:c>
      <x:c r="C3784" s="24" t="e">
        <x:f>HYPERLINK("https://365nails.com/products/white-solid-color-coating-wearing-nail-piece-wholesale-short-round-yiwu-nail-art-simple-beauty-wearing-fake-nails","White solid color coating wearing nail piece wholesale short round Yiwu nail art simple beauty wearing fake nails")</x:f>
        <x:v>HYPERLINK is not implemented. linkLocation=https://365nails.com/products/white-solid-color-coating-wearing-nail-piece-wholesale-short-round-yiwu-nail-art-simple-beauty-wearing-fake-nails, friendlyName=White solid color coating wearing nail piece wholesale short round Yiwu nail art simple beauty wearing fake nails</x:v>
      </x:c>
      <x:c r="D3784" s="18" t="str">
        <x:v>Color: JP3338</x:v>
      </x:c>
      <x:c r="E3784" s="25" t="str">
        <x:v>$1.24</x:v>
      </x:c>
      <x:c r="F3784" s="19" t="str">
        <x:v>1</x:v>
      </x:c>
    </x:row>
    <x:row r="3785" ht="93" customHeight="1">
      <x:c r="A3785" s="19" t="n">
        <x:v>3782</x:v>
      </x:c>
      <x:c r="B3785" s="22" t="e">
        <x:f>HYPERLINK("https://cdn.shopify.com/s/files/1/0918/6066/4603/files/O1CN01UJsp6k2NGHpVUKFXw__4234819935-0-cib_a36249a5-083b-4078-abbb-e95ab261905a.jpg?v=1761288150","Open")</x:f>
        <x:v>HYPERLINK is not implemented. linkLocation=https://cdn.shopify.com/s/files/1/0918/6066/4603/files/O1CN01UJsp6k2NGHpVUKFXw__4234819935-0-cib_a36249a5-083b-4078-abbb-e95ab261905a.jpg?v=1761288150, friendlyName=Open</x:v>
      </x:c>
      <x:c r="C3785" s="24" t="e">
        <x:f>HYPERLINK("https://365nails.com/products/cross-border-explosion-3d-bow-french-wearing-armor-new-y2k-silver-star-flash-diamond-human-fish-bead-nail-art","Cross-border explosion 3D bow French wearing armor new y2k silver star flash diamond human fish bead nail art")</x:f>
        <x:v>HYPERLINK is not implemented. linkLocation=https://365nails.com/products/cross-border-explosion-3d-bow-french-wearing-armor-new-y2k-silver-star-flash-diamond-human-fish-bead-nail-art, friendlyName=Cross-border explosion 3D bow French wearing armor new y2k silver star flash diamond human fish bead nail art</x:v>
      </x:c>
      <x:c r="D3785" s="18" t="str">
        <x:v>Color: JP3123</x:v>
      </x:c>
      <x:c r="E3785" s="25" t="str">
        <x:v>$1.66</x:v>
      </x:c>
      <x:c r="F3785" s="19" t="str">
        <x:v>1</x:v>
      </x:c>
    </x:row>
    <x:row r="3786" ht="93" customHeight="1">
      <x:c r="A3786" s="19" t="n">
        <x:v>3783</x:v>
      </x:c>
      <x:c r="B3786" s="22" t="e">
        <x:f>HYPERLINK("https://cdn.shopify.com/s/files/1/0918/6066/4603/files/f02686a2a872d3dcdf402fc4a79c2ae5.jpg?v=1776246408","Open")</x:f>
        <x:v>HYPERLINK is not implemented. linkLocation=https://cdn.shopify.com/s/files/1/0918/6066/4603/files/f02686a2a872d3dcdf402fc4a79c2ae5.jpg?v=1776246408, friendlyName=Open</x:v>
      </x:c>
      <x:c r="C3786" s="24" t="e">
        <x:f>HYPERLINK("https://365nails.com/products/365nails-pink-puppys-rainbow-3d-character-handmade-short-nails","365nails: ""Pink Puppy's Rainbow"" – 3D Character Handmade Short Nails")</x:f>
        <x:v>HYPERLINK is not implemented. linkLocation=https://365nails.com/products/365nails-pink-puppys-rainbow-3d-character-handmade-short-nails, friendlyName=365nails: "Pink Puppy's Rainbow" – 3D Character Handmade Short Nails</x:v>
      </x:c>
      <x:c r="D3786" s="18" t="str">
        <x:v>Size: XS / S / M / L</x:v>
      </x:c>
      <x:c r="E3786" s="25" t="str">
        <x:v>$2.49</x:v>
      </x:c>
      <x:c r="F3786" s="19" t="str">
        <x:v>3</x:v>
      </x:c>
    </x:row>
    <x:row r="3787" ht="93" customHeight="1">
      <x:c r="A3787" s="19" t="n">
        <x:v>3784</x:v>
      </x:c>
      <x:c r="B3787" s="22" t="e">
        <x:f>HYPERLINK("https://cdn.shopify.com/s/files/1/0918/6066/4603/files/O1CN01OPitNt2NGHoqPkoad__4234819935-0-cib_fcdb285c-d61b-4a83-b2fc-5d896bfbcb8b.jpg?v=1761287980","Open")</x:f>
        <x:v>HYPERLINK is not implemented. linkLocation=https://cdn.shopify.com/s/files/1/0918/6066/4603/files/O1CN01OPitNt2NGHoqPkoad__4234819935-0-cib_fcdb285c-d61b-4a83-b2fc-5d896bfbcb8b.jpg?v=1761287980, friendlyName=Open</x:v>
      </x:c>
      <x:c r="C3787" s="24" t="e">
        <x:f>HYPERLINK("https://365nails.com/products/new-years-cats-eye-red-solid-color-wearing-nail-short-autumn-and-winter-white-simple-nail-art-removable-nail-piece-factory-wholesale","New Year's cat's eye red solid color wearing nail short autumn and winter white simple nail art removable nail piece factory wholesale")</x:f>
        <x:v>HYPERLINK is not implemented. linkLocation=https://365nails.com/products/new-years-cats-eye-red-solid-color-wearing-nail-short-autumn-and-winter-white-simple-nail-art-removable-nail-piece-factory-wholesale, friendlyName=New Year's cat's eye red solid color wearing nail short autumn and winter white simple nail art removable nail piece factory wholesale</x:v>
      </x:c>
      <x:c r="D3787" s="18" t="str">
        <x:v>Color: JP3092</x:v>
      </x:c>
      <x:c r="E3787" s="25" t="str">
        <x:v>$1.41</x:v>
      </x:c>
      <x:c r="F3787" s="19" t="str">
        <x:v>1</x:v>
      </x:c>
    </x:row>
    <x:row r="3788" ht="93" customHeight="1">
      <x:c r="A3788" s="19" t="n">
        <x:v>3785</x:v>
      </x:c>
      <x:c r="B3788" s="22" t="e">
        <x:f>HYPERLINK("https://cdn.shopify.com/s/files/1/0918/6066/4603/files/e0aade341c7055313cbb6f6e3130bbbc.jpg?v=1776214066","Open")</x:f>
        <x:v>HYPERLINK is not implemented. linkLocation=https://cdn.shopify.com/s/files/1/0918/6066/4603/files/e0aade341c7055313cbb6f6e3130bbbc.jpg?v=1776214066, friendlyName=Open</x:v>
      </x:c>
      <x:c r="C3788" s="24" t="e">
        <x:f>HYPERLINK("https://365nails.com/products/365nails-sweet-friends-3d-character-handcrafted-sweet-short-square-nails","365nails: ""Sweet Friends"" – 3D Character Handcrafted Sweet Short Square Nails")</x:f>
        <x:v>HYPERLINK is not implemented. linkLocation=https://365nails.com/products/365nails-sweet-friends-3d-character-handcrafted-sweet-short-square-nails, friendlyName=365nails: "Sweet Friends" – 3D Character Handcrafted Sweet Short Square Nails</x:v>
      </x:c>
      <x:c r="D3788" s="18" t="str">
        <x:v>Size: XS / S / M / L</x:v>
      </x:c>
      <x:c r="E3788" s="25" t="str">
        <x:v>$2.99</x:v>
      </x:c>
      <x:c r="F3788" s="19" t="str">
        <x:v>3</x:v>
      </x:c>
    </x:row>
    <x:row r="3789" ht="93" customHeight="1">
      <x:c r="A3789" s="19" t="n">
        <x:v>3786</x:v>
      </x:c>
      <x:c r="B3789" s="22" t="e">
        <x:f>HYPERLINK("https://cdn.shopify.com/s/files/1/0918/6066/4603/files/O1CN01HKy0Pk2MQzg26bDCe__2219089449823-0-cib.jpg?v=1774348968","Open")</x:f>
        <x:v>HYPERLINK is not implemented. linkLocation=https://cdn.shopify.com/s/files/1/0918/6066/4603/files/O1CN01HKy0Pk2MQzg26bDCe__2219089449823-0-cib.jpg?v=1774348968, friendlyName=Open</x:v>
      </x:c>
      <x:c r="C3789" s="24" t="e">
        <x:f>HYPERLINK("https://365nails.com/products/365nails-pink-blossom-fantasy-extra-long-square-hot-pink-3d-flower-handmade-press-on-nails","365nails: ""Pink Blossom Fantasy"" – Extra Long Square Hot Pink 3D Flower Handmade Press-On Nails")</x:f>
        <x:v>HYPERLINK is not implemented. linkLocation=https://365nails.com/products/365nails-pink-blossom-fantasy-extra-long-square-hot-pink-3d-flower-handmade-press-on-nails, friendlyName=365nails: "Pink Blossom Fantasy" – Extra Long Square Hot Pink 3D Flower Handmade Press-On Nails</x:v>
      </x:c>
      <x:c r="D3789" s="18" t="str">
        <x:v>Color: L014; Color classification: S / M / L</x:v>
      </x:c>
      <x:c r="E3789" s="25" t="str">
        <x:v>$4.99</x:v>
      </x:c>
      <x:c r="F3789" s="19" t="str">
        <x:v>1</x:v>
      </x:c>
    </x:row>
    <x:row r="3790" ht="93" customHeight="1">
      <x:c r="A3790" s="19" t="n">
        <x:v>3787</x:v>
      </x:c>
      <x:c r="B3790" s="22" t="e">
        <x:f>HYPERLINK("https://cdn.shopify.com/s/files/1/0918/6066/4603/files/92e9f9009ab1cbfd7f64f0c147af77e9.jpg?v=1778318210","Open")</x:f>
        <x:v>HYPERLINK is not implemented. linkLocation=https://cdn.shopify.com/s/files/1/0918/6066/4603/files/92e9f9009ab1cbfd7f64f0c147af77e9.jpg?v=1778318210, friendlyName=Open</x:v>
      </x:c>
      <x:c r="C3790" s="24" t="e">
        <x:f>HYPERLINK("https://365nails.com/products/365nails-blooming-opulence-3d-floral-jewel-handmade-stiletto-nails","365nails: ""Blooming Opulence"" – 3D Floral &amp; Jewel Handmade Stiletto Nails")</x:f>
        <x:v>HYPERLINK is not implemented. linkLocation=https://365nails.com/products/365nails-blooming-opulence-3d-floral-jewel-handmade-stiletto-nails, friendlyName=365nails: "Blooming Opulence" – 3D Floral &amp; Jewel Handmade Stiletto Nails</x:v>
      </x:c>
      <x:c r="D3790" s="18" t="str">
        <x:v>Size: XS / S / M / L</x:v>
      </x:c>
      <x:c r="E3790" s="25" t="str">
        <x:v>$3.99</x:v>
      </x:c>
      <x:c r="F3790" s="19" t="str">
        <x:v>5</x:v>
      </x:c>
    </x:row>
    <x:row r="3791" ht="93" customHeight="1">
      <x:c r="A3791" s="19" t="n">
        <x:v>3788</x:v>
      </x:c>
      <x:c r="B3791" s="22" t="e">
        <x:f>HYPERLINK("https://cdn.shopify.com/s/files/1/0918/6066/4603/files/O1CN01demPFC1CPwJebFg8Q__2213196780074-0-cib.jpg?v=1775915936","Open")</x:f>
        <x:v>HYPERLINK is not implemented. linkLocation=https://cdn.shopify.com/s/files/1/0918/6066/4603/files/O1CN01demPFC1CPwJebFg8Q__2213196780074-0-cib.jpg?v=1775915936, friendlyName=Open</x:v>
      </x:c>
      <x:c r="C3791" s="24" t="e">
        <x:f>HYPERLINK("https://365nails.com/products/365nails-lunar-blossom-3d-floral-handmade-medium-almond-nails","365nails: ""Lunar Blossom"" – 3D Floral Handmade Medium Almond Nails")</x:f>
        <x:v>HYPERLINK is not implemented. linkLocation=https://365nails.com/products/365nails-lunar-blossom-3d-floral-handmade-medium-almond-nails, friendlyName=365nails: "Lunar Blossom" – 3D Floral Handmade Medium Almond Nails</x:v>
      </x:c>
      <x:c r="D3791" s="18" t="str">
        <x:v>Color: Extra small size xs / Small s / Medium m / Large l; Specification type: 2288 super short ladder</x:v>
      </x:c>
      <x:c r="E3791" s="25" t="str">
        <x:v>$2.99</x:v>
      </x:c>
      <x:c r="F3791" s="19" t="str">
        <x:v>3</x:v>
      </x:c>
    </x:row>
    <x:row r="3792" ht="93" customHeight="1">
      <x:c r="A3792" s="19" t="n">
        <x:v>3789</x:v>
      </x:c>
      <x:c r="B3792" s="22" t="e">
        <x:f>HYPERLINK("https://cdn.shopify.com/s/files/1/0918/6066/4603/files/O1CN01I6mmQe27ZUlJOpGq7__2220024697811-0-cib.jpg?v=1775053613","Open")</x:f>
        <x:v>HYPERLINK is not implemented. linkLocation=https://cdn.shopify.com/s/files/1/0918/6066/4603/files/O1CN01I6mmQe27ZUlJOpGq7__2220024697811-0-cib.jpg?v=1775053613, friendlyName=Open</x:v>
      </x:c>
      <x:c r="C3792" s="24" t="e">
        <x:f>HYPERLINK("https://365nails.com/products/365nails-midnight-sparkle-3d-glitter-abstract-swirl-handmade-square-nails","365nails: ""Midnight Sparkle"" – 3D Glitter &amp; Abstract Swirl Handmade Square Nails")</x:f>
        <x:v>HYPERLINK is not implemented. linkLocation=https://365nails.com/products/365nails-midnight-sparkle-3d-glitter-abstract-swirl-handmade-square-nails, friendlyName=365nails: "Midnight Sparkle" – 3D Glitter &amp; Abstract Swirl Handmade Square Nails</x:v>
      </x:c>
      <x:c r="D3792" s="18" t="str">
        <x:v>Color: Almond; Color classification: Xs / S / M / L</x:v>
      </x:c>
      <x:c r="E3792" s="25" t="str">
        <x:v>$3.99</x:v>
      </x:c>
      <x:c r="F3792" s="19" t="str">
        <x:v>3</x:v>
      </x:c>
    </x:row>
    <x:row r="3793" ht="93" customHeight="1">
      <x:c r="A3793" s="19" t="n">
        <x:v>3790</x:v>
      </x:c>
      <x:c r="B3793" s="22" t="e">
        <x:f>HYPERLINK("https://cdn.shopify.com/s/files/1/0918/6066/4603/files/O1CN018F7Ihw1xxArjGWJxN__2212202186509-0-cib.jpg?v=1763615374","Open")</x:f>
        <x:v>HYPERLINK is not implemented. linkLocation=https://cdn.shopify.com/s/files/1/0918/6066/4603/files/O1CN018F7Ihw1xxArjGWJxN__2212202186509-0-cib.jpg?v=1763615374, friendlyName=Open</x:v>
      </x:c>
      <x:c r="C3793" s="24" t="e">
        <x:f>HYPERLINK("https://365nails.com/products/vanilla-paper-nail-display-card-for-press-on-nails-minimalist-neutral-packaging","Vanilla Paper Nail Display Card for Press-On Nails – Minimalist Neutral Packaging")</x:f>
        <x:v>HYPERLINK is not implemented. linkLocation=https://365nails.com/products/vanilla-paper-nail-display-card-for-press-on-nails-minimalist-neutral-packaging, friendlyName=Vanilla Paper Nail Display Card for Press-On Nails – Minimalist Neutral Packaging</x:v>
      </x:c>
      <x:c r="D3793" s="18" t="str">
        <x:v>Size: Vanilla paper type A (7.5x11.5cm blank on the reverse side) / Vanilla paper type B (7.5x11.5cm blank on the reverse side) / Vanilla paper type C (7.5x11.5cm blank on the reverse side) / Vanilla paper type D (7.5x11.5cm blank on the reverse side) / Vanilla paper E (7.5x11.5cm blank on the reverse side) / Machine convex camellia hot silver 7.5x7.5cm; Quantity: 100pcs</x:v>
      </x:c>
      <x:c r="E3793" s="25" t="str">
        <x:v>$9.00</x:v>
      </x:c>
      <x:c r="F3793" s="19" t="str">
        <x:v>1</x:v>
      </x:c>
    </x:row>
    <x:row r="3794" ht="93" customHeight="1">
      <x:c r="A3794" s="19" t="n">
        <x:v>3791</x:v>
      </x:c>
      <x:c r="B3794" s="22" t="e">
        <x:f>HYPERLINK("https://cdn.shopify.com/s/files/1/0918/6066/4603/files/O1CN01exmknJ1CPwOcdYYNt__2213196780074-0-cib_3eb1336e-cbb3-4234-90c9-da976f974e09.jpg?v=1774860499","Open")</x:f>
        <x:v>HYPERLINK is not implemented. linkLocation=https://cdn.shopify.com/s/files/1/0918/6066/4603/files/O1CN01exmknJ1CPwOcdYYNt__2213196780074-0-cib_3eb1336e-cbb3-4234-90c9-da976f974e09.jpg?v=1774860499, friendlyName=Open</x:v>
      </x:c>
      <x:c r="C3794" s="24" t="e">
        <x:f>HYPERLINK("https://365nails.com/products/365nails-amber-whispers-3d-floral-crystal-leopard-print-handmade-stiletto-nails","365nails: ""Amber Whispers"" – 3D Floral &amp; Crystal Leopard Print Handmade Stiletto Nails")</x:f>
        <x:v>HYPERLINK is not implemented. linkLocation=https://365nails.com/products/365nails-amber-whispers-3d-floral-crystal-leopard-print-handmade-stiletto-nails, friendlyName=365nails: "Amber Whispers" – 3D Floral &amp; Crystal Leopard Print Handmade Stiletto Nails</x:v>
      </x:c>
      <x:c r="D3794" s="18" t="str">
        <x:v>Color: 3100-medium oval / 3102-long oval / 3104-extra long ladder; Color classification: Xs / S / M / L</x:v>
      </x:c>
      <x:c r="E3794" s="25" t="str">
        <x:v>$3.49</x:v>
      </x:c>
      <x:c r="F3794" s="19" t="str">
        <x:v>1</x:v>
      </x:c>
    </x:row>
    <x:row r="3795" ht="93" customHeight="1">
      <x:c r="A3795" s="19" t="n">
        <x:v>3792</x:v>
      </x:c>
      <x:c r="B3795" s="22" t="e">
        <x:f>HYPERLINK("https://cdn.shopify.com/s/files/1/0918/6066/4603/files/fbe9a8addf28e478d82f71652a07070a.jpg?v=1776244875","Open")</x:f>
        <x:v>HYPERLINK is not implemented. linkLocation=https://cdn.shopify.com/s/files/1/0918/6066/4603/files/fbe9a8addf28e478d82f71652a07070a.jpg?v=1776244875, friendlyName=Open</x:v>
      </x:c>
      <x:c r="C3795" s="24" t="e">
        <x:f>HYPERLINK("https://365nails.com/products/365nails-lavender-dreams-3d-floral-butterfly-handmade-short-nails","365nails: ""Lavender Dreams"" – 3D Floral &amp; Butterfly Handmade Short Nails")</x:f>
        <x:v>HYPERLINK is not implemented. linkLocation=https://365nails.com/products/365nails-lavender-dreams-3d-floral-butterfly-handmade-short-nails, friendlyName=365nails: "Lavender Dreams" – 3D Floral &amp; Butterfly Handmade Short Nails</x:v>
      </x:c>
      <x:c r="D3795" s="18" t="str">
        <x:v>Size: XS / S / M / L</x:v>
      </x:c>
      <x:c r="E3795" s="25" t="str">
        <x:v>$2.49</x:v>
      </x:c>
      <x:c r="F3795" s="19" t="str">
        <x:v>3</x:v>
      </x:c>
    </x:row>
    <x:row r="3796" ht="93" customHeight="1">
      <x:c r="A3796" s="19" t="n">
        <x:v>3793</x:v>
      </x:c>
      <x:c r="B3796" s="22" t="e">
        <x:f>HYPERLINK("https://cdn.shopify.com/s/files/1/0918/6066/4603/files/O1CN01Ow7GH61ehcvkyLuAE__6000000003903-0-cib.jpg?v=1775106848","Open")</x:f>
        <x:v>HYPERLINK is not implemented. linkLocation=https://cdn.shopify.com/s/files/1/0918/6066/4603/files/O1CN01Ow7GH61ehcvkyLuAE__6000000003903-0-cib.jpg?v=1775106848, friendlyName=Open</x:v>
      </x:c>
      <x:c r="C3796" s="24" t="e">
        <x:f>HYPERLINK("https://365nails.com/products/365nails-nebula-veil-hand-painted-cat-eye-glitter-handmade-square-nails","365nails: ""Nebula Veil"" – Hand-Painted Cat Eye &amp; Glitter Handmade Square Nails")</x:f>
        <x:v>HYPERLINK is not implemented. linkLocation=https://365nails.com/products/365nails-nebula-veil-hand-painted-cat-eye-glitter-handmade-square-nails, friendlyName=365nails: "Nebula Veil" – Hand-Painted Cat Eye &amp; Glitter Handmade Square Nails</x:v>
      </x:c>
      <x:c r="D3796" s="18" t="str">
        <x:v>Color: China; Color classification: Xs / S / M / L</x:v>
      </x:c>
      <x:c r="E3796" s="25" t="str">
        <x:v>$3.99</x:v>
      </x:c>
      <x:c r="F3796" s="19" t="str">
        <x:v>3</x:v>
      </x:c>
    </x:row>
    <x:row r="3797" ht="93" customHeight="1">
      <x:c r="A3797" s="19" t="n">
        <x:v>3794</x:v>
      </x:c>
      <x:c r="B3797" s="22" t="e">
        <x:f>HYPERLINK("https://cdn.shopify.com/s/files/1/0918/6066/4603/files/29d1d5efd11b0925b2fb38c616645cd3.jpg?v=1778244760","Open")</x:f>
        <x:v>HYPERLINK is not implemented. linkLocation=https://cdn.shopify.com/s/files/1/0918/6066/4603/files/29d1d5efd11b0925b2fb38c616645cd3.jpg?v=1778244760, friendlyName=Open</x:v>
      </x:c>
      <x:c r="C3797" s="24" t="e">
        <x:f>HYPERLINK("https://365nails.com/products/365nails-witchy-vibes-abstract-swirl-star-handmade-stiletto-nails","365nails: ""Witchy Vibes"" – Abstract Swirl &amp; Star Handmade Stiletto Nails")</x:f>
        <x:v>HYPERLINK is not implemented. linkLocation=https://365nails.com/products/365nails-witchy-vibes-abstract-swirl-star-handmade-stiletto-nails, friendlyName=365nails: "Witchy Vibes" – Abstract Swirl &amp; Star Handmade Stiletto Nails</x:v>
      </x:c>
      <x:c r="D3797" s="18" t="str">
        <x:v>Size: XS / S / M / L</x:v>
      </x:c>
      <x:c r="E3797" s="25" t="str">
        <x:v>$3.99</x:v>
      </x:c>
      <x:c r="F3797" s="19" t="str">
        <x:v>5</x:v>
      </x:c>
    </x:row>
    <x:row r="3798" ht="93" customHeight="1">
      <x:c r="A3798" s="19" t="n">
        <x:v>3795</x:v>
      </x:c>
      <x:c r="B3798" s="22" t="e">
        <x:f>HYPERLINK("https://cdn.shopify.com/s/files/1/0918/6066/4603/files/8a05017384b4c85f567ececa504e9ef2.jpg?v=1776214150","Open")</x:f>
        <x:v>HYPERLINK is not implemented. linkLocation=https://cdn.shopify.com/s/files/1/0918/6066/4603/files/8a05017384b4c85f567ececa504e9ef2.jpg?v=1776214150, friendlyName=Open</x:v>
      </x:c>
      <x:c r="C3798" s="24" t="e">
        <x:f>HYPERLINK("https://365nails.com/products/365nails-capybara-love-3d-character-handcrafted-sweet-short-square-nails","365nails: ""Capybara Love"" – 3D Character Handcrafted Sweet Short Square Nails")</x:f>
        <x:v>HYPERLINK is not implemented. linkLocation=https://365nails.com/products/365nails-capybara-love-3d-character-handcrafted-sweet-short-square-nails, friendlyName=365nails: "Capybara Love" – 3D Character Handcrafted Sweet Short Square Nails</x:v>
      </x:c>
      <x:c r="D3798" s="18" t="str">
        <x:v>Size: XS / S / M / L</x:v>
      </x:c>
      <x:c r="E3798" s="25" t="str">
        <x:v>$2.49</x:v>
      </x:c>
      <x:c r="F3798" s="19" t="str">
        <x:v>3</x:v>
      </x:c>
    </x:row>
    <x:row r="3799" ht="93" customHeight="1">
      <x:c r="A3799" s="19" t="n">
        <x:v>3796</x:v>
      </x:c>
      <x:c r="B3799" s="22" t="e">
        <x:f>HYPERLINK("https://cdn.shopify.com/s/files/1/0918/6066/4603/files/O1CN01NrRrSP1CPwPsjnXWO__2213196780074-0-cib.jpg?v=1776740397","Open")</x:f>
        <x:v>HYPERLINK is not implemented. linkLocation=https://cdn.shopify.com/s/files/1/0918/6066/4603/files/O1CN01NrRrSP1CPwPsjnXWO__2213196780074-0-cib.jpg?v=1776740397, friendlyName=Open</x:v>
      </x:c>
      <x:c r="C3799" s="24" t="e">
        <x:f>HYPERLINK("https://365nails.com/products/365nails-aqua-luxe-3d-gem-cow-print-handmade-coffin-nails","365nails: ""Aqua Luxe"" – 3D Gem &amp; Cow Print Handmade Coffin Nails")</x:f>
        <x:v>HYPERLINK is not implemented. linkLocation=https://365nails.com/products/365nails-aqua-luxe-3d-gem-cow-print-handmade-coffin-nails, friendlyName=365nails: "Aqua Luxe" – 3D Gem &amp; Cow Print Handmade Coffin Nails</x:v>
      </x:c>
      <x:c r="D3799" s="18" t="str">
        <x:v>Color: 1028-long oval; Color classification: Extra small size xs / Small s / Medium m / Large l</x:v>
      </x:c>
      <x:c r="E3799" s="25" t="str">
        <x:v>$3.49</x:v>
      </x:c>
      <x:c r="F3799" s="19" t="str">
        <x:v>1</x:v>
      </x:c>
    </x:row>
    <x:row r="3800" ht="93" customHeight="1">
      <x:c r="A3800" s="19" t="n">
        <x:v>3797</x:v>
      </x:c>
      <x:c r="B3800" s="22" t="e">
        <x:f>HYPERLINK("https://cdn.shopify.com/s/files/1/0918/6066/4603/files/O1CN0116Y3OC27ZUkQQPX1h__2220024697811-0-cib.jpg?v=1774929113","Open")</x:f>
        <x:v>HYPERLINK is not implemented. linkLocation=https://cdn.shopify.com/s/files/1/0918/6066/4603/files/O1CN0116Y3OC27ZUkQQPX1h__2220024697811-0-cib.jpg?v=1774929113, friendlyName=Open</x:v>
      </x:c>
      <x:c r="C3800" s="24" t="e">
        <x:f>HYPERLINK("https://365nails.com/products/365nails-aurora-radiance-crystal-cluster-handmade-square-nails","365nails: ""Aurora Radiance"" – Crystal Cluster Handmade Square Nails")</x:f>
        <x:v>HYPERLINK is not implemented. linkLocation=https://365nails.com/products/365nails-aurora-radiance-crystal-cluster-handmade-square-nails, friendlyName=365nails: "Aurora Radiance" – Crystal Cluster Handmade Square Nails</x:v>
      </x:c>
      <x:c r="D3800" s="18" t="str">
        <x:v>Color: Duckbill; Color classification: Xs / S / M / L</x:v>
      </x:c>
      <x:c r="E3800" s="25" t="str">
        <x:v>$4.49</x:v>
      </x:c>
      <x:c r="F3800" s="19" t="str">
        <x:v>3</x:v>
      </x:c>
    </x:row>
    <x:row r="3801" ht="93" customHeight="1">
      <x:c r="A3801" s="19" t="n">
        <x:v>3798</x:v>
      </x:c>
      <x:c r="B3801" s="22" t="e">
        <x:f>HYPERLINK("https://cdn.shopify.com/s/files/1/0918/6066/4603/files/O1CN01s8cMq12214wHscdbW__2219480337059-0-cib.jpg?v=1773196267","Open")</x:f>
        <x:v>HYPERLINK is not implemented. linkLocation=https://cdn.shopify.com/s/files/1/0918/6066/4603/files/O1CN01s8cMq12214wHscdbW__2219480337059-0-cib.jpg?v=1773196267, friendlyName=Open</x:v>
      </x:c>
      <x:c r="C3801" s="24" t="e">
        <x:f>HYPERLINK("https://365nails.com/products/365nails-pastel-lion-dance-short-squoval-handmade-kids-press-on-nails","365nails: ""pastel lion dance"" – short squoval handmade kids press-on nails")</x:f>
        <x:v>HYPERLINK is not implemented. linkLocation=https://365nails.com/products/365nails-pastel-lion-dance-short-squoval-handmade-kids-press-on-nails, friendlyName=365nails: "pastel lion dance" – short squoval handmade kids press-on nails</x:v>
      </x:c>
      <x:c r="D3801" s="18" t="str">
        <x:v>Color: 51291 cat eye powder awakening lion; Color classification: Xs (about 2 years old) / S (3-4 years old) / M (5-7 years old) / L (8-11 years old)</x:v>
      </x:c>
      <x:c r="E3801" s="25" t="str">
        <x:v>$2.99</x:v>
      </x:c>
      <x:c r="F3801" s="19" t="str">
        <x:v>3</x:v>
      </x:c>
    </x:row>
    <x:row r="3802" ht="93" customHeight="1">
      <x:c r="A3802" s="19" t="n">
        <x:v>3799</x:v>
      </x:c>
      <x:c r="B3802" s="22" t="e">
        <x:f>HYPERLINK("https://cdn.shopify.com/s/files/1/0918/6066/4603/files/O1CN01iS7rP227ZUlEM0DDU__2220024697811-0-cib.jpg?v=1775004093","Open")</x:f>
        <x:v>HYPERLINK is not implemented. linkLocation=https://cdn.shopify.com/s/files/1/0918/6066/4603/files/O1CN01iS7rP227ZUlEM0DDU__2220024697811-0-cib.jpg?v=1775004093, friendlyName=Open</x:v>
      </x:c>
      <x:c r="C3802" s="24" t="e">
        <x:f>HYPERLINK("https://365nails.com/products/365nails-elegant-sakura-3d-flower-handmade-coffin-nails","365nails: ""Elegant Sakura"" – 3D Flower Handmade Coffin Nails")</x:f>
        <x:v>HYPERLINK is not implemented. linkLocation=https://365nails.com/products/365nails-elegant-sakura-3d-flower-handmade-coffin-nails, friendlyName=365nails: "Elegant Sakura" – 3D Flower Handmade Coffin Nails</x:v>
      </x:c>
      <x:c r="D3802" s="18" t="str">
        <x:v>Color: Almond; Color classification: Xs / S / M / L</x:v>
      </x:c>
      <x:c r="E3802" s="25" t="str">
        <x:v>$4.49</x:v>
      </x:c>
      <x:c r="F3802" s="19" t="str">
        <x:v>3</x:v>
      </x:c>
    </x:row>
    <x:row r="3803" ht="93" customHeight="1">
      <x:c r="A3803" s="19" t="n">
        <x:v>3800</x:v>
      </x:c>
      <x:c r="B3803" s="22" t="e">
        <x:f>HYPERLINK("https://cdn.shopify.com/s/files/1/0918/6066/4603/files/acc0584a9f06ddadc02130a41144f18d.jpg?v=1778242685","Open")</x:f>
        <x:v>HYPERLINK is not implemented. linkLocation=https://cdn.shopify.com/s/files/1/0918/6066/4603/files/acc0584a9f06ddadc02130a41144f18d.jpg?v=1778242685, friendlyName=Open</x:v>
      </x:c>
      <x:c r="C3803" s="24" t="e">
        <x:f>HYPERLINK("https://365nails.com/products/365nails-midnight-cow-abstract-chrome-matte-handmade-long-stiletto-nails","365nails: ""Midnight Cow"" – Abstract Chrome &amp; Matte Handmade Long Stiletto Nails")</x:f>
        <x:v>HYPERLINK is not implemented. linkLocation=https://365nails.com/products/365nails-midnight-cow-abstract-chrome-matte-handmade-long-stiletto-nails, friendlyName=365nails: "Midnight Cow" – Abstract Chrome &amp; Matte Handmade Long Stiletto Nails</x:v>
      </x:c>
      <x:c r="D3803" s="18" t="str">
        <x:v>Size: XS / S / M / L</x:v>
      </x:c>
      <x:c r="E3803" s="25" t="str">
        <x:v>$3.99</x:v>
      </x:c>
      <x:c r="F3803" s="19" t="str">
        <x:v>5</x:v>
      </x:c>
    </x:row>
    <x:row r="3804" ht="93" customHeight="1">
      <x:c r="A3804" s="19" t="n">
        <x:v>3801</x:v>
      </x:c>
      <x:c r="B3804" s="22" t="e">
        <x:f>HYPERLINK("https://cdn.shopify.com/s/files/1/0918/6066/4603/files/O1CN019XFeqU27ZUllqrnsH__2220024697811-0-cib.jpg?v=1774926400","Open")</x:f>
        <x:v>HYPERLINK is not implemented. linkLocation=https://cdn.shopify.com/s/files/1/0918/6066/4603/files/O1CN019XFeqU27ZUllqrnsH__2220024697811-0-cib.jpg?v=1774926400, friendlyName=Open</x:v>
      </x:c>
      <x:c r="C3804" s="24" t="e">
        <x:f>HYPERLINK("https://365nails.com/products/365nails-summer-bloom-3d-floral-handmade-stiletto-nails","365nails: ""Summer Bloom"" – 3D Floral Handmade Stiletto Nails")</x:f>
        <x:v>HYPERLINK is not implemented. linkLocation=https://365nails.com/products/365nails-summer-bloom-3d-floral-handmade-stiletto-nails, friendlyName=365nails: "Summer Bloom" – 3D Floral Handmade Stiletto Nails</x:v>
      </x:c>
      <x:c r="D3804" s="18" t="str">
        <x:v>Color: Long tip; Color classification: Xs / S / M / L</x:v>
      </x:c>
      <x:c r="E3804" s="25" t="str">
        <x:v>$4.99</x:v>
      </x:c>
      <x:c r="F3804" s="19" t="str">
        <x:v>3</x:v>
      </x:c>
    </x:row>
    <x:row r="3805" ht="93" customHeight="1">
      <x:c r="A3805" s="19" t="n">
        <x:v>3802</x:v>
      </x:c>
      <x:c r="B3805" s="22" t="e">
        <x:f>HYPERLINK("https://cdn.shopify.com/s/files/1/0918/6066/4603/files/O1CN01i6Arpu2MQzdvc8MmG__2219089449823-0-cib.jpg?v=1774453012","Open")</x:f>
        <x:v>HYPERLINK is not implemented. linkLocation=https://cdn.shopify.com/s/files/1/0918/6066/4603/files/O1CN01i6Arpu2MQzdvc8MmG__2219089449823-0-cib.jpg?v=1774453012, friendlyName=Open</x:v>
      </x:c>
      <x:c r="C3805" s="24" t="e">
        <x:f>HYPERLINK("https://365nails.com/products/rainbow-fantasy-butterfly-bloom-short-square-handmade-press-on-nails","Rainbow Fantasy: ""Butterfly Bloom"" – Short Square Handmade Press On Nails")</x:f>
        <x:v>HYPERLINK is not implemented. linkLocation=https://365nails.com/products/rainbow-fantasy-butterfly-bloom-short-square-handmade-press-on-nails, friendlyName=Rainbow Fantasy: "Butterfly Bloom" – Short Square Handmade Press On Nails</x:v>
      </x:c>
      <x:c r="D3805" s="18" t="str">
        <x:v>Color: L261; Color classification: X s / S / M / L</x:v>
      </x:c>
      <x:c r="E3805" s="25" t="str">
        <x:v>$3.49</x:v>
      </x:c>
      <x:c r="F3805" s="19" t="str">
        <x:v>1</x:v>
      </x:c>
    </x:row>
    <x:row r="3806" ht="93" customHeight="1">
      <x:c r="A3806" s="19" t="n">
        <x:v>3803</x:v>
      </x:c>
      <x:c r="B3806" s="22" t="e">
        <x:f>HYPERLINK("https://cdn.shopify.com/s/files/1/0918/6066/4603/files/6275ef14869b56a8210f732f08dce149.jpg?v=1776169849","Open")</x:f>
        <x:v>HYPERLINK is not implemented. linkLocation=https://cdn.shopify.com/s/files/1/0918/6066/4603/files/6275ef14869b56a8210f732f08dce149.jpg?v=1776169849, friendlyName=Open</x:v>
      </x:c>
      <x:c r="C3806" s="24" t="e">
        <x:f>HYPERLINK("https://365nails.com/products/365nails-silver-dream-3d-charm-handmade-short-square-nails","365nails: ""Silver Dream"" – 3D Charm Handmade Short Square Nails")</x:f>
        <x:v>HYPERLINK is not implemented. linkLocation=https://365nails.com/products/365nails-silver-dream-3d-charm-handmade-short-square-nails, friendlyName=365nails: "Silver Dream" – 3D Charm Handmade Short Square Nails</x:v>
      </x:c>
      <x:c r="D3806" s="18" t="str">
        <x:v>Size: XS / S / M / L</x:v>
      </x:c>
      <x:c r="E3806" s="25" t="str">
        <x:v>$1.99</x:v>
      </x:c>
      <x:c r="F3806" s="19" t="str">
        <x:v>3</x:v>
      </x:c>
    </x:row>
    <x:row r="3807" ht="93" customHeight="1">
      <x:c r="A3807" s="19" t="n">
        <x:v>3804</x:v>
      </x:c>
      <x:c r="B3807" s="22" t="e">
        <x:f>HYPERLINK("https://cdn.shopify.com/s/files/1/0918/6066/4603/files/23330be0e551ca692f18a62ca6358b6c.jpg?v=1778315697","Open")</x:f>
        <x:v>HYPERLINK is not implemented. linkLocation=https://cdn.shopify.com/s/files/1/0918/6066/4603/files/23330be0e551ca692f18a62ca6358b6c.jpg?v=1778315697, friendlyName=Open</x:v>
      </x:c>
      <x:c r="C3807" s="24" t="e">
        <x:f>HYPERLINK("https://365nails.com/products/365nails-royal-bloom-3d-gold-leaf-crystal-handmade-short-almond-nails","365nails: ""Royal Bloom"" – 3D Gold Leaf &amp; Crystal Handmade Short Almond Nails")</x:f>
        <x:v>HYPERLINK is not implemented. linkLocation=https://365nails.com/products/365nails-royal-bloom-3d-gold-leaf-crystal-handmade-short-almond-nails, friendlyName=365nails: "Royal Bloom" – 3D Gold Leaf &amp; Crystal Handmade Short Almond Nails</x:v>
      </x:c>
      <x:c r="D3807" s="18" t="str">
        <x:v>Size: XS / S / M / L</x:v>
      </x:c>
      <x:c r="E3807" s="25" t="str">
        <x:v>$3.99</x:v>
      </x:c>
      <x:c r="F3807" s="19" t="str">
        <x:v>5</x:v>
      </x:c>
    </x:row>
    <x:row r="3808" ht="93" customHeight="1">
      <x:c r="A3808" s="19" t="n">
        <x:v>3805</x:v>
      </x:c>
      <x:c r="B3808" s="22" t="e">
        <x:f>HYPERLINK("https://cdn.shopify.com/s/files/1/0918/6066/4603/files/O1CN01KxtR9027ZUkIQLB0u__2220024697811-0-cib.jpg?v=1775004023","Open")</x:f>
        <x:v>HYPERLINK is not implemented. linkLocation=https://cdn.shopify.com/s/files/1/0918/6066/4603/files/O1CN01KxtR9027ZUkIQLB0u__2220024697811-0-cib.jpg?v=1775004023, friendlyName=Open</x:v>
      </x:c>
      <x:c r="C3808" s="24" t="e">
        <x:f>HYPERLINK("https://365nails.com/products/365nails-candy-blossom-3d-flower-handmade-coffin-nails","365nails: ""Candy Blossom"" – 3D Flower Handmade Coffin Nails")</x:f>
        <x:v>HYPERLINK is not implemented. linkLocation=https://365nails.com/products/365nails-candy-blossom-3d-flower-handmade-coffin-nails, friendlyName=365nails: "Candy Blossom" – 3D Flower Handmade Coffin Nails</x:v>
      </x:c>
      <x:c r="D3808" s="18" t="str">
        <x:v>Color: Short almond; Color classification: Xs / S / M / L</x:v>
      </x:c>
      <x:c r="E3808" s="25" t="str">
        <x:v>$4.99</x:v>
      </x:c>
      <x:c r="F3808" s="19" t="str">
        <x:v>3</x:v>
      </x:c>
    </x:row>
    <x:row r="3809" ht="93" customHeight="1">
      <x:c r="A3809" s="19" t="n">
        <x:v>3806</x:v>
      </x:c>
      <x:c r="B3809" s="22" t="e">
        <x:f>HYPERLINK("https://cdn.shopify.com/s/files/1/0918/6066/4603/files/O1CN01jy2b3p27ZUlpatdiF__2220024697811-0-cib.jpg?v=1774865225","Open")</x:f>
        <x:v>HYPERLINK is not implemented. linkLocation=https://cdn.shopify.com/s/files/1/0918/6066/4603/files/O1CN01jy2b3p27ZUlpatdiF__2220024697811-0-cib.jpg?v=1774865225, friendlyName=Open</x:v>
      </x:c>
      <x:c r="C3809" s="24" t="e">
        <x:f>HYPERLINK("https://365nails.com/products/365nails-sunset-serenade-3d-floral-gradient-handmade-almond-nails","365nails: ""Sunset Serenade"" – 3D Floral &amp; Gradient Handmade Almond Nails")</x:f>
        <x:v>HYPERLINK is not implemented. linkLocation=https://365nails.com/products/365nails-sunset-serenade-3d-floral-gradient-handmade-almond-nails, friendlyName=365nails: "Sunset Serenade" – 3D Floral &amp; Gradient Handmade Almond Nails</x:v>
      </x:c>
      <x:c r="D3809" s="18" t="str">
        <x:v>Color: Almond; Color classification: Xs / S / M / L</x:v>
      </x:c>
      <x:c r="E3809" s="25" t="str">
        <x:v>$4.99</x:v>
      </x:c>
      <x:c r="F3809" s="19" t="str">
        <x:v>3</x:v>
      </x:c>
    </x:row>
    <x:row r="3810" ht="93" customHeight="1">
      <x:c r="A3810" s="19" t="n">
        <x:v>3807</x:v>
      </x:c>
      <x:c r="B3810" s="22" t="e">
        <x:f>HYPERLINK("https://cdn.shopify.com/s/files/1/0918/6066/4603/files/O1CN012pGBY52MQzgCIoKzu__2219089449823-0-cib.jpg?v=1774348973","Open")</x:f>
        <x:v>HYPERLINK is not implemented. linkLocation=https://cdn.shopify.com/s/files/1/0918/6066/4603/files/O1CN012pGBY52MQzgCIoKzu__2219089449823-0-cib.jpg?v=1774348973, friendlyName=Open</x:v>
      </x:c>
      <x:c r="C3810" s="24" t="e">
        <x:f>HYPERLINK("https://365nails.com/products/365nails-blueberry-bow-delight-medium-almond-cute-cartoon-handmade-press-on-nails","365nails: ""Blueberry Bow Delight"" – Medium Almond Cute Cartoon Handmade Press-On Nails")</x:f>
        <x:v>HYPERLINK is not implemented. linkLocation=https://365nails.com/products/365nails-blueberry-bow-delight-medium-almond-cute-cartoon-handmade-press-on-nails, friendlyName=365nails: "Blueberry Bow Delight" – Medium Almond Cute Cartoon Handmade Press-On Nails</x:v>
      </x:c>
      <x:c r="D3810" s="18" t="str">
        <x:v>Color: C455; Color classification: X s / S / M / L</x:v>
      </x:c>
      <x:c r="E3810" s="25" t="str">
        <x:v>$3.49</x:v>
      </x:c>
      <x:c r="F3810" s="19" t="str">
        <x:v>1</x:v>
      </x:c>
    </x:row>
    <x:row r="3811" ht="93" customHeight="1">
      <x:c r="A3811" s="19" t="n">
        <x:v>3808</x:v>
      </x:c>
      <x:c r="B3811" s="22" t="e">
        <x:f>HYPERLINK("https://cdn.shopify.com/s/files/1/0918/6066/4603/files/O1CN01cMxAU02214vZkNwPt__2219480337059-0-cib.jpg?v=1773321017","Open")</x:f>
        <x:v>HYPERLINK is not implemented. linkLocation=https://cdn.shopify.com/s/files/1/0918/6066/4603/files/O1CN01cMxAU02214vZkNwPt__2219480337059-0-cib.jpg?v=1773321017, friendlyName=Open</x:v>
      </x:c>
      <x:c r="C3811" s="24" t="e">
        <x:f>HYPERLINK("https://365nails.com/products/365nails-christmas-bear-party-short-round-handmade-kids-press-on-nails","365nails: ""christmas bear party"" – short round handmade kids press-on nails")</x:f>
        <x:v>HYPERLINK is not implemented. linkLocation=https://365nails.com/products/365nails-christmas-bear-party-short-round-handmade-kids-press-on-nails, friendlyName=365nails: "christmas bear party" – short round handmade kids press-on nails</x:v>
      </x:c>
      <x:c r="D3811" s="18" t="str">
        <x:v>Color: H9254 christmas bear; Color classification: Xs (about 2 years old) / S (3-4 years old) / M (5-7 years old) / L (8-11 years old)</x:v>
      </x:c>
      <x:c r="E3811" s="25" t="str">
        <x:v>$2.99</x:v>
      </x:c>
      <x:c r="F3811" s="19" t="str">
        <x:v>3</x:v>
      </x:c>
    </x:row>
    <x:row r="3812" ht="93" customHeight="1">
      <x:c r="A3812" s="19" t="n">
        <x:v>3809</x:v>
      </x:c>
      <x:c r="B3812" s="22" t="e">
        <x:f>HYPERLINK("https://cdn.shopify.com/s/files/1/0918/6066/4603/files/6af7dc6c00019d1fa8fff21106430e5d.jpg?v=1772976657","Open")</x:f>
        <x:v>HYPERLINK is not implemented. linkLocation=https://cdn.shopify.com/s/files/1/0918/6066/4603/files/6af7dc6c00019d1fa8fff21106430e5d.jpg?v=1772976657, friendlyName=Open</x:v>
      </x:c>
      <x:c r="C3812" s="24" t="e">
        <x:f>HYPERLINK("https://365nails.com/products/drama-collection-xxl-no-c-denim-xxl-no-c-curve-denim-nail-tips-500pcs-bag","Drama Collection: ""XXL No-C Denim"" – XXL No-C-Curve Denim Nail Tips (500pcs Bag)")</x:f>
        <x:v>HYPERLINK is not implemented. linkLocation=https://365nails.com/products/drama-collection-xxl-no-c-denim-xxl-no-c-curve-denim-nail-tips-500pcs-bag, friendlyName=Drama Collection: "XXL No-C Denim" – XXL No-C-Curve Denim Nail Tips (500pcs Bag)</x:v>
      </x:c>
      <x:c r="D3812" s="18" t="str">
        <x:v>Color: 200 pieces - traceless transparent color / 200 pieces-transparent color / 200 pieces-natural color</x:v>
      </x:c>
      <x:c r="E3812" s="25" t="str">
        <x:v>$1.12–$1.46</x:v>
      </x:c>
      <x:c r="F3812" s="19" t="str">
        <x:v>3</x:v>
      </x:c>
    </x:row>
    <x:row r="3813" ht="93" customHeight="1">
      <x:c r="A3813" s="19" t="n">
        <x:v>3810</x:v>
      </x:c>
      <x:c r="B3813" s="22" t="e">
        <x:f>HYPERLINK("https://cdn.shopify.com/s/files/1/0918/6066/4603/files/75d199bc0e696141284a0249ca4d72f4.jpg?v=1776168995","Open")</x:f>
        <x:v>HYPERLINK is not implemented. linkLocation=https://cdn.shopify.com/s/files/1/0918/6066/4603/files/75d199bc0e696141284a0249ca4d72f4.jpg?v=1776168995, friendlyName=Open</x:v>
      </x:c>
      <x:c r="C3813" s="24" t="e">
        <x:f>HYPERLINK("https://365nails.com/products/365nails-kitty-sparkle-3d-character-handmade-short-square-nails","365nails: ""Kitty Sparkle"" – 3D Character Handmade Short Square Nails")</x:f>
        <x:v>HYPERLINK is not implemented. linkLocation=https://365nails.com/products/365nails-kitty-sparkle-3d-character-handmade-short-square-nails, friendlyName=365nails: "Kitty Sparkle" – 3D Character Handmade Short Square Nails</x:v>
      </x:c>
      <x:c r="D3813" s="18" t="str">
        <x:v>Size: XS / S / M / L</x:v>
      </x:c>
      <x:c r="E3813" s="25" t="str">
        <x:v>$1.99</x:v>
      </x:c>
      <x:c r="F3813" s="19" t="str">
        <x:v>3</x:v>
      </x:c>
    </x:row>
    <x:row r="3814" ht="93" customHeight="1">
      <x:c r="A3814" s="19" t="n">
        <x:v>3811</x:v>
      </x:c>
      <x:c r="B3814" s="22" t="e">
        <x:f>HYPERLINK("https://cdn.shopify.com/s/files/1/0918/6066/4603/files/O1CN019kULpL247bTFt2308__2209064737344-0-cib_2146ec66-63d5-437f-815d-3dc5d72d658b.jpg?v=1772976651","Open")</x:f>
        <x:v>HYPERLINK is not implemented. linkLocation=https://cdn.shopify.com/s/files/1/0918/6066/4603/files/O1CN019kULpL247bTFt2308__2209064737344-0-cib_2146ec66-63d5-437f-815d-3dc5d72d658b.jpg?v=1772976651, friendlyName=Open</x:v>
      </x:c>
      <x:c r="C3814" s="24" t="e">
        <x:f>HYPERLINK("https://365nails.com/products/pro-c-curve-collection-white-c-curve-c-arc-full-cover-nail-tips","Pro C-Curve Collection: ""White C-Curve"" – C-Arc Full-Cover Nail Tips")</x:f>
        <x:v>HYPERLINK is not implemented. linkLocation=https://365nails.com/products/pro-c-curve-collection-white-c-curve-c-arc-full-cover-nail-tips, friendlyName=Pro C-Curve Collection: "White C-Curve" – C-Arc Full-Cover Nail Tips</x:v>
      </x:c>
      <x:c r="D3814" s="18" t="str">
        <x:v>Color: 550 pieces in natural color pp bag / 550 pieces in transparent pp bag / 550 pieces in natural color pp box / 550 pieces in transparent color pp box</x:v>
      </x:c>
      <x:c r="E3814" s="25" t="str">
        <x:v>$2.46–$2.69</x:v>
      </x:c>
      <x:c r="F3814" s="19" t="str">
        <x:v>3</x:v>
      </x:c>
    </x:row>
    <x:row r="3815" ht="93" customHeight="1">
      <x:c r="A3815" s="19" t="n">
        <x:v>3812</x:v>
      </x:c>
      <x:c r="B3815" s="22" t="e">
        <x:f>HYPERLINK("https://cdn.shopify.com/s/files/1/0918/6066/4603/files/bfa271f192fb1eeada294f2dfc1f1b1c.jpg?v=1772707786","Open")</x:f>
        <x:v>HYPERLINK is not implemented. linkLocation=https://cdn.shopify.com/s/files/1/0918/6066/4603/files/bfa271f192fb1eeada294f2dfc1f1b1c.jpg?v=1772707786, friendlyName=Open</x:v>
      </x:c>
      <x:c r="C3815" s="24" t="e">
        <x:f>HYPERLINK("https://365nails.com/products/365nails-full-matte-nail-tips-multi-shape-nail-extension-set-with-storage-case","365nails Full-Matte Nail Tips | Multi-Shape Nail Extension Set with Storage Case")</x:f>
        <x:v>HYPERLINK is not implemented. linkLocation=https://365nails.com/products/365nails-full-matte-nail-tips-multi-shape-nail-extension-set-with-storage-case, friendlyName=365nails Full-Matte Nail Tips | Multi-Shape Nail Extension Set with Storage Case</x:v>
      </x:c>
      <x:c r="D3815" s="18" t="str">
        <x:v>Color: 191-short oval-450 pieces in box / 192-trapezoid-450 pieces in box / 193-short trapezoid-450 pieces in box / 194-medium almond-450 pieces in box / 195 - short round - 450 pieces box / 196-square armor-450 pieces in box / 197 - short square round - 450 pieces box / 198 - long almond - 450 pieces box / 199-japanese fat oval-450 pieces in box / 199-2 - japanese short &amp; chunky oval - 450 pieces box / 401 - ultra short stiletto - full matte - 450 pieces box / 401 - ultra short stiletto - semi-matte - 450 pieces box / 402 - new short ladder - semi-matte - 450 pieces box / 403-new short square circle-450 pieces in box / 404-short ballet-450 pieces in box / 405 - short almond - 450 pieces box / 406 - toenail tips, 450 pieces box</x:v>
      </x:c>
      <x:c r="E3815" s="25" t="str">
        <x:v>$2.14</x:v>
      </x:c>
      <x:c r="F3815" s="19" t="str">
        <x:v>3</x:v>
      </x:c>
    </x:row>
    <x:row r="3816" ht="93" customHeight="1">
      <x:c r="A3816" s="19" t="n">
        <x:v>3813</x:v>
      </x:c>
      <x:c r="B3816" s="22" t="e">
        <x:f>HYPERLINK("https://cdn.shopify.com/s/files/1/0918/6066/4603/files/O1CN01KY7s1B27ZUkH83dpA__2220024697811-0-cib.jpg?v=1775004976","Open")</x:f>
        <x:v>HYPERLINK is not implemented. linkLocation=https://cdn.shopify.com/s/files/1/0918/6066/4603/files/O1CN01KY7s1B27ZUkH83dpA__2220024697811-0-cib.jpg?v=1775004976, friendlyName=Open</x:v>
      </x:c>
      <x:c r="C3816" s="24" t="e">
        <x:f>HYPERLINK("https://365nails.com/products/365nails-citrus-bloom-3d-floral-handmade-almond-nails-1","365nails: ""Citrus Bloom"" – 3D Floral Handmade Almond Nails")</x:f>
        <x:v>HYPERLINK is not implemented. linkLocation=https://365nails.com/products/365nails-citrus-bloom-3d-floral-handmade-almond-nails-1, friendlyName=365nails: "Citrus Bloom" – 3D Floral Handmade Almond Nails</x:v>
      </x:c>
      <x:c r="D3816" s="18" t="str">
        <x:v>Color: Almond; Color classification: Xs / S / M / L</x:v>
      </x:c>
      <x:c r="E3816" s="25" t="str">
        <x:v>$4.49</x:v>
      </x:c>
      <x:c r="F3816" s="19" t="str">
        <x:v>3</x:v>
      </x:c>
    </x:row>
    <x:row r="3817" ht="93" customHeight="1">
      <x:c r="A3817" s="19" t="n">
        <x:v>3814</x:v>
      </x:c>
      <x:c r="B3817" s="22" t="e">
        <x:f>HYPERLINK("https://cdn.shopify.com/s/files/1/0918/6066/4603/files/O1CN01rfA0ad2214sWButbl__2219480337059-0-cib.jpg?v=1773824651","Open")</x:f>
        <x:v>HYPERLINK is not implemented. linkLocation=https://cdn.shopify.com/s/files/1/0918/6066/4603/files/O1CN01rfA0ad2214sWButbl__2219480337059-0-cib.jpg?v=1773824651, friendlyName=Open</x:v>
      </x:c>
      <x:c r="C3817" s="24" t="e">
        <x:f>HYPERLINK("https://365nails.com/products/winnie-the-pooh-kids-series-honey-pot-party-short-square-kids-nail-art","365nails-Winnie the Pooh Kids Series: ""Honey Pot Party"" – Short Square Kids Nail Art")</x:f>
        <x:v>HYPERLINK is not implemented. linkLocation=https://365nails.com/products/winnie-the-pooh-kids-series-honey-pot-party-short-square-kids-nail-art, friendlyName=365nails-Winnie the Pooh Kids Series: "Honey Pot Party" – Short Square Kids Nail Art</x:v>
      </x:c>
      <x:c r="D3817" s="18" t="str">
        <x:v>Color: Sweet cool coffee bear; Color classification: Xs (about 2 years old) / S (3-4 years old) / M (5-7 years old) / L (8-11 years old)</x:v>
      </x:c>
      <x:c r="E3817" s="25" t="str">
        <x:v>$2.99</x:v>
      </x:c>
      <x:c r="F3817" s="19" t="str">
        <x:v>3</x:v>
      </x:c>
    </x:row>
    <x:row r="3818" ht="93" customHeight="1">
      <x:c r="A3818" s="19" t="n">
        <x:v>3815</x:v>
      </x:c>
      <x:c r="B3818" s="22" t="e">
        <x:f>HYPERLINK("https://cdn.shopify.com/s/files/1/0918/6066/4603/files/O1CN01tySKcK1rlpJst3Z8O__2215158925672-0-cib.jpg?v=1772513802","Open")</x:f>
        <x:v>HYPERLINK is not implemented. linkLocation=https://cdn.shopify.com/s/files/1/0918/6066/4603/files/O1CN01tySKcK1rlpJst3Z8O__2215158925672-0-cib.jpg?v=1772513802, friendlyName=Open</x:v>
      </x:c>
      <x:c r="C3818" s="24" t="e">
        <x:f>HYPERLINK("https://365nails.com/products/365nails-pop-art-candy-ripple-short-square-blue-pink-swirl-press-on-nails-24pcs","365nails: ""Dopamine Swirl"" – Short Squoval Handmade Press-On Nails")</x:f>
        <x:v>HYPERLINK is not implemented. linkLocation=https://365nails.com/products/365nails-pop-art-candy-ripple-short-square-blue-pink-swirl-press-on-nails-24pcs, friendlyName=365nails: "Dopamine Swirl" – Short Squoval Handmade Press-On Nails</x:v>
      </x:c>
      <x:c r="D3818" s="18" t="str">
        <x:v>Color: New short square; Color classification: X s / S / M / L</x:v>
      </x:c>
      <x:c r="E3818" s="25" t="str">
        <x:v>$2.49</x:v>
      </x:c>
      <x:c r="F3818" s="19" t="str">
        <x:v>3</x:v>
      </x:c>
    </x:row>
    <x:row r="3819" ht="93" customHeight="1">
      <x:c r="A3819" s="19" t="n">
        <x:v>3816</x:v>
      </x:c>
      <x:c r="B3819" s="22" t="e">
        <x:f>HYPERLINK("https://cdn.shopify.com/s/files/1/0918/6066/4603/files/O1CN01JdbwW32MQzfoGYeHc__2219089449823-0-cib.jpg?v=1774258108","Open")</x:f>
        <x:v>HYPERLINK is not implemented. linkLocation=https://cdn.shopify.com/s/files/1/0918/6066/4603/files/O1CN01JdbwW32MQzfoGYeHc__2219089449823-0-cib.jpg?v=1774258108, friendlyName=Open</x:v>
      </x:c>
      <x:c r="C3819" s="24" t="e">
        <x:f>HYPERLINK("https://365nails.com/products/pink-plaid-bloom-cat-eye-flower-short-oval-shape-handmade-press-on-nails","Pink Plaid Bloom: ""Cat Eye Flower"" – Short Oval Shape Handmade Press-On Nails")</x:f>
        <x:v>HYPERLINK is not implemented. linkLocation=https://365nails.com/products/pink-plaid-bloom-cat-eye-flower-short-oval-shape-handmade-press-on-nails, friendlyName=Pink Plaid Bloom: "Cat Eye Flower" – Short Oval Shape Handmade Press-On Nails</x:v>
      </x:c>
      <x:c r="D3819" s="18" t="str">
        <x:v>Color: C 401; Color classification: X s / S / M / L</x:v>
      </x:c>
      <x:c r="E3819" s="25" t="str">
        <x:v>$3.49</x:v>
      </x:c>
      <x:c r="F3819" s="19" t="str">
        <x:v>1</x:v>
      </x:c>
    </x:row>
    <x:row r="3820" ht="93" customHeight="1">
      <x:c r="A3820" s="19" t="n">
        <x:v>3817</x:v>
      </x:c>
      <x:c r="B3820" s="22" t="e">
        <x:f>HYPERLINK("https://cdn.shopify.com/s/files/1/0918/6066/4603/files/O1CN01RQNC3E2MQzg1ZowMl__2219089449823-0-cib.jpg?v=1774275887","Open")</x:f>
        <x:v>HYPERLINK is not implemented. linkLocation=https://cdn.shopify.com/s/files/1/0918/6066/4603/files/O1CN01RQNC3E2MQzg1ZowMl__2219089449823-0-cib.jpg?v=1774275887, friendlyName=Open</x:v>
      </x:c>
      <x:c r="C3820" s="24" t="e">
        <x:f>HYPERLINK("https://365nails.com/products/alien-bloom-cosmic-star-extra-long-stiletto-press-on-nails","Alien Bloom: ""Cosmic Star"" – Extra Long Stiletto Press-On Nails")</x:f>
        <x:v>HYPERLINK is not implemented. linkLocation=https://365nails.com/products/alien-bloom-cosmic-star-extra-long-stiletto-press-on-nails, friendlyName=Alien Bloom: "Cosmic Star" – Extra Long Stiletto Press-On Nails</x:v>
      </x:c>
      <x:c r="D3820" s="18" t="str">
        <x:v>Color: D268; Color classification: X s / S / M / L</x:v>
      </x:c>
      <x:c r="E3820" s="25" t="str">
        <x:v>$3.49</x:v>
      </x:c>
      <x:c r="F3820" s="19" t="str">
        <x:v>1</x:v>
      </x:c>
    </x:row>
    <x:row r="3821" ht="93" customHeight="1">
      <x:c r="A3821" s="19" t="n">
        <x:v>3818</x:v>
      </x:c>
      <x:c r="B3821" s="22" t="e">
        <x:f>HYPERLINK("https://cdn.shopify.com/s/files/1/0918/6066/4603/files/O1CN01cd2D7d1CPwIfOkacu__2213196780074-0-cib_03b4c74e-6bf1-4eb0-addb-3ec3fc2b3458.jpg?v=1776594264","Open")</x:f>
        <x:v>HYPERLINK is not implemented. linkLocation=https://cdn.shopify.com/s/files/1/0918/6066/4603/files/O1CN01cd2D7d1CPwIfOkacu__2213196780074-0-cib_03b4c74e-6bf1-4eb0-addb-3ec3fc2b3458.jpg?v=1776594264, friendlyName=Open</x:v>
      </x:c>
      <x:c r="C3821" s="24" t="e">
        <x:f>HYPERLINK("https://365nails.com/products/365nails-wild-couture-3d-metallic-stripe-leopard-handmade-stiletto-nails","365nails: ""Wild Couture"" – 3D Metallic Stripe Leopard Handmade Stiletto Nails")</x:f>
        <x:v>HYPERLINK is not implemented. linkLocation=https://365nails.com/products/365nails-wild-couture-3d-metallic-stripe-leopard-handmade-stiletto-nails, friendlyName=365nails: "Wild Couture" – 3D Metallic Stripe Leopard Handmade Stiletto Nails</x:v>
      </x:c>
      <x:c r="D3821" s="18" t="str">
        <x:v>Color: 2304-long water drop; Color classification: Extra small size xs / Small s / Medium m / Large l</x:v>
      </x:c>
      <x:c r="E3821" s="25" t="str">
        <x:v>$3.49</x:v>
      </x:c>
      <x:c r="F3821" s="19" t="str">
        <x:v>1</x:v>
      </x:c>
    </x:row>
    <x:row r="3822" ht="93" customHeight="1">
      <x:c r="A3822" s="19" t="n">
        <x:v>3819</x:v>
      </x:c>
      <x:c r="B3822" s="22" t="e">
        <x:f>HYPERLINK("https://cdn.shopify.com/s/files/1/0918/6066/4603/files/O1CN017c1pKa2214wSFw8zo__2219480337059-0-cib.jpg?v=1773321094","Open")</x:f>
        <x:v>HYPERLINK is not implemented. linkLocation=https://cdn.shopify.com/s/files/1/0918/6066/4603/files/O1CN017c1pKa2214wSFw8zo__2219480337059-0-cib.jpg?v=1773321094, friendlyName=Open</x:v>
      </x:c>
      <x:c r="C3822" s="24" t="e">
        <x:f>HYPERLINK("https://365nails.com/products/365nails-auspicious-snow-lion-dance-short-round-handmade-kids-press-on-nails","365nails: ""auspicious snow lion dance"" – short round handmade kids press-on nails")</x:f>
        <x:v>HYPERLINK is not implemented. linkLocation=https://365nails.com/products/365nails-auspicious-snow-lion-dance-short-round-handmade-kids-press-on-nails, friendlyName=365nails: "auspicious snow lion dance" – short round handmade kids press-on nails</x:v>
      </x:c>
      <x:c r="D3822" s="18" t="str">
        <x:v>Color: Sparkling lion dance; Color classification: Xs (about 2 years old) / S (3-4 years old) / M (5-7 years old) / L (8-11 years old)</x:v>
      </x:c>
      <x:c r="E3822" s="25" t="str">
        <x:v>$2.99</x:v>
      </x:c>
      <x:c r="F3822" s="19" t="str">
        <x:v>3</x:v>
      </x:c>
    </x:row>
    <x:row r="3823" ht="93" customHeight="1">
      <x:c r="A3823" s="19" t="n">
        <x:v>3820</x:v>
      </x:c>
      <x:c r="B3823" s="22" t="e">
        <x:f>HYPERLINK("https://cdn.shopify.com/s/files/1/0918/6066/4603/files/O1CN01VkBzeP247bja1x7UA__2209064737344-0-cib_950b66f7-d841-4a76-8707-9320fa0733ab.jpg?v=1772707682","Open")</x:f>
        <x:v>HYPERLINK is not implemented. linkLocation=https://cdn.shopify.com/s/files/1/0918/6066/4603/files/O1CN01VkBzeP247bja1x7UA__2209064737344-0-cib_950b66f7-d841-4a76-8707-9320fa0733ab.jpg?v=1772707682, friendlyName=Open</x:v>
      </x:c>
      <x:c r="C3823" s="24" t="e">
        <x:f>HYPERLINK("https://365nails.com/products/365nails-half-matte-nail-tips-240pcs-long-stiletto-almond-nail-extensions","365nails: ""Half-Matte Nail Tips"" – 240pcs Long Stiletto/Almond Nail Extensions")</x:f>
        <x:v>HYPERLINK is not implemented. linkLocation=https://365nails.com/products/365nails-half-matte-nail-tips-240pcs-long-stiletto-almond-nail-extensions, friendlyName=365nails: "Half-Matte Nail Tips" – 240pcs Long Stiletto/Almond Nail Extensions</x:v>
      </x:c>
      <x:c r="D3823" s="18" t="str">
        <x:v>Color: Ys-292*240 tablets / Ys-293*240 tablets / Ys-294*240 tablets</x:v>
      </x:c>
      <x:c r="E3823" s="25" t="str">
        <x:v>$1.91</x:v>
      </x:c>
      <x:c r="F3823" s="19" t="str">
        <x:v>3</x:v>
      </x:c>
    </x:row>
    <x:row r="3824" ht="93" customHeight="1">
      <x:c r="A3824" s="19" t="n">
        <x:v>3821</x:v>
      </x:c>
      <x:c r="B3824" s="22" t="e">
        <x:f>HYPERLINK("https://cdn.shopify.com/s/files/1/0918/6066/4603/files/O1CN01eiaykv2MQzdBj272z__2219089449823-0-cib.jpg?v=1774348863","Open")</x:f>
        <x:v>HYPERLINK is not implemented. linkLocation=https://cdn.shopify.com/s/files/1/0918/6066/4603/files/O1CN01eiaykv2MQzdBj272z__2219089449823-0-cib.jpg?v=1774348863, friendlyName=Open</x:v>
      </x:c>
      <x:c r="C3824" s="24" t="e">
        <x:f>HYPERLINK("https://365nails.com/products/ethereal-minimalist-milky-pearl-dew-long-almond-clear-yellow-gradient-handmade-press-on","Ethereal Minimalist: ""Milky Pearl Dew"" – Long Almond Clear &amp; Yellow Gradient Handmade Press-On")</x:f>
        <x:v>HYPERLINK is not implemented. linkLocation=https://365nails.com/products/ethereal-minimalist-milky-pearl-dew-long-almond-clear-yellow-gradient-handmade-press-on, friendlyName=Ethereal Minimalist: "Milky Pearl Dew" – Long Almond Clear &amp; Yellow Gradient Handmade Press-On</x:v>
      </x:c>
      <x:c r="D3824" s="18" t="str">
        <x:v>Color: K027; Color classification: X s / S / M / L</x:v>
      </x:c>
      <x:c r="E3824" s="25" t="str">
        <x:v>$3.69</x:v>
      </x:c>
      <x:c r="F3824" s="19" t="str">
        <x:v>1</x:v>
      </x:c>
    </x:row>
    <x:row r="3825" ht="93" customHeight="1">
      <x:c r="A3825" s="19" t="n">
        <x:v>3822</x:v>
      </x:c>
      <x:c r="B3825" s="22" t="e">
        <x:f>HYPERLINK("https://cdn.shopify.com/s/files/1/0918/6066/4603/files/57d5c453d22dd3dee8f825b569c96f94.jpg?v=1772976596","Open")</x:f>
        <x:v>HYPERLINK is not implemented. linkLocation=https://cdn.shopify.com/s/files/1/0918/6066/4603/files/57d5c453d22dd3dee8f825b569c96f94.jpg?v=1772976596, friendlyName=Open</x:v>
      </x:c>
      <x:c r="C3825" s="24" t="e">
        <x:f>HYPERLINK("https://365nails.com/products/seamless-collection-240-clear-tapered-seamless-clear-nail-tips-240pcs-box","Seamless Collection: ""240 Clear Tapered"" – Seamless Clear Nail Tips (240pcs Box)")</x:f>
        <x:v>HYPERLINK is not implemented. linkLocation=https://365nails.com/products/seamless-collection-240-clear-tapered-seamless-clear-nail-tips-240pcs-box, friendlyName=Seamless Collection: "240 Clear Tapered" – Seamless Clear Nail Tips (240pcs Box)</x:v>
      </x:c>
      <x:c r="D3825" s="18" t="str">
        <x:v>Color: 240 pieces - traceless transparent color - pp box / 240 pieces-transparent color-pp box / 240 pieces-natural color-pp box</x:v>
      </x:c>
      <x:c r="E3825" s="25" t="str">
        <x:v>$1.23–$1.34</x:v>
      </x:c>
      <x:c r="F3825" s="19" t="str">
        <x:v>3</x:v>
      </x:c>
    </x:row>
    <x:row r="3826" ht="93" customHeight="1">
      <x:c r="A3826" s="19" t="n">
        <x:v>3823</x:v>
      </x:c>
      <x:c r="B3826" s="22" t="e">
        <x:f>HYPERLINK("https://cdn.shopify.com/s/files/1/0918/6066/4603/files/O1CN01okj9H22214sz7S2BI__2219480337059-0-cib.jpg?v=1773321035","Open")</x:f>
        <x:v>HYPERLINK is not implemented. linkLocation=https://cdn.shopify.com/s/files/1/0918/6066/4603/files/O1CN01okj9H22214sz7S2BI__2219480337059-0-cib.jpg?v=1773321035, friendlyName=Open</x:v>
      </x:c>
      <x:c r="C3826" s="24" t="e">
        <x:f>HYPERLINK("https://365nails.com/products/365nails-pastel-my-melody-short-round-handmade-kids-press-on-nails","365nails: ""pastel my melody"" – short round handmade kids press-on nails")</x:f>
        <x:v>HYPERLINK is not implemented. linkLocation=https://365nails.com/products/365nails-pastel-my-melody-short-round-handmade-kids-press-on-nails, friendlyName=365nails: "pastel my melody" – short round handmade kids press-on nails</x:v>
      </x:c>
      <x:c r="D3826" s="18" t="str">
        <x:v>Color: Diamond bow melody; Color classification: Xs (about 2 years old) / S (3-4 years old) / M (5-7 years old) / L (8-11 years old)</x:v>
      </x:c>
      <x:c r="E3826" s="25" t="str">
        <x:v>$2.99</x:v>
      </x:c>
      <x:c r="F3826" s="19" t="str">
        <x:v>3</x:v>
      </x:c>
    </x:row>
    <x:row r="3827" ht="93" customHeight="1">
      <x:c r="A3827" s="19" t="n">
        <x:v>3824</x:v>
      </x:c>
      <x:c r="B3827" s="22" t="e">
        <x:f>HYPERLINK("https://cdn.shopify.com/s/files/1/0918/6066/4603/files/O1CN018EUSii27ZUlGBUKBZ__2220024697811-0-cib.jpg?v=1775053002","Open")</x:f>
        <x:v>HYPERLINK is not implemented. linkLocation=https://cdn.shopify.com/s/files/1/0918/6066/4603/files/O1CN018EUSii27ZUlGBUKBZ__2220024697811-0-cib.jpg?v=1775053002, friendlyName=Open</x:v>
      </x:c>
      <x:c r="C3827" s="24" t="e">
        <x:f>HYPERLINK("https://365nails.com/products/365nails-lucky-clover-3d-floral-charm-handmade-coffin-nails","365nails: ""Lucky Clover"" – 3D Floral &amp; Charm Handmade Coffin Nails")</x:f>
        <x:v>HYPERLINK is not implemented. linkLocation=https://365nails.com/products/365nails-lucky-clover-3d-floral-charm-handmade-coffin-nails, friendlyName=365nails: "Lucky Clover" – 3D Floral &amp; Charm Handmade Coffin Nails</x:v>
      </x:c>
      <x:c r="D3827" s="18" t="str">
        <x:v>Color: Duckbill; Color classification: Xs / S / M / L</x:v>
      </x:c>
      <x:c r="E3827" s="25" t="str">
        <x:v>$4.49</x:v>
      </x:c>
      <x:c r="F3827" s="19" t="str">
        <x:v>3</x:v>
      </x:c>
    </x:row>
    <x:row r="3828" ht="93" customHeight="1">
      <x:c r="A3828" s="19" t="n">
        <x:v>3825</x:v>
      </x:c>
      <x:c r="B3828" s="22" t="e">
        <x:f>HYPERLINK("https://cdn.shopify.com/s/files/1/0918/6066/4603/files/O1CN01kUm8Q51CPwKiCxwUq__2213196780074-0-cib_4d2488b2-d8d4-4416-a624-f8709c83b801.jpg?v=1776600832","Open")</x:f>
        <x:v>HYPERLINK is not implemented. linkLocation=https://cdn.shopify.com/s/files/1/0918/6066/4603/files/O1CN01kUm8Q51CPwKiCxwUq__2213196780074-0-cib_4d2488b2-d8d4-4416-a624-f8709c83b801.jpg?v=1776600832, friendlyName=Open</x:v>
      </x:c>
      <x:c r="C3828" s="24" t="e">
        <x:f>HYPERLINK("https://365nails.com/products/365nails-noir-serpent-hand-painted-cat-eye-snake-art-handmade-almond-nails","365nails: ""Noir Serpent"" – Hand-Painted Cat Eye Snake Art Handmade Almond Nails")</x:f>
        <x:v>HYPERLINK is not implemented. linkLocation=https://365nails.com/products/365nails-noir-serpent-hand-painted-cat-eye-snake-art-handmade-almond-nails, friendlyName=365nails: "Noir Serpent" – Hand-Painted Cat Eye Snake Art Handmade Almond Nails</x:v>
      </x:c>
      <x:c r="D3828" s="18" t="str">
        <x:v>Color: Extra small size xs / Small s / Medium m / Large l; Specification type: 1686-almond a</x:v>
      </x:c>
      <x:c r="E3828" s="25" t="str">
        <x:v>$3.49</x:v>
      </x:c>
      <x:c r="F3828" s="19" t="str">
        <x:v>1</x:v>
      </x:c>
    </x:row>
    <x:row r="3829" ht="93" customHeight="1">
      <x:c r="A3829" s="19" t="n">
        <x:v>3826</x:v>
      </x:c>
      <x:c r="B3829" s="22" t="e">
        <x:f>HYPERLINK("https://cdn.shopify.com/s/files/1/0918/6066/4603/files/f314d39be8e89732beadc3511dee1167.jpg?v=1773902264","Open")</x:f>
        <x:v>HYPERLINK is not implemented. linkLocation=https://cdn.shopify.com/s/files/1/0918/6066/4603/files/f314d39be8e89732beadc3511dee1167.jpg?v=1773902264, friendlyName=Open</x:v>
      </x:c>
      <x:c r="C3829" s="24" t="e">
        <x:f>HYPERLINK("https://365nails.com/products/365nails-amber-gold-flow-cat-eye-handmade-press-on-nails-retro-luxury-street-cool","365Nails: ""Amber Gold Flow Cat-Eye"" – handmade press-on nails (Retro Luxury/Street Cool)")</x:f>
        <x:v>HYPERLINK is not implemented. linkLocation=https://365nails.com/products/365nails-amber-gold-flow-cat-eye-handmade-press-on-nails-retro-luxury-street-cool, friendlyName=365Nails: "Amber Gold Flow Cat-Eye" – handmade press-on nails (Retro Luxury/Street Cool)</x:v>
      </x:c>
      <x:c r="D3829" s="18" t="str">
        <x:v>Size: XS / S / M / L</x:v>
      </x:c>
      <x:c r="E3829" s="25" t="str">
        <x:v>$3.99</x:v>
      </x:c>
      <x:c r="F3829" s="19" t="str">
        <x:v>5</x:v>
      </x:c>
    </x:row>
    <x:row r="3830" ht="93" customHeight="1">
      <x:c r="A3830" s="19" t="n">
        <x:v>3827</x:v>
      </x:c>
      <x:c r="B3830" s="22" t="e">
        <x:f>HYPERLINK("https://cdn.shopify.com/s/files/1/0918/6066/4603/files/O1CN01QYEutn2MQzgEOgRV5__2219089449823-0-cib.jpg?v=1774348948","Open")</x:f>
        <x:v>HYPERLINK is not implemented. linkLocation=https://cdn.shopify.com/s/files/1/0918/6066/4603/files/O1CN01QYEutn2MQzgEOgRV5__2219089449823-0-cib.jpg?v=1774348948, friendlyName=Open</x:v>
      </x:c>
      <x:c r="C3830" s="24" t="e">
        <x:f>HYPERLINK("https://365nails.com/products/elegant-pastel-blue-bloom-french-short-square-nude-blue-floral-handmade-press-on","Elegant Pastel: ""Blue Bloom French"" – Short Square Nude &amp; Blue Floral Handmade Press-On")</x:f>
        <x:v>HYPERLINK is not implemented. linkLocation=https://365nails.com/products/elegant-pastel-blue-bloom-french-short-square-nude-blue-floral-handmade-press-on, friendlyName=Elegant Pastel: "Blue Bloom French" – Short Square Nude &amp; Blue Floral Handmade Press-On</x:v>
      </x:c>
      <x:c r="D3830" s="18" t="str">
        <x:v>Color: L280; Color classification: X s / S / M / L</x:v>
      </x:c>
      <x:c r="E3830" s="25" t="str">
        <x:v>$4.99</x:v>
      </x:c>
      <x:c r="F3830" s="19" t="str">
        <x:v>1</x:v>
      </x:c>
    </x:row>
    <x:row r="3831" ht="93" customHeight="1">
      <x:c r="A3831" s="19" t="n">
        <x:v>3828</x:v>
      </x:c>
      <x:c r="B3831" s="22" t="e">
        <x:f>HYPERLINK("https://cdn.shopify.com/s/files/1/0918/6066/4603/files/O1CN01wgbxcg2MQzdbhy7PQ__2219089449823-0-cib.jpg?v=1774348901","Open")</x:f>
        <x:v>HYPERLINK is not implemented. linkLocation=https://cdn.shopify.com/s/files/1/0918/6066/4603/files/O1CN01wgbxcg2MQzdbhy7PQ__2219089449823-0-cib.jpg?v=1774348901, friendlyName=Open</x:v>
      </x:c>
      <x:c r="C3831" s="24" t="e">
        <x:f>HYPERLINK("https://365nails.com/products/sakura-punk-pink-zebra-sakura-short-square-pink-zebra-print-handmade-press-on","Sakura Punk: ""Pink Zebra Sakura"" – Short Square Pink &amp; Zebra Print Handmade Press-On")</x:f>
        <x:v>HYPERLINK is not implemented. linkLocation=https://365nails.com/products/sakura-punk-pink-zebra-sakura-short-square-pink-zebra-print-handmade-press-on, friendlyName=Sakura Punk: "Pink Zebra Sakura" – Short Square Pink &amp; Zebra Print Handmade Press-On</x:v>
      </x:c>
      <x:c r="D3831" s="18" t="str">
        <x:v>Color: L264; Color classification: X s / S / M / L</x:v>
      </x:c>
      <x:c r="E3831" s="25" t="str">
        <x:v>$4.99</x:v>
      </x:c>
      <x:c r="F3831" s="19" t="str">
        <x:v>1</x:v>
      </x:c>
    </x:row>
    <x:row r="3832" ht="93" customHeight="1">
      <x:c r="A3832" s="19" t="n">
        <x:v>3829</x:v>
      </x:c>
      <x:c r="B3832" s="22" t="e">
        <x:f>HYPERLINK("https://cdn.shopify.com/s/files/1/0918/6066/4603/files/6fc0c82e81395a6201605be15b594330.jpg?v=1773902559","Open")</x:f>
        <x:v>HYPERLINK is not implemented. linkLocation=https://cdn.shopify.com/s/files/1/0918/6066/4603/files/6fc0c82e81395a6201605be15b594330.jpg?v=1773902559, friendlyName=Open</x:v>
      </x:c>
      <x:c r="C3832" s="24" t="e">
        <x:f>HYPERLINK("https://365nails.com/products/365nails-dark-night-galaxy-handmade-press-on-nails-cool-cat-eye-individual-trend-style","365Nails: ""Dark Night Galaxy"" – handmade press-on nails (Cool Cat-eye/Individual Trend Style)")</x:f>
        <x:v>HYPERLINK is not implemented. linkLocation=https://365nails.com/products/365nails-dark-night-galaxy-handmade-press-on-nails-cool-cat-eye-individual-trend-style, friendlyName=365Nails: "Dark Night Galaxy" – handmade press-on nails (Cool Cat-eye/Individual Trend Style)</x:v>
      </x:c>
      <x:c r="D3832" s="18" t="str">
        <x:v>Size: XS / S / M / L</x:v>
      </x:c>
      <x:c r="E3832" s="25" t="str">
        <x:v>$3.99</x:v>
      </x:c>
      <x:c r="F3832" s="19" t="str">
        <x:v>5</x:v>
      </x:c>
    </x:row>
    <x:row r="3833" ht="93" customHeight="1">
      <x:c r="A3833" s="19" t="n">
        <x:v>3830</x:v>
      </x:c>
      <x:c r="B3833" s="22" t="e">
        <x:f>HYPERLINK("https://cdn.shopify.com/s/files/1/0918/6066/4603/files/O1CN01mC7RKI27ZUkZzOBfM__2220024697811-0-cib.jpg?v=1775051859","Open")</x:f>
        <x:v>HYPERLINK is not implemented. linkLocation=https://cdn.shopify.com/s/files/1/0918/6066/4603/files/O1CN01mC7RKI27ZUkZzOBfM__2220024697811-0-cib.jpg?v=1775051859, friendlyName=Open</x:v>
      </x:c>
      <x:c r="C3833" s="24" t="e">
        <x:f>HYPERLINK("https://365nails.com/products/365nails-tropical-bloom-3d-floral-gradient-handmade-almond-nails","365nails: ""Tropical Bloom"" – 3D Floral &amp; Gradient Handmade Almond Nails")</x:f>
        <x:v>HYPERLINK is not implemented. linkLocation=https://365nails.com/products/365nails-tropical-bloom-3d-floral-gradient-handmade-almond-nails, friendlyName=365nails: "Tropical Bloom" – 3D Floral &amp; Gradient Handmade Almond Nails</x:v>
      </x:c>
      <x:c r="D3833" s="18" t="str">
        <x:v>Color: Right angle medium rectangle; Color classification: Xs / S / M / L</x:v>
      </x:c>
      <x:c r="E3833" s="25" t="str">
        <x:v>$6.49</x:v>
      </x:c>
      <x:c r="F3833" s="19" t="str">
        <x:v>3</x:v>
      </x:c>
    </x:row>
    <x:row r="3834" ht="93" customHeight="1">
      <x:c r="A3834" s="19" t="n">
        <x:v>3831</x:v>
      </x:c>
      <x:c r="B3834" s="22" t="e">
        <x:f>HYPERLINK("https://cdn.shopify.com/s/files/1/0918/6066/4603/files/O1CN01ZSDIKe2MQzfBkZCOq__2219089449823-0-cib.jpg?v=1774257915","Open")</x:f>
        <x:v>HYPERLINK is not implemented. linkLocation=https://cdn.shopify.com/s/files/1/0918/6066/4603/files/O1CN01ZSDIKe2MQzfBkZCOq__2219089449823-0-cib.jpg?v=1774257915, friendlyName=Open</x:v>
      </x:c>
      <x:c r="C3834" s="24" t="e">
        <x:f>HYPERLINK("https://365nails.com/products/tropical-bloom-plumeria-ruby-almond-shape-handmade-press-on-nails","Tropical Bloom: ""Plumeria Ruby"" – Almond Shape Handmade Press-On Nails")</x:f>
        <x:v>HYPERLINK is not implemented. linkLocation=https://365nails.com/products/tropical-bloom-plumeria-ruby-almond-shape-handmade-press-on-nails, friendlyName=Tropical Bloom: "Plumeria Ruby" – Almond Shape Handmade Press-On Nails</x:v>
      </x:c>
      <x:c r="D3834" s="18" t="str">
        <x:v>Color: O009; Color classification: S / M / L</x:v>
      </x:c>
      <x:c r="E3834" s="25" t="str">
        <x:v>$8.99</x:v>
      </x:c>
      <x:c r="F3834" s="19" t="str">
        <x:v>1</x:v>
      </x:c>
    </x:row>
    <x:row r="3835" ht="93" customHeight="1">
      <x:c r="A3835" s="19" t="n">
        <x:v>3832</x:v>
      </x:c>
      <x:c r="B3835" s="22" t="e">
        <x:f>HYPERLINK("https://cdn.shopify.com/s/files/1/0918/6066/4603/files/2e6f8f0474d97264ea2f2018634dc9e4.jpg?v=1773901895","Open")</x:f>
        <x:v>HYPERLINK is not implemented. linkLocation=https://cdn.shopify.com/s/files/1/0918/6066/4603/files/2e6f8f0474d97264ea2f2018634dc9e4.jpg?v=1773901895, friendlyName=Open</x:v>
      </x:c>
      <x:c r="C3835" s="24" t="e">
        <x:f>HYPERLINK("https://365nails.com/products/365nails-dark-skeleton-trace-handmade-press-on-nails-gothic-dark-punk-streetwear","365Nails: ""Dark Skeleton Trace"" – handmade press-on nails (Gothic Dark/Punk Streetwear)")</x:f>
        <x:v>HYPERLINK is not implemented. linkLocation=https://365nails.com/products/365nails-dark-skeleton-trace-handmade-press-on-nails-gothic-dark-punk-streetwear, friendlyName=365Nails: "Dark Skeleton Trace" – handmade press-on nails (Gothic Dark/Punk Streetwear)</x:v>
      </x:c>
      <x:c r="D3835" s="18" t="str">
        <x:v>Size: XS / S / M / L</x:v>
      </x:c>
      <x:c r="E3835" s="25" t="str">
        <x:v>$3.99</x:v>
      </x:c>
      <x:c r="F3835" s="19" t="str">
        <x:v>5</x:v>
      </x:c>
    </x:row>
    <x:row r="3836" ht="93" customHeight="1">
      <x:c r="A3836" s="19" t="n">
        <x:v>3833</x:v>
      </x:c>
      <x:c r="B3836" s="22" t="e">
        <x:f>HYPERLINK("https://cdn.shopify.com/s/files/1/0918/6066/4603/files/O1CN01KFvQsl2214sYgwZAH__2219480337059-0-cib.jpg?v=1773321026","Open")</x:f>
        <x:v>HYPERLINK is not implemented. linkLocation=https://cdn.shopify.com/s/files/1/0918/6066/4603/files/O1CN01KFvQsl2214sYgwZAH__2219480337059-0-cib.jpg?v=1773321026, friendlyName=Open</x:v>
      </x:c>
      <x:c r="C3836" s="24" t="e">
        <x:f>HYPERLINK("https://365nails.com/products/365nails-ice-princess-magic-short-round-handmade-kids-press-on-nails","365nails: ""ice princess magic"" – short round handmade kids press-on nails")</x:f>
        <x:v>HYPERLINK is not implemented. linkLocation=https://365nails.com/products/365nails-ice-princess-magic-short-round-handmade-kids-press-on-nails, friendlyName=365nails: "ice princess magic" – short round handmade kids press-on nails</x:v>
      </x:c>
      <x:c r="D3836" s="18" t="str">
        <x:v>Color: Green cat eye princess; Color classification: Xs (about 2 years old) / S (3-4 years old) / M (5-7 years old) / L (8-11 years old)</x:v>
      </x:c>
      <x:c r="E3836" s="25" t="str">
        <x:v>$2.99</x:v>
      </x:c>
      <x:c r="F3836" s="19" t="str">
        <x:v>3</x:v>
      </x:c>
    </x:row>
    <x:row r="3837" ht="93" customHeight="1">
      <x:c r="A3837" s="19" t="n">
        <x:v>3834</x:v>
      </x:c>
      <x:c r="B3837" s="22" t="e">
        <x:f>HYPERLINK("https://cdn.shopify.com/s/files/1/0918/6066/4603/files/O1CN01kAJ0ks2214sXwqJ7X__2219480337059-0-cib.jpg?v=1773824655","Open")</x:f>
        <x:v>HYPERLINK is not implemented. linkLocation=https://cdn.shopify.com/s/files/1/0918/6066/4603/files/O1CN01kAJ0ks2214sXwqJ7X__2219480337059-0-cib.jpg?v=1773824655, friendlyName=Open</x:v>
      </x:c>
      <x:c r="C3837" s="24" t="e">
        <x:f>HYPERLINK("https://365nails.com/products/hello-kitty-kids-series-sweet-donut-party-short-square-kids-nail-art","365nails-Hello Kitty Kids Series: ""Sweet Donut Party"" – Short Square Kids Nail Art")</x:f>
        <x:v>HYPERLINK is not implemented. linkLocation=https://365nails.com/products/hello-kitty-kids-series-sweet-donut-party-short-square-kids-nail-art, friendlyName=365nails-Hello Kitty Kids Series: "Sweet Donut Party" – Short Square Kids Nail Art</x:v>
      </x:c>
      <x:c r="D3837" s="18" t="str">
        <x:v>Color: Cat butterfly; Color classification: Xs (about 2 years old) / S (3-4 years old) / M (5-7 years old) / L (8-11 years old)</x:v>
      </x:c>
      <x:c r="E3837" s="25" t="str">
        <x:v>$2.99</x:v>
      </x:c>
      <x:c r="F3837" s="19" t="str">
        <x:v>3</x:v>
      </x:c>
    </x:row>
    <x:row r="3838" ht="93" customHeight="1">
      <x:c r="A3838" s="19" t="n">
        <x:v>3835</x:v>
      </x:c>
      <x:c r="B3838" s="22" t="e">
        <x:f>HYPERLINK("https://cdn.shopify.com/s/files/1/0918/6066/4603/files/O1CN01GF2AM31JOkhoLelSF__933261019-0-cib.jpg?v=1772373408","Open")</x:f>
        <x:v>HYPERLINK is not implemented. linkLocation=https://cdn.shopify.com/s/files/1/0918/6066/4603/files/O1CN01GF2AM31JOkhoLelSF__933261019-0-cib.jpg?v=1772373408, friendlyName=Open</x:v>
      </x:c>
      <x:c r="C3838" s="24" t="e">
        <x:f>HYPERLINK("https://365nails.com/products/modern-fantasy-collection-crystal-butterfly-long-almond-press-on-nails","Modern Fantasy Collection: ""Crystal Butterfly"" – Long Almond Press-On Nails")</x:f>
        <x:v>HYPERLINK is not implemented. linkLocation=https://365nails.com/products/modern-fantasy-collection-crystal-butterfly-long-almond-press-on-nails, friendlyName=Modern Fantasy Collection: "Crystal Butterfly" – Long Almond Press-On Nails</x:v>
      </x:c>
      <x:c r="D3838" s="18" t="str">
        <x:v>Color: Zx96-0074-4d01</x:v>
      </x:c>
      <x:c r="E3838" s="25" t="str">
        <x:v>$1.46</x:v>
      </x:c>
      <x:c r="F3838" s="19" t="str">
        <x:v>3</x:v>
      </x:c>
    </x:row>
    <x:row r="3839" ht="93" customHeight="1">
      <x:c r="A3839" s="19" t="n">
        <x:v>3836</x:v>
      </x:c>
      <x:c r="B3839" s="22" t="e">
        <x:f>HYPERLINK("https://cdn.shopify.com/s/files/1/0918/6066/4603/files/a931c112e58ca8a0ec403e1ce88ec8bb.jpg?v=1776322449","Open")</x:f>
        <x:v>HYPERLINK is not implemented. linkLocation=https://cdn.shopify.com/s/files/1/0918/6066/4603/files/a931c112e58ca8a0ec403e1ce88ec8bb.jpg?v=1776322449, friendlyName=Open</x:v>
      </x:c>
      <x:c r="C3839" s="24" t="e">
        <x:f>HYPERLINK("https://365nails.com/products/365nails-sweet-safari-3d-animal-short-square-nails","365nails: ""Sweet Safari"" – 3D Animal Short Square Nails")</x:f>
        <x:v>HYPERLINK is not implemented. linkLocation=https://365nails.com/products/365nails-sweet-safari-3d-animal-short-square-nails, friendlyName=365nails: "Sweet Safari" – 3D Animal Short Square Nails</x:v>
      </x:c>
      <x:c r="D3839" s="18" t="str">
        <x:v>Size: XS / S / M / L</x:v>
      </x:c>
      <x:c r="E3839" s="25" t="str">
        <x:v>$3.99</x:v>
      </x:c>
      <x:c r="F3839" s="19" t="str">
        <x:v>5</x:v>
      </x:c>
    </x:row>
    <x:row r="3840" ht="93" customHeight="1">
      <x:c r="A3840" s="19" t="n">
        <x:v>3837</x:v>
      </x:c>
      <x:c r="B3840" s="22" t="e">
        <x:f>HYPERLINK("https://cdn.shopify.com/s/files/1/0918/6066/4603/files/O1CN0139QQtB2MQzf3xS0E9__2219089449823-0-cib.jpg?v=1774178805","Open")</x:f>
        <x:v>HYPERLINK is not implemented. linkLocation=https://cdn.shopify.com/s/files/1/0918/6066/4603/files/O1CN0139QQtB2MQzf3xS0E9__2219089449823-0-cib.jpg?v=1774178805, friendlyName=Open</x:v>
      </x:c>
      <x:c r="C3840" s="24" t="e">
        <x:f>HYPERLINK("https://365nails.com/products/beachside-bloom-tropical-starfish-almond-press-on-nails","Beachside Bloom: ""Tropical Starfish"" – Almond Press-On Nails")</x:f>
        <x:v>HYPERLINK is not implemented. linkLocation=https://365nails.com/products/beachside-bloom-tropical-starfish-almond-press-on-nails, friendlyName=Beachside Bloom: "Tropical Starfish" – Almond Press-On Nails</x:v>
      </x:c>
      <x:c r="D3840" s="18" t="str">
        <x:v>Color: D355; Color classification: X s / S / M / L</x:v>
      </x:c>
      <x:c r="E3840" s="25" t="str">
        <x:v>$3.99</x:v>
      </x:c>
      <x:c r="F3840" s="19" t="str">
        <x:v>1</x:v>
      </x:c>
    </x:row>
    <x:row r="3841" ht="93" customHeight="1">
      <x:c r="A3841" s="19" t="n">
        <x:v>3838</x:v>
      </x:c>
      <x:c r="B3841" s="22" t="e">
        <x:f>HYPERLINK("https://cdn.shopify.com/s/files/1/0918/6066/4603/files/c36ebd7736f91ae80284d3f30d2569ac.jpg?v=1778318539","Open")</x:f>
        <x:v>HYPERLINK is not implemented. linkLocation=https://cdn.shopify.com/s/files/1/0918/6066/4603/files/c36ebd7736f91ae80284d3f30d2569ac.jpg?v=1778318539, friendlyName=Open</x:v>
      </x:c>
      <x:c r="C3841" s="24" t="e">
        <x:f>HYPERLINK("https://365nails.com/products/365nails-crimson-noir-3d-bow-ombre-handmade-stiletto-nails","365nails: ""Crimson Noir"" – 3D Bow &amp; Ombré Handmade Stiletto Nails")</x:f>
        <x:v>HYPERLINK is not implemented. linkLocation=https://365nails.com/products/365nails-crimson-noir-3d-bow-ombre-handmade-stiletto-nails, friendlyName=365nails: "Crimson Noir" – 3D Bow &amp; Ombré Handmade Stiletto Nails</x:v>
      </x:c>
      <x:c r="D3841" s="18" t="str">
        <x:v>Size: XS / S / M / L</x:v>
      </x:c>
      <x:c r="E3841" s="25" t="str">
        <x:v>$3.99</x:v>
      </x:c>
      <x:c r="F3841" s="19" t="str">
        <x:v>5</x:v>
      </x:c>
    </x:row>
    <x:row r="3842" ht="93" customHeight="1">
      <x:c r="A3842" s="19" t="n">
        <x:v>3839</x:v>
      </x:c>
      <x:c r="B3842" s="22" t="e">
        <x:f>HYPERLINK("https://cdn.shopify.com/s/files/1/0918/6066/4603/files/O1CN01SCso1G27ZUlu3NpP0__2220024697811-0-cib.jpg?v=1775110846","Open")</x:f>
        <x:v>HYPERLINK is not implemented. linkLocation=https://cdn.shopify.com/s/files/1/0918/6066/4603/files/O1CN01SCso1G27ZUlu3NpP0__2220024697811-0-cib.jpg?v=1775110846, friendlyName=Open</x:v>
      </x:c>
      <x:c r="C3842" s="24" t="e">
        <x:f>HYPERLINK("https://365nails.com/products/365nails-lemon-blossom-3d-floral-handmade-short-almond-nails","365nails: ""Lemon Blossom"" – 3D Floral Handmade Short Almond Nails")</x:f>
        <x:v>HYPERLINK is not implemented. linkLocation=https://365nails.com/products/365nails-lemon-blossom-3d-floral-handmade-short-almond-nails, friendlyName=365nails: "Lemon Blossom" – 3D Floral Handmade Short Almond Nails</x:v>
      </x:c>
      <x:c r="D3842" s="18" t="str">
        <x:v>Color: Short almond; Color classification: Xs / S / M / L</x:v>
      </x:c>
      <x:c r="E3842" s="25" t="str">
        <x:v>$4.49</x:v>
      </x:c>
      <x:c r="F3842" s="19" t="str">
        <x:v>3</x:v>
      </x:c>
    </x:row>
    <x:row r="3843" ht="93" customHeight="1">
      <x:c r="A3843" s="19" t="n">
        <x:v>3840</x:v>
      </x:c>
      <x:c r="B3843" s="22" t="e">
        <x:f>HYPERLINK("https://cdn.shopify.com/s/files/1/0918/6066/4603/files/O1CN01O1GNIT2214sA4QeZB__2219480337059-0-cib.jpg?v=1773321111","Open")</x:f>
        <x:v>HYPERLINK is not implemented. linkLocation=https://cdn.shopify.com/s/files/1/0918/6066/4603/files/O1CN01O1GNIT2214sA4QeZB__2219480337059-0-cib.jpg?v=1773321111, friendlyName=Open</x:v>
      </x:c>
      <x:c r="C3843" s="24" t="e">
        <x:f>HYPERLINK("https://365nails.com/products/365nails-aurora-dream-fairy-short-round-handmade-kids-press-on-nails","365nails: ""aurora dream fairy"" – short round handmade kids press-on nails")</x:f>
        <x:v>HYPERLINK is not implemented. linkLocation=https://365nails.com/products/365nails-aurora-dream-fairy-short-round-handmade-kids-press-on-nails, friendlyName=365nails: "aurora dream fairy" – short round handmade kids press-on nails</x:v>
      </x:c>
      <x:c r="D3843" s="18" t="str">
        <x:v>Color: Aurora mocha; Color classification: Xs (about 2 years old) / S (3-4 years old) / M (5-7 years old) / L (8-11 years old)</x:v>
      </x:c>
      <x:c r="E3843" s="25" t="str">
        <x:v>$2.99</x:v>
      </x:c>
      <x:c r="F3843" s="19" t="str">
        <x:v>3</x:v>
      </x:c>
    </x:row>
    <x:row r="3844" ht="93" customHeight="1">
      <x:c r="A3844" s="19" t="n">
        <x:v>3841</x:v>
      </x:c>
      <x:c r="B3844" s="22" t="e">
        <x:f>HYPERLINK("https://cdn.shopify.com/s/files/1/0918/6066/4603/files/O1CN01D8yIBG1CPwM4dzAzN__2213196780074-0-cib.jpg?v=1775994682","Open")</x:f>
        <x:v>HYPERLINK is not implemented. linkLocation=https://cdn.shopify.com/s/files/1/0918/6066/4603/files/O1CN01D8yIBG1CPwM4dzAzN__2213196780074-0-cib.jpg?v=1775994682, friendlyName=Open</x:v>
      </x:c>
      <x:c r="C3844" s="24" t="e">
        <x:f>HYPERLINK("https://365nails.com/products/365nails-monets-garden-hand-painted-floral-french-tip-handmade-medium-almond-nails","365nails: ""Monet's Garden"" – Hand-Painted Floral &amp; French Tip Handmade Medium Almond Nails")</x:f>
        <x:v>HYPERLINK is not implemented. linkLocation=https://365nails.com/products/365nails-monets-garden-hand-painted-floral-french-tip-handmade-medium-almond-nails, friendlyName=365nails: "Monet's Garden" – Hand-Painted Floral &amp; French Tip Handmade Medium Almond Nails</x:v>
      </x:c>
      <x:c r="D3844" s="18" t="str">
        <x:v>Color: 819 - medium oval; Color classification: Xs / S / M / L</x:v>
      </x:c>
      <x:c r="E3844" s="25" t="str">
        <x:v>$3.49</x:v>
      </x:c>
      <x:c r="F3844" s="19" t="str">
        <x:v>3</x:v>
      </x:c>
    </x:row>
    <x:row r="3845" ht="93" customHeight="1">
      <x:c r="A3845" s="19" t="n">
        <x:v>3842</x:v>
      </x:c>
      <x:c r="B3845" s="22" t="e">
        <x:f>HYPERLINK("https://cdn.shopify.com/s/files/1/0918/6066/4603/files/O1CN01u2ZiVK2MQzeXDIjDf__2219089449823-0-cib.jpg?v=1774453073","Open")</x:f>
        <x:v>HYPERLINK is not implemented. linkLocation=https://cdn.shopify.com/s/files/1/0918/6066/4603/files/O1CN01u2ZiVK2MQzeXDIjDf__2219089449823-0-cib.jpg?v=1774453073, friendlyName=Open</x:v>
      </x:c>
      <x:c r="C3845" s="24" t="e">
        <x:f>HYPERLINK("https://365nails.com/products/candy-fantasy-tiger-bloom-short-square-handmade-press-on-nails","Candy Fantasy: ""Tiger &amp; Bloom"" – Short Square Handmade Press On Nails")</x:f>
        <x:v>HYPERLINK is not implemented. linkLocation=https://365nails.com/products/candy-fantasy-tiger-bloom-short-square-handmade-press-on-nails, friendlyName=Candy Fantasy: "Tiger &amp; Bloom" – Short Square Handmade Press On Nails</x:v>
      </x:c>
      <x:c r="D3845" s="18" t="str">
        <x:v>Color: L213; Color classification: X s / S / M / L</x:v>
      </x:c>
      <x:c r="E3845" s="25" t="str">
        <x:v>$4.99</x:v>
      </x:c>
      <x:c r="F3845" s="19" t="str">
        <x:v>1</x:v>
      </x:c>
    </x:row>
    <x:row r="3846" ht="93" customHeight="1">
      <x:c r="A3846" s="19" t="n">
        <x:v>3843</x:v>
      </x:c>
      <x:c r="B3846" s="22" t="e">
        <x:f>HYPERLINK("https://cdn.shopify.com/s/files/1/0918/6066/4603/files/O1CN01dq7hiz1CPwJYhc8u6__2213196780074-0-cib.jpg?v=1775914873","Open")</x:f>
        <x:v>HYPERLINK is not implemented. linkLocation=https://cdn.shopify.com/s/files/1/0918/6066/4603/files/O1CN01dq7hiz1CPwJYhc8u6__2213196780074-0-cib.jpg?v=1775914873, friendlyName=Open</x:v>
      </x:c>
      <x:c r="C3846" s="24" t="e">
        <x:f>HYPERLINK("https://365nails.com/products/365nails-midnight-shimmer-french-tip-handmade-short-coffin-nails","365nails: ""Midnight Shimmer"" – French Tip Handmade Short Coffin Nails")</x:f>
        <x:v>HYPERLINK is not implemented. linkLocation=https://365nails.com/products/365nails-midnight-shimmer-french-tip-handmade-short-coffin-nails, friendlyName=365nails: "Midnight Shimmer" – French Tip Handmade Short Coffin Nails</x:v>
      </x:c>
      <x:c r="D3846" s="18" t="str">
        <x:v>Color: Extra small size xs / Small s / Medium m / Large l; Specification type: 194 short ladder</x:v>
      </x:c>
      <x:c r="E3846" s="25" t="str">
        <x:v>$3.49</x:v>
      </x:c>
      <x:c r="F3846" s="19" t="str">
        <x:v>3</x:v>
      </x:c>
    </x:row>
    <x:row r="3847" ht="93" customHeight="1">
      <x:c r="A3847" s="19" t="n">
        <x:v>3844</x:v>
      </x:c>
      <x:c r="B3847" s="22" t="e">
        <x:f>HYPERLINK("https://cdn.shopify.com/s/files/1/0918/6066/4603/files/97b30c5ecbbaebb09f718fe93b6e196d.jpg?v=1776167745","Open")</x:f>
        <x:v>HYPERLINK is not implemented. linkLocation=https://cdn.shopify.com/s/files/1/0918/6066/4603/files/97b30c5ecbbaebb09f718fe93b6e196d.jpg?v=1776167745, friendlyName=Open</x:v>
      </x:c>
      <x:c r="C3847" s="24" t="e">
        <x:f>HYPERLINK("https://365nails.com/products/365nails-bunny-garden-3d-easter-bunny-handmade-short-square-nails","365nails: ""Bunny Garden"" – 3D Easter Bunny Handmade Short Square Nails")</x:f>
        <x:v>HYPERLINK is not implemented. linkLocation=https://365nails.com/products/365nails-bunny-garden-3d-easter-bunny-handmade-short-square-nails, friendlyName=365nails: "Bunny Garden" – 3D Easter Bunny Handmade Short Square Nails</x:v>
      </x:c>
      <x:c r="D3847" s="18" t="str">
        <x:v>Size: XS / S / M / L</x:v>
      </x:c>
      <x:c r="E3847" s="25" t="str">
        <x:v>$1.99</x:v>
      </x:c>
      <x:c r="F3847" s="19" t="str">
        <x:v>3</x:v>
      </x:c>
    </x:row>
    <x:row r="3848" ht="93" customHeight="1">
      <x:c r="A3848" s="19" t="n">
        <x:v>3845</x:v>
      </x:c>
      <x:c r="B3848" s="22" t="e">
        <x:f>HYPERLINK("https://cdn.shopify.com/s/files/1/0918/6066/4603/files/fec0799b4fd06b87a3746535d5334d22.jpg?v=1775724469","Open")</x:f>
        <x:v>HYPERLINK is not implemented. linkLocation=https://cdn.shopify.com/s/files/1/0918/6066/4603/files/fec0799b4fd06b87a3746535d5334d22.jpg?v=1775724469, friendlyName=Open</x:v>
      </x:c>
      <x:c r="C3848" s="24" t="e">
        <x:f>HYPERLINK("https://365nails.com/products/365nails-cosmic-heart-3d-mixed-media-handmade-almond-nails","365nails: ""Cosmic Heart"" – 3D Mixed Media Handmade Almond Nails")</x:f>
        <x:v>HYPERLINK is not implemented. linkLocation=https://365nails.com/products/365nails-cosmic-heart-3d-mixed-media-handmade-almond-nails, friendlyName=365nails: "Cosmic Heart" – 3D Mixed Media Handmade Almond Nails</x:v>
      </x:c>
      <x:c r="D3848" s="18" t="str">
        <x:v>Size: XS / S / M / L</x:v>
      </x:c>
      <x:c r="E3848" s="25" t="str">
        <x:v>$2.99</x:v>
      </x:c>
      <x:c r="F3848" s="19" t="str">
        <x:v>5</x:v>
      </x:c>
    </x:row>
    <x:row r="3849" ht="93" customHeight="1">
      <x:c r="A3849" s="19" t="n">
        <x:v>3846</x:v>
      </x:c>
      <x:c r="B3849" s="22" t="e">
        <x:f>HYPERLINK("https://cdn.shopify.com/s/files/1/0918/6066/4603/files/96356bb3058c09e0797d37602acfbf11.jpg?v=1778319137","Open")</x:f>
        <x:v>HYPERLINK is not implemented. linkLocation=https://cdn.shopify.com/s/files/1/0918/6066/4603/files/96356bb3058c09e0797d37602acfbf11.jpg?v=1778319137, friendlyName=Open</x:v>
      </x:c>
      <x:c r="C3849" s="24" t="e">
        <x:f>HYPERLINK("https://365nails.com/products/365nails-botanical-jewel-3d-leaf-gem-handmade-almond-nails","365nails: ""Botanical Jewel"" – 3D Leaf &amp; Gem Handmade Almond Nails")</x:f>
        <x:v>HYPERLINK is not implemented. linkLocation=https://365nails.com/products/365nails-botanical-jewel-3d-leaf-gem-handmade-almond-nails, friendlyName=365nails: "Botanical Jewel" – 3D Leaf &amp; Gem Handmade Almond Nails</x:v>
      </x:c>
      <x:c r="D3849" s="18" t="str">
        <x:v>Size: XS / S / M / L</x:v>
      </x:c>
      <x:c r="E3849" s="25" t="str">
        <x:v>$2.99</x:v>
      </x:c>
      <x:c r="F3849" s="19" t="str">
        <x:v>5</x:v>
      </x:c>
    </x:row>
    <x:row r="3850" ht="93" customHeight="1">
      <x:c r="A3850" s="19" t="n">
        <x:v>3847</x:v>
      </x:c>
      <x:c r="B3850" s="22" t="e">
        <x:f>HYPERLINK("https://cdn.shopify.com/s/files/1/0918/6066/4603/files/O1CN016rDtal27ZUlnv198m__2220024697811-0-cib.jpg?v=1774866309","Open")</x:f>
        <x:v>HYPERLINK is not implemented. linkLocation=https://cdn.shopify.com/s/files/1/0918/6066/4603/files/O1CN016rDtal27ZUlnv198m__2220024697811-0-cib.jpg?v=1774866309, friendlyName=Open</x:v>
      </x:c>
      <x:c r="C3850" s="24" t="e">
        <x:f>HYPERLINK("https://365nails.com/products/365nails-royal-bloom-3d-embellished-handmade-coffin-nails","365nails: ""Royal Bloom"" – 3D Embellished Handmade Coffin Nails")</x:f>
        <x:v>HYPERLINK is not implemented. linkLocation=https://365nails.com/products/365nails-royal-bloom-3d-embellished-handmade-coffin-nails, friendlyName=365nails: "Royal Bloom" – 3D Embellished Handmade Coffin Nails</x:v>
      </x:c>
      <x:c r="D3850" s="18" t="str">
        <x:v>Color: Almond; Color classification: Xs / S / M / L</x:v>
      </x:c>
      <x:c r="E3850" s="25" t="str">
        <x:v>$4.49</x:v>
      </x:c>
      <x:c r="F3850" s="19" t="str">
        <x:v>3</x:v>
      </x:c>
    </x:row>
    <x:row r="3851" ht="93" customHeight="1">
      <x:c r="A3851" s="19" t="n">
        <x:v>3848</x:v>
      </x:c>
      <x:c r="B3851" s="22" t="e">
        <x:f>HYPERLINK("https://cdn.shopify.com/s/files/1/0918/6066/4603/files/O1CN01JEzpsH2MQzefLESty__2219089449823-0-cib.jpg?v=1774453116","Open")</x:f>
        <x:v>HYPERLINK is not implemented. linkLocation=https://cdn.shopify.com/s/files/1/0918/6066/4603/files/O1CN01JEzpsH2MQzefLESty__2219089449823-0-cib.jpg?v=1774453116, friendlyName=Open</x:v>
      </x:c>
      <x:c r="C3851" s="24" t="e">
        <x:f>HYPERLINK("https://365nails.com/products/lavender-bloom-purple-petal-medium-almond-handmade-press-on-nails","Lavender Bloom: ""Purple Petal"" – Medium Almond Handmade Press On Nails")</x:f>
        <x:v>HYPERLINK is not implemented. linkLocation=https://365nails.com/products/lavender-bloom-purple-petal-medium-almond-handmade-press-on-nails, friendlyName=Lavender Bloom: "Purple Petal" – Medium Almond Handmade Press On Nails</x:v>
      </x:c>
      <x:c r="D3851" s="18" t="str">
        <x:v>Color: D567; Color classification: X s / S / M / L</x:v>
      </x:c>
      <x:c r="E3851" s="25" t="str">
        <x:v>$3.49</x:v>
      </x:c>
      <x:c r="F3851" s="19" t="str">
        <x:v>1</x:v>
      </x:c>
    </x:row>
    <x:row r="3852" ht="93" customHeight="1">
      <x:c r="A3852" s="19" t="n">
        <x:v>3849</x:v>
      </x:c>
      <x:c r="B3852" s="22" t="e">
        <x:f>HYPERLINK("https://cdn.shopify.com/s/files/1/0918/6066/4603/files/O1CN01e01Lwx2MQzfNA1fO1__2219089449823-0-cib.jpg?v=1774257978","Open")</x:f>
        <x:v>HYPERLINK is not implemented. linkLocation=https://cdn.shopify.com/s/files/1/0918/6066/4603/files/O1CN01e01Lwx2MQzfNA1fO1__2219089449823-0-cib.jpg?v=1774257978, friendlyName=Open</x:v>
      </x:c>
      <x:c r="C3852" s="24" t="e">
        <x:f>HYPERLINK("https://365nails.com/products/ocean-breeze-seashell-blue-flower-almond-shape-handmade-press-on-nails","Ocean Breeze: ""Seashell Blue Flower"" – Almond Shape Handmade Press-On Nails")</x:f>
        <x:v>HYPERLINK is not implemented. linkLocation=https://365nails.com/products/ocean-breeze-seashell-blue-flower-almond-shape-handmade-press-on-nails, friendlyName=Ocean Breeze: "Seashell Blue Flower" – Almond Shape Handmade Press-On Nails</x:v>
      </x:c>
      <x:c r="D3852" s="18" t="str">
        <x:v>Color: D385; Color classification: X s / S / M / L</x:v>
      </x:c>
      <x:c r="E3852" s="25" t="str">
        <x:v>$3.49</x:v>
      </x:c>
      <x:c r="F3852" s="19" t="str">
        <x:v>1</x:v>
      </x:c>
    </x:row>
    <x:row r="3853" ht="93" customHeight="1">
      <x:c r="A3853" s="19" t="n">
        <x:v>3850</x:v>
      </x:c>
      <x:c r="B3853" s="22" t="e">
        <x:f>HYPERLINK("https://cdn.shopify.com/s/files/1/0918/6066/4603/files/O1CN01cDRohu1CPwLc4PSuY__2213196780074-0-cib_df88c9e5-520f-4ad9-8043-0039632e60bf.jpg?v=1774681148","Open")</x:f>
        <x:v>HYPERLINK is not implemented. linkLocation=https://cdn.shopify.com/s/files/1/0918/6066/4603/files/O1CN01cDRohu1CPwLc4PSuY__2213196780074-0-cib_df88c9e5-520f-4ad9-8043-0039632e60bf.jpg?v=1774681148, friendlyName=Open</x:v>
      </x:c>
      <x:c r="C3853" s="24" t="e">
        <x:f>HYPERLINK("https://365nails.com/products/365nails-summer-sprite-3d-floral-insect-handmade-almond-nails","365nails: ""Summer Sprite"" – 3D Floral &amp; Insect Handmade Almond Nails")</x:f>
        <x:v>HYPERLINK is not implemented. linkLocation=https://365nails.com/products/365nails-summer-sprite-3d-floral-insect-handmade-almond-nails, friendlyName=365nails: "Summer Sprite" – 3D Floral &amp; Insect Handmade Almond Nails</x:v>
      </x:c>
      <x:c r="D3853" s="18" t="str">
        <x:v>Color: 666-long oval; Color classification: Extra small size xs / Small s / Medium m / Large l</x:v>
      </x:c>
      <x:c r="E3853" s="25" t="str">
        <x:v>$12.99</x:v>
      </x:c>
      <x:c r="F3853" s="19" t="str">
        <x:v>1</x:v>
      </x:c>
    </x:row>
    <x:row r="3854" ht="93" customHeight="1">
      <x:c r="A3854" s="19" t="n">
        <x:v>3851</x:v>
      </x:c>
      <x:c r="B3854" s="22" t="e">
        <x:f>HYPERLINK("https://cdn.shopify.com/s/files/1/0918/6066/4603/files/O1CN0172fHwF27ZUlycZ3RA__2220024697811-0-cib.jpg?v=1775039036","Open")</x:f>
        <x:v>HYPERLINK is not implemented. linkLocation=https://cdn.shopify.com/s/files/1/0918/6066/4603/files/O1CN0172fHwF27ZUlycZ3RA__2220024697811-0-cib.jpg?v=1775039036, friendlyName=Open</x:v>
      </x:c>
      <x:c r="C3854" s="24" t="e">
        <x:f>HYPERLINK("https://365nails.com/products/365nails-galactic-vibe-ombre-cat-eye-handmade-coffin-nails","365nails: ""Galactic Vibe"" – Ombre &amp; Cat Eye Handmade Coffin Nails")</x:f>
        <x:v>HYPERLINK is not implemented. linkLocation=https://365nails.com/products/365nails-galactic-vibe-ombre-cat-eye-handmade-coffin-nails, friendlyName=365nails: "Galactic Vibe" – Ombre &amp; Cat Eye Handmade Coffin Nails</x:v>
      </x:c>
      <x:c r="D3854" s="18" t="str">
        <x:v>Color: Almond; Color classification: Xs / S / M / L</x:v>
      </x:c>
      <x:c r="E3854" s="25" t="str">
        <x:v>$4.49</x:v>
      </x:c>
      <x:c r="F3854" s="19" t="str">
        <x:v>3</x:v>
      </x:c>
    </x:row>
    <x:row r="3855" ht="93" customHeight="1">
      <x:c r="A3855" s="19" t="n">
        <x:v>3852</x:v>
      </x:c>
      <x:c r="B3855" s="22" t="e">
        <x:f>HYPERLINK("https://cdn.shopify.com/s/files/1/0918/6066/4603/files/O1CN01MiYC6S2214umNUire__2219480337059-0-cib.jpg?v=1773321005","Open")</x:f>
        <x:v>HYPERLINK is not implemented. linkLocation=https://cdn.shopify.com/s/files/1/0918/6066/4603/files/O1CN01MiYC6S2214umNUire__2219480337059-0-cib.jpg?v=1773321005, friendlyName=Open</x:v>
      </x:c>
      <x:c r="C3855" s="24" t="e">
        <x:f>HYPERLINK("https://365nails.com/products/365nails-pastel-gummy-bear-short-round-handmade-kids-press-on-nails","365nails: ""pastel gummy bear"" – short round handmade kids press-on nails")</x:f>
        <x:v>HYPERLINK is not implemented. linkLocation=https://365nails.com/products/365nails-pastel-gummy-bear-short-round-handmade-kids-press-on-nails, friendlyName=365nails: "pastel gummy bear" – short round handmade kids press-on nails</x:v>
      </x:c>
      <x:c r="D3855" s="18" t="str">
        <x:v>Color: B2 color bear; Color classification: Xs (about 2 years old) / S (3-4 years old) / M (5-7 years old) / L (8-11 years old)</x:v>
      </x:c>
      <x:c r="E3855" s="25" t="str">
        <x:v>$2.99</x:v>
      </x:c>
      <x:c r="F3855" s="19" t="str">
        <x:v>3</x:v>
      </x:c>
    </x:row>
    <x:row r="3856" ht="93" customHeight="1">
      <x:c r="A3856" s="19" t="n">
        <x:v>3853</x:v>
      </x:c>
      <x:c r="B3856" s="22" t="e">
        <x:f>HYPERLINK("https://cdn.shopify.com/s/files/1/0918/6066/4603/files/O1CN0120ZOlk2MQzdhiIV4p__2219089449823-0-cib.jpg?v=1774011042","Open")</x:f>
        <x:v>HYPERLINK is not implemented. linkLocation=https://cdn.shopify.com/s/files/1/0918/6066/4603/files/O1CN0120ZOlk2MQzdhiIV4p__2219089449823-0-cib.jpg?v=1774011042, friendlyName=Open</x:v>
      </x:c>
      <x:c r="C3856" s="24" t="e">
        <x:f>HYPERLINK("https://365nails.com/products/spring-garden-cute-floral-butterfly-almond-shape-handmade-3d-carved-press-on-nails","365nails-Spring Garden: ""Cute Floral Butterfly"" – Almond Shape Handmade 3D Carved Press-On Nails")</x:f>
        <x:v>HYPERLINK is not implemented. linkLocation=https://365nails.com/products/spring-garden-cute-floral-butterfly-almond-shape-handmade-3d-carved-press-on-nails, friendlyName=365nails-Spring Garden: "Cute Floral Butterfly" – Almond Shape Handmade 3D Carved Press-On Nails</x:v>
      </x:c>
      <x:c r="D3856" s="18" t="str">
        <x:v>Color: D429; Color classification: X s / S / M / L</x:v>
      </x:c>
      <x:c r="E3856" s="25" t="str">
        <x:v>$3.99</x:v>
      </x:c>
      <x:c r="F3856" s="19" t="str">
        <x:v>5</x:v>
      </x:c>
    </x:row>
    <x:row r="3857" ht="93" customHeight="1">
      <x:c r="A3857" s="19" t="n">
        <x:v>3854</x:v>
      </x:c>
      <x:c r="B3857" s="22" t="e">
        <x:f>HYPERLINK("https://cdn.shopify.com/s/files/1/0918/6066/4603/files/a31e8a6dd5263d071177bcbdba89b65b.jpg?v=1776171428","Open")</x:f>
        <x:v>HYPERLINK is not implemented. linkLocation=https://cdn.shopify.com/s/files/1/0918/6066/4603/files/a31e8a6dd5263d071177bcbdba89b65b.jpg?v=1776171428, friendlyName=Open</x:v>
      </x:c>
      <x:c r="C3857" s="24" t="e">
        <x:f>HYPERLINK("https://365nails.com/products/365nails-candy-kiss-3d-french-tip-handmade-short-square-nails","365nails: ""Candy Kiss"" – 3D French Tip Handmade Short Square Nails")</x:f>
        <x:v>HYPERLINK is not implemented. linkLocation=https://365nails.com/products/365nails-candy-kiss-3d-french-tip-handmade-short-square-nails, friendlyName=365nails: "Candy Kiss" – 3D French Tip Handmade Short Square Nails</x:v>
      </x:c>
      <x:c r="D3857" s="18" t="str">
        <x:v>Size: XS / S / M / L</x:v>
      </x:c>
      <x:c r="E3857" s="25" t="str">
        <x:v>$1.99</x:v>
      </x:c>
      <x:c r="F3857" s="19" t="str">
        <x:v>3</x:v>
      </x:c>
    </x:row>
    <x:row r="3858" ht="93" customHeight="1">
      <x:c r="A3858" s="19" t="n">
        <x:v>3855</x:v>
      </x:c>
      <x:c r="B3858" s="22" t="e">
        <x:f>HYPERLINK("https://cdn.shopify.com/s/files/1/0918/6066/4603/files/O1CN01kZuLMp2214vhG7Sic__2219480337059-0-cib.jpg?v=1773824693","Open")</x:f>
        <x:v>HYPERLINK is not implemented. linkLocation=https://cdn.shopify.com/s/files/1/0918/6066/4603/files/O1CN01kZuLMp2214vhG7Sic__2219480337059-0-cib.jpg?v=1773824693, friendlyName=Open</x:v>
      </x:c>
      <x:c r="C3858" s="24" t="e">
        <x:f>HYPERLINK("https://365nails.com/products/christmas-kuromi-kids-series-sparkle-holiday-magic-short-square-kids-nail-art","365nails-Christmas Kuromi Kids Series: ""Sparkle Holiday Magic"" – Short Square Kids Nail Art")</x:f>
        <x:v>HYPERLINK is not implemented. linkLocation=https://365nails.com/products/christmas-kuromi-kids-series-sparkle-holiday-magic-short-square-kids-nail-art, friendlyName=365nails-Christmas Kuromi Kids Series: "Sparkle Holiday Magic" – Short Square Kids Nail Art</x:v>
      </x:c>
      <x:c r="D3858" s="18" t="str">
        <x:v>Color: 10315; Color classification: Xs (about 2 years old) / S (3-4 years old) / M (5-7 years old) / L (8-11 years old)</x:v>
      </x:c>
      <x:c r="E3858" s="25" t="str">
        <x:v>$2.99</x:v>
      </x:c>
      <x:c r="F3858" s="19" t="str">
        <x:v>3</x:v>
      </x:c>
    </x:row>
    <x:row r="3859" ht="93" customHeight="1">
      <x:c r="A3859" s="19" t="n">
        <x:v>3856</x:v>
      </x:c>
      <x:c r="B3859" s="22" t="e">
        <x:f>HYPERLINK("https://cdn.shopify.com/s/files/1/0918/6066/4603/files/67a9c196aa875c31f0656c884944120b.jpg?v=1776172656","Open")</x:f>
        <x:v>HYPERLINK is not implemented. linkLocation=https://cdn.shopify.com/s/files/1/0918/6066/4603/files/67a9c196aa875c31f0656c884944120b.jpg?v=1776172656, friendlyName=Open</x:v>
      </x:c>
      <x:c r="C3859" s="24" t="e">
        <x:f>HYPERLINK("https://365nails.com/products/365nails-pink-blossom-3d-floral-glitter-handmade-short-square-nails","365nails: ""Pink Blossom"" – 3D Floral &amp; Glitter Handmade Short Square Nails")</x:f>
        <x:v>HYPERLINK is not implemented. linkLocation=https://365nails.com/products/365nails-pink-blossom-3d-floral-glitter-handmade-short-square-nails, friendlyName=365nails: "Pink Blossom" – 3D Floral &amp; Glitter Handmade Short Square Nails</x:v>
      </x:c>
      <x:c r="D3859" s="18" t="str">
        <x:v>Size: XS / S / M / L</x:v>
      </x:c>
      <x:c r="E3859" s="25" t="str">
        <x:v>$1.99</x:v>
      </x:c>
      <x:c r="F3859" s="19" t="str">
        <x:v>3</x:v>
      </x:c>
    </x:row>
    <x:row r="3860" ht="93" customHeight="1">
      <x:c r="A3860" s="19" t="n">
        <x:v>3857</x:v>
      </x:c>
      <x:c r="B3860" s="22" t="e">
        <x:f>HYPERLINK("https://cdn.shopify.com/s/files/1/0918/6066/4603/files/575993a7c0cc866fbe9c0c04d40a9eb8.jpg?v=1778244602","Open")</x:f>
        <x:v>HYPERLINK is not implemented. linkLocation=https://cdn.shopify.com/s/files/1/0918/6066/4603/files/575993a7c0cc866fbe9c0c04d40a9eb8.jpg?v=1778244602, friendlyName=Open</x:v>
      </x:c>
      <x:c r="C3860" s="24" t="e">
        <x:f>HYPERLINK("https://365nails.com/products/365nails-diamond-diva-3d-crystal-glitter-handmade-stiletto-nails","365nails: ""Diamond Diva"" – 3D Crystal &amp; Glitter Handmade Stiletto Nails")</x:f>
        <x:v>HYPERLINK is not implemented. linkLocation=https://365nails.com/products/365nails-diamond-diva-3d-crystal-glitter-handmade-stiletto-nails, friendlyName=365nails: "Diamond Diva" – 3D Crystal &amp; Glitter Handmade Stiletto Nails</x:v>
      </x:c>
      <x:c r="D3860" s="18" t="str">
        <x:v>Size: XS / S / M / L</x:v>
      </x:c>
      <x:c r="E3860" s="25" t="str">
        <x:v>$3.99</x:v>
      </x:c>
      <x:c r="F3860" s="19" t="str">
        <x:v>5</x:v>
      </x:c>
    </x:row>
    <x:row r="3861" ht="93" customHeight="1">
      <x:c r="A3861" s="19" t="n">
        <x:v>3858</x:v>
      </x:c>
      <x:c r="B3861" s="22" t="e">
        <x:f>HYPERLINK("https://cdn.shopify.com/s/files/1/0918/6066/4603/files/537851370c48dfe2f2965925d493db44.jpg?v=1773824677","Open")</x:f>
        <x:v>HYPERLINK is not implemented. linkLocation=https://cdn.shopify.com/s/files/1/0918/6066/4603/files/537851370c48dfe2f2965925d493db44.jpg?v=1773824677, friendlyName=Open</x:v>
      </x:c>
      <x:c r="C3861" s="24" t="e">
        <x:f>HYPERLINK("https://365nails.com/products/christmas-kids-bundle-6-styles-mixed-short-square-kids-nail-art","365nails-Christmas Kids Bundle: 6 Styles Mixed – Short Square Kids Nail Art")</x:f>
        <x:v>HYPERLINK is not implemented. linkLocation=https://365nails.com/products/christmas-kids-bundle-6-styles-mixed-short-square-kids-nail-art, friendlyName=365nails-Christmas Kids Bundle: 6 Styles Mixed – Short Square Kids Nail Art</x:v>
      </x:c>
      <x:c r="D3861" s="18" t="str">
        <x:v>Color: H9250 christmas gingerbread man / H9251 christmas wreath / H9252 christmas circle / H9253 christmas big snowflake / H9254 christmas bear / H9255 christmas five stars / H9256 happy christmas / H9257 scarf christmas hat / H9258 cat's eye christmas flower / H9259 snowflake red cat eye / Christmas snowman / H055 snowman / 10094 new christmas; Color classification: Xs (about 2 years old) / S (3-4 years old) / M (5-7 years old) / L (8-11 years old)</x:v>
      </x:c>
      <x:c r="E3861" s="25" t="str">
        <x:v>$2.99</x:v>
      </x:c>
      <x:c r="F3861" s="19" t="str">
        <x:v>3</x:v>
      </x:c>
    </x:row>
    <x:row r="3862" ht="93" customHeight="1">
      <x:c r="A3862" s="19" t="n">
        <x:v>3859</x:v>
      </x:c>
      <x:c r="B3862" s="22" t="e">
        <x:f>HYPERLINK("https://cdn.shopify.com/s/files/1/0918/6066/4603/files/O1CN01GQOxvO1CPwMgrLAe4__2213196780074-0-cib_6d9b184c-5eaa-4b26-8e32-d70c031b0c0b.jpg?v=1776645563","Open")</x:f>
        <x:v>HYPERLINK is not implemented. linkLocation=https://cdn.shopify.com/s/files/1/0918/6066/4603/files/O1CN01GQOxvO1CPwMgrLAe4__2213196780074-0-cib_6d9b184c-5eaa-4b26-8e32-d70c031b0c0b.jpg?v=1776645563, friendlyName=Open</x:v>
      </x:c>
      <x:c r="C3862" s="24" t="e">
        <x:f>HYPERLINK("https://365nails.com/products/365nails-blooming-tulips-3d-floral-sculpted-handmade-long-almond-nails","365nails: ""Blooming Tulips"" – 3D Floral Sculpted Handmade Long Almond Nails")</x:f>
        <x:v>HYPERLINK is not implemented. linkLocation=https://365nails.com/products/365nails-blooming-tulips-3d-floral-sculpted-handmade-long-almond-nails, friendlyName=365nails: "Blooming Tulips" – 3D Floral Sculpted Handmade Long Almond Nails</x:v>
      </x:c>
      <x:c r="D3862" s="18" t="str">
        <x:v>Color: 229-long water drop; Color classification: Xs / S / M / L</x:v>
      </x:c>
      <x:c r="E3862" s="25" t="str">
        <x:v>$5.49</x:v>
      </x:c>
      <x:c r="F3862" s="19" t="str">
        <x:v>1</x:v>
      </x:c>
    </x:row>
    <x:row r="3863" ht="93" customHeight="1">
      <x:c r="A3863" s="19" t="n">
        <x:v>3860</x:v>
      </x:c>
      <x:c r="B3863" s="22" t="e">
        <x:f>HYPERLINK("https://cdn.shopify.com/s/files/1/0918/6066/4603/files/O1CN01wwMGOR2MQzeg8wRbl__2219089449823-0-cib.jpg?v=1774453133","Open")</x:f>
        <x:v>HYPERLINK is not implemented. linkLocation=https://cdn.shopify.com/s/files/1/0918/6066/4603/files/O1CN01wwMGOR2MQzeg8wRbl__2219089449823-0-cib.jpg?v=1774453133, friendlyName=Open</x:v>
      </x:c>
      <x:c r="C3863" s="24" t="e">
        <x:f>HYPERLINK("https://365nails.com/products/diamond-dazzle-aurora-crystal-short-square-handmade-press-on-nails","Diamond Dazzle: ""Aurora Crystal"" – Short Square Handmade Press On Nails")</x:f>
        <x:v>HYPERLINK is not implemented. linkLocation=https://365nails.com/products/diamond-dazzle-aurora-crystal-short-square-handmade-press-on-nails, friendlyName=Diamond Dazzle: "Aurora Crystal" – Short Square Handmade Press On Nails</x:v>
      </x:c>
      <x:c r="D3863" s="18" t="str">
        <x:v>Color: L197; Color classification: X s / S / M / L</x:v>
      </x:c>
      <x:c r="E3863" s="25" t="str">
        <x:v>$4.99</x:v>
      </x:c>
      <x:c r="F3863" s="19" t="str">
        <x:v>1</x:v>
      </x:c>
    </x:row>
    <x:row r="3864" ht="93" customHeight="1">
      <x:c r="A3864" s="19" t="n">
        <x:v>3861</x:v>
      </x:c>
      <x:c r="B3864" s="22" t="e">
        <x:f>HYPERLINK("https://cdn.shopify.com/s/files/1/0918/6066/4603/files/a146506577f5d1ac2ce7722abe05d072.jpg?v=1772707808","Open")</x:f>
        <x:v>HYPERLINK is not implemented. linkLocation=https://cdn.shopify.com/s/files/1/0918/6066/4603/files/a146506577f5d1ac2ce7722abe05d072.jpg?v=1772707808, friendlyName=Open</x:v>
      </x:c>
      <x:c r="C3864" s="24" t="e">
        <x:f>HYPERLINK("https://365nails.com/products/365nails-504pcs-half-matte-seamless-nail-tips-ultra-thin-multi-shape-nail-extension-set","365nails 504PCS Half-Matte Seamless Nail Tips | Ultra-Thin Multi-Shape Nail Extension Set")</x:f>
        <x:v>HYPERLINK is not implemented. linkLocation=https://365nails.com/products/365nails-504pcs-half-matte-seamless-nail-tips-ultra-thin-multi-shape-nail-extension-set, friendlyName=365nails 504PCS Half-Matte Seamless Nail Tips | Ultra-Thin Multi-Shape Nail Extension Set</x:v>
      </x:c>
      <x:c r="D3864" s="18" t="str">
        <x:v>Color: 101-gt traceless-504 tablets / 102-gt traceless-504 pieces / 103-gt traceless-504 pieces / 104-gt traceless-504 pieces / 105-gt traceless-504 pieces / 106-gt traceless-504 pieces / 107-gt traceless-504 pieces / 108-gt traceless-504 pieces / 109-gt traceless-504 pieces / 110-gt traceless-504 pieces / 180-gt traceless-504 pieces / 181-gt traceless-504 pieces / 182-gt traceless-504 pieces / 183-gt traceless-504 pieces</x:v>
      </x:c>
      <x:c r="E3864" s="25" t="str">
        <x:v>$2.25</x:v>
      </x:c>
      <x:c r="F3864" s="19" t="str">
        <x:v>3</x:v>
      </x:c>
    </x:row>
    <x:row r="3865" ht="93" customHeight="1">
      <x:c r="A3865" s="19" t="n">
        <x:v>3862</x:v>
      </x:c>
      <x:c r="B3865" s="22" t="e">
        <x:f>HYPERLINK("https://cdn.shopify.com/s/files/1/0918/6066/4603/files/5822790a88f31b41c198790667cc281e.jpg?v=1772625951","Open")</x:f>
        <x:v>HYPERLINK is not implemented. linkLocation=https://cdn.shopify.com/s/files/1/0918/6066/4603/files/5822790a88f31b41c198790667cc281e.jpg?v=1772625951, friendlyName=Open</x:v>
      </x:c>
      <x:c r="C3865" s="24" t="e">
        <x:f>HYPERLINK("https://365nails.com/products/365nails-crystal-clear-toe-extensions-short-square-toenail-tips","365nails: ""Crystal Clear Toe Extensions"" – Short Square Toenail Tips")</x:f>
        <x:v>HYPERLINK is not implemented. linkLocation=https://365nails.com/products/365nails-crystal-clear-toe-extensions-short-square-toenail-tips, friendlyName=365nails: "Crystal Clear Toe Extensions" – Short Square Toenail Tips</x:v>
      </x:c>
      <x:c r="D3865" s="18" t="str">
        <x:v>Color: Jm-60*140 tablets</x:v>
      </x:c>
      <x:c r="E3865" s="25" t="str">
        <x:v>$1.02</x:v>
      </x:c>
      <x:c r="F3865" s="19" t="str">
        <x:v>3</x:v>
      </x:c>
    </x:row>
    <x:row r="3866" ht="93" customHeight="1">
      <x:c r="A3866" s="19" t="n">
        <x:v>3863</x:v>
      </x:c>
      <x:c r="B3866" s="22" t="e">
        <x:f>HYPERLINK("https://cdn.shopify.com/s/files/1/0918/6066/4603/files/O1CN01YYln4e27ZUlKWsczA__2220024697811-0-cib.jpg?v=1775109789","Open")</x:f>
        <x:v>HYPERLINK is not implemented. linkLocation=https://cdn.shopify.com/s/files/1/0918/6066/4603/files/O1CN01YYln4e27ZUlKWsczA__2220024697811-0-cib.jpg?v=1775109789, friendlyName=Open</x:v>
      </x:c>
      <x:c r="C3866" s="24" t="e">
        <x:f>HYPERLINK("https://365nails.com/products/365nails-crimson-ribbon-hand-painted-bow-handmade-medium-square-nails","365nails: ""Crimson Ribbon"" – Hand-Painted Bow Handmade Medium Square Nails")</x:f>
        <x:v>HYPERLINK is not implemented. linkLocation=https://365nails.com/products/365nails-crimson-ribbon-hand-painted-bow-handmade-medium-square-nails, friendlyName=365nails: "Crimson Ribbon" – Hand-Painted Bow Handmade Medium Square Nails</x:v>
      </x:c>
      <x:c r="D3866" s="18" t="str">
        <x:v>Color: Right angle t; Color classification: Xs / S / M / L</x:v>
      </x:c>
      <x:c r="E3866" s="25" t="str">
        <x:v>$4.49</x:v>
      </x:c>
      <x:c r="F3866" s="19" t="str">
        <x:v>3</x:v>
      </x:c>
    </x:row>
    <x:row r="3867" ht="93" customHeight="1">
      <x:c r="A3867" s="19" t="n">
        <x:v>3864</x:v>
      </x:c>
      <x:c r="B3867" s="22" t="e">
        <x:f>HYPERLINK("https://cdn.shopify.com/s/files/1/0918/6066/4603/files/O1CN01ognUhY2214wG9b3ym__2219480337059-0-cib.jpg?v=1773321066","Open")</x:f>
        <x:v>HYPERLINK is not implemented. linkLocation=https://cdn.shopify.com/s/files/1/0918/6066/4603/files/O1CN01ognUhY2214wG9b3ym__2219480337059-0-cib.jpg?v=1773321066, friendlyName=Open</x:v>
      </x:c>
      <x:c r="C3867" s="24" t="e">
        <x:f>HYPERLINK("https://365nails.com/products/365nails-lucky-red-lion-dance-short-round-handmade-kids-press-on-nails","365nails: ""lucky red lion dance"" – short round handmade kids press-on nails")</x:f>
        <x:v>HYPERLINK is not implemented. linkLocation=https://365nails.com/products/365nails-lucky-red-lion-dance-short-round-handmade-kids-press-on-nails, friendlyName=365nails: "lucky red lion dance" – short round handmade kids press-on nails</x:v>
      </x:c>
      <x:c r="D3867" s="18" t="str">
        <x:v>Color: 51290 golden yuan awakening lion; Color classification: Xs (about 2 years old) / S (3-4 years old) / M (5-7 years old) / L (8-11 years old)</x:v>
      </x:c>
      <x:c r="E3867" s="25" t="str">
        <x:v>$2.99</x:v>
      </x:c>
      <x:c r="F3867" s="19" t="str">
        <x:v>3</x:v>
      </x:c>
    </x:row>
    <x:row r="3868" ht="93" customHeight="1">
      <x:c r="A3868" s="19" t="n">
        <x:v>3865</x:v>
      </x:c>
      <x:c r="B3868" s="22" t="e">
        <x:f>HYPERLINK("https://cdn.shopify.com/s/files/1/0918/6066/4603/files/8247865938932eadebe29030c0fd43a9.jpg?v=1772976643","Open")</x:f>
        <x:v>HYPERLINK is not implemented. linkLocation=https://cdn.shopify.com/s/files/1/0918/6066/4603/files/8247865938932eadebe29030c0fd43a9.jpg?v=1772976643, friendlyName=Open</x:v>
      </x:c>
      <x:c r="C3868" s="24" t="e">
        <x:f>HYPERLINK("https://365nails.com/products/custom-pro-collection-vivid-half-cover-small-batch-custom-half-cover-nail-tips","Custom Pro Collection: ""Vivid Half-Cover"" – Small Batch Custom Half-Cover Nail Tips")</x:f>
        <x:v>HYPERLINK is not implemented. linkLocation=https://365nails.com/products/custom-pro-collection-vivid-half-cover-small-batch-custom-half-cover-nail-tips, friendlyName=Custom Pro Collection: "Vivid Half-Cover" – Small Batch Custom Half-Cover Nail Tips</x:v>
      </x:c>
      <x:c r="D3868" s="18" t="str">
        <x:v>Color: Ys-552-traceless and transparent*504 pieces in box / Ys-552-natural color*504 pieces in box</x:v>
      </x:c>
      <x:c r="E3868" s="25" t="str">
        <x:v>$2.46</x:v>
      </x:c>
      <x:c r="F3868" s="19" t="str">
        <x:v>3</x:v>
      </x:c>
    </x:row>
    <x:row r="3869" ht="93" customHeight="1">
      <x:c r="A3869" s="19" t="n">
        <x:v>3866</x:v>
      </x:c>
      <x:c r="B3869" s="22" t="e">
        <x:f>HYPERLINK("https://cdn.shopify.com/s/files/1/0918/6066/4603/files/O1CN01X1IAyO2MQzcnnGswM__2219089449823-0-cib.jpg?v=1774349114","Open")</x:f>
        <x:v>HYPERLINK is not implemented. linkLocation=https://cdn.shopify.com/s/files/1/0918/6066/4603/files/O1CN01X1IAyO2MQzcnnGswM__2219089449823-0-cib.jpg?v=1774349114, friendlyName=Open</x:v>
      </x:c>
      <x:c r="C3869" s="24" t="e">
        <x:f>HYPERLINK("https://365nails.com/products/365nails-blush-floral-bow-medium-almond-pink-purple-romantic-handmade-press-on-nails","365nails: ""Blush Floral Bow"" – Medium Almond Pink-Purple Romantic Handmade Press-On Nails")</x:f>
        <x:v>HYPERLINK is not implemented. linkLocation=https://365nails.com/products/365nails-blush-floral-bow-medium-almond-pink-purple-romantic-handmade-press-on-nails, friendlyName=365nails: "Blush Floral Bow" – Medium Almond Pink-Purple Romantic Handmade Press-On Nails</x:v>
      </x:c>
      <x:c r="D3869" s="18" t="str">
        <x:v>Color: D372; Color classification: X s / S / M / L</x:v>
      </x:c>
      <x:c r="E3869" s="25" t="str">
        <x:v>$3.99</x:v>
      </x:c>
      <x:c r="F3869" s="19" t="str">
        <x:v>1</x:v>
      </x:c>
    </x:row>
    <x:row r="3870" ht="93" customHeight="1">
      <x:c r="A3870" s="19" t="n">
        <x:v>3867</x:v>
      </x:c>
      <x:c r="B3870" s="22" t="e">
        <x:f>HYPERLINK("https://cdn.shopify.com/s/files/1/0918/6066/4603/files/2a497396ef1e9f98e11095b21b11591b.jpg?v=1776244515","Open")</x:f>
        <x:v>HYPERLINK is not implemented. linkLocation=https://cdn.shopify.com/s/files/1/0918/6066/4603/files/2a497396ef1e9f98e11095b21b11591b.jpg?v=1776244515, friendlyName=Open</x:v>
      </x:c>
      <x:c r="C3870" s="24" t="e">
        <x:f>HYPERLINK("https://365nails.com/products/365nails-little-princess-3d-gown-bow-handmade-short-nails","365nails: ""Little Princess"" – 3D Gown &amp; Bow Handmade Short Nails")</x:f>
        <x:v>HYPERLINK is not implemented. linkLocation=https://365nails.com/products/365nails-little-princess-3d-gown-bow-handmade-short-nails, friendlyName=365nails: "Little Princess" – 3D Gown &amp; Bow Handmade Short Nails</x:v>
      </x:c>
      <x:c r="D3870" s="18" t="str">
        <x:v>Size: XS / S / M / L</x:v>
      </x:c>
      <x:c r="E3870" s="25" t="str">
        <x:v>$2.49</x:v>
      </x:c>
      <x:c r="F3870" s="19" t="str">
        <x:v>3</x:v>
      </x:c>
    </x:row>
    <x:row r="3871" ht="93" customHeight="1">
      <x:c r="A3871" s="19" t="n">
        <x:v>3868</x:v>
      </x:c>
      <x:c r="B3871" s="22" t="e">
        <x:f>HYPERLINK("https://cdn.shopify.com/s/files/1/0918/6066/4603/files/af0d2f4213f9f43ad18deb0854703421.jpg?v=1772976613","Open")</x:f>
        <x:v>HYPERLINK is not implemented. linkLocation=https://cdn.shopify.com/s/files/1/0918/6066/4603/files/af0d2f4213f9f43ad18deb0854703421.jpg?v=1772976613, friendlyName=Open</x:v>
      </x:c>
      <x:c r="C3871" s="24" t="e">
        <x:f>HYPERLINK("https://365nails.com/products/custom-pro-collection-vivid-canvas-small-batch-custom-half-cover-nail-tips","Custom Pro Collection: ""Vivid Canvas"" – Small Batch Custom Half-Cover Nail Tips")</x:f>
        <x:v>HYPERLINK is not implemented. linkLocation=https://365nails.com/products/custom-pro-collection-vivid-canvas-small-batch-custom-half-cover-nail-tips, friendlyName=Custom Pro Collection: "Vivid Canvas" – Small Batch Custom Half-Cover Nail Tips</x:v>
      </x:c>
      <x:c r="D3871" s="18" t="str">
        <x:v>Color classification: 133-transparent color-500 bags / 133-natural white-500 bags / 133-transparent color-500 boxes / 133-natural white-500 box</x:v>
      </x:c>
      <x:c r="E3871" s="25" t="str">
        <x:v>$2.35–$2.57</x:v>
      </x:c>
      <x:c r="F3871" s="19" t="str">
        <x:v>3</x:v>
      </x:c>
    </x:row>
    <x:row r="3872" ht="93" customHeight="1">
      <x:c r="A3872" s="19" t="n">
        <x:v>3869</x:v>
      </x:c>
      <x:c r="B3872" s="22" t="e">
        <x:f>HYPERLINK("https://cdn.shopify.com/s/files/1/0918/6066/4603/files/O1CN01rViEg027ZUkcS9ywS__2220024697811-0-cib.jpg?v=1775108382","Open")</x:f>
        <x:v>HYPERLINK is not implemented. linkLocation=https://cdn.shopify.com/s/files/1/0918/6066/4603/files/O1CN01rViEg027ZUkcS9ywS__2220024697811-0-cib.jpg?v=1775108382, friendlyName=Open</x:v>
      </x:c>
      <x:c r="C3872" s="24" t="e">
        <x:f>HYPERLINK("https://365nails.com/products/365nails-tropical-breeze-3d-floral-handmade-medium-almond-nails","365nails: ""Tropical Breeze"" – 3D Floral Handmade Medium Almond Nails")</x:f>
        <x:v>HYPERLINK is not implemented. linkLocation=https://365nails.com/products/365nails-tropical-breeze-3d-floral-handmade-medium-almond-nails, friendlyName=365nails: "Tropical Breeze" – 3D Floral Handmade Medium Almond Nails</x:v>
      </x:c>
      <x:c r="D3872" s="18" t="str">
        <x:v>Color: Almond; Color classification: Xs / S / M / L</x:v>
      </x:c>
      <x:c r="E3872" s="25" t="str">
        <x:v>$4.99</x:v>
      </x:c>
      <x:c r="F3872" s="19" t="str">
        <x:v>3</x:v>
      </x:c>
    </x:row>
    <x:row r="3873" ht="93" customHeight="1">
      <x:c r="A3873" s="19" t="n">
        <x:v>3870</x:v>
      </x:c>
      <x:c r="B3873" s="22" t="e">
        <x:f>HYPERLINK("https://cdn.shopify.com/s/files/1/0918/6066/4603/files/O1CN01Wg3Q8M2MQzdf1n7tr__2219089449823-0-cib.jpg?v=1774011027","Open")</x:f>
        <x:v>HYPERLINK is not implemented. linkLocation=https://cdn.shopify.com/s/files/1/0918/6066/4603/files/O1CN01Wg3Q8M2MQzdf1n7tr__2219089449823-0-cib.jpg?v=1774011027, friendlyName=Open</x:v>
      </x:c>
      <x:c r="C3873" s="24" t="e">
        <x:f>HYPERLINK("https://365nails.com/products/peach-citrus-fruity-floral-almond-shape-handmade-3d-carved-press-on-nails","365nails-Peach Citrus: ""Fruity Floral"" – Almond Shape Handmade 3D Carved Press-On Nails")</x:f>
        <x:v>HYPERLINK is not implemented. linkLocation=https://365nails.com/products/peach-citrus-fruity-floral-almond-shape-handmade-3d-carved-press-on-nails, friendlyName=365nails-Peach Citrus: "Fruity Floral" – Almond Shape Handmade 3D Carved Press-On Nails</x:v>
      </x:c>
      <x:c r="D3873" s="18" t="str">
        <x:v>Color: D471; Color classification: X s / S / M / L</x:v>
      </x:c>
      <x:c r="E3873" s="25" t="str">
        <x:v>$3.99</x:v>
      </x:c>
      <x:c r="F3873" s="19" t="str">
        <x:v>1</x:v>
      </x:c>
    </x:row>
    <x:row r="3874" ht="93" customHeight="1">
      <x:c r="A3874" s="19" t="n">
        <x:v>3871</x:v>
      </x:c>
      <x:c r="B3874" s="22" t="e">
        <x:f>HYPERLINK("https://cdn.shopify.com/s/files/1/0918/6066/4603/files/f79ccacb93b06691195493988ace56de.jpg?v=1772976777","Open")</x:f>
        <x:v>HYPERLINK is not implemented. linkLocation=https://cdn.shopify.com/s/files/1/0918/6066/4603/files/f79ccacb93b06691195493988ace56de.jpg?v=1772976777, friendlyName=Open</x:v>
      </x:c>
      <x:c r="C3874" s="24" t="e">
        <x:f>HYPERLINK("https://365nails.com/products/drama-collection-550pcs-extended-clear-nail-tips-extended-clear-nail-tips-550pcs-box","Drama Collection: ""550pcs Extended Clear Nail Tips"" – Extended Clear Nail Tips (550pcs Box)")</x:f>
        <x:v>HYPERLINK is not implemented. linkLocation=https://365nails.com/products/drama-collection-550pcs-extended-clear-nail-tips-extended-clear-nail-tips-550pcs-box, friendlyName=Drama Collection: "550pcs Extended Clear Nail Tips" – Extended Clear Nail Tips (550pcs Box)</x:v>
      </x:c>
      <x:c r="D3874" s="18" t="str">
        <x:v>Color: Medium rectangular nails-transparent and traceless-550 pieces box / Medium-length coffin nails - clear, seamless - 550 pieces/box</x:v>
      </x:c>
      <x:c r="E3874" s="25" t="str">
        <x:v>$2.69</x:v>
      </x:c>
      <x:c r="F3874" s="19" t="str">
        <x:v>3</x:v>
      </x:c>
    </x:row>
    <x:row r="3875" ht="93" customHeight="1">
      <x:c r="A3875" s="19" t="n">
        <x:v>3872</x:v>
      </x:c>
      <x:c r="B3875" s="22" t="e">
        <x:f>HYPERLINK("https://cdn.shopify.com/s/files/1/0918/6066/4603/files/O1CN01v8ydvJ27ZUmRKFE2G__2220024697811-0-cib.jpg?v=1775107366","Open")</x:f>
        <x:v>HYPERLINK is not implemented. linkLocation=https://cdn.shopify.com/s/files/1/0918/6066/4603/files/O1CN01v8ydvJ27ZUmRKFE2G__2220024697811-0-cib.jpg?v=1775107366, friendlyName=Open</x:v>
      </x:c>
      <x:c r="C3875" s="24" t="e">
        <x:f>HYPERLINK("https://365nails.com/products/365nails-punk-rock-star-3d-star-leopard-print-handmade-stiletto-nails","365nails: ""Punk Rock Star"" – 3D Star &amp; Leopard Print Handmade Stiletto Nails")</x:f>
        <x:v>HYPERLINK is not implemented. linkLocation=https://365nails.com/products/365nails-punk-rock-star-3d-star-leopard-print-handmade-stiletto-nails, friendlyName=365nails: "Punk Rock Star" – 3D Star &amp; Leopard Print Handmade Stiletto Nails</x:v>
      </x:c>
      <x:c r="D3875" s="18" t="str">
        <x:v>Color: Long tip; Color classification: Xs / S / M / L</x:v>
      </x:c>
      <x:c r="E3875" s="25" t="str">
        <x:v>$4.99</x:v>
      </x:c>
      <x:c r="F3875" s="19" t="str">
        <x:v>3</x:v>
      </x:c>
    </x:row>
    <x:row r="3876" ht="93" customHeight="1">
      <x:c r="A3876" s="19" t="n">
        <x:v>3873</x:v>
      </x:c>
      <x:c r="B3876" s="22" t="e">
        <x:f>HYPERLINK("https://cdn.shopify.com/s/files/1/0918/6066/4603/files/O1CN01l9ffh224NBGCmkkuP__6000000007378-0-cib.jpg?v=1775106498","Open")</x:f>
        <x:v>HYPERLINK is not implemented. linkLocation=https://cdn.shopify.com/s/files/1/0918/6066/4603/files/O1CN01l9ffh224NBGCmkkuP__6000000007378-0-cib.jpg?v=1775106498, friendlyName=Open</x:v>
      </x:c>
      <x:c r="C3876" s="24" t="e">
        <x:f>HYPERLINK("https://365nails.com/products/365nails-blooming-peach-3d-floral-handmade-almond-nails","365nails: ""Blooming Peach"" – 3D Floral Handmade Almond Nails")</x:f>
        <x:v>HYPERLINK is not implemented. linkLocation=https://365nails.com/products/365nails-blooming-peach-3d-floral-handmade-almond-nails, friendlyName=365nails: "Blooming Peach" – 3D Floral Handmade Almond Nails</x:v>
      </x:c>
      <x:c r="D3876" s="18" t="str">
        <x:v>Color: Almond; Color classification: Xs / S / M / L</x:v>
      </x:c>
      <x:c r="E3876" s="25" t="str">
        <x:v>$4.99</x:v>
      </x:c>
      <x:c r="F3876" s="19" t="str">
        <x:v>3</x:v>
      </x:c>
    </x:row>
    <x:row r="3877" ht="93" customHeight="1">
      <x:c r="A3877" s="19" t="n">
        <x:v>3874</x:v>
      </x:c>
      <x:c r="B3877" s="22" t="e">
        <x:f>HYPERLINK("https://cdn.shopify.com/s/files/1/0918/6066/4603/files/O1CN01LvLJwZ2MQzdhWpm3m__2219089449823-0-cib.jpg?v=1774348914","Open")</x:f>
        <x:v>HYPERLINK is not implemented. linkLocation=https://cdn.shopify.com/s/files/1/0918/6066/4603/files/O1CN01LvLJwZ2MQzdhWpm3m__2219089449823-0-cib.jpg?v=1774348914, friendlyName=Open</x:v>
      </x:c>
      <x:c r="C3877" s="24" t="e">
        <x:f>HYPERLINK("https://365nails.com/products/mystic-purple-lavender-star-french-long-almond-purple-nude-handmade-press-on","Mystic Purple: ""Lavender Star French"" – Long Almond Purple &amp; Nude Handmade Press-On")</x:f>
        <x:v>HYPERLINK is not implemented. linkLocation=https://365nails.com/products/mystic-purple-lavender-star-french-long-almond-purple-nude-handmade-press-on, friendlyName=Mystic Purple: "Lavender Star French" – Long Almond Purple &amp; Nude Handmade Press-On</x:v>
      </x:c>
      <x:c r="D3877" s="18" t="str">
        <x:v>Color: D426; Color classification: X s / S / M / L</x:v>
      </x:c>
      <x:c r="E3877" s="25" t="str">
        <x:v>$3.49</x:v>
      </x:c>
      <x:c r="F3877" s="19" t="str">
        <x:v>1</x:v>
      </x:c>
    </x:row>
    <x:row r="3878" ht="93" customHeight="1">
      <x:c r="A3878" s="19" t="n">
        <x:v>3875</x:v>
      </x:c>
      <x:c r="B3878" s="22" t="e">
        <x:f>HYPERLINK("https://cdn.shopify.com/s/files/1/0918/6066/4603/files/7de2f02308b9aa0d7fd62a49c4b03f75.jpg?v=1778318650","Open")</x:f>
        <x:v>HYPERLINK is not implemented. linkLocation=https://cdn.shopify.com/s/files/1/0918/6066/4603/files/7de2f02308b9aa0d7fd62a49c4b03f75.jpg?v=1778318650, friendlyName=Open</x:v>
      </x:c>
      <x:c r="C3878" s="24" t="e">
        <x:f>HYPERLINK("https://365nails.com/products/365nails-sweethearts-garden-3d-bow-heart-handmade-almond-nails","365nails: ""Sweetheart's Garden"" – 3D Bow &amp; Heart Handmade Almond Nails")</x:f>
        <x:v>HYPERLINK is not implemented. linkLocation=https://365nails.com/products/365nails-sweethearts-garden-3d-bow-heart-handmade-almond-nails, friendlyName=365nails: "Sweetheart's Garden" – 3D Bow &amp; Heart Handmade Almond Nails</x:v>
      </x:c>
      <x:c r="D3878" s="18" t="str">
        <x:v>Size: XS / S / M / L</x:v>
      </x:c>
      <x:c r="E3878" s="25" t="str">
        <x:v>$2.99</x:v>
      </x:c>
      <x:c r="F3878" s="19" t="str">
        <x:v>5</x:v>
      </x:c>
    </x:row>
    <x:row r="3879" ht="93" customHeight="1">
      <x:c r="A3879" s="19" t="n">
        <x:v>3876</x:v>
      </x:c>
      <x:c r="B3879" s="22" t="e">
        <x:f>HYPERLINK("https://cdn.shopify.com/s/files/1/0918/6066/4603/files/O1CN01uKsPWz27ZUka0pkQz__2220024697811-0-cib.jpg?v=1775051985","Open")</x:f>
        <x:v>HYPERLINK is not implemented. linkLocation=https://cdn.shopify.com/s/files/1/0918/6066/4603/files/O1CN01uKsPWz27ZUka0pkQz__2220024697811-0-cib.jpg?v=1775051985, friendlyName=Open</x:v>
      </x:c>
      <x:c r="C3879" s="24" t="e">
        <x:f>HYPERLINK("https://365nails.com/products/365nails-blooming-garden-3d-floral-handmade-stiletto-nails","365nails: ""Blooming Garden"" – 3D Floral Handmade Stiletto Nails")</x:f>
        <x:v>HYPERLINK is not implemented. linkLocation=https://365nails.com/products/365nails-blooming-garden-3d-floral-handmade-stiletto-nails, friendlyName=365nails: "Blooming Garden" – 3D Floral Handmade Stiletto Nails</x:v>
      </x:c>
      <x:c r="D3879" s="18" t="str">
        <x:v>Color: Almond; Color classification: Xs / S / M / L</x:v>
      </x:c>
      <x:c r="E3879" s="25" t="str">
        <x:v>$5.49</x:v>
      </x:c>
      <x:c r="F3879" s="19" t="str">
        <x:v>3</x:v>
      </x:c>
    </x:row>
    <x:row r="3880" ht="93" customHeight="1">
      <x:c r="A3880" s="19" t="n">
        <x:v>3877</x:v>
      </x:c>
      <x:c r="B3880" s="22" t="e">
        <x:f>HYPERLINK("https://cdn.shopify.com/s/files/1/0918/6066/4603/files/O1CN01QaW8Nb2MQzf9cvqIq__2219089449823-0-cib.jpg?v=1774178813","Open")</x:f>
        <x:v>HYPERLINK is not implemented. linkLocation=https://cdn.shopify.com/s/files/1/0918/6066/4603/files/O1CN01QaW8Nb2MQzf9cvqIq__2219089449823-0-cib.jpg?v=1774178813, friendlyName=Open</x:v>
      </x:c>
      <x:c r="C3880" s="24" t="e">
        <x:f>HYPERLINK("https://365nails.com/products/midnight-enchantment-sapphire-bloom-long-almond-press-on-nails","Midnight Enchantment: ""Sapphire Bloom"" – Long Almond Press-On Nails")</x:f>
        <x:v>HYPERLINK is not implemented. linkLocation=https://365nails.com/products/midnight-enchantment-sapphire-bloom-long-almond-press-on-nails, friendlyName=Midnight Enchantment: "Sapphire Bloom" – Long Almond Press-On Nails</x:v>
      </x:c>
      <x:c r="D3880" s="18" t="str">
        <x:v>Color: O006; Color classification: X s / S / M / L</x:v>
      </x:c>
      <x:c r="E3880" s="25" t="str">
        <x:v>$8.99</x:v>
      </x:c>
      <x:c r="F3880" s="19" t="str">
        <x:v>1</x:v>
      </x:c>
    </x:row>
    <x:row r="3881" ht="93" customHeight="1">
      <x:c r="A3881" s="19" t="n">
        <x:v>3878</x:v>
      </x:c>
      <x:c r="B3881" s="22" t="e">
        <x:f>HYPERLINK("https://cdn.shopify.com/s/files/1/0918/6066/4603/files/O1CN01CyZLsZ2MQzeRS4amm__2219089449823-0-cib.jpg?v=1774178662","Open")</x:f>
        <x:v>HYPERLINK is not implemented. linkLocation=https://cdn.shopify.com/s/files/1/0918/6066/4603/files/O1CN01CyZLsZ2MQzeRS4amm__2219089449823-0-cib.jpg?v=1774178662, friendlyName=Open</x:v>
      </x:c>
      <x:c r="C3881" s="24" t="e">
        <x:f>HYPERLINK("https://365nails.com/products/wild-animal-series-blue-tiger-dalmatian-short-square-handmade-press-on-nails","Wild Animal Series: ""Blue Tiger &amp; Dalmatian"" – Short Square Handmade Press-on Nails")</x:f>
        <x:v>HYPERLINK is not implemented. linkLocation=https://365nails.com/products/wild-animal-series-blue-tiger-dalmatian-short-square-handmade-press-on-nails, friendlyName=Wild Animal Series: "Blue Tiger &amp; Dalmatian" – Short Square Handmade Press-on Nails</x:v>
      </x:c>
      <x:c r="D3881" s="18" t="str">
        <x:v>Color: D541; Color classification: X s / S / M / L</x:v>
      </x:c>
      <x:c r="E3881" s="25" t="str">
        <x:v>$3.49</x:v>
      </x:c>
      <x:c r="F3881" s="19" t="str">
        <x:v>1</x:v>
      </x:c>
    </x:row>
    <x:row r="3882" ht="93" customHeight="1">
      <x:c r="A3882" s="19" t="n">
        <x:v>3879</x:v>
      </x:c>
      <x:c r="B3882" s="22" t="e">
        <x:f>HYPERLINK("https://cdn.shopify.com/s/files/1/0918/6066/4603/files/O1CN01zv3xqA1CPwPbL8aBz__2213196780074-0-cib_083948d2-849e-47ec-b63f-815e44be9995.jpg?v=1776740471","Open")</x:f>
        <x:v>HYPERLINK is not implemented. linkLocation=https://cdn.shopify.com/s/files/1/0918/6066/4603/files/O1CN01zv3xqA1CPwPbL8aBz__2213196780074-0-cib_083948d2-849e-47ec-b63f-815e44be9995.jpg?v=1776740471, friendlyName=Open</x:v>
      </x:c>
      <x:c r="C3882" s="24" t="e">
        <x:f>HYPERLINK("https://365nails.com/products/365nails-crimson-gold-3d-butterfly-rhinestone-handmade-stiletto-nails","365nails: ""Crimson Gold"" – 3D Butterfly &amp; Rhinestone Handmade Stiletto Nails")</x:f>
        <x:v>HYPERLINK is not implemented. linkLocation=https://365nails.com/products/365nails-crimson-gold-3d-butterfly-rhinestone-handmade-stiletto-nails, friendlyName=365nails: "Crimson Gold" – 3D Butterfly &amp; Rhinestone Handmade Stiletto Nails</x:v>
      </x:c>
      <x:c r="D3882" s="18" t="str">
        <x:v>Color: 117-fine dog tip; Color classification: Extra small size xs / Small s / Medium m / Large l</x:v>
      </x:c>
      <x:c r="E3882" s="25" t="str">
        <x:v>$3.49</x:v>
      </x:c>
      <x:c r="F3882" s="19" t="str">
        <x:v>1</x:v>
      </x:c>
    </x:row>
    <x:row r="3883" ht="93" customHeight="1">
      <x:c r="A3883" s="19" t="n">
        <x:v>3880</x:v>
      </x:c>
      <x:c r="B3883" s="22" t="e">
        <x:f>HYPERLINK("https://cdn.shopify.com/s/files/1/0918/6066/4603/files/O1CN01K7QaPS1CPwLaYZ2UV__2213196780074-0-cib_b9918cda-35b1-4f2c-b433-8f37aaf26eb9.jpg?v=1774680918","Open")</x:f>
        <x:v>HYPERLINK is not implemented. linkLocation=https://cdn.shopify.com/s/files/1/0918/6066/4603/files/O1CN01K7QaPS1CPwLaYZ2UV__2213196780074-0-cib_b9918cda-35b1-4f2c-b433-8f37aaf26eb9.jpg?v=1774680918, friendlyName=Open</x:v>
      </x:c>
      <x:c r="C3883" s="24" t="e">
        <x:f>HYPERLINK("https://365nails.com/products/365nails-gilded-elegance-3d-bow-pearl-handmade-stiletto-nails","365nails: ""Gilded Elegance"" – 3D Bow &amp; Pearl Handmade Stiletto Nails")</x:f>
        <x:v>HYPERLINK is not implemented. linkLocation=https://365nails.com/products/365nails-gilded-elegance-3d-bow-pearl-handmade-stiletto-nails, friendlyName=365nails: "Gilded Elegance" – 3D Bow &amp; Pearl Handmade Stiletto Nails</x:v>
      </x:c>
      <x:c r="D3883" s="18" t="str">
        <x:v>Color: 673-long water drop; Color classification: Extra small size xs / Small s / Medium m / Large l</x:v>
      </x:c>
      <x:c r="E3883" s="25" t="str">
        <x:v>$4.49</x:v>
      </x:c>
      <x:c r="F3883" s="19" t="str">
        <x:v>1</x:v>
      </x:c>
    </x:row>
    <x:row r="3884" ht="93" customHeight="1">
      <x:c r="A3884" s="19" t="n">
        <x:v>3881</x:v>
      </x:c>
      <x:c r="B3884" s="22" t="e">
        <x:f>HYPERLINK("https://cdn.shopify.com/s/files/1/0918/6066/4603/files/ce9252d025abf05a78fbebda00a2cc1b.jpg?v=1772976627","Open")</x:f>
        <x:v>HYPERLINK is not implemented. linkLocation=https://cdn.shopify.com/s/files/1/0918/6066/4603/files/ce9252d025abf05a78fbebda00a2cc1b.jpg?v=1772976627, friendlyName=Open</x:v>
      </x:c>
      <x:c r="C3884" s="24" t="e">
        <x:f>HYPERLINK("https://365nails.com/products/custom-pro-collection-matte-canvas-small-batch-custom-matte-half-cover-nail-tips","Custom Pro Collection: ""Matte Canvas"" – Small Batch Custom Matte Half-Cover Nail Tips")</x:f>
        <x:v>HYPERLINK is not implemented. linkLocation=https://365nails.com/products/custom-pro-collection-matte-canvas-small-batch-custom-matte-half-cover-nail-tips, friendlyName=Custom Pro Collection: "Matte Canvas" – Small Batch Custom Matte Half-Cover Nail Tips</x:v>
      </x:c>
      <x:c r="D3884" s="18" t="str">
        <x:v>Color: Ys-265 frosted half cover short nail tips 240pcs / Ys-266 frosted half cover long nail tips 240pcs</x:v>
      </x:c>
      <x:c r="E3884" s="25" t="str">
        <x:v>$1.46</x:v>
      </x:c>
      <x:c r="F3884" s="19" t="str">
        <x:v>3</x:v>
      </x:c>
    </x:row>
    <x:row r="3885" ht="93" customHeight="1">
      <x:c r="A3885" s="19" t="n">
        <x:v>3882</x:v>
      </x:c>
      <x:c r="B3885" s="22" t="e">
        <x:f>HYPERLINK("https://cdn.shopify.com/s/files/1/0918/6066/4603/files/O1CN01IdlJ6N1CPwQ1xrqRS__2213196780074-0-cib.jpg?v=1774679251","Open")</x:f>
        <x:v>HYPERLINK is not implemented. linkLocation=https://cdn.shopify.com/s/files/1/0918/6066/4603/files/O1CN01IdlJ6N1CPwQ1xrqRS__2213196780074-0-cib.jpg?v=1774679251, friendlyName=Open</x:v>
      </x:c>
      <x:c r="C3885" s="24" t="e">
        <x:f>HYPERLINK("https://365nails.com/products/365nails-velvet-whispers-3d-bow-leopard-print-handmade-oval-nails","365nails: ""Velvet Whispers"" – 3D Bow &amp; Leopard Print Handmade Oval Nails")</x:f>
        <x:v>HYPERLINK is not implemented. linkLocation=https://365nails.com/products/365nails-velvet-whispers-3d-bow-leopard-print-handmade-oval-nails, friendlyName=365nails: "Velvet Whispers" – 3D Bow &amp; Leopard Print Handmade Oval Nails</x:v>
      </x:c>
      <x:c r="D3885" s="18" t="str">
        <x:v>Color: 3217-short oval / 3219-long oval; Color classification: Extra small size xs / Small s / Medium m / Large l</x:v>
      </x:c>
      <x:c r="E3885" s="25" t="str">
        <x:v>$3.49</x:v>
      </x:c>
      <x:c r="F3885" s="19" t="str">
        <x:v>1</x:v>
      </x:c>
    </x:row>
    <x:row r="3886" ht="93" customHeight="1">
      <x:c r="A3886" s="19" t="n">
        <x:v>3883</x:v>
      </x:c>
      <x:c r="B3886" s="22" t="e">
        <x:f>HYPERLINK("https://cdn.shopify.com/s/files/1/0918/6066/4603/files/O1CN01ZlISuS27ZUmRVxwQp__2220024697811-0-cib.jpg?v=1775114128","Open")</x:f>
        <x:v>HYPERLINK is not implemented. linkLocation=https://cdn.shopify.com/s/files/1/0918/6066/4603/files/O1CN01ZlISuS27ZUmRVxwQp__2220024697811-0-cib.jpg?v=1775114128, friendlyName=Open</x:v>
      </x:c>
      <x:c r="C3886" s="24" t="e">
        <x:f>HYPERLINK("https://365nails.com/products/365nails-sahara-bloom-3d-orange-flower-animal-print-handmade-short-square-nails","365nails: ""Sahara Bloom"" – 3D Orange Flower &amp; Animal Print Handmade Short Square Nails")</x:f>
        <x:v>HYPERLINK is not implemented. linkLocation=https://365nails.com/products/365nails-sahara-bloom-3d-orange-flower-animal-print-handmade-short-square-nails, friendlyName=365nails: "Sahara Bloom" – 3D Orange Flower &amp; Animal Print Handmade Short Square Nails</x:v>
      </x:c>
      <x:c r="D3886" s="18" t="str">
        <x:v>Color: European; Color classification: S / M / L</x:v>
      </x:c>
      <x:c r="E3886" s="25" t="str">
        <x:v>$5.49</x:v>
      </x:c>
      <x:c r="F3886" s="19" t="str">
        <x:v>3</x:v>
      </x:c>
    </x:row>
    <x:row r="3887" ht="93" customHeight="1">
      <x:c r="A3887" s="19" t="n">
        <x:v>3884</x:v>
      </x:c>
      <x:c r="B3887" s="22" t="e">
        <x:f>HYPERLINK("https://cdn.shopify.com/s/files/1/0918/6066/4603/files/76318f09b69bd8cd32e6b6bb7f311979.jpg?v=1772976639","Open")</x:f>
        <x:v>HYPERLINK is not implemented. linkLocation=https://cdn.shopify.com/s/files/1/0918/6066/4603/files/76318f09b69bd8cd32e6b6bb7f311979.jpg?v=1772976639, friendlyName=Open</x:v>
      </x:c>
      <x:c r="C3887" s="24" t="e">
        <x:f>HYPERLINK("https://365nails.com/products/pro-matte-collection-short-half-cover-small-batch-custom-short-matte-half-cover-nail-tips","Pro Matte Collection: ""Short Half-Cover"" – Small Batch Custom Short Matte Half-Cover Nail Tips")</x:f>
        <x:v>HYPERLINK is not implemented. linkLocation=https://365nails.com/products/pro-matte-collection-short-half-cover-small-batch-custom-short-matte-half-cover-nail-tips, friendlyName=Pro Matte Collection: "Short Half-Cover" – Small Batch Custom Short Matte Half-Cover Nail Tips</x:v>
      </x:c>
      <x:c r="D3887" s="18" t="str">
        <x:v>Color: Ys-38 traceless half sand*100 pieces in box</x:v>
      </x:c>
      <x:c r="E3887" s="25" t="str">
        <x:v>$0.78</x:v>
      </x:c>
      <x:c r="F3887" s="19" t="str">
        <x:v>3</x:v>
      </x:c>
    </x:row>
    <x:row r="3888" ht="93" customHeight="1">
      <x:c r="A3888" s="19" t="n">
        <x:v>3885</x:v>
      </x:c>
      <x:c r="B3888" s="22" t="e">
        <x:f>HYPERLINK("https://cdn.shopify.com/s/files/1/0918/6066/4603/files/O1CN01jYwKEA2MQzdkohmTx__2219089449823-0-cib.jpg?v=1774096912","Open")</x:f>
        <x:v>HYPERLINK is not implemented. linkLocation=https://cdn.shopify.com/s/files/1/0918/6066/4603/files/O1CN01jYwKEA2MQzdkohmTx__2219089449823-0-cib.jpg?v=1774096912, friendlyName=Open</x:v>
      </x:c>
      <x:c r="C3888" s="24" t="e">
        <x:f>HYPERLINK("https://365nails.com/products/blossom-dream-petal-whisper-gradient-almond-press-on-nails","Blossom Dream: ""Petal Whisper"" – Gradient Almond Press-On Nails")</x:f>
        <x:v>HYPERLINK is not implemented. linkLocation=https://365nails.com/products/blossom-dream-petal-whisper-gradient-almond-press-on-nails, friendlyName=Blossom Dream: "Petal Whisper" – Gradient Almond Press-On Nails</x:v>
      </x:c>
      <x:c r="D3888" s="18" t="str">
        <x:v>Color: K035; Color classification: X s / S / M / L</x:v>
      </x:c>
      <x:c r="E3888" s="25" t="str">
        <x:v>$3.99</x:v>
      </x:c>
      <x:c r="F3888" s="19" t="str">
        <x:v>1</x:v>
      </x:c>
    </x:row>
    <x:row r="3889" ht="93" customHeight="1">
      <x:c r="A3889" s="19" t="n">
        <x:v>3886</x:v>
      </x:c>
      <x:c r="B3889" s="22" t="e">
        <x:f>HYPERLINK("https://cdn.shopify.com/s/files/1/0918/6066/4603/files/O1CN01oLrBx12MQzdmyUont__2219089449823-0-cib.jpg?v=1774348940","Open")</x:f>
        <x:v>HYPERLINK is not implemented. linkLocation=https://cdn.shopify.com/s/files/1/0918/6066/4603/files/O1CN01oLrBx12MQzdmyUont__2219089449823-0-cib.jpg?v=1774348940, friendlyName=Open</x:v>
      </x:c>
      <x:c r="C3889" s="24" t="e">
        <x:f>HYPERLINK("https://365nails.com/products/nature-fantasy-golden-foliage-fruit-medium-almond-nude-multicolor-handmade-press-on","Nature Fantasy: ""Golden Foliage &amp; Fruit"" – Medium Almond Nude &amp; Multicolor Handmade Press-On")</x:f>
        <x:v>HYPERLINK is not implemented. linkLocation=https://365nails.com/products/nature-fantasy-golden-foliage-fruit-medium-almond-nude-multicolor-handmade-press-on, friendlyName=Nature Fantasy: "Golden Foliage &amp; Fruit" – Medium Almond Nude &amp; Multicolor Handmade Press-On</x:v>
      </x:c>
      <x:c r="D3889" s="18" t="str">
        <x:v>Color: D505; Color classification: X s / S / M / L</x:v>
      </x:c>
      <x:c r="E3889" s="25" t="str">
        <x:v>$3.49</x:v>
      </x:c>
      <x:c r="F3889" s="19" t="str">
        <x:v>1</x:v>
      </x:c>
    </x:row>
    <x:row r="3890" ht="93" customHeight="1">
      <x:c r="A3890" s="19" t="n">
        <x:v>3887</x:v>
      </x:c>
      <x:c r="B3890" s="22" t="e">
        <x:f>HYPERLINK("https://cdn.shopify.com/s/files/1/0918/6066/4603/files/O1CN011yJ0Pj27ZUmHb9Tzl__2220024697811-0-cib.jpg?v=1774961368","Open")</x:f>
        <x:v>HYPERLINK is not implemented. linkLocation=https://cdn.shopify.com/s/files/1/0918/6066/4603/files/O1CN011yJ0Pj27ZUmHb9Tzl__2220024697811-0-cib.jpg?v=1774961368, friendlyName=Open</x:v>
      </x:c>
      <x:c r="C3890" s="24" t="e">
        <x:f>HYPERLINK("https://365nails.com/products/365nails-heart-lock-3d-bubble-handmade-almond-nails","365nails: ""Heart Lock"" – 3D Bubble Handmade Almond Nails")</x:f>
        <x:v>HYPERLINK is not implemented. linkLocation=https://365nails.com/products/365nails-heart-lock-3d-bubble-handmade-almond-nails, friendlyName=365nails: "Heart Lock" – 3D Bubble Handmade Almond Nails</x:v>
      </x:c>
      <x:c r="D3890" s="18" t="str">
        <x:v>Color: Almond; Color classification: Xs / S / M / L</x:v>
      </x:c>
      <x:c r="E3890" s="25" t="str">
        <x:v>$4.49</x:v>
      </x:c>
      <x:c r="F3890" s="19" t="str">
        <x:v>3</x:v>
      </x:c>
    </x:row>
    <x:row r="3891" ht="93" customHeight="1">
      <x:c r="A3891" s="19" t="n">
        <x:v>3888</x:v>
      </x:c>
      <x:c r="B3891" s="22" t="e">
        <x:f>HYPERLINK("https://cdn.shopify.com/s/files/1/0918/6066/4603/files/c7d8333de2b3e02b20e24a2eee107e68_6467c5ce-95ad-4e2e-a8eb-70d3aa3c75b3.jpg?v=1773212180","Open")</x:f>
        <x:v>HYPERLINK is not implemented. linkLocation=https://cdn.shopify.com/s/files/1/0918/6066/4603/files/c7d8333de2b3e02b20e24a2eee107e68_6467c5ce-95ad-4e2e-a8eb-70d3aa3c75b3.jpg?v=1773212180, friendlyName=Open</x:v>
      </x:c>
      <x:c r="C3891" s="24" t="e">
        <x:f>HYPERLINK("https://365nails.com/products/365nails-pink-glitter-confetti-handmade-press-on-toenails-pedicure","365nails: ""pink glitter confetti"" – handmade press-on toenails / pedicure")</x:f>
        <x:v>HYPERLINK is not implemented. linkLocation=https://365nails.com/products/365nails-pink-glitter-confetti-handmade-press-on-toenails-pedicure, friendlyName=365nails: "pink glitter confetti" – handmade press-on toenails / pedicure</x:v>
      </x:c>
      <x:c r="D3891" s="18" t="str">
        <x:v>Size: XS / S / M / L</x:v>
      </x:c>
      <x:c r="E3891" s="25" t="str">
        <x:v>$3.99</x:v>
      </x:c>
      <x:c r="F3891" s="19" t="str">
        <x:v>3</x:v>
      </x:c>
    </x:row>
    <x:row r="3892" ht="93" customHeight="1">
      <x:c r="A3892" s="19" t="n">
        <x:v>3889</x:v>
      </x:c>
      <x:c r="B3892" s="22" t="e">
        <x:f>HYPERLINK("https://cdn.shopify.com/s/files/1/0918/6066/4603/files/8efa15650ebfbc84d3cafc5b5859c6dd.jpg?v=1773827959","Open")</x:f>
        <x:v>HYPERLINK is not implemented. linkLocation=https://cdn.shopify.com/s/files/1/0918/6066/4603/files/8efa15650ebfbc84d3cafc5b5859c6dd.jpg?v=1773827959, friendlyName=Open</x:v>
      </x:c>
      <x:c r="C3892" s="24" t="e">
        <x:f>HYPERLINK("https://365nails.com/products/365nails-grape-cat-eye-magic-cube-handmade-press-on-nails-candy-series-mysterious-cool-sweet-style","365Nails: ""Grape Cat-eye Magic Cube"" – handmade press-on nails (Candy Series/Mysterious Cool Sweet Style)")</x:f>
        <x:v>HYPERLINK is not implemented. linkLocation=https://365nails.com/products/365nails-grape-cat-eye-magic-cube-handmade-press-on-nails-candy-series-mysterious-cool-sweet-style, friendlyName=365Nails: "Grape Cat-eye Magic Cube" – handmade press-on nails (Candy Series/Mysterious Cool Sweet Style)</x:v>
      </x:c>
      <x:c r="D3892" s="18" t="str">
        <x:v>Size: XS / S / M / L</x:v>
      </x:c>
      <x:c r="E3892" s="25" t="str">
        <x:v>$3.99</x:v>
      </x:c>
      <x:c r="F3892" s="19" t="str">
        <x:v>10</x:v>
      </x:c>
    </x:row>
    <x:row r="3893" ht="93" customHeight="1">
      <x:c r="A3893" s="19" t="n">
        <x:v>3890</x:v>
      </x:c>
      <x:c r="B3893" s="22" t="e">
        <x:f>HYPERLINK("https://cdn.shopify.com/s/files/1/0918/6066/4603/files/O1CN01qDvWRr2214sML4hTp__2219480337059-0-cib_b32599a0-4beb-4a7c-b2ea-28153244d6a7.jpg?v=1773824636","Open")</x:f>
        <x:v>HYPERLINK is not implemented. linkLocation=https://cdn.shopify.com/s/files/1/0918/6066/4603/files/O1CN01qDvWRr2214sML4hTp__2219480337059-0-cib_b32599a0-4beb-4a7c-b2ea-28153244d6a7.jpg?v=1773824636, friendlyName=Open</x:v>
      </x:c>
      <x:c r="C3893" s="24" t="e">
        <x:f>HYPERLINK("https://365nails.com/products/ne-zha-kids-series-magic-hero-squad-short-square-kids-nail-art","365nails-Ne Zha Kids Series: ""Magic Hero Squad"" – Short Square Kids Nail Art")</x:f>
        <x:v>HYPERLINK is not implemented. linkLocation=https://365nails.com/products/ne-zha-kids-series-magic-hero-squad-short-square-kids-nail-art, friendlyName=365nails-Ne Zha Kids Series: "Magic Hero Squad" – Short Square Kids Nail Art</x:v>
      </x:c>
      <x:c r="D3893" s="18" t="str">
        <x:v>Color: The magic boy makes a ruckus in the sea; Color classification: Xs (about 2 years old) / S (3-4 years old) / M (5-7 years old) / L (8-11 years old)</x:v>
      </x:c>
      <x:c r="E3893" s="25" t="str">
        <x:v>$2.99</x:v>
      </x:c>
      <x:c r="F3893" s="19" t="str">
        <x:v>3</x:v>
      </x:c>
    </x:row>
    <x:row r="3894" ht="93" customHeight="1">
      <x:c r="A3894" s="19" t="n">
        <x:v>3891</x:v>
      </x:c>
      <x:c r="B3894" s="22" t="e">
        <x:f>HYPERLINK("https://cdn.shopify.com/s/files/1/0918/6066/4603/files/fcda6f3f88b280219c8bb91c881be8ca.jpg?v=1773901785","Open")</x:f>
        <x:v>HYPERLINK is not implemented. linkLocation=https://cdn.shopify.com/s/files/1/0918/6066/4603/files/fcda6f3f88b280219c8bb91c881be8ca.jpg?v=1773901785, friendlyName=Open</x:v>
      </x:c>
      <x:c r="C3894" s="24" t="e">
        <x:f>HYPERLINK("https://365nails.com/products/365nails-dark-galaxy-gradient-handmade-press-on-nails-cosmic-punk-street-cool","365Nails: ""Dark Galaxy Gradient"" – handmade press-on nails (Cosmic Punk/Street Cool)")</x:f>
        <x:v>HYPERLINK is not implemented. linkLocation=https://365nails.com/products/365nails-dark-galaxy-gradient-handmade-press-on-nails-cosmic-punk-street-cool, friendlyName=365Nails: "Dark Galaxy Gradient" – handmade press-on nails (Cosmic Punk/Street Cool)</x:v>
      </x:c>
      <x:c r="D3894" s="18" t="str">
        <x:v>Size: XS / S / M / L</x:v>
      </x:c>
      <x:c r="E3894" s="25" t="str">
        <x:v>$3.99</x:v>
      </x:c>
      <x:c r="F3894" s="19" t="str">
        <x:v>5</x:v>
      </x:c>
    </x:row>
    <x:row r="3895" ht="93" customHeight="1">
      <x:c r="A3895" s="19" t="n">
        <x:v>3892</x:v>
      </x:c>
      <x:c r="B3895" s="22" t="e">
        <x:f>HYPERLINK("https://cdn.shopify.com/s/files/1/0918/6066/4603/files/O1CN01Wqm6hF2214wIqeGBE__2219480337059-0-cib.jpg?v=1773321039","Open")</x:f>
        <x:v>HYPERLINK is not implemented. linkLocation=https://cdn.shopify.com/s/files/1/0918/6066/4603/files/O1CN01Wqm6hF2214wIqeGBE__2219480337059-0-cib.jpg?v=1773321039, friendlyName=Open</x:v>
      </x:c>
      <x:c r="C3895" s="24" t="e">
        <x:f>HYPERLINK("https://365nails.com/products/365nails-pink-berry-linabell-short-round-handmade-kids-press-on-nails","365nails: ""pink berry linabell"" – short round handmade kids press-on nails")</x:f>
        <x:v>HYPERLINK is not implemented. linkLocation=https://365nails.com/products/365nails-pink-berry-linabell-short-round-handmade-kids-press-on-nails, friendlyName=365nails: "pink berry linabell" – short round handmade kids press-on nails</x:v>
      </x:c>
      <x:c r="D3895" s="18" t="str">
        <x:v>Color: 10321 belle pink strawberry; Color classification: Xs (about 2 years old) / S (3-4 years old) / M (5-7 years old) / L (8-11 years old)</x:v>
      </x:c>
      <x:c r="E3895" s="25" t="str">
        <x:v>$2.99</x:v>
      </x:c>
      <x:c r="F3895" s="19" t="str">
        <x:v>3</x:v>
      </x:c>
    </x:row>
    <x:row r="3896" ht="93" customHeight="1">
      <x:c r="A3896" s="19" t="n">
        <x:v>3893</x:v>
      </x:c>
      <x:c r="B3896" s="22" t="e">
        <x:f>HYPERLINK("https://cdn.shopify.com/s/files/1/0918/6066/4603/files/O1CN013HBGp11CPwIasYZgk__2213196780074-0-cib_bed61a95-b2be-45c0-8083-2d0c0ae97a14.jpg?v=1774679939","Open")</x:f>
        <x:v>HYPERLINK is not implemented. linkLocation=https://cdn.shopify.com/s/files/1/0918/6066/4603/files/O1CN013HBGp11CPwIasYZgk__2213196780074-0-cib_bed61a95-b2be-45c0-8083-2d0c0ae97a14.jpg?v=1774679939, friendlyName=Open</x:v>
      </x:c>
      <x:c r="C3896" s="24" t="e">
        <x:f>HYPERLINK("https://365nails.com/products/365nails-aqua-star-icy-blue-cat-eye-handmade-square-nails","365nails: ""Aqua Star"" – Icy Blue Cat Eye Handmade Square Nails")</x:f>
        <x:v>HYPERLINK is not implemented. linkLocation=https://365nails.com/products/365nails-aqua-star-icy-blue-cat-eye-handmade-square-nails, friendlyName=365nails: "Aqua Star" – Icy Blue Cat Eye Handmade Square Nails</x:v>
      </x:c>
      <x:c r="D3896" s="18" t="str">
        <x:v>Color: 2277-super short ladder; Color classification: Extra small size xs / Small s / Medium m / Large l</x:v>
      </x:c>
      <x:c r="E3896" s="25" t="str">
        <x:v>$2.99</x:v>
      </x:c>
      <x:c r="F3896" s="19" t="str">
        <x:v>1</x:v>
      </x:c>
    </x:row>
    <x:row r="3897" ht="93" customHeight="1">
      <x:c r="A3897" s="19" t="n">
        <x:v>3894</x:v>
      </x:c>
      <x:c r="B3897" s="22" t="e">
        <x:f>HYPERLINK("https://cdn.shopify.com/s/files/1/0918/6066/4603/files/O1CN018geOhl2MQzc6JP3PI__2219089449823-0-cib.jpg?v=1774349078","Open")</x:f>
        <x:v>HYPERLINK is not implemented. linkLocation=https://cdn.shopify.com/s/files/1/0918/6066/4603/files/O1CN018geOhl2MQzc6JP3PI__2219089449823-0-cib.jpg?v=1774349078, friendlyName=Open</x:v>
      </x:c>
      <x:c r="C3897" s="24" t="e">
        <x:f>HYPERLINK("https://365nails.com/products/365nails-pink-lily-noir-extra-long-stiletto-lily-floral-handmade-press-on-nails","365nails: ""Pink Lily Noir"" – Extra Long Stiletto Lily Floral Handmade Press-On Nails")</x:f>
        <x:v>HYPERLINK is not implemented. linkLocation=https://365nails.com/products/365nails-pink-lily-noir-extra-long-stiletto-lily-floral-handmade-press-on-nails, friendlyName=365nails: "Pink Lily Noir" – Extra Long Stiletto Lily Floral Handmade Press-On Nails</x:v>
      </x:c>
      <x:c r="D3897" s="18" t="str">
        <x:v>Color: D277; Color classification: X s / S / M / L</x:v>
      </x:c>
      <x:c r="E3897" s="25" t="str">
        <x:v>$3.49</x:v>
      </x:c>
      <x:c r="F3897" s="19" t="str">
        <x:v>1</x:v>
      </x:c>
    </x:row>
    <x:row r="3898" ht="93" customHeight="1">
      <x:c r="A3898" s="19" t="n">
        <x:v>3895</x:v>
      </x:c>
      <x:c r="B3898" s="22" t="e">
        <x:f>HYPERLINK("https://cdn.shopify.com/s/files/1/0918/6066/4603/files/63568756e2b0c4fa3e083313f801b9ed.jpg?v=1778318676","Open")</x:f>
        <x:v>HYPERLINK is not implemented. linkLocation=https://cdn.shopify.com/s/files/1/0918/6066/4603/files/63568756e2b0c4fa3e083313f801b9ed.jpg?v=1778318676, friendlyName=Open</x:v>
      </x:c>
      <x:c r="C3898" s="24" t="e">
        <x:f>HYPERLINK("https://365nails.com/products/365nails-stardust-dreams-3d-beaded-gradient-handmade-almond-nails","365nails: ""Stardust Dreams"" – 3D Beaded &amp; Gradient Handmade Almond Nails")</x:f>
        <x:v>HYPERLINK is not implemented. linkLocation=https://365nails.com/products/365nails-stardust-dreams-3d-beaded-gradient-handmade-almond-nails, friendlyName=365nails: "Stardust Dreams" – 3D Beaded &amp; Gradient Handmade Almond Nails</x:v>
      </x:c>
      <x:c r="D3898" s="18" t="str">
        <x:v>Size: XS / S / M / L</x:v>
      </x:c>
      <x:c r="E3898" s="25" t="str">
        <x:v>$2.99</x:v>
      </x:c>
      <x:c r="F3898" s="19" t="str">
        <x:v>5</x:v>
      </x:c>
    </x:row>
    <x:row r="3899" ht="93" customHeight="1">
      <x:c r="A3899" s="19" t="n">
        <x:v>3896</x:v>
      </x:c>
      <x:c r="B3899" s="22" t="e">
        <x:f>HYPERLINK("https://cdn.shopify.com/s/files/1/0918/6066/4603/files/O1CN01kO2Oph2MQzdfZ304W__2219089449823-0-cib.jpg?v=1774011059","Open")</x:f>
        <x:v>HYPERLINK is not implemented. linkLocation=https://cdn.shopify.com/s/files/1/0918/6066/4603/files/O1CN01kO2Oph2MQzdfZ304W__2219089449823-0-cib.jpg?v=1774011059, friendlyName=Open</x:v>
      </x:c>
      <x:c r="C3899" s="24" t="e">
        <x:f>HYPERLINK("https://365nails.com/products/lemon-butterfly-fresh-floral-almond-shape-handmade-3d-carved-press-on-nails","365nails-Lemon Butterfly: ""Fresh Floral"" – Almond Shape Handmade 3D Carved Press-On Nails")</x:f>
        <x:v>HYPERLINK is not implemented. linkLocation=https://365nails.com/products/lemon-butterfly-fresh-floral-almond-shape-handmade-3d-carved-press-on-nails, friendlyName=365nails-Lemon Butterfly: "Fresh Floral" – Almond Shape Handmade 3D Carved Press-On Nails</x:v>
      </x:c>
      <x:c r="D3899" s="18" t="str">
        <x:v>Color: D428; Color classification: X s / S / M / L</x:v>
      </x:c>
      <x:c r="E3899" s="25" t="str">
        <x:v>$3.99</x:v>
      </x:c>
      <x:c r="F3899" s="19" t="str">
        <x:v>5</x:v>
      </x:c>
    </x:row>
    <x:row r="3900" ht="93" customHeight="1">
      <x:c r="A3900" s="19" t="n">
        <x:v>3897</x:v>
      </x:c>
      <x:c r="B3900" s="22" t="e">
        <x:f>HYPERLINK("https://cdn.shopify.com/s/files/1/0918/6066/4603/files/ae9dd2bed5075b31772cc4a1cd8f895f.jpg?v=1773882988","Open")</x:f>
        <x:v>HYPERLINK is not implemented. linkLocation=https://cdn.shopify.com/s/files/1/0918/6066/4603/files/ae9dd2bed5075b31772cc4a1cd8f895f.jpg?v=1773882988, friendlyName=Open</x:v>
      </x:c>
      <x:c r="C3900" s="24" t="e">
        <x:f>HYPERLINK("https://365nails.com/products/365nails-peach-marble-handmade-press-on-nails-candy-series-fresh-sweet-style","365Nails: ""Peach Marble"" – handmade press-on nails (Candy Series/Fresh Sweet Style)")</x:f>
        <x:v>HYPERLINK is not implemented. linkLocation=https://365nails.com/products/365nails-peach-marble-handmade-press-on-nails-candy-series-fresh-sweet-style, friendlyName=365Nails: "Peach Marble" – handmade press-on nails (Candy Series/Fresh Sweet Style)</x:v>
      </x:c>
      <x:c r="D3900" s="18" t="str">
        <x:v>Size: XS / S / M / L</x:v>
      </x:c>
      <x:c r="E3900" s="25" t="str">
        <x:v>$3.99</x:v>
      </x:c>
      <x:c r="F3900" s="19" t="str">
        <x:v>10</x:v>
      </x:c>
    </x:row>
    <x:row r="3901" ht="93" customHeight="1">
      <x:c r="A3901" s="19" t="n">
        <x:v>3898</x:v>
      </x:c>
      <x:c r="B3901" s="22" t="e">
        <x:f>HYPERLINK("https://cdn.shopify.com/s/files/1/0918/6066/4603/files/4d968896add8ca3239cd2194c6fccdbc.jpg?v=1778317332","Open")</x:f>
        <x:v>HYPERLINK is not implemented. linkLocation=https://cdn.shopify.com/s/files/1/0918/6066/4603/files/4d968896add8ca3239cd2194c6fccdbc.jpg?v=1778317332, friendlyName=Open</x:v>
      </x:c>
      <x:c r="C3901" s="24" t="e">
        <x:f>HYPERLINK("https://365nails.com/products/365nails-royal-baroque-3d-floral-gold-leaf-handmade-almond-nails","365nails: ""Royal Baroque"" – 3D Floral &amp; Gold Leaf Handmade Almond Nails")</x:f>
        <x:v>HYPERLINK is not implemented. linkLocation=https://365nails.com/products/365nails-royal-baroque-3d-floral-gold-leaf-handmade-almond-nails, friendlyName=365nails: "Royal Baroque" – 3D Floral &amp; Gold Leaf Handmade Almond Nails</x:v>
      </x:c>
      <x:c r="D3901" s="18" t="str">
        <x:v>Size: XS / S / M / L</x:v>
      </x:c>
      <x:c r="E3901" s="25" t="str">
        <x:v>$3.99</x:v>
      </x:c>
      <x:c r="F3901" s="19" t="str">
        <x:v>5</x:v>
      </x:c>
    </x:row>
    <x:row r="3902" ht="93" customHeight="1">
      <x:c r="A3902" s="19" t="n">
        <x:v>3899</x:v>
      </x:c>
      <x:c r="B3902" s="22" t="e">
        <x:f>HYPERLINK("https://cdn.shopify.com/s/files/1/0918/6066/4603/files/O1CN01FhGitu27ZUlomduZU__2220024697811-0-cib.jpg?v=1774866125","Open")</x:f>
        <x:v>HYPERLINK is not implemented. linkLocation=https://cdn.shopify.com/s/files/1/0918/6066/4603/files/O1CN01FhGitu27ZUlomduZU__2220024697811-0-cib.jpg?v=1774866125, friendlyName=Open</x:v>
      </x:c>
      <x:c r="C3902" s="24" t="e">
        <x:f>HYPERLINK("https://365nails.com/products/365nails-golden-mocha-3d-glaze-handmade-almond-nails","365nails: ""Golden Mocha"" – 3D Glaze Handmade Almond Nails")</x:f>
        <x:v>HYPERLINK is not implemented. linkLocation=https://365nails.com/products/365nails-golden-mocha-3d-glaze-handmade-almond-nails, friendlyName=365nails: "Golden Mocha" – 3D Glaze Handmade Almond Nails</x:v>
      </x:c>
      <x:c r="D3902" s="18" t="str">
        <x:v>Color: Short almond; Color classification: Xs / S / M / L</x:v>
      </x:c>
      <x:c r="E3902" s="25" t="str">
        <x:v>$4.49</x:v>
      </x:c>
      <x:c r="F3902" s="19" t="str">
        <x:v>3</x:v>
      </x:c>
    </x:row>
    <x:row r="3903" ht="93" customHeight="1">
      <x:c r="A3903" s="19" t="n">
        <x:v>3900</x:v>
      </x:c>
      <x:c r="B3903" s="22" t="e">
        <x:f>HYPERLINK("https://cdn.shopify.com/s/files/1/0918/6066/4603/files/O1CN01G10tuK1CPwMg2M054__2213196780074-0-cib_262ce26c-0019-457a-881a-c820bfdefb1b.jpg?v=1774686728","Open")</x:f>
        <x:v>HYPERLINK is not implemented. linkLocation=https://cdn.shopify.com/s/files/1/0918/6066/4603/files/O1CN01G10tuK1CPwMg2M054__2213196780074-0-cib_262ce26c-0019-457a-881a-c820bfdefb1b.jpg?v=1774686728, friendlyName=Open</x:v>
      </x:c>
      <x:c r="C3903" s="24" t="e">
        <x:f>HYPERLINK("https://365nails.com/products/365nails-tropical-bloom-3d-hand-painted-floral-handmade-stiletto-nails","365nails: ""Tropical Bloom"" – 3D Hand-Painted Floral Handmade Stiletto Nails")</x:f>
        <x:v>HYPERLINK is not implemented. linkLocation=https://365nails.com/products/365nails-tropical-bloom-3d-hand-painted-floral-handmade-stiletto-nails, friendlyName=365nails: "Tropical Bloom" – 3D Hand-Painted Floral Handmade Stiletto Nails</x:v>
      </x:c>
      <x:c r="D3903" s="18" t="str">
        <x:v>Color: 340-long water drop; Color classification: Xs / S / M / L</x:v>
      </x:c>
      <x:c r="E3903" s="25" t="str">
        <x:v>$7.49</x:v>
      </x:c>
      <x:c r="F3903" s="19" t="str">
        <x:v>1</x:v>
      </x:c>
    </x:row>
    <x:row r="3904" ht="93" customHeight="1">
      <x:c r="A3904" s="19" t="n">
        <x:v>3901</x:v>
      </x:c>
      <x:c r="B3904" s="22" t="e">
        <x:f>HYPERLINK("https://cdn.shopify.com/s/files/1/0918/6066/4603/files/O1CN01kKhvDh2MQzfoHxvEV__2219089449823-0-cib.jpg?v=1774275802","Open")</x:f>
        <x:v>HYPERLINK is not implemented. linkLocation=https://cdn.shopify.com/s/files/1/0918/6066/4603/files/O1CN01kKhvDh2MQzfoHxvEV__2219089449823-0-cib.jpg?v=1774275802, friendlyName=Open</x:v>
      </x:c>
      <x:c r="C3904" s="24" t="e">
        <x:f>HYPERLINK("https://365nails.com/products/ruby-ripple-glam-wave-long-stiletto-press-on-nails","Ruby Ripple: ""Glam Wave"" – Long Stiletto Press-On Nails")</x:f>
        <x:v>HYPERLINK is not implemented. linkLocation=https://365nails.com/products/ruby-ripple-glam-wave-long-stiletto-press-on-nails, friendlyName=Ruby Ripple: "Glam Wave" – Long Stiletto Press-On Nails</x:v>
      </x:c>
      <x:c r="D3904" s="18" t="str">
        <x:v>Color: L001; Color classification: S / M / L</x:v>
      </x:c>
      <x:c r="E3904" s="25" t="str">
        <x:v>$4.99</x:v>
      </x:c>
      <x:c r="F3904" s="19" t="str">
        <x:v>1</x:v>
      </x:c>
    </x:row>
    <x:row r="3905" ht="93" customHeight="1">
      <x:c r="A3905" s="19" t="n">
        <x:v>3902</x:v>
      </x:c>
      <x:c r="B3905" s="22" t="e">
        <x:f>HYPERLINK("https://cdn.shopify.com/s/files/1/0918/6066/4603/files/O1CN01dPOKnD2MQzfFEC6sr__2219089449823-0-cib.jpg?v=1774257970","Open")</x:f>
        <x:v>HYPERLINK is not implemented. linkLocation=https://cdn.shopify.com/s/files/1/0918/6066/4603/files/O1CN01dPOKnD2MQzfFEC6sr__2219089449823-0-cib.jpg?v=1774257970, friendlyName=Open</x:v>
      </x:c>
      <x:c r="C3905" s="24" t="e">
        <x:f>HYPERLINK("https://365nails.com/products/plum-blossom-noir-burgundy-floral-almond-shape-handmade-press-on-nails","Plum Blossom Noir: ""Burgundy Floral"" – Almond Shape Handmade Press-On Nails")</x:f>
        <x:v>HYPERLINK is not implemented. linkLocation=https://365nails.com/products/plum-blossom-noir-burgundy-floral-almond-shape-handmade-press-on-nails, friendlyName=Plum Blossom Noir: "Burgundy Floral" – Almond Shape Handmade Press-On Nails</x:v>
      </x:c>
      <x:c r="D3905" s="18" t="str">
        <x:v>Color: D597; Color classification: X s / S / M / L</x:v>
      </x:c>
      <x:c r="E3905" s="25" t="str">
        <x:v>$3.49</x:v>
      </x:c>
      <x:c r="F3905" s="19" t="str">
        <x:v>1</x:v>
      </x:c>
    </x:row>
    <x:row r="3906" ht="93" customHeight="1">
      <x:c r="A3906" s="19" t="n">
        <x:v>3903</x:v>
      </x:c>
      <x:c r="B3906" s="22" t="e">
        <x:f>HYPERLINK("https://cdn.shopify.com/s/files/1/0918/6066/4603/files/O1CN01WiqnJy27ZUkh06mlp__2220024697811-0-cib.jpg?v=1775040725","Open")</x:f>
        <x:v>HYPERLINK is not implemented. linkLocation=https://cdn.shopify.com/s/files/1/0918/6066/4603/files/O1CN01WiqnJy27ZUkh06mlp__2220024697811-0-cib.jpg?v=1775040725, friendlyName=Open</x:v>
      </x:c>
      <x:c r="C3906" s="24" t="e">
        <x:f>HYPERLINK("https://365nails.com/products/365nails-tropical-fantasy-3d-floral-butterfly-handmade-short-nails","365nails: ""Tropical Fantasy"" – 3D Floral &amp; Butterfly Handmade Short Nails")</x:f>
        <x:v>HYPERLINK is not implemented. linkLocation=https://365nails.com/products/365nails-tropical-fantasy-3d-floral-butterfly-handmade-short-nails, friendlyName=365nails: "Tropical Fantasy" – 3D Floral &amp; Butterfly Handmade Short Nails</x:v>
      </x:c>
      <x:c r="D3906" s="18" t="str">
        <x:v>Color: Short oval; Color classification: Xs / S / M / L</x:v>
      </x:c>
      <x:c r="E3906" s="25" t="str">
        <x:v>$5.99</x:v>
      </x:c>
      <x:c r="F3906" s="19" t="str">
        <x:v>3</x:v>
      </x:c>
    </x:row>
    <x:row r="3907" ht="93" customHeight="1">
      <x:c r="A3907" s="19" t="n">
        <x:v>3904</x:v>
      </x:c>
      <x:c r="B3907" s="22" t="e">
        <x:f>HYPERLINK("https://cdn.shopify.com/s/files/1/0918/6066/4603/files/O1CN01NyMdYL27ZUlPJeT9J__2220024697811-0-cib.jpg?v=1774864135","Open")</x:f>
        <x:v>HYPERLINK is not implemented. linkLocation=https://cdn.shopify.com/s/files/1/0918/6066/4603/files/O1CN01NyMdYL27ZUlPJeT9J__2220024697811-0-cib.jpg?v=1774864135, friendlyName=Open</x:v>
      </x:c>
      <x:c r="C3907" s="24" t="e">
        <x:f>HYPERLINK("https://365nails.com/products/365nails-midnight-berries-3d-floral-rhinestone-handmade-stiletto-nails","365nails: ""Midnight Berries"" – 3D Floral &amp; Rhinestone Handmade Stiletto Nails")</x:f>
        <x:v>HYPERLINK is not implemented. linkLocation=https://365nails.com/products/365nails-midnight-berries-3d-floral-rhinestone-handmade-stiletto-nails, friendlyName=365nails: "Midnight Berries" – 3D Floral &amp; Rhinestone Handmade Stiletto Nails</x:v>
      </x:c>
      <x:c r="D3907" s="18" t="str">
        <x:v>Color: Long tip; Color classification: Xs / S / M / L</x:v>
      </x:c>
      <x:c r="E3907" s="25" t="str">
        <x:v>$4.99</x:v>
      </x:c>
      <x:c r="F3907" s="19" t="str">
        <x:v>3</x:v>
      </x:c>
    </x:row>
    <x:row r="3908" ht="93" customHeight="1">
      <x:c r="A3908" s="19" t="n">
        <x:v>3905</x:v>
      </x:c>
      <x:c r="B3908" s="22" t="e">
        <x:f>HYPERLINK("https://cdn.shopify.com/s/files/1/0918/6066/4603/files/O1CN01VJqQlG1CPwNLh3WX4__2213196780074-0-cib.jpg?v=1776593778","Open")</x:f>
        <x:v>HYPERLINK is not implemented. linkLocation=https://cdn.shopify.com/s/files/1/0918/6066/4603/files/O1CN01VJqQlG1CPwNLh3WX4__2213196780074-0-cib.jpg?v=1776593778, friendlyName=Open</x:v>
      </x:c>
      <x:c r="C3908" s="24" t="e">
        <x:f>HYPERLINK("https://365nails.com/products/365nails-starlight-kiss-iridescent-cat-eye-butterfly-handmade-nails","365nails: ""Starlight Kiss"" – Iridescent Cat Eye Butterfly Handmade Nails")</x:f>
        <x:v>HYPERLINK is not implemented. linkLocation=https://365nails.com/products/365nails-starlight-kiss-iridescent-cat-eye-butterfly-handmade-nails, friendlyName=365nails: "Starlight Kiss" – Iridescent Cat Eye Butterfly Handmade Nails</x:v>
      </x:c>
      <x:c r="D3908" s="18" t="str">
        <x:v>Color: 2843 - medium oval / 2845-middle ladder / 2847-long oval; Color classification: Xs / S / M / L</x:v>
      </x:c>
      <x:c r="E3908" s="25" t="str">
        <x:v>$3.49</x:v>
      </x:c>
      <x:c r="F3908" s="19" t="str">
        <x:v>1</x:v>
      </x:c>
    </x:row>
    <x:row r="3909" ht="93" customHeight="1">
      <x:c r="A3909" s="19" t="n">
        <x:v>3906</x:v>
      </x:c>
      <x:c r="B3909" s="22" t="e">
        <x:f>HYPERLINK("https://cdn.shopify.com/s/files/1/0918/6066/4603/files/O1CN01VZfyCD2MQzejjF0Wp__2219089449823-0-cib.jpg?v=1774453129","Open")</x:f>
        <x:v>HYPERLINK is not implemented. linkLocation=https://cdn.shopify.com/s/files/1/0918/6066/4603/files/O1CN01VZfyCD2MQzejjF0Wp__2219089449823-0-cib.jpg?v=1774453129, friendlyName=Open</x:v>
      </x:c>
      <x:c r="C3909" s="24" t="e">
        <x:f>HYPERLINK("https://365nails.com/products/pastel-bloom-colorful-petal-medium-almond-handmade-press-on-nails","Pastel Bloom: ""Colorful Petal"" – Medium Almond Handmade Press On Nails")</x:f>
        <x:v>HYPERLINK is not implemented. linkLocation=https://365nails.com/products/pastel-bloom-colorful-petal-medium-almond-handmade-press-on-nails, friendlyName=Pastel Bloom: "Colorful Petal" – Medium Almond Handmade Press On Nails</x:v>
      </x:c>
      <x:c r="D3909" s="18" t="str">
        <x:v>Color: D576; Color classification: X s / S / M / L</x:v>
      </x:c>
      <x:c r="E3909" s="25" t="str">
        <x:v>$3.49</x:v>
      </x:c>
      <x:c r="F3909" s="19" t="str">
        <x:v>1</x:v>
      </x:c>
    </x:row>
    <x:row r="3910" ht="93" customHeight="1">
      <x:c r="A3910" s="19" t="n">
        <x:v>3907</x:v>
      </x:c>
      <x:c r="B3910" s="22" t="e">
        <x:f>HYPERLINK("https://cdn.shopify.com/s/files/1/0918/6066/4603/files/0bb32ef3b2301b08d2d41af3d1f6611d_a9657e47-db90-4cac-be1f-8b89534c2ad5.jpg?v=1773884666","Open")</x:f>
        <x:v>HYPERLINK is not implemented. linkLocation=https://cdn.shopify.com/s/files/1/0918/6066/4603/files/0bb32ef3b2301b08d2d41af3d1f6611d_a9657e47-db90-4cac-be1f-8b89534c2ad5.jpg?v=1773884666, friendlyName=Open</x:v>
      </x:c>
      <x:c r="C3910" s="24" t="e">
        <x:f>HYPERLINK("https://365nails.com/products/365nails-energetic-orange-grapefruit-pastoral-handmade-press-on-nails","365nails: ""energetic orange grapefruit pastoral"" – handmade press-on nails")</x:f>
        <x:v>HYPERLINK is not implemented. linkLocation=https://365nails.com/products/365nails-energetic-orange-grapefruit-pastoral-handmade-press-on-nails, friendlyName=365nails: "energetic orange grapefruit pastoral" – handmade press-on nails</x:v>
      </x:c>
      <x:c r="D3910" s="18" t="str">
        <x:v>Size: XS / S / M / L</x:v>
      </x:c>
      <x:c r="E3910" s="25" t="str">
        <x:v>$3.99</x:v>
      </x:c>
      <x:c r="F3910" s="19" t="str">
        <x:v>10</x:v>
      </x:c>
    </x:row>
    <x:row r="3911" ht="93" customHeight="1">
      <x:c r="A3911" s="19" t="n">
        <x:v>3908</x:v>
      </x:c>
      <x:c r="B3911" s="22" t="e">
        <x:f>HYPERLINK("https://cdn.shopify.com/s/files/1/0918/6066/4603/files/O1CN01jcJm5I27ZUl6bMdsH__2220024697811-0-cib.jpg?v=1775052770","Open")</x:f>
        <x:v>HYPERLINK is not implemented. linkLocation=https://cdn.shopify.com/s/files/1/0918/6066/4603/files/O1CN01jcJm5I27ZUl6bMdsH__2220024697811-0-cib.jpg?v=1775052770, friendlyName=Open</x:v>
      </x:c>
      <x:c r="C3911" s="24" t="e">
        <x:f>HYPERLINK("https://365nails.com/products/365nails-starry-night-3d-star-marble-handmade-almond-nails","365nails: ""Starry Night"" – 3D Star &amp; Marble Handmade Almond Nails")</x:f>
        <x:v>HYPERLINK is not implemented. linkLocation=https://365nails.com/products/365nails-starry-night-3d-star-marble-handmade-almond-nails, friendlyName=365nails: "Starry Night" – 3D Star &amp; Marble Handmade Almond Nails</x:v>
      </x:c>
      <x:c r="D3911" s="18" t="str">
        <x:v>Color: Almond; Color classification: Xs / S / M / L</x:v>
      </x:c>
      <x:c r="E3911" s="25" t="str">
        <x:v>$4.49</x:v>
      </x:c>
      <x:c r="F3911" s="19" t="str">
        <x:v>3</x:v>
      </x:c>
    </x:row>
    <x:row r="3912" ht="93" customHeight="1">
      <x:c r="A3912" s="19" t="n">
        <x:v>3909</x:v>
      </x:c>
      <x:c r="B3912" s="22" t="e">
        <x:f>HYPERLINK("https://cdn.shopify.com/s/files/1/0918/6066/4603/files/O1CN010pPf97247blpQT8md__2209064737344-0-cib_c0c5b453-9b19-455f-8d8e-b9f3f186f29d.jpg?v=1772707720","Open")</x:f>
        <x:v>HYPERLINK is not implemented. linkLocation=https://cdn.shopify.com/s/files/1/0918/6066/4603/files/O1CN010pPf97247blpQT8md__2209064737344-0-cib_c0c5b453-9b19-455f-8d8e-b9f3f186f29d.jpg?v=1772707720, friendlyName=Open</x:v>
      </x:c>
      <x:c r="C3912" s="24" t="e">
        <x:f>HYPERLINK("https://365nails.com/products/365nails-multi-style-clear-nail-tips-assorted-nail-extension-set","365nails: ""Multi-Style Clear Nail Tips"" – Assorted Nail Extension Set")</x:f>
        <x:v>HYPERLINK is not implemented. linkLocation=https://365nails.com/products/365nails-multi-style-clear-nail-tips-assorted-nail-extension-set, friendlyName=365nails: "Multi-Style Clear Nail Tips" – Assorted Nail Extension Set</x:v>
      </x:c>
      <x:c r="D3912" s="18" t="str">
        <x:v>Color: Ys-62*96 tablets / Ys-63*96 pieces / Ys-67*96 tablets / Ys-73*96 tablets / Ys-101*96 tablets / Ys-102*96 pieces / Ys-103*96 pieces / Ys-104*96 pieces / Ys-105*96 tablets / Ys-106*96 tablets / Ys-107*96 pieces / Ys-108*96 tablets / Ys-109*96 tablets / Ys-174*96 pieces / Ys-175*96 pieces</x:v>
      </x:c>
      <x:c r="E3912" s="25" t="str">
        <x:v>$0.77</x:v>
      </x:c>
      <x:c r="F3912" s="19" t="str">
        <x:v>3</x:v>
      </x:c>
    </x:row>
    <x:row r="3913" ht="93" customHeight="1">
      <x:c r="A3913" s="19" t="n">
        <x:v>3910</x:v>
      </x:c>
      <x:c r="B3913" s="22" t="e">
        <x:f>HYPERLINK("https://cdn.shopify.com/s/files/1/0918/6066/4603/files/d8d3e1b379e6204e5e4ff14b4a2ae6f8.png?v=1755262941","Open")</x:f>
        <x:v>HYPERLINK is not implemented. linkLocation=https://cdn.shopify.com/s/files/1/0918/6066/4603/files/d8d3e1b379e6204e5e4ff14b4a2ae6f8.png?v=1755262941, friendlyName=Open</x:v>
      </x:c>
      <x:c r="C3913" s="24" t="e">
        <x:f>HYPERLINK("https://365nails.com/products/nail-tips-new-press-on-nails-small-light-bulb-cats-eye-32-pieces-boxed-prefabricated-nail-pieces-removable-almond-white-moonlight-patch-nail-art","Nail Tips New Press-On Nails Small Light Bulb Cat’s Eye, Removable Almond Moonlight Nail Art Tips, 32 Pieces Boxed (MOQ=3)")</x:f>
        <x:v>HYPERLINK is not implemented. linkLocation=https://365nails.com/products/nail-tips-new-press-on-nails-small-light-bulb-cats-eye-32-pieces-boxed-prefabricated-nail-pieces-removable-almond-white-moonlight-patch-nail-art, friendlyName=Nail Tips New Press-On Nails Small Light Bulb Cat’s Eye, Removable Almond Moonlight Nail Art Tips, 32 Pieces Boxed (MOQ=3)</x:v>
      </x:c>
      <x:c r="D3913" s="18" t="str">
        <x:v>Color: YS-516-168-15 (White Moonlight Cat Eye) / YS-516-510-8240 (White Moonlight Cat Eye) / YS-516-321646 (White Moonlight Cat Eye) / YS-516-321652 (White Moonlight Cat Eye) / YS-516-321653 (White Moonlight Cat Eye) / YS-516-322488 (White Moonlight Cat Eye) / YS-516-349538- (small light bulb cat eye) / YS-516-349539- (small light bulb cat eye) / YS-516-349689- (small light bulb cat eye) / YS-516-349691- (small light bulb cat eye); Quantity: 3pcs</x:v>
      </x:c>
      <x:c r="E3913" s="25" t="str">
        <x:v>$2.73</x:v>
      </x:c>
      <x:c r="F3913" s="19" t="str">
        <x:v>1</x:v>
      </x:c>
    </x:row>
    <x:row r="3914" ht="93" customHeight="1">
      <x:c r="A3914" s="19" t="n">
        <x:v>3911</x:v>
      </x:c>
      <x:c r="B3914" s="22" t="e">
        <x:f>HYPERLINK("https://cdn.shopify.com/s/files/1/0918/6066/4603/files/c7e287174bcf42299ec4420b29d22b0e.jpg?v=1776171925","Open")</x:f>
        <x:v>HYPERLINK is not implemented. linkLocation=https://cdn.shopify.com/s/files/1/0918/6066/4603/files/c7e287174bcf42299ec4420b29d22b0e.jpg?v=1776171925, friendlyName=Open</x:v>
      </x:c>
      <x:c r="C3914" s="24" t="e">
        <x:f>HYPERLINK("https://365nails.com/products/365nails-candy-clouds-3d-mushroom-lollipop-handmade-short-square-nails","365nails: ""Candy Clouds"" – 3D Mushroom &amp; Lollipop Handmade Short Square Nails")</x:f>
        <x:v>HYPERLINK is not implemented. linkLocation=https://365nails.com/products/365nails-candy-clouds-3d-mushroom-lollipop-handmade-short-square-nails, friendlyName=365nails: "Candy Clouds" – 3D Mushroom &amp; Lollipop Handmade Short Square Nails</x:v>
      </x:c>
      <x:c r="D3914" s="18" t="str">
        <x:v>Size: XS / S / M / L</x:v>
      </x:c>
      <x:c r="E3914" s="25" t="str">
        <x:v>$1.99</x:v>
      </x:c>
      <x:c r="F3914" s="19" t="str">
        <x:v>3</x:v>
      </x:c>
    </x:row>
    <x:row r="3915" ht="93" customHeight="1">
      <x:c r="A3915" s="19" t="n">
        <x:v>3912</x:v>
      </x:c>
      <x:c r="B3915" s="22" t="e">
        <x:f>HYPERLINK("https://cdn.shopify.com/s/files/1/0918/6066/4603/files/O1CN01NKPmIV2214vysaZE1__2219480337059-0-cib.jpg?v=1773321125","Open")</x:f>
        <x:v>HYPERLINK is not implemented. linkLocation=https://cdn.shopify.com/s/files/1/0918/6066/4603/files/O1CN01NKPmIV2214vysaZE1__2219480337059-0-cib.jpg?v=1773321125, friendlyName=Open</x:v>
      </x:c>
      <x:c r="C3915" s="24" t="e">
        <x:f>HYPERLINK("https://365nails.com/products/365nails-ruby-plaid-hello-kitty-short-round-handmade-kids-press-on-nails","365nails: ""ruby plaid hello kitty"" – short round handmade kids press-on nails")</x:f>
        <x:v>HYPERLINK is not implemented. linkLocation=https://365nails.com/products/365nails-ruby-plaid-hello-kitty-short-round-handmade-kids-press-on-nails, friendlyName=365nails: "ruby plaid hello kitty" – short round handmade kids press-on nails</x:v>
      </x:c>
      <x:c r="D3915" s="18" t="str">
        <x:v>Color: Big bow hello kitty; Color classification: Xs (about 2 years old) / S (3-4 years old) / M (5-7 years old) / L (8-11 years old)</x:v>
      </x:c>
      <x:c r="E3915" s="25" t="str">
        <x:v>$2.99</x:v>
      </x:c>
      <x:c r="F3915" s="19" t="str">
        <x:v>3</x:v>
      </x:c>
    </x:row>
    <x:row r="3916" ht="93" customHeight="1">
      <x:c r="A3916" s="19" t="n">
        <x:v>3913</x:v>
      </x:c>
      <x:c r="B3916" s="22" t="e">
        <x:f>HYPERLINK("https://cdn.shopify.com/s/files/1/0918/6066/4603/files/321ad4b1b99a05cd1fdab52462f605a7.jpg?v=1776171242","Open")</x:f>
        <x:v>HYPERLINK is not implemented. linkLocation=https://cdn.shopify.com/s/files/1/0918/6066/4603/files/321ad4b1b99a05cd1fdab52462f605a7.jpg?v=1776171242, friendlyName=Open</x:v>
      </x:c>
      <x:c r="C3916" s="24" t="e">
        <x:f>HYPERLINK("https://365nails.com/products/365nails-berry-bunny-3d-character-mix-handmade-short-square-nails","365nails: ""Berry Bunny"" – 3D Character Mix Handmade Short Square Nails")</x:f>
        <x:v>HYPERLINK is not implemented. linkLocation=https://365nails.com/products/365nails-berry-bunny-3d-character-mix-handmade-short-square-nails, friendlyName=365nails: "Berry Bunny" – 3D Character Mix Handmade Short Square Nails</x:v>
      </x:c>
      <x:c r="D3916" s="18" t="str">
        <x:v>Size: XS / S / M / L</x:v>
      </x:c>
      <x:c r="E3916" s="25" t="str">
        <x:v>$1.99</x:v>
      </x:c>
      <x:c r="F3916" s="19" t="str">
        <x:v>3</x:v>
      </x:c>
    </x:row>
    <x:row r="3917" ht="93" customHeight="1">
      <x:c r="A3917" s="19" t="n">
        <x:v>3914</x:v>
      </x:c>
      <x:c r="B3917" s="22" t="e">
        <x:f>HYPERLINK("https://cdn.shopify.com/s/files/1/0918/6066/4603/files/O1CN01Xp0ZZi2214sLtgehl__2219480337059-0-cib.jpg?v=1773321056","Open")</x:f>
        <x:v>HYPERLINK is not implemented. linkLocation=https://cdn.shopify.com/s/files/1/0918/6066/4603/files/O1CN01Xp0ZZi2214sLtgehl__2219480337059-0-cib.jpg?v=1773321056, friendlyName=Open</x:v>
      </x:c>
      <x:c r="C3917" s="24" t="e">
        <x:f>HYPERLINK("https://365nails.com/products/365nails-mythical-nezha-short-round-handmade-kids-press-on-nails","365nails: ""mythical nezha"" – short round handmade kids press-on nails")</x:f>
        <x:v>HYPERLINK is not implemented. linkLocation=https://365nails.com/products/365nails-mythical-nezha-short-round-handmade-kids-press-on-nails, friendlyName=365nails: "mythical nezha" – short round handmade kids press-on nails</x:v>
      </x:c>
      <x:c r="D3917" s="18" t="str">
        <x:v>Color: Flame nezha / Cute nezha / Sticker nezha / Nezha invades the sea / Diamond ao bing / Sticker ao bing; Color classification: Xs (about 2 years old) / S (3-4 years old) / M (5-7 years old) / L (8-11 years old)</x:v>
      </x:c>
      <x:c r="E3917" s="25" t="str">
        <x:v>$2.99</x:v>
      </x:c>
      <x:c r="F3917" s="19" t="str">
        <x:v>3</x:v>
      </x:c>
    </x:row>
    <x:row r="3918" ht="93" customHeight="1">
      <x:c r="A3918" s="19" t="n">
        <x:v>3915</x:v>
      </x:c>
      <x:c r="B3918" s="22" t="e">
        <x:f>HYPERLINK("https://cdn.shopify.com/s/files/1/0918/6066/4603/files/O1CN01l4n03O27ZUlieZYMm__2220024697811-0-cib.jpg?v=1775107099","Open")</x:f>
        <x:v>HYPERLINK is not implemented. linkLocation=https://cdn.shopify.com/s/files/1/0918/6066/4603/files/O1CN01l4n03O27ZUlieZYMm__2220024697811-0-cib.jpg?v=1775107099, friendlyName=Open</x:v>
      </x:c>
      <x:c r="C3918" s="24" t="e">
        <x:f>HYPERLINK("https://365nails.com/products/365nails-autumn-spice-3d-floral-hand-painted-abstract-handmade-almond-nails","365nails: ""Autumn Spice"" – 3D Floral Hand-Painted Abstract Handmade Almond Nails")</x:f>
        <x:v>HYPERLINK is not implemented. linkLocation=https://365nails.com/products/365nails-autumn-spice-3d-floral-hand-painted-abstract-handmade-almond-nails, friendlyName=365nails: "Autumn Spice" – 3D Floral Hand-Painted Abstract Handmade Almond Nails</x:v>
      </x:c>
      <x:c r="D3918" s="18" t="str">
        <x:v>Color: Long tip; Color classification: Xs / S / M / L</x:v>
      </x:c>
      <x:c r="E3918" s="25" t="str">
        <x:v>$4.49</x:v>
      </x:c>
      <x:c r="F3918" s="19" t="str">
        <x:v>3</x:v>
      </x:c>
    </x:row>
    <x:row r="3919" ht="93" customHeight="1">
      <x:c r="A3919" s="19" t="n">
        <x:v>3916</x:v>
      </x:c>
      <x:c r="B3919" s="22" t="e">
        <x:f>HYPERLINK("https://cdn.shopify.com/s/files/1/0918/6066/4603/files/O1CN01WWsEBh1wLKjHVvlrJ__6000000006291-0-cib.jpg?v=1774010951","Open")</x:f>
        <x:v>HYPERLINK is not implemented. linkLocation=https://cdn.shopify.com/s/files/1/0918/6066/4603/files/O1CN01WWsEBh1wLKjHVvlrJ__6000000006291-0-cib.jpg?v=1774010951, friendlyName=Open</x:v>
      </x:c>
      <x:c r="C3919" s="24" t="e">
        <x:f>HYPERLINK("https://365nails.com/products/tropical-bloom-vibrant-flower-starfish-almond-shape-handmade-3d-carved-press-on-nails","365nails-Tropical Bloom: ""Vibrant Flower Starfish"" – Almond Shape Handmade 3D Carved Press-On Nails")</x:f>
        <x:v>HYPERLINK is not implemented. linkLocation=https://365nails.com/products/tropical-bloom-vibrant-flower-starfish-almond-shape-handmade-3d-carved-press-on-nails, friendlyName=365nails-Tropical Bloom: "Vibrant Flower Starfish" – Almond Shape Handmade 3D Carved Press-On Nails</x:v>
      </x:c>
      <x:c r="D3919" s="18" t="str">
        <x:v>Color: D445; Color classification: X s / S / M / L</x:v>
      </x:c>
      <x:c r="E3919" s="25" t="str">
        <x:v>$3.99</x:v>
      </x:c>
      <x:c r="F3919" s="19" t="str">
        <x:v>1</x:v>
      </x:c>
    </x:row>
    <x:row r="3920" ht="93" customHeight="1">
      <x:c r="A3920" s="19" t="n">
        <x:v>3917</x:v>
      </x:c>
      <x:c r="B3920" s="22" t="e">
        <x:f>HYPERLINK("https://cdn.shopify.com/s/files/1/0918/6066/4603/files/cb388a1141ddbabae52b311fcdfaf69b.jpg?v=1773903117","Open")</x:f>
        <x:v>HYPERLINK is not implemented. linkLocation=https://cdn.shopify.com/s/files/1/0918/6066/4603/files/cb388a1141ddbabae52b311fcdfaf69b.jpg?v=1773903117, friendlyName=Open</x:v>
      </x:c>
      <x:c r="C3920" s="24" t="e">
        <x:f>HYPERLINK("https://365nails.com/products/365nails-ripple-ice-sea-green-handmade-press-on-nails-fresh-aquatic-elegant-temperament-style","365Nails: ""Ripple Ice Sea Green"" – handmade press-on nails (Fresh Aquatic/Elegant Temperament Style)")</x:f>
        <x:v>HYPERLINK is not implemented. linkLocation=https://365nails.com/products/365nails-ripple-ice-sea-green-handmade-press-on-nails-fresh-aquatic-elegant-temperament-style, friendlyName=365Nails: "Ripple Ice Sea Green" – handmade press-on nails (Fresh Aquatic/Elegant Temperament Style)</x:v>
      </x:c>
      <x:c r="D3920" s="18" t="str">
        <x:v>Size: XS / S / M / L</x:v>
      </x:c>
      <x:c r="E3920" s="25" t="str">
        <x:v>$3.99</x:v>
      </x:c>
      <x:c r="F3920" s="19" t="str">
        <x:v>5</x:v>
      </x:c>
    </x:row>
    <x:row r="3921" ht="93" customHeight="1">
      <x:c r="A3921" s="19" t="n">
        <x:v>3918</x:v>
      </x:c>
      <x:c r="B3921" s="22" t="e">
        <x:f>HYPERLINK("https://cdn.shopify.com/s/files/1/0918/6066/4603/files/O1CN011QghAP1pA9lH9huC8__6000000005319-0-cib.jpg?v=1775036756","Open")</x:f>
        <x:v>HYPERLINK is not implemented. linkLocation=https://cdn.shopify.com/s/files/1/0918/6066/4603/files/O1CN011QghAP1pA9lH9huC8__6000000005319-0-cib.jpg?v=1775036756, friendlyName=Open</x:v>
      </x:c>
      <x:c r="C3921" s="24" t="e">
        <x:f>HYPERLINK("https://365nails.com/products/365nails-blooming-melody-3d-floral-handmade-stiletto-nails","365nails: ""Blooming Melody"" – 3D Floral Handmade Stiletto Nails")</x:f>
        <x:v>HYPERLINK is not implemented. linkLocation=https://365nails.com/products/365nails-blooming-melody-3d-floral-handmade-stiletto-nails, friendlyName=365nails: "Blooming Melody" – 3D Floral Handmade Stiletto Nails</x:v>
      </x:c>
      <x:c r="D3921" s="18" t="str">
        <x:v>Color: Thin dog long t; Color classification: Xs / S / M / L</x:v>
      </x:c>
      <x:c r="E3921" s="25" t="str">
        <x:v>$4.99</x:v>
      </x:c>
      <x:c r="F3921" s="19" t="str">
        <x:v>3</x:v>
      </x:c>
    </x:row>
    <x:row r="3922" ht="93" customHeight="1">
      <x:c r="A3922" s="19" t="n">
        <x:v>3919</x:v>
      </x:c>
      <x:c r="B3922" s="22" t="e">
        <x:f>HYPERLINK("https://cdn.shopify.com/s/files/1/0918/6066/4603/files/05d219b9b80da0a3b803c4baa02313b7.png?v=1761201530","Open")</x:f>
        <x:v>HYPERLINK is not implemented. linkLocation=https://cdn.shopify.com/s/files/1/0918/6066/4603/files/05d219b9b80da0a3b803c4baa02313b7.png?v=1761201530, friendlyName=Open</x:v>
      </x:c>
      <x:c r="C3922" s="24" t="e">
        <x:f>HYPERLINK("https://365nails.com/products/custom-crystal-logo-stickers-for-packaging-private-label-moq-500","Custom Crystal Logo Stickers for Packaging (Private Label, MOQ 500)")</x:f>
        <x:v>HYPERLINK is not implemented. linkLocation=https://365nails.com/products/custom-crystal-logo-stickers-for-packaging-private-label-moq-500, friendlyName=Custom Crystal Logo Stickers for Packaging (Private Label, MOQ 500)</x:v>
      </x:c>
      <x:c r="D3922" s="18" t="str">
        <x:v>Size: 4x2cm(500pcs) / 4x4cm(500pcs)</x:v>
      </x:c>
      <x:c r="E3922" s="25" t="str">
        <x:v>$20.00–$40.00</x:v>
      </x:c>
      <x:c r="F3922" s="19" t="str">
        <x:v>1</x:v>
      </x:c>
    </x:row>
    <x:row r="3923" ht="93" customHeight="1">
      <x:c r="A3923" s="19" t="n">
        <x:v>3920</x:v>
      </x:c>
      <x:c r="B3923" s="22" t="e">
        <x:f>HYPERLINK("https://cdn.shopify.com/s/files/1/0918/6066/4603/files/086515f74525672f8ec9d711fd5dfe3d.jpg?v=1776246072","Open")</x:f>
        <x:v>HYPERLINK is not implemented. linkLocation=https://cdn.shopify.com/s/files/1/0918/6066/4603/files/086515f74525672f8ec9d711fd5dfe3d.jpg?v=1776246072, friendlyName=Open</x:v>
      </x:c>
      <x:c r="C3923" s="24" t="e">
        <x:f>HYPERLINK("https://365nails.com/products/365nails-little-angels-wish-3d-character-handmade-short-nails","365nails: ""Little Angel's Wish"" – 3D Character Handmade Short Nails")</x:f>
        <x:v>HYPERLINK is not implemented. linkLocation=https://365nails.com/products/365nails-little-angels-wish-3d-character-handmade-short-nails, friendlyName=365nails: "Little Angel's Wish" – 3D Character Handmade Short Nails</x:v>
      </x:c>
      <x:c r="D3923" s="18" t="str">
        <x:v>Size: XS / S / M / L</x:v>
      </x:c>
      <x:c r="E3923" s="25" t="str">
        <x:v>$2.49</x:v>
      </x:c>
      <x:c r="F3923" s="19" t="str">
        <x:v>3</x:v>
      </x:c>
    </x:row>
    <x:row r="3924" ht="93" customHeight="1">
      <x:c r="A3924" s="19" t="n">
        <x:v>3921</x:v>
      </x:c>
      <x:c r="B3924" s="22" t="e">
        <x:f>HYPERLINK("https://cdn.shopify.com/s/files/1/0918/6066/4603/files/O1CN01JF8aTO1CPwJxHZqNk__2213196780074-0-cib.jpg?v=1775985817","Open")</x:f>
        <x:v>HYPERLINK is not implemented. linkLocation=https://cdn.shopify.com/s/files/1/0918/6066/4603/files/O1CN01JF8aTO1CPwJxHZqNk__2213196780074-0-cib.jpg?v=1775985817, friendlyName=Open</x:v>
      </x:c>
      <x:c r="C3924" s="24" t="e">
        <x:f>HYPERLINK("https://365nails.com/products/365nails-autumn-gold-hand-painted-gold-foil-speckle-short-square-nails","365nails: ""Autumn Gold"" – Hand-Painted Gold Foil &amp; Speckle Short Square Nails")</x:f>
        <x:v>HYPERLINK is not implemented. linkLocation=https://365nails.com/products/365nails-autumn-gold-hand-painted-gold-foil-speckle-short-square-nails, friendlyName=365nails: "Autumn Gold" – Hand-Painted Gold Foil &amp; Speckle Short Square Nails</x:v>
      </x:c>
      <x:c r="D3924" s="18" t="str">
        <x:v>Color: Extra small size xs / Small s / Medium m / Large l; Specification type: 2558 short ladder</x:v>
      </x:c>
      <x:c r="E3924" s="25" t="str">
        <x:v>$3.49</x:v>
      </x:c>
      <x:c r="F3924" s="19" t="str">
        <x:v>3</x:v>
      </x:c>
    </x:row>
    <x:row r="3925" ht="93" customHeight="1">
      <x:c r="A3925" s="19" t="n">
        <x:v>3922</x:v>
      </x:c>
      <x:c r="B3925" s="22" t="e">
        <x:f>HYPERLINK("https://cdn.shopify.com/s/files/1/0918/6066/4603/files/O1CN01ihl3112214sEBvTJM__2219480337059-0-cib.jpg?v=1773197360","Open")</x:f>
        <x:v>HYPERLINK is not implemented. linkLocation=https://cdn.shopify.com/s/files/1/0918/6066/4603/files/O1CN01ihl3112214sEBvTJM__2219480337059-0-cib.jpg?v=1773197360, friendlyName=Open</x:v>
      </x:c>
      <x:c r="C3925" s="24" t="e">
        <x:f>HYPERLINK("https://365nails.com/products/365nails-fairytale-princess-dream-short-oval-handmade-press-on-nails-for-kids","365nails: ""fairytale princess dream"" – short oval handmade press-on nails for kids")</x:f>
        <x:v>HYPERLINK is not implemented. linkLocation=https://365nails.com/products/365nails-fairytale-princess-dream-short-oval-handmade-press-on-nails-for-kids, friendlyName=365nails: "fairytale princess dream" – short oval handmade press-on nails for kids</x:v>
      </x:c>
      <x:c r="D3925" s="18" t="str">
        <x:v>Color: Princess series; Color classification: Xs (about 2 years old) / S (3-4 years old) / M (5-7 years old) / L (8-11 years old)</x:v>
      </x:c>
      <x:c r="E3925" s="25" t="str">
        <x:v>$2.99</x:v>
      </x:c>
      <x:c r="F3925" s="19" t="str">
        <x:v>3</x:v>
      </x:c>
    </x:row>
    <x:row r="3926" ht="93" customHeight="1">
      <x:c r="A3926" s="19" t="n">
        <x:v>3923</x:v>
      </x:c>
      <x:c r="B3926" s="22" t="e">
        <x:f>HYPERLINK("https://cdn.shopify.com/s/files/1/0918/6066/4603/files/O1CN01GM1u1v2MQzg8vOa9L__2219089449823-0-cib.jpg?v=1774348982","Open")</x:f>
        <x:v>HYPERLINK is not implemented. linkLocation=https://cdn.shopify.com/s/files/1/0918/6066/4603/files/O1CN01GM1u1v2MQzg8vOa9L__2219089449823-0-cib.jpg?v=1774348982, friendlyName=Open</x:v>
      </x:c>
      <x:c r="C3926" s="24" t="e">
        <x:f>HYPERLINK("https://365nails.com/products/365nails-starry-ocean-dream-long-stiletto-blue-gradient-pearl-handmade-press-on-nails","365nails: ""Starry Ocean Dream"" – Long Stiletto Blue Gradient Pearl Handmade Press-On Nails")</x:f>
        <x:v>HYPERLINK is not implemented. linkLocation=https://365nails.com/products/365nails-starry-ocean-dream-long-stiletto-blue-gradient-pearl-handmade-press-on-nails, friendlyName=365nails: "Starry Ocean Dream" – Long Stiletto Blue Gradient Pearl Handmade Press-On Nails</x:v>
      </x:c>
      <x:c r="D3926" s="18" t="str">
        <x:v>Color: D637; Color classification: X s / S / M / L</x:v>
      </x:c>
      <x:c r="E3926" s="25" t="str">
        <x:v>$3.49</x:v>
      </x:c>
      <x:c r="F3926" s="19" t="str">
        <x:v>1</x:v>
      </x:c>
    </x:row>
    <x:row r="3927" ht="93" customHeight="1">
      <x:c r="A3927" s="19" t="n">
        <x:v>3924</x:v>
      </x:c>
      <x:c r="B3927" s="22" t="e">
        <x:f>HYPERLINK("https://cdn.shopify.com/s/files/1/0918/6066/4603/files/O1CN016bm1k01CPwLZsF14V__2213196780074-0-cib.jpg?v=1776762788","Open")</x:f>
        <x:v>HYPERLINK is not implemented. linkLocation=https://cdn.shopify.com/s/files/1/0918/6066/4603/files/O1CN016bm1k01CPwLZsF14V__2213196780074-0-cib.jpg?v=1776762788, friendlyName=Open</x:v>
      </x:c>
      <x:c r="C3927" s="24" t="e">
        <x:f>HYPERLINK("https://365nails.com/products/365nails-nebula-wave-3d-textured-gradient-stiletto-press-on-nails","365nails: ""Nebula Wave"" – 3D Textured Gradient Stiletto Press-On Nails")</x:f>
        <x:v>HYPERLINK is not implemented. linkLocation=https://365nails.com/products/365nails-nebula-wave-3d-textured-gradient-stiletto-press-on-nails, friendlyName=365nails: "Nebula Wave" – 3D Textured Gradient Stiletto Press-On Nails</x:v>
      </x:c>
      <x:c r="D3927" s="18" t="str">
        <x:v>Color: 1684 - fine pointed tip; Color classification: Extra small size xs / Small s / Medium m / Large l</x:v>
      </x:c>
      <x:c r="E3927" s="25" t="str">
        <x:v>$5.99</x:v>
      </x:c>
      <x:c r="F3927" s="19" t="str">
        <x:v>1</x:v>
      </x:c>
    </x:row>
    <x:row r="3928" ht="93" customHeight="1">
      <x:c r="A3928" s="19" t="n">
        <x:v>3925</x:v>
      </x:c>
      <x:c r="B3928" s="22" t="e">
        <x:f>HYPERLINK("https://cdn.shopify.com/s/files/1/0918/6066/4603/files/00002e84c119b980c39810061678a5fe.jpg?v=1775907856","Open")</x:f>
        <x:v>HYPERLINK is not implemented. linkLocation=https://cdn.shopify.com/s/files/1/0918/6066/4603/files/00002e84c119b980c39810061678a5fe.jpg?v=1775907856, friendlyName=Open</x:v>
      </x:c>
      <x:c r="C3928" s="24" t="e">
        <x:f>HYPERLINK("https://365nails.com/products/365nails-midnight-dahlia-3d-floral-handmade-coffin-nails","365nails: ""Midnight Dahlia"" – 3D Floral Handmade Coffin Nails")</x:f>
        <x:v>HYPERLINK is not implemented. linkLocation=https://365nails.com/products/365nails-midnight-dahlia-3d-floral-handmade-coffin-nails, friendlyName=365nails: "Midnight Dahlia" – 3D Floral Handmade Coffin Nails</x:v>
      </x:c>
      <x:c r="D3928" s="18" t="str">
        <x:v>Size: XS / S / M / L</x:v>
      </x:c>
      <x:c r="E3928" s="25" t="str">
        <x:v>$3.99</x:v>
      </x:c>
      <x:c r="F3928" s="19" t="str">
        <x:v>5</x:v>
      </x:c>
    </x:row>
    <x:row r="3929" ht="93" customHeight="1">
      <x:c r="A3929" s="19" t="n">
        <x:v>3926</x:v>
      </x:c>
      <x:c r="B3929" s="22" t="e">
        <x:f>HYPERLINK("https://cdn.shopify.com/s/files/1/0918/6066/4603/files/O1CN015UH7PD27ZUkDcuEGb__2220024697811-0-cib.jpg?v=1775004893","Open")</x:f>
        <x:v>HYPERLINK is not implemented. linkLocation=https://cdn.shopify.com/s/files/1/0918/6066/4603/files/O1CN015UH7PD27ZUkDcuEGb__2220024697811-0-cib.jpg?v=1775004893, friendlyName=Open</x:v>
      </x:c>
      <x:c r="C3929" s="24" t="e">
        <x:f>HYPERLINK("https://365nails.com/products/365nails-blushing-romance-3d-floral-handmade-stiletto-nails","365nails: ""Blushing Romance"" – 3D Floral Handmade Stiletto Nails")</x:f>
        <x:v>HYPERLINK is not implemented. linkLocation=https://365nails.com/products/365nails-blushing-romance-3d-floral-handmade-stiletto-nails, friendlyName=365nails: "Blushing Romance" – 3D Floral Handmade Stiletto Nails</x:v>
      </x:c>
      <x:c r="D3929" s="18" t="str">
        <x:v>Color: Long tip; Color classification: Xs / S / M / L</x:v>
      </x:c>
      <x:c r="E3929" s="25" t="str">
        <x:v>$4.99</x:v>
      </x:c>
      <x:c r="F3929" s="19" t="str">
        <x:v>3</x:v>
      </x:c>
    </x:row>
    <x:row r="3930" ht="93" customHeight="1">
      <x:c r="A3930" s="19" t="n">
        <x:v>3927</x:v>
      </x:c>
      <x:c r="B3930" s="22" t="e">
        <x:f>HYPERLINK("https://cdn.shopify.com/s/files/1/0918/6066/4603/files/O1CN01bdewWO2MQzesnENwe__2219089449823-0-cib.jpg?v=1774453155","Open")</x:f>
        <x:v>HYPERLINK is not implemented. linkLocation=https://cdn.shopify.com/s/files/1/0918/6066/4603/files/O1CN01bdewWO2MQzesnENwe__2219089449823-0-cib.jpg?v=1774453155, friendlyName=Open</x:v>
      </x:c>
      <x:c r="C3930" s="24" t="e">
        <x:f>HYPERLINK("https://365nails.com/products/whimsical-garden-butterfly-mushroom-short-almond-handmade-press-on-nails","Whimsical Garden: ""Butterfly &amp; Mushroom"" – Short Almond Handmade Press On Nails")</x:f>
        <x:v>HYPERLINK is not implemented. linkLocation=https://365nails.com/products/whimsical-garden-butterfly-mushroom-short-almond-handmade-press-on-nails, friendlyName=Whimsical Garden: "Butterfly &amp; Mushroom" – Short Almond Handmade Press On Nails</x:v>
      </x:c>
      <x:c r="D3930" s="18" t="str">
        <x:v>Color: D583; Color classification: X s / S / M / L</x:v>
      </x:c>
      <x:c r="E3930" s="25" t="str">
        <x:v>$3.49</x:v>
      </x:c>
      <x:c r="F3930" s="19" t="str">
        <x:v>1</x:v>
      </x:c>
    </x:row>
    <x:row r="3931" ht="93" customHeight="1">
      <x:c r="A3931" s="19" t="n">
        <x:v>3928</x:v>
      </x:c>
      <x:c r="B3931" s="22" t="e">
        <x:f>HYPERLINK("https://cdn.shopify.com/s/files/1/0918/6066/4603/files/d7d4dfd262b3c7b1a3d6010682536f64.jpg?v=1776214265","Open")</x:f>
        <x:v>HYPERLINK is not implemented. linkLocation=https://cdn.shopify.com/s/files/1/0918/6066/4603/files/d7d4dfd262b3c7b1a3d6010682536f64.jpg?v=1776214265, friendlyName=Open</x:v>
      </x:c>
      <x:c r="C3931" s="24" t="e">
        <x:f>HYPERLINK("https://365nails.com/products/365nails-diamond-frost-3d-rhinestone-handcrafted-glitter-short-square-nails","365nails: ""Diamond Frost"" – 3D Rhinestone Handcrafted Glitter Short Square Nails")</x:f>
        <x:v>HYPERLINK is not implemented. linkLocation=https://365nails.com/products/365nails-diamond-frost-3d-rhinestone-handcrafted-glitter-short-square-nails, friendlyName=365nails: "Diamond Frost" – 3D Rhinestone Handcrafted Glitter Short Square Nails</x:v>
      </x:c>
      <x:c r="D3931" s="18" t="str">
        <x:v>Size: XS / S / M / L</x:v>
      </x:c>
      <x:c r="E3931" s="25" t="str">
        <x:v>$2.99</x:v>
      </x:c>
      <x:c r="F3931" s="19" t="str">
        <x:v>3</x:v>
      </x:c>
    </x:row>
    <x:row r="3932" ht="93" customHeight="1">
      <x:c r="A3932" s="19" t="n">
        <x:v>3929</x:v>
      </x:c>
      <x:c r="B3932" s="22" t="e">
        <x:f>HYPERLINK("https://cdn.shopify.com/s/files/1/0918/6066/4603/files/d5accd800cd0e7b310805e4ef7864564.jpg?v=1778242516","Open")</x:f>
        <x:v>HYPERLINK is not implemented. linkLocation=https://cdn.shopify.com/s/files/1/0918/6066/4603/files/d5accd800cd0e7b310805e4ef7864564.jpg?v=1778242516, friendlyName=Open</x:v>
      </x:c>
      <x:c r="C3932" s="24" t="e">
        <x:f>HYPERLINK("https://365nails.com/products/365nails-gothic-glam-3d-skull-jewel-handmade-long-stiletto-nails","365nails: ""Gothic Glam"" – 3D Skull &amp; Jewel Handmade Long Stiletto Nails")</x:f>
        <x:v>HYPERLINK is not implemented. linkLocation=https://365nails.com/products/365nails-gothic-glam-3d-skull-jewel-handmade-long-stiletto-nails, friendlyName=365nails: "Gothic Glam" – 3D Skull &amp; Jewel Handmade Long Stiletto Nails</x:v>
      </x:c>
      <x:c r="D3932" s="18" t="str">
        <x:v>Size: XS / S / M / L</x:v>
      </x:c>
      <x:c r="E3932" s="25" t="str">
        <x:v>$4.99</x:v>
      </x:c>
      <x:c r="F3932" s="19" t="str">
        <x:v>5</x:v>
      </x:c>
    </x:row>
    <x:row r="3933" ht="93" customHeight="1">
      <x:c r="A3933" s="19" t="n">
        <x:v>3930</x:v>
      </x:c>
      <x:c r="B3933" s="22" t="e">
        <x:f>HYPERLINK("https://cdn.shopify.com/s/files/1/0918/6066/4603/files/O1CN01cNhI7k2MQze2wmJsU__2219089449823-0-cib.jpg?v=1774453030","Open")</x:f>
        <x:v>HYPERLINK is not implemented. linkLocation=https://cdn.shopify.com/s/files/1/0918/6066/4603/files/O1CN01cNhI7k2MQze2wmJsU__2219089449823-0-cib.jpg?v=1774453030, friendlyName=Open</x:v>
      </x:c>
      <x:c r="C3933" s="24" t="e">
        <x:f>HYPERLINK("https://365nails.com/products/sakura-cherry-autumn-bloom-medium-almond-handmade-press-on-nails","Sakura Cherry: ""Autumn Bloom"" – Medium Almond Handmade Press On Nails")</x:f>
        <x:v>HYPERLINK is not implemented. linkLocation=https://365nails.com/products/sakura-cherry-autumn-bloom-medium-almond-handmade-press-on-nails, friendlyName=Sakura Cherry: "Autumn Bloom" – Medium Almond Handmade Press On Nails</x:v>
      </x:c>
      <x:c r="D3933" s="18" t="str">
        <x:v>Color: D410; Color classification: X s / S / M / L</x:v>
      </x:c>
      <x:c r="E3933" s="25" t="str">
        <x:v>$3.49</x:v>
      </x:c>
      <x:c r="F3933" s="19" t="str">
        <x:v>1</x:v>
      </x:c>
    </x:row>
    <x:row r="3934" ht="93" customHeight="1">
      <x:c r="A3934" s="19" t="n">
        <x:v>3931</x:v>
      </x:c>
      <x:c r="B3934" s="22" t="e">
        <x:f>HYPERLINK("https://cdn.shopify.com/s/files/1/0918/6066/4603/files/O1CN01BOGpfB1v7J0LEWhd1__2218399446125-0-cib.jpg?v=1763622728","Open")</x:f>
        <x:v>HYPERLINK is not implemented. linkLocation=https://cdn.shopify.com/s/files/1/0918/6066/4603/files/O1CN01BOGpfB1v7J0LEWhd1__2218399446125-0-cib.jpg?v=1763622728, friendlyName=Open</x:v>
      </x:c>
      <x:c r="C3934" s="24" t="e">
        <x:f>HYPERLINK("https://365nails.com/products/bronzing-snowflake-lucky-bag-nail-art-sticker-5d-embossed-three-dimensional-snowball-snowflake-diy-nail-sticker-jewelry-sl","Bronzing Snowflake Lucky Bag Nail Art Sticker 5D Embossed Three-dimensional Snowball Snowflake DIY Nail Sticker Jewelry SL")</x:f>
        <x:v>HYPERLINK is not implemented. linkLocation=https://365nails.com/products/bronzing-snowflake-lucky-bag-nail-art-sticker-5d-embossed-three-dimensional-snowball-snowflake-diy-nail-sticker-jewelry-sl, friendlyName=Bronzing Snowflake Lucky Bag Nail Art Sticker 5D Embossed Three-dimensional Snowball Snowflake DIY Nail Sticker Jewelry SL</x:v>
      </x:c>
      <x:c r="D3934" s="18" t="str">
        <x:v>Specification type: SL-1411A</x:v>
      </x:c>
      <x:c r="E3934" s="25" t="str">
        <x:v>$0.30</x:v>
      </x:c>
      <x:c r="F3934" s="19" t="str">
        <x:v>50</x:v>
      </x:c>
    </x:row>
    <x:row r="3935" ht="93" customHeight="1">
      <x:c r="A3935" s="19" t="n">
        <x:v>3932</x:v>
      </x:c>
      <x:c r="B3935" s="22" t="e">
        <x:f>HYPERLINK("https://cdn.shopify.com/s/files/1/0918/6066/4603/files/998c42ecc92347f23e81e57b3bea6e7c.jpg?v=1778337290","Open")</x:f>
        <x:v>HYPERLINK is not implemented. linkLocation=https://cdn.shopify.com/s/files/1/0918/6066/4603/files/998c42ecc92347f23e81e57b3bea6e7c.jpg?v=1778337290, friendlyName=Open</x:v>
      </x:c>
      <x:c r="C3935" s="24" t="e">
        <x:f>HYPERLINK("https://365nails.com/products/365nails-starlight-y2k-hand-painted-pink-graffiti-handmade-coffin-nails","365nails: ""Starlight Y2K"" – Hand-Painted Pink Graffiti Handmade Coffin Nails")</x:f>
        <x:v>HYPERLINK is not implemented. linkLocation=https://365nails.com/products/365nails-starlight-y2k-hand-painted-pink-graffiti-handmade-coffin-nails, friendlyName=365nails: "Starlight Y2K" – Hand-Painted Pink Graffiti Handmade Coffin Nails</x:v>
      </x:c>
      <x:c r="D3935" s="18" t="str">
        <x:v>Size: XS / S / M / L</x:v>
      </x:c>
      <x:c r="E3935" s="25" t="str">
        <x:v>$2.99</x:v>
      </x:c>
      <x:c r="F3935" s="19" t="str">
        <x:v>5</x:v>
      </x:c>
    </x:row>
    <x:row r="3936" ht="93" customHeight="1">
      <x:c r="A3936" s="19" t="n">
        <x:v>3933</x:v>
      </x:c>
      <x:c r="B3936" s="22" t="e">
        <x:f>HYPERLINK("https://cdn.shopify.com/s/files/1/0918/6066/4603/files/O1CN01CMRmBt2MQzf43stcn__2219089449823-0-cib.jpg?v=1774178800","Open")</x:f>
        <x:v>HYPERLINK is not implemented. linkLocation=https://cdn.shopify.com/s/files/1/0918/6066/4603/files/O1CN01CMRmBt2MQzf43stcn__2219089449823-0-cib.jpg?v=1774178800, friendlyName=Open</x:v>
      </x:c>
      <x:c r="C3936" s="24" t="e">
        <x:f>HYPERLINK("https://365nails.com/products/sakura-dream-cherry-petal-almond-press-on-nails","Sakura Dream: ""Cherry Petal"" – Almond Press-On Nails")</x:f>
        <x:v>HYPERLINK is not implemented. linkLocation=https://365nails.com/products/sakura-dream-cherry-petal-almond-press-on-nails, friendlyName=Sakura Dream: "Cherry Petal" – Almond Press-On Nails</x:v>
      </x:c>
      <x:c r="D3936" s="18" t="str">
        <x:v>Color: D–390; Color classification: X s / S / M / L</x:v>
      </x:c>
      <x:c r="E3936" s="25" t="str">
        <x:v>$3.99</x:v>
      </x:c>
      <x:c r="F3936" s="19" t="str">
        <x:v>1</x:v>
      </x:c>
    </x:row>
    <x:row r="3937" ht="93" customHeight="1">
      <x:c r="A3937" s="19" t="n">
        <x:v>3934</x:v>
      </x:c>
      <x:c r="B3937" s="22" t="e">
        <x:f>HYPERLINK("https://cdn.shopify.com/s/files/1/0918/6066/4603/files/3679fc6601042eb5b596cc8b64db83e2.jpg?v=1776169341","Open")</x:f>
        <x:v>HYPERLINK is not implemented. linkLocation=https://cdn.shopify.com/s/files/1/0918/6066/4603/files/3679fc6601042eb5b596cc8b64db83e2.jpg?v=1776169341, friendlyName=Open</x:v>
      </x:c>
      <x:c r="C3937" s="24" t="e">
        <x:f>HYPERLINK("https://365nails.com/products/365nails-starry-bear-3d-character-handmade-short-square-nails","365nails: ""Starry Bear"" – 3D Character Handmade Short Square Nails")</x:f>
        <x:v>HYPERLINK is not implemented. linkLocation=https://365nails.com/products/365nails-starry-bear-3d-character-handmade-short-square-nails, friendlyName=365nails: "Starry Bear" – 3D Character Handmade Short Square Nails</x:v>
      </x:c>
      <x:c r="D3937" s="18" t="str">
        <x:v>Size: XS / S / M / L</x:v>
      </x:c>
      <x:c r="E3937" s="25" t="str">
        <x:v>$1.99</x:v>
      </x:c>
      <x:c r="F3937" s="19" t="str">
        <x:v>3</x:v>
      </x:c>
    </x:row>
    <x:row r="3938" ht="93" customHeight="1">
      <x:c r="A3938" s="19" t="n">
        <x:v>3935</x:v>
      </x:c>
      <x:c r="B3938" s="22" t="e">
        <x:f>HYPERLINK("https://cdn.shopify.com/s/files/1/0918/6066/4603/files/O1CN01SQCZ4T1CPwKofQ1b5__2213196780074-0-cib.jpg?v=1775991846","Open")</x:f>
        <x:v>HYPERLINK is not implemented. linkLocation=https://cdn.shopify.com/s/files/1/0918/6066/4603/files/O1CN01SQCZ4T1CPwKofQ1b5__2213196780074-0-cib.jpg?v=1775991846, friendlyName=Open</x:v>
      </x:c>
      <x:c r="C3938" s="24" t="e">
        <x:f>HYPERLINK("https://365nails.com/products/365nails-wild-bloom-3d-floral-animal-print-handmade-long-stiletto-nails","365nails: ""Wild Bloom"" – 3D Floral &amp; Animal Print Handmade Long Stiletto Nails")</x:f>
        <x:v>HYPERLINK is not implemented. linkLocation=https://365nails.com/products/365nails-wild-bloom-3d-floral-animal-print-handmade-long-stiletto-nails, friendlyName=365nails: "Wild Bloom" – 3D Floral &amp; Animal Print Handmade Long Stiletto Nails</x:v>
      </x:c>
      <x:c r="D3938" s="18" t="str">
        <x:v>Color: Extra small size xs / Small s / Medium m / Large l; Specification type: 2685-long water drop / 2633 - fine pointed tip</x:v>
      </x:c>
      <x:c r="E3938" s="25" t="str">
        <x:v>$4.99</x:v>
      </x:c>
      <x:c r="F3938" s="19" t="str">
        <x:v>3</x:v>
      </x:c>
    </x:row>
    <x:row r="3939" ht="93" customHeight="1">
      <x:c r="A3939" s="19" t="n">
        <x:v>3936</x:v>
      </x:c>
      <x:c r="B3939" s="22" t="e">
        <x:f>HYPERLINK("https://cdn.shopify.com/s/files/1/0918/6066/4603/files/O1CN01QTTXFz1CPwPkK6u82__2213196780074-0-cib.jpg?v=1774679243","Open")</x:f>
        <x:v>HYPERLINK is not implemented. linkLocation=https://cdn.shopify.com/s/files/1/0918/6066/4603/files/O1CN01QTTXFz1CPwPkK6u82__2213196780074-0-cib.jpg?v=1774679243, friendlyName=Open</x:v>
      </x:c>
      <x:c r="C3939" s="24" t="e">
        <x:f>HYPERLINK("https://365nails.com/products/365nails-savage-bloom-3d-flower-leopard-print-stiletto-nails","365nails: ""Savage Bloom"" – 3D Flower Leopard Print Stiletto Nails")</x:f>
        <x:v>HYPERLINK is not implemented. linkLocation=https://365nails.com/products/365nails-savage-bloom-3d-flower-leopard-print-stiletto-nails, friendlyName=365nails: "Savage Bloom" – 3D Flower Leopard Print Stiletto Nails</x:v>
      </x:c>
      <x:c r="D3939" s="18" t="str">
        <x:v>Color: 1027 - medium apricot kernels; Color classification: Extra small size xs / Small s / Medium m / Large l</x:v>
      </x:c>
      <x:c r="E3939" s="25" t="str">
        <x:v>$3.99</x:v>
      </x:c>
      <x:c r="F3939" s="19" t="str">
        <x:v>1</x:v>
      </x:c>
    </x:row>
    <x:row r="3940" ht="93" customHeight="1">
      <x:c r="A3940" s="19" t="n">
        <x:v>3937</x:v>
      </x:c>
      <x:c r="B3940" s="22" t="e">
        <x:f>HYPERLINK("https://cdn.shopify.com/s/files/1/0918/6066/4603/files/1333200aefd4ca54bebefb8bc9a7f3af.jpg?v=1773306320","Open")</x:f>
        <x:v>HYPERLINK is not implemented. linkLocation=https://cdn.shopify.com/s/files/1/0918/6066/4603/files/1333200aefd4ca54bebefb8bc9a7f3af.jpg?v=1773306320, friendlyName=Open</x:v>
      </x:c>
      <x:c r="C3940" s="24" t="e">
        <x:f>HYPERLINK("https://365nails.com/products/365nails-retro-red-gem-handmade-press-on-toenails-pedicure","365nails: ""retro red gem"" – handmade press-on toenails / pedicure")</x:f>
        <x:v>HYPERLINK is not implemented. linkLocation=https://365nails.com/products/365nails-retro-red-gem-handmade-press-on-toenails-pedicure, friendlyName=365nails: "retro red gem" – handmade press-on toenails / pedicure</x:v>
      </x:c>
      <x:c r="D3940" s="18" t="str">
        <x:v>Size: XS / S / M / L</x:v>
      </x:c>
      <x:c r="E3940" s="25" t="str">
        <x:v>$3.99</x:v>
      </x:c>
      <x:c r="F3940" s="19" t="str">
        <x:v>3</x:v>
      </x:c>
    </x:row>
    <x:row r="3941" ht="93" customHeight="1">
      <x:c r="A3941" s="19" t="n">
        <x:v>3938</x:v>
      </x:c>
      <x:c r="B3941" s="22" t="e">
        <x:f>HYPERLINK("https://cdn.shopify.com/s/files/1/0918/6066/4603/files/93e36b98ce0caa7790d54d88c873db6f.jpg?v=1776322597","Open")</x:f>
        <x:v>HYPERLINK is not implemented. linkLocation=https://cdn.shopify.com/s/files/1/0918/6066/4603/files/93e36b98ce0caa7790d54d88c873db6f.jpg?v=1776322597, friendlyName=Open</x:v>
      </x:c>
      <x:c r="C3941" s="24" t="e">
        <x:f>HYPERLINK("https://365nails.com/products/365nails-kittys-blue-bow-3d-hello-kitty-short-almond-nails","365nails: ""Kitty's Blue Bow"" – 3D Hello Kitty Short Almond Nails")</x:f>
        <x:v>HYPERLINK is not implemented. linkLocation=https://365nails.com/products/365nails-kittys-blue-bow-3d-hello-kitty-short-almond-nails, friendlyName=365nails: "Kitty's Blue Bow" – 3D Hello Kitty Short Almond Nails</x:v>
      </x:c>
      <x:c r="D3941" s="18" t="str">
        <x:v>Size: XS / S / M / L</x:v>
      </x:c>
      <x:c r="E3941" s="25" t="str">
        <x:v>$3.99</x:v>
      </x:c>
      <x:c r="F3941" s="19" t="str">
        <x:v>5</x:v>
      </x:c>
    </x:row>
    <x:row r="3942" ht="93" customHeight="1">
      <x:c r="A3942" s="19" t="n">
        <x:v>3939</x:v>
      </x:c>
      <x:c r="B3942" s="22" t="e">
        <x:f>HYPERLINK("https://cdn.shopify.com/s/files/1/0918/6066/4603/files/O1CN018CmiGt1CPwIG45Ljr__2213196780074-0-cib.jpg?v=1776740931","Open")</x:f>
        <x:v>HYPERLINK is not implemented. linkLocation=https://cdn.shopify.com/s/files/1/0918/6066/4603/files/O1CN018CmiGt1CPwIG45Ljr__2213196780074-0-cib.jpg?v=1776740931, friendlyName=Open</x:v>
      </x:c>
      <x:c r="C3942" s="24" t="e">
        <x:f>HYPERLINK("https://365nails.com/products/365nails-lazy-capybara-3d-cartoon-animal-handmade-short-nails","365nails: ""Lazy Capybara"" – 3D Cartoon Animal Handmade Short Nails")</x:f>
        <x:v>HYPERLINK is not implemented. linkLocation=https://365nails.com/products/365nails-lazy-capybara-3d-cartoon-animal-handmade-short-nails, friendlyName=365nails: "Lazy Capybara" – 3D Cartoon Animal Handmade Short Nails</x:v>
      </x:c>
      <x:c r="D3942" s="18" t="str">
        <x:v>Color: 2165-middle ladder; Color classification: Extra small size xs / Small s / Medium m / Large l</x:v>
      </x:c>
      <x:c r="E3942" s="25" t="str">
        <x:v>$3.49</x:v>
      </x:c>
      <x:c r="F3942" s="19" t="str">
        <x:v>1</x:v>
      </x:c>
    </x:row>
    <x:row r="3943" ht="93" customHeight="1">
      <x:c r="A3943" s="19" t="n">
        <x:v>3940</x:v>
      </x:c>
      <x:c r="B3943" s="22" t="e">
        <x:f>HYPERLINK("https://cdn.shopify.com/s/files/1/0918/6066/4603/files/O1CN016y8fqn1CPwLY6dJjW__2213196780074-0-cib_4654abe8-8cf6-45b2-a387-2df0193d4abd.jpg?v=1774696153","Open")</x:f>
        <x:v>HYPERLINK is not implemented. linkLocation=https://cdn.shopify.com/s/files/1/0918/6066/4603/files/O1CN016y8fqn1CPwLY6dJjW__2213196780074-0-cib_4654abe8-8cf6-45b2-a387-2df0193d4abd.jpg?v=1774696153, friendlyName=Open</x:v>
      </x:c>
      <x:c r="C3943" s="24" t="e">
        <x:f>HYPERLINK("https://365nails.com/products/365nails-tropical-bloom-3d-floral-handmade-almond-nails-1","365nails: ""Tropical Bloom"" – 3D Floral Handmade Almond Nails")</x:f>
        <x:v>HYPERLINK is not implemented. linkLocation=https://365nails.com/products/365nails-tropical-bloom-3d-floral-handmade-almond-nails-1, friendlyName=365nails: "Tropical Bloom" – 3D Floral Handmade Almond Nails</x:v>
      </x:c>
      <x:c r="D3943" s="18" t="str">
        <x:v>Color: 672-almond a; Color classification: Extra small size xs / Small s / Medium m / Large l</x:v>
      </x:c>
      <x:c r="E3943" s="25" t="str">
        <x:v>$5.49</x:v>
      </x:c>
      <x:c r="F3943" s="19" t="str">
        <x:v>1</x:v>
      </x:c>
    </x:row>
    <x:row r="3944" ht="93" customHeight="1">
      <x:c r="A3944" s="19" t="n">
        <x:v>3941</x:v>
      </x:c>
      <x:c r="B3944" s="22" t="e">
        <x:f>HYPERLINK("https://cdn.shopify.com/s/files/1/0918/6066/4603/files/951caca9c95e6b70fceeec73e8e7c6ef.jpg?v=1773306349","Open")</x:f>
        <x:v>HYPERLINK is not implemented. linkLocation=https://cdn.shopify.com/s/files/1/0918/6066/4603/files/951caca9c95e6b70fceeec73e8e7c6ef.jpg?v=1773306349, friendlyName=Open</x:v>
      </x:c>
      <x:c r="C3944" s="24" t="e">
        <x:f>HYPERLINK("https://365nails.com/products/365nails-retro-berry-polka-handmade-press-on-toenails-pedicure","365nails: ""retro berry polka"" – handmade press-on toenails / pedicure")</x:f>
        <x:v>HYPERLINK is not implemented. linkLocation=https://365nails.com/products/365nails-retro-berry-polka-handmade-press-on-toenails-pedicure, friendlyName=365nails: "retro berry polka" – handmade press-on toenails / pedicure</x:v>
      </x:c>
      <x:c r="D3944" s="18" t="str">
        <x:v>Size: XS / S / M / L</x:v>
      </x:c>
      <x:c r="E3944" s="25" t="str">
        <x:v>$2.99</x:v>
      </x:c>
      <x:c r="F3944" s="19" t="str">
        <x:v>3</x:v>
      </x:c>
    </x:row>
    <x:row r="3945" ht="93" customHeight="1">
      <x:c r="A3945" s="19" t="n">
        <x:v>3942</x:v>
      </x:c>
      <x:c r="B3945" s="22" t="e">
        <x:f>HYPERLINK("https://cdn.shopify.com/s/files/1/0918/6066/4603/files/ba4f37402c98f42a8e0a8c1ad63c88be.jpg?v=1778318377","Open")</x:f>
        <x:v>HYPERLINK is not implemented. linkLocation=https://cdn.shopify.com/s/files/1/0918/6066/4603/files/ba4f37402c98f42a8e0a8c1ad63c88be.jpg?v=1778318377, friendlyName=Open</x:v>
      </x:c>
      <x:c r="C3945" s="24" t="e">
        <x:f>HYPERLINK("https://365nails.com/products/365nails-sirens-scales-3d-dragon-scale-handmade-stiletto-nails","365nails: ""Siren's Scales"" – 3D Dragon Scale Handmade Stiletto Nails")</x:f>
        <x:v>HYPERLINK is not implemented. linkLocation=https://365nails.com/products/365nails-sirens-scales-3d-dragon-scale-handmade-stiletto-nails, friendlyName=365nails: "Siren's Scales" – 3D Dragon Scale Handmade Stiletto Nails</x:v>
      </x:c>
      <x:c r="D3945" s="18" t="str">
        <x:v>Size: XS / S / M / L</x:v>
      </x:c>
      <x:c r="E3945" s="25" t="str">
        <x:v>$3.99</x:v>
      </x:c>
      <x:c r="F3945" s="19" t="str">
        <x:v>5</x:v>
      </x:c>
    </x:row>
    <x:row r="3946" ht="93" customHeight="1">
      <x:c r="A3946" s="19" t="n">
        <x:v>3943</x:v>
      </x:c>
      <x:c r="B3946" s="22" t="e">
        <x:f>HYPERLINK("https://cdn.shopify.com/s/files/1/0918/6066/4603/files/5324bbd74ff85933c6ca90b81dcd6f71.jpg?v=1772707648","Open")</x:f>
        <x:v>HYPERLINK is not implemented. linkLocation=https://cdn.shopify.com/s/files/1/0918/6066/4603/files/5324bbd74ff85933c6ca90b81dcd6f71.jpg?v=1772707648, friendlyName=Open</x:v>
      </x:c>
      <x:c r="C3946" s="24" t="e">
        <x:f>HYPERLINK("https://365nails.com/products/365nails-classic-french-toe-extensions-short-square-toenail-tips","365nails: ""Classic French Toe Extensions"" – Short Square Toenail Tips")</x:f>
        <x:v>HYPERLINK is not implemented. linkLocation=https://365nails.com/products/365nails-classic-french-toe-extensions-short-square-toenail-tips, friendlyName=365nails: "Classic French Toe Extensions" – Short Square Toenail Tips</x:v>
      </x:c>
      <x:c r="D3946" s="18" t="str">
        <x:v>Color: Jm–64</x:v>
      </x:c>
      <x:c r="E3946" s="25" t="str">
        <x:v>$1.57</x:v>
      </x:c>
      <x:c r="F3946" s="19" t="str">
        <x:v>3</x:v>
      </x:c>
    </x:row>
    <x:row r="3947" ht="93" customHeight="1">
      <x:c r="A3947" s="19" t="n">
        <x:v>3944</x:v>
      </x:c>
      <x:c r="B3947" s="22" t="e">
        <x:f>HYPERLINK("https://cdn.shopify.com/s/files/1/0918/6066/4603/files/O1CN01lWyxcV27ZUle4qwGW__2220024697811-0-cib.jpg?v=1775113772","Open")</x:f>
        <x:v>HYPERLINK is not implemented. linkLocation=https://cdn.shopify.com/s/files/1/0918/6066/4603/files/O1CN01lWyxcV27ZUle4qwGW__2220024697811-0-cib.jpg?v=1775113772, friendlyName=Open</x:v>
      </x:c>
      <x:c r="C3947" s="24" t="e">
        <x:f>HYPERLINK("https://365nails.com/products/365nails-espresso-elegance-3d-coffee-bean-french-tip-handmade-long-almond-nails","365nails: ""Espresso Elegance"" – 3D Coffee Bean &amp; French Tip Handmade Long Almond Nails")</x:f>
        <x:v>HYPERLINK is not implemented. linkLocation=https://365nails.com/products/365nails-espresso-elegance-3d-coffee-bean-french-tip-handmade-long-almond-nails, friendlyName=365nails: "Espresso Elegance" – 3D Coffee Bean &amp; French Tip Handmade Long Almond Nails</x:v>
      </x:c>
      <x:c r="D3947" s="18" t="str">
        <x:v>Color: Almond; Color classification: Xs / S / M / L</x:v>
      </x:c>
      <x:c r="E3947" s="25" t="str">
        <x:v>$4.49</x:v>
      </x:c>
      <x:c r="F3947" s="19" t="str">
        <x:v>3</x:v>
      </x:c>
    </x:row>
    <x:row r="3948" ht="93" customHeight="1">
      <x:c r="A3948" s="19" t="n">
        <x:v>3945</x:v>
      </x:c>
      <x:c r="B3948" s="22" t="e">
        <x:f>HYPERLINK("https://cdn.shopify.com/s/files/1/0918/6066/4603/files/O1CN01PcZZl62MQzfxIgYAU__2219089449823-0-cib.jpg?v=1774275859","Open")</x:f>
        <x:v>HYPERLINK is not implemented. linkLocation=https://cdn.shopify.com/s/files/1/0918/6066/4603/files/O1CN01PcZZl62MQzfxIgYAU__2219089449823-0-cib.jpg?v=1774275859, friendlyName=Open</x:v>
      </x:c>
      <x:c r="C3948" s="24" t="e">
        <x:f>HYPERLINK("https://365nails.com/products/azure-bow-ocean-bow-long-square-press-on-nails","Azure Bow: ""Ocean Bow"" – Long Square Press-On Nails")</x:f>
        <x:v>HYPERLINK is not implemented. linkLocation=https://365nails.com/products/azure-bow-ocean-bow-long-square-press-on-nails, friendlyName=Azure Bow: "Ocean Bow" – Long Square Press-On Nails</x:v>
      </x:c>
      <x:c r="D3948" s="18" t="str">
        <x:v>Color: L010; Color classification: S / M / L</x:v>
      </x:c>
      <x:c r="E3948" s="25" t="str">
        <x:v>$4.99</x:v>
      </x:c>
      <x:c r="F3948" s="19" t="str">
        <x:v>1</x:v>
      </x:c>
    </x:row>
    <x:row r="3949" ht="93" customHeight="1">
      <x:c r="A3949" s="19" t="n">
        <x:v>3946</x:v>
      </x:c>
      <x:c r="B3949" s="22" t="e">
        <x:f>HYPERLINK("https://cdn.shopify.com/s/files/1/0918/6066/4603/files/O1CN012V2o1C2MQzeZA7aeE__2219089449823-0-cib.jpg?v=1774178678","Open")</x:f>
        <x:v>HYPERLINK is not implemented. linkLocation=https://cdn.shopify.com/s/files/1/0918/6066/4603/files/O1CN012V2o1C2MQzeZA7aeE__2219089449823-0-cib.jpg?v=1774178678, friendlyName=Open</x:v>
      </x:c>
      <x:c r="C3949" s="24" t="e">
        <x:f>HYPERLINK("https://365nails.com/products/holographic-floral-series-rainbow-petal-almond-handmade-press-on-nails","Holographic Floral Series: ""Rainbow Petal"" – Almond Handmade Press-on Nails")</x:f>
        <x:v>HYPERLINK is not implemented. linkLocation=https://365nails.com/products/holographic-floral-series-rainbow-petal-almond-handmade-press-on-nails, friendlyName=Holographic Floral Series: "Rainbow Petal" – Almond Handmade Press-on Nails</x:v>
      </x:c>
      <x:c r="D3949" s="18" t="str">
        <x:v>Color: D563; Color classification: X s / S / M / L</x:v>
      </x:c>
      <x:c r="E3949" s="25" t="str">
        <x:v>$3.49</x:v>
      </x:c>
      <x:c r="F3949" s="19" t="str">
        <x:v>1</x:v>
      </x:c>
    </x:row>
    <x:row r="3950" ht="93" customHeight="1">
      <x:c r="A3950" s="19" t="n">
        <x:v>3947</x:v>
      </x:c>
      <x:c r="B3950" s="22" t="e">
        <x:f>HYPERLINK("https://cdn.shopify.com/s/files/1/0918/6066/4603/files/d900e8b64fdd47aaa77280672b5b4501.jpg?v=1773902920","Open")</x:f>
        <x:v>HYPERLINK is not implemented. linkLocation=https://cdn.shopify.com/s/files/1/0918/6066/4603/files/d900e8b64fdd47aaa77280672b5b4501.jpg?v=1773902920, friendlyName=Open</x:v>
      </x:c>
      <x:c r="C3950" s="24" t="e">
        <x:f>HYPERLINK("https://365nails.com/products/365nails-psychedelic-crackle-gradient-handmade-press-on-nails-gothic-punk-artistic-trend-style","365Nails: ""Psychedelic Crackle Gradient"" – handmade press-on nails (Gothic Punk/Artistic Trend Style)")</x:f>
        <x:v>HYPERLINK is not implemented. linkLocation=https://365nails.com/products/365nails-psychedelic-crackle-gradient-handmade-press-on-nails-gothic-punk-artistic-trend-style, friendlyName=365Nails: "Psychedelic Crackle Gradient" – handmade press-on nails (Gothic Punk/Artistic Trend Style)</x:v>
      </x:c>
      <x:c r="D3950" s="18" t="str">
        <x:v>Size: XS / S / M / L</x:v>
      </x:c>
      <x:c r="E3950" s="25" t="str">
        <x:v>$3.99</x:v>
      </x:c>
      <x:c r="F3950" s="19" t="str">
        <x:v>5</x:v>
      </x:c>
    </x:row>
    <x:row r="3951" ht="93" customHeight="1">
      <x:c r="A3951" s="19" t="n">
        <x:v>3948</x:v>
      </x:c>
      <x:c r="B3951" s="22" t="e">
        <x:f>HYPERLINK("https://cdn.shopify.com/s/files/1/0918/6066/4603/files/b9a87a456d79b7af3a1b82fb9bf5f16a.jpg?v=1778337230","Open")</x:f>
        <x:v>HYPERLINK is not implemented. linkLocation=https://cdn.shopify.com/s/files/1/0918/6066/4603/files/b9a87a456d79b7af3a1b82fb9bf5f16a.jpg?v=1778337230, friendlyName=Open</x:v>
      </x:c>
      <x:c r="C3951" s="24" t="e">
        <x:f>HYPERLINK("https://365nails.com/products/365nails-emerald-garden-3d-floral-bow-handmade-stiletto-nails","365nails: ""Emerald Garden"" – 3D Floral Bow Handmade Stiletto Nails")</x:f>
        <x:v>HYPERLINK is not implemented. linkLocation=https://365nails.com/products/365nails-emerald-garden-3d-floral-bow-handmade-stiletto-nails, friendlyName=365nails: "Emerald Garden" – 3D Floral Bow Handmade Stiletto Nails</x:v>
      </x:c>
      <x:c r="D3951" s="18" t="str">
        <x:v>Size: XS / S / M / L</x:v>
      </x:c>
      <x:c r="E3951" s="25" t="str">
        <x:v>$2.99</x:v>
      </x:c>
      <x:c r="F3951" s="19" t="str">
        <x:v>5</x:v>
      </x:c>
    </x:row>
    <x:row r="3952" ht="93" customHeight="1">
      <x:c r="A3952" s="19" t="n">
        <x:v>3949</x:v>
      </x:c>
      <x:c r="B3952" s="22" t="e">
        <x:f>HYPERLINK("https://cdn.shopify.com/s/files/1/0918/6066/4603/files/O1CN01TTuSLS2MQzfUg83r3__2219089449823-0-cib.jpg?v=1774257999","Open")</x:f>
        <x:v>HYPERLINK is not implemented. linkLocation=https://cdn.shopify.com/s/files/1/0918/6066/4603/files/O1CN01TTuSLS2MQzfUg83r3__2219089449823-0-cib.jpg?v=1774257999, friendlyName=Open</x:v>
      </x:c>
      <x:c r="C3952" s="24" t="e">
        <x:f>HYPERLINK("https://365nails.com/products/tropical-bloom-plumeria-leaf-almond-shape-handmade-press-on-nails","Tropical Bloom: ""Plumeria Leaf"" – Almond Shape Handmade Press-On Nails")</x:f>
        <x:v>HYPERLINK is not implemented. linkLocation=https://365nails.com/products/tropical-bloom-plumeria-leaf-almond-shape-handmade-press-on-nails, friendlyName=Tropical Bloom: "Plumeria Leaf" – Almond Shape Handmade Press-On Nails</x:v>
      </x:c>
      <x:c r="D3952" s="18" t="str">
        <x:v>Color: D620; Color classification: X s / S / M / L</x:v>
      </x:c>
      <x:c r="E3952" s="25" t="str">
        <x:v>$3.49</x:v>
      </x:c>
      <x:c r="F3952" s="19" t="str">
        <x:v>1</x:v>
      </x:c>
    </x:row>
    <x:row r="3953" ht="93" customHeight="1">
      <x:c r="A3953" s="19" t="n">
        <x:v>3950</x:v>
      </x:c>
      <x:c r="B3953" s="22" t="e">
        <x:f>HYPERLINK("https://cdn.shopify.com/s/files/1/0918/6066/4603/files/1a44c1826b89311d57dc3054f3e5a0f9.jpg?v=1778242224","Open")</x:f>
        <x:v>HYPERLINK is not implemented. linkLocation=https://cdn.shopify.com/s/files/1/0918/6066/4603/files/1a44c1826b89311d57dc3054f3e5a0f9.jpg?v=1778242224, friendlyName=Open</x:v>
      </x:c>
      <x:c r="C3953" s="24" t="e">
        <x:f>HYPERLINK("https://365nails.com/products/365nails-celestial-whimsy-3d-snake-star-handmade-medium-almond-nails","365nails: ""Celestial Whimsy"" – 3D Snake &amp; Star Handmade Medium Almond Nails")</x:f>
        <x:v>HYPERLINK is not implemented. linkLocation=https://365nails.com/products/365nails-celestial-whimsy-3d-snake-star-handmade-medium-almond-nails, friendlyName=365nails: "Celestial Whimsy" – 3D Snake &amp; Star Handmade Medium Almond Nails</x:v>
      </x:c>
      <x:c r="D3953" s="18" t="str">
        <x:v>Size: XS / S / M / L</x:v>
      </x:c>
      <x:c r="E3953" s="25" t="str">
        <x:v>$4.99</x:v>
      </x:c>
      <x:c r="F3953" s="19" t="str">
        <x:v>5</x:v>
      </x:c>
    </x:row>
    <x:row r="3954" ht="93" customHeight="1">
      <x:c r="A3954" s="19" t="n">
        <x:v>3951</x:v>
      </x:c>
      <x:c r="B3954" s="22" t="e">
        <x:f>HYPERLINK("https://cdn.shopify.com/s/files/1/0918/6066/4603/files/2674959beab2504904b3371498f43c59.jpg?v=1778242970","Open")</x:f>
        <x:v>HYPERLINK is not implemented. linkLocation=https://cdn.shopify.com/s/files/1/0918/6066/4603/files/2674959beab2504904b3371498f43c59.jpg?v=1778242970, friendlyName=Open</x:v>
      </x:c>
      <x:c r="C3954" s="24" t="e">
        <x:f>HYPERLINK("https://365nails.com/products/365nails-disco-prism-full-cover-rhinestone-handmade-short-square-nails","365nails: ""Disco Prism"" – Full Cover Rhinestone Handmade Short Square Nails")</x:f>
        <x:v>HYPERLINK is not implemented. linkLocation=https://365nails.com/products/365nails-disco-prism-full-cover-rhinestone-handmade-short-square-nails, friendlyName=365nails: "Disco Prism" – Full Cover Rhinestone Handmade Short Square Nails</x:v>
      </x:c>
      <x:c r="D3954" s="18" t="str">
        <x:v>Size: XS / S / M / L</x:v>
      </x:c>
      <x:c r="E3954" s="25" t="str">
        <x:v>$3.99</x:v>
      </x:c>
      <x:c r="F3954" s="19" t="str">
        <x:v>5</x:v>
      </x:c>
    </x:row>
    <x:row r="3955" ht="93" customHeight="1">
      <x:c r="A3955" s="19" t="n">
        <x:v>3952</x:v>
      </x:c>
      <x:c r="B3955" s="22" t="e">
        <x:f>HYPERLINK("https://cdn.shopify.com/s/files/1/0918/6066/4603/files/fa5b10a79263819ff71ecd182162535d.jpg?v=1776172278","Open")</x:f>
        <x:v>HYPERLINK is not implemented. linkLocation=https://cdn.shopify.com/s/files/1/0918/6066/4603/files/fa5b10a79263819ff71ecd182162535d.jpg?v=1776172278, friendlyName=Open</x:v>
      </x:c>
      <x:c r="C3955" s="24" t="e">
        <x:f>HYPERLINK("https://365nails.com/products/365nails-spring-bloom-3d-floral-heart-handmade-short-square-nails","365nails: ""Spring Bloom"" – 3D Floral &amp; Heart Handmade Short Square Nails")</x:f>
        <x:v>HYPERLINK is not implemented. linkLocation=https://365nails.com/products/365nails-spring-bloom-3d-floral-heart-handmade-short-square-nails, friendlyName=365nails: "Spring Bloom" – 3D Floral &amp; Heart Handmade Short Square Nails</x:v>
      </x:c>
      <x:c r="D3955" s="18" t="str">
        <x:v>Size: XS / S / M / L</x:v>
      </x:c>
      <x:c r="E3955" s="25" t="str">
        <x:v>$1.99</x:v>
      </x:c>
      <x:c r="F3955" s="19" t="str">
        <x:v>3</x:v>
      </x:c>
    </x:row>
    <x:row r="3956" ht="93" customHeight="1">
      <x:c r="A3956" s="19" t="n">
        <x:v>3953</x:v>
      </x:c>
      <x:c r="B3956" s="22" t="e">
        <x:f>HYPERLINK("https://cdn.shopify.com/s/files/1/0918/6066/4603/files/O1CN01ykomGF27ZUlDVCnlB__2220024697811-0-cib.jpg?v=1775005116","Open")</x:f>
        <x:v>HYPERLINK is not implemented. linkLocation=https://cdn.shopify.com/s/files/1/0918/6066/4603/files/O1CN01ykomGF27ZUlDVCnlB__2220024697811-0-cib.jpg?v=1775005116, friendlyName=Open</x:v>
      </x:c>
      <x:c r="C3956" s="24" t="e">
        <x:f>HYPERLINK("https://365nails.com/products/365nails-kawaii-tales-3d-cartoon-handmade-square-nails","365nails: ""Kawaii Tales"" – 3D Cartoon Handmade Square Nails")</x:f>
        <x:v>HYPERLINK is not implemented. linkLocation=https://365nails.com/products/365nails-kawaii-tales-3d-cartoon-handmade-square-nails, friendlyName=365nails: "Kawaii Tales" – 3D Cartoon Handmade Square Nails</x:v>
      </x:c>
      <x:c r="D3956" s="18" t="str">
        <x:v>Color: Duckbill; Color classification: Xs / S / M / L</x:v>
      </x:c>
      <x:c r="E3956" s="25" t="str">
        <x:v>$4.49</x:v>
      </x:c>
      <x:c r="F3956" s="19" t="str">
        <x:v>3</x:v>
      </x:c>
    </x:row>
    <x:row r="3957" ht="93" customHeight="1">
      <x:c r="A3957" s="19" t="n">
        <x:v>3954</x:v>
      </x:c>
      <x:c r="B3957" s="22" t="e">
        <x:f>HYPERLINK("https://cdn.shopify.com/s/files/1/0918/6066/4603/files/O1CN01fmqA2f2MQzdjuFRGn__2219089449823-0-cib.jpg?v=1774348931","Open")</x:f>
        <x:v>HYPERLINK is not implemented. linkLocation=https://cdn.shopify.com/s/files/1/0918/6066/4603/files/O1CN01fmqA2f2MQzdjuFRGn__2219089449823-0-cib.jpg?v=1774348931, friendlyName=Open</x:v>
      </x:c>
      <x:c r="C3957" s="24" t="e">
        <x:f>HYPERLINK("https://365nails.com/products/sweet-tropical-pink-butterfly-bloom-medium-almond-nude-pink-gradient-handmade-press-on","Sweet Tropical: ""Pink Butterfly Bloom"" – Medium Almond Nude &amp; Pink Gradient Handmade Press-On")</x:f>
        <x:v>HYPERLINK is not implemented. linkLocation=https://365nails.com/products/sweet-tropical-pink-butterfly-bloom-medium-almond-nude-pink-gradient-handmade-press-on, friendlyName=Sweet Tropical: "Pink Butterfly Bloom" – Medium Almond Nude &amp; Pink Gradient Handmade Press-On</x:v>
      </x:c>
      <x:c r="D3957" s="18" t="str">
        <x:v>Color: D499; Color classification: X s / S / M / L</x:v>
      </x:c>
      <x:c r="E3957" s="25" t="str">
        <x:v>$3.49</x:v>
      </x:c>
      <x:c r="F3957" s="19" t="str">
        <x:v>1</x:v>
      </x:c>
    </x:row>
    <x:row r="3958" ht="93" customHeight="1">
      <x:c r="A3958" s="19" t="n">
        <x:v>3955</x:v>
      </x:c>
      <x:c r="B3958" s="22" t="e">
        <x:f>HYPERLINK("https://cdn.shopify.com/s/files/1/0918/6066/4603/files/O1CN017nnNrm1CPwMXYIaJu__2213196780074-0-cib.jpg?v=1776603063","Open")</x:f>
        <x:v>HYPERLINK is not implemented. linkLocation=https://cdn.shopify.com/s/files/1/0918/6066/4603/files/O1CN017nnNrm1CPwMXYIaJu__2213196780074-0-cib.jpg?v=1776603063, friendlyName=Open</x:v>
      </x:c>
      <x:c r="C3958" s="24" t="e">
        <x:f>HYPERLINK("https://365nails.com/products/365nails-starlight-serenade-3d-gem-glitter-handmade-almond-nails","365nails: ""Starlight Serenade"" – 3D Gem &amp; Glitter Handmade Almond Nails")</x:f>
        <x:v>HYPERLINK is not implemented. linkLocation=https://365nails.com/products/365nails-starlight-serenade-3d-gem-glitter-handmade-almond-nails, friendlyName=365nails: "Starlight Serenade" – 3D Gem &amp; Glitter Handmade Almond Nails</x:v>
      </x:c>
      <x:c r="D3958" s="18" t="str">
        <x:v>Color: 2535 - fine point tip / 2290-middle ladder / 2292-long oval; Color classification: Xs / S / M / L</x:v>
      </x:c>
      <x:c r="E3958" s="25" t="str">
        <x:v>$3.49</x:v>
      </x:c>
      <x:c r="F3958" s="19" t="str">
        <x:v>1</x:v>
      </x:c>
    </x:row>
    <x:row r="3959" ht="93" customHeight="1">
      <x:c r="A3959" s="19" t="n">
        <x:v>3956</x:v>
      </x:c>
      <x:c r="B3959" s="22" t="e">
        <x:f>HYPERLINK("https://cdn.shopify.com/s/files/1/0918/6066/4603/files/d0c9851a94dcf2d27e9d77596d8e9f15.jpg?v=1773902809","Open")</x:f>
        <x:v>HYPERLINK is not implemented. linkLocation=https://cdn.shopify.com/s/files/1/0918/6066/4603/files/d0c9851a94dcf2d27e9d77596d8e9f15.jpg?v=1773902809, friendlyName=Open</x:v>
      </x:c>
      <x:c r="C3959" s="24" t="e">
        <x:f>HYPERLINK("https://365nails.com/products/365nails-lavender-plaid-velvet-handmade-press-on-nails-sweet-cool-plaid-retro-gentle-style","365Nails: ""Lavender Plaid Velvet"" – handmade press-on nails (Sweet Cool Plaid/Retro Gentle Style)")</x:f>
        <x:v>HYPERLINK is not implemented. linkLocation=https://365nails.com/products/365nails-lavender-plaid-velvet-handmade-press-on-nails-sweet-cool-plaid-retro-gentle-style, friendlyName=365Nails: "Lavender Plaid Velvet" – handmade press-on nails (Sweet Cool Plaid/Retro Gentle Style)</x:v>
      </x:c>
      <x:c r="D3959" s="18" t="str">
        <x:v>Size: XS / S / M / L</x:v>
      </x:c>
      <x:c r="E3959" s="25" t="str">
        <x:v>$3.99</x:v>
      </x:c>
      <x:c r="F3959" s="19" t="str">
        <x:v>5</x:v>
      </x:c>
    </x:row>
    <x:row r="3960" ht="93" customHeight="1">
      <x:c r="A3960" s="19" t="n">
        <x:v>3957</x:v>
      </x:c>
      <x:c r="B3960" s="22" t="e">
        <x:f>HYPERLINK("https://cdn.shopify.com/s/files/1/0918/6066/4603/files/2ba2bb7554aaac0a755910b901cf96f9.jpg?v=1776322759","Open")</x:f>
        <x:v>HYPERLINK is not implemented. linkLocation=https://cdn.shopify.com/s/files/1/0918/6066/4603/files/2ba2bb7554aaac0a755910b901cf96f9.jpg?v=1776322759, friendlyName=Open</x:v>
      </x:c>
      <x:c r="C3960" s="24" t="e">
        <x:f>HYPERLINK("https://365nails.com/products/365nails-cartoon-carnival-3d-character-short-square-nails-1","365nails: ""Cartoon Carnival"" – 3D Character Short Square Nails")</x:f>
        <x:v>HYPERLINK is not implemented. linkLocation=https://365nails.com/products/365nails-cartoon-carnival-3d-character-short-square-nails-1, friendlyName=365nails: "Cartoon Carnival" – 3D Character Short Square Nails</x:v>
      </x:c>
      <x:c r="D3960" s="18" t="str">
        <x:v>Size: XS / S / M / L</x:v>
      </x:c>
      <x:c r="E3960" s="25" t="str">
        <x:v>$3.99</x:v>
      </x:c>
      <x:c r="F3960" s="19" t="str">
        <x:v>5</x:v>
      </x:c>
    </x:row>
    <x:row r="3961" ht="93" customHeight="1">
      <x:c r="A3961" s="19" t="n">
        <x:v>3958</x:v>
      </x:c>
      <x:c r="B3961" s="22" t="e">
        <x:f>HYPERLINK("https://cdn.shopify.com/s/files/1/0918/6066/4603/files/73d5a56310b511b3788c682d9b6c00df.jpg?v=1778317466","Open")</x:f>
        <x:v>HYPERLINK is not implemented. linkLocation=https://cdn.shopify.com/s/files/1/0918/6066/4603/files/73d5a56310b511b3788c682d9b6c00df.jpg?v=1778317466, friendlyName=Open</x:v>
      </x:c>
      <x:c r="C3961" s="24" t="e">
        <x:f>HYPERLINK("https://365nails.com/products/365nails-golden-safari-3d-gem-animal-print-handmade-coffin-nails","365nails: ""Golden Safari"" – 3D Gem &amp; Animal Print Handmade Coffin Nails")</x:f>
        <x:v>HYPERLINK is not implemented. linkLocation=https://365nails.com/products/365nails-golden-safari-3d-gem-animal-print-handmade-coffin-nails, friendlyName=365nails: "Golden Safari" – 3D Gem &amp; Animal Print Handmade Coffin Nails</x:v>
      </x:c>
      <x:c r="D3961" s="18" t="str">
        <x:v>Size: XS / S / M / L</x:v>
      </x:c>
      <x:c r="E3961" s="25" t="str">
        <x:v>$3.99</x:v>
      </x:c>
      <x:c r="F3961" s="19" t="str">
        <x:v>5</x:v>
      </x:c>
    </x:row>
    <x:row r="3962" ht="93" customHeight="1">
      <x:c r="A3962" s="19" t="n">
        <x:v>3959</x:v>
      </x:c>
      <x:c r="B3962" s="22" t="e">
        <x:f>HYPERLINK("https://cdn.shopify.com/s/files/1/0918/6066/4603/files/O1CN01Hswmcq27ZUmGgiSZL__2220024697811-0-cib.jpg?v=1775110971","Open")</x:f>
        <x:v>HYPERLINK is not implemented. linkLocation=https://cdn.shopify.com/s/files/1/0918/6066/4603/files/O1CN01Hswmcq27ZUmGgiSZL__2220024697811-0-cib.jpg?v=1775110971, friendlyName=Open</x:v>
      </x:c>
      <x:c r="C3962" s="24" t="e">
        <x:f>HYPERLINK("https://365nails.com/products/365nails-gilded-opulence-3d-charms-metallic-handmade-long-stiletto-nails","365nails: ""Gilded Opulence"" – 3D Charms &amp; Metallic Handmade Long Stiletto Nails")</x:f>
        <x:v>HYPERLINK is not implemented. linkLocation=https://365nails.com/products/365nails-gilded-opulence-3d-charms-metallic-handmade-long-stiletto-nails, friendlyName=365nails: "Gilded Opulence" – 3D Charms &amp; Metallic Handmade Long Stiletto Nails</x:v>
      </x:c>
      <x:c r="D3962" s="18" t="str">
        <x:v>Color: Long tip; Color classification: Xs / S / M / L</x:v>
      </x:c>
      <x:c r="E3962" s="25" t="str">
        <x:v>$4.99</x:v>
      </x:c>
      <x:c r="F3962" s="19" t="str">
        <x:v>3</x:v>
      </x:c>
    </x:row>
    <x:row r="3963" ht="93" customHeight="1">
      <x:c r="A3963" s="19" t="n">
        <x:v>3960</x:v>
      </x:c>
      <x:c r="B3963" s="22" t="e">
        <x:f>HYPERLINK("https://cdn.shopify.com/s/files/1/0918/6066/4603/files/O1CN01GzxEG12NGHqOuCjhq__4234819935-0-cib_fca86446-3a91-4b8d-97a3-170d0ba51ac6.jpg?v=1761291368","Open")</x:f>
        <x:v>HYPERLINK is not implemented. linkLocation=https://cdn.shopify.com/s/files/1/0918/6066/4603/files/O1CN01GzxEG12NGHqOuCjhq__4234819935-0-cib_fca86446-3a91-4b8d-97a3-170d0ba51ac6.jpg?v=1761291368, friendlyName=Open</x:v>
      </x:c>
      <x:c r="C3963" s="24" t="e">
        <x:f>HYPERLINK("https://365nails.com/products/europe-and-the-united-states-popular-nail-art-wearing-nail-cross-flash-diamond-explosion-flash-wearable-nail-piece-finished-product-wholesale-star-and-moon-fake-nails","Europe and the United States popular nail art wearing nail cross flash diamond explosion flash wearable nail piece finished product wholesale star and moon fake nails")</x:f>
        <x:v>HYPERLINK is not implemented. linkLocation=https://365nails.com/products/europe-and-the-united-states-popular-nail-art-wearing-nail-cross-flash-diamond-explosion-flash-wearable-nail-piece-finished-product-wholesale-star-and-moon-fake-nails, friendlyName=Europe and the United States popular nail art wearing nail cross flash diamond explosion flash wearable nail piece finished product wholesale star and moon fake nails</x:v>
      </x:c>
      <x:c r="D3963" s="18" t="str">
        <x:v>Color: JP2791</x:v>
      </x:c>
      <x:c r="E3963" s="25" t="str">
        <x:v>$1.69</x:v>
      </x:c>
      <x:c r="F3963" s="19" t="str">
        <x:v>1</x:v>
      </x:c>
    </x:row>
    <x:row r="3964" ht="93" customHeight="1">
      <x:c r="A3964" s="19" t="n">
        <x:v>3961</x:v>
      </x:c>
      <x:c r="B3964" s="22" t="e">
        <x:f>HYPERLINK("https://cdn.shopify.com/s/files/1/0918/6066/4603/files/O1CN01BJht4Z27ZUkpQPavu__2220024697811-0-cib.jpg?v=1775111921","Open")</x:f>
        <x:v>HYPERLINK is not implemented. linkLocation=https://cdn.shopify.com/s/files/1/0918/6066/4603/files/O1CN01BJht4Z27ZUkpQPavu__2220024697811-0-cib.jpg?v=1775111921, friendlyName=Open</x:v>
      </x:c>
      <x:c r="C3964" s="24" t="e">
        <x:f>HYPERLINK("https://365nails.com/products/365nails-sky-blossom-3d-floral-handmade-medium-almond-nails","365nails: ""Sky Blossom"" – 3D Floral Handmade Medium Almond Nails")</x:f>
        <x:v>HYPERLINK is not implemented. linkLocation=https://365nails.com/products/365nails-sky-blossom-3d-floral-handmade-medium-almond-nails, friendlyName=365nails: "Sky Blossom" – 3D Floral Handmade Medium Almond Nails</x:v>
      </x:c>
      <x:c r="D3964" s="18" t="str">
        <x:v>Color: Right angle t; Color classification: Xs / S / M / L</x:v>
      </x:c>
      <x:c r="E3964" s="25" t="str">
        <x:v>$4.49</x:v>
      </x:c>
      <x:c r="F3964" s="19" t="str">
        <x:v>3</x:v>
      </x:c>
    </x:row>
    <x:row r="3965" ht="93" customHeight="1">
      <x:c r="A3965" s="19" t="n">
        <x:v>3962</x:v>
      </x:c>
      <x:c r="B3965" s="22" t="e">
        <x:f>HYPERLINK("https://cdn.shopify.com/s/files/1/0918/6066/4603/files/O1CN01F1w9CT2MQzeOej2Ix__2219089449823-0-cib.jpg?v=1774178645","Open")</x:f>
        <x:v>HYPERLINK is not implemented. linkLocation=https://cdn.shopify.com/s/files/1/0918/6066/4603/files/O1CN01F1w9CT2MQzeOej2Ix__2219089449823-0-cib.jpg?v=1774178645, friendlyName=Open</x:v>
      </x:c>
      <x:c r="C3965" s="24" t="e">
        <x:f>HYPERLINK("https://365nails.com/products/sunset-bloom-series-crimson-sunset-flower-almond-handmade-press-on-nails","Sunset Bloom Series: ""Crimson Sunset Flower"" – Almond Handmade Press-on Nails")</x:f>
        <x:v>HYPERLINK is not implemented. linkLocation=https://365nails.com/products/sunset-bloom-series-crimson-sunset-flower-almond-handmade-press-on-nails, friendlyName=Sunset Bloom Series: "Crimson Sunset Flower" – Almond Handmade Press-on Nails</x:v>
      </x:c>
      <x:c r="D3965" s="18" t="str">
        <x:v>Color: D546; Color classification: X s / S / M / L</x:v>
      </x:c>
      <x:c r="E3965" s="25" t="str">
        <x:v>$3.49</x:v>
      </x:c>
      <x:c r="F3965" s="19" t="str">
        <x:v>1</x:v>
      </x:c>
    </x:row>
    <x:row r="3966" ht="93" customHeight="1">
      <x:c r="A3966" s="19" t="n">
        <x:v>3963</x:v>
      </x:c>
      <x:c r="B3966" s="22" t="e">
        <x:f>HYPERLINK("https://cdn.shopify.com/s/files/1/0918/6066/4603/files/O1CN01JCBsuH27ZUlYlkxy1__2220024697811-0-cib.jpg?v=1775110053","Open")</x:f>
        <x:v>HYPERLINK is not implemented. linkLocation=https://cdn.shopify.com/s/files/1/0918/6066/4603/files/O1CN01JCBsuH27ZUlYlkxy1__2220024697811-0-cib.jpg?v=1775110053, friendlyName=Open</x:v>
      </x:c>
      <x:c r="C3966" s="24" t="e">
        <x:f>HYPERLINK("https://365nails.com/products/65nails-savanna-sunset-3d-floral-mixed-pattern-handmade-long-stiletto-nails","65nails: ""Savanna Sunset"" – 3D Floral &amp; Mixed Pattern Handmade Long Stiletto Nails")</x:f>
        <x:v>HYPERLINK is not implemented. linkLocation=https://365nails.com/products/65nails-savanna-sunset-3d-floral-mixed-pattern-handmade-long-stiletto-nails, friendlyName=65nails: "Savanna Sunset" – 3D Floral &amp; Mixed Pattern Handmade Long Stiletto Nails</x:v>
      </x:c>
      <x:c r="D3966" s="18" t="str">
        <x:v>Color: Z-189 long tip; Color classification: Xs / S / M / L</x:v>
      </x:c>
      <x:c r="E3966" s="25" t="str">
        <x:v>$4.99</x:v>
      </x:c>
      <x:c r="F3966" s="19" t="str">
        <x:v>3</x:v>
      </x:c>
    </x:row>
    <x:row r="3967" ht="93" customHeight="1">
      <x:c r="A3967" s="19" t="n">
        <x:v>3964</x:v>
      </x:c>
      <x:c r="B3967" s="22" t="e">
        <x:f>HYPERLINK("https://cdn.shopify.com/s/files/1/0918/6066/4603/files/O1CN01CV27Iv27ZUkklhD6k__2220024697811-0-cib.jpg?v=1774945086","Open")</x:f>
        <x:v>HYPERLINK is not implemented. linkLocation=https://cdn.shopify.com/s/files/1/0918/6066/4603/files/O1CN01CV27Iv27ZUkklhD6k__2220024697811-0-cib.jpg?v=1774945086, friendlyName=Open</x:v>
      </x:c>
      <x:c r="C3967" s="24" t="e">
        <x:f>HYPERLINK("https://365nails.com/products/365nails-botanical-whisper-3d-floral-handmade-stiletto-nails","365nails: ""Botanical Whisper"" – 3D Floral Handmade Stiletto Nails")</x:f>
        <x:v>HYPERLINK is not implemented. linkLocation=https://365nails.com/products/365nails-botanical-whisper-3d-floral-handmade-stiletto-nails, friendlyName=365nails: "Botanical Whisper" – 3D Floral Handmade Stiletto Nails</x:v>
      </x:c>
      <x:c r="D3967" s="18" t="str">
        <x:v>Color: Long tip; Color classification: Xs / S / M / L</x:v>
      </x:c>
      <x:c r="E3967" s="25" t="str">
        <x:v>$4.49</x:v>
      </x:c>
      <x:c r="F3967" s="19" t="str">
        <x:v>3</x:v>
      </x:c>
    </x:row>
    <x:row r="3968" ht="93" customHeight="1">
      <x:c r="A3968" s="19" t="n">
        <x:v>3965</x:v>
      </x:c>
      <x:c r="B3968" s="22" t="e">
        <x:f>HYPERLINK("https://cdn.shopify.com/s/files/1/0918/6066/4603/files/O1CN01UceKqq2MQzescTxeX__2219089449823-0-cib.jpg?v=1774579157","Open")</x:f>
        <x:v>HYPERLINK is not implemented. linkLocation=https://cdn.shopify.com/s/files/1/0918/6066/4603/files/O1CN01UceKqq2MQzescTxeX__2219089449823-0-cib.jpg?v=1774579157, friendlyName=Open</x:v>
      </x:c>
      <x:c r="C3968" s="24" t="e">
        <x:f>HYPERLINK("https://365nails.com/products/cherry-rose-gala-festive-bow-bloom-almond-press-on-nails","Cherry Rose Gala: ""Festive Bow &amp; Bloom"" – Almond Press-On Nails")</x:f>
        <x:v>HYPERLINK is not implemented. linkLocation=https://365nails.com/products/cherry-rose-gala-festive-bow-bloom-almond-press-on-nails, friendlyName=Cherry Rose Gala: "Festive Bow &amp; Bloom" – Almond Press-On Nails</x:v>
      </x:c>
      <x:c r="D3968" s="18" t="str">
        <x:v>Color: D582; Color classification: Xs / S / M / L</x:v>
      </x:c>
      <x:c r="E3968" s="25" t="str">
        <x:v>$3.49</x:v>
      </x:c>
      <x:c r="F3968" s="19" t="str">
        <x:v>1</x:v>
      </x:c>
    </x:row>
    <x:row r="3969" ht="93" customHeight="1">
      <x:c r="A3969" s="19" t="n">
        <x:v>3966</x:v>
      </x:c>
      <x:c r="B3969" s="22" t="e">
        <x:f>HYPERLINK("https://cdn.shopify.com/s/files/1/0918/6066/4603/files/O1CN01cDRohu1CPwLc4PSuY__2213196780074-0-cib_582f78ba-005e-4fdc-9182-60c16aa70062.jpg?v=1774679048","Open")</x:f>
        <x:v>HYPERLINK is not implemented. linkLocation=https://cdn.shopify.com/s/files/1/0918/6066/4603/files/O1CN01cDRohu1CPwLc4PSuY__2213196780074-0-cib_582f78ba-005e-4fdc-9182-60c16aa70062.jpg?v=1774679048, friendlyName=Open</x:v>
      </x:c>
      <x:c r="C3969" s="24" t="e">
        <x:f>HYPERLINK("https://365nails.com/products/365nails-summer-fairy-3d-insect-floral-handmade-stiletto-nails","365nails: ""Summer Fairy"" – 3D Insect &amp; Floral Handmade Stiletto Nails")</x:f>
        <x:v>HYPERLINK is not implemented. linkLocation=https://365nails.com/products/365nails-summer-fairy-3d-insect-floral-handmade-stiletto-nails, friendlyName=365nails: "Summer Fairy" – 3D Insect &amp; Floral Handmade Stiletto Nails</x:v>
      </x:c>
      <x:c r="D3969" s="18" t="str">
        <x:v>Color: 666-long oval; Color classification: Extra small size xs / Small s / Medium m / Large l</x:v>
      </x:c>
      <x:c r="E3969" s="25" t="str">
        <x:v>$12.99</x:v>
      </x:c>
      <x:c r="F3969" s="19" t="str">
        <x:v>1</x:v>
      </x:c>
    </x:row>
    <x:row r="3970" ht="93" customHeight="1">
      <x:c r="A3970" s="19" t="n">
        <x:v>3967</x:v>
      </x:c>
      <x:c r="B3970" s="22" t="e">
        <x:f>HYPERLINK("https://cdn.shopify.com/s/files/1/0918/6066/4603/files/O1CN016nR72y2MQzcwP21xp__2219089449823-0-cib.jpg?v=1774349127","Open")</x:f>
        <x:v>HYPERLINK is not implemented. linkLocation=https://cdn.shopify.com/s/files/1/0918/6066/4603/files/O1CN016nR72y2MQzcwP21xp__2219089449823-0-cib.jpg?v=1774349127, friendlyName=Open</x:v>
      </x:c>
      <x:c r="C3970" s="24" t="e">
        <x:f>HYPERLINK("https://365nails.com/products/365nails-strawberry-floral-pop-medium-almond-yellow-red-fruit-floral-handmade-press-on-nails","365nails: ""Strawberry Floral Pop"" – Medium Almond Yellow-Red Fruit Floral Handmade Press-On Nails")</x:f>
        <x:v>HYPERLINK is not implemented. linkLocation=https://365nails.com/products/365nails-strawberry-floral-pop-medium-almond-yellow-red-fruit-floral-handmade-press-on-nails, friendlyName=365nails: "Strawberry Floral Pop" – Medium Almond Yellow-Red Fruit Floral Handmade Press-On Nails</x:v>
      </x:c>
      <x:c r="D3970" s="18" t="str">
        <x:v>Color: D420; Color classification: X s / S / M / L</x:v>
      </x:c>
      <x:c r="E3970" s="25" t="str">
        <x:v>$3.99</x:v>
      </x:c>
      <x:c r="F3970" s="19" t="str">
        <x:v>1</x:v>
      </x:c>
    </x:row>
    <x:row r="3971" ht="93" customHeight="1">
      <x:c r="A3971" s="19" t="n">
        <x:v>3968</x:v>
      </x:c>
      <x:c r="B3971" s="22" t="e">
        <x:f>HYPERLINK("https://cdn.shopify.com/s/files/1/0918/6066/4603/files/O1CN01K7QaPS1CPwLaYZ2UV__2213196780074-0-cib_245ad0d1-bff6-45a8-ba63-515661e0cb94.jpg?v=1774695974","Open")</x:f>
        <x:v>HYPERLINK is not implemented. linkLocation=https://cdn.shopify.com/s/files/1/0918/6066/4603/files/O1CN01K7QaPS1CPwLaYZ2UV__2213196780074-0-cib_245ad0d1-bff6-45a8-ba63-515661e0cb94.jpg?v=1774695974, friendlyName=Open</x:v>
      </x:c>
      <x:c r="C3971" s="24" t="e">
        <x:f>HYPERLINK("https://365nails.com/products/365nails-caramel-fantasy-3d-bow-crystal-handmade-stiletto-nails","365nails: ""Caramel Fantasy"" – 3D Bow &amp; Crystal Handmade Stiletto Nails")</x:f>
        <x:v>HYPERLINK is not implemented. linkLocation=https://365nails.com/products/365nails-caramel-fantasy-3d-bow-crystal-handmade-stiletto-nails, friendlyName=365nails: "Caramel Fantasy" – 3D Bow &amp; Crystal Handmade Stiletto Nails</x:v>
      </x:c>
      <x:c r="D3971" s="18" t="str">
        <x:v>Color: 673-long water drop; Color classification: Extra small size xs / Small s / Medium m / Large l</x:v>
      </x:c>
      <x:c r="E3971" s="25" t="str">
        <x:v>$4.49</x:v>
      </x:c>
      <x:c r="F3971" s="19" t="str">
        <x:v>1</x:v>
      </x:c>
    </x:row>
    <x:row r="3972" ht="93" customHeight="1">
      <x:c r="A3972" s="19" t="n">
        <x:v>3969</x:v>
      </x:c>
      <x:c r="B3972" s="22" t="e">
        <x:f>HYPERLINK("https://cdn.shopify.com/s/files/1/0918/6066/4603/files/O1CN01E0siTa2MQzfz4LEFR__2219089449823-0-cib.jpg?v=1774348960","Open")</x:f>
        <x:v>HYPERLINK is not implemented. linkLocation=https://cdn.shopify.com/s/files/1/0918/6066/4603/files/O1CN01E0siTa2MQzfz4LEFR__2219089449823-0-cib.jpg?v=1774348960, friendlyName=Open</x:v>
      </x:c>
      <x:c r="C3972" s="24" t="e">
        <x:f>HYPERLINK("https://365nails.com/products/365nails-crimson-heart-ribbon-long-stiletto-french-tip-handmade-press-on-nails","365nails: ""Crimson Heart Ribbon"" – Long Stiletto French Tip Handmade Press-On Nails")</x:f>
        <x:v>HYPERLINK is not implemented. linkLocation=https://365nails.com/products/365nails-crimson-heart-ribbon-long-stiletto-french-tip-handmade-press-on-nails, friendlyName=365nails: "Crimson Heart Ribbon" – Long Stiletto French Tip Handmade Press-On Nails</x:v>
      </x:c>
      <x:c r="D3972" s="18" t="str">
        <x:v>Color: L011; Color classification: X s / S / M / L</x:v>
      </x:c>
      <x:c r="E3972" s="25" t="str">
        <x:v>$4.99</x:v>
      </x:c>
      <x:c r="F3972" s="19" t="str">
        <x:v>1</x:v>
      </x:c>
    </x:row>
    <x:row r="3973" ht="93" customHeight="1">
      <x:c r="A3973" s="19" t="n">
        <x:v>3970</x:v>
      </x:c>
      <x:c r="B3973" s="22" t="e">
        <x:f>HYPERLINK("https://cdn.shopify.com/s/files/1/0918/6066/4603/files/96f35ec5a54723648028ce8b470cfaf1.jpg?v=1777726572","Open")</x:f>
        <x:v>HYPERLINK is not implemented. linkLocation=https://cdn.shopify.com/s/files/1/0918/6066/4603/files/96f35ec5a54723648028ce8b470cfaf1.jpg?v=1777726572, friendlyName=Open</x:v>
      </x:c>
      <x:c r="C3973" s="24" t="e">
        <x:f>HYPERLINK("https://365nails.com/products/365nails-golden-hour-3d-crystal-rhinestone-handmade-coffin-nails","365nails: ""Golden Hour"" – 3D Crystal &amp; Rhinestone Handmade Coffin Nails")</x:f>
        <x:v>HYPERLINK is not implemented. linkLocation=https://365nails.com/products/365nails-golden-hour-3d-crystal-rhinestone-handmade-coffin-nails, friendlyName=365nails: "Golden Hour" – 3D Crystal &amp; Rhinestone Handmade Coffin Nails</x:v>
      </x:c>
      <x:c r="D3973" s="18" t="str">
        <x:v>Size: XS / S / M / L</x:v>
      </x:c>
      <x:c r="E3973" s="25" t="str">
        <x:v>$5.99</x:v>
      </x:c>
      <x:c r="F3973" s="19" t="str">
        <x:v>5</x:v>
      </x:c>
    </x:row>
    <x:row r="3974" ht="93" customHeight="1">
      <x:c r="A3974" s="19" t="n">
        <x:v>3971</x:v>
      </x:c>
      <x:c r="B3974" s="22" t="e">
        <x:f>HYPERLINK("https://cdn.shopify.com/s/files/1/0918/6066/4603/files/2e954d4370c4ded12a17c551688e2b61.jpg?v=1776244723","Open")</x:f>
        <x:v>HYPERLINK is not implemented. linkLocation=https://cdn.shopify.com/s/files/1/0918/6066/4603/files/2e954d4370c4ded12a17c551688e2b61.jpg?v=1776244723, friendlyName=Open</x:v>
      </x:c>
      <x:c r="C3974" s="24" t="e">
        <x:f>HYPERLINK("https://365nails.com/products/365nails-hello-kittys-red-bow-3d-character-handmade-short-nails","365nails: ""Hello Kitty's Red Bow"" – 3D Character Handmade Short Nails")</x:f>
        <x:v>HYPERLINK is not implemented. linkLocation=https://365nails.com/products/365nails-hello-kittys-red-bow-3d-character-handmade-short-nails, friendlyName=365nails: "Hello Kitty's Red Bow" – 3D Character Handmade Short Nails</x:v>
      </x:c>
      <x:c r="D3974" s="18" t="str">
        <x:v>Size: XS / S / M / L</x:v>
      </x:c>
      <x:c r="E3974" s="25" t="str">
        <x:v>$2.99</x:v>
      </x:c>
      <x:c r="F3974" s="19" t="str">
        <x:v>3</x:v>
      </x:c>
    </x:row>
    <x:row r="3975" ht="93" customHeight="1">
      <x:c r="A3975" s="19" t="n">
        <x:v>3972</x:v>
      </x:c>
      <x:c r="B3975" s="22" t="e">
        <x:f>HYPERLINK("https://cdn.shopify.com/s/files/1/0918/6066/4603/files/O1CN01nGZfV627ZUlelPW2P__2220024697811-0-cib.jpg?v=1774866187","Open")</x:f>
        <x:v>HYPERLINK is not implemented. linkLocation=https://cdn.shopify.com/s/files/1/0918/6066/4603/files/O1CN01nGZfV627ZUlelPW2P__2220024697811-0-cib.jpg?v=1774866187, friendlyName=Open</x:v>
      </x:c>
      <x:c r="C3975" s="24" t="e">
        <x:f>HYPERLINK("https://365nails.com/products/365nails-autumn-whisper-3d-floral-cherry-handmade-square-nails","365nails: ""Autumn Whisper"" – 3D Floral &amp; Cherry Handmade Square Nails")</x:f>
        <x:v>HYPERLINK is not implemented. linkLocation=https://365nails.com/products/365nails-autumn-whisper-3d-floral-cherry-handmade-square-nails, friendlyName=365nails: "Autumn Whisper" – 3D Floral &amp; Cherry Handmade Square Nails</x:v>
      </x:c>
      <x:c r="D3975" s="18" t="str">
        <x:v>Color: Medium rectangle; Color classification: Xs / S / M / L</x:v>
      </x:c>
      <x:c r="E3975" s="25" t="str">
        <x:v>$4.99</x:v>
      </x:c>
      <x:c r="F3975" s="19" t="str">
        <x:v>3</x:v>
      </x:c>
    </x:row>
    <x:row r="3976" ht="93" customHeight="1">
      <x:c r="A3976" s="19" t="n">
        <x:v>3973</x:v>
      </x:c>
      <x:c r="B3976" s="22" t="e">
        <x:f>HYPERLINK("https://cdn.shopify.com/s/files/1/0918/6066/4603/files/O1CN01bcHubg27ZUmVkHlKA__2220024697811-0-cib.jpg?v=1774865290","Open")</x:f>
        <x:v>HYPERLINK is not implemented. linkLocation=https://cdn.shopify.com/s/files/1/0918/6066/4603/files/O1CN01bcHubg27ZUmVkHlKA__2220024697811-0-cib.jpg?v=1774865290, friendlyName=Open</x:v>
      </x:c>
      <x:c r="C3976" s="24" t="e">
        <x:f>HYPERLINK("https://365nails.com/products/365nails-midnight-opulence-3d-crystal-pearl-handmade-square-nails","365nails: ""Midnight Opulence"" – 3D Crystal &amp; Pearl Handmade Square Nails")</x:f>
        <x:v>HYPERLINK is not implemented. linkLocation=https://365nails.com/products/365nails-midnight-opulence-3d-crystal-pearl-handmade-square-nails, friendlyName=365nails: "Midnight Opulence" – 3D Crystal &amp; Pearl Handmade Square Nails</x:v>
      </x:c>
      <x:c r="D3976" s="18" t="str">
        <x:v>Color: Almond; Color classification: Xs / S / M / L</x:v>
      </x:c>
      <x:c r="E3976" s="25" t="str">
        <x:v>$3.99</x:v>
      </x:c>
      <x:c r="F3976" s="19" t="str">
        <x:v>3</x:v>
      </x:c>
    </x:row>
    <x:row r="3977" ht="93" customHeight="1">
      <x:c r="A3977" s="19" t="n">
        <x:v>3974</x:v>
      </x:c>
      <x:c r="B3977" s="22" t="e">
        <x:f>HYPERLINK("https://cdn.shopify.com/s/files/1/0918/6066/4603/files/O1CN01qpAD4p27ZUkViYIwt__2220024697811-0-cib.jpg?v=1774943745","Open")</x:f>
        <x:v>HYPERLINK is not implemented. linkLocation=https://cdn.shopify.com/s/files/1/0918/6066/4603/files/O1CN01qpAD4p27ZUkViYIwt__2220024697811-0-cib.jpg?v=1774943745, friendlyName=Open</x:v>
      </x:c>
      <x:c r="C3977" s="24" t="e">
        <x:f>HYPERLINK("https://365nails.com/products/365nails-kaleidoscope-play-3d-chunky-mixed-art-handmade-square-nails","365nails: ""Kaleidoscope Play"" – 3D Chunky Mixed Art Handmade Square Nails")</x:f>
        <x:v>HYPERLINK is not implemented. linkLocation=https://365nails.com/products/365nails-kaleidoscope-play-3d-chunky-mixed-art-handmade-square-nails, friendlyName=365nails: "Kaleidoscope Play" – 3D Chunky Mixed Art Handmade Square Nails</x:v>
      </x:c>
      <x:c r="D3977" s="18" t="str">
        <x:v>Color: Duckbill; Color classification: Xs / S / M / L</x:v>
      </x:c>
      <x:c r="E3977" s="25" t="str">
        <x:v>$4.49</x:v>
      </x:c>
      <x:c r="F3977" s="19" t="str">
        <x:v>3</x:v>
      </x:c>
    </x:row>
    <x:row r="3978" ht="93" customHeight="1">
      <x:c r="A3978" s="19" t="n">
        <x:v>3975</x:v>
      </x:c>
      <x:c r="B3978" s="22" t="e">
        <x:f>HYPERLINK("https://cdn.shopify.com/s/files/1/0918/6066/4603/files/O1CN01RCt0Nx27ZUmI3Tpu2__2220024697811-0-cib.jpg?v=1775107313","Open")</x:f>
        <x:v>HYPERLINK is not implemented. linkLocation=https://cdn.shopify.com/s/files/1/0918/6066/4603/files/O1CN01RCt0Nx27ZUmI3Tpu2__2220024697811-0-cib.jpg?v=1775107313, friendlyName=Open</x:v>
      </x:c>
      <x:c r="C3978" s="24" t="e">
        <x:f>HYPERLINK("https://365nails.com/products/365nails-golden-opulence-3d-gold-bead-marble-handmade-short-square-nails","365nails: ""Golden Opulence"" – 3D Gold Bead &amp; Marble Handmade Short Square Nails")</x:f>
        <x:v>HYPERLINK is not implemented. linkLocation=https://365nails.com/products/365nails-golden-opulence-3d-gold-bead-marble-handmade-short-square-nails, friendlyName=365nails: "Golden Opulence" – 3D Gold Bead &amp; Marble Handmade Short Square Nails</x:v>
      </x:c>
      <x:c r="D3978" s="18" t="str">
        <x:v>Color: Right angle t; Color classification: Xs / S / M / L</x:v>
      </x:c>
      <x:c r="E3978" s="25" t="str">
        <x:v>$4.49</x:v>
      </x:c>
      <x:c r="F3978" s="19" t="str">
        <x:v>3</x:v>
      </x:c>
    </x:row>
    <x:row r="3979" ht="93" customHeight="1">
      <x:c r="A3979" s="19" t="n">
        <x:v>3976</x:v>
      </x:c>
      <x:c r="B3979" s="22" t="e">
        <x:f>HYPERLINK("https://cdn.shopify.com/s/files/1/0918/6066/4603/files/O1CN018JxLUa2MQzdIJ6M0F__2219089449823-0-cib.jpg?v=1774348868","Open")</x:f>
        <x:v>HYPERLINK is not implemented. linkLocation=https://cdn.shopify.com/s/files/1/0918/6066/4603/files/O1CN018JxLUa2MQzdIJ6M0F__2219089449823-0-cib.jpg?v=1774348868, friendlyName=Open</x:v>
      </x:c>
      <x:c r="C3979" s="24" t="e">
        <x:f>HYPERLINK("https://365nails.com/products/kawaii-cute-hello-kitty-sweetheart-short-square-pink-white-cartoon-handmade-press-on","Kawaii Cute: ""Hello Kitty Sweetheart"" – Short Square Pink &amp; White Cartoon Handmade Press-On")</x:f>
        <x:v>HYPERLINK is not implemented. linkLocation=https://365nails.com/products/kawaii-cute-hello-kitty-sweetheart-short-square-pink-white-cartoon-handmade-press-on, friendlyName=Kawaii Cute: "Hello Kitty Sweetheart" – Short Square Pink &amp; White Cartoon Handmade Press-On</x:v>
      </x:c>
      <x:c r="D3979" s="18" t="str">
        <x:v>Color: L 270; Color classification: X s / S / M / L</x:v>
      </x:c>
      <x:c r="E3979" s="25" t="str">
        <x:v>$4.99</x:v>
      </x:c>
      <x:c r="F3979" s="19" t="str">
        <x:v>1</x:v>
      </x:c>
    </x:row>
    <x:row r="3980" ht="93" customHeight="1">
      <x:c r="A3980" s="19" t="n">
        <x:v>3977</x:v>
      </x:c>
      <x:c r="B3980" s="22" t="e">
        <x:f>HYPERLINK("https://cdn.shopify.com/s/files/1/0918/6066/4603/files/65f27c244049691236ff23010dfb0c3c.jpg?v=1772976579","Open")</x:f>
        <x:v>HYPERLINK is not implemented. linkLocation=https://cdn.shopify.com/s/files/1/0918/6066/4603/files/65f27c244049691236ff23010dfb0c3c.jpg?v=1772976579, friendlyName=Open</x:v>
      </x:c>
      <x:c r="C3980" s="24" t="e">
        <x:f>HYPERLINK("https://365nails.com/products/artisan-collection-jewel-stiletto-120pcs-extra-long-stiletto-nail-tips","Artisan Collection: ""Jewel Stiletto"" – 120PCS Extra Long Stiletto Nail Tips")</x:f>
        <x:v>HYPERLINK is not implemented. linkLocation=https://365nails.com/products/artisan-collection-jewel-stiletto-120pcs-extra-long-stiletto-nail-tips, friendlyName=Artisan Collection: "Jewel Stiletto" – 120PCS Extra Long Stiletto Nail Tips</x:v>
      </x:c>
      <x:c r="D3980" s="18" t="str">
        <x:v>Color: 121-ordinary transparent-120 pieces in box / Ys-141 pointed box transparent color 500 pieces / Ys-141 pointed box natural color 500 tablets / Ys-141 pointed bag transparent color 500 pieces / Ys-141 pointed tip natural color nail tips, 500 pieces / Ys-551 boxed transparent color 504 tablets / Ys-551 boxed natural color 504 tablets</x:v>
      </x:c>
      <x:c r="E3980" s="25" t="str">
        <x:v>$2.25–$2.80</x:v>
      </x:c>
      <x:c r="F3980" s="19" t="str">
        <x:v>3</x:v>
      </x:c>
    </x:row>
    <x:row r="3981" ht="93" customHeight="1">
      <x:c r="A3981" s="19" t="n">
        <x:v>3978</x:v>
      </x:c>
      <x:c r="B3981" s="22" t="e">
        <x:f>HYPERLINK("https://cdn.shopify.com/s/files/1/0918/6066/4603/files/O1CN01kWZfhA27ZUlsb0wmP__2220024697811-0-cib.jpg?v=1775110794","Open")</x:f>
        <x:v>HYPERLINK is not implemented. linkLocation=https://cdn.shopify.com/s/files/1/0918/6066/4603/files/O1CN01kWZfhA27ZUlsb0wmP__2220024697811-0-cib.jpg?v=1775110794, friendlyName=Open</x:v>
      </x:c>
      <x:c r="C3981" s="24" t="e">
        <x:f>HYPERLINK("https://365nails.com/products/365nails-ethereal-garden-3d-butterfly-floral-handmade-medium-coffin-nails","365nails: ""Ethereal Garden"" – 3D Butterfly &amp; Floral Handmade Medium Coffin Nails")</x:f>
        <x:v>HYPERLINK is not implemented. linkLocation=https://365nails.com/products/365nails-ethereal-garden-3d-butterfly-floral-handmade-medium-coffin-nails, friendlyName=365nails: "Ethereal Garden" – 3D Butterfly &amp; Floral Handmade Medium Coffin Nails</x:v>
      </x:c>
      <x:c r="D3981" s="18" t="str">
        <x:v>Color: Short almond; Color classification: Xs / S / M / L</x:v>
      </x:c>
      <x:c r="E3981" s="25" t="str">
        <x:v>$5.49</x:v>
      </x:c>
      <x:c r="F3981" s="19" t="str">
        <x:v>3</x:v>
      </x:c>
    </x:row>
    <x:row r="3982" ht="93" customHeight="1">
      <x:c r="A3982" s="19" t="n">
        <x:v>3979</x:v>
      </x:c>
      <x:c r="B3982" s="22" t="e">
        <x:f>HYPERLINK("https://cdn.shopify.com/s/files/1/0918/6066/4603/files/24775df40c5f451c4b447d0ecb879477.jpg?v=1778318812","Open")</x:f>
        <x:v>HYPERLINK is not implemented. linkLocation=https://cdn.shopify.com/s/files/1/0918/6066/4603/files/24775df40c5f451c4b447d0ecb879477.jpg?v=1778318812, friendlyName=Open</x:v>
      </x:c>
      <x:c r="C3982" s="24" t="e">
        <x:f>HYPERLINK("https://365nails.com/products/365nails-gilded-butterfly-3d-crystal-french-tip-handmade-almond-nails","365nails: ""Gilded Butterfly"" – 3D Crystal &amp; French Tip Handmade Almond Nails")</x:f>
        <x:v>HYPERLINK is not implemented. linkLocation=https://365nails.com/products/365nails-gilded-butterfly-3d-crystal-french-tip-handmade-almond-nails, friendlyName=365nails: "Gilded Butterfly" – 3D Crystal &amp; French Tip Handmade Almond Nails</x:v>
      </x:c>
      <x:c r="D3982" s="18" t="str">
        <x:v>Size: XS / S / M / L</x:v>
      </x:c>
      <x:c r="E3982" s="25" t="str">
        <x:v>$2.99</x:v>
      </x:c>
      <x:c r="F3982" s="19" t="str">
        <x:v>5</x:v>
      </x:c>
    </x:row>
    <x:row r="3983" ht="93" customHeight="1">
      <x:c r="A3983" s="19" t="n">
        <x:v>3980</x:v>
      </x:c>
      <x:c r="B3983" s="22" t="e">
        <x:f>HYPERLINK("https://cdn.shopify.com/s/files/1/0918/6066/4603/files/O1CN01RBAU1x2214sKfbveg__2219480337059-0-cib_26317b79-05f9-4d0e-9061-65169030299b.jpg?v=1773192453","Open")</x:f>
        <x:v>HYPERLINK is not implemented. linkLocation=https://cdn.shopify.com/s/files/1/0918/6066/4603/files/O1CN01RBAU1x2214sKfbveg__2219480337059-0-cib_26317b79-05f9-4d0e-9061-65169030299b.jpg?v=1773192453, friendlyName=Open</x:v>
      </x:c>
      <x:c r="C3983" s="24" t="e">
        <x:f>HYPERLINK("https://365nails.com/products/365nails-little-blue-dragon-prince-short-squoval-handmade-kids-press-on-nails","365nails: ""little blue dragon prince"" – short squoval handmade kids press-on nails")</x:f>
        <x:v>HYPERLINK is not implemented. linkLocation=https://365nails.com/products/365nails-little-blue-dragon-prince-short-squoval-handmade-kids-press-on-nails, friendlyName=365nails: "little blue dragon prince" – short squoval handmade kids press-on nails</x:v>
      </x:c>
      <x:c r="D3983" s="18" t="str">
        <x:v>Color: Sparkling diamond ao bing; Color classification: Xs (about 2 years old) / S (3-4 years old) / M (5-7 years old) / L (8-11 years old)</x:v>
      </x:c>
      <x:c r="E3983" s="25" t="str">
        <x:v>$2.99</x:v>
      </x:c>
      <x:c r="F3983" s="19" t="str">
        <x:v>3</x:v>
      </x:c>
    </x:row>
    <x:row r="3984" ht="93" customHeight="1">
      <x:c r="A3984" s="19" t="n">
        <x:v>3981</x:v>
      </x:c>
      <x:c r="B3984" s="22" t="e">
        <x:f>HYPERLINK("https://cdn.shopify.com/s/files/1/0918/6066/4603/files/76de3dbff68dcc3fb2ada6fe8061791f.jpg?v=1773883563","Open")</x:f>
        <x:v>HYPERLINK is not implemented. linkLocation=https://cdn.shopify.com/s/files/1/0918/6066/4603/files/76de3dbff68dcc3fb2ada6fe8061791f.jpg?v=1773883563, friendlyName=Open</x:v>
      </x:c>
      <x:c r="C3984" s="24" t="e">
        <x:f>HYPERLINK("https://365nails.com/products/365nails-apple-red-gradient-handmade-press-on-nails-candy-series-vibrant-gradient-style","365Nails: ""Apple Red Gradient"" – handmade press-on nails (Candy Series/Vibrant Gradient Style)")</x:f>
        <x:v>HYPERLINK is not implemented. linkLocation=https://365nails.com/products/365nails-apple-red-gradient-handmade-press-on-nails-candy-series-vibrant-gradient-style, friendlyName=365Nails: "Apple Red Gradient" – handmade press-on nails (Candy Series/Vibrant Gradient Style)</x:v>
      </x:c>
      <x:c r="D3984" s="18" t="str">
        <x:v>Size: XS / S / M / L</x:v>
      </x:c>
      <x:c r="E3984" s="25" t="str">
        <x:v>$3.99</x:v>
      </x:c>
      <x:c r="F3984" s="19" t="str">
        <x:v>10</x:v>
      </x:c>
    </x:row>
    <x:row r="3985" ht="93" customHeight="1">
      <x:c r="A3985" s="19" t="n">
        <x:v>3982</x:v>
      </x:c>
      <x:c r="B3985" s="22" t="e">
        <x:f>HYPERLINK("https://cdn.shopify.com/s/files/1/0918/6066/4603/files/O1CN01T72SiM27ZUlU9lMMJ__2220024697811-0-cib.jpg?v=1775107476","Open")</x:f>
        <x:v>HYPERLINK is not implemented. linkLocation=https://cdn.shopify.com/s/files/1/0918/6066/4603/files/O1CN01T72SiM27ZUlU9lMMJ__2220024697811-0-cib.jpg?v=1775107476, friendlyName=Open</x:v>
      </x:c>
      <x:c r="C3985" s="24" t="e">
        <x:f>HYPERLINK("https://365nails.com/products/365nails-sweethearts-whimsy-3d-floral-heart-handmade-short-square-nails","365nails: ""Sweetheart's Whimsy"" – 3D Floral &amp; Heart Handmade Short Square Nails")</x:f>
        <x:v>HYPERLINK is not implemented. linkLocation=https://365nails.com/products/365nails-sweethearts-whimsy-3d-floral-heart-handmade-short-square-nails, friendlyName=365nails: "Sweetheart's Whimsy" – 3D Floral &amp; Heart Handmade Short Square Nails</x:v>
      </x:c>
      <x:c r="D3985" s="18" t="str">
        <x:v>Color: Almond; Color classification: Xs / S / M / L</x:v>
      </x:c>
      <x:c r="E3985" s="25" t="str">
        <x:v>$4.49</x:v>
      </x:c>
      <x:c r="F3985" s="19" t="str">
        <x:v>3</x:v>
      </x:c>
    </x:row>
    <x:row r="3986" ht="93" customHeight="1">
      <x:c r="A3986" s="19" t="n">
        <x:v>3983</x:v>
      </x:c>
      <x:c r="B3986" s="22" t="e">
        <x:f>HYPERLINK("https://cdn.shopify.com/s/files/1/0918/6066/4603/files/O1CN01wjkIti1CPwGCgr1hT__2213196780074-0-cib.jpg?v=1776937828","Open")</x:f>
        <x:v>HYPERLINK is not implemented. linkLocation=https://cdn.shopify.com/s/files/1/0918/6066/4603/files/O1CN01wjkIti1CPwGCgr1hT__2213196780074-0-cib.jpg?v=1776937828, friendlyName=Open</x:v>
      </x:c>
      <x:c r="C3986" s="24" t="e">
        <x:f>HYPERLINK("https://365nails.com/products/365nails-silver-seraph-3d-angel-wing-bow-handmade-long-stiletto-nails","365nails: ""Silver Seraph"" – 3D Angel Wing &amp; Bow Handmade Long Stiletto Nails")</x:f>
        <x:v>HYPERLINK is not implemented. linkLocation=https://365nails.com/products/365nails-silver-seraph-3d-angel-wing-bow-handmade-long-stiletto-nails, friendlyName=365nails: "Silver Seraph" – 3D Angel Wing &amp; Bow Handmade Long Stiletto Nails</x:v>
      </x:c>
      <x:c r="D3986" s="18" t="str">
        <x:v>Color: 596 long water drop / 896 short ladder; Color classification: Extra small size xs / Small s / Medium m / Large l</x:v>
      </x:c>
      <x:c r="E3986" s="25" t="str">
        <x:v>$3.99</x:v>
      </x:c>
      <x:c r="F3986" s="19" t="str">
        <x:v>1</x:v>
      </x:c>
    </x:row>
    <x:row r="3987" ht="93" customHeight="1">
      <x:c r="A3987" s="19" t="n">
        <x:v>3984</x:v>
      </x:c>
      <x:c r="B3987" s="22" t="e">
        <x:f>HYPERLINK("https://cdn.shopify.com/s/files/1/0918/6066/4603/files/8fadada6532bb41ce286e8b24a8b4e38.jpg?v=1776307673","Open")</x:f>
        <x:v>HYPERLINK is not implemented. linkLocation=https://cdn.shopify.com/s/files/1/0918/6066/4603/files/8fadada6532bb41ce286e8b24a8b4e38.jpg?v=1776307673, friendlyName=Open</x:v>
      </x:c>
      <x:c r="C3987" s="24" t="e">
        <x:f>HYPERLINK("https://365nails.com/products/365nails-hello-kitty-candyland-3d-character-handcrafted-sweet-short-square-nails","365nails: ""Hello Kitty Candyland"" – 3D Character Handcrafted Sweet Short Square Nails")</x:f>
        <x:v>HYPERLINK is not implemented. linkLocation=https://365nails.com/products/365nails-hello-kitty-candyland-3d-character-handcrafted-sweet-short-square-nails, friendlyName=365nails: "Hello Kitty Candyland" – 3D Character Handcrafted Sweet Short Square Nails</x:v>
      </x:c>
      <x:c r="D3987" s="18" t="str">
        <x:v>Size: XS / S / M / L</x:v>
      </x:c>
      <x:c r="E3987" s="25" t="str">
        <x:v>$2.49</x:v>
      </x:c>
      <x:c r="F3987" s="19" t="str">
        <x:v>3</x:v>
      </x:c>
    </x:row>
    <x:row r="3988" ht="93" customHeight="1">
      <x:c r="A3988" s="19" t="n">
        <x:v>3985</x:v>
      </x:c>
      <x:c r="B3988" s="22" t="e">
        <x:f>HYPERLINK("https://cdn.shopify.com/s/files/1/0918/6066/4603/files/d004f7ece8259584713612ab66dc6be5.jpg?v=1778245049","Open")</x:f>
        <x:v>HYPERLINK is not implemented. linkLocation=https://cdn.shopify.com/s/files/1/0918/6066/4603/files/d004f7ece8259584713612ab66dc6be5.jpg?v=1778245049, friendlyName=Open</x:v>
      </x:c>
      <x:c r="C3988" s="24" t="e">
        <x:f>HYPERLINK("https://365nails.com/products/365nails-rose-garden-3d-floral-french-tip-handmade-coffin-nails","365nails: ""Rose Garden"" – 3D Floral &amp; French Tip Handmade Coffin Nails")</x:f>
        <x:v>HYPERLINK is not implemented. linkLocation=https://365nails.com/products/365nails-rose-garden-3d-floral-french-tip-handmade-coffin-nails, friendlyName=365nails: "Rose Garden" – 3D Floral &amp; French Tip Handmade Coffin Nails</x:v>
      </x:c>
      <x:c r="D3988" s="18" t="str">
        <x:v>Size: XS / S / M / L</x:v>
      </x:c>
      <x:c r="E3988" s="25" t="str">
        <x:v>$3.99</x:v>
      </x:c>
      <x:c r="F3988" s="19" t="str">
        <x:v>5</x:v>
      </x:c>
    </x:row>
    <x:row r="3989" ht="93" customHeight="1">
      <x:c r="A3989" s="19" t="n">
        <x:v>3986</x:v>
      </x:c>
      <x:c r="B3989" s="22" t="e">
        <x:f>HYPERLINK("https://cdn.shopify.com/s/files/1/0918/6066/4603/files/6223b41a108fab74a1c9b45135a612e8.jpg?v=1773901494","Open")</x:f>
        <x:v>HYPERLINK is not implemented. linkLocation=https://cdn.shopify.com/s/files/1/0918/6066/4603/files/6223b41a108fab74a1c9b45135a612e8.jpg?v=1773901494, friendlyName=Open</x:v>
      </x:c>
      <x:c r="C3989" s="24" t="e">
        <x:f>HYPERLINK("https://365nails.com/products/365nails-glacier-silver-ray-cat-eye-handmade-press-on-nails-futuristic-tech-street-cool","365Nails: ""Glacier Silver Ray Cat-Eye"" – handmade press-on nails (Futuristic Tech/Street Cool)")</x:f>
        <x:v>HYPERLINK is not implemented. linkLocation=https://365nails.com/products/365nails-glacier-silver-ray-cat-eye-handmade-press-on-nails-futuristic-tech-street-cool, friendlyName=365Nails: "Glacier Silver Ray Cat-Eye" – handmade press-on nails (Futuristic Tech/Street Cool)</x:v>
      </x:c>
      <x:c r="D3989" s="18" t="str">
        <x:v>Size: XS / S / M / L</x:v>
      </x:c>
      <x:c r="E3989" s="25" t="str">
        <x:v>$3.99</x:v>
      </x:c>
      <x:c r="F3989" s="19" t="str">
        <x:v>5</x:v>
      </x:c>
    </x:row>
    <x:row r="3990" ht="93" customHeight="1">
      <x:c r="A3990" s="19" t="n">
        <x:v>3987</x:v>
      </x:c>
      <x:c r="B3990" s="22" t="e">
        <x:f>HYPERLINK("https://cdn.shopify.com/s/files/1/0918/6066/4603/files/0b144d4a0ba502f9365275c1c14565ff.jpg?v=1778242550","Open")</x:f>
        <x:v>HYPERLINK is not implemented. linkLocation=https://cdn.shopify.com/s/files/1/0918/6066/4603/files/0b144d4a0ba502f9365275c1c14565ff.jpg?v=1778242550, friendlyName=Open</x:v>
      </x:c>
      <x:c r="C3990" s="24" t="e">
        <x:f>HYPERLINK("https://365nails.com/products/365nails-fuchsia-stardust-3d-butterfly-rhinestone-handmade-long-almond-nails","365nails: ""Fuchsia Stardust"" – 3D Butterfly &amp; Rhinestone Handmade Long Almond Nails")</x:f>
        <x:v>HYPERLINK is not implemented. linkLocation=https://365nails.com/products/365nails-fuchsia-stardust-3d-butterfly-rhinestone-handmade-long-almond-nails, friendlyName=365nails: "Fuchsia Stardust" – 3D Butterfly &amp; Rhinestone Handmade Long Almond Nails</x:v>
      </x:c>
      <x:c r="D3990" s="18" t="str">
        <x:v>Size: XS / S / M / L</x:v>
      </x:c>
      <x:c r="E3990" s="25" t="str">
        <x:v>$4.99</x:v>
      </x:c>
      <x:c r="F3990" s="19" t="str">
        <x:v>5</x:v>
      </x:c>
    </x:row>
    <x:row r="3991" ht="93" customHeight="1">
      <x:c r="A3991" s="19" t="n">
        <x:v>3988</x:v>
      </x:c>
      <x:c r="B3991" s="22" t="e">
        <x:f>HYPERLINK("https://cdn.shopify.com/s/files/1/0918/6066/4603/files/O1CN01D8yDMk1CPwPkwgIPm__2213196780074-0-cib.jpg?v=1776770660","Open")</x:f>
        <x:v>HYPERLINK is not implemented. linkLocation=https://cdn.shopify.com/s/files/1/0918/6066/4603/files/O1CN01D8yDMk1CPwPkwgIPm__2213196780074-0-cib.jpg?v=1776770660, friendlyName=Open</x:v>
      </x:c>
      <x:c r="C3991" s="24" t="e">
        <x:f>HYPERLINK("https://365nails.com/products/yihe-original-beihai-aurora-cross-border-nail-art-autumn-and-winter-ocean-wave-blue-cat-eye-short-handmade-wearable-nails","365nails: ""Midnight Ocean"" – Hand-Painted Jellyfish Cat-Eye Short Square Nails")</x:f>
        <x:v>HYPERLINK is not implemented. linkLocation=https://365nails.com/products/yihe-original-beihai-aurora-cross-border-nail-art-autumn-and-winter-ocean-wave-blue-cat-eye-short-handmade-wearable-nails, friendlyName=365nails: "Midnight Ocean" – Hand-Painted Jellyfish Cat-Eye Short Square Nails</x:v>
      </x:c>
      <x:c r="D3991" s="18" t="str">
        <x:v>Color: Extra small size xs / Small s / Medium m / Large l; Specification type: 777-super short ladder</x:v>
      </x:c>
      <x:c r="E3991" s="25" t="str">
        <x:v>$3.49</x:v>
      </x:c>
      <x:c r="F3991" s="19" t="str">
        <x:v>1</x:v>
      </x:c>
    </x:row>
    <x:row r="3992" ht="93" customHeight="1">
      <x:c r="A3992" s="19" t="n">
        <x:v>3989</x:v>
      </x:c>
      <x:c r="B3992" s="22" t="e">
        <x:f>HYPERLINK("https://cdn.shopify.com/s/files/1/0918/6066/4603/files/ee6ec274e3c11416043a2fc9dc627803.jpg?v=1777726633","Open")</x:f>
        <x:v>HYPERLINK is not implemented. linkLocation=https://cdn.shopify.com/s/files/1/0918/6066/4603/files/ee6ec274e3c11416043a2fc9dc627803.jpg?v=1777726633, friendlyName=Open</x:v>
      </x:c>
      <x:c r="C3992" s="24" t="e">
        <x:f>HYPERLINK("https://365nails.com/products/365nails-golden-opulence-3d-crystal-rhinestone-handmade-almond-nails","365nails: ""Golden Opulence"" – 3D Crystal &amp; Rhinestone Handmade Almond Nails")</x:f>
        <x:v>HYPERLINK is not implemented. linkLocation=https://365nails.com/products/365nails-golden-opulence-3d-crystal-rhinestone-handmade-almond-nails, friendlyName=365nails: "Golden Opulence" – 3D Crystal &amp; Rhinestone Handmade Almond Nails</x:v>
      </x:c>
      <x:c r="D3992" s="18" t="str">
        <x:v>Size: XS / S / M / L</x:v>
      </x:c>
      <x:c r="E3992" s="25" t="str">
        <x:v>$5.99</x:v>
      </x:c>
      <x:c r="F3992" s="19" t="str">
        <x:v>5</x:v>
      </x:c>
    </x:row>
    <x:row r="3993" ht="93" customHeight="1">
      <x:c r="A3993" s="19" t="n">
        <x:v>3990</x:v>
      </x:c>
      <x:c r="B3993" s="22" t="e">
        <x:f>HYPERLINK("https://cdn.shopify.com/s/files/1/0918/6066/4603/files/O1CN01XcrsZR27ZUlnuARbt__2220024697811-0-cib.jpg?v=1774864810","Open")</x:f>
        <x:v>HYPERLINK is not implemented. linkLocation=https://cdn.shopify.com/s/files/1/0918/6066/4603/files/O1CN01XcrsZR27ZUlnuARbt__2220024697811-0-cib.jpg?v=1774864810, friendlyName=Open</x:v>
      </x:c>
      <x:c r="C3993" s="24" t="e">
        <x:f>HYPERLINK("https://365nails.com/products/365nails-ocean-whisper-handmade-3d-shell-floral-stiletto-nails","365nails: ""Ocean Whisper"" – Handmade 3D Shell &amp; Floral Stiletto Nails")</x:f>
        <x:v>HYPERLINK is not implemented. linkLocation=https://365nails.com/products/365nails-ocean-whisper-handmade-3d-shell-floral-stiletto-nails, friendlyName=365nails: "Ocean Whisper" – Handmade 3D Shell &amp; Floral Stiletto Nails</x:v>
      </x:c>
      <x:c r="D3993" s="18" t="str">
        <x:v>Color: Almond; Color classification: Xs / S / M / L</x:v>
      </x:c>
      <x:c r="E3993" s="25" t="str">
        <x:v>$4.49</x:v>
      </x:c>
      <x:c r="F3993" s="19" t="str">
        <x:v>3</x:v>
      </x:c>
    </x:row>
    <x:row r="3994" ht="93" customHeight="1">
      <x:c r="A3994" s="19" t="n">
        <x:v>3991</x:v>
      </x:c>
      <x:c r="B3994" s="22" t="e">
        <x:f>HYPERLINK("https://cdn.shopify.com/s/files/1/0918/6066/4603/files/O1CN01rPg4dZ2MQzfT1dgz5__2219089449823-0-cib.jpg?v=1774258024","Open")</x:f>
        <x:v>HYPERLINK is not implemented. linkLocation=https://cdn.shopify.com/s/files/1/0918/6066/4603/files/O1CN01rPg4dZ2MQzfT1dgz5__2219089449823-0-cib.jpg?v=1774258024, friendlyName=Open</x:v>
      </x:c>
      <x:c r="C3994" s="24" t="e">
        <x:f>HYPERLINK("https://365nails.com/products/lucky-lion-dance-red-prosperity-bow-square-shape-handmade-press-on-nails","Lucky Lion Dance: ""Red Prosperity Bow"" – Square Shape Handmade Press-On Nails")</x:f>
        <x:v>HYPERLINK is not implemented. linkLocation=https://365nails.com/products/lucky-lion-dance-red-prosperity-bow-square-shape-handmade-press-on-nails, friendlyName=Lucky Lion Dance: "Red Prosperity Bow" – Square Shape Handmade Press-On Nails</x:v>
      </x:c>
      <x:c r="D3994" s="18" t="str">
        <x:v>Color: (f65) red lion fu yun - new short square; Color classification: X s / S / M / L</x:v>
      </x:c>
      <x:c r="E3994" s="25" t="str">
        <x:v>$3.49</x:v>
      </x:c>
      <x:c r="F3994" s="19" t="str">
        <x:v>1</x:v>
      </x:c>
    </x:row>
    <x:row r="3995" ht="93" customHeight="1">
      <x:c r="A3995" s="19" t="n">
        <x:v>3992</x:v>
      </x:c>
      <x:c r="B3995" s="22" t="e">
        <x:f>HYPERLINK("https://cdn.shopify.com/s/files/1/0918/6066/4603/files/O1CN01uFbxKg2MQzdmLCP31__2219089449823-0-cib.jpg?v=1774348945","Open")</x:f>
        <x:v>HYPERLINK is not implemented. linkLocation=https://cdn.shopify.com/s/files/1/0918/6066/4603/files/O1CN01uFbxKg2MQzdmLCP31__2219089449823-0-cib.jpg?v=1774348945, friendlyName=Open</x:v>
      </x:c>
      <x:c r="C3995" s="24" t="e">
        <x:f>HYPERLINK("https://365nails.com/products/gothic-glam-silver-heart-noir-long-almond-silver-black-heart-handmade-press-on","Gothic Glam: ""Silver Heart Noir"" – Long Almond Silver &amp; Black Heart Handmade Press-On")</x:f>
        <x:v>HYPERLINK is not implemented. linkLocation=https://365nails.com/products/gothic-glam-silver-heart-noir-long-almond-silver-black-heart-handmade-press-on, friendlyName=Gothic Glam: "Silver Heart Noir" – Long Almond Silver &amp; Black Heart Handmade Press-On</x:v>
      </x:c>
      <x:c r="D3995" s="18" t="str">
        <x:v>Color: K013; Color classification: X s / S / M / L</x:v>
      </x:c>
      <x:c r="E3995" s="25" t="str">
        <x:v>$3.69</x:v>
      </x:c>
      <x:c r="F3995" s="19" t="str">
        <x:v>1</x:v>
      </x:c>
    </x:row>
    <x:row r="3996" ht="93" customHeight="1">
      <x:c r="A3996" s="19" t="n">
        <x:v>3993</x:v>
      </x:c>
      <x:c r="B3996" s="22" t="e">
        <x:f>HYPERLINK("https://cdn.shopify.com/s/files/1/0918/6066/4603/files/O1CN01S0vWxQ1CPwJbymbm9__2213196780074-0-cib.jpg?v=1775915584","Open")</x:f>
        <x:v>HYPERLINK is not implemented. linkLocation=https://cdn.shopify.com/s/files/1/0918/6066/4603/files/O1CN01S0vWxQ1CPwJbymbm9__2213196780074-0-cib.jpg?v=1775915584, friendlyName=Open</x:v>
      </x:c>
      <x:c r="C3996" s="24" t="e">
        <x:f>HYPERLINK("https://365nails.com/products/365nails-celestial-whispers-3d-butterfly-handmade-long-almond-nails","365nails: ""Celestial Whispers"" – 3D Butterfly Handmade Long Almond Nails")</x:f>
        <x:v>HYPERLINK is not implemented. linkLocation=https://365nails.com/products/365nails-celestial-whispers-3d-butterfly-handmade-long-almond-nails, friendlyName=365nails: "Celestial Whispers" – 3D Butterfly Handmade Long Almond Nails</x:v>
      </x:c>
      <x:c r="D3996" s="18" t="str">
        <x:v>Color: Extra small size xs / Small s / Medium m / Large l; Specification type: 2296 medium oval</x:v>
      </x:c>
      <x:c r="E3996" s="25" t="str">
        <x:v>$3.49</x:v>
      </x:c>
      <x:c r="F3996" s="19" t="str">
        <x:v>3</x:v>
      </x:c>
    </x:row>
    <x:row r="3997" ht="93" customHeight="1">
      <x:c r="A3997" s="19" t="n">
        <x:v>3994</x:v>
      </x:c>
      <x:c r="B3997" s="22" t="e">
        <x:f>HYPERLINK("https://cdn.shopify.com/s/files/1/0918/6066/4603/files/7a7b7a3f3d7408a2f020ad6c6d2446ba.jpg?v=1778317414","Open")</x:f>
        <x:v>HYPERLINK is not implemented. linkLocation=https://cdn.shopify.com/s/files/1/0918/6066/4603/files/7a7b7a3f3d7408a2f020ad6c6d2446ba.jpg?v=1778317414, friendlyName=Open</x:v>
      </x:c>
      <x:c r="C3997" s="24" t="e">
        <x:f>HYPERLINK("https://365nails.com/products/365nails-retro-bloom-3d-floral-butterfly-handmade-square-nails","365nails: ""Retro Bloom"" – 3D Floral &amp; Butterfly Handmade Square Nails")</x:f>
        <x:v>HYPERLINK is not implemented. linkLocation=https://365nails.com/products/365nails-retro-bloom-3d-floral-butterfly-handmade-square-nails, friendlyName=365nails: "Retro Bloom" – 3D Floral &amp; Butterfly Handmade Square Nails</x:v>
      </x:c>
      <x:c r="D3997" s="18" t="str">
        <x:v>Size: XS / S / M / L</x:v>
      </x:c>
      <x:c r="E3997" s="25" t="str">
        <x:v>$3.99</x:v>
      </x:c>
      <x:c r="F3997" s="19" t="str">
        <x:v>5</x:v>
      </x:c>
    </x:row>
    <x:row r="3998" ht="93" customHeight="1">
      <x:c r="A3998" s="19" t="n">
        <x:v>3995</x:v>
      </x:c>
      <x:c r="B3998" s="22" t="e">
        <x:f>HYPERLINK("https://cdn.shopify.com/s/files/1/0918/6066/4603/files/O1CN01n3v1IJ2MQzfvQ1EEk__2219089449823-0-cib.jpg?v=1774275842","Open")</x:f>
        <x:v>HYPERLINK is not implemented. linkLocation=https://cdn.shopify.com/s/files/1/0918/6066/4603/files/O1CN01n3v1IJ2MQzfvQ1EEk__2219089449823-0-cib.jpg?v=1774275842, friendlyName=Open</x:v>
      </x:c>
      <x:c r="C3998" s="24" t="e">
        <x:f>HYPERLINK("https://365nails.com/products/sakura-edge-bloody-sakura-long-almond-press-on-nails","Sakura Edge: ""Bloody Sakura"" – Long Almond Press-On Nails")</x:f>
        <x:v>HYPERLINK is not implemented. linkLocation=https://365nails.com/products/sakura-edge-bloody-sakura-long-almond-press-on-nails, friendlyName=Sakura Edge: "Bloody Sakura" – Long Almond Press-On Nails</x:v>
      </x:c>
      <x:c r="D3998" s="18" t="str">
        <x:v>Color: D259; Color classification: X s / S / M / L</x:v>
      </x:c>
      <x:c r="E3998" s="25" t="str">
        <x:v>$3.99</x:v>
      </x:c>
      <x:c r="F3998" s="19" t="str">
        <x:v>1</x:v>
      </x:c>
    </x:row>
    <x:row r="3999" ht="93" customHeight="1">
      <x:c r="A3999" s="19" t="n">
        <x:v>3996</x:v>
      </x:c>
      <x:c r="B3999" s="22" t="e">
        <x:f>HYPERLINK("https://cdn.shopify.com/s/files/1/0918/6066/4603/files/a67314ccd2906b04ab62612c5a7903c8.jpg?v=1776244960","Open")</x:f>
        <x:v>HYPERLINK is not implemented. linkLocation=https://cdn.shopify.com/s/files/1/0918/6066/4603/files/a67314ccd2906b04ab62612c5a7903c8.jpg?v=1776244960, friendlyName=Open</x:v>
      </x:c>
      <x:c r="C3999" s="24" t="e">
        <x:f>HYPERLINK("https://365nails.com/products/365nails-kittys-pink-paw-3d-character-handmade-short-nails","365nails: ""Kitty's Pink Paw"" – 3D Character Handmade Short Nails")</x:f>
        <x:v>HYPERLINK is not implemented. linkLocation=https://365nails.com/products/365nails-kittys-pink-paw-3d-character-handmade-short-nails, friendlyName=365nails: "Kitty's Pink Paw" – 3D Character Handmade Short Nails</x:v>
      </x:c>
      <x:c r="D3999" s="18" t="str">
        <x:v>Size: XS / S / M / L</x:v>
      </x:c>
      <x:c r="E3999" s="25" t="str">
        <x:v>$2.49</x:v>
      </x:c>
      <x:c r="F3999" s="19" t="str">
        <x:v>3</x:v>
      </x:c>
    </x:row>
    <x:row r="4000" ht="93" customHeight="1">
      <x:c r="A4000" s="19" t="n">
        <x:v>3997</x:v>
      </x:c>
      <x:c r="B4000" s="22" t="e">
        <x:f>HYPERLINK("https://cdn.shopify.com/s/files/1/0918/6066/4603/files/O1CN01CEoRya2MQzctmSThg__2219089449823-0-cib.jpg?v=1774349120","Open")</x:f>
        <x:v>HYPERLINK is not implemented. linkLocation=https://cdn.shopify.com/s/files/1/0918/6066/4603/files/O1CN01CEoRya2MQzctmSThg__2219089449823-0-cib.jpg?v=1774349120, friendlyName=Open</x:v>
      </x:c>
      <x:c r="C4000" s="24" t="e">
        <x:f>HYPERLINK("https://365nails.com/products/365nails-deep-sea-jellyfish-medium-almond-blue-marine-handmade-press-on-nails","365nails: ""Deep Sea Jellyfish"" – Medium Almond Blue Marine Handmade Press-On Nails")</x:f>
        <x:v>HYPERLINK is not implemented. linkLocation=https://365nails.com/products/365nails-deep-sea-jellyfish-medium-almond-blue-marine-handmade-press-on-nails, friendlyName=365nails: "Deep Sea Jellyfish" – Medium Almond Blue Marine Handmade Press-On Nails</x:v>
      </x:c>
      <x:c r="D4000" s="18" t="str">
        <x:v>Color: E20; Color classification: X s / S / M / L</x:v>
      </x:c>
      <x:c r="E4000" s="25" t="str">
        <x:v>$3.99</x:v>
      </x:c>
      <x:c r="F4000" s="19" t="str">
        <x:v>1</x:v>
      </x:c>
    </x:row>
    <x:row r="4001" ht="93" customHeight="1">
      <x:c r="A4001" s="19" t="n">
        <x:v>3998</x:v>
      </x:c>
      <x:c r="B4001" s="22" t="e">
        <x:f>HYPERLINK("https://cdn.shopify.com/s/files/1/0918/6066/4603/files/O1CN01Jh5Xl21bAhe6XcBdA__2216807853425-0-cib.jpg?v=1772373463","Open")</x:f>
        <x:v>HYPERLINK is not implemented. linkLocation=https://cdn.shopify.com/s/files/1/0918/6066/4603/files/O1CN01Jh5Xl21bAhe6XcBdA__2216807853425-0-cib.jpg?v=1772373463, friendlyName=Open</x:v>
      </x:c>
      <x:c r="C4001" s="24" t="e">
        <x:f>HYPERLINK("https://365nails.com/products/miu-girl-collection-miu-girl-glitter-short-square-press-on-nails","Miu Girl Collection: ""Miu Girl Glitter"" – Short Square Press-On Nails")</x:f>
        <x:v>HYPERLINK is not implemented. linkLocation=https://365nails.com/products/miu-girl-collection-miu-girl-glitter-short-square-press-on-nails, friendlyName=Miu Girl Collection: "Miu Girl Glitter" – Short Square Press-On Nails</x:v>
      </x:c>
      <x:c r="D4001" s="18" t="str">
        <x:v>Color: Miu girl; Color classification: 30 pieces (xs+s+m) one piece</x:v>
      </x:c>
      <x:c r="E4001" s="25" t="str">
        <x:v>$1.46</x:v>
      </x:c>
      <x:c r="F4001" s="19" t="str">
        <x:v>1</x:v>
      </x:c>
    </x:row>
    <x:row r="4002" ht="93" customHeight="1">
      <x:c r="A4002" s="19" t="n">
        <x:v>3999</x:v>
      </x:c>
      <x:c r="B4002" s="22" t="e">
        <x:f>HYPERLINK("https://cdn.shopify.com/s/files/1/0918/6066/4603/files/O1CN01uOMMvU2MQzedDZoSf__2219089449823-0-cib.jpg?v=1774178707","Open")</x:f>
        <x:v>HYPERLINK is not implemented. linkLocation=https://cdn.shopify.com/s/files/1/0918/6066/4603/files/O1CN01uOMMvU2MQzedDZoSf__2219089449823-0-cib.jpg?v=1774178707, friendlyName=Open</x:v>
      </x:c>
      <x:c r="C4002" s="24" t="e">
        <x:f>HYPERLINK("https://365nails.com/products/crystal-galaxy-aurora-blaze-almond-shape-full-rhinestone-handmade-press-on-nails","Crystal Galaxy: ""Aurora Blaze"" – Almond Shape Full Rhinestone Handmade Press On Nails")</x:f>
        <x:v>HYPERLINK is not implemented. linkLocation=https://365nails.com/products/crystal-galaxy-aurora-blaze-almond-shape-full-rhinestone-handmade-press-on-nails, friendlyName=Crystal Galaxy: "Aurora Blaze" – Almond Shape Full Rhinestone Handmade Press On Nails</x:v>
      </x:c>
      <x:c r="D4002" s="18" t="str">
        <x:v>Color: M005; Color classification: S / M / L</x:v>
      </x:c>
      <x:c r="E4002" s="25" t="str">
        <x:v>$4.99</x:v>
      </x:c>
      <x:c r="F4002" s="19" t="str">
        <x:v>1</x:v>
      </x:c>
    </x:row>
    <x:row r="4003" ht="93" customHeight="1">
      <x:c r="A4003" s="19" t="n">
        <x:v>4000</x:v>
      </x:c>
      <x:c r="B4003" s="22" t="e">
        <x:f>HYPERLINK("https://cdn.shopify.com/s/files/1/0918/6066/4603/files/O1CN01hIxDxc2MQzcU60nBS__2219089449823-0-cib.jpg?v=1774349073","Open")</x:f>
        <x:v>HYPERLINK is not implemented. linkLocation=https://cdn.shopify.com/s/files/1/0918/6066/4603/files/O1CN01hIxDxc2MQzcU60nBS__2219089449823-0-cib.jpg?v=1774349073, friendlyName=Open</x:v>
      </x:c>
      <x:c r="C4003" s="24" t="e">
        <x:f>HYPERLINK("https://365nails.com/products/365nails-strawberry-floral-pop-medium-almond-red-yellow-fruit-floral-handmade-press-on-nails","365nails: ""Strawberry Floral Pop"" – Medium Almond Red-Yellow Fruit Floral Handmade Press-On Nails")</x:f>
        <x:v>HYPERLINK is not implemented. linkLocation=https://365nails.com/products/365nails-strawberry-floral-pop-medium-almond-red-yellow-fruit-floral-handmade-press-on-nails, friendlyName=365nails: "Strawberry Floral Pop" – Medium Almond Red-Yellow Fruit Floral Handmade Press-On Nails</x:v>
      </x:c>
      <x:c r="D4003" s="18" t="str">
        <x:v>Color: D305; Color classification: X s / S / M / L</x:v>
      </x:c>
      <x:c r="E4003" s="25" t="str">
        <x:v>$3.49</x:v>
      </x:c>
      <x:c r="F4003" s="19" t="str">
        <x:v>1</x:v>
      </x:c>
    </x:row>
    <x:row r="4004" ht="93" customHeight="1">
      <x:c r="A4004" s="19" t="n">
        <x:v>4001</x:v>
      </x:c>
      <x:c r="B4004" s="22" t="e">
        <x:f>HYPERLINK("https://cdn.shopify.com/s/files/1/0918/6066/4603/files/43ecc94449a5a5e1e1975bf28f46e1d4.jpg?v=1778242768","Open")</x:f>
        <x:v>HYPERLINK is not implemented. linkLocation=https://cdn.shopify.com/s/files/1/0918/6066/4603/files/43ecc94449a5a5e1e1975bf28f46e1d4.jpg?v=1778242768, friendlyName=Open</x:v>
      </x:c>
      <x:c r="C4004" s="24" t="e">
        <x:f>HYPERLINK("https://365nails.com/products/365nails-midnight-galaxy-crystal-starlight-handmade-long-stiletto-nails","365nails: ""Midnight Galaxy"" – Crystal &amp; Starlight Handmade Long Stiletto Nails")</x:f>
        <x:v>HYPERLINK is not implemented. linkLocation=https://365nails.com/products/365nails-midnight-galaxy-crystal-starlight-handmade-long-stiletto-nails, friendlyName=365nails: "Midnight Galaxy" – Crystal &amp; Starlight Handmade Long Stiletto Nails</x:v>
      </x:c>
      <x:c r="D4004" s="18" t="str">
        <x:v>Size: XS / S / M / L</x:v>
      </x:c>
      <x:c r="E4004" s="25" t="str">
        <x:v>$3.99</x:v>
      </x:c>
      <x:c r="F4004" s="19" t="str">
        <x:v>5</x:v>
      </x:c>
    </x:row>
    <x:row r="4005" ht="93" customHeight="1">
      <x:c r="A4005" s="19" t="n">
        <x:v>4002</x:v>
      </x:c>
      <x:c r="B4005" s="22" t="e">
        <x:f>HYPERLINK("https://cdn.shopify.com/s/files/1/0918/6066/4603/files/813b36af1adcb19d0088ff25c5cba036.jpg?v=1775907786","Open")</x:f>
        <x:v>HYPERLINK is not implemented. linkLocation=https://cdn.shopify.com/s/files/1/0918/6066/4603/files/813b36af1adcb19d0088ff25c5cba036.jpg?v=1775907786, friendlyName=Open</x:v>
      </x:c>
      <x:c r="C4005" s="24" t="e">
        <x:f>HYPERLINK("https://365nails.com/products/365nails-tropical-bloom-3d-floral-handmade-coffin-nails","365nails: ""Tropical Bloom"" – 3D Floral Handmade Coffin Nails")</x:f>
        <x:v>HYPERLINK is not implemented. linkLocation=https://365nails.com/products/365nails-tropical-bloom-3d-floral-handmade-coffin-nails, friendlyName=365nails: "Tropical Bloom" – 3D Floral Handmade Coffin Nails</x:v>
      </x:c>
      <x:c r="D4005" s="18" t="str">
        <x:v>Size: XS / S / M / L</x:v>
      </x:c>
      <x:c r="E4005" s="25" t="str">
        <x:v>$3.99</x:v>
      </x:c>
      <x:c r="F4005" s="19" t="str">
        <x:v>5</x:v>
      </x:c>
    </x:row>
    <x:row r="4006" ht="93" customHeight="1">
      <x:c r="A4006" s="19" t="n">
        <x:v>4003</x:v>
      </x:c>
      <x:c r="B4006" s="22" t="e">
        <x:f>HYPERLINK("https://cdn.shopify.com/s/files/1/0918/6066/4603/files/O1CN01RZjU4G2MQzchN0jxN__2219089449823-0-cib.jpg?v=1774349106","Open")</x:f>
        <x:v>HYPERLINK is not implemented. linkLocation=https://cdn.shopify.com/s/files/1/0918/6066/4603/files/O1CN01RZjU4G2MQzchN0jxN__2219089449823-0-cib.jpg?v=1774349106, friendlyName=Open</x:v>
      </x:c>
      <x:c r="C4006" s="24" t="e">
        <x:f>HYPERLINK("https://365nails.com/products/365nails-beach-starfish-plumeria-medium-almond-marine-floral-handmade-press-on-nails","365nails: ""Beach Starfish Plumeria"" – Medium Almond Marine Floral Handmade Press-On Nails")</x:f>
        <x:v>HYPERLINK is not implemented. linkLocation=https://365nails.com/products/365nails-beach-starfish-plumeria-medium-almond-marine-floral-handmade-press-on-nails, friendlyName=365nails: "Beach Starfish Plumeria" – Medium Almond Marine Floral Handmade Press-On Nails</x:v>
      </x:c>
      <x:c r="D4006" s="18" t="str">
        <x:v>Color: D381; Color classification: X s / S / M / L</x:v>
      </x:c>
      <x:c r="E4006" s="25" t="str">
        <x:v>$3.99</x:v>
      </x:c>
      <x:c r="F4006" s="19" t="str">
        <x:v>1</x:v>
      </x:c>
    </x:row>
    <x:row r="4007" ht="93" customHeight="1">
      <x:c r="A4007" s="19" t="n">
        <x:v>4004</x:v>
      </x:c>
      <x:c r="B4007" s="22" t="e">
        <x:f>HYPERLINK("https://cdn.shopify.com/s/files/1/0918/6066/4603/files/O1CN01H2BrqM2MQzfyyDtR6__2219089449823-0-cib.jpg?v=1774348965","Open")</x:f>
        <x:v>HYPERLINK is not implemented. linkLocation=https://cdn.shopify.com/s/files/1/0918/6066/4603/files/O1CN01H2BrqM2MQzfyyDtR6__2219089449823-0-cib.jpg?v=1774348965, friendlyName=Open</x:v>
      </x:c>
      <x:c r="C4007" s="24" t="e">
        <x:f>HYPERLINK("https://365nails.com/products/365nails-seaside-breeze-long-almond-pastel-gradient-handmade-press-on-nails","365nails: ""Seaside Breeze"" – Long Almond Pastel Gradient Handmade Press-On Nails")</x:f>
        <x:v>HYPERLINK is not implemented. linkLocation=https://365nails.com/products/365nails-seaside-breeze-long-almond-pastel-gradient-handmade-press-on-nails, friendlyName=365nails: "Seaside Breeze" – Long Almond Pastel Gradient Handmade Press-On Nails</x:v>
      </x:c>
      <x:c r="D4007" s="18" t="str">
        <x:v>Color: D266; Color classification: X s / S / M / L</x:v>
      </x:c>
      <x:c r="E4007" s="25" t="str">
        <x:v>$3.49</x:v>
      </x:c>
      <x:c r="F4007" s="19" t="str">
        <x:v>1</x:v>
      </x:c>
    </x:row>
    <x:row r="4008" ht="93" customHeight="1">
      <x:c r="A4008" s="19" t="n">
        <x:v>4005</x:v>
      </x:c>
      <x:c r="B4008" s="22" t="e">
        <x:f>HYPERLINK("https://cdn.shopify.com/s/files/1/0918/6066/4603/files/84cb2b9595f6f6d2da918e77a11c2177.jpg?v=1776214609","Open")</x:f>
        <x:v>HYPERLINK is not implemented. linkLocation=https://cdn.shopify.com/s/files/1/0918/6066/4603/files/84cb2b9595f6f6d2da918e77a11c2177.jpg?v=1776214609, friendlyName=Open</x:v>
      </x:c>
      <x:c r="C4008" s="24" t="e">
        <x:f>HYPERLINK("https://365nails.com/products/365nails-lunar-lion-dance-3d-cultural-handcrafted-festive-short-square-nails","365nails: ""Lunar Lion Dance"" – 3D Cultural Handcrafted Festive Short Square Nails")</x:f>
        <x:v>HYPERLINK is not implemented. linkLocation=https://365nails.com/products/365nails-lunar-lion-dance-3d-cultural-handcrafted-festive-short-square-nails, friendlyName=365nails: "Lunar Lion Dance" – 3D Cultural Handcrafted Festive Short Square Nails</x:v>
      </x:c>
      <x:c r="D4008" s="18" t="str">
        <x:v>Size: XS / S / M / L</x:v>
      </x:c>
      <x:c r="E4008" s="25" t="str">
        <x:v>$2.99</x:v>
      </x:c>
      <x:c r="F4008" s="19" t="str">
        <x:v>3</x:v>
      </x:c>
    </x:row>
    <x:row r="4009" ht="93" customHeight="1">
      <x:c r="A4009" s="19" t="n">
        <x:v>4006</x:v>
      </x:c>
      <x:c r="B4009" s="22" t="e">
        <x:f>HYPERLINK("https://cdn.shopify.com/s/files/1/0918/6066/4603/files/2a248532d44f55912a99b58f41ca4809.jpg?v=1778317554","Open")</x:f>
        <x:v>HYPERLINK is not implemented. linkLocation=https://cdn.shopify.com/s/files/1/0918/6066/4603/files/2a248532d44f55912a99b58f41ca4809.jpg?v=1778317554, friendlyName=Open</x:v>
      </x:c>
      <x:c r="C4009" s="24" t="e">
        <x:f>HYPERLINK("https://365nails.com/products/365nails-candy-bloom-3d-floral-gradient-handmade-almond-nails","365nails: ""Candy Bloom"" – 3D Floral &amp; Gradient Handmade Almond Nails")</x:f>
        <x:v>HYPERLINK is not implemented. linkLocation=https://365nails.com/products/365nails-candy-bloom-3d-floral-gradient-handmade-almond-nails, friendlyName=365nails: "Candy Bloom" – 3D Floral &amp; Gradient Handmade Almond Nails</x:v>
      </x:c>
      <x:c r="D4009" s="18" t="str">
        <x:v>Size: XS / S / M / L</x:v>
      </x:c>
      <x:c r="E4009" s="25" t="str">
        <x:v>$3.99</x:v>
      </x:c>
      <x:c r="F4009" s="19" t="str">
        <x:v>5</x:v>
      </x:c>
    </x:row>
    <x:row r="4010" ht="93" customHeight="1">
      <x:c r="A4010" s="19" t="n">
        <x:v>4007</x:v>
      </x:c>
      <x:c r="B4010" s="22" t="e">
        <x:f>HYPERLINK("https://cdn.shopify.com/s/files/1/0918/6066/4603/files/322726b45ff159b74df3db81fea099c6.jpg?v=1772976784","Open")</x:f>
        <x:v>HYPERLINK is not implemented. linkLocation=https://cdn.shopify.com/s/files/1/0918/6066/4603/files/322726b45ff159b74df3db81fea099c6.jpg?v=1772976784, friendlyName=Open</x:v>
      </x:c>
      <x:c r="C4010" s="24" t="e">
        <x:f>HYPERLINK("https://365nails.com/products/pro-multi-style-collection-cross-border-nail-tip-assortment-cross-border-nail-tips","Pro Multi-Style Collection: ""Cross-Border Nail Tip Assortment"" – Cross-Border Nail Tips")</x:f>
        <x:v>HYPERLINK is not implemented. linkLocation=https://365nails.com/products/pro-multi-style-collection-cross-border-nail-tip-assortment-cross-border-nail-tips, friendlyName=Pro Multi-Style Collection: "Cross-Border Nail Tip Assortment" – Cross-Border Nail Tips</x:v>
      </x:c>
      <x:c r="D4010" s="18" t="str">
        <x:v>Color: Ys-62*96 tablets / Ys-63*96 tablets / Ys-67*96 tablets / Ys-73*96 tablets / Ys-101*96 tablets / Ys-102*96 pieces / Ys-103*96 pieces / Ys-104*96 pieces / Ys-105*96 pieces / Ys-106*96 pieces / Ys-107*96 pieces / Ys-108*96 tablets / Ys-109*96 tablets / Ys-174*96 pieces / Ys-175*96 tablets</x:v>
      </x:c>
      <x:c r="E4010" s="25" t="str">
        <x:v>$0.75</x:v>
      </x:c>
      <x:c r="F4010" s="19" t="str">
        <x:v>3</x:v>
      </x:c>
    </x:row>
    <x:row r="4011" ht="93" customHeight="1">
      <x:c r="A4011" s="19" t="n">
        <x:v>4008</x:v>
      </x:c>
      <x:c r="B4011" s="22" t="e">
        <x:f>HYPERLINK("https://cdn.shopify.com/s/files/1/0918/6066/4603/files/725184767557d852206966c6f247619e.jpg?v=1778244550","Open")</x:f>
        <x:v>HYPERLINK is not implemented. linkLocation=https://cdn.shopify.com/s/files/1/0918/6066/4603/files/725184767557d852206966c6f247619e.jpg?v=1778244550, friendlyName=Open</x:v>
      </x:c>
      <x:c r="C4011" s="24" t="e">
        <x:f>HYPERLINK("https://365nails.com/products/365nails-pink-butterfly-garden-3d-floral-butterfly-handmade-short-square-nails","365nails: ""Pink Butterfly Garden"" – 3D Floral &amp; Butterfly Handmade Short Square Nails")</x:f>
        <x:v>HYPERLINK is not implemented. linkLocation=https://365nails.com/products/365nails-pink-butterfly-garden-3d-floral-butterfly-handmade-short-square-nails, friendlyName=365nails: "Pink Butterfly Garden" – 3D Floral &amp; Butterfly Handmade Short Square Nails</x:v>
      </x:c>
      <x:c r="D4011" s="18" t="str">
        <x:v>Size: XS / S / M / L</x:v>
      </x:c>
      <x:c r="E4011" s="25" t="str">
        <x:v>$3.99</x:v>
      </x:c>
      <x:c r="F4011" s="19" t="str">
        <x:v>5</x:v>
      </x:c>
    </x:row>
    <x:row r="4012" ht="93" customHeight="1">
      <x:c r="A4012" s="19" t="n">
        <x:v>4009</x:v>
      </x:c>
      <x:c r="B4012" s="22" t="e">
        <x:f>HYPERLINK("https://cdn.shopify.com/s/files/1/0918/6066/4603/files/O1CN01IvsHQH2MQzdWkysXP__2219089449823-0-cib.jpg?v=1774348893","Open")</x:f>
        <x:v>HYPERLINK is not implemented. linkLocation=https://cdn.shopify.com/s/files/1/0918/6066/4603/files/O1CN01IvsHQH2MQzdWkysXP__2219089449823-0-cib.jpg?v=1774348893, friendlyName=Open</x:v>
      </x:c>
      <x:c r="C4012" s="24" t="e">
        <x:f>HYPERLINK("https://365nails.com/products/sweet-leopard-leopard-blossom-medium-almond-nude-leopard-print-handmade-press-on","Sweet Leopard: ""Leopard Blossom"" – Medium Almond Nude &amp; Leopard Print Handmade Press-On")</x:f>
        <x:v>HYPERLINK is not implemented. linkLocation=https://365nails.com/products/sweet-leopard-leopard-blossom-medium-almond-nude-leopard-print-handmade-press-on, friendlyName=Sweet Leopard: "Leopard Blossom" – Medium Almond Nude &amp; Leopard Print Handmade Press-On</x:v>
      </x:c>
      <x:c r="D4012" s="18" t="str">
        <x:v>Color: D485; Color classification: X s / S / M / L</x:v>
      </x:c>
      <x:c r="E4012" s="25" t="str">
        <x:v>$3.69</x:v>
      </x:c>
      <x:c r="F4012" s="19" t="str">
        <x:v>1</x:v>
      </x:c>
    </x:row>
    <x:row r="4013" ht="93" customHeight="1">
      <x:c r="A4013" s="19" t="n">
        <x:v>4010</x:v>
      </x:c>
      <x:c r="B4013" s="22" t="e">
        <x:f>HYPERLINK("https://cdn.shopify.com/s/files/1/0918/6066/4603/files/O1CN01I9Ewpp27ZUlG3xa8S__2220024697811-0-cib.jpg?v=1775108963","Open")</x:f>
        <x:v>HYPERLINK is not implemented. linkLocation=https://cdn.shopify.com/s/files/1/0918/6066/4603/files/O1CN01I9Ewpp27ZUlG3xa8S__2220024697811-0-cib.jpg?v=1775108963, friendlyName=Open</x:v>
      </x:c>
      <x:c r="C4013" s="24" t="e">
        <x:f>HYPERLINK("https://365nails.com/products/365nails-cyber-bloom-3d-butterfly-handmade-long-stiletto-nails","365nails: ""Cyber Bloom"" – 3D Butterfly Handmade Long Stiletto Nails")</x:f>
        <x:v>HYPERLINK is not implemented. linkLocation=https://365nails.com/products/365nails-cyber-bloom-3d-butterfly-handmade-long-stiletto-nails, friendlyName=365nails: "Cyber Bloom" – 3D Butterfly Handmade Long Stiletto Nails</x:v>
      </x:c>
      <x:c r="D4013" s="18" t="str">
        <x:v>Color: Almond; Color classification: Xs / S / M / L</x:v>
      </x:c>
      <x:c r="E4013" s="25" t="str">
        <x:v>$4.99</x:v>
      </x:c>
      <x:c r="F4013" s="19" t="str">
        <x:v>3</x:v>
      </x:c>
    </x:row>
    <x:row r="4014" ht="93" customHeight="1">
      <x:c r="A4014" s="19" t="n">
        <x:v>4011</x:v>
      </x:c>
      <x:c r="B4014" s="22" t="e">
        <x:f>HYPERLINK("https://cdn.shopify.com/s/files/1/0918/6066/4603/files/O1CN01hvPGhr27ZUlEmRQle__2220024697811-0-cib.jpg?v=1775051338","Open")</x:f>
        <x:v>HYPERLINK is not implemented. linkLocation=https://cdn.shopify.com/s/files/1/0918/6066/4603/files/O1CN01hvPGhr27ZUlEmRQle__2220024697811-0-cib.jpg?v=1775051338, friendlyName=Open</x:v>
      </x:c>
      <x:c r="C4014" s="24" t="e">
        <x:f>HYPERLINK("https://365nails.com/products/365nails-merry-sparkle-3d-christmas-handmade-almond-nails","365nails: ""Merry Sparkle"" – 3D Christmas Handmade Almond Nails")</x:f>
        <x:v>HYPERLINK is not implemented. linkLocation=https://365nails.com/products/365nails-merry-sparkle-3d-christmas-handmade-almond-nails, friendlyName=365nails: "Merry Sparkle" – 3D Christmas Handmade Almond Nails</x:v>
      </x:c>
      <x:c r="D4014" s="18" t="str">
        <x:v>Color: Almond; Color classification: Xs / S / M / L</x:v>
      </x:c>
      <x:c r="E4014" s="25" t="str">
        <x:v>$4.99</x:v>
      </x:c>
      <x:c r="F4014" s="19" t="str">
        <x:v>3</x:v>
      </x:c>
    </x:row>
    <x:row r="4015" ht="93" customHeight="1">
      <x:c r="A4015" s="19" t="n">
        <x:v>4012</x:v>
      </x:c>
      <x:c r="B4015" s="22" t="e">
        <x:f>HYPERLINK("https://cdn.shopify.com/s/files/1/0918/6066/4603/files/O1CN01R6pXre1C9uWo5dKQn__6000000000039-0-cib.jpg?v=1774348884","Open")</x:f>
        <x:v>HYPERLINK is not implemented. linkLocation=https://cdn.shopify.com/s/files/1/0918/6066/4603/files/O1CN01R6pXre1C9uWo5dKQn__6000000000039-0-cib.jpg?v=1774348884, friendlyName=Open</x:v>
      </x:c>
      <x:c r="C4015" s="24" t="e">
        <x:f>HYPERLINK("https://365nails.com/products/y2k-punk-kawaii-hello-kitty-rockstar-short-square-pink-black-cartoon-handmade-press-on","Y2K Punk Kawaii: ""Hello Kitty Rockstar"" – Short Square Pink &amp; Black Cartoon Handmade Press-On")</x:f>
        <x:v>HYPERLINK is not implemented. linkLocation=https://365nails.com/products/y2k-punk-kawaii-hello-kitty-rockstar-short-square-pink-black-cartoon-handmade-press-on, friendlyName=Y2K Punk Kawaii: "Hello Kitty Rockstar" – Short Square Pink &amp; Black Cartoon Handmade Press-On</x:v>
      </x:c>
      <x:c r="D4015" s="18" t="str">
        <x:v>Color: L267; Color classification: X s / S / M / L</x:v>
      </x:c>
      <x:c r="E4015" s="25" t="str">
        <x:v>$4.99</x:v>
      </x:c>
      <x:c r="F4015" s="19" t="str">
        <x:v>1</x:v>
      </x:c>
    </x:row>
    <x:row r="4016" ht="93" customHeight="1">
      <x:c r="A4016" s="19" t="n">
        <x:v>4013</x:v>
      </x:c>
      <x:c r="B4016" s="22" t="e">
        <x:f>HYPERLINK("https://cdn.shopify.com/s/files/1/0918/6066/4603/files/7776eb3fbb828fb2651ca59a29ff8bf2.jpg?v=1776322354","Open")</x:f>
        <x:v>HYPERLINK is not implemented. linkLocation=https://cdn.shopify.com/s/files/1/0918/6066/4603/files/7776eb3fbb828fb2651ca59a29ff8bf2.jpg?v=1776322354, friendlyName=Open</x:v>
      </x:c>
      <x:c r="C4016" s="24" t="e">
        <x:f>HYPERLINK("https://365nails.com/products/365nails-burger-buddies-3d-cartoon-food-short-square-nails","365nails: ""Burger Buddies"" – 3D Cartoon Food Short Square Nails")</x:f>
        <x:v>HYPERLINK is not implemented. linkLocation=https://365nails.com/products/365nails-burger-buddies-3d-cartoon-food-short-square-nails, friendlyName=365nails: "Burger Buddies" – 3D Cartoon Food Short Square Nails</x:v>
      </x:c>
      <x:c r="D4016" s="18" t="str">
        <x:v>Size: XS / S / M / L</x:v>
      </x:c>
      <x:c r="E4016" s="25" t="str">
        <x:v>$3.99</x:v>
      </x:c>
      <x:c r="F4016" s="19" t="str">
        <x:v>5</x:v>
      </x:c>
    </x:row>
    <x:row r="4017" ht="93" customHeight="1">
      <x:c r="A4017" s="19" t="n">
        <x:v>4014</x:v>
      </x:c>
      <x:c r="B4017" s="22" t="e">
        <x:f>HYPERLINK("https://cdn.shopify.com/s/files/1/0918/6066/4603/files/730385f536a11bc43106a72c87ad03ed.jpg?v=1776172118","Open")</x:f>
        <x:v>HYPERLINK is not implemented. linkLocation=https://cdn.shopify.com/s/files/1/0918/6066/4603/files/730385f536a11bc43106a72c87ad03ed.jpg?v=1776172118, friendlyName=Open</x:v>
      </x:c>
      <x:c r="C4017" s="24" t="e">
        <x:f>HYPERLINK("https://365nails.com/products/365nails-kitty-sparkle-3d-character-glitter-handmade-short-square-nails","365nails: ""Kitty Sparkle"" – 3D Character &amp; Glitter Handmade Short Square Nails")</x:f>
        <x:v>HYPERLINK is not implemented. linkLocation=https://365nails.com/products/365nails-kitty-sparkle-3d-character-glitter-handmade-short-square-nails, friendlyName=365nails: "Kitty Sparkle" – 3D Character &amp; Glitter Handmade Short Square Nails</x:v>
      </x:c>
      <x:c r="D4017" s="18" t="str">
        <x:v>Size: XS / S / M / L</x:v>
      </x:c>
      <x:c r="E4017" s="25" t="str">
        <x:v>$1.99</x:v>
      </x:c>
      <x:c r="F4017" s="19" t="str">
        <x:v>3</x:v>
      </x:c>
    </x:row>
    <x:row r="4018" ht="93" customHeight="1">
      <x:c r="A4018" s="19" t="n">
        <x:v>4015</x:v>
      </x:c>
      <x:c r="B4018" s="22" t="e">
        <x:f>HYPERLINK("https://cdn.shopify.com/s/files/1/0918/6066/4603/files/62e249a5ae13a325e7323c85f8aef06e.jpg?v=1776246347","Open")</x:f>
        <x:v>HYPERLINK is not implemented. linkLocation=https://cdn.shopify.com/s/files/1/0918/6066/4603/files/62e249a5ae13a325e7323c85f8aef06e.jpg?v=1776246347, friendlyName=Open</x:v>
      </x:c>
      <x:c r="C4018" s="24" t="e">
        <x:f>HYPERLINK("https://365nails.com/products/365nails-sweet-strawberry-bear-3d-character-handmade-short-nails","365nails: ""Sweet Strawberry Bear"" – 3D Character Handmade Short Nails")</x:f>
        <x:v>HYPERLINK is not implemented. linkLocation=https://365nails.com/products/365nails-sweet-strawberry-bear-3d-character-handmade-short-nails, friendlyName=365nails: "Sweet Strawberry Bear" – 3D Character Handmade Short Nails</x:v>
      </x:c>
      <x:c r="D4018" s="18" t="str">
        <x:v>Size: XS / S / M / L</x:v>
      </x:c>
      <x:c r="E4018" s="25" t="str">
        <x:v>$2.49</x:v>
      </x:c>
      <x:c r="F4018" s="19" t="str">
        <x:v>3</x:v>
      </x:c>
    </x:row>
    <x:row r="4019" ht="93" customHeight="1">
      <x:c r="A4019" s="19" t="n">
        <x:v>4016</x:v>
      </x:c>
      <x:c r="B4019" s="22" t="e">
        <x:f>HYPERLINK("https://cdn.shopify.com/s/files/1/0918/6066/4603/files/4da893d3c03d3618ff1e31f9ea00ba67.jpg?v=1778318468","Open")</x:f>
        <x:v>HYPERLINK is not implemented. linkLocation=https://cdn.shopify.com/s/files/1/0918/6066/4603/files/4da893d3c03d3618ff1e31f9ea00ba67.jpg?v=1778318468, friendlyName=Open</x:v>
      </x:c>
      <x:c r="C4019" s="24" t="e">
        <x:f>HYPERLINK("https://365nails.com/products/365nails-spooky-chic-3d-leopard-abstract-handmade-almond-nails","365nails: ""Spooky Chic"" – 3D Leopard &amp; Abstract Handmade Almond Nails")</x:f>
        <x:v>HYPERLINK is not implemented. linkLocation=https://365nails.com/products/365nails-spooky-chic-3d-leopard-abstract-handmade-almond-nails, friendlyName=365nails: "Spooky Chic" – 3D Leopard &amp; Abstract Handmade Almond Nails</x:v>
      </x:c>
      <x:c r="D4019" s="18" t="str">
        <x:v>Size: XS / S / M / L</x:v>
      </x:c>
      <x:c r="E4019" s="25" t="str">
        <x:v>$3.99</x:v>
      </x:c>
      <x:c r="F4019" s="19" t="str">
        <x:v>5</x:v>
      </x:c>
    </x:row>
    <x:row r="4020" ht="93" customHeight="1">
      <x:c r="A4020" s="19" t="n">
        <x:v>4017</x:v>
      </x:c>
      <x:c r="B4020" s="22" t="e">
        <x:f>HYPERLINK("https://cdn.shopify.com/s/files/1/0918/6066/4603/files/O1CN01skaE8n27ZUmJyLgCT__2220024697811-0-cib.jpg?v=1775113879","Open")</x:f>
        <x:v>HYPERLINK is not implemented. linkLocation=https://cdn.shopify.com/s/files/1/0918/6066/4603/files/O1CN01skaE8n27ZUmJyLgCT__2220024697811-0-cib.jpg?v=1775113879, friendlyName=Open</x:v>
      </x:c>
      <x:c r="C4020" s="24" t="e">
        <x:f>HYPERLINK("https://365nails.com/products/365nails-berry-blossom-3d-floral-bead-handmade-medium-almond-nails","365nails: ""Berry Blossom"" – 3D Floral &amp; Bead Handmade Medium Almond Nails")</x:f>
        <x:v>HYPERLINK is not implemented. linkLocation=https://365nails.com/products/365nails-berry-blossom-3d-floral-bead-handmade-medium-almond-nails, friendlyName=365nails: "Berry Blossom" – 3D Floral &amp; Bead Handmade Medium Almond Nails</x:v>
      </x:c>
      <x:c r="D4020" s="18" t="str">
        <x:v>Color: Right angle t; Color classification: Xs / S / M / L</x:v>
      </x:c>
      <x:c r="E4020" s="25" t="str">
        <x:v>$4.99</x:v>
      </x:c>
      <x:c r="F4020" s="19" t="str">
        <x:v>3</x:v>
      </x:c>
    </x:row>
    <x:row r="4021" ht="93" customHeight="1">
      <x:c r="A4021" s="19" t="n">
        <x:v>4018</x:v>
      </x:c>
      <x:c r="B4021" s="22" t="e">
        <x:f>HYPERLINK("https://cdn.shopify.com/s/files/1/0918/6066/4603/files/4e48af0e890d4197d4c1cfbf34349501.jpg?v=1776214321","Open")</x:f>
        <x:v>HYPERLINK is not implemented. linkLocation=https://cdn.shopify.com/s/files/1/0918/6066/4603/files/4e48af0e890d4197d4c1cfbf34349501.jpg?v=1776214321, friendlyName=Open</x:v>
      </x:c>
      <x:c r="C4021" s="24" t="e">
        <x:f>HYPERLINK("https://365nails.com/products/365nails-unicorn-dream-3d-character-handcrafted-sweet-short-square-nails","365nails: ""Unicorn Dream"" – 3D Character Handcrafted Sweet Short Square Nails")</x:f>
        <x:v>HYPERLINK is not implemented. linkLocation=https://365nails.com/products/365nails-unicorn-dream-3d-character-handcrafted-sweet-short-square-nails, friendlyName=365nails: "Unicorn Dream" – 3D Character Handcrafted Sweet Short Square Nails</x:v>
      </x:c>
      <x:c r="D4021" s="18" t="str">
        <x:v>Size: XS / S / M / L</x:v>
      </x:c>
      <x:c r="E4021" s="25" t="str">
        <x:v>$2.49</x:v>
      </x:c>
      <x:c r="F4021" s="19" t="str">
        <x:v>3</x:v>
      </x:c>
    </x:row>
    <x:row r="4022" ht="93" customHeight="1">
      <x:c r="A4022" s="19" t="n">
        <x:v>4019</x:v>
      </x:c>
      <x:c r="B4022" s="22" t="e">
        <x:f>HYPERLINK("https://cdn.shopify.com/s/files/1/0918/6066/4603/files/ea0a1a4e79d7b58dbaaa85e26d219b64.jpg?v=1776322056","Open")</x:f>
        <x:v>HYPERLINK is not implemented. linkLocation=https://cdn.shopify.com/s/files/1/0918/6066/4603/files/ea0a1a4e79d7b58dbaaa85e26d219b64.jpg?v=1776322056, friendlyName=Open</x:v>
      </x:c>
      <x:c r="C4022" s="24" t="e">
        <x:f>HYPERLINK("https://365nails.com/products/365nails-teddys-picnic-3d-bear-short-square-nails","365nails: ""Teddy's Picnic"" – 3D Bear Short Square Nails")</x:f>
        <x:v>HYPERLINK is not implemented. linkLocation=https://365nails.com/products/365nails-teddys-picnic-3d-bear-short-square-nails, friendlyName=365nails: "Teddy's Picnic" – 3D Bear Short Square Nails</x:v>
      </x:c>
      <x:c r="D4022" s="18" t="str">
        <x:v>Size: XS / S / M / L</x:v>
      </x:c>
      <x:c r="E4022" s="25" t="str">
        <x:v>$3.99</x:v>
      </x:c>
      <x:c r="F4022" s="19" t="str">
        <x:v>5</x:v>
      </x:c>
    </x:row>
    <x:row r="4023" ht="93" customHeight="1">
      <x:c r="A4023" s="19" t="n">
        <x:v>4020</x:v>
      </x:c>
      <x:c r="B4023" s="22" t="e">
        <x:f>HYPERLINK("https://cdn.shopify.com/s/files/1/0918/6066/4603/files/O1CN01vN5Ue327ZUlEvxVOD__2220024697811-0-cib.jpg?v=1775041077","Open")</x:f>
        <x:v>HYPERLINK is not implemented. linkLocation=https://cdn.shopify.com/s/files/1/0918/6066/4603/files/O1CN01vN5Ue327ZUlEvxVOD__2220024697811-0-cib.jpg?v=1775041077, friendlyName=Open</x:v>
      </x:c>
      <x:c r="C4023" s="24" t="e">
        <x:f>HYPERLINK("https://365nails.com/products/365nails-blue-lily-bloom-hand-painted-floral-handmade-almond-nails","365nails: ""Blue Lily Bloom"" – Hand-painted Floral Handmade Almond Nails")</x:f>
        <x:v>HYPERLINK is not implemented. linkLocation=https://365nails.com/products/365nails-blue-lily-bloom-hand-painted-floral-handmade-almond-nails, friendlyName=365nails: "Blue Lily Bloom" – Hand-painted Floral Handmade Almond Nails</x:v>
      </x:c>
      <x:c r="D4023" s="18" t="str">
        <x:v>Color: Short almond; Color classification: Xs / S / M / L</x:v>
      </x:c>
      <x:c r="E4023" s="25" t="str">
        <x:v>$4.49</x:v>
      </x:c>
      <x:c r="F4023" s="19" t="str">
        <x:v>3</x:v>
      </x:c>
    </x:row>
    <x:row r="4024" ht="93" customHeight="1">
      <x:c r="A4024" s="19" t="n">
        <x:v>4021</x:v>
      </x:c>
      <x:c r="B4024" s="22" t="e">
        <x:f>HYPERLINK("https://cdn.shopify.com/s/files/1/0918/6066/4603/files/a3f1ce18ad7280f28f9195c6e73a9d9b.jpg?v=1772976666","Open")</x:f>
        <x:v>HYPERLINK is not implemented. linkLocation=https://cdn.shopify.com/s/files/1/0918/6066/4603/files/a3f1ce18ad7280f28f9195c6e73a9d9b.jpg?v=1772976666, friendlyName=Open</x:v>
      </x:c>
      <x:c r="C4024" s="24" t="e">
        <x:f>HYPERLINK("https://365nails.com/products/pro-matte-collection-ballerina-half-cover-small-batch-custom-matte-half-cover-ballerina-nail-tips","Pro Matte Collection: ""Ballerina Half-Cover"" – Small Batch Custom Matte Half-Cover Ballerina Nail Tips")</x:f>
        <x:v>HYPERLINK is not implemented. linkLocation=https://365nails.com/products/pro-matte-collection-ballerina-half-cover-small-batch-custom-matte-half-cover-ballerina-nail-tips, friendlyName=Pro Matte Collection: "Ballerina Half-Cover" – Small Batch Custom Matte Half-Cover Ballerina Nail Tips</x:v>
      </x:c>
      <x:c r="D4024" s="18" t="str">
        <x:v>Color: 274-pointed semi-stick-transparent and traceless-240 pieces in box / 271 - lightly adhering - 320 pieces box</x:v>
      </x:c>
      <x:c r="E4024" s="25" t="str">
        <x:v>$1.57</x:v>
      </x:c>
      <x:c r="F4024" s="19" t="str">
        <x:v>3</x:v>
      </x:c>
    </x:row>
    <x:row r="4025" ht="93" customHeight="1">
      <x:c r="A4025" s="19" t="n">
        <x:v>4022</x:v>
      </x:c>
      <x:c r="B4025" s="22" t="e">
        <x:f>HYPERLINK("https://cdn.shopify.com/s/files/1/0918/6066/4603/files/O1CN01SvF4ma2MQzdnJORuZ__2219089449823-0-cib.jpg?v=1774065252","Open")</x:f>
        <x:v>HYPERLINK is not implemented. linkLocation=https://cdn.shopify.com/s/files/1/0918/6066/4603/files/O1CN01SvF4ma2MQzdnJORuZ__2219089449823-0-cib.jpg?v=1774065252, friendlyName=Open</x:v>
      </x:c>
      <x:c r="C4025" s="24" t="e">
        <x:f>HYPERLINK("https://365nails.com/products/ruby-blossom-red-floral-almond-shape-handmade-3d-carved-press-on-nails","365nails-Ruby Blossom: ""Red Floral"" – Almond Shape Handmade 3D Carved Press-On Nails")</x:f>
        <x:v>HYPERLINK is not implemented. linkLocation=https://365nails.com/products/ruby-blossom-red-floral-almond-shape-handmade-3d-carved-press-on-nails, friendlyName=365nails-Ruby Blossom: "Red Floral" – Almond Shape Handmade 3D Carved Press-On Nails</x:v>
      </x:c>
      <x:c r="D4025" s="18" t="str">
        <x:v>Color: D507; Color classification: X s / S / M / L</x:v>
      </x:c>
      <x:c r="E4025" s="25" t="str">
        <x:v>$3.99</x:v>
      </x:c>
      <x:c r="F4025" s="19" t="str">
        <x:v>5</x:v>
      </x:c>
    </x:row>
    <x:row r="4026" ht="93" customHeight="1">
      <x:c r="A4026" s="19" t="n">
        <x:v>4023</x:v>
      </x:c>
      <x:c r="B4026" s="22" t="e">
        <x:f>HYPERLINK("https://cdn.shopify.com/s/files/1/0918/6066/4603/files/O1CN01Cc2tQb27ZUmRerTqK__2220024697811-0-cib.jpg?v=1774926229","Open")</x:f>
        <x:v>HYPERLINK is not implemented. linkLocation=https://cdn.shopify.com/s/files/1/0918/6066/4603/files/O1CN01Cc2tQb27ZUmRerTqK__2220024697811-0-cib.jpg?v=1774926229, friendlyName=Open</x:v>
      </x:c>
      <x:c r="C4026" s="24" t="e">
        <x:f>HYPERLINK("https://365nails.com/products/365nails-gilded-crown-3d-cross-gold-leaf-handmade-stiletto-nails","365nails: ""Gilded Crown"" – 3D Cross Gold Leaf Handmade Stiletto Nails")</x:f>
        <x:v>HYPERLINK is not implemented. linkLocation=https://365nails.com/products/365nails-gilded-crown-3d-cross-gold-leaf-handmade-stiletto-nails, friendlyName=365nails: "Gilded Crown" – 3D Cross Gold Leaf Handmade Stiletto Nails</x:v>
      </x:c>
      <x:c r="D4026" s="18" t="str">
        <x:v>Color: Long tip; Color classification: Xs / S / M / L</x:v>
      </x:c>
      <x:c r="E4026" s="25" t="str">
        <x:v>$4.99</x:v>
      </x:c>
      <x:c r="F4026" s="19" t="str">
        <x:v>3</x:v>
      </x:c>
    </x:row>
    <x:row r="4027" ht="93" customHeight="1">
      <x:c r="A4027" s="19" t="n">
        <x:v>4024</x:v>
      </x:c>
      <x:c r="B4027" s="22" t="e">
        <x:f>HYPERLINK("https://cdn.shopify.com/s/files/1/0918/6066/4603/files/O1CN01DOR8bI247boFXcx6E__2209064737344-0-cib.jpg?v=1772707686","Open")</x:f>
        <x:v>HYPERLINK is not implemented. linkLocation=https://cdn.shopify.com/s/files/1/0918/6066/4603/files/O1CN01DOR8bI247boFXcx6E__2209064737344-0-cib.jpg?v=1772707686, friendlyName=Open</x:v>
      </x:c>
      <x:c r="C4027" s="24" t="e">
        <x:f>HYPERLINK("https://365nails.com/products/365nails-no-file-matte-nail-tips-with-guide-lines-short-square-almond-nail-extensions","365nails: ""No-File Matte Nail Tips with Guide Lines"" – Short Square/Almond Nail Extensions")</x:f>
        <x:v>HYPERLINK is not implemented. linkLocation=https://365nails.com/products/365nails-no-file-matte-nail-tips-with-guide-lines-short-square-almond-nail-extensions, friendlyName=365nails: "No-File Matte Nail Tips with Guide Lines" – Short Square/Almond Nail Extensions</x:v>
      </x:c>
      <x:c r="D4027" s="18" t="str">
        <x:v>Color: 580 almonds*240 pieces box / 581 short ladder*240 pieces in box / 582 short oval*240 pieces in box / 585 long oval*240 pieces in box</x:v>
      </x:c>
      <x:c r="E4027" s="25" t="str">
        <x:v>$1.23</x:v>
      </x:c>
      <x:c r="F4027" s="19" t="str">
        <x:v>3</x:v>
      </x:c>
    </x:row>
    <x:row r="4028" ht="93" customHeight="1">
      <x:c r="A4028" s="19" t="n">
        <x:v>4025</x:v>
      </x:c>
      <x:c r="B4028" s="22" t="e">
        <x:f>HYPERLINK("https://cdn.shopify.com/s/files/1/0918/6066/4603/files/O1CN01SGsl2G1CPwPhrCoMR__2213196780074-0-cib.jpg?v=1776936514","Open")</x:f>
        <x:v>HYPERLINK is not implemented. linkLocation=https://cdn.shopify.com/s/files/1/0918/6066/4603/files/O1CN01SGsl2G1CPwPhrCoMR__2213196780074-0-cib.jpg?v=1776936514, friendlyName=Open</x:v>
      </x:c>
      <x:c r="C4028" s="24" t="e">
        <x:f>HYPERLINK("https://365nails.com/products/365nails-midnight-bloom-3d-floral-french-tip-handmade-medium-almond-nails","365nails: ""Midnight Bloom"" – 3D Floral French Tip Handmade Medium Almond Nails")</x:f>
        <x:v>HYPERLINK is not implemented. linkLocation=https://365nails.com/products/365nails-midnight-bloom-3d-floral-french-tip-handmade-medium-almond-nails, friendlyName=365nails: "Midnight Bloom" – 3D Floral French Tip Handmade Medium Almond Nails</x:v>
      </x:c>
      <x:c r="D4028" s="18" t="str">
        <x:v>Color: W443-long oval; Color classification: Extra small size xs / Small s / Medium m / Large l</x:v>
      </x:c>
      <x:c r="E4028" s="25" t="str">
        <x:v>$2.99</x:v>
      </x:c>
      <x:c r="F4028" s="19" t="str">
        <x:v>1</x:v>
      </x:c>
    </x:row>
    <x:row r="4029" ht="93" customHeight="1">
      <x:c r="A4029" s="19" t="n">
        <x:v>4026</x:v>
      </x:c>
      <x:c r="B4029" s="22" t="e">
        <x:f>HYPERLINK("https://cdn.shopify.com/s/files/1/0918/6066/4603/files/O1CN011kKWAa1CPwRJhyqHx__2213196780074-0-cib.jpg?v=1776054420","Open")</x:f>
        <x:v>HYPERLINK is not implemented. linkLocation=https://cdn.shopify.com/s/files/1/0918/6066/4603/files/O1CN011kKWAa1CPwRJhyqHx__2213196780074-0-cib.jpg?v=1776054420, friendlyName=Open</x:v>
      </x:c>
      <x:c r="C4029" s="24" t="e">
        <x:f>HYPERLINK("https://365nails.com/products/365nails-sacred-gold-3d-cross-baroque-handmade-press-on-nails-short-square-nails","365nails: ""Sacred Gold"" – 3D Cross &amp; Baroque Handmade Press on Nails Short Square Nails")</x:f>
        <x:v>HYPERLINK is not implemented. linkLocation=https://365nails.com/products/365nails-sacred-gold-3d-cross-baroque-handmade-press-on-nails-short-square-nails, friendlyName=365nails: "Sacred Gold" – 3D Cross &amp; Baroque Handmade Press on Nails Short Square Nails</x:v>
      </x:c>
      <x:c r="D4029" s="18" t="str">
        <x:v>Color: K10-short duckbill; Color classification: Extra small size xs / Small s / Medium m / Large l</x:v>
      </x:c>
      <x:c r="E4029" s="25" t="str">
        <x:v>$4.99</x:v>
      </x:c>
      <x:c r="F4029" s="19" t="str">
        <x:v>3</x:v>
      </x:c>
    </x:row>
    <x:row r="4030" ht="93" customHeight="1">
      <x:c r="A4030" s="19" t="n">
        <x:v>4027</x:v>
      </x:c>
      <x:c r="B4030" s="22" t="e">
        <x:f>HYPERLINK("https://cdn.shopify.com/s/files/1/0918/6066/4603/files/c65f3d26b52926740b6e7487ab8bfe3b.jpg?v=1778242821","Open")</x:f>
        <x:v>HYPERLINK is not implemented. linkLocation=https://cdn.shopify.com/s/files/1/0918/6066/4603/files/c65f3d26b52926740b6e7487ab8bfe3b.jpg?v=1778242821, friendlyName=Open</x:v>
      </x:c>
      <x:c r="C4030" s="24" t="e">
        <x:f>HYPERLINK("https://365nails.com/products/365nails-pink-punk-3d-bow-rhinestone-handmade-long-stiletto-nails","365nails: ""Pink Punk"" – 3D Bow &amp; Rhinestone Handmade Long Stiletto Nails")</x:f>
        <x:v>HYPERLINK is not implemented. linkLocation=https://365nails.com/products/365nails-pink-punk-3d-bow-rhinestone-handmade-long-stiletto-nails, friendlyName=365nails: "Pink Punk" – 3D Bow &amp; Rhinestone Handmade Long Stiletto Nails</x:v>
      </x:c>
      <x:c r="D4030" s="18" t="str">
        <x:v>Size: XS / S / M / L</x:v>
      </x:c>
      <x:c r="E4030" s="25" t="str">
        <x:v>$3.99</x:v>
      </x:c>
      <x:c r="F4030" s="19" t="str">
        <x:v>5</x:v>
      </x:c>
    </x:row>
    <x:row r="4031" ht="93" customHeight="1">
      <x:c r="A4031" s="19" t="n">
        <x:v>4028</x:v>
      </x:c>
      <x:c r="B4031" s="22" t="e">
        <x:f>HYPERLINK("https://cdn.shopify.com/s/files/1/0918/6066/4603/files/O1CN01djLdM31CPwJkPw6gX__2213196780074-0-cib.jpg?v=1776743345","Open")</x:f>
        <x:v>HYPERLINK is not implemented. linkLocation=https://cdn.shopify.com/s/files/1/0918/6066/4603/files/O1CN01djLdM31CPwJkPw6gX__2213196780074-0-cib.jpg?v=1776743345, friendlyName=Open</x:v>
      </x:c>
      <x:c r="C4031" s="24" t="e">
        <x:f>HYPERLINK("https://365nails.com/products/365nails-champagne-rose-3d-crystal-cat-eye-handmade-almond-nails","365nails: ""Champagne Rose"" – 3D Crystal &amp; Cat Eye Handmade Almond Nails")</x:f>
        <x:v>HYPERLINK is not implemented. linkLocation=https://365nails.com/products/365nails-champagne-rose-3d-crystal-cat-eye-handmade-almond-nails, friendlyName=365nails: "Champagne Rose" – 3D Crystal &amp; Cat Eye Handmade Almond Nails</x:v>
      </x:c>
      <x:c r="D4031" s="18" t="str">
        <x:v>Color: Extra small size xs / Small s / Medium m / Large l; Specification type: 2400 medium oval</x:v>
      </x:c>
      <x:c r="E4031" s="25" t="str">
        <x:v>$3.49</x:v>
      </x:c>
      <x:c r="F4031" s="19" t="str">
        <x:v>1</x:v>
      </x:c>
    </x:row>
    <x:row r="4032" ht="93" customHeight="1">
      <x:c r="A4032" s="19" t="n">
        <x:v>4029</x:v>
      </x:c>
      <x:c r="B4032" s="22" t="e">
        <x:f>HYPERLINK("https://cdn.shopify.com/s/files/1/0918/6066/4603/files/978232bb645ebf59a4dc62fcd6635801.jpg?v=1776173480","Open")</x:f>
        <x:v>HYPERLINK is not implemented. linkLocation=https://cdn.shopify.com/s/files/1/0918/6066/4603/files/978232bb645ebf59a4dc62fcd6635801.jpg?v=1776173480, friendlyName=Open</x:v>
      </x:c>
      <x:c r="C4032" s="24" t="e">
        <x:f>HYPERLINK("https://365nails.com/products/365nails-sweet-peppermint-dreams-3d-candy-heart-handmade-short-square-nails","365nails: ""Sweet Peppermint Dreams"" – 3D Candy &amp; Heart Handmade Short Square Nails")</x:f>
        <x:v>HYPERLINK is not implemented. linkLocation=https://365nails.com/products/365nails-sweet-peppermint-dreams-3d-candy-heart-handmade-short-square-nails, friendlyName=365nails: "Sweet Peppermint Dreams" – 3D Candy &amp; Heart Handmade Short Square Nails</x:v>
      </x:c>
      <x:c r="D4032" s="18" t="str">
        <x:v>Size: XS / S / M / L</x:v>
      </x:c>
      <x:c r="E4032" s="25" t="str">
        <x:v>$1.99</x:v>
      </x:c>
      <x:c r="F4032" s="19" t="str">
        <x:v>3</x:v>
      </x:c>
    </x:row>
    <x:row r="4033" ht="93" customHeight="1">
      <x:c r="A4033" s="19" t="n">
        <x:v>4030</x:v>
      </x:c>
      <x:c r="B4033" s="22" t="e">
        <x:f>HYPERLINK("https://cdn.shopify.com/s/files/1/0918/6066/4603/files/O1CN01h8PBRW27ZUmguvIed__2220024697811-0-cib.jpg?v=1775111312","Open")</x:f>
        <x:v>HYPERLINK is not implemented. linkLocation=https://cdn.shopify.com/s/files/1/0918/6066/4603/files/O1CN01h8PBRW27ZUmguvIed__2220024697811-0-cib.jpg?v=1775111312, friendlyName=Open</x:v>
      </x:c>
      <x:c r="C4033" s="24" t="e">
        <x:f>HYPERLINK("https://365nails.com/products/365nails-gilded-romance-3d-charms-lace-handmade-medium-square-nails","365nails: ""Gilded Romance"" – 3D Charms &amp; Lace Handmade Medium Square Nails")</x:f>
        <x:v>HYPERLINK is not implemented. linkLocation=https://365nails.com/products/365nails-gilded-romance-3d-charms-lace-handmade-medium-square-nails, friendlyName=365nails: "Gilded Romance" – 3D Charms &amp; Lace Handmade Medium Square Nails</x:v>
      </x:c>
      <x:c r="D4033" s="18" t="str">
        <x:v>Color: Right angle t; Color classification: Xs / S / M / L</x:v>
      </x:c>
      <x:c r="E4033" s="25" t="str">
        <x:v>$4.99</x:v>
      </x:c>
      <x:c r="F4033" s="19" t="str">
        <x:v>3</x:v>
      </x:c>
    </x:row>
    <x:row r="4034" ht="93" customHeight="1">
      <x:c r="A4034" s="19" t="n">
        <x:v>4031</x:v>
      </x:c>
      <x:c r="B4034" s="22" t="e">
        <x:f>HYPERLINK("https://cdn.shopify.com/s/files/1/0918/6066/4603/files/3e13a1fc875db4ab99b2835911337086_f2479c58-a450-416e-9444-a9968296090b.jpg?v=1773212101","Open")</x:f>
        <x:v>HYPERLINK is not implemented. linkLocation=https://cdn.shopify.com/s/files/1/0918/6066/4603/files/3e13a1fc875db4ab99b2835911337086_f2479c58-a450-416e-9444-a9968296090b.jpg?v=1773212101, friendlyName=Open</x:v>
      </x:c>
      <x:c r="C4034" s="24" t="e">
        <x:f>HYPERLINK("https://365nails.com/products/365nails-colorful-gem-yellow-handmade-press-on-toenails-pedicure","365nails: ""colorful gem yellow"" – handmade press-on toenails / pedicure")</x:f>
        <x:v>HYPERLINK is not implemented. linkLocation=https://365nails.com/products/365nails-colorful-gem-yellow-handmade-press-on-toenails-pedicure, friendlyName=365nails: "colorful gem yellow" – handmade press-on toenails / pedicure</x:v>
      </x:c>
      <x:c r="D4034" s="18" t="str">
        <x:v>Size: XS / S / M / L</x:v>
      </x:c>
      <x:c r="E4034" s="25" t="str">
        <x:v>$4.99</x:v>
      </x:c>
      <x:c r="F4034" s="19" t="str">
        <x:v>3</x:v>
      </x:c>
    </x:row>
    <x:row r="4035" ht="93" customHeight="1">
      <x:c r="A4035" s="19" t="n">
        <x:v>4032</x:v>
      </x:c>
      <x:c r="B4035" s="22" t="e">
        <x:f>HYPERLINK("https://cdn.shopify.com/s/files/1/0918/6066/4603/files/744adfe7d0004cd4df4f70419e017906.jpg?v=1778317387","Open")</x:f>
        <x:v>HYPERLINK is not implemented. linkLocation=https://cdn.shopify.com/s/files/1/0918/6066/4603/files/744adfe7d0004cd4df4f70419e017906.jpg?v=1778317387, friendlyName=Open</x:v>
      </x:c>
      <x:c r="C4035" s="24" t="e">
        <x:f>HYPERLINK("https://365nails.com/products/365nails-lavender-dreams-3d-floral-chrome-handmade-almond-nails","365nails: ""Lavender Dreams"" – 3D Floral &amp; Chrome Handmade Almond Nails")</x:f>
        <x:v>HYPERLINK is not implemented. linkLocation=https://365nails.com/products/365nails-lavender-dreams-3d-floral-chrome-handmade-almond-nails, friendlyName=365nails: "Lavender Dreams" – 3D Floral &amp; Chrome Handmade Almond Nails</x:v>
      </x:c>
      <x:c r="D4035" s="18" t="str">
        <x:v>Size: XS / S / M / L</x:v>
      </x:c>
      <x:c r="E4035" s="25" t="str">
        <x:v>$3.99</x:v>
      </x:c>
      <x:c r="F4035" s="19" t="str">
        <x:v>5</x:v>
      </x:c>
    </x:row>
    <x:row r="4036" ht="93" customHeight="1">
      <x:c r="A4036" s="19" t="n">
        <x:v>4033</x:v>
      </x:c>
      <x:c r="B4036" s="22" t="e">
        <x:f>HYPERLINK("https://cdn.shopify.com/s/files/1/0918/6066/4603/files/b100a419c85173c6a62f949e70e5041a.jpg?v=1775724539","Open")</x:f>
        <x:v>HYPERLINK is not implemented. linkLocation=https://cdn.shopify.com/s/files/1/0918/6066/4603/files/b100a419c85173c6a62f949e70e5041a.jpg?v=1775724539, friendlyName=Open</x:v>
      </x:c>
      <x:c r="C4036" s="24" t="e">
        <x:f>HYPERLINK("https://365nails.com/products/365nails-royal-flush-3d-gem-gold-leaf-handmade-almond-nails","365nails: ""Royal Flush"" – 3D Gem &amp; Gold Leaf Handmade Almond Nails")</x:f>
        <x:v>HYPERLINK is not implemented. linkLocation=https://365nails.com/products/365nails-royal-flush-3d-gem-gold-leaf-handmade-almond-nails, friendlyName=365nails: "Royal Flush" – 3D Gem &amp; Gold Leaf Handmade Almond Nails</x:v>
      </x:c>
      <x:c r="D4036" s="18" t="str">
        <x:v>Size: XS / S / M / L</x:v>
      </x:c>
      <x:c r="E4036" s="25" t="str">
        <x:v>$2.99</x:v>
      </x:c>
      <x:c r="F4036" s="19" t="str">
        <x:v>5</x:v>
      </x:c>
    </x:row>
    <x:row r="4037" ht="93" customHeight="1">
      <x:c r="A4037" s="19" t="n">
        <x:v>4034</x:v>
      </x:c>
      <x:c r="B4037" s="22" t="e">
        <x:f>HYPERLINK("https://cdn.shopify.com/s/files/1/0918/6066/4603/files/274090fab98b988c80eacdcca2fa26b3.jpg?v=1776322694","Open")</x:f>
        <x:v>HYPERLINK is not implemented. linkLocation=https://cdn.shopify.com/s/files/1/0918/6066/4603/files/274090fab98b988c80eacdcca2fa26b3.jpg?v=1776322694, friendlyName=Open</x:v>
      </x:c>
      <x:c r="C4037" s="24" t="e">
        <x:f>HYPERLINK("https://365nails.com/products/365nails-fast-food-friends-3d-cartoon-food-short-square-nails","365nails: ""Fast Food Friends"" – 3D Cartoon Food Short Square Nails")</x:f>
        <x:v>HYPERLINK is not implemented. linkLocation=https://365nails.com/products/365nails-fast-food-friends-3d-cartoon-food-short-square-nails, friendlyName=365nails: "Fast Food Friends" – 3D Cartoon Food Short Square Nails</x:v>
      </x:c>
      <x:c r="D4037" s="18" t="str">
        <x:v>Size: XS / S / M / L</x:v>
      </x:c>
      <x:c r="E4037" s="25" t="str">
        <x:v>$3.99</x:v>
      </x:c>
      <x:c r="F4037" s="19" t="str">
        <x:v>5</x:v>
      </x:c>
    </x:row>
    <x:row r="4038" ht="93" customHeight="1">
      <x:c r="A4038" s="19" t="n">
        <x:v>4035</x:v>
      </x:c>
      <x:c r="B4038" s="22" t="e">
        <x:f>HYPERLINK("https://cdn.shopify.com/s/files/1/0918/6066/4603/files/075e648b900408dfaa3a8178c40041bf.jpg?v=1778244423","Open")</x:f>
        <x:v>HYPERLINK is not implemented. linkLocation=https://cdn.shopify.com/s/files/1/0918/6066/4603/files/075e648b900408dfaa3a8178c40041bf.jpg?v=1778244423, friendlyName=Open</x:v>
      </x:c>
      <x:c r="C4038" s="24" t="e">
        <x:f>HYPERLINK("https://365nails.com/products/365nails-golden-hour-3d-crystal-chevron-handmade-medium-square-nails","365nails: ""Golden Hour"" – 3D Crystal &amp; Chevron Handmade Medium Square Nails")</x:f>
        <x:v>HYPERLINK is not implemented. linkLocation=https://365nails.com/products/365nails-golden-hour-3d-crystal-chevron-handmade-medium-square-nails, friendlyName=365nails: "Golden Hour" – 3D Crystal &amp; Chevron Handmade Medium Square Nails</x:v>
      </x:c>
      <x:c r="D4038" s="18" t="str">
        <x:v>Size: XS / S / M / L</x:v>
      </x:c>
      <x:c r="E4038" s="25" t="str">
        <x:v>$3.99</x:v>
      </x:c>
      <x:c r="F4038" s="19" t="str">
        <x:v>5</x:v>
      </x:c>
    </x:row>
    <x:row r="4039" ht="93" customHeight="1">
      <x:c r="A4039" s="19" t="n">
        <x:v>4036</x:v>
      </x:c>
      <x:c r="B4039" s="22" t="e">
        <x:f>HYPERLINK("https://cdn.shopify.com/s/files/1/0918/6066/4603/files/628d9afd165b56c6dc644f2cc8510b5c.jpg?v=1772707679","Open")</x:f>
        <x:v>HYPERLINK is not implemented. linkLocation=https://cdn.shopify.com/s/files/1/0918/6066/4603/files/628d9afd165b56c6dc644f2cc8510b5c.jpg?v=1772707679, friendlyName=Open</x:v>
      </x:c>
      <x:c r="C4039" s="24" t="e">
        <x:f>HYPERLINK("https://365nails.com/products/365nails-semi-matte-french-nail-tips-medium-almond-nail-extensions","365nails: ""Semi-Matte French Nail Tips"" – Medium Almond Nail Extensions")</x:f>
        <x:v>HYPERLINK is not implemented. linkLocation=https://365nails.com/products/365nails-semi-matte-french-nail-tips-medium-almond-nail-extensions, friendlyName=365nails: "Semi-Matte French Nail Tips" – Medium Almond Nail Extensions</x:v>
      </x:c>
      <x:c r="D4039" s="18" t="str">
        <x:v>Color: Ys-170*120 pieces/bag</x:v>
      </x:c>
      <x:c r="E4039" s="25" t="str">
        <x:v>$0.63</x:v>
      </x:c>
      <x:c r="F4039" s="19" t="str">
        <x:v>3</x:v>
      </x:c>
    </x:row>
    <x:row r="4040" ht="93" customHeight="1">
      <x:c r="A4040" s="19" t="n">
        <x:v>4037</x:v>
      </x:c>
      <x:c r="B4040" s="22" t="e">
        <x:f>HYPERLINK("https://cdn.shopify.com/s/files/1/0918/6066/4603/files/135bc4fe2105463751cfae86bbef0b11.jpg?v=1776173173","Open")</x:f>
        <x:v>HYPERLINK is not implemented. linkLocation=https://cdn.shopify.com/s/files/1/0918/6066/4603/files/135bc4fe2105463751cfae86bbef0b11.jpg?v=1776173173, friendlyName=Open</x:v>
      </x:c>
      <x:c r="C4040" s="24" t="e">
        <x:f>HYPERLINK("https://365nails.com/products/365nails-cozy-cocoa-pals-3d-animal-bow-handmade-short-square-nails","365nails: ""Cozy Cocoa Pals"" – 3D Animal &amp; Bow Handmade Short Square Nails")</x:f>
        <x:v>HYPERLINK is not implemented. linkLocation=https://365nails.com/products/365nails-cozy-cocoa-pals-3d-animal-bow-handmade-short-square-nails, friendlyName=365nails: "Cozy Cocoa Pals" – 3D Animal &amp; Bow Handmade Short Square Nails</x:v>
      </x:c>
      <x:c r="D4040" s="18" t="str">
        <x:v>Size: XS / S / M / L</x:v>
      </x:c>
      <x:c r="E4040" s="25" t="str">
        <x:v>$1.99</x:v>
      </x:c>
      <x:c r="F4040" s="19" t="str">
        <x:v>3</x:v>
      </x:c>
    </x:row>
    <x:row r="4041" ht="93" customHeight="1">
      <x:c r="A4041" s="19" t="n">
        <x:v>4038</x:v>
      </x:c>
      <x:c r="B4041" s="22" t="e">
        <x:f>HYPERLINK("https://cdn.shopify.com/s/files/1/0918/6066/4603/files/a1773df55c070acce3e80bc7f19fedb7.jpg?v=1775908730","Open")</x:f>
        <x:v>HYPERLINK is not implemented. linkLocation=https://cdn.shopify.com/s/files/1/0918/6066/4603/files/a1773df55c070acce3e80bc7f19fedb7.jpg?v=1775908730, friendlyName=Open</x:v>
      </x:c>
      <x:c r="C4041" s="24" t="e">
        <x:f>HYPERLINK("https://365nails.com/products/365nails-summer-hive-3d-floral-handmade-stiletto-nails","365nails: ""Summer Hive"" – 3D Floral Handmade Stiletto Nails")</x:f>
        <x:v>HYPERLINK is not implemented. linkLocation=https://365nails.com/products/365nails-summer-hive-3d-floral-handmade-stiletto-nails, friendlyName=365nails: "Summer Hive" – 3D Floral Handmade Stiletto Nails</x:v>
      </x:c>
      <x:c r="D4041" s="18" t="str">
        <x:v>Size: XS / S / M / L</x:v>
      </x:c>
      <x:c r="E4041" s="25" t="str">
        <x:v>$3.99</x:v>
      </x:c>
      <x:c r="F4041" s="19" t="str">
        <x:v>5</x:v>
      </x:c>
    </x:row>
    <x:row r="4042" ht="93" customHeight="1">
      <x:c r="A4042" s="19" t="n">
        <x:v>4039</x:v>
      </x:c>
      <x:c r="B4042" s="22" t="e">
        <x:f>HYPERLINK("https://cdn.shopify.com/s/files/1/0918/6066/4603/files/4fdd530cf1ea574a4ed592b3f204b2f6.jpg?v=1776244039","Open")</x:f>
        <x:v>HYPERLINK is not implemented. linkLocation=https://cdn.shopify.com/s/files/1/0918/6066/4603/files/4fdd530cf1ea574a4ed592b3f204b2f6.jpg?v=1776244039, friendlyName=Open</x:v>
      </x:c>
      <x:c r="C4042" s="24" t="e">
        <x:f>HYPERLINK("https://365nails.com/products/365nails-sweet-owls-valentine-3d-character-handmade-short-nails","365nails: ""Sweet Owl's Valentine"" – 3D Character Handmade Short Nails")</x:f>
        <x:v>HYPERLINK is not implemented. linkLocation=https://365nails.com/products/365nails-sweet-owls-valentine-3d-character-handmade-short-nails, friendlyName=365nails: "Sweet Owl's Valentine" – 3D Character Handmade Short Nails</x:v>
      </x:c>
      <x:c r="D4042" s="18" t="str">
        <x:v>Size: XS / S / M / L</x:v>
      </x:c>
      <x:c r="E4042" s="25" t="str">
        <x:v>$2.49</x:v>
      </x:c>
      <x:c r="F4042" s="19" t="str">
        <x:v>3</x:v>
      </x:c>
    </x:row>
    <x:row r="4043" ht="93" customHeight="1">
      <x:c r="A4043" s="19" t="n">
        <x:v>4040</x:v>
      </x:c>
      <x:c r="B4043" s="22" t="e">
        <x:f>HYPERLINK("https://cdn.shopify.com/s/files/1/0918/6066/4603/files/296d27c41471cd380237c098cf258b51.jpg?v=1778242106","Open")</x:f>
        <x:v>HYPERLINK is not implemented. linkLocation=https://cdn.shopify.com/s/files/1/0918/6066/4603/files/296d27c41471cd380237c098cf258b51.jpg?v=1778242106, friendlyName=Open</x:v>
      </x:c>
      <x:c r="C4043" s="24" t="e">
        <x:f>HYPERLINK("https://365nails.com/products/365nails-crystal-cascade-3d-rhinestone-handmade-long-coffin-nails","365nails: ""Crystal Cascade"" – 3D Rhinestone Handmade Long Coffin Nails")</x:f>
        <x:v>HYPERLINK is not implemented. linkLocation=https://365nails.com/products/365nails-crystal-cascade-3d-rhinestone-handmade-long-coffin-nails, friendlyName=365nails: "Crystal Cascade" – 3D Rhinestone Handmade Long Coffin Nails</x:v>
      </x:c>
      <x:c r="D4043" s="18" t="str">
        <x:v>Size: XS / S / M / L</x:v>
      </x:c>
      <x:c r="E4043" s="25" t="str">
        <x:v>$4.99</x:v>
      </x:c>
      <x:c r="F4043" s="19" t="str">
        <x:v>5</x:v>
      </x:c>
    </x:row>
    <x:row r="4044" ht="93" customHeight="1">
      <x:c r="A4044" s="19" t="n">
        <x:v>4041</x:v>
      </x:c>
      <x:c r="B4044" s="22" t="e">
        <x:f>HYPERLINK("https://cdn.shopify.com/s/files/1/0918/6066/4603/files/bbcffa4a676ce554e9abf868d6217909.jpg?v=1778318777","Open")</x:f>
        <x:v>HYPERLINK is not implemented. linkLocation=https://cdn.shopify.com/s/files/1/0918/6066/4603/files/bbcffa4a676ce554e9abf868d6217909.jpg?v=1778318777, friendlyName=Open</x:v>
      </x:c>
      <x:c r="C4044" s="24" t="e">
        <x:f>HYPERLINK("https://365nails.com/products/365nails-golden-hour-diva-3d-metal-ombre-handmade-almond-nails","365nails: ""Golden Hour Diva"" – 3D Metal &amp; Ombré Handmade Almond Nails")</x:f>
        <x:v>HYPERLINK is not implemented. linkLocation=https://365nails.com/products/365nails-golden-hour-diva-3d-metal-ombre-handmade-almond-nails, friendlyName=365nails: "Golden Hour Diva" – 3D Metal &amp; Ombré Handmade Almond Nails</x:v>
      </x:c>
      <x:c r="D4044" s="18" t="str">
        <x:v>Size: XS / S / M / L</x:v>
      </x:c>
      <x:c r="E4044" s="25" t="str">
        <x:v>$2.99</x:v>
      </x:c>
      <x:c r="F4044" s="19" t="str">
        <x:v>5</x:v>
      </x:c>
    </x:row>
    <x:row r="4045" ht="93" customHeight="1">
      <x:c r="A4045" s="19" t="n">
        <x:v>4042</x:v>
      </x:c>
      <x:c r="B4045" s="22" t="e">
        <x:f>HYPERLINK("https://cdn.shopify.com/s/files/1/0918/6066/4603/files/8163c368d4c8d2f28c6f53e801b93474.jpg?v=1778318631","Open")</x:f>
        <x:v>HYPERLINK is not implemented. linkLocation=https://cdn.shopify.com/s/files/1/0918/6066/4603/files/8163c368d4c8d2f28c6f53e801b93474.jpg?v=1778318631, friendlyName=Open</x:v>
      </x:c>
      <x:c r="C4045" s="24" t="e">
        <x:f>HYPERLINK("https://365nails.com/products/365nails-blue-heart-fantasy-3d-charms-rhinestone-handmade-almond-nails","365nails: ""Blue Heart Fantasy"" – 3D Charms &amp; Rhinestone Handmade Almond Nails")</x:f>
        <x:v>HYPERLINK is not implemented. linkLocation=https://365nails.com/products/365nails-blue-heart-fantasy-3d-charms-rhinestone-handmade-almond-nails, friendlyName=365nails: "Blue Heart Fantasy" – 3D Charms &amp; Rhinestone Handmade Almond Nails</x:v>
      </x:c>
      <x:c r="D4045" s="18" t="str">
        <x:v>Size: XS / S / M / L</x:v>
      </x:c>
      <x:c r="E4045" s="25" t="str">
        <x:v>$2.99</x:v>
      </x:c>
      <x:c r="F4045" s="19" t="str">
        <x:v>5</x:v>
      </x:c>
    </x:row>
    <x:row r="4046" ht="93" customHeight="1">
      <x:c r="A4046" s="19" t="n">
        <x:v>4043</x:v>
      </x:c>
      <x:c r="B4046" s="22" t="e">
        <x:f>HYPERLINK("https://cdn.shopify.com/s/files/1/0918/6066/4603/files/O1CN01RQEynz2MQzdy2I68Q__2219089449823-0-cib.jpg?v=1774096982","Open")</x:f>
        <x:v>HYPERLINK is not implemented. linkLocation=https://cdn.shopify.com/s/files/1/0918/6066/4603/files/O1CN01RQEynz2MQzdy2I68Q__2219089449823-0-cib.jpg?v=1774096982, friendlyName=Open</x:v>
      </x:c>
      <x:c r="C4046" s="24" t="e">
        <x:f>HYPERLINK("https://365nails.com/products/citrus-bloom-pink-lemonade-almond-press-ons","Citrus Bloom: ""Pink Lemonade"" – Almond Press-Ons")</x:f>
        <x:v>HYPERLINK is not implemented. linkLocation=https://365nails.com/products/citrus-bloom-pink-lemonade-almond-press-ons, friendlyName=Citrus Bloom: "Pink Lemonade" – Almond Press-Ons</x:v>
      </x:c>
      <x:c r="D4046" s="18" t="str">
        <x:v>Color: D417; Color classification: X s / S / M / L</x:v>
      </x:c>
      <x:c r="E4046" s="25" t="str">
        <x:v>$3.99</x:v>
      </x:c>
      <x:c r="F4046" s="19" t="str">
        <x:v>1</x:v>
      </x:c>
    </x:row>
    <x:row r="4047" ht="93" customHeight="1">
      <x:c r="A4047" s="19" t="n">
        <x:v>4044</x:v>
      </x:c>
      <x:c r="B4047" s="22" t="e">
        <x:f>HYPERLINK("https://cdn.shopify.com/s/files/1/0918/6066/4603/files/O1CN01733jPZ2MQzdprGMc6__2219089449823-0-cib.jpg?v=1774096944","Open")</x:f>
        <x:v>HYPERLINK is not implemented. linkLocation=https://cdn.shopify.com/s/files/1/0918/6066/4603/files/O1CN01733jPZ2MQzdprGMc6__2219089449823-0-cib.jpg?v=1774096944, friendlyName=Open</x:v>
      </x:c>
      <x:c r="C4047" s="24" t="e">
        <x:f>HYPERLINK("https://365nails.com/products/dark-romance-noir-heart-almond-press-ons","Dark Romance: ""Noir Heart"" – Almond Press-Ons")</x:f>
        <x:v>HYPERLINK is not implemented. linkLocation=https://365nails.com/products/dark-romance-noir-heart-almond-press-ons, friendlyName=Dark Romance: "Noir Heart" – Almond Press-Ons</x:v>
      </x:c>
      <x:c r="D4047" s="18" t="str">
        <x:v>Color: D57; Color classification: X s / S / M / L</x:v>
      </x:c>
      <x:c r="E4047" s="25" t="str">
        <x:v>$3.99</x:v>
      </x:c>
      <x:c r="F4047" s="19" t="str">
        <x:v>1</x:v>
      </x:c>
    </x:row>
    <x:row r="4048" ht="93" customHeight="1">
      <x:c r="A4048" s="19" t="n">
        <x:v>4045</x:v>
      </x:c>
      <x:c r="B4048" s="22" t="e">
        <x:f>HYPERLINK("https://cdn.shopify.com/s/files/1/0918/6066/4603/files/O1CN01Y3eQYf2MQzdt2bpcQ__2219089449823-0-cib.jpg?v=1774096956","Open")</x:f>
        <x:v>HYPERLINK is not implemented. linkLocation=https://cdn.shopify.com/s/files/1/0918/6066/4603/files/O1CN01Y3eQYf2MQzdt2bpcQ__2219089449823-0-cib.jpg?v=1774096956, friendlyName=Open</x:v>
      </x:c>
      <x:c r="C4048" s="24" t="e">
        <x:f>HYPERLINK("https://365nails.com/products/royal-gala-crimson-bow-short-square-press-ons","Royal Gala: ""Crimson Bow"" – Short Square Press-Ons")</x:f>
        <x:v>HYPERLINK is not implemented. linkLocation=https://365nails.com/products/royal-gala-crimson-bow-short-square-press-ons, friendlyName=Royal Gala: "Crimson Bow" – Short Square Press-Ons</x:v>
      </x:c>
      <x:c r="D4048" s="18" t="str">
        <x:v>Color: L284; Color classification: X s / S / M / L</x:v>
      </x:c>
      <x:c r="E4048" s="25" t="str">
        <x:v>$4.99</x:v>
      </x:c>
      <x:c r="F4048" s="19" t="str">
        <x:v>1</x:v>
      </x:c>
    </x:row>
    <x:row r="4049" ht="93" customHeight="1">
      <x:c r="A4049" s="19" t="n">
        <x:v>4046</x:v>
      </x:c>
      <x:c r="B4049" s="22" t="e">
        <x:f>HYPERLINK("https://cdn.shopify.com/s/files/1/0918/6066/4603/files/O1CN01UWrbXd2214tGybG2N__2219480337059-0-cib.jpg?v=1773321120","Open")</x:f>
        <x:v>HYPERLINK is not implemented. linkLocation=https://cdn.shopify.com/s/files/1/0918/6066/4603/files/O1CN01UWrbXd2214tGybG2N__2219480337059-0-cib.jpg?v=1773321120, friendlyName=Open</x:v>
      </x:c>
      <x:c r="C4049" s="24" t="e">
        <x:f>HYPERLINK("https://365nails.com/products/365nails-caramel-labubu-buddies-short-round-handmade-kids-press-on-nails","365nails: ""caramel labubu buddies"" – short round handmade kids press-on nails")</x:f>
        <x:v>HYPERLINK is not implemented. linkLocation=https://365nails.com/products/365nails-caramel-labubu-buddies-short-round-handmade-kids-press-on-nails, friendlyName=365nails: "caramel labubu buddies" – short round handmade kids press-on nails</x:v>
      </x:c>
      <x:c r="D4049" s="18" t="str">
        <x:v>Color: Labubu / Pink labubu / Pull the ribbon / Labbu bow / Labubu kt / Labubu candy / Labubu family / Four-color louboutin fabric; Color classification: Xs (about 2 years old) / S (3-4 years old) / M (5-7 years old) / L (8-11 years old)</x:v>
      </x:c>
      <x:c r="E4049" s="25" t="str">
        <x:v>$2.99</x:v>
      </x:c>
      <x:c r="F4049" s="19" t="str">
        <x:v>3</x:v>
      </x:c>
    </x:row>
    <x:row r="4050" ht="93" customHeight="1">
      <x:c r="A4050" s="19" t="n">
        <x:v>4047</x:v>
      </x:c>
      <x:c r="B4050" s="22" t="e">
        <x:f>HYPERLINK("https://cdn.shopify.com/s/files/1/0918/6066/4603/files/O1CN01J5yWpy2MQzdxVU2q5__2219089449823-0-cib.jpg?v=1774096977","Open")</x:f>
        <x:v>HYPERLINK is not implemented. linkLocation=https://cdn.shopify.com/s/files/1/0918/6066/4603/files/O1CN01J5yWpy2MQzdxVU2q5__2219089449823-0-cib.jpg?v=1774096977, friendlyName=Open</x:v>
      </x:c>
      <x:c r="C4050" s="24" t="e">
        <x:f>HYPERLINK("https://365nails.com/products/ocean-breeze-cyan-wave-almond-press-ons","Ocean Breeze: ""Cyan Wave"" – Almond Press-Ons")</x:f>
        <x:v>HYPERLINK is not implemented. linkLocation=https://365nails.com/products/ocean-breeze-cyan-wave-almond-press-ons, friendlyName=Ocean Breeze: "Cyan Wave" – Almond Press-Ons</x:v>
      </x:c>
      <x:c r="D4050" s="18" t="str">
        <x:v>Color: D520; Color classification: X s / S / M / L</x:v>
      </x:c>
      <x:c r="E4050" s="25" t="str">
        <x:v>$3.99</x:v>
      </x:c>
      <x:c r="F4050" s="19" t="str">
        <x:v>1</x:v>
      </x:c>
    </x:row>
    <x:row r="4051" ht="93" customHeight="1">
      <x:c r="A4051" s="19" t="n">
        <x:v>4048</x:v>
      </x:c>
      <x:c r="B4051" s="22" t="e">
        <x:f>HYPERLINK("https://cdn.shopify.com/s/files/1/0918/6066/4603/files/621a45d6e3c276a8d94926d7e19f721b.jpg?v=1778317136","Open")</x:f>
        <x:v>HYPERLINK is not implemented. linkLocation=https://cdn.shopify.com/s/files/1/0918/6066/4603/files/621a45d6e3c276a8d94926d7e19f721b.jpg?v=1778317136, friendlyName=Open</x:v>
      </x:c>
      <x:c r="C4051" s="24" t="e">
        <x:f>HYPERLINK("https://365nails.com/products/365nails-sweet-dream-3d-flower-rhinestone-handmade-coffin-nails","365nails: ""Sweet Dream"" – 3D Flower &amp; Rhinestone Handmade Coffin Nails")</x:f>
        <x:v>HYPERLINK is not implemented. linkLocation=https://365nails.com/products/365nails-sweet-dream-3d-flower-rhinestone-handmade-coffin-nails, friendlyName=365nails: "Sweet Dream" – 3D Flower &amp; Rhinestone Handmade Coffin Nails</x:v>
      </x:c>
      <x:c r="D4051" s="18" t="str">
        <x:v>Size: XS / S / M / L</x:v>
      </x:c>
      <x:c r="E4051" s="25" t="str">
        <x:v>$3.99</x:v>
      </x:c>
      <x:c r="F4051" s="19" t="str">
        <x:v>5</x:v>
      </x:c>
    </x:row>
    <x:row r="4052" ht="93" customHeight="1">
      <x:c r="A4052" s="19" t="n">
        <x:v>4049</x:v>
      </x:c>
      <x:c r="B4052" s="22" t="e">
        <x:f>HYPERLINK("https://cdn.shopify.com/s/files/1/0918/6066/4603/files/O1CN01C141BZ1CPwPh0yIZV__2213196780074-0-cib.jpg?v=1776936165","Open")</x:f>
        <x:v>HYPERLINK is not implemented. linkLocation=https://cdn.shopify.com/s/files/1/0918/6066/4603/files/O1CN01C141BZ1CPwPh0yIZV__2213196780074-0-cib.jpg?v=1776936165, friendlyName=Open</x:v>
      </x:c>
      <x:c r="C4052" s="24" t="e">
        <x:f>HYPERLINK("https://365nails.com/products/365nails-whimsical-hearts-3d-cat-plaid-handmade-short-square-nails","365nails: ""Whimsical Hearts"" – 3D Cat &amp; Plaid Handmade Short Square Nails")</x:f>
        <x:v>HYPERLINK is not implemented. linkLocation=https://365nails.com/products/365nails-whimsical-hearts-3d-cat-plaid-handmade-short-square-nails, friendlyName=365nails: "Whimsical Hearts" – 3D Cat &amp; Plaid Handmade Short Square Nails</x:v>
      </x:c>
      <x:c r="D4052" s="18" t="str">
        <x:v>Color: W440-short round; Color classification: Extra small size xs / Small s / Medium m / Large l</x:v>
      </x:c>
      <x:c r="E4052" s="25" t="str">
        <x:v>$2.49</x:v>
      </x:c>
      <x:c r="F4052" s="19" t="str">
        <x:v>1</x:v>
      </x:c>
    </x:row>
    <x:row r="4053" ht="93" customHeight="1">
      <x:c r="A4053" s="19" t="n">
        <x:v>4050</x:v>
      </x:c>
      <x:c r="B4053" s="22" t="e">
        <x:f>HYPERLINK("https://cdn.shopify.com/s/files/1/0918/6066/4603/files/O1CN0191w1NB27ZUmQfVnyc__2220024697811-0-cib.jpg?v=1774863762","Open")</x:f>
        <x:v>HYPERLINK is not implemented. linkLocation=https://cdn.shopify.com/s/files/1/0918/6066/4603/files/O1CN0191w1NB27ZUmQfVnyc__2220024697811-0-cib.jpg?v=1774863762, friendlyName=Open</x:v>
      </x:c>
      <x:c r="C4053" s="24" t="e">
        <x:f>HYPERLINK("https://365nails.com/products/365nails-midnight-garden-3d-floral-gold-leaf-handmade-stiletto-nails","365nails: ""Midnight Garden"" – 3D Floral &amp; Gold Leaf Handmade Stiletto Nails")</x:f>
        <x:v>HYPERLINK is not implemented. linkLocation=https://365nails.com/products/365nails-midnight-garden-3d-floral-gold-leaf-handmade-stiletto-nails, friendlyName=365nails: "Midnight Garden" – 3D Floral &amp; Gold Leaf Handmade Stiletto Nails</x:v>
      </x:c>
      <x:c r="D4053" s="18" t="str">
        <x:v>Color: Long tip; Color classification: Xs / S / M / L</x:v>
      </x:c>
      <x:c r="E4053" s="25" t="str">
        <x:v>$5.49</x:v>
      </x:c>
      <x:c r="F4053" s="19" t="str">
        <x:v>3</x:v>
      </x:c>
    </x:row>
    <x:row r="4054" ht="93" customHeight="1">
      <x:c r="A4054" s="19" t="n">
        <x:v>4051</x:v>
      </x:c>
      <x:c r="B4054" s="22" t="e">
        <x:f>HYPERLINK("https://cdn.shopify.com/s/files/1/0918/6066/4603/files/f1a8dde4d6b27dd4f5db3c6053fe2fbc.jpg?v=1772976772","Open")</x:f>
        <x:v>HYPERLINK is not implemented. linkLocation=https://cdn.shopify.com/s/files/1/0918/6066/4603/files/f1a8dde4d6b27dd4f5db3c6053fe2fbc.jpg?v=1772976772, friendlyName=Open</x:v>
      </x:c>
      <x:c r="C4054" s="24" t="e">
        <x:f>HYPERLINK("https://365nails.com/products/pro-multi-style-collection-dual-size-nail-tip-assortment-dual-size-nail-tips-boxed","Pro Multi-Style Collection: ""Dual-Size Nail Tip Assortment"" – Dual-Size Nail Tips (Boxed)")</x:f>
        <x:v>HYPERLINK is not implemented. linkLocation=https://365nails.com/products/pro-multi-style-collection-dual-size-nail-tip-assortment-dual-size-nail-tips-boxed, friendlyName=Pro Multi-Style Collection: "Dual-Size Nail Tip Assortment" – Dual-Size Nail Tips (Boxed)</x:v>
      </x:c>
      <x:c r="D4054" s="18" t="str">
        <x:v>Color: 62-traceless and transparent 240-piece box / 62-traceless and transparent 504-piece box / 63-traceless and transparent 240-piece box / 63-traceless transparent 504-piece box / 66-traceless and transparent 240-piece box / 66-traceless and transparent 504-piece box / 67-traceless and transparent 240-piece box / 67-traceless transparent 504-piece box / 69-traceless and transparent 240-piece box / 69-traceless transparent 504-piece box / 73-traceless and transparent 240-piece box / 73 - seamless transparent 504-piece box (break-away sheets)</x:v>
      </x:c>
      <x:c r="E4054" s="25" t="str">
        <x:v>$1.18–$2.46</x:v>
      </x:c>
      <x:c r="F4054" s="19" t="str">
        <x:v>3</x:v>
      </x:c>
    </x:row>
    <x:row r="4055" ht="93" customHeight="1">
      <x:c r="A4055" s="19" t="n">
        <x:v>4052</x:v>
      </x:c>
      <x:c r="B4055" s="22" t="e">
        <x:f>HYPERLINK("https://cdn.shopify.com/s/files/1/0918/6066/4603/files/O1CN01rngTz71CPwKjW6bC7__2213196780074-0-cib.jpg?v=1776762644","Open")</x:f>
        <x:v>HYPERLINK is not implemented. linkLocation=https://cdn.shopify.com/s/files/1/0918/6066/4603/files/O1CN01rngTz71CPwKjW6bC7__2213196780074-0-cib.jpg?v=1776762644, friendlyName=Open</x:v>
      </x:c>
      <x:c r="C4055" s="24" t="e">
        <x:f>HYPERLINK("https://365nails.com/products/365nails-crimson-blossom-hand-painted-floral-gemstone-accents-press-on-nails-coffin-nails","365nails: ""Crimson Blossom"" – Hand-Painted Floral &amp; Gemstone Accents Press-On Nails Coffin Nails")</x:f>
        <x:v>HYPERLINK is not implemented. linkLocation=https://365nails.com/products/365nails-crimson-blossom-hand-painted-floral-gemstone-accents-press-on-nails-coffin-nails, friendlyName=365nails: "Crimson Blossom" – Hand-Painted Floral &amp; Gemstone Accents Press-On Nails Coffin Nails</x:v>
      </x:c>
      <x:c r="D4055" s="18" t="str">
        <x:v>Color: Extra small size xs / Small s / Medium m / Large l; Specification type: 2805 - slim dog ladder</x:v>
      </x:c>
      <x:c r="E4055" s="25" t="str">
        <x:v>$3.99</x:v>
      </x:c>
      <x:c r="F4055" s="19" t="str">
        <x:v>1</x:v>
      </x:c>
    </x:row>
    <x:row r="4056" ht="93" customHeight="1">
      <x:c r="A4056" s="19" t="n">
        <x:v>4053</x:v>
      </x:c>
      <x:c r="B4056" s="22" t="e">
        <x:f>HYPERLINK("https://cdn.shopify.com/s/files/1/0918/6066/4603/files/73daf711f9bc261050372257e22f3f9a.jpg?v=1776322976","Open")</x:f>
        <x:v>HYPERLINK is not implemented. linkLocation=https://cdn.shopify.com/s/files/1/0918/6066/4603/files/73daf711f9bc261050372257e22f3f9a.jpg?v=1776322976, friendlyName=Open</x:v>
      </x:c>
      <x:c r="C4056" s="24" t="e">
        <x:f>HYPERLINK("https://365nails.com/products/365nails-dark-kawaii-dreams-3d-hello-kitty-short-square-nails","365nails: ""Dark Kawaii Dreams"" – 3D Hello Kitty Short Square Nails")</x:f>
        <x:v>HYPERLINK is not implemented. linkLocation=https://365nails.com/products/365nails-dark-kawaii-dreams-3d-hello-kitty-short-square-nails, friendlyName=365nails: "Dark Kawaii Dreams" – 3D Hello Kitty Short Square Nails</x:v>
      </x:c>
      <x:c r="D4056" s="18" t="str">
        <x:v>Size: XS / S / M / L</x:v>
      </x:c>
      <x:c r="E4056" s="25" t="str">
        <x:v>$3.99</x:v>
      </x:c>
      <x:c r="F4056" s="19" t="str">
        <x:v>5</x:v>
      </x:c>
    </x:row>
    <x:row r="4057" ht="93" customHeight="1">
      <x:c r="A4057" s="19" t="n">
        <x:v>4054</x:v>
      </x:c>
      <x:c r="B4057" s="22" t="e">
        <x:f>HYPERLINK("https://cdn.shopify.com/s/files/1/0918/6066/4603/files/0a6321761e1e264cdf9681034f097230.jpg?v=1778244661","Open")</x:f>
        <x:v>HYPERLINK is not implemented. linkLocation=https://cdn.shopify.com/s/files/1/0918/6066/4603/files/0a6321761e1e264cdf9681034f097230.jpg?v=1778244661, friendlyName=Open</x:v>
      </x:c>
      <x:c r="C4057" s="24" t="e">
        <x:f>HYPERLINK("https://365nails.com/products/365nails-midnight-velvet-3d-floral-spider-gel-handmade-stiletto-nails","365nails: ""Midnight Velvet"" – 3D Floral &amp; Spider Gel Handmade Stiletto Nails")</x:f>
        <x:v>HYPERLINK is not implemented. linkLocation=https://365nails.com/products/365nails-midnight-velvet-3d-floral-spider-gel-handmade-stiletto-nails, friendlyName=365nails: "Midnight Velvet" – 3D Floral &amp; Spider Gel Handmade Stiletto Nails</x:v>
      </x:c>
      <x:c r="D4057" s="18" t="str">
        <x:v>Size: XS / S / M / L</x:v>
      </x:c>
      <x:c r="E4057" s="25" t="str">
        <x:v>$3.99</x:v>
      </x:c>
      <x:c r="F4057" s="19" t="str">
        <x:v>5</x:v>
      </x:c>
    </x:row>
    <x:row r="4058" ht="93" customHeight="1">
      <x:c r="A4058" s="19" t="n">
        <x:v>4055</x:v>
      </x:c>
      <x:c r="B4058" s="22" t="e">
        <x:f>HYPERLINK("https://cdn.shopify.com/s/files/1/0918/6066/4603/files/O1CN01dSoB8b27ZUlkCGbJ6__2220024697811-0-cib.jpg?v=1775110341","Open")</x:f>
        <x:v>HYPERLINK is not implemented. linkLocation=https://cdn.shopify.com/s/files/1/0918/6066/4603/files/O1CN01dSoB8b27ZUlkCGbJ6__2220024697811-0-cib.jpg?v=1775110341, friendlyName=Open</x:v>
      </x:c>
      <x:c r="C4058" s="24" t="e">
        <x:f>HYPERLINK("https://365nails.com/products/365nails-imperial-garden-3d-butterfly-rhinestone-handmade-long-stiletto-nails","365nails: ""Imperial Garden"" – 3D Butterfly &amp; Rhinestone Handmade Long Stiletto Nails")</x:f>
        <x:v>HYPERLINK is not implemented. linkLocation=https://365nails.com/products/365nails-imperial-garden-3d-butterfly-rhinestone-handmade-long-stiletto-nails, friendlyName=365nails: "Imperial Garden" – 3D Butterfly &amp; Rhinestone Handmade Long Stiletto Nails</x:v>
      </x:c>
      <x:c r="D4058" s="18" t="str">
        <x:v>Color: Long tip; Color classification: Xs / S / M / L</x:v>
      </x:c>
      <x:c r="E4058" s="25" t="str">
        <x:v>$4.49</x:v>
      </x:c>
      <x:c r="F4058" s="19" t="str">
        <x:v>3</x:v>
      </x:c>
    </x:row>
    <x:row r="4059" ht="93" customHeight="1">
      <x:c r="A4059" s="19" t="n">
        <x:v>4056</x:v>
      </x:c>
      <x:c r="B4059" s="22" t="e">
        <x:f>HYPERLINK("https://cdn.shopify.com/s/files/1/0918/6066/4603/files/O1CN01IAPMuO2214sxgLeNT__2219480337059-0-cib.jpg?v=1773135290","Open")</x:f>
        <x:v>HYPERLINK is not implemented. linkLocation=https://cdn.shopify.com/s/files/1/0918/6066/4603/files/O1CN01IAPMuO2214sxgLeNT__2219480337059-0-cib.jpg?v=1773135290, friendlyName=Open</x:v>
      </x:c>
      <x:c r="C4059" s="24" t="e">
        <x:f>HYPERLINK("https://365nails.com/products/365nails-pink-sweetheart-melody-short-wide-handmade-kids-press-on-nails","365nails: ""pink sweetheart melody"" – short wide handmade kids press-on nails")</x:f>
        <x:v>HYPERLINK is not implemented. linkLocation=https://365nails.com/products/365nails-pink-sweetheart-melody-short-wide-handmade-kids-press-on-nails, friendlyName=365nails: "pink sweetheart melody" – short wide handmade kids press-on nails</x:v>
      </x:c>
      <x:c r="D4059" s="18" t="str">
        <x:v>Color: Melody stickers; Color classification: Xs (about 2 years old) / S (3-4 years old) / M (5-7 years old) / L (8-11 years old)</x:v>
      </x:c>
      <x:c r="E4059" s="25" t="str">
        <x:v>$2.99</x:v>
      </x:c>
      <x:c r="F4059" s="19" t="str">
        <x:v>3</x:v>
      </x:c>
    </x:row>
    <x:row r="4060" ht="93" customHeight="1">
      <x:c r="A4060" s="19" t="n">
        <x:v>4057</x:v>
      </x:c>
      <x:c r="B4060" s="22" t="e">
        <x:f>HYPERLINK("https://cdn.shopify.com/s/files/1/0918/6066/4603/files/e9c1ca86325546a143b4a5e09cf25825.jpg?v=1778241284","Open")</x:f>
        <x:v>HYPERLINK is not implemented. linkLocation=https://cdn.shopify.com/s/files/1/0918/6066/4603/files/e9c1ca86325546a143b4a5e09cf25825.jpg?v=1778241284, friendlyName=Open</x:v>
      </x:c>
      <x:c r="C4060" s="24" t="e">
        <x:f>HYPERLINK("https://365nails.com/products/365nails-electric-glitz-3d-rhinestone-silver-fringe-handmade-long-coffin-nails","365nails: ""Electric Glitz"" – 3D Rhinestone &amp; Silver Fringe Handmade Long Coffin Nails")</x:f>
        <x:v>HYPERLINK is not implemented. linkLocation=https://365nails.com/products/365nails-electric-glitz-3d-rhinestone-silver-fringe-handmade-long-coffin-nails, friendlyName=365nails: "Electric Glitz" – 3D Rhinestone &amp; Silver Fringe Handmade Long Coffin Nails</x:v>
      </x:c>
      <x:c r="D4060" s="18" t="str">
        <x:v>Size: XS / S / M / L</x:v>
      </x:c>
      <x:c r="E4060" s="25" t="str">
        <x:v>$4.99</x:v>
      </x:c>
      <x:c r="F4060" s="19" t="str">
        <x:v>5</x:v>
      </x:c>
    </x:row>
    <x:row r="4061" ht="93" customHeight="1">
      <x:c r="A4061" s="19" t="n">
        <x:v>4058</x:v>
      </x:c>
      <x:c r="B4061" s="22" t="e">
        <x:f>HYPERLINK("https://cdn.shopify.com/s/files/1/0918/6066/4603/files/O1CN01Cyu0FH1bAhduF6enZ__2216807853425-0-cib.jpg?v=1772373438","Open")</x:f>
        <x:v>HYPERLINK is not implemented. linkLocation=https://cdn.shopify.com/s/files/1/0918/6066/4603/files/O1CN01Cyu0FH1bAhduF6enZ__2216807853425-0-cib.jpg?v=1772373438, friendlyName=Open</x:v>
      </x:c>
      <x:c r="C4061" s="24" t="e">
        <x:f>HYPERLINK("https://365nails.com/products/midnight-bloom-collection-silver-orchid-medium-almond-press-on-nails","Midnight Bloom Collection: ""Silver Orchid"" – Medium Almond Press-On Nails")</x:f>
        <x:v>HYPERLINK is not implemented. linkLocation=https://365nails.com/products/midnight-bloom-collection-silver-orchid-medium-almond-press-on-nails, friendlyName=Midnight Bloom Collection: "Silver Orchid" – Medium Almond Press-On Nails</x:v>
      </x:c>
      <x:c r="D4061" s="18" t="str">
        <x:v>Color: Royal blue·30 pieces (xs+s+m) / Mocha color·30 pieces (xs+s+m) / Burgundy·30 pieces (xs+s+m)</x:v>
      </x:c>
      <x:c r="E4061" s="25" t="str">
        <x:v>$1.16</x:v>
      </x:c>
      <x:c r="F4061" s="19" t="str">
        <x:v>1</x:v>
      </x:c>
    </x:row>
    <x:row r="4062" ht="93" customHeight="1">
      <x:c r="A4062" s="19" t="n">
        <x:v>4059</x:v>
      </x:c>
      <x:c r="B4062" s="22" t="e">
        <x:f>HYPERLINK("https://cdn.shopify.com/s/files/1/0918/6066/4603/files/O1CN017DDvgw2MQzg8lSTTk__2219089449823-0-cib.jpg?v=1774348997","Open")</x:f>
        <x:v>HYPERLINK is not implemented. linkLocation=https://cdn.shopify.com/s/files/1/0918/6066/4603/files/O1CN017DDvgw2MQzg8lSTTk__2219089449823-0-cib.jpg?v=1774348997, friendlyName=Open</x:v>
      </x:c>
      <x:c r="C4062" s="24" t="e">
        <x:f>HYPERLINK("https://365nails.com/products/365nails-purple-zebra-glam-short-square-pink-purple-gradient-handmade-press-on-nails","365nails: ""Purple Zebra Glam"" – Short Square Pink-Purple Gradient Handmade Press-On Nails")</x:f>
        <x:v>HYPERLINK is not implemented. linkLocation=https://365nails.com/products/365nails-purple-zebra-glam-short-square-pink-purple-gradient-handmade-press-on-nails, friendlyName=365nails: "Purple Zebra Glam" – Short Square Pink-Purple Gradient Handmade Press-On Nails</x:v>
      </x:c>
      <x:c r="D4062" s="18" t="str">
        <x:v>Color: L301; Color classification: X s / S / M / L</x:v>
      </x:c>
      <x:c r="E4062" s="25" t="str">
        <x:v>$4.99</x:v>
      </x:c>
      <x:c r="F4062" s="19" t="str">
        <x:v>1</x:v>
      </x:c>
    </x:row>
    <x:row r="4063" ht="93" customHeight="1">
      <x:c r="A4063" s="19" t="n">
        <x:v>4060</x:v>
      </x:c>
      <x:c r="B4063" s="22" t="e">
        <x:f>HYPERLINK("https://cdn.shopify.com/s/files/1/0918/6066/4603/files/O1CN01ruGIrA1CPwIpUOwlA__2213196780074-0-cib.jpg?v=1776937899","Open")</x:f>
        <x:v>HYPERLINK is not implemented. linkLocation=https://cdn.shopify.com/s/files/1/0918/6066/4603/files/O1CN01ruGIrA1CPwIpUOwlA__2213196780074-0-cib.jpg?v=1776937899, friendlyName=Open</x:v>
      </x:c>
      <x:c r="C4063" s="24" t="e">
        <x:f>HYPERLINK("https://365nails.com/products/365nails-dark-pop-queen-3d-doll-heart-charm-handmade-medium-coffin-nails","365nails: ""Dark Pop Queen"" – 3D Doll &amp; Heart Charm Handmade Medium Coffin Nails")</x:f>
        <x:v>HYPERLINK is not implemented. linkLocation=https://365nails.com/products/365nails-dark-pop-queen-3d-doll-heart-charm-handmade-medium-coffin-nails, friendlyName=365nails: "Dark Pop Queen" – 3D Doll &amp; Heart Charm Handmade Medium Coffin Nails</x:v>
      </x:c>
      <x:c r="D4063" s="18" t="str">
        <x:v>Color: 2363-middle ladder; Color classification: Extra small size xs / Small s / Medium m / Large l</x:v>
      </x:c>
      <x:c r="E4063" s="25" t="str">
        <x:v>$3.49</x:v>
      </x:c>
      <x:c r="F4063" s="19" t="str">
        <x:v>1</x:v>
      </x:c>
    </x:row>
    <x:row r="4064" ht="93" customHeight="1">
      <x:c r="A4064" s="19" t="n">
        <x:v>4061</x:v>
      </x:c>
      <x:c r="B4064" s="22" t="e">
        <x:f>HYPERLINK("https://cdn.shopify.com/s/files/1/0918/6066/4603/files/76025c9ff6ebbc86ac6fc43405c3e349.jpg?v=1778317368","Open")</x:f>
        <x:v>HYPERLINK is not implemented. linkLocation=https://cdn.shopify.com/s/files/1/0918/6066/4603/files/76025c9ff6ebbc86ac6fc43405c3e349.jpg?v=1778317368, friendlyName=Open</x:v>
      </x:c>
      <x:c r="C4064" s="24" t="e">
        <x:f>HYPERLINK("https://365nails.com/products/365nails-tropical-breeze-3d-floral-french-tip-handmade-almond-nails","365nails: ""Tropical Breeze"" – 3D Floral &amp; French Tip Handmade Almond Nails")</x:f>
        <x:v>HYPERLINK is not implemented. linkLocation=https://365nails.com/products/365nails-tropical-breeze-3d-floral-french-tip-handmade-almond-nails, friendlyName=365nails: "Tropical Breeze" – 3D Floral &amp; French Tip Handmade Almond Nails</x:v>
      </x:c>
      <x:c r="D4064" s="18" t="str">
        <x:v>Size: XS / S / M / L</x:v>
      </x:c>
      <x:c r="E4064" s="25" t="str">
        <x:v>$3.99</x:v>
      </x:c>
      <x:c r="F4064" s="19" t="str">
        <x:v>5</x:v>
      </x:c>
    </x:row>
    <x:row r="4065" ht="93" customHeight="1">
      <x:c r="A4065" s="19" t="n">
        <x:v>4062</x:v>
      </x:c>
      <x:c r="B4065" s="22" t="e">
        <x:f>HYPERLINK("https://cdn.shopify.com/s/files/1/0918/6066/4603/files/O1CN01LmpDO72MQzfc4Ribk__2219089449823-0-cib.jpg?v=1774348923","Open")</x:f>
        <x:v>HYPERLINK is not implemented. linkLocation=https://cdn.shopify.com/s/files/1/0918/6066/4603/files/O1CN01LmpDO72MQzfc4Ribk__2219089449823-0-cib.jpg?v=1774348923, friendlyName=Open</x:v>
      </x:c>
      <x:c r="C4065" s="24" t="e">
        <x:f>HYPERLINK("https://365nails.com/products/vintage-luxury-blossom-regal-short-square-nude-pink-floral-handmade-press-on","Vintage Luxury: ""Blossom Regal"" – Short Square Nude &amp; Pink Floral Handmade Press-On")</x:f>
        <x:v>HYPERLINK is not implemented. linkLocation=https://365nails.com/products/vintage-luxury-blossom-regal-short-square-nude-pink-floral-handmade-press-on, friendlyName=Vintage Luxury: "Blossom Regal" – Short Square Nude &amp; Pink Floral Handmade Press-On</x:v>
      </x:c>
      <x:c r="D4065" s="18" t="str">
        <x:v>Color: L279; Color classification: X s / S / M / L</x:v>
      </x:c>
      <x:c r="E4065" s="25" t="str">
        <x:v>$4.99</x:v>
      </x:c>
      <x:c r="F4065" s="19" t="str">
        <x:v>1</x:v>
      </x:c>
    </x:row>
    <x:row r="4066" ht="93" customHeight="1">
      <x:c r="A4066" s="19" t="n">
        <x:v>4063</x:v>
      </x:c>
      <x:c r="B4066" s="22" t="e">
        <x:f>HYPERLINK("https://cdn.shopify.com/s/files/1/0918/6066/4603/files/09b3777d3e3f8064e8ec3f3096ed2697.jpg?v=1773306366","Open")</x:f>
        <x:v>HYPERLINK is not implemented. linkLocation=https://cdn.shopify.com/s/files/1/0918/6066/4603/files/09b3777d3e3f8064e8ec3f3096ed2697.jpg?v=1773306366, friendlyName=Open</x:v>
      </x:c>
      <x:c r="C4066" s="24" t="e">
        <x:f>HYPERLINK("https://365nails.com/products/365nails-purple-galaxy-glitter-handmade-press-on-toenails-pedicure","365nails: ""purple galaxy glitter"" – handmade press-on toenails / pedicure")</x:f>
        <x:v>HYPERLINK is not implemented. linkLocation=https://365nails.com/products/365nails-purple-galaxy-glitter-handmade-press-on-toenails-pedicure, friendlyName=365nails: "purple galaxy glitter" – handmade press-on toenails / pedicure</x:v>
      </x:c>
      <x:c r="D4066" s="18" t="str">
        <x:v>Size: XS / S / M / L</x:v>
      </x:c>
      <x:c r="E4066" s="25" t="str">
        <x:v>$2.99</x:v>
      </x:c>
      <x:c r="F4066" s="19" t="str">
        <x:v>3</x:v>
      </x:c>
    </x:row>
    <x:row r="4067" ht="93" customHeight="1">
      <x:c r="A4067" s="19" t="n">
        <x:v>4064</x:v>
      </x:c>
      <x:c r="B4067" s="22" t="e">
        <x:f>HYPERLINK("https://cdn.shopify.com/s/files/1/0918/6066/4603/files/O1CN01Nnmsca1CPwKWMpVE4__2213196780074-0-cib.jpg?v=1776763577","Open")</x:f>
        <x:v>HYPERLINK is not implemented. linkLocation=https://cdn.shopify.com/s/files/1/0918/6066/4603/files/O1CN01Nnmsca1CPwKWMpVE4__2213196780074-0-cib.jpg?v=1776763577, friendlyName=Open</x:v>
      </x:c>
      <x:c r="C4067" s="24" t="e">
        <x:f>HYPERLINK("https://365nails.com/products/365nails-red-velvet-romance-handcrafted-french-tip-plaid-almond-nails","365nails: ""Red Velvet Romance"" – Handcrafted French Tip &amp; Plaid Almond Nails")</x:f>
        <x:v>HYPERLINK is not implemented. linkLocation=https://365nails.com/products/365nails-red-velvet-romance-handcrafted-french-tip-plaid-almond-nails, friendlyName=365nails: "Red Velvet Romance" – Handcrafted French Tip &amp; Plaid Almond Nails</x:v>
      </x:c>
      <x:c r="D4067" s="18" t="str">
        <x:v>Color: Extra small size xs / Small s / Medium m / Large l; Specification type: 2705-long oval</x:v>
      </x:c>
      <x:c r="E4067" s="25" t="str">
        <x:v>$3.49</x:v>
      </x:c>
      <x:c r="F4067" s="19" t="str">
        <x:v>1</x:v>
      </x:c>
    </x:row>
    <x:row r="4068" ht="93" customHeight="1">
      <x:c r="A4068" s="19" t="n">
        <x:v>4065</x:v>
      </x:c>
      <x:c r="B4068" s="22" t="e">
        <x:f>HYPERLINK("https://cdn.shopify.com/s/files/1/0918/6066/4603/files/a3222be2fd2dbaf06ec7da74ac1895a8.jpg?v=1778242081","Open")</x:f>
        <x:v>HYPERLINK is not implemented. linkLocation=https://cdn.shopify.com/s/files/1/0918/6066/4603/files/a3222be2fd2dbaf06ec7da74ac1895a8.jpg?v=1778242081, friendlyName=Open</x:v>
      </x:c>
      <x:c r="C4068" s="24" t="e">
        <x:f>HYPERLINK("https://365nails.com/products/365nails-desert-bloom-3d-butterfly-leopard-handmade-long-coffin-nails","365nails: ""Desert Bloom"" – 3D Butterfly &amp; Leopard Handmade Long Coffin Nails")</x:f>
        <x:v>HYPERLINK is not implemented. linkLocation=https://365nails.com/products/365nails-desert-bloom-3d-butterfly-leopard-handmade-long-coffin-nails, friendlyName=365nails: "Desert Bloom" – 3D Butterfly &amp; Leopard Handmade Long Coffin Nails</x:v>
      </x:c>
      <x:c r="D4068" s="18" t="str">
        <x:v>Size: XS / S / M / L</x:v>
      </x:c>
      <x:c r="E4068" s="25" t="str">
        <x:v>$4.99</x:v>
      </x:c>
      <x:c r="F4068" s="19" t="str">
        <x:v>5</x:v>
      </x:c>
    </x:row>
    <x:row r="4069" ht="93" customHeight="1">
      <x:c r="A4069" s="19" t="n">
        <x:v>4066</x:v>
      </x:c>
      <x:c r="B4069" s="22" t="e">
        <x:f>HYPERLINK("https://cdn.shopify.com/s/files/1/0918/6066/4603/files/O1CN01xv01yG27ZUkKDs5pZ__2220024697811-0-cib.jpg?v=1775107671","Open")</x:f>
        <x:v>HYPERLINK is not implemented. linkLocation=https://cdn.shopify.com/s/files/1/0918/6066/4603/files/O1CN01xv01yG27ZUkKDs5pZ__2220024697811-0-cib.jpg?v=1775107671, friendlyName=Open</x:v>
      </x:c>
      <x:c r="C4069" s="24" t="e">
        <x:f>HYPERLINK("https://365nails.com/products/365nails-celestial-garden-3d-floral-glitter-handmade-long-almond-nails","365nails: ""Celestial Garden"" – 3D Floral &amp; Glitter Handmade Long Almond Nails")</x:f>
        <x:v>HYPERLINK is not implemented. linkLocation=https://365nails.com/products/365nails-celestial-garden-3d-floral-glitter-handmade-long-almond-nails, friendlyName=365nails: "Celestial Garden" – 3D Floral &amp; Glitter Handmade Long Almond Nails</x:v>
      </x:c>
      <x:c r="D4069" s="18" t="str">
        <x:v>Color: Almond; Color classification: Xs / S / M / L</x:v>
      </x:c>
      <x:c r="E4069" s="25" t="str">
        <x:v>$4.99</x:v>
      </x:c>
      <x:c r="F4069" s="19" t="str">
        <x:v>3</x:v>
      </x:c>
    </x:row>
    <x:row r="4070" ht="93" customHeight="1">
      <x:c r="A4070" s="19" t="n">
        <x:v>4067</x:v>
      </x:c>
      <x:c r="B4070" s="22" t="e">
        <x:f>HYPERLINK("https://cdn.shopify.com/s/files/1/0918/6066/4603/files/96afcc21539de45a16409dd666e9c5da.jpg?v=1778244899","Open")</x:f>
        <x:v>HYPERLINK is not implemented. linkLocation=https://cdn.shopify.com/s/files/1/0918/6066/4603/files/96afcc21539de45a16409dd666e9c5da.jpg?v=1778244899, friendlyName=Open</x:v>
      </x:c>
      <x:c r="C4070" s="24" t="e">
        <x:f>HYPERLINK("https://365nails.com/products/365nails-spooky-chic-3d-butterfly-rhinestone-handmade-stiletto-nails","365nails: ""Spooky Chic"" – 3D Butterfly &amp; Rhinestone Handmade Stiletto Nails")</x:f>
        <x:v>HYPERLINK is not implemented. linkLocation=https://365nails.com/products/365nails-spooky-chic-3d-butterfly-rhinestone-handmade-stiletto-nails, friendlyName=365nails: "Spooky Chic" – 3D Butterfly &amp; Rhinestone Handmade Stiletto Nails</x:v>
      </x:c>
      <x:c r="D4070" s="18" t="str">
        <x:v>Size: XS / S / M / L</x:v>
      </x:c>
      <x:c r="E4070" s="25" t="str">
        <x:v>$3.99</x:v>
      </x:c>
      <x:c r="F4070" s="19" t="str">
        <x:v>5</x:v>
      </x:c>
    </x:row>
    <x:row r="4071" ht="93" customHeight="1">
      <x:c r="A4071" s="19" t="n">
        <x:v>4068</x:v>
      </x:c>
      <x:c r="B4071" s="22" t="e">
        <x:f>HYPERLINK("https://cdn.shopify.com/s/files/1/0918/6066/4603/files/O1CN01fGnD2y2MQzfn3Cftz__2219089449823-0-cib.jpg?v=1774258117","Open")</x:f>
        <x:v>HYPERLINK is not implemented. linkLocation=https://cdn.shopify.com/s/files/1/0918/6066/4603/files/O1CN01fGnD2y2MQzfn3Cftz__2219089449823-0-cib.jpg?v=1774258117, friendlyName=Open</x:v>
      </x:c>
      <x:c r="C4071" s="24" t="e">
        <x:f>HYPERLINK("https://365nails.com/products/sakura-berry-pink-floral-berry-short-square-shape-handmade-press-on-nails","Sakura Berry: ""Pink Floral Berry"" – Short Square Shape Handmade Press-On Nails")</x:f>
        <x:v>HYPERLINK is not implemented. linkLocation=https://365nails.com/products/sakura-berry-pink-floral-berry-short-square-shape-handmade-press-on-nails, friendlyName=Sakura Berry: "Pink Floral Berry" – Short Square Shape Handmade Press-On Nails</x:v>
      </x:c>
      <x:c r="D4071" s="18" t="str">
        <x:v>Color: L297n; Color classification: X s / S / M / L</x:v>
      </x:c>
      <x:c r="E4071" s="25" t="str">
        <x:v>$4.99</x:v>
      </x:c>
      <x:c r="F4071" s="19" t="str">
        <x:v>1</x:v>
      </x:c>
    </x:row>
    <x:row r="4072" ht="93" customHeight="1">
      <x:c r="A4072" s="19" t="n">
        <x:v>4069</x:v>
      </x:c>
      <x:c r="B4072" s="22" t="e">
        <x:f>HYPERLINK("https://cdn.shopify.com/s/files/1/0918/6066/4603/files/adf3d4fa94cfe70d44866dbfcb9d5a66.jpg?v=1776166787","Open")</x:f>
        <x:v>HYPERLINK is not implemented. linkLocation=https://cdn.shopify.com/s/files/1/0918/6066/4603/files/adf3d4fa94cfe70d44866dbfcb9d5a66.jpg?v=1776166787, friendlyName=Open</x:v>
      </x:c>
      <x:c r="C4072" s="24" t="e">
        <x:f>HYPERLINK("https://365nails.com/products/365nails-cloud-puppy-love-3d-cartoon-character-handmade-short-square-nails","365nails: ""Cloud Puppy Love"" – 3D Cartoon Character Handmade Short Square Nails")</x:f>
        <x:v>HYPERLINK is not implemented. linkLocation=https://365nails.com/products/365nails-cloud-puppy-love-3d-cartoon-character-handmade-short-square-nails, friendlyName=365nails: "Cloud Puppy Love" – 3D Cartoon Character Handmade Short Square Nails</x:v>
      </x:c>
      <x:c r="D4072" s="18" t="str">
        <x:v>Size: XS / S / M / L</x:v>
      </x:c>
      <x:c r="E4072" s="25" t="str">
        <x:v>$1.99</x:v>
      </x:c>
      <x:c r="F4072" s="19" t="str">
        <x:v>3</x:v>
      </x:c>
    </x:row>
    <x:row r="4073" ht="93" customHeight="1">
      <x:c r="A4073" s="19" t="n">
        <x:v>4070</x:v>
      </x:c>
      <x:c r="B4073" s="22" t="e">
        <x:f>HYPERLINK("https://cdn.shopify.com/s/files/1/0918/6066/4603/files/O1CN018YMrZ427ZUkDAbUJr__2220024697811-0-cib.jpg?v=1775107869","Open")</x:f>
        <x:v>HYPERLINK is not implemented. linkLocation=https://cdn.shopify.com/s/files/1/0918/6066/4603/files/O1CN018YMrZ427ZUkDAbUJr__2220024697811-0-cib.jpg?v=1775107869, friendlyName=Open</x:v>
      </x:c>
      <x:c r="C4073" s="24" t="e">
        <x:f>HYPERLINK("https://365nails.com/products/365nails-cyberpunk-siren-3d-metallic-handmade-extra-long-stiletto-nails","365nails: ""Cyberpunk Siren"" – 3D Metallic Handmade Extra Long Stiletto Nails")</x:f>
        <x:v>HYPERLINK is not implemented. linkLocation=https://365nails.com/products/365nails-cyberpunk-siren-3d-metallic-handmade-extra-long-stiletto-nails, friendlyName=365nails: "Cyberpunk Siren" – 3D Metallic Handmade Extra Long Stiletto Nails</x:v>
      </x:c>
      <x:c r="D4073" s="18" t="str">
        <x:v>Color: Long tip; Color classification: Xs / S / M / L</x:v>
      </x:c>
      <x:c r="E4073" s="25" t="str">
        <x:v>$4.49</x:v>
      </x:c>
      <x:c r="F4073" s="19" t="str">
        <x:v>3</x:v>
      </x:c>
    </x:row>
    <x:row r="4074" ht="93" customHeight="1">
      <x:c r="A4074" s="19" t="n">
        <x:v>4071</x:v>
      </x:c>
      <x:c r="B4074" s="22" t="e">
        <x:f>HYPERLINK("https://cdn.shopify.com/s/files/1/0918/6066/4603/files/f9c1ebe8c70cb88787b560f38af9b2d8.jpg?v=1776244159","Open")</x:f>
        <x:v>HYPERLINK is not implemented. linkLocation=https://cdn.shopify.com/s/files/1/0918/6066/4603/files/f9c1ebe8c70cb88787b560f38af9b2d8.jpg?v=1776244159, friendlyName=Open</x:v>
      </x:c>
      <x:c r="C4074" s="24" t="e">
        <x:f>HYPERLINK("https://365nails.com/products/365nails-cosmic-cuties-3d-character-handmade-short-nails","365nails: ""Cosmic Cuties"" – 3D Character Handmade Short Nails")</x:f>
        <x:v>HYPERLINK is not implemented. linkLocation=https://365nails.com/products/365nails-cosmic-cuties-3d-character-handmade-short-nails, friendlyName=365nails: "Cosmic Cuties" – 3D Character Handmade Short Nails</x:v>
      </x:c>
      <x:c r="D4074" s="18" t="str">
        <x:v>Size: XS / S / M / L</x:v>
      </x:c>
      <x:c r="E4074" s="25" t="str">
        <x:v>$2.49</x:v>
      </x:c>
      <x:c r="F4074" s="19" t="str">
        <x:v>3</x:v>
      </x:c>
    </x:row>
    <x:row r="4075" ht="93" customHeight="1">
      <x:c r="A4075" s="19" t="n">
        <x:v>4072</x:v>
      </x:c>
      <x:c r="B4075" s="22" t="e">
        <x:f>HYPERLINK("https://cdn.shopify.com/s/files/1/0918/6066/4603/files/951283469cc9b8dca4b74d2c01c84dcf.jpg?v=1776150603","Open")</x:f>
        <x:v>HYPERLINK is not implemented. linkLocation=https://cdn.shopify.com/s/files/1/0918/6066/4603/files/951283469cc9b8dca4b74d2c01c84dcf.jpg?v=1776150603, friendlyName=Open</x:v>
      </x:c>
      <x:c r="C4075" s="24" t="e">
        <x:f>HYPERLINK("https://365nails.com/products/365nails-sweet-berry-bear-3d-character-strawberry-handmade-short-square-nails","365nails: ""Sweet Berry Bear"" – 3D Character &amp; Strawberry Handmade Short Square Nails")</x:f>
        <x:v>HYPERLINK is not implemented. linkLocation=https://365nails.com/products/365nails-sweet-berry-bear-3d-character-strawberry-handmade-short-square-nails, friendlyName=365nails: "Sweet Berry Bear" – 3D Character &amp; Strawberry Handmade Short Square Nails</x:v>
      </x:c>
      <x:c r="D4075" s="18" t="str">
        <x:v>Size: XS / S / M / L</x:v>
      </x:c>
      <x:c r="E4075" s="25" t="str">
        <x:v>$1.99</x:v>
      </x:c>
      <x:c r="F4075" s="19" t="str">
        <x:v>3</x:v>
      </x:c>
    </x:row>
    <x:row r="4076" ht="93" customHeight="1">
      <x:c r="A4076" s="19" t="n">
        <x:v>4073</x:v>
      </x:c>
      <x:c r="B4076" s="22" t="e">
        <x:f>HYPERLINK("https://cdn.shopify.com/s/files/1/0918/6066/4603/files/O1CN01TZoHPQ1rlpNUAR2OE__2215158925672-0-cib_c99ec8ce-b9b3-4a23-94fa-d031849b46d1.jpg?v=1773224448","Open")</x:f>
        <x:v>HYPERLINK is not implemented. linkLocation=https://cdn.shopify.com/s/files/1/0918/6066/4603/files/O1CN01TZoHPQ1rlpNUAR2OE__2215158925672-0-cib_c99ec8ce-b9b3-4a23-94fa-d031849b46d1.jpg?v=1773224448, friendlyName=Open</x:v>
      </x:c>
      <x:c r="C4076" s="24" t="e">
        <x:f>HYPERLINK("https://365nails.com/products/365nails-holographic-ribbon-spell-long-almond-handmade-press-on-nails","365nails: ""Holographic Ribbon Spell"" – Long Almond Handmade Press-On Nails")</x:f>
        <x:v>HYPERLINK is not implemented. linkLocation=https://365nails.com/products/365nails-holographic-ribbon-spell-long-almond-handmade-press-on-nails, friendlyName=365nails: "Holographic Ribbon Spell" – Long Almond Handmade Press-On Nails</x:v>
      </x:c>
      <x:c r="D4076" s="18" t="str">
        <x:v>Color: Extended t-shirt; Color classification: X s / S / M</x:v>
      </x:c>
      <x:c r="E4076" s="25" t="str">
        <x:v>$2.69</x:v>
      </x:c>
      <x:c r="F4076" s="19" t="str">
        <x:v>3</x:v>
      </x:c>
    </x:row>
    <x:row r="4077" ht="93" customHeight="1">
      <x:c r="A4077" s="19" t="n">
        <x:v>4074</x:v>
      </x:c>
      <x:c r="B4077" s="22" t="e">
        <x:f>HYPERLINK("https://cdn.shopify.com/s/files/1/0918/6066/4603/files/O1CN01rVvDPZ1CPwPlEHFgY__2213196780074-0-cib_ce5f53b3-7ace-4898-abe3-3130d46c9f31.jpg?v=1774860787","Open")</x:f>
        <x:v>HYPERLINK is not implemented. linkLocation=https://cdn.shopify.com/s/files/1/0918/6066/4603/files/O1CN01rVvDPZ1CPwPlEHFgY__2213196780074-0-cib_ce5f53b3-7ace-4898-abe3-3130d46c9f31.jpg?v=1774860787, friendlyName=Open</x:v>
      </x:c>
      <x:c r="C4077" s="24" t="e">
        <x:f>HYPERLINK("https://365nails.com/products/365nails-pink-diamond-cool-3d-floral-crystal-handmade-almond-nails","365nails: ""Pink Diamond Cool"" – 3D Floral &amp; Crystal Handmade Almond Nails")</x:f>
        <x:v>HYPERLINK is not implemented. linkLocation=https://365nails.com/products/365nails-pink-diamond-cool-3d-floral-crystal-handmade-almond-nails, friendlyName=365nails: "Pink Diamond Cool" – 3D Floral &amp; Crystal Handmade Almond Nails</x:v>
      </x:c>
      <x:c r="D4077" s="18" t="str">
        <x:v>Color: 3036-long tip; Color classification: Extra small size xs / Small s / Medium m / Large l</x:v>
      </x:c>
      <x:c r="E4077" s="25" t="str">
        <x:v>$3.99</x:v>
      </x:c>
      <x:c r="F4077" s="19" t="str">
        <x:v>1</x:v>
      </x:c>
    </x:row>
    <x:row r="4078" ht="93" customHeight="1">
      <x:c r="A4078" s="19" t="n">
        <x:v>4075</x:v>
      </x:c>
      <x:c r="B4078" s="22" t="e">
        <x:f>HYPERLINK("https://cdn.shopify.com/s/files/1/0918/6066/4603/files/O1CN01o7qBqT2MQzfM0gKh1__2219089449823-0-cib.jpg?v=1774452939","Open")</x:f>
        <x:v>HYPERLINK is not implemented. linkLocation=https://cdn.shopify.com/s/files/1/0918/6066/4603/files/O1CN01o7qBqT2MQzfM0gKh1__2219089449823-0-cib.jpg?v=1774452939, friendlyName=Open</x:v>
      </x:c>
      <x:c r="C4078" s="24" t="e">
        <x:f>HYPERLINK("https://365nails.com/products/blush-sparkle-pink-floral-glitter-short-square-handmade-press-ons","Blush Sparkle: ""Pink Floral Glitter"" – Short Square Handmade Press-Ons")</x:f>
        <x:v>HYPERLINK is not implemented. linkLocation=https://365nails.com/products/blush-sparkle-pink-floral-glitter-short-square-handmade-press-ons, friendlyName=Blush Sparkle: "Pink Floral Glitter" – Short Square Handmade Press-Ons</x:v>
      </x:c>
      <x:c r="D4078" s="18" t="str">
        <x:v>Color: C446; Color classification: X s / S / M / L</x:v>
      </x:c>
      <x:c r="E4078" s="25" t="str">
        <x:v>$3.49</x:v>
      </x:c>
      <x:c r="F4078" s="19" t="str">
        <x:v>1</x:v>
      </x:c>
    </x:row>
    <x:row r="4079" ht="93" customHeight="1">
      <x:c r="A4079" s="19" t="n">
        <x:v>4076</x:v>
      </x:c>
      <x:c r="B4079" s="22" t="e">
        <x:f>HYPERLINK("https://cdn.shopify.com/s/files/1/0918/6066/4603/files/O1CN01smIfzF1CPwJthkRmS__2213196780074-0-cib.jpg?v=1775979568","Open")</x:f>
        <x:v>HYPERLINK is not implemented. linkLocation=https://cdn.shopify.com/s/files/1/0918/6066/4603/files/O1CN01smIfzF1CPwJthkRmS__2213196780074-0-cib.jpg?v=1775979568, friendlyName=Open</x:v>
      </x:c>
      <x:c r="C4079" s="24" t="e">
        <x:f>HYPERLINK("https://365nails.com/products/365nails-koi-serenity-hand-painted-cat-eye-almond-nails","365nails: ""Koi Serenity"" – Hand-Painted Cat Eye Almond Nails")</x:f>
        <x:v>HYPERLINK is not implemented. linkLocation=https://365nails.com/products/365nails-koi-serenity-hand-painted-cat-eye-almond-nails, friendlyName=365nails: "Koi Serenity" – Hand-Painted Cat Eye Almond Nails</x:v>
      </x:c>
      <x:c r="D4079" s="18" t="str">
        <x:v>Color: Extra small size xs / Small s / Medium m / Large l; Specification type: 2539 medium oval</x:v>
      </x:c>
      <x:c r="E4079" s="25" t="str">
        <x:v>$3.49</x:v>
      </x:c>
      <x:c r="F4079" s="19" t="str">
        <x:v>3</x:v>
      </x:c>
    </x:row>
    <x:row r="4080" ht="93" customHeight="1">
      <x:c r="A4080" s="19" t="n">
        <x:v>4077</x:v>
      </x:c>
      <x:c r="B4080" s="22" t="e">
        <x:f>HYPERLINK("https://cdn.shopify.com/s/files/1/0918/6066/4603/files/eac960baa4005085f76f6605db485566.jpg?v=1778318170","Open")</x:f>
        <x:v>HYPERLINK is not implemented. linkLocation=https://cdn.shopify.com/s/files/1/0918/6066/4603/files/eac960baa4005085f76f6605db485566.jpg?v=1778318170, friendlyName=Open</x:v>
      </x:c>
      <x:c r="C4080" s="24" t="e">
        <x:f>HYPERLINK("https://365nails.com/products/365nails-sweet-sparkle-3d-bow-glitter-handmade-square-nails","365nails: ""Sweet Sparkle"" – 3D Bow &amp; Glitter Handmade Square Nails")</x:f>
        <x:v>HYPERLINK is not implemented. linkLocation=https://365nails.com/products/365nails-sweet-sparkle-3d-bow-glitter-handmade-square-nails, friendlyName=365nails: "Sweet Sparkle" – 3D Bow &amp; Glitter Handmade Square Nails</x:v>
      </x:c>
      <x:c r="D4080" s="18" t="str">
        <x:v>Size: XS / S / M / L</x:v>
      </x:c>
      <x:c r="E4080" s="25" t="str">
        <x:v>$3.99</x:v>
      </x:c>
      <x:c r="F4080" s="19" t="str">
        <x:v>5</x:v>
      </x:c>
    </x:row>
    <x:row r="4081" ht="93" customHeight="1">
      <x:c r="A4081" s="19" t="n">
        <x:v>4078</x:v>
      </x:c>
      <x:c r="B4081" s="22" t="e">
        <x:f>HYPERLINK("https://cdn.shopify.com/s/files/1/0918/6066/4603/files/O1CN01dnJzoR1tLqKAYtkcX__6000000005886-0-cib.jpg?v=1774010985","Open")</x:f>
        <x:v>HYPERLINK is not implemented. linkLocation=https://cdn.shopify.com/s/files/1/0918/6066/4603/files/O1CN01dnJzoR1tLqKAYtkcX__6000000005886-0-cib.jpg?v=1774010985, friendlyName=Open</x:v>
      </x:c>
      <x:c r="C4081" s="24" t="e">
        <x:f>HYPERLINK("https://365nails.com/products/coastal-breeze-beach-flower-shell-almond-shape-handmade-3d-carved-press-on-nails","365nails-Coastal Breeze: ""Beach Flower Shell"" – Almond Shape Handmade 3D Carved Press-On Nails")</x:f>
        <x:v>HYPERLINK is not implemented. linkLocation=https://365nails.com/products/coastal-breeze-beach-flower-shell-almond-shape-handmade-3d-carved-press-on-nails, friendlyName=365nails-Coastal Breeze: "Beach Flower Shell" – Almond Shape Handmade 3D Carved Press-On Nails</x:v>
      </x:c>
      <x:c r="D4081" s="18" t="str">
        <x:v>Color: D476; Color classification: X s / S / M / L</x:v>
      </x:c>
      <x:c r="E4081" s="25" t="str">
        <x:v>$3.99</x:v>
      </x:c>
      <x:c r="F4081" s="19" t="str">
        <x:v>1</x:v>
      </x:c>
    </x:row>
    <x:row r="4082" ht="93" customHeight="1">
      <x:c r="A4082" s="19" t="n">
        <x:v>4079</x:v>
      </x:c>
      <x:c r="B4082" s="22" t="e">
        <x:f>HYPERLINK("https://cdn.shopify.com/s/files/1/0918/6066/4603/files/85812e65073920d4720b545edcae1cd7.jpg?v=1773884032","Open")</x:f>
        <x:v>HYPERLINK is not implemented. linkLocation=https://cdn.shopify.com/s/files/1/0918/6066/4603/files/85812e65073920d4720b545edcae1cd7.jpg?v=1773884032, friendlyName=Open</x:v>
      </x:c>
      <x:c r="C4082" s="24" t="e">
        <x:f>HYPERLINK("https://365nails.com/products/365nails-cherry-blossom-love-cubic-diamond-handmade-press-on-nails","365nails: ""cherry blossom love &amp; cubic diamond"" – handmade press-on nails")</x:f>
        <x:v>HYPERLINK is not implemented. linkLocation=https://365nails.com/products/365nails-cherry-blossom-love-cubic-diamond-handmade-press-on-nails, friendlyName=365nails: "cherry blossom love &amp; cubic diamond" – handmade press-on nails</x:v>
      </x:c>
      <x:c r="D4082" s="18" t="str">
        <x:v>Size: XS / S / M / L</x:v>
      </x:c>
      <x:c r="E4082" s="25" t="str">
        <x:v>$3.99</x:v>
      </x:c>
      <x:c r="F4082" s="19" t="str">
        <x:v>10</x:v>
      </x:c>
    </x:row>
    <x:row r="4083" ht="93" customHeight="1">
      <x:c r="A4083" s="19" t="n">
        <x:v>4080</x:v>
      </x:c>
      <x:c r="B4083" s="22" t="e">
        <x:f>HYPERLINK("https://cdn.shopify.com/s/files/1/0918/6066/4603/files/O1CN01jTLtme2214t0XmxrZ__2219480337059-0-cib_285b7308-e2e5-41cc-abc2-43dfb87d423e.jpg?v=1773134455","Open")</x:f>
        <x:v>HYPERLINK is not implemented. linkLocation=https://cdn.shopify.com/s/files/1/0918/6066/4603/files/O1CN01jTLtme2214t0XmxrZ__2219480337059-0-cib_285b7308-e2e5-41cc-abc2-43dfb87d423e.jpg?v=1773134455, friendlyName=Open</x:v>
      </x:c>
      <x:c r="C4083" s="24" t="e">
        <x:f>HYPERLINK("https://365nails.com/products/365nails-dreamy-purple-pony-short-wide-handmade-kids-press-on-nails","365nails: ""dreamy purple pony"" – short wide handmade kids press-on nails")</x:f>
        <x:v>HYPERLINK is not implemented. linkLocation=https://365nails.com/products/365nails-dreamy-purple-pony-short-wide-handmade-kids-press-on-nails, friendlyName=365nails: "dreamy purple pony" – short wide handmade kids press-on nails</x:v>
      </x:c>
      <x:c r="D4083" s="18" t="str">
        <x:v>Color: Little pony exotic; Color classification: Xs (about 2 years old) / S (3-4 years old) / M (5-7 years old) / L (8-11 years old)</x:v>
      </x:c>
      <x:c r="E4083" s="25" t="str">
        <x:v>$2.99</x:v>
      </x:c>
      <x:c r="F4083" s="19" t="str">
        <x:v>3</x:v>
      </x:c>
    </x:row>
    <x:row r="4084" ht="93" customHeight="1">
      <x:c r="A4084" s="19" t="n">
        <x:v>4081</x:v>
      </x:c>
      <x:c r="B4084" s="22" t="e">
        <x:f>HYPERLINK("https://cdn.shopify.com/s/files/1/0918/6066/4603/files/O1CN01IpIaF12MQzf5MnQqc__2219089449823-0-cib.jpg?v=1774349051","Open")</x:f>
        <x:v>HYPERLINK is not implemented. linkLocation=https://cdn.shopify.com/s/files/1/0918/6066/4603/files/O1CN01IpIaF12MQzf5MnQqc__2219089449823-0-cib.jpg?v=1774349051, friendlyName=Open</x:v>
      </x:c>
      <x:c r="C4084" s="24" t="e">
        <x:f>HYPERLINK("https://365nails.com/products/365nails-azure-shell-mermaid-medium-almond-blue-white-shell-handmade-press-on-nails","365nails: ""Azure Shell Mermaid"" – Medium Almond Blue-White Shell Handmade Press-On Nails")</x:f>
        <x:v>HYPERLINK is not implemented. linkLocation=https://365nails.com/products/365nails-azure-shell-mermaid-medium-almond-blue-white-shell-handmade-press-on-nails, friendlyName=365nails: "Azure Shell Mermaid" – Medium Almond Blue-White Shell Handmade Press-On Nails</x:v>
      </x:c>
      <x:c r="D4084" s="18" t="str">
        <x:v>Color: D387; Color classification: X s / S / M / L</x:v>
      </x:c>
      <x:c r="E4084" s="25" t="str">
        <x:v>$3.49</x:v>
      </x:c>
      <x:c r="F4084" s="19" t="str">
        <x:v>1</x:v>
      </x:c>
    </x:row>
    <x:row r="4085" ht="93" customHeight="1">
      <x:c r="A4085" s="19" t="n">
        <x:v>4082</x:v>
      </x:c>
      <x:c r="B4085" s="22" t="e">
        <x:f>HYPERLINK("https://cdn.shopify.com/s/files/1/0918/6066/4603/files/6e24e62379df9a20463217487f88e247.jpg?v=1773828142","Open")</x:f>
        <x:v>HYPERLINK is not implemented. linkLocation=https://cdn.shopify.com/s/files/1/0918/6066/4603/files/6e24e62379df9a20463217487f88e247.jpg?v=1773828142, friendlyName=Open</x:v>
      </x:c>
      <x:c r="C4085" s="24" t="e">
        <x:f>HYPERLINK("https://365nails.com/products/365nails-cherry-maruko-chan-handmade-press-on-nails-candy-series-cute-cartoon-style","365Nails: ""Cherry Maruko-chan"" – handmade press-on nails (Candy Series/Cute Cartoon Style)")</x:f>
        <x:v>HYPERLINK is not implemented. linkLocation=https://365nails.com/products/365nails-cherry-maruko-chan-handmade-press-on-nails-candy-series-cute-cartoon-style, friendlyName=365Nails: "Cherry Maruko-chan" – handmade press-on nails (Candy Series/Cute Cartoon Style)</x:v>
      </x:c>
      <x:c r="D4085" s="18" t="str">
        <x:v>Size: XS / S / M / L</x:v>
      </x:c>
      <x:c r="E4085" s="25" t="str">
        <x:v>$3.99</x:v>
      </x:c>
      <x:c r="F4085" s="19" t="str">
        <x:v>10</x:v>
      </x:c>
    </x:row>
    <x:row r="4086" ht="93" customHeight="1">
      <x:c r="A4086" s="19" t="n">
        <x:v>4083</x:v>
      </x:c>
      <x:c r="B4086" s="22" t="e">
        <x:f>HYPERLINK("https://cdn.shopify.com/s/files/1/0918/6066/4603/files/a8fc0c13400f21f3de7c0e440a68833d.jpg?v=1776172809","Open")</x:f>
        <x:v>HYPERLINK is not implemented. linkLocation=https://cdn.shopify.com/s/files/1/0918/6066/4603/files/a8fc0c13400f21f3de7c0e440a68833d.jpg?v=1776172809, friendlyName=Open</x:v>
      </x:c>
      <x:c r="C4086" s="24" t="e">
        <x:f>HYPERLINK("https://365nails.com/products/365nails-bunny-hop-3d-character-mushroom-handmade-short-square-nails","365nails: ""Bunny Hop"" – 3D Character &amp; Mushroom Handmade Short Square Nails")</x:f>
        <x:v>HYPERLINK is not implemented. linkLocation=https://365nails.com/products/365nails-bunny-hop-3d-character-mushroom-handmade-short-square-nails, friendlyName=365nails: "Bunny Hop" – 3D Character &amp; Mushroom Handmade Short Square Nails</x:v>
      </x:c>
      <x:c r="D4086" s="18" t="str">
        <x:v>Size: XS / S / M / L</x:v>
      </x:c>
      <x:c r="E4086" s="25" t="str">
        <x:v>$1.99</x:v>
      </x:c>
      <x:c r="F4086" s="19" t="str">
        <x:v>3</x:v>
      </x:c>
    </x:row>
    <x:row r="4087" ht="93" customHeight="1">
      <x:c r="A4087" s="19" t="n">
        <x:v>4084</x:v>
      </x:c>
      <x:c r="B4087" s="22" t="e">
        <x:f>HYPERLINK("https://cdn.shopify.com/s/files/1/0918/6066/4603/files/O1CN01i4zydG2NGHt3P1VVt__4234819935-0-cib_2527d097-b299-4f5c-998f-b28a39885a5f.jpg?v=1761289782","Open")</x:f>
        <x:v>HYPERLINK is not implemented. linkLocation=https://cdn.shopify.com/s/files/1/0918/6066/4603/files/O1CN01i4zydG2NGHt3P1VVt__4234819935-0-cib_2527d097-b299-4f5c-998f-b28a39885a5f.jpg?v=1761289782, friendlyName=Open</x:v>
      </x:c>
      <x:c r="C4087" s="24" t="e">
        <x:f>HYPERLINK("https://365nails.com/products/classic-french-wearable-nail-short-short-round-nail-art-naked-powder-wearable-false-nails-removable-nail-products-wholesale","Classic French Wearable Nail Short Short Round Nail Art Naked Powder Wearable False Nails Removable Nail Products Wholesale")</x:f>
        <x:v>HYPERLINK is not implemented. linkLocation=https://365nails.com/products/classic-french-wearable-nail-short-short-round-nail-art-naked-powder-wearable-false-nails-removable-nail-products-wholesale, friendlyName=Classic French Wearable Nail Short Short Round Nail Art Naked Powder Wearable False Nails Removable Nail Products Wholesale</x:v>
      </x:c>
      <x:c r="D4087" s="18" t="str">
        <x:v>Color: JP3443</x:v>
      </x:c>
      <x:c r="E4087" s="25" t="str">
        <x:v>$1.01</x:v>
      </x:c>
      <x:c r="F4087" s="19" t="str">
        <x:v>1</x:v>
      </x:c>
    </x:row>
    <x:row r="4088" ht="93" customHeight="1">
      <x:c r="A4088" s="19" t="n">
        <x:v>4085</x:v>
      </x:c>
      <x:c r="B4088" s="22" t="e">
        <x:f>HYPERLINK("https://cdn.shopify.com/s/files/1/0918/6066/4603/files/0683d8709e5957d2d898507920213193.jpg?v=1772707736","Open")</x:f>
        <x:v>HYPERLINK is not implemented. linkLocation=https://cdn.shopify.com/s/files/1/0918/6066/4603/files/0683d8709e5957d2d898507920213193.jpg?v=1772707736, friendlyName=Open</x:v>
      </x:c>
      <x:c r="C4088" s="24" t="e">
        <x:f>HYPERLINK("https://365nails.com/products/365nails-matte-seamless-nail-tips-multi-shape-nail-extensions-ys-101-to-ys-176","365nails: ""Matte Seamless Nail Tips"" – Multi-Shape Nail Extensions (YS-101 to YS-176)")</x:f>
        <x:v>HYPERLINK is not implemented. linkLocation=https://365nails.com/products/365nails-matte-seamless-nail-tips-multi-shape-nail-extensions-ys-101-to-ys-176, friendlyName=365nails: "Matte Seamless Nail Tips" – Multi-Shape Nail Extensions (YS-101 to YS-176)</x:v>
      </x:c>
      <x:c r="D4088" s="18" t="str">
        <x:v>Color: 101-almond-240 pieces in box / 102-short ballet-240 pieces in box / 103-short water drop-240 pieces in box / 104 - little round - 240 pieces box / 105-long oval-240 pieces in box / 106-square-240 pieces in box / 107-long ballet-240 pieces in box / 108-long oval-240 pieces in box / 109-whole sand almond-240 pieces in box / 110-long water drop-240 pieces in box / 174-super short ladder-240 pieces in box / 175-super short almond-240 pieces in box / 180-semi-sand square-240 pieces in box / 181 - half sand ballet - 240 pieces box / 182 - half sand long teardrop - 240 pieces box / 183-long almond-240 pieces in box / 184 - half sand short ballet - 240 pieces box / 401 - all sand short stair step - 240 pieces box / 402 - half sand new short ladder - 240 pieces boxed / 188 - japanese short square - 240 pieces box / 187 half-sand almond - 240 pieces box / 189 - half sand extended rectangle - 240 pieces box</x:v>
      </x:c>
      <x:c r="E4088" s="25" t="str">
        <x:v>$1.23</x:v>
      </x:c>
      <x:c r="F4088" s="19" t="str">
        <x:v>3</x:v>
      </x:c>
    </x:row>
    <x:row r="4089" ht="93" customHeight="1">
      <x:c r="A4089" s="19" t="n">
        <x:v>4086</x:v>
      </x:c>
      <x:c r="B4089" s="22" t="e">
        <x:f>HYPERLINK("https://cdn.shopify.com/s/files/1/0918/6066/4603/files/O1CN01Vi8HNI2MQzfOgI5ZJ__2219089449823-0-cib.jpg?v=1774258003","Open")</x:f>
        <x:v>HYPERLINK is not implemented. linkLocation=https://cdn.shopify.com/s/files/1/0918/6066/4603/files/O1CN01Vi8HNI2MQzfOgI5ZJ__2219089449823-0-cib.jpg?v=1774258003, friendlyName=Open</x:v>
      </x:c>
      <x:c r="C4089" s="24" t="e">
        <x:f>HYPERLINK("https://365nails.com/products/lucky-lion-dance-red-bow-prosperity-square-shape-handmade-press-on-nails","Lucky Lion Dance: ""Red Bow Prosperity"" – Square Shape Handmade Press-On Nails")</x:f>
        <x:v>HYPERLINK is not implemented. linkLocation=https://365nails.com/products/lucky-lion-dance-red-bow-prosperity-square-shape-handmade-press-on-nails, friendlyName=Lucky Lion Dance: "Red Bow Prosperity" – Square Shape Handmade Press-On Nails</x:v>
      </x:c>
      <x:c r="D4089" s="18" t="str">
        <x:v>Color: New chinese side - fortune awakening lion; Color classification: X s / S / M / L</x:v>
      </x:c>
      <x:c r="E4089" s="25" t="str">
        <x:v>$3.49</x:v>
      </x:c>
      <x:c r="F4089" s="19" t="str">
        <x:v>1</x:v>
      </x:c>
    </x:row>
    <x:row r="4090" ht="93" customHeight="1">
      <x:c r="A4090" s="19" t="n">
        <x:v>4087</x:v>
      </x:c>
      <x:c r="B4090" s="22" t="e">
        <x:f>HYPERLINK("https://cdn.shopify.com/s/files/1/0918/6066/4603/files/b29fc573ab84d4f58daa62c5cfa53989.jpg?v=1776167955","Open")</x:f>
        <x:v>HYPERLINK is not implemented. linkLocation=https://cdn.shopify.com/s/files/1/0918/6066/4603/files/b29fc573ab84d4f58daa62c5cfa53989.jpg?v=1776167955, friendlyName=Open</x:v>
      </x:c>
      <x:c r="C4090" s="24" t="e">
        <x:f>HYPERLINK("https://365nails.com/products/365nails-berry-bunny-3d-character-handmade-short-square-nails","365nails: ""Berry Bunny"" – 3D Character Handmade Short Square Nails")</x:f>
        <x:v>HYPERLINK is not implemented. linkLocation=https://365nails.com/products/365nails-berry-bunny-3d-character-handmade-short-square-nails, friendlyName=365nails: "Berry Bunny" – 3D Character Handmade Short Square Nails</x:v>
      </x:c>
      <x:c r="D4090" s="18" t="str">
        <x:v>Size: XS / S / M / L</x:v>
      </x:c>
      <x:c r="E4090" s="25" t="str">
        <x:v>$1.99</x:v>
      </x:c>
      <x:c r="F4090" s="19" t="str">
        <x:v>3</x:v>
      </x:c>
    </x:row>
    <x:row r="4091" ht="93" customHeight="1">
      <x:c r="A4091" s="19" t="n">
        <x:v>4088</x:v>
      </x:c>
      <x:c r="B4091" s="22" t="e">
        <x:f>HYPERLINK("https://cdn.shopify.com/s/files/1/0918/6066/4603/files/b356ea885c5fd8e2a8e297a73d71fd41_969992b9-03a7-40ab-8291-aabfc2e4c3c1.jpg?v=1773212131","Open")</x:f>
        <x:v>HYPERLINK is not implemented. linkLocation=https://cdn.shopify.com/s/files/1/0918/6066/4603/files/b356ea885c5fd8e2a8e297a73d71fd41_969992b9-03a7-40ab-8291-aabfc2e4c3c1.jpg?v=1773212131, friendlyName=Open</x:v>
      </x:c>
      <x:c r="C4091" s="24" t="e">
        <x:f>HYPERLINK("https://365nails.com/products/365nails-ruby-red-rhinestone-handmade-press-on-toenails-pedicure","365nails: ""ruby red rhinestone"" – handmade press-on toenails / pedicure")</x:f>
        <x:v>HYPERLINK is not implemented. linkLocation=https://365nails.com/products/365nails-ruby-red-rhinestone-handmade-press-on-toenails-pedicure, friendlyName=365nails: "ruby red rhinestone" – handmade press-on toenails / pedicure</x:v>
      </x:c>
      <x:c r="D4091" s="18" t="str">
        <x:v>Size: XS / S / M / L</x:v>
      </x:c>
      <x:c r="E4091" s="25" t="str">
        <x:v>$4.99</x:v>
      </x:c>
      <x:c r="F4091" s="19" t="str">
        <x:v>3</x:v>
      </x:c>
    </x:row>
    <x:row r="4092" ht="93" customHeight="1">
      <x:c r="A4092" s="19" t="n">
        <x:v>4089</x:v>
      </x:c>
      <x:c r="B4092" s="22" t="e">
        <x:f>HYPERLINK("https://cdn.shopify.com/s/files/1/0918/6066/4603/files/bc1ee39d43ace08218b41b29ae44d67e.jpg?v=1778318355","Open")</x:f>
        <x:v>HYPERLINK is not implemented. linkLocation=https://cdn.shopify.com/s/files/1/0918/6066/4603/files/bc1ee39d43ace08218b41b29ae44d67e.jpg?v=1778318355, friendlyName=Open</x:v>
      </x:c>
      <x:c r="C4092" s="24" t="e">
        <x:f>HYPERLINK("https://365nails.com/products/365nails-midnight-royalty-3d-crystal-bow-handmade-stiletto-nails","365nails: ""Midnight Royalty"" – 3D Crystal &amp; Bow Handmade Stiletto Nails")</x:f>
        <x:v>HYPERLINK is not implemented. linkLocation=https://365nails.com/products/365nails-midnight-royalty-3d-crystal-bow-handmade-stiletto-nails, friendlyName=365nails: "Midnight Royalty" – 3D Crystal &amp; Bow Handmade Stiletto Nails</x:v>
      </x:c>
      <x:c r="D4092" s="18" t="str">
        <x:v>Size: XS / S / M / L</x:v>
      </x:c>
      <x:c r="E4092" s="25" t="str">
        <x:v>$3.99</x:v>
      </x:c>
      <x:c r="F4092" s="19" t="str">
        <x:v>5</x:v>
      </x:c>
    </x:row>
    <x:row r="4093" ht="93" customHeight="1">
      <x:c r="A4093" s="19" t="n">
        <x:v>4090</x:v>
      </x:c>
      <x:c r="B4093" s="22" t="e">
        <x:f>HYPERLINK("https://cdn.shopify.com/s/files/1/0918/6066/4603/files/O1CN01YjoriM1CPwNvPzN9L__2213196780074-0-cib.jpg?v=1776646028","Open")</x:f>
        <x:v>HYPERLINK is not implemented. linkLocation=https://cdn.shopify.com/s/files/1/0918/6066/4603/files/O1CN01YjoriM1CPwNvPzN9L__2213196780074-0-cib.jpg?v=1776646028, friendlyName=Open</x:v>
      </x:c>
      <x:c r="C4093" s="24" t="e">
        <x:f>HYPERLINK("https://365nails.com/products/365nails-ethereal-bloom-3d-seashell-pearl-handmade-long-almond-nails","365nails: ""Ethereal Bloom"" – 3D Seashell &amp; Pearl Handmade Long Almond Nails")</x:f>
        <x:v>HYPERLINK is not implemented. linkLocation=https://365nails.com/products/365nails-ethereal-bloom-3d-seashell-pearl-handmade-long-almond-nails, friendlyName=365nails: "Ethereal Bloom" – 3D Seashell &amp; Pearl Handmade Long Almond Nails</x:v>
      </x:c>
      <x:c r="D4093" s="18" t="str">
        <x:v>Color: 2886-almond a / 2888-fine dog tip; Color classification: Xs / S / M / L</x:v>
      </x:c>
      <x:c r="E4093" s="25" t="str">
        <x:v>$3.49</x:v>
      </x:c>
      <x:c r="F4093" s="19" t="str">
        <x:v>1</x:v>
      </x:c>
    </x:row>
    <x:row r="4094" ht="93" customHeight="1">
      <x:c r="A4094" s="19" t="n">
        <x:v>4091</x:v>
      </x:c>
      <x:c r="B4094" s="22" t="e">
        <x:f>HYPERLINK("https://cdn.shopify.com/s/files/1/0918/6066/4603/files/210f8ed6ec9110a6692e092d1a66162c.jpg?v=1776172261","Open")</x:f>
        <x:v>HYPERLINK is not implemented. linkLocation=https://cdn.shopify.com/s/files/1/0918/6066/4603/files/210f8ed6ec9110a6692e092d1a66162c.jpg?v=1776172261, friendlyName=Open</x:v>
      </x:c>
      <x:c r="C4094" s="24" t="e">
        <x:f>HYPERLINK("https://365nails.com/products/365nails-cherry-garden-3d-floral-fruit-handmade-short-square-nails","365nails: ""Cherry Garden"" – 3D Floral &amp; Fruit Handmade Short Square Nails")</x:f>
        <x:v>HYPERLINK is not implemented. linkLocation=https://365nails.com/products/365nails-cherry-garden-3d-floral-fruit-handmade-short-square-nails, friendlyName=365nails: "Cherry Garden" – 3D Floral &amp; Fruit Handmade Short Square Nails</x:v>
      </x:c>
      <x:c r="D4094" s="18" t="str">
        <x:v>Size: XS / S / M / L</x:v>
      </x:c>
      <x:c r="E4094" s="25" t="str">
        <x:v>$1.99</x:v>
      </x:c>
      <x:c r="F4094" s="19" t="str">
        <x:v>3</x:v>
      </x:c>
    </x:row>
    <x:row r="4095" ht="93" customHeight="1">
      <x:c r="A4095" s="19" t="n">
        <x:v>4092</x:v>
      </x:c>
      <x:c r="B4095" s="22" t="e">
        <x:f>HYPERLINK("https://cdn.shopify.com/s/files/1/0918/6066/4603/files/O1CN01rGhUBO27ZUlE41eYM__2220024697811-0-cib.jpg?v=1774960967","Open")</x:f>
        <x:v>HYPERLINK is not implemented. linkLocation=https://cdn.shopify.com/s/files/1/0918/6066/4603/files/O1CN01rGhUBO27ZUlE41eYM__2220024697811-0-cib.jpg?v=1774960967, friendlyName=Open</x:v>
      </x:c>
      <x:c r="C4095" s="24" t="e">
        <x:f>HYPERLINK("https://365nails.com/products/365nails-amethyst-dreams-3d-floral-handmade-almond-nails","365nails: ""Amethyst Dreams"" – 3D Floral Handmade Almond Nails")</x:f>
        <x:v>HYPERLINK is not implemented. linkLocation=https://365nails.com/products/365nails-amethyst-dreams-3d-floral-handmade-almond-nails, friendlyName=365nails: "Amethyst Dreams" – 3D Floral Handmade Almond Nails</x:v>
      </x:c>
      <x:c r="D4095" s="18" t="str">
        <x:v>Color: Almond; Color classification: Xs / S / M / L</x:v>
      </x:c>
      <x:c r="E4095" s="25" t="str">
        <x:v>$4.99</x:v>
      </x:c>
      <x:c r="F4095" s="19" t="str">
        <x:v>3</x:v>
      </x:c>
    </x:row>
    <x:row r="4096" ht="93" customHeight="1">
      <x:c r="A4096" s="19" t="n">
        <x:v>4093</x:v>
      </x:c>
      <x:c r="B4096" s="22" t="e">
        <x:f>HYPERLINK("https://cdn.shopify.com/s/files/1/0918/6066/4603/files/06e09a790a629df12b24e6ec7b939d78.jpg?v=1776213907","Open")</x:f>
        <x:v>HYPERLINK is not implemented. linkLocation=https://cdn.shopify.com/s/files/1/0918/6066/4603/files/06e09a790a629df12b24e6ec7b939d78.jpg?v=1776213907, friendlyName=Open</x:v>
      </x:c>
      <x:c r="C4096" s="24" t="e">
        <x:f>HYPERLINK("https://365nails.com/products/365nails-strawberry-bow-3d-handcrafted-sweet-short-square-nails","365nails: ""Strawberry Bow"" – 3D Handcrafted Sweet Short Square Nails")</x:f>
        <x:v>HYPERLINK is not implemented. linkLocation=https://365nails.com/products/365nails-strawberry-bow-3d-handcrafted-sweet-short-square-nails, friendlyName=365nails: "Strawberry Bow" – 3D Handcrafted Sweet Short Square Nails</x:v>
      </x:c>
      <x:c r="D4096" s="18" t="str">
        <x:v>Size: XS / S / M / L</x:v>
      </x:c>
      <x:c r="E4096" s="25" t="str">
        <x:v>$1.99</x:v>
      </x:c>
      <x:c r="F4096" s="19" t="str">
        <x:v>3</x:v>
      </x:c>
    </x:row>
    <x:row r="4097" ht="93" customHeight="1">
      <x:c r="A4097" s="19" t="n">
        <x:v>4094</x:v>
      </x:c>
      <x:c r="B4097" s="22" t="e">
        <x:f>HYPERLINK("https://cdn.shopify.com/s/files/1/0918/6066/4603/files/O1CN01Hxr66T1E44iH1fr5l__6000000000297-0-cib.jpg?v=1774348889","Open")</x:f>
        <x:v>HYPERLINK is not implemented. linkLocation=https://cdn.shopify.com/s/files/1/0918/6066/4603/files/O1CN01Hxr66T1E44iH1fr5l__6000000000297-0-cib.jpg?v=1774348889, friendlyName=Open</x:v>
      </x:c>
      <x:c r="C4097" s="24" t="e">
        <x:f>HYPERLINK("https://365nails.com/products/gothic-noir-obsidian-star-crown-long-almond-clear-black-metallic-handmade-press-on","Gothic Noir: ""Obsidian Star Crown"" – Long Almond Clear &amp; Black Metallic Handmade Press-On")</x:f>
        <x:v>HYPERLINK is not implemented. linkLocation=https://365nails.com/products/gothic-noir-obsidian-star-crown-long-almond-clear-black-metallic-handmade-press-on, friendlyName=Gothic Noir: "Obsidian Star Crown" – Long Almond Clear &amp; Black Metallic Handmade Press-On</x:v>
      </x:c>
      <x:c r="D4097" s="18" t="str">
        <x:v>Color: K023; Color classification: X s / S / M / L</x:v>
      </x:c>
      <x:c r="E4097" s="25" t="str">
        <x:v>$3.69</x:v>
      </x:c>
      <x:c r="F4097" s="19" t="str">
        <x:v>1</x:v>
      </x:c>
    </x:row>
    <x:row r="4098" ht="93" customHeight="1">
      <x:c r="A4098" s="19" t="n">
        <x:v>4095</x:v>
      </x:c>
      <x:c r="B4098" s="22" t="e">
        <x:f>HYPERLINK("https://cdn.shopify.com/s/files/1/0918/6066/4603/files/O1CN01WzDSFS1CPwNDZu5WU__2213196780074-0-cib_f3f88742-9f51-485a-b24b-7b794bbb8445.jpg?v=1775996865","Open")</x:f>
        <x:v>HYPERLINK is not implemented. linkLocation=https://cdn.shopify.com/s/files/1/0918/6066/4603/files/O1CN01WzDSFS1CPwNDZu5WU__2213196780074-0-cib_f3f88742-9f51-485a-b24b-7b794bbb8445.jpg?v=1775996865, friendlyName=Open</x:v>
      </x:c>
      <x:c r="C4098" s="24" t="e">
        <x:f>HYPERLINK("https://365nails.com/products/365nails-vernal-bloom-3d-floral-handmade-medium-almond-nails","365nails: ""Vernal Bloom"" – 3D Floral Handmade Medium Almond Nails")</x:f>
        <x:v>HYPERLINK is not implemented. linkLocation=https://365nails.com/products/365nails-vernal-bloom-3d-floral-handmade-medium-almond-nails, friendlyName=365nails: "Vernal Bloom" – 3D Floral Handmade Medium Almond Nails</x:v>
      </x:c>
      <x:c r="D4098" s="18" t="str">
        <x:v>Color: 2836-almond a; Color classification: Xs / S / M / L</x:v>
      </x:c>
      <x:c r="E4098" s="25" t="str">
        <x:v>$4.49</x:v>
      </x:c>
      <x:c r="F4098" s="19" t="str">
        <x:v>3</x:v>
      </x:c>
    </x:row>
    <x:row r="4099" ht="93" customHeight="1">
      <x:c r="A4099" s="19" t="n">
        <x:v>4096</x:v>
      </x:c>
      <x:c r="B4099" s="22" t="e">
        <x:f>HYPERLINK("https://cdn.shopify.com/s/files/1/0918/6066/4603/files/a61c6e6a6dcc2e89d773571e1e85cc25.jpg?v=1775908784","Open")</x:f>
        <x:v>HYPERLINK is not implemented. linkLocation=https://cdn.shopify.com/s/files/1/0918/6066/4603/files/a61c6e6a6dcc2e89d773571e1e85cc25.jpg?v=1775908784, friendlyName=Open</x:v>
      </x:c>
      <x:c r="C4099" s="24" t="e">
        <x:f>HYPERLINK("https://365nails.com/products/365nails-pink-blossom-branch-3d-floral-handmade-stiletto-nails","365nails: ""Pink Blossom Branch"" – 3D Floral Handmade Stiletto Nails")</x:f>
        <x:v>HYPERLINK is not implemented. linkLocation=https://365nails.com/products/365nails-pink-blossom-branch-3d-floral-handmade-stiletto-nails, friendlyName=365nails: "Pink Blossom Branch" – 3D Floral Handmade Stiletto Nails</x:v>
      </x:c>
      <x:c r="D4099" s="18" t="str">
        <x:v>Size: XS / S / M / L</x:v>
      </x:c>
      <x:c r="E4099" s="25" t="str">
        <x:v>$3.99</x:v>
      </x:c>
      <x:c r="F4099" s="19" t="str">
        <x:v>5</x:v>
      </x:c>
    </x:row>
    <x:row r="4100" ht="93" customHeight="1">
      <x:c r="A4100" s="19" t="n">
        <x:v>4097</x:v>
      </x:c>
      <x:c r="B4100" s="22" t="e">
        <x:f>HYPERLINK("https://cdn.shopify.com/s/files/1/0918/6066/4603/files/6e58cc6c59cad9ab5e8da5882391f77a.jpg?v=1775906106","Open")</x:f>
        <x:v>HYPERLINK is not implemented. linkLocation=https://cdn.shopify.com/s/files/1/0918/6066/4603/files/6e58cc6c59cad9ab5e8da5882391f77a.jpg?v=1775906106, friendlyName=Open</x:v>
      </x:c>
      <x:c r="C4100" s="24" t="e">
        <x:f>HYPERLINK("https://365nails.com/products/365nails-garden-whispers-3d-floral-gradient-handmade-stiletto-nails","365nails: ""Garden Whispers"" – 3D Floral Gradient Handmade Stiletto Nails")</x:f>
        <x:v>HYPERLINK is not implemented. linkLocation=https://365nails.com/products/365nails-garden-whispers-3d-floral-gradient-handmade-stiletto-nails, friendlyName=365nails: "Garden Whispers" – 3D Floral Gradient Handmade Stiletto Nails</x:v>
      </x:c>
      <x:c r="D4100" s="18" t="str">
        <x:v>Size: XS / S / M / L</x:v>
      </x:c>
      <x:c r="E4100" s="25" t="str">
        <x:v>$3.99</x:v>
      </x:c>
      <x:c r="F4100" s="19" t="str">
        <x:v>5</x:v>
      </x:c>
    </x:row>
    <x:row r="4101" ht="93" customHeight="1">
      <x:c r="A4101" s="19" t="n">
        <x:v>4098</x:v>
      </x:c>
      <x:c r="B4101" s="22" t="e">
        <x:f>HYPERLINK("https://cdn.shopify.com/s/files/1/0918/6066/4603/files/O1CN01AnUo5h2214t16HzK1__2219480337059-0-cib.jpg?v=1773321143","Open")</x:f>
        <x:v>HYPERLINK is not implemented. linkLocation=https://cdn.shopify.com/s/files/1/0918/6066/4603/files/O1CN01AnUo5h2214t16HzK1__2219480337059-0-cib.jpg?v=1773321143, friendlyName=Open</x:v>
      </x:c>
      <x:c r="C4101" s="24" t="e">
        <x:f>HYPERLINK("https://365nails.com/products/365nails-ruby-unicorn-magic-short-round-handmade-kids-press-on-nails","365nails: ""ruby unicorn magic"" – short round handmade kids press-on nails")</x:f>
        <x:v>HYPERLINK is not implemented. linkLocation=https://365nails.com/products/365nails-ruby-unicorn-magic-short-round-handmade-kids-press-on-nails, friendlyName=365nails: "ruby unicorn magic" – short round handmade kids press-on nails</x:v>
      </x:c>
      <x:c r="D4101" s="18" t="str">
        <x:v>Color: Red flash pony; Color classification: Xs (about 2 years old) / S (3-4 years old) / M (5-7 years old) / L (8-11 years old)</x:v>
      </x:c>
      <x:c r="E4101" s="25" t="str">
        <x:v>$2.99</x:v>
      </x:c>
      <x:c r="F4101" s="19" t="str">
        <x:v>3</x:v>
      </x:c>
    </x:row>
    <x:row r="4102" ht="93" customHeight="1">
      <x:c r="A4102" s="19" t="n">
        <x:v>4099</x:v>
      </x:c>
      <x:c r="B4102" s="22" t="e">
        <x:f>HYPERLINK("https://cdn.shopify.com/s/files/1/0918/6066/4603/files/O1CN01EYFSn01CPwJ4cUoWT__2213196780074-0-cib.jpg?v=1776250985","Open")</x:f>
        <x:v>HYPERLINK is not implemented. linkLocation=https://cdn.shopify.com/s/files/1/0918/6066/4603/files/O1CN01EYFSn01CPwJ4cUoWT__2213196780074-0-cib.jpg?v=1776250985, friendlyName=Open</x:v>
      </x:c>
      <x:c r="C4102" s="24" t="e">
        <x:f>HYPERLINK("https://365nails.com/products/365nails-obsidian-cosmos-3d-cat-eye-metallic-flake-handmade-short-square-nails","365nails: ""Obsidian Cosmos"" – 3D Cat Eye &amp; Metallic Flake Handmade Short Square Nails")</x:f>
        <x:v>HYPERLINK is not implemented. linkLocation=https://365nails.com/products/365nails-obsidian-cosmos-3d-cat-eye-metallic-flake-handmade-short-square-nails, friendlyName=365nails: "Obsidian Cosmos" – 3D Cat Eye &amp; Metallic Flake Handmade Short Square Nails</x:v>
      </x:c>
      <x:c r="D4102" s="18" t="str">
        <x:v>Color: Extra small size xs / Small s / Medium m / Large l; Specification type: 2417-super short ladder</x:v>
      </x:c>
      <x:c r="E4102" s="25" t="str">
        <x:v>$3.49</x:v>
      </x:c>
      <x:c r="F4102" s="19" t="str">
        <x:v>1</x:v>
      </x:c>
    </x:row>
    <x:row r="4103" ht="93" customHeight="1">
      <x:c r="A4103" s="19" t="n">
        <x:v>4100</x:v>
      </x:c>
      <x:c r="B4103" s="22" t="e">
        <x:f>HYPERLINK("https://cdn.shopify.com/s/files/1/0918/6066/4603/files/baf6a7a30bbce449e8636a9e84671cf4.jpg?v=1776214691","Open")</x:f>
        <x:v>HYPERLINK is not implemented. linkLocation=https://cdn.shopify.com/s/files/1/0918/6066/4603/files/baf6a7a30bbce449e8636a9e84671cf4.jpg?v=1776214691, friendlyName=Open</x:v>
      </x:c>
      <x:c r="C4103" s="24" t="e">
        <x:f>HYPERLINK("https://365nails.com/products/365nails-labubus-toy-box-3d-character-handcrafted-sweet-short-square-nails","365nails: ""Labubu's Toy Box"" – 3D Character Handcrafted Sweet Short Square Nails")</x:f>
        <x:v>HYPERLINK is not implemented. linkLocation=https://365nails.com/products/365nails-labubus-toy-box-3d-character-handcrafted-sweet-short-square-nails, friendlyName=365nails: "Labubu's Toy Box" – 3D Character Handcrafted Sweet Short Square Nails</x:v>
      </x:c>
      <x:c r="D4103" s="18" t="str">
        <x:v>Size: XS / S / M / L</x:v>
      </x:c>
      <x:c r="E4103" s="25" t="str">
        <x:v>$2.99</x:v>
      </x:c>
      <x:c r="F4103" s="19" t="str">
        <x:v>3</x:v>
      </x:c>
    </x:row>
    <x:row r="4104" ht="93" customHeight="1">
      <x:c r="A4104" s="19" t="n">
        <x:v>4101</x:v>
      </x:c>
      <x:c r="B4104" s="22" t="e">
        <x:f>HYPERLINK("https://cdn.shopify.com/s/files/1/0918/6066/4603/files/O1CN015le3xQ27ZUlYRY1ZE__2220024697811-0-cib.jpg?v=1775105335","Open")</x:f>
        <x:v>HYPERLINK is not implemented. linkLocation=https://cdn.shopify.com/s/files/1/0918/6066/4603/files/O1CN015le3xQ27ZUlYRY1ZE__2220024697811-0-cib.jpg?v=1775105335, friendlyName=Open</x:v>
      </x:c>
      <x:c r="C4104" s="24" t="e">
        <x:f>HYPERLINK("https://365nails.com/products/365nails-violet-haze-3d-floral-heart-chrome-handmade-press-on-nails-almond-nails","365nails: ""Violet Haze"" – 3D Floral &amp; Heart Chrome Handmade Press on Nails Almond Nails")</x:f>
        <x:v>HYPERLINK is not implemented. linkLocation=https://365nails.com/products/365nails-violet-haze-3d-floral-heart-chrome-handmade-press-on-nails-almond-nails, friendlyName=365nails: "Violet Haze" – 3D Floral &amp; Heart Chrome Handmade Press on Nails Almond Nails</x:v>
      </x:c>
      <x:c r="D4104" s="18" t="str">
        <x:v>Color: Almond; Color classification: Xs / S / M / L</x:v>
      </x:c>
      <x:c r="E4104" s="25" t="str">
        <x:v>$4.49</x:v>
      </x:c>
      <x:c r="F4104" s="19" t="str">
        <x:v>3</x:v>
      </x:c>
    </x:row>
    <x:row r="4105" ht="93" customHeight="1">
      <x:c r="A4105" s="19" t="n">
        <x:v>4102</x:v>
      </x:c>
      <x:c r="B4105" s="22" t="e">
        <x:f>HYPERLINK("https://cdn.shopify.com/s/files/1/0918/6066/4603/files/00d5dccd152bbaa9b9d93949ec932047.jpg?v=1773903358","Open")</x:f>
        <x:v>HYPERLINK is not implemented. linkLocation=https://cdn.shopify.com/s/files/1/0918/6066/4603/files/00d5dccd152bbaa9b9d93949ec932047.jpg?v=1773903358, friendlyName=Open</x:v>
      </x:c>
      <x:c r="C4105" s="24" t="e">
        <x:f>HYPERLINK("https://365nails.com/products/365nails-dark-purple-charm-cat-eye-handmade-press-on-nails-gothic-psychedelic-cool-trend-style","365Nails: ""Dark Purple Charm Cat-eye"" – handmade press-on nails (Gothic Psychedelic/Cool Trend Style)")</x:f>
        <x:v>HYPERLINK is not implemented. linkLocation=https://365nails.com/products/365nails-dark-purple-charm-cat-eye-handmade-press-on-nails-gothic-psychedelic-cool-trend-style, friendlyName=365Nails: "Dark Purple Charm Cat-eye" – handmade press-on nails (Gothic Psychedelic/Cool Trend Style)</x:v>
      </x:c>
      <x:c r="D4105" s="18" t="str">
        <x:v>Size: XS / S / M / L</x:v>
      </x:c>
      <x:c r="E4105" s="25" t="str">
        <x:v>$3.99</x:v>
      </x:c>
      <x:c r="F4105" s="19" t="str">
        <x:v>5</x:v>
      </x:c>
    </x:row>
    <x:row r="4106" ht="93" customHeight="1">
      <x:c r="A4106" s="19" t="n">
        <x:v>4103</x:v>
      </x:c>
      <x:c r="B4106" s="22" t="e">
        <x:f>HYPERLINK("https://cdn.shopify.com/s/files/1/0918/6066/4603/files/O1CN01A4J0nq1CPwIcNzHqq__2213196780074-0-cib.jpg?v=1776741801","Open")</x:f>
        <x:v>HYPERLINK is not implemented. linkLocation=https://cdn.shopify.com/s/files/1/0918/6066/4603/files/O1CN01A4J0nq1CPwIcNzHqq__2213196780074-0-cib.jpg?v=1776741801, friendlyName=Open</x:v>
      </x:c>
      <x:c r="C4106" s="24" t="e">
        <x:f>HYPERLINK("https://365nails.com/products/365nails-crimson-heart-3d-cat-eye-gem-handmade-coffin-nails","365nails: ""Crimson Heart"" – 3D Cat Eye Gem Handmade Coffin Nails")</x:f>
        <x:v>HYPERLINK is not implemented. linkLocation=https://365nails.com/products/365nails-crimson-heart-3d-cat-eye-gem-handmade-coffin-nails, friendlyName=365nails: "Crimson Heart" – 3D Cat Eye Gem Handmade Coffin Nails</x:v>
      </x:c>
      <x:c r="D4106" s="18" t="str">
        <x:v>Color: 2302-extra long ladder; Color classification: Extra small size xs / Small s / Medium m / Large l</x:v>
      </x:c>
      <x:c r="E4106" s="25" t="str">
        <x:v>$3.49</x:v>
      </x:c>
      <x:c r="F4106" s="19" t="str">
        <x:v>1</x:v>
      </x:c>
    </x:row>
    <x:row r="4107" ht="93" customHeight="1">
      <x:c r="A4107" s="19" t="n">
        <x:v>4104</x:v>
      </x:c>
      <x:c r="B4107" s="22" t="e">
        <x:f>HYPERLINK("https://cdn.shopify.com/s/files/1/0918/6066/4603/files/O1CN01WZFZ7E1CPwQIHSMip__2213196780074-0-cib.jpg?v=1777118452","Open")</x:f>
        <x:v>HYPERLINK is not implemented. linkLocation=https://cdn.shopify.com/s/files/1/0918/6066/4603/files/O1CN01WZFZ7E1CPwQIHSMip__2213196780074-0-cib.jpg?v=1777118452, friendlyName=Open</x:v>
      </x:c>
      <x:c r="C4107" s="24" t="e">
        <x:f>HYPERLINK("https://365nails.com/products/365nails-smoked-rose-french-cross-gradient-handmade-coffin-nails","365nails: ""Smoked Rose"" – French Cross Gradient Handmade Coffin Nails")</x:f>
        <x:v>HYPERLINK is not implemented. linkLocation=https://365nails.com/products/365nails-smoked-rose-french-cross-gradient-handmade-coffin-nails, friendlyName=365nails: "Smoked Rose" – French Cross Gradient Handmade Coffin Nails</x:v>
      </x:c>
      <x:c r="D4107" s="18" t="str">
        <x:v>Color: 3439-long oval; Color classification: Extra small size xs / Small s / Medium m / Large l</x:v>
      </x:c>
      <x:c r="E4107" s="25" t="str">
        <x:v>$4.49</x:v>
      </x:c>
      <x:c r="F4107" s="19" t="str">
        <x:v>1</x:v>
      </x:c>
    </x:row>
    <x:row r="4108" ht="93" customHeight="1">
      <x:c r="A4108" s="19" t="n">
        <x:v>4105</x:v>
      </x:c>
      <x:c r="B4108" s="22" t="e">
        <x:f>HYPERLINK("https://cdn.shopify.com/s/files/1/0918/6066/4603/files/fb7e93846b378aa94d511a7a692c8c56.jpg?v=1778337641","Open")</x:f>
        <x:v>HYPERLINK is not implemented. linkLocation=https://cdn.shopify.com/s/files/1/0918/6066/4603/files/fb7e93846b378aa94d511a7a692c8c56.jpg?v=1778337641, friendlyName=Open</x:v>
      </x:c>
      <x:c r="C4108" s="24" t="e">
        <x:f>HYPERLINK("https://365nails.com/products/365nails-ruby-butterfly-3d-crystal-rhinestone-handmade-long-stiletto-nails","365nails: ""Ruby Butterfly"" – 3D Crystal &amp; Rhinestone Handmade Long Stiletto Nails")</x:f>
        <x:v>HYPERLINK is not implemented. linkLocation=https://365nails.com/products/365nails-ruby-butterfly-3d-crystal-rhinestone-handmade-long-stiletto-nails, friendlyName=365nails: "Ruby Butterfly" – 3D Crystal &amp; Rhinestone Handmade Long Stiletto Nails</x:v>
      </x:c>
      <x:c r="D4108" s="18" t="str">
        <x:v>Size: XS / S / M / L</x:v>
      </x:c>
      <x:c r="E4108" s="25" t="str">
        <x:v>$4.99</x:v>
      </x:c>
      <x:c r="F4108" s="19" t="str">
        <x:v>5</x:v>
      </x:c>
    </x:row>
    <x:row r="4109" ht="93" customHeight="1">
      <x:c r="A4109" s="19" t="n">
        <x:v>4106</x:v>
      </x:c>
      <x:c r="B4109" s="22" t="e">
        <x:f>HYPERLINK("https://cdn.shopify.com/s/files/1/0918/6066/4603/files/O1CN01vyIXJp1tMIibfq0qp__6000000005887-0-cib.jpg?v=1774348876","Open")</x:f>
        <x:v>HYPERLINK is not implemented. linkLocation=https://cdn.shopify.com/s/files/1/0918/6066/4603/files/O1CN01vyIXJp1tMIibfq0qp__6000000005887-0-cib.jpg?v=1774348876, friendlyName=Open</x:v>
      </x:c>
      <x:c r="C4109" s="24" t="e">
        <x:f>HYPERLINK("https://365nails.com/products/romantic-sakura-blush-cherry-blossom-medium-almond-nude-pink-gradient-handmade-press-on","Romantic Sakura: ""Blush Cherry Blossom"" – Medium Almond Nude &amp; Pink Gradient Handmade Press-On")</x:f>
        <x:v>HYPERLINK is not implemented. linkLocation=https://365nails.com/products/romantic-sakura-blush-cherry-blossom-medium-almond-nude-pink-gradient-handmade-press-on, friendlyName=Romantic Sakura: "Blush Cherry Blossom" – Medium Almond Nude &amp; Pink Gradient Handmade Press-On</x:v>
      </x:c>
      <x:c r="D4109" s="18" t="str">
        <x:v>Color: D448; Color classification: X s / S / M / L</x:v>
      </x:c>
      <x:c r="E4109" s="25" t="str">
        <x:v>$3.69</x:v>
      </x:c>
      <x:c r="F4109" s="19" t="str">
        <x:v>1</x:v>
      </x:c>
    </x:row>
    <x:row r="4110" ht="93" customHeight="1">
      <x:c r="A4110" s="19" t="n">
        <x:v>4107</x:v>
      </x:c>
      <x:c r="B4110" s="22" t="e">
        <x:f>HYPERLINK("https://cdn.shopify.com/s/files/1/0918/6066/4603/files/885e51acb6f7e9bb1636e5c8a64876b8_819b3e95-21bd-4c08-b4fd-d7595dabee0d.jpg?v=1773212147","Open")</x:f>
        <x:v>HYPERLINK is not implemented. linkLocation=https://cdn.shopify.com/s/files/1/0918/6066/4603/files/885e51acb6f7e9bb1636e5c8a64876b8_819b3e95-21bd-4c08-b4fd-d7595dabee0d.jpg?v=1773212147, friendlyName=Open</x:v>
      </x:c>
      <x:c r="C4110" s="24" t="e">
        <x:f>HYPERLINK("https://365nails.com/products/365nails-starry-glitter-confetti-handmade-press-on-toenails-pedicure","365nails: ""starry glitter confetti"" – handmade press-on toenails / pedicure")</x:f>
        <x:v>HYPERLINK is not implemented. linkLocation=https://365nails.com/products/365nails-starry-glitter-confetti-handmade-press-on-toenails-pedicure, friendlyName=365nails: "starry glitter confetti" – handmade press-on toenails / pedicure</x:v>
      </x:c>
      <x:c r="D4110" s="18" t="str">
        <x:v>Size: XS / S / M / L</x:v>
      </x:c>
      <x:c r="E4110" s="25" t="str">
        <x:v>$2.99</x:v>
      </x:c>
      <x:c r="F4110" s="19" t="str">
        <x:v>3</x:v>
      </x:c>
    </x:row>
    <x:row r="4111" ht="93" customHeight="1">
      <x:c r="A4111" s="19" t="n">
        <x:v>4108</x:v>
      </x:c>
      <x:c r="B4111" s="22" t="e">
        <x:f>HYPERLINK("https://cdn.shopify.com/s/files/1/0918/6066/4603/files/dc2af88ce9112b93760d177dc5f3a7af.jpg?v=1776244098","Open")</x:f>
        <x:v>HYPERLINK is not implemented. linkLocation=https://cdn.shopify.com/s/files/1/0918/6066/4603/files/dc2af88ce9112b93760d177dc5f3a7af.jpg?v=1776244098, friendlyName=Open</x:v>
      </x:c>
      <x:c r="C4111" s="24" t="e">
        <x:f>HYPERLINK("https://365nails.com/products/365nails-festive-owl-berries-3d-character-handmade-short-nails","365nails: ""Festive Owl &amp; Berries"" – 3D Character Handmade Short Nails")</x:f>
        <x:v>HYPERLINK is not implemented. linkLocation=https://365nails.com/products/365nails-festive-owl-berries-3d-character-handmade-short-nails, friendlyName=365nails: "Festive Owl &amp; Berries" – 3D Character Handmade Short Nails</x:v>
      </x:c>
      <x:c r="D4111" s="18" t="str">
        <x:v>Size: XS / S / M / L</x:v>
      </x:c>
      <x:c r="E4111" s="25" t="str">
        <x:v>$2.99</x:v>
      </x:c>
      <x:c r="F4111" s="19" t="str">
        <x:v>3</x:v>
      </x:c>
    </x:row>
    <x:row r="4112" ht="93" customHeight="1">
      <x:c r="A4112" s="19" t="n">
        <x:v>4109</x:v>
      </x:c>
      <x:c r="B4112" s="22" t="e">
        <x:f>HYPERLINK("https://cdn.shopify.com/s/files/1/0918/6066/4603/files/8bfec811b717209bdf386746e4ec9094.jpg?v=1778242625","Open")</x:f>
        <x:v>HYPERLINK is not implemented. linkLocation=https://cdn.shopify.com/s/files/1/0918/6066/4603/files/8bfec811b717209bdf386746e4ec9094.jpg?v=1778242625, friendlyName=Open</x:v>
      </x:c>
      <x:c r="C4112" s="24" t="e">
        <x:f>HYPERLINK("https://365nails.com/products/365nails-gothic-bloom-3d-floral-cross-handmade-long-stiletto-nails","365nails: ""Gothic Bloom"" – 3D Floral &amp; Cross Handmade Long Stiletto Nails")</x:f>
        <x:v>HYPERLINK is not implemented. linkLocation=https://365nails.com/products/365nails-gothic-bloom-3d-floral-cross-handmade-long-stiletto-nails, friendlyName=365nails: "Gothic Bloom" – 3D Floral &amp; Cross Handmade Long Stiletto Nails</x:v>
      </x:c>
      <x:c r="D4112" s="18" t="str">
        <x:v>Size: XS / S / M / L</x:v>
      </x:c>
      <x:c r="E4112" s="25" t="str">
        <x:v>$4.99</x:v>
      </x:c>
      <x:c r="F4112" s="19" t="str">
        <x:v>5</x:v>
      </x:c>
    </x:row>
    <x:row r="4113" ht="93" customHeight="1">
      <x:c r="A4113" s="19" t="n">
        <x:v>4110</x:v>
      </x:c>
      <x:c r="B4113" s="22" t="e">
        <x:f>HYPERLINK("https://cdn.shopify.com/s/files/1/0918/6066/4603/files/O1CN01149P0R2MQzdq8zHaw__2219089449823-0-cib.jpg?v=1774349046","Open")</x:f>
        <x:v>HYPERLINK is not implemented. linkLocation=https://cdn.shopify.com/s/files/1/0918/6066/4603/files/O1CN01149P0R2MQzdq8zHaw__2219089449823-0-cib.jpg?v=1774349046, friendlyName=Open</x:v>
      </x:c>
      <x:c r="C4113" s="24" t="e">
        <x:f>HYPERLINK("https://365nails.com/products/365nails-lavender-lily-grace-medium-almond-nude-purple-floral-handmade-press-on-nails","365nails: ""Lavender Lily Grace"" – Medium Almond Nude-Purple Floral Handmade Press-On Nails")</x:f>
        <x:v>HYPERLINK is not implemented. linkLocation=https://365nails.com/products/365nails-lavender-lily-grace-medium-almond-nude-purple-floral-handmade-press-on-nails, friendlyName=365nails: "Lavender Lily Grace" – Medium Almond Nude-Purple Floral Handmade Press-On Nails</x:v>
      </x:c>
      <x:c r="D4113" s="18" t="str">
        <x:v>Color: D56; Color classification: X s / S / M / L</x:v>
      </x:c>
      <x:c r="E4113" s="25" t="str">
        <x:v>$3.49</x:v>
      </x:c>
      <x:c r="F4113" s="19" t="str">
        <x:v>1</x:v>
      </x:c>
    </x:row>
    <x:row r="4114" ht="93" customHeight="1">
      <x:c r="A4114" s="19" t="n">
        <x:v>4111</x:v>
      </x:c>
      <x:c r="B4114" s="22" t="e">
        <x:f>HYPERLINK("https://cdn.shopify.com/s/files/1/0918/6066/4603/files/045e29f44d6552173ae3545e6941ecbc.jpg?v=1776324651","Open")</x:f>
        <x:v>HYPERLINK is not implemented. linkLocation=https://cdn.shopify.com/s/files/1/0918/6066/4603/files/045e29f44d6552173ae3545e6941ecbc.jpg?v=1776324651, friendlyName=Open</x:v>
      </x:c>
      <x:c r="C4114" s="24" t="e">
        <x:f>HYPERLINK("https://365nails.com/products/365nails-sweet-treat-pals-3d-cartoon-character-short-square-nails","365nails: ""Sweet Treat Pals"" – 3D Cartoon Character Short Square Nails")</x:f>
        <x:v>HYPERLINK is not implemented. linkLocation=https://365nails.com/products/365nails-sweet-treat-pals-3d-cartoon-character-short-square-nails, friendlyName=365nails: "Sweet Treat Pals" – 3D Cartoon Character Short Square Nails</x:v>
      </x:c>
      <x:c r="D4114" s="18" t="str">
        <x:v>Size: XS / S / M / L</x:v>
      </x:c>
      <x:c r="E4114" s="25" t="str">
        <x:v>$3.99</x:v>
      </x:c>
      <x:c r="F4114" s="19" t="str">
        <x:v>5</x:v>
      </x:c>
    </x:row>
    <x:row r="4115" ht="93" customHeight="1">
      <x:c r="A4115" s="19" t="n">
        <x:v>4112</x:v>
      </x:c>
      <x:c r="B4115" s="22" t="e">
        <x:f>HYPERLINK("https://cdn.shopify.com/s/files/1/0918/6066/4603/files/5be21a0685fbeb3ec6ba11175e7c378a.jpg?v=1776170967","Open")</x:f>
        <x:v>HYPERLINK is not implemented. linkLocation=https://cdn.shopify.com/s/files/1/0918/6066/4603/files/5be21a0685fbeb3ec6ba11175e7c378a.jpg?v=1776170967, friendlyName=Open</x:v>
      </x:c>
      <x:c r="C4115" s="24" t="e">
        <x:f>HYPERLINK("https://365nails.com/products/365nails-bamboo-panda-3d-animal-character-handmade-short-square-nails","365nails: ""Bamboo Panda"" – 3D Animal Character Handmade Short Square Nails")</x:f>
        <x:v>HYPERLINK is not implemented. linkLocation=https://365nails.com/products/365nails-bamboo-panda-3d-animal-character-handmade-short-square-nails, friendlyName=365nails: "Bamboo Panda" – 3D Animal Character Handmade Short Square Nails</x:v>
      </x:c>
      <x:c r="D4115" s="18" t="str">
        <x:v>Size: XS / S / M / L</x:v>
      </x:c>
      <x:c r="E4115" s="25" t="str">
        <x:v>$1.99</x:v>
      </x:c>
      <x:c r="F4115" s="19" t="str">
        <x:v>3</x:v>
      </x:c>
    </x:row>
    <x:row r="4116" ht="93" customHeight="1">
      <x:c r="A4116" s="19" t="n">
        <x:v>4113</x:v>
      </x:c>
      <x:c r="B4116" s="22" t="e">
        <x:f>HYPERLINK("https://cdn.shopify.com/s/files/1/0918/6066/4603/files/7d56760b468e5727d0a410d046efa246.jpg?v=1778241791","Open")</x:f>
        <x:v>HYPERLINK is not implemented. linkLocation=https://cdn.shopify.com/s/files/1/0918/6066/4603/files/7d56760b468e5727d0a410d046efa246.jpg?v=1778241791, friendlyName=Open</x:v>
      </x:c>
      <x:c r="C4116" s="24" t="e">
        <x:f>HYPERLINK("https://365nails.com/products/365nails-cosmic-candy-3d-star-charm-handmade-long-coffin-nails","365nails: ""Cosmic Candy"" – 3D Star &amp; Charm Handmade Long Coffin Nails")</x:f>
        <x:v>HYPERLINK is not implemented. linkLocation=https://365nails.com/products/365nails-cosmic-candy-3d-star-charm-handmade-long-coffin-nails, friendlyName=365nails: "Cosmic Candy" – 3D Star &amp; Charm Handmade Long Coffin Nails</x:v>
      </x:c>
      <x:c r="D4116" s="18" t="str">
        <x:v>Size: XS / S / M / L</x:v>
      </x:c>
      <x:c r="E4116" s="25" t="str">
        <x:v>$4.99</x:v>
      </x:c>
      <x:c r="F4116" s="19" t="str">
        <x:v>5</x:v>
      </x:c>
    </x:row>
    <x:row r="4117" ht="93" customHeight="1">
      <x:c r="A4117" s="19" t="n">
        <x:v>4114</x:v>
      </x:c>
      <x:c r="B4117" s="22" t="e">
        <x:f>HYPERLINK("https://cdn.shopify.com/s/files/1/0918/6066/4603/files/O1CN01O2q0B727ZUlgDY55J__2220024697811-0-cib.jpg?v=1775110583","Open")</x:f>
        <x:v>HYPERLINK is not implemented. linkLocation=https://cdn.shopify.com/s/files/1/0918/6066/4603/files/O1CN01O2q0B727ZUlgDY55J__2220024697811-0-cib.jpg?v=1775110583, friendlyName=Open</x:v>
      </x:c>
      <x:c r="C4117" s="24" t="e">
        <x:f>HYPERLINK("https://365nails.com/products/365nails-strawberry-garden-3d-strawberry-floral-handmade-long-almond-nails","365nails: ""Strawberry Garden"" – 3D Strawberry &amp; Floral Handmade Long Almond Nails")</x:f>
        <x:v>HYPERLINK is not implemented. linkLocation=https://365nails.com/products/365nails-strawberry-garden-3d-strawberry-floral-handmade-long-almond-nails, friendlyName=365nails: "Strawberry Garden" – 3D Strawberry &amp; Floral Handmade Long Almond Nails</x:v>
      </x:c>
      <x:c r="D4117" s="18" t="str">
        <x:v>Color: Almond; Color classification: Xs / S / M / L</x:v>
      </x:c>
      <x:c r="E4117" s="25" t="str">
        <x:v>$4.49</x:v>
      </x:c>
      <x:c r="F4117" s="19" t="str">
        <x:v>3</x:v>
      </x:c>
    </x:row>
    <x:row r="4118" ht="93" customHeight="1">
      <x:c r="A4118" s="19" t="n">
        <x:v>4115</x:v>
      </x:c>
      <x:c r="B4118" s="22" t="e">
        <x:f>HYPERLINK("https://cdn.shopify.com/s/files/1/0918/6066/4603/files/O1CN01AblIIn2MQzdoP9Qe6__2219089449823-0-cib.jpg?v=1774096916","Open")</x:f>
        <x:v>HYPERLINK is not implemented. linkLocation=https://cdn.shopify.com/s/files/1/0918/6066/4603/files/O1CN01AblIIn2MQzdoP9Qe6__2219089449823-0-cib.jpg?v=1774096916, friendlyName=Open</x:v>
      </x:c>
      <x:c r="C4118" s="24" t="e">
        <x:f>HYPERLINK("https://365nails.com/products/vintage-bloom-scarlet-petal-carved-almond-press-ons","Vintage Bloom: ""Scarlet Petal"" – Carved Almond Press-Ons")</x:f>
        <x:v>HYPERLINK is not implemented. linkLocation=https://365nails.com/products/vintage-bloom-scarlet-petal-carved-almond-press-ons, friendlyName=Vintage Bloom: "Scarlet Petal" – Carved Almond Press-Ons</x:v>
      </x:c>
      <x:c r="D4118" s="18" t="str">
        <x:v>Color: D509; Color classification: X s / S / M / L</x:v>
      </x:c>
      <x:c r="E4118" s="25" t="str">
        <x:v>$3.99</x:v>
      </x:c>
      <x:c r="F4118" s="19" t="str">
        <x:v>1</x:v>
      </x:c>
    </x:row>
    <x:row r="4119" ht="93" customHeight="1">
      <x:c r="A4119" s="19" t="n">
        <x:v>4116</x:v>
      </x:c>
      <x:c r="B4119" s="22" t="e">
        <x:f>HYPERLINK("https://cdn.shopify.com/s/files/1/0918/6066/4603/files/O1CN01sEE42i2MQzfKrWyLa__2219089449823-0-cib.jpg?v=1774257984","Open")</x:f>
        <x:v>HYPERLINK is not implemented. linkLocation=https://cdn.shopify.com/s/files/1/0918/6066/4603/files/O1CN01sEE42i2MQzfKrWyLa__2219089449823-0-cib.jpg?v=1774257984, friendlyName=Open</x:v>
      </x:c>
      <x:c r="C4119" s="24" t="e">
        <x:f>HYPERLINK("https://365nails.com/products/autumn-lily-amber-floral-almond-shape-handmade-press-on-nails","Autumn Lily: ""Amber Floral"" – Almond Shape Handmade Press-On Nails")</x:f>
        <x:v>HYPERLINK is not implemented. linkLocation=https://365nails.com/products/autumn-lily-amber-floral-almond-shape-handmade-press-on-nails, friendlyName=Autumn Lily: "Amber Floral" – Almond Shape Handmade Press-On Nails</x:v>
      </x:c>
      <x:c r="D4119" s="18" t="str">
        <x:v>Color: (c112) floating light carp one medium oval; Color classification: X s / S / M / L</x:v>
      </x:c>
      <x:c r="E4119" s="25" t="str">
        <x:v>$3.49</x:v>
      </x:c>
      <x:c r="F4119" s="19" t="str">
        <x:v>1</x:v>
      </x:c>
    </x:row>
    <x:row r="4120" ht="93" customHeight="1">
      <x:c r="A4120" s="19" t="n">
        <x:v>4117</x:v>
      </x:c>
      <x:c r="B4120" s="22" t="e">
        <x:f>HYPERLINK("https://cdn.shopify.com/s/files/1/0918/6066/4603/files/9779c24053ea012a30aa9e08393af9c7.jpg?v=1776213625","Open")</x:f>
        <x:v>HYPERLINK is not implemented. linkLocation=https://cdn.shopify.com/s/files/1/0918/6066/4603/files/9779c24053ea012a30aa9e08393af9c7.jpg?v=1776213625, friendlyName=Open</x:v>
      </x:c>
      <x:c r="C4120" s="24" t="e">
        <x:f>HYPERLINK("https://365nails.com/products/365nails-blue-candy-3d-handcrafted-sweet-style-short-square-nails","365nails: ""Blue Candy"" – 3D Handcrafted Sweet Style Short Square Nails")</x:f>
        <x:v>HYPERLINK is not implemented. linkLocation=https://365nails.com/products/365nails-blue-candy-3d-handcrafted-sweet-style-short-square-nails, friendlyName=365nails: "Blue Candy" – 3D Handcrafted Sweet Style Short Square Nails</x:v>
      </x:c>
      <x:c r="D4120" s="18" t="str">
        <x:v>Size: XS / S / M / L</x:v>
      </x:c>
      <x:c r="E4120" s="25" t="str">
        <x:v>$1.99</x:v>
      </x:c>
      <x:c r="F4120" s="19" t="str">
        <x:v>3</x:v>
      </x:c>
    </x:row>
    <x:row r="4121" ht="93" customHeight="1">
      <x:c r="A4121" s="19" t="n">
        <x:v>4118</x:v>
      </x:c>
      <x:c r="B4121" s="22" t="e">
        <x:f>HYPERLINK("https://cdn.shopify.com/s/files/1/0918/6066/4603/files/01e98373c343031dc2053e9a38719590.jpg?v=1776324375","Open")</x:f>
        <x:v>HYPERLINK is not implemented. linkLocation=https://cdn.shopify.com/s/files/1/0918/6066/4603/files/01e98373c343031dc2053e9a38719590.jpg?v=1776324375, friendlyName=Open</x:v>
      </x:c>
      <x:c r="C4121" s="24" t="e">
        <x:f>HYPERLINK("https://365nails.com/products/365nails-pastel-dreamland-3d-cute-cartoon-short-square-nails","365nails: ""Pastel Dreamland"" – 3D Cute Cartoon Short Square Nails")</x:f>
        <x:v>HYPERLINK is not implemented. linkLocation=https://365nails.com/products/365nails-pastel-dreamland-3d-cute-cartoon-short-square-nails, friendlyName=365nails: "Pastel Dreamland" – 3D Cute Cartoon Short Square Nails</x:v>
      </x:c>
      <x:c r="D4121" s="18" t="str">
        <x:v>Size: XS / S / M / L</x:v>
      </x:c>
      <x:c r="E4121" s="25" t="str">
        <x:v>$3.99</x:v>
      </x:c>
      <x:c r="F4121" s="19" t="str">
        <x:v>5</x:v>
      </x:c>
    </x:row>
    <x:row r="4122" ht="93" customHeight="1">
      <x:c r="A4122" s="19" t="n">
        <x:v>4119</x:v>
      </x:c>
      <x:c r="B4122" s="22" t="e">
        <x:f>HYPERLINK("https://cdn.shopify.com/s/files/1/0918/6066/4603/files/537374aefb3e779bf12bc6d249a8af57.jpg?v=1776245174","Open")</x:f>
        <x:v>HYPERLINK is not implemented. linkLocation=https://cdn.shopify.com/s/files/1/0918/6066/4603/files/537374aefb3e779bf12bc6d249a8af57.jpg?v=1776245174, friendlyName=Open</x:v>
      </x:c>
      <x:c r="C4122" s="24" t="e">
        <x:f>HYPERLINK("https://365nails.com/products/365nails-cocoa-bunny-dreams-3d-character-handmade-short-nails","365nails: ""Cocoa Bunny Dreams"" – 3D Character Handmade Short Nails")</x:f>
        <x:v>HYPERLINK is not implemented. linkLocation=https://365nails.com/products/365nails-cocoa-bunny-dreams-3d-character-handmade-short-nails, friendlyName=365nails: "Cocoa Bunny Dreams" – 3D Character Handmade Short Nails</x:v>
      </x:c>
      <x:c r="D4122" s="18" t="str">
        <x:v>Size: XS / S / M / L</x:v>
      </x:c>
      <x:c r="E4122" s="25" t="str">
        <x:v>$2.49</x:v>
      </x:c>
      <x:c r="F4122" s="19" t="str">
        <x:v>3</x:v>
      </x:c>
    </x:row>
    <x:row r="4123" ht="93" customHeight="1">
      <x:c r="A4123" s="19" t="n">
        <x:v>4120</x:v>
      </x:c>
      <x:c r="B4123" s="22" t="e">
        <x:f>HYPERLINK("https://cdn.shopify.com/s/files/1/0918/6066/4603/files/O1CN01dNZCWV27ZUkEqMP1O__2220024697811-0-cib.jpg?v=1775111472","Open")</x:f>
        <x:v>HYPERLINK is not implemented. linkLocation=https://cdn.shopify.com/s/files/1/0918/6066/4603/files/O1CN01dNZCWV27ZUkEqMP1O__2220024697811-0-cib.jpg?v=1775111472, friendlyName=Open</x:v>
      </x:c>
      <x:c r="C4123" s="24" t="e">
        <x:f>HYPERLINK("https://365nails.com/products/365nails-enchanted-forest-3d-mushroom-lace-handmade-long-stiletto-nails","365nails: ""Enchanted Forest"" – 3D Mushroom &amp; Lace Handmade Long Stiletto Nails")</x:f>
        <x:v>HYPERLINK is not implemented. linkLocation=https://365nails.com/products/365nails-enchanted-forest-3d-mushroom-lace-handmade-long-stiletto-nails, friendlyName=365nails: "Enchanted Forest" – 3D Mushroom &amp; Lace Handmade Long Stiletto Nails</x:v>
      </x:c>
      <x:c r="D4123" s="18" t="str">
        <x:v>Color: Long tip; Color classification: Xs / S / M / L</x:v>
      </x:c>
      <x:c r="E4123" s="25" t="str">
        <x:v>$5.49</x:v>
      </x:c>
      <x:c r="F4123" s="19" t="str">
        <x:v>3</x:v>
      </x:c>
    </x:row>
    <x:row r="4124" ht="93" customHeight="1">
      <x:c r="A4124" s="19" t="n">
        <x:v>4121</x:v>
      </x:c>
      <x:c r="B4124" s="22" t="e">
        <x:f>HYPERLINK("https://cdn.shopify.com/s/files/1/0918/6066/4603/files/O1CN01V2icil1CPwJmlDvOY__2213196780074-0-cib.jpg?v=1775979947","Open")</x:f>
        <x:v>HYPERLINK is not implemented. linkLocation=https://cdn.shopify.com/s/files/1/0918/6066/4603/files/O1CN01V2icil1CPwJmlDvOY__2213196780074-0-cib.jpg?v=1775979947, friendlyName=Open</x:v>
      </x:c>
      <x:c r="C4124" s="24" t="e">
        <x:f>HYPERLINK("https://365nails.com/products/365nails-noir-elegance-3d-tweed-heart-gem-handmade-coffin-nails","365nails: ""Noir Elegance"" – 3D Tweed &amp; Heart Gem Handmade Coffin Nails")</x:f>
        <x:v>HYPERLINK is not implemented. linkLocation=https://365nails.com/products/365nails-noir-elegance-3d-tweed-heart-gem-handmade-coffin-nails, friendlyName=365nails: "Noir Elegance" – 3D Tweed &amp; Heart Gem Handmade Coffin Nails</x:v>
      </x:c>
      <x:c r="D4124" s="18" t="str">
        <x:v>Color: Extra small size xs / Small s / Medium m / Large l; Specification type: 2385 long ladder</x:v>
      </x:c>
      <x:c r="E4124" s="25" t="str">
        <x:v>$3.99</x:v>
      </x:c>
      <x:c r="F4124" s="19" t="str">
        <x:v>3</x:v>
      </x:c>
    </x:row>
    <x:row r="4125" ht="93" customHeight="1">
      <x:c r="A4125" s="19" t="n">
        <x:v>4122</x:v>
      </x:c>
      <x:c r="B4125" s="22" t="e">
        <x:f>HYPERLINK("https://cdn.shopify.com/s/files/1/0918/6066/4603/files/789de46f904373a147f89ab49e69bf6e.jpg?v=1773209454","Open")</x:f>
        <x:v>HYPERLINK is not implemented. linkLocation=https://cdn.shopify.com/s/files/1/0918/6066/4603/files/789de46f904373a147f89ab49e69bf6e.jpg?v=1773209454, friendlyName=Open</x:v>
      </x:c>
      <x:c r="C4125" s="24" t="e">
        <x:f>HYPERLINK("https://365nails.com/products/365nails-silver-crushed-diamond-handmade-press-on-toenails-pedicure","365nails: ""silver crushed diamond"" – handmade press-on toenails / pedicure")</x:f>
        <x:v>HYPERLINK is not implemented. linkLocation=https://365nails.com/products/365nails-silver-crushed-diamond-handmade-press-on-toenails-pedicure, friendlyName=365nails: "silver crushed diamond" – handmade press-on toenails / pedicure</x:v>
      </x:c>
      <x:c r="D4125" s="18" t="str">
        <x:v>Size: XS / S / M / L</x:v>
      </x:c>
      <x:c r="E4125" s="25" t="str">
        <x:v>$3.99</x:v>
      </x:c>
      <x:c r="F4125" s="19" t="str">
        <x:v>3</x:v>
      </x:c>
    </x:row>
    <x:row r="4126" ht="93" customHeight="1">
      <x:c r="A4126" s="19" t="n">
        <x:v>4123</x:v>
      </x:c>
      <x:c r="B4126" s="22" t="e">
        <x:f>HYPERLINK("https://cdn.shopify.com/s/files/1/0918/6066/4603/files/510b458bde970e5f368bbf92cd2e49ba.jpg?v=1776322149","Open")</x:f>
        <x:v>HYPERLINK is not implemented. linkLocation=https://cdn.shopify.com/s/files/1/0918/6066/4603/files/510b458bde970e5f368bbf92cd2e49ba.jpg?v=1776322149, friendlyName=Open</x:v>
      </x:c>
      <x:c r="C4126" s="24" t="e">
        <x:f>HYPERLINK("https://365nails.com/products/365nails-sweet-dreams-3d-hello-kitty-short-square-nails","365nails: ""Sweet Dreams"" – 3D Hello Kitty Short Square Nails")</x:f>
        <x:v>HYPERLINK is not implemented. linkLocation=https://365nails.com/products/365nails-sweet-dreams-3d-hello-kitty-short-square-nails, friendlyName=365nails: "Sweet Dreams" – 3D Hello Kitty Short Square Nails</x:v>
      </x:c>
      <x:c r="D4126" s="18" t="str">
        <x:v>Size: XS / S / M / L</x:v>
      </x:c>
      <x:c r="E4126" s="25" t="str">
        <x:v>$3.99</x:v>
      </x:c>
      <x:c r="F4126" s="19" t="str">
        <x:v>5</x:v>
      </x:c>
    </x:row>
    <x:row r="4127" ht="93" customHeight="1">
      <x:c r="A4127" s="19" t="n">
        <x:v>4124</x:v>
      </x:c>
      <x:c r="B4127" s="22" t="e">
        <x:f>HYPERLINK("https://cdn.shopify.com/s/files/1/0918/6066/4603/files/O1CN01d0pk6g1eUnqymM3EB__6000000003875-0-cib.jpg?v=1774178686","Open")</x:f>
        <x:v>HYPERLINK is not implemented. linkLocation=https://cdn.shopify.com/s/files/1/0918/6066/4603/files/O1CN01d0pk6g1eUnqymM3EB__6000000003875-0-cib.jpg?v=1774178686, friendlyName=Open</x:v>
      </x:c>
      <x:c r="C4127" s="24" t="e">
        <x:f>HYPERLINK("https://365nails.com/products/retro-pin-up-series-cherry-kiss-short-square-handmade-press-on-nails","Retro Pin-Up Series: ""Cherry Kiss"" – Short Square Handmade Press-on Nails")</x:f>
        <x:v>HYPERLINK is not implemented. linkLocation=https://365nails.com/products/retro-pin-up-series-cherry-kiss-short-square-handmade-press-on-nails, friendlyName=Retro Pin-Up Series: "Cherry Kiss" – Short Square Handmade Press-on Nails</x:v>
      </x:c>
      <x:c r="D4127" s="18" t="str">
        <x:v>Color: L194; Color classification: X s / S / M / L</x:v>
      </x:c>
      <x:c r="E4127" s="25" t="str">
        <x:v>$4.99</x:v>
      </x:c>
      <x:c r="F4127" s="19" t="str">
        <x:v>1</x:v>
      </x:c>
    </x:row>
    <x:row r="4128" ht="93" customHeight="1">
      <x:c r="A4128" s="19" t="n">
        <x:v>4125</x:v>
      </x:c>
      <x:c r="B4128" s="22" t="e">
        <x:f>HYPERLINK("https://cdn.shopify.com/s/files/1/0918/6066/4603/files/ab0a52ca9427e5a1a2442b20b7a3f235.jpg?v=1776167831","Open")</x:f>
        <x:v>HYPERLINK is not implemented. linkLocation=https://cdn.shopify.com/s/files/1/0918/6066/4603/files/ab0a52ca9427e5a1a2442b20b7a3f235.jpg?v=1776167831, friendlyName=Open</x:v>
      </x:c>
      <x:c r="C4128" s="24" t="e">
        <x:f>HYPERLINK("https://365nails.com/products/365nails-peachy-keen-3d-fruit-glitter-handmade-short-square-nails","365nails: ""Peachy Keen"" – 3D Fruit &amp; Glitter Handmade Short Square Nails")</x:f>
        <x:v>HYPERLINK is not implemented. linkLocation=https://365nails.com/products/365nails-peachy-keen-3d-fruit-glitter-handmade-short-square-nails, friendlyName=365nails: "Peachy Keen" – 3D Fruit &amp; Glitter Handmade Short Square Nails</x:v>
      </x:c>
      <x:c r="D4128" s="18" t="str">
        <x:v>Size: XS / S / M / L</x:v>
      </x:c>
      <x:c r="E4128" s="25" t="str">
        <x:v>$1.99</x:v>
      </x:c>
      <x:c r="F4128" s="19" t="str">
        <x:v>3</x:v>
      </x:c>
    </x:row>
    <x:row r="4129" ht="93" customHeight="1">
      <x:c r="A4129" s="19" t="n">
        <x:v>4126</x:v>
      </x:c>
      <x:c r="B4129" s="22" t="e">
        <x:f>HYPERLINK("https://cdn.shopify.com/s/files/1/0918/6066/4603/files/O1CN016QvG5V2214vZqWHXc__2219480337059-0-cib.jpg?v=1773824685","Open")</x:f>
        <x:v>HYPERLINK is not implemented. linkLocation=https://cdn.shopify.com/s/files/1/0918/6066/4603/files/O1CN016QvG5V2214vZqWHXc__2219480337059-0-cib.jpg?v=1773824685, friendlyName=Open</x:v>
      </x:c>
      <x:c r="C4129" s="24" t="e">
        <x:f>HYPERLINK("https://365nails.com/products/labubu-kids-series-cute-monster-party-short-square-kids-nail-art","365nails-Labubu Kids Series: ""Cute Monster Party"" – Short Square Kids Nail Art")</x:f>
        <x:v>HYPERLINK is not implemented. linkLocation=https://365nails.com/products/labubu-kids-series-cute-monster-party-short-square-kids-nail-art, friendlyName=365nails-Labubu Kids Series: "Cute Monster Party" – Short Square Kids Nail Art</x:v>
      </x:c>
      <x:c r="D4129" s="18" t="str">
        <x:v>Color: 10207 labubu hat; Color classification: Xs (about 2 years old) / S (3-4 years old) / M (5-7 years old) / L (8-11 years old)</x:v>
      </x:c>
      <x:c r="E4129" s="25" t="str">
        <x:v>$2.99</x:v>
      </x:c>
      <x:c r="F4129" s="19" t="str">
        <x:v>3</x:v>
      </x:c>
    </x:row>
    <x:row r="4130" ht="93" customHeight="1">
      <x:c r="A4130" s="19" t="n">
        <x:v>4127</x:v>
      </x:c>
      <x:c r="B4130" s="22" t="e">
        <x:f>HYPERLINK("https://cdn.shopify.com/s/files/1/0918/6066/4603/files/O1CN01eCnTgI2MQzdltoBg1__2219089449823-0-cib.jpg?v=1774096925","Open")</x:f>
        <x:v>HYPERLINK is not implemented. linkLocation=https://cdn.shopify.com/s/files/1/0918/6066/4603/files/O1CN01eCnTgI2MQzdltoBg1__2219089449823-0-cib.jpg?v=1774096925, friendlyName=Open</x:v>
      </x:c>
      <x:c r="C4130" s="24" t="e">
        <x:f>HYPERLINK("https://365nails.com/products/desert-mirage-amber-dusk-almond-press-ons","Desert Mirage: ""Amber Dusk"" – Almond Press-Ons")</x:f>
        <x:v>HYPERLINK is not implemented. linkLocation=https://365nails.com/products/desert-mirage-amber-dusk-almond-press-ons, friendlyName=Desert Mirage: "Amber Dusk" – Almond Press-Ons</x:v>
      </x:c>
      <x:c r="D4130" s="18" t="str">
        <x:v>Color: D506; Color classification: X s / S / M / L</x:v>
      </x:c>
      <x:c r="E4130" s="25" t="str">
        <x:v>$3.99</x:v>
      </x:c>
      <x:c r="F4130" s="19" t="str">
        <x:v>1</x:v>
      </x:c>
    </x:row>
    <x:row r="4131" ht="93" customHeight="1">
      <x:c r="A4131" s="19" t="n">
        <x:v>4128</x:v>
      </x:c>
      <x:c r="B4131" s="22" t="e">
        <x:f>HYPERLINK("https://cdn.shopify.com/s/files/1/0918/6066/4603/files/130acb415e293be1f1704451161a2a3f.jpg?v=1778240754","Open")</x:f>
        <x:v>HYPERLINK is not implemented. linkLocation=https://cdn.shopify.com/s/files/1/0918/6066/4603/files/130acb415e293be1f1704451161a2a3f.jpg?v=1778240754, friendlyName=Open</x:v>
      </x:c>
      <x:c r="C4131" s="24" t="e">
        <x:f>HYPERLINK("https://365nails.com/products/365nails-candy-crush-3d-gems-glitter-handmade-long-coffin-nails","365nails: ""Candy Crush"" – 3D Gems &amp; Glitter Handmade Long Coffin Nails")</x:f>
        <x:v>HYPERLINK is not implemented. linkLocation=https://365nails.com/products/365nails-candy-crush-3d-gems-glitter-handmade-long-coffin-nails, friendlyName=365nails: "Candy Crush" – 3D Gems &amp; Glitter Handmade Long Coffin Nails</x:v>
      </x:c>
      <x:c r="D4131" s="18" t="str">
        <x:v>Size: XS / S / M / L</x:v>
      </x:c>
      <x:c r="E4131" s="25" t="str">
        <x:v>$4.99</x:v>
      </x:c>
      <x:c r="F4131" s="19" t="str">
        <x:v>5</x:v>
      </x:c>
    </x:row>
    <x:row r="4132" ht="93" customHeight="1">
      <x:c r="A4132" s="19" t="n">
        <x:v>4129</x:v>
      </x:c>
      <x:c r="B4132" s="22" t="e">
        <x:f>HYPERLINK("https://cdn.shopify.com/s/files/1/0918/6066/4603/files/14d94171984aea63f8a25f3f52a5bfbb.jpg?v=1776213763","Open")</x:f>
        <x:v>HYPERLINK is not implemented. linkLocation=https://cdn.shopify.com/s/files/1/0918/6066/4603/files/14d94171984aea63f8a25f3f52a5bfbb.jpg?v=1776213763, friendlyName=Open</x:v>
      </x:c>
      <x:c r="C4132" s="24" t="e">
        <x:f>HYPERLINK("https://365nails.com/products/365nails-pink-petals-3d-rosette-handcrafted-sweet-short-square-nails","365nails: ""Pink Petals"" – 3D Rosette Handcrafted Sweet Short Square Nails")</x:f>
        <x:v>HYPERLINK is not implemented. linkLocation=https://365nails.com/products/365nails-pink-petals-3d-rosette-handcrafted-sweet-short-square-nails, friendlyName=365nails: "Pink Petals" – 3D Rosette Handcrafted Sweet Short Square Nails</x:v>
      </x:c>
      <x:c r="D4132" s="18" t="str">
        <x:v>Size: XS / S / M / L</x:v>
      </x:c>
      <x:c r="E4132" s="25" t="str">
        <x:v>$1.99</x:v>
      </x:c>
      <x:c r="F4132" s="19" t="str">
        <x:v>3</x:v>
      </x:c>
    </x:row>
    <x:row r="4133" ht="93" customHeight="1">
      <x:c r="A4133" s="19" t="n">
        <x:v>4130</x:v>
      </x:c>
      <x:c r="B4133" s="22" t="e">
        <x:f>HYPERLINK("https://cdn.shopify.com/s/files/1/0918/6066/4603/files/a3e7554aec3a825fa5f112b7e952536f.jpg?v=1775907117","Open")</x:f>
        <x:v>HYPERLINK is not implemented. linkLocation=https://cdn.shopify.com/s/files/1/0918/6066/4603/files/a3e7554aec3a825fa5f112b7e952536f.jpg?v=1775907117, friendlyName=Open</x:v>
      </x:c>
      <x:c r="C4133" s="24" t="e">
        <x:f>HYPERLINK("https://365nails.com/products/365nails-ethereal-bloom-3d-floral-abstract-handmade-almond-nails","365nails: ""Ethereal Bloom"" – 3D Floral &amp; Abstract Handmade Almond Nails")</x:f>
        <x:v>HYPERLINK is not implemented. linkLocation=https://365nails.com/products/365nails-ethereal-bloom-3d-floral-abstract-handmade-almond-nails, friendlyName=365nails: "Ethereal Bloom" – 3D Floral &amp; Abstract Handmade Almond Nails</x:v>
      </x:c>
      <x:c r="D4133" s="18" t="str">
        <x:v>Size: XS / S / M / L</x:v>
      </x:c>
      <x:c r="E4133" s="25" t="str">
        <x:v>$3.99</x:v>
      </x:c>
      <x:c r="F4133" s="19" t="str">
        <x:v>5</x:v>
      </x:c>
    </x:row>
    <x:row r="4134" ht="93" customHeight="1">
      <x:c r="A4134" s="19" t="n">
        <x:v>4131</x:v>
      </x:c>
      <x:c r="B4134" s="22" t="e">
        <x:f>HYPERLINK("https://cdn.shopify.com/s/files/1/0918/6066/4603/files/O1CN01QubKPQ1CPwJrvn29W__2213196780074-0-cib.jpg?v=1775979387","Open")</x:f>
        <x:v>HYPERLINK is not implemented. linkLocation=https://cdn.shopify.com/s/files/1/0918/6066/4603/files/O1CN01QubKPQ1CPwJrvn29W__2213196780074-0-cib.jpg?v=1775979387, friendlyName=Open</x:v>
      </x:c>
      <x:c r="C4134" s="24" t="e">
        <x:f>HYPERLINK("https://365nails.com/products/365nails-lions-roar-3d-chinese-new-year-handmade-coffin-nails","365nails: ""Lion's Roar"" – 3D Chinese New Year Handmade Coffin Nails")</x:f>
        <x:v>HYPERLINK is not implemented. linkLocation=https://365nails.com/products/365nails-lions-roar-3d-chinese-new-year-handmade-coffin-nails, friendlyName=365nails: "Lion's Roar" – 3D Chinese New Year Handmade Coffin Nails</x:v>
      </x:c>
      <x:c r="D4134" s="18" t="str">
        <x:v>Color: Extra small size xs / Small s / Medium m / Large l; Specification type: 2485 short ladder</x:v>
      </x:c>
      <x:c r="E4134" s="25" t="str">
        <x:v>$3.99</x:v>
      </x:c>
      <x:c r="F4134" s="19" t="str">
        <x:v>3</x:v>
      </x:c>
    </x:row>
    <x:row r="4135" ht="93" customHeight="1">
      <x:c r="A4135" s="19" t="n">
        <x:v>4132</x:v>
      </x:c>
      <x:c r="B4135" s="22" t="e">
        <x:f>HYPERLINK("https://cdn.shopify.com/s/files/1/0918/6066/4603/files/0806fe37b443cac32ec8967317fc576f.jpg?v=1778244957","Open")</x:f>
        <x:v>HYPERLINK is not implemented. linkLocation=https://cdn.shopify.com/s/files/1/0918/6066/4603/files/0806fe37b443cac32ec8967317fc576f.jpg?v=1778244957, friendlyName=Open</x:v>
      </x:c>
      <x:c r="C4135" s="24" t="e">
        <x:f>HYPERLINK("https://365nails.com/products/365nails-neon-rebel-3d-star-graffiti-handmade-coffin-nails","365nails: ""Neon Rebel"" – 3D Star &amp; Graffiti Handmade Coffin Nails")</x:f>
        <x:v>HYPERLINK is not implemented. linkLocation=https://365nails.com/products/365nails-neon-rebel-3d-star-graffiti-handmade-coffin-nails, friendlyName=365nails: "Neon Rebel" – 3D Star &amp; Graffiti Handmade Coffin Nails</x:v>
      </x:c>
      <x:c r="D4135" s="18" t="str">
        <x:v>Size: XS / S / M / L</x:v>
      </x:c>
      <x:c r="E4135" s="25" t="str">
        <x:v>$3.99</x:v>
      </x:c>
      <x:c r="F4135" s="19" t="str">
        <x:v>5</x:v>
      </x:c>
    </x:row>
    <x:row r="4136" ht="93" customHeight="1">
      <x:c r="A4136" s="19" t="n">
        <x:v>4133</x:v>
      </x:c>
      <x:c r="B4136" s="22" t="e">
        <x:f>HYPERLINK("https://cdn.shopify.com/s/files/1/0918/6066/4603/files/09e1b9588642c939a89ae1f72b23b791.jpg?v=1773306557","Open")</x:f>
        <x:v>HYPERLINK is not implemented. linkLocation=https://cdn.shopify.com/s/files/1/0918/6066/4603/files/09e1b9588642c939a89ae1f72b23b791.jpg?v=1773306557, friendlyName=Open</x:v>
      </x:c>
      <x:c r="C4136" s="24" t="e">
        <x:f>HYPERLINK("https://365nails.com/products/365nails-icy-cyan-star-handmade-press-on-toenails-pedicure","365nails: ""icy cyan star"" – handmade press-on toenails / pedicure")</x:f>
        <x:v>HYPERLINK is not implemented. linkLocation=https://365nails.com/products/365nails-icy-cyan-star-handmade-press-on-toenails-pedicure, friendlyName=365nails: "icy cyan star" – handmade press-on toenails / pedicure</x:v>
      </x:c>
      <x:c r="D4136" s="18" t="str">
        <x:v>Size: XS / S / M / L</x:v>
      </x:c>
      <x:c r="E4136" s="25" t="str">
        <x:v>$2.99</x:v>
      </x:c>
      <x:c r="F4136" s="19" t="str">
        <x:v>3</x:v>
      </x:c>
    </x:row>
    <x:row r="4137" ht="93" customHeight="1">
      <x:c r="A4137" s="19" t="n">
        <x:v>4134</x:v>
      </x:c>
      <x:c r="B4137" s="22" t="e">
        <x:f>HYPERLINK("https://cdn.shopify.com/s/files/1/0918/6066/4603/files/002662d8755c09ac7e86c55d1e0b9a90.jpg?v=1775909157","Open")</x:f>
        <x:v>HYPERLINK is not implemented. linkLocation=https://cdn.shopify.com/s/files/1/0918/6066/4603/files/002662d8755c09ac7e86c55d1e0b9a90.jpg?v=1775909157, friendlyName=Open</x:v>
      </x:c>
      <x:c r="C4137" s="24" t="e">
        <x:f>HYPERLINK("https://365nails.com/products/365nails-neon-bloom-3d-floral-handmade-square-nails","365nails: ""Neon Bloom"" – 3D Floral Handmade Square Nails")</x:f>
        <x:v>HYPERLINK is not implemented. linkLocation=https://365nails.com/products/365nails-neon-bloom-3d-floral-handmade-square-nails, friendlyName=365nails: "Neon Bloom" – 3D Floral Handmade Square Nails</x:v>
      </x:c>
      <x:c r="D4137" s="18" t="str">
        <x:v>Size: XS / S / M / L</x:v>
      </x:c>
      <x:c r="E4137" s="25" t="str">
        <x:v>$3.99</x:v>
      </x:c>
      <x:c r="F4137" s="19" t="str">
        <x:v>5</x:v>
      </x:c>
    </x:row>
    <x:row r="4138" ht="93" customHeight="1">
      <x:c r="A4138" s="19" t="n">
        <x:v>4135</x:v>
      </x:c>
      <x:c r="B4138" s="22" t="e">
        <x:f>HYPERLINK("https://cdn.shopify.com/s/files/1/0918/6066/4603/files/9b2e7fa77a1284dcd6b0188e4b76abe7.jpg?v=1778316602","Open")</x:f>
        <x:v>HYPERLINK is not implemented. linkLocation=https://cdn.shopify.com/s/files/1/0918/6066/4603/files/9b2e7fa77a1284dcd6b0188e4b76abe7.jpg?v=1778316602, friendlyName=Open</x:v>
      </x:c>
      <x:c r="C4138" s="24" t="e">
        <x:f>HYPERLINK("https://365nails.com/products/365nails-wild-heart-3d-gem-animal-print-handmade-coffin-nails","365nails: ""Wild Heart"" – 3D Gem &amp; Animal Print Handmade Coffin Nails")</x:f>
        <x:v>HYPERLINK is not implemented. linkLocation=https://365nails.com/products/365nails-wild-heart-3d-gem-animal-print-handmade-coffin-nails, friendlyName=365nails: "Wild Heart" – 3D Gem &amp; Animal Print Handmade Coffin Nails</x:v>
      </x:c>
      <x:c r="D4138" s="18" t="str">
        <x:v>Size: XS / S / M / L</x:v>
      </x:c>
      <x:c r="E4138" s="25" t="str">
        <x:v>$3.99</x:v>
      </x:c>
      <x:c r="F4138" s="19" t="str">
        <x:v>5</x:v>
      </x:c>
    </x:row>
    <x:row r="4139" ht="93" customHeight="1">
      <x:c r="A4139" s="19" t="n">
        <x:v>4136</x:v>
      </x:c>
      <x:c r="B4139" s="22" t="e">
        <x:f>HYPERLINK("https://cdn.shopify.com/s/files/1/0918/6066/4603/files/O1CN01g543kd27ZUkKpqgsS__2220024697811-0-cib.jpg?v=1774928715","Open")</x:f>
        <x:v>HYPERLINK is not implemented. linkLocation=https://cdn.shopify.com/s/files/1/0918/6066/4603/files/O1CN01g543kd27ZUkKpqgsS__2220024697811-0-cib.jpg?v=1774928715, friendlyName=Open</x:v>
      </x:c>
      <x:c r="C4139" s="24" t="e">
        <x:f>HYPERLINK("https://365nails.com/products/365nails-enchanted-garden-3d-floral-handmade-almond-nails-1","365nails: ""Enchanted Garden"" – 3D Floral Handmade Almond Nails")</x:f>
        <x:v>HYPERLINK is not implemented. linkLocation=https://365nails.com/products/365nails-enchanted-garden-3d-floral-handmade-almond-nails-1, friendlyName=365nails: "Enchanted Garden" – 3D Floral Handmade Almond Nails</x:v>
      </x:c>
      <x:c r="D4139" s="18" t="str">
        <x:v>Color: Almond; Color classification: Xs / S / M / L</x:v>
      </x:c>
      <x:c r="E4139" s="25" t="str">
        <x:v>$3.99</x:v>
      </x:c>
      <x:c r="F4139" s="19" t="str">
        <x:v>3</x:v>
      </x:c>
    </x:row>
    <x:row r="4140" ht="93" customHeight="1">
      <x:c r="A4140" s="19" t="n">
        <x:v>4137</x:v>
      </x:c>
      <x:c r="B4140" s="22" t="e">
        <x:f>HYPERLINK("https://cdn.shopify.com/s/files/1/0918/6066/4603/files/O1CN01m54ryV2MQzgG7hXzb__2219089449823-0-cib.jpg?v=1774349017","Open")</x:f>
        <x:v>HYPERLINK is not implemented. linkLocation=https://cdn.shopify.com/s/files/1/0918/6066/4603/files/O1CN01m54ryV2MQzgG7hXzb__2219089449823-0-cib.jpg?v=1774349017, friendlyName=Open</x:v>
      </x:c>
      <x:c r="C4140" s="24" t="e">
        <x:f>HYPERLINK("https://365nails.com/products/365nails-monster-mash-fantasy-medium-almond-cartoon-monster-handmade-press-on-nails","365nails: ""Monster Mash Fantasy"" – Medium Almond Cartoon Monster Handmade Press-On Nails")</x:f>
        <x:v>HYPERLINK is not implemented. linkLocation=https://365nails.com/products/365nails-monster-mash-fantasy-medium-almond-cartoon-monster-handmade-press-on-nails, friendlyName=365nails: "Monster Mash Fantasy" – Medium Almond Cartoon Monster Handmade Press-On Nails</x:v>
      </x:c>
      <x:c r="D4140" s="18" t="str">
        <x:v>Color: D248; Color classification: X s / S / M / L</x:v>
      </x:c>
      <x:c r="E4140" s="25" t="str">
        <x:v>$3.49</x:v>
      </x:c>
      <x:c r="F4140" s="19" t="str">
        <x:v>1</x:v>
      </x:c>
    </x:row>
    <x:row r="4141" ht="93" customHeight="1">
      <x:c r="A4141" s="19" t="n">
        <x:v>4138</x:v>
      </x:c>
      <x:c r="B4141" s="22" t="e">
        <x:f>HYPERLINK("https://cdn.shopify.com/s/files/1/0918/6066/4603/files/48e8869416f0166e474e117a7e54c0f5.jpg?v=1778318013","Open")</x:f>
        <x:v>HYPERLINK is not implemented. linkLocation=https://cdn.shopify.com/s/files/1/0918/6066/4603/files/48e8869416f0166e474e117a7e54c0f5.jpg?v=1778318013, friendlyName=Open</x:v>
      </x:c>
      <x:c r="C4141" s="24" t="e">
        <x:f>HYPERLINK("https://365nails.com/products/365nails-tropical-pop-3d-floral-animal-print-handmade-almond-nails","365nails: ""Tropical Pop"" – 3D Floral &amp; Animal Print Handmade Almond Nails")</x:f>
        <x:v>HYPERLINK is not implemented. linkLocation=https://365nails.com/products/365nails-tropical-pop-3d-floral-animal-print-handmade-almond-nails, friendlyName=365nails: "Tropical Pop" – 3D Floral &amp; Animal Print Handmade Almond Nails</x:v>
      </x:c>
      <x:c r="D4141" s="18" t="str">
        <x:v>Size: XS / S / M / L</x:v>
      </x:c>
      <x:c r="E4141" s="25" t="str">
        <x:v>$3.99</x:v>
      </x:c>
      <x:c r="F4141" s="19" t="str">
        <x:v>5</x:v>
      </x:c>
    </x:row>
    <x:row r="4142" ht="93" customHeight="1">
      <x:c r="A4142" s="19" t="n">
        <x:v>4139</x:v>
      </x:c>
      <x:c r="B4142" s="22" t="e">
        <x:f>HYPERLINK("https://cdn.shopify.com/s/files/1/0918/6066/4603/files/753a3c31be166fe4a4ed262f41079222.jpg?v=1776322904","Open")</x:f>
        <x:v>HYPERLINK is not implemented. linkLocation=https://cdn.shopify.com/s/files/1/0918/6066/4603/files/753a3c31be166fe4a4ed262f41079222.jpg?v=1776322904, friendlyName=Open</x:v>
      </x:c>
      <x:c r="C4142" s="24" t="e">
        <x:f>HYPERLINK("https://365nails.com/products/365nails-gothic-kitty-3d-hello-kitty-short-square-nails","365nails: ""Gothic Kitty"" – 3D Hello Kitty Short Square Nails")</x:f>
        <x:v>HYPERLINK is not implemented. linkLocation=https://365nails.com/products/365nails-gothic-kitty-3d-hello-kitty-short-square-nails, friendlyName=365nails: "Gothic Kitty" – 3D Hello Kitty Short Square Nails</x:v>
      </x:c>
      <x:c r="D4142" s="18" t="str">
        <x:v>Size: XS / S / M / L</x:v>
      </x:c>
      <x:c r="E4142" s="25" t="str">
        <x:v>$3.99</x:v>
      </x:c>
      <x:c r="F4142" s="19" t="str">
        <x:v>5</x:v>
      </x:c>
    </x:row>
    <x:row r="4143" ht="93" customHeight="1">
      <x:c r="A4143" s="19" t="n">
        <x:v>4140</x:v>
      </x:c>
      <x:c r="B4143" s="22" t="e">
        <x:f>HYPERLINK("https://cdn.shopify.com/s/files/1/0918/6066/4603/files/6ed7295d0359c1515e96199fb6eca0a5.jpg?v=1778316665","Open")</x:f>
        <x:v>HYPERLINK is not implemented. linkLocation=https://cdn.shopify.com/s/files/1/0918/6066/4603/files/6ed7295d0359c1515e96199fb6eca0a5.jpg?v=1778316665, friendlyName=Open</x:v>
      </x:c>
      <x:c r="C4143" s="24" t="e">
        <x:f>HYPERLINK("https://365nails.com/products/365nails-lavender-bow-3d-ribbon-rhinestone-handmade-coffin-nails","365nails: ""Lavender Bow"" – 3D Ribbon &amp; Rhinestone Handmade Coffin Nails")</x:f>
        <x:v>HYPERLINK is not implemented. linkLocation=https://365nails.com/products/365nails-lavender-bow-3d-ribbon-rhinestone-handmade-coffin-nails, friendlyName=365nails: "Lavender Bow" – 3D Ribbon &amp; Rhinestone Handmade Coffin Nails</x:v>
      </x:c>
      <x:c r="D4143" s="18" t="str">
        <x:v>Size: XS / S / M / L</x:v>
      </x:c>
      <x:c r="E4143" s="25" t="str">
        <x:v>$3.99</x:v>
      </x:c>
      <x:c r="F4143" s="19" t="str">
        <x:v>5</x:v>
      </x:c>
    </x:row>
    <x:row r="4144" ht="93" customHeight="1">
      <x:c r="A4144" s="19" t="n">
        <x:v>4141</x:v>
      </x:c>
      <x:c r="B4144" s="22" t="e">
        <x:f>HYPERLINK("https://cdn.shopify.com/s/files/1/0918/6066/4603/files/4ba238d86d8e399f80ab3c94ba5dae45.jpg?v=1776245081","Open")</x:f>
        <x:v>HYPERLINK is not implemented. linkLocation=https://cdn.shopify.com/s/files/1/0918/6066/4603/files/4ba238d86d8e399f80ab3c94ba5dae45.jpg?v=1776245081, friendlyName=Open</x:v>
      </x:c>
      <x:c r="C4144" s="24" t="e">
        <x:f>HYPERLINK("https://365nails.com/products/365nails-candyland-friends-3d-cartoon-character-handmade-short-nails","365nails: ""Candyland Friends"" – 3D Cartoon Character Handmade Short Nails")</x:f>
        <x:v>HYPERLINK is not implemented. linkLocation=https://365nails.com/products/365nails-candyland-friends-3d-cartoon-character-handmade-short-nails, friendlyName=365nails: "Candyland Friends" – 3D Cartoon Character Handmade Short Nails</x:v>
      </x:c>
      <x:c r="D4144" s="18" t="str">
        <x:v>Size: XS / S / M / L</x:v>
      </x:c>
      <x:c r="E4144" s="25" t="str">
        <x:v>$2.49</x:v>
      </x:c>
      <x:c r="F4144" s="19" t="str">
        <x:v>3</x:v>
      </x:c>
    </x:row>
    <x:row r="4145" ht="93" customHeight="1">
      <x:c r="A4145" s="19" t="n">
        <x:v>4142</x:v>
      </x:c>
      <x:c r="B4145" s="22" t="e">
        <x:f>HYPERLINK("https://cdn.shopify.com/s/files/1/0918/6066/4603/files/50cad59fe956687a10a55a580c729d86.jpg?v=1776245952","Open")</x:f>
        <x:v>HYPERLINK is not implemented. linkLocation=https://cdn.shopify.com/s/files/1/0918/6066/4603/files/50cad59fe956687a10a55a580c729d86.jpg?v=1776245952, friendlyName=Open</x:v>
      </x:c>
      <x:c r="C4145" s="24" t="e">
        <x:f>HYPERLINK("https://365nails.com/products/365nails-lucky-lions-roar-3d-festive-handmade-short-nails","365nails: ""Lucky Lion's Roar"" – 3D Festive Handmade Short Nails")</x:f>
        <x:v>HYPERLINK is not implemented. linkLocation=https://365nails.com/products/365nails-lucky-lions-roar-3d-festive-handmade-short-nails, friendlyName=365nails: "Lucky Lion's Roar" – 3D Festive Handmade Short Nails</x:v>
      </x:c>
      <x:c r="D4145" s="18" t="str">
        <x:v>Size: XS / S / M / L</x:v>
      </x:c>
      <x:c r="E4145" s="25" t="str">
        <x:v>$2.49</x:v>
      </x:c>
      <x:c r="F4145" s="19" t="str">
        <x:v>3</x:v>
      </x:c>
    </x:row>
    <x:row r="4146" ht="93" customHeight="1">
      <x:c r="A4146" s="19" t="n">
        <x:v>4143</x:v>
      </x:c>
      <x:c r="B4146" s="22" t="e">
        <x:f>HYPERLINK("https://cdn.shopify.com/s/files/1/0918/6066/4603/files/O1CN01H4CU1u2MQzf3Sdth4__2219089449823-0-cib.jpg?v=1774452899","Open")</x:f>
        <x:v>HYPERLINK is not implemented. linkLocation=https://cdn.shopify.com/s/files/1/0918/6066/4603/files/O1CN01H4CU1u2MQzf3Sdth4__2219089449823-0-cib.jpg?v=1774452899, friendlyName=Open</x:v>
      </x:c>
      <x:c r="C4146" s="24" t="e">
        <x:f>HYPERLINK("https://365nails.com/products/gothic-sweet-dark-pink-fantasy-short-square-handmade-press-ons","Gothic Sweet: ""Dark Pink Fantasy"" – Short Square Handmade Press-Ons")</x:f>
        <x:v>HYPERLINK is not implemented. linkLocation=https://365nails.com/products/gothic-sweet-dark-pink-fantasy-short-square-handmade-press-ons, friendlyName=Gothic Sweet: "Dark Pink Fantasy" – Short Square Handmade Press-Ons</x:v>
      </x:c>
      <x:c r="D4146" s="18" t="str">
        <x:v>Color: L286; Color classification: X s / S / M / L</x:v>
      </x:c>
      <x:c r="E4146" s="25" t="str">
        <x:v>$4.99</x:v>
      </x:c>
      <x:c r="F4146" s="19" t="str">
        <x:v>1</x:v>
      </x:c>
    </x:row>
    <x:row r="4147" ht="93" customHeight="1">
      <x:c r="A4147" s="19" t="n">
        <x:v>4144</x:v>
      </x:c>
      <x:c r="B4147" s="22" t="e">
        <x:f>HYPERLINK("https://cdn.shopify.com/s/files/1/0918/6066/4603/files/O1CN01nHDevi1CPwJrwVkvX__2213196780074-0-cib.jpg?v=1776743276","Open")</x:f>
        <x:v>HYPERLINK is not implemented. linkLocation=https://cdn.shopify.com/s/files/1/0918/6066/4603/files/O1CN01nHDevi1CPwJrwVkvX__2213196780074-0-cib.jpg?v=1776743276, friendlyName=Open</x:v>
      </x:c>
      <x:c r="C4147" s="24" t="e">
        <x:f>HYPERLINK("https://365nails.com/products/365nails-crimson-cross-3d-gothic-cross-cat-eye-handmade-stiletto-nails","365nails: ""Crimson Cross"" – 3D Gothic Cross &amp; Cat Eye Handmade Stiletto Nails")</x:f>
        <x:v>HYPERLINK is not implemented. linkLocation=https://365nails.com/products/365nails-crimson-cross-3d-gothic-cross-cat-eye-handmade-stiletto-nails, friendlyName=365nails: "Crimson Cross" – 3D Gothic Cross &amp; Cat Eye Handmade Stiletto Nails</x:v>
      </x:c>
      <x:c r="D4147" s="18" t="str">
        <x:v>Color: Extra small size xs / Small s / Medium m / Large l; Specification type: 2127 long water drop</x:v>
      </x:c>
      <x:c r="E4147" s="25" t="str">
        <x:v>$3.49</x:v>
      </x:c>
      <x:c r="F4147" s="19" t="str">
        <x:v>1</x:v>
      </x:c>
    </x:row>
    <x:row r="4148" ht="93" customHeight="1">
      <x:c r="A4148" s="19" t="n">
        <x:v>4145</x:v>
      </x:c>
      <x:c r="B4148" s="22" t="e">
        <x:f>HYPERLINK("https://cdn.shopify.com/s/files/1/0918/6066/4603/files/243027155e37d1e30a851c60843d4a25.jpg?v=1778317709","Open")</x:f>
        <x:v>HYPERLINK is not implemented. linkLocation=https://cdn.shopify.com/s/files/1/0918/6066/4603/files/243027155e37d1e30a851c60843d4a25.jpg?v=1778317709, friendlyName=Open</x:v>
      </x:c>
      <x:c r="C4148" s="24" t="e">
        <x:f>HYPERLINK("https://365nails.com/products/365nails-blooming-pop-3d-floral-abstract-dot-handmade-coffin-nails","365nails: ""Blooming Pop"" – 3D Floral &amp; Abstract Dot Handmade Coffin Nails")</x:f>
        <x:v>HYPERLINK is not implemented. linkLocation=https://365nails.com/products/365nails-blooming-pop-3d-floral-abstract-dot-handmade-coffin-nails, friendlyName=365nails: "Blooming Pop" – 3D Floral &amp; Abstract Dot Handmade Coffin Nails</x:v>
      </x:c>
      <x:c r="D4148" s="18" t="str">
        <x:v>Size: XS / S / M / L</x:v>
      </x:c>
      <x:c r="E4148" s="25" t="str">
        <x:v>$3.99</x:v>
      </x:c>
      <x:c r="F4148" s="19" t="str">
        <x:v>5</x:v>
      </x:c>
    </x:row>
    <x:row r="4149" ht="93" customHeight="1">
      <x:c r="A4149" s="19" t="n">
        <x:v>4146</x:v>
      </x:c>
      <x:c r="B4149" s="22" t="e">
        <x:f>HYPERLINK("https://cdn.shopify.com/s/files/1/0918/6066/4603/files/ab20a3a25221d9a94cc62de26ecd3e11.jpg?v=1776214382","Open")</x:f>
        <x:v>HYPERLINK is not implemented. linkLocation=https://cdn.shopify.com/s/files/1/0918/6066/4603/files/ab20a3a25221d9a94cc62de26ecd3e11.jpg?v=1776214382, friendlyName=Open</x:v>
      </x:c>
      <x:c r="C4149" s="24" t="e">
        <x:f>HYPERLINK("https://365nails.com/products/365nails-cartoon-carnival-3d-character-handcrafted-sweet-short-square-nails","365nails: ""Cartoon Carnival"" – 3D Character Handcrafted Sweet Short Square Nails")</x:f>
        <x:v>HYPERLINK is not implemented. linkLocation=https://365nails.com/products/365nails-cartoon-carnival-3d-character-handcrafted-sweet-short-square-nails, friendlyName=365nails: "Cartoon Carnival" – 3D Character Handcrafted Sweet Short Square Nails</x:v>
      </x:c>
      <x:c r="D4149" s="18" t="str">
        <x:v>Size: XS / S / M / L</x:v>
      </x:c>
      <x:c r="E4149" s="25" t="str">
        <x:v>$2.49</x:v>
      </x:c>
      <x:c r="F4149" s="19" t="str">
        <x:v>3</x:v>
      </x:c>
    </x:row>
    <x:row r="4150" ht="93" customHeight="1">
      <x:c r="A4150" s="19" t="n">
        <x:v>4147</x:v>
      </x:c>
      <x:c r="B4150" s="22" t="e">
        <x:f>HYPERLINK("https://cdn.shopify.com/s/files/1/0918/6066/4603/files/O1CN016wBOEm1CPwMfo7koZ__2213196780074-0-cib_d6d1005f-844f-4351-9ec5-97a9c4a511a3.jpg?v=1776645494","Open")</x:f>
        <x:v>HYPERLINK is not implemented. linkLocation=https://cdn.shopify.com/s/files/1/0918/6066/4603/files/O1CN016wBOEm1CPwMfo7koZ__2213196780074-0-cib_d6d1005f-844f-4351-9ec5-97a9c4a511a3.jpg?v=1776645494, friendlyName=Open</x:v>
      </x:c>
      <x:c r="C4150" s="24" t="e">
        <x:f>HYPERLINK("https://365nails.com/products/365nails-pastel-dreams-3d-floral-handmade-long-almond-nails","365nails: ""Pastel Dreams"" – 3D Floral Handmade Long Almond Nails")</x:f>
        <x:v>HYPERLINK is not implemented. linkLocation=https://365nails.com/products/365nails-pastel-dreams-3d-floral-handmade-long-almond-nails, friendlyName=365nails: "Pastel Dreams" – 3D Floral Handmade Long Almond Nails</x:v>
      </x:c>
      <x:c r="D4150" s="18" t="str">
        <x:v>Color: 189-almond a; Color classification: Xs / S / M / L</x:v>
      </x:c>
      <x:c r="E4150" s="25" t="str">
        <x:v>$3.99</x:v>
      </x:c>
      <x:c r="F4150" s="19" t="str">
        <x:v>1</x:v>
      </x:c>
    </x:row>
    <x:row r="4151" ht="93" customHeight="1">
      <x:c r="A4151" s="19" t="n">
        <x:v>4148</x:v>
      </x:c>
      <x:c r="B4151" s="22" t="e">
        <x:f>HYPERLINK("https://cdn.shopify.com/s/files/1/0918/6066/4603/files/715ecea900c93cdaf30d2ff1330c9e77.jpg?v=1778242908","Open")</x:f>
        <x:v>HYPERLINK is not implemented. linkLocation=https://cdn.shopify.com/s/files/1/0918/6066/4603/files/715ecea900c93cdaf30d2ff1330c9e77.jpg?v=1778242908, friendlyName=Open</x:v>
      </x:c>
      <x:c r="C4151" s="24" t="e">
        <x:f>HYPERLINK("https://365nails.com/products/365nails-coquette-chic-3d-bow-leopard-print-handmade-long-coffin-nails","365nails: ""Coquette Chic"" – 3D Bow &amp; Leopard Print Handmade Long Coffin Nails")</x:f>
        <x:v>HYPERLINK is not implemented. linkLocation=https://365nails.com/products/365nails-coquette-chic-3d-bow-leopard-print-handmade-long-coffin-nails, friendlyName=365nails: "Coquette Chic" – 3D Bow &amp; Leopard Print Handmade Long Coffin Nails</x:v>
      </x:c>
      <x:c r="D4151" s="18" t="str">
        <x:v>Size: XS / S / M / L</x:v>
      </x:c>
      <x:c r="E4151" s="25" t="str">
        <x:v>$3.99</x:v>
      </x:c>
      <x:c r="F4151" s="19" t="str">
        <x:v>5</x:v>
      </x:c>
    </x:row>
    <x:row r="4152" ht="93" customHeight="1">
      <x:c r="A4152" s="19" t="n">
        <x:v>4149</x:v>
      </x:c>
      <x:c r="B4152" s="22" t="e">
        <x:f>HYPERLINK("https://cdn.shopify.com/s/files/1/0918/6066/4603/files/O1CN01rMIJ0c2MQzcOPVUSZ__2219089449823-0-cib.jpg?v=1774349090","Open")</x:f>
        <x:v>HYPERLINK is not implemented. linkLocation=https://cdn.shopify.com/s/files/1/0918/6066/4603/files/O1CN01rMIJ0c2MQzcOPVUSZ__2219089449823-0-cib.jpg?v=1774349090, friendlyName=Open</x:v>
      </x:c>
      <x:c r="C4152" s="24" t="e">
        <x:f>HYPERLINK("https://365nails.com/products/365nails-blush-gold-rose-medium-almond-pink-gold-romantic-handmade-press-on-nails","365nails: ""Blush Gold Rose"" – Medium Almond Pink-Gold Romantic Handmade Press-On Nails")</x:f>
        <x:v>HYPERLINK is not implemented. linkLocation=https://365nails.com/products/365nails-blush-gold-rose-medium-almond-pink-gold-romantic-handmade-press-on-nails, friendlyName=365nails: "Blush Gold Rose" – Medium Almond Pink-Gold Romantic Handmade Press-On Nails</x:v>
      </x:c>
      <x:c r="D4152" s="18" t="str">
        <x:v>Color: D321; Color classification: X s / S / M / L</x:v>
      </x:c>
      <x:c r="E4152" s="25" t="str">
        <x:v>$3.49</x:v>
      </x:c>
      <x:c r="F4152" s="19" t="str">
        <x:v>1</x:v>
      </x:c>
    </x:row>
    <x:row r="4153" ht="93" customHeight="1">
      <x:c r="A4153" s="19" t="n">
        <x:v>4150</x:v>
      </x:c>
      <x:c r="B4153" s="22" t="e">
        <x:f>HYPERLINK("https://cdn.shopify.com/s/files/1/0918/6066/4603/files/82c74e8d284d3115161493b332e7258e.jpg?v=1776170695","Open")</x:f>
        <x:v>HYPERLINK is not implemented. linkLocation=https://cdn.shopify.com/s/files/1/0918/6066/4603/files/82c74e8d284d3115161493b332e7258e.jpg?v=1776170695, friendlyName=Open</x:v>
      </x:c>
      <x:c r="C4153" s="24" t="e">
        <x:f>HYPERLINK("https://365nails.com/products/365nails-sweet-paws-3d-dog-character-handmade-short-square-nails","365nails: ""Sweet Paws"" – 3D Dog Character Handmade Short Square Nails")</x:f>
        <x:v>HYPERLINK is not implemented. linkLocation=https://365nails.com/products/365nails-sweet-paws-3d-dog-character-handmade-short-square-nails, friendlyName=365nails: "Sweet Paws" – 3D Dog Character Handmade Short Square Nails</x:v>
      </x:c>
      <x:c r="D4153" s="18" t="str">
        <x:v>Size: XS / S / M / L</x:v>
      </x:c>
      <x:c r="E4153" s="25" t="str">
        <x:v>$1.99</x:v>
      </x:c>
      <x:c r="F4153" s="19" t="str">
        <x:v>3</x:v>
      </x:c>
    </x:row>
    <x:row r="4154" ht="93" customHeight="1">
      <x:c r="A4154" s="19" t="n">
        <x:v>4151</x:v>
      </x:c>
      <x:c r="B4154" s="22" t="e">
        <x:f>HYPERLINK("https://cdn.shopify.com/s/files/1/0918/6066/4603/files/a357248d4b967e39cd9a04e74aedfd97.jpg?v=1778242307","Open")</x:f>
        <x:v>HYPERLINK is not implemented. linkLocation=https://cdn.shopify.com/s/files/1/0918/6066/4603/files/a357248d4b967e39cd9a04e74aedfd97.jpg?v=1778242307, friendlyName=Open</x:v>
      </x:c>
      <x:c r="C4154" s="24" t="e">
        <x:f>HYPERLINK("https://365nails.com/products/365nails-crimson-garden-3d-floral-metallic-handmade-long-almond-nails","365nails: ""Crimson Garden"" – 3D Floral &amp; Metallic Handmade Long Almond Nails")</x:f>
        <x:v>HYPERLINK is not implemented. linkLocation=https://365nails.com/products/365nails-crimson-garden-3d-floral-metallic-handmade-long-almond-nails, friendlyName=365nails: "Crimson Garden" – 3D Floral &amp; Metallic Handmade Long Almond Nails</x:v>
      </x:c>
      <x:c r="D4154" s="18" t="str">
        <x:v>Size: XS / S / M / L</x:v>
      </x:c>
      <x:c r="E4154" s="25" t="str">
        <x:v>$4.99</x:v>
      </x:c>
      <x:c r="F4154" s="19" t="str">
        <x:v>5</x:v>
      </x:c>
    </x:row>
    <x:row r="4155" ht="93" customHeight="1">
      <x:c r="A4155" s="19" t="n">
        <x:v>4152</x:v>
      </x:c>
      <x:c r="B4155" s="22" t="e">
        <x:f>HYPERLINK("https://cdn.shopify.com/s/files/1/0918/6066/4603/files/O1CN01gifq0X2MQzdrcC5TQ__2219089449823-0-cib.jpg?v=1774348956","Open")</x:f>
        <x:v>HYPERLINK is not implemented. linkLocation=https://cdn.shopify.com/s/files/1/0918/6066/4603/files/O1CN01gifq0X2MQzdrcC5TQ__2219089449823-0-cib.jpg?v=1774348956, friendlyName=Open</x:v>
      </x:c>
      <x:c r="C4155" s="24" t="e">
        <x:f>HYPERLINK("https://365nails.com/products/whimsical-fantasy-butterfly-gradient-bloom-medium-almond-multicolor-handmade-press-on","Whimsical Fantasy: ""Butterfly Gradient Bloom"" – Medium Almond Multicolor Handmade Press-On")</x:f>
        <x:v>HYPERLINK is not implemented. linkLocation=https://365nails.com/products/whimsical-fantasy-butterfly-gradient-bloom-medium-almond-multicolor-handmade-press-on, friendlyName=Whimsical Fantasy: "Butterfly Gradient Bloom" – Medium Almond Multicolor Handmade Press-On</x:v>
      </x:c>
      <x:c r="D4155" s="18" t="str">
        <x:v>Color: L283; Color classification: X s / S / M / L</x:v>
      </x:c>
      <x:c r="E4155" s="25" t="str">
        <x:v>$4.99</x:v>
      </x:c>
      <x:c r="F4155" s="19" t="str">
        <x:v>1</x:v>
      </x:c>
    </x:row>
    <x:row r="4156" ht="93" customHeight="1">
      <x:c r="A4156" s="19" t="n">
        <x:v>4153</x:v>
      </x:c>
      <x:c r="B4156" s="22" t="e">
        <x:f>HYPERLINK("https://cdn.shopify.com/s/files/1/0918/6066/4603/files/O1CN01SiNR4K2MQzfEumOsJ__2219089449823-0-cib.jpg?v=1774257957","Open")</x:f>
        <x:v>HYPERLINK is not implemented. linkLocation=https://cdn.shopify.com/s/files/1/0918/6066/4603/files/O1CN01SiNR4K2MQzfEumOsJ__2219089449823-0-cib.jpg?v=1774257957, friendlyName=Open</x:v>
      </x:c>
      <x:c r="C4156" s="24" t="e">
        <x:f>HYPERLINK("https://365nails.com/products/auspicious-lion-dance-lion-dance-bow-square-shape-handmade-press-on-nails","Auspicious Lion Dance: ""Lion Dance Bow"" – Square Shape Handmade Press-On Nails")</x:f>
        <x:v>HYPERLINK is not implemented. linkLocation=https://365nails.com/products/auspicious-lion-dance-lion-dance-bow-square-shape-handmade-press-on-nails, friendlyName=Auspicious Lion Dance: "Lion Dance Bow" – Square Shape Handmade Press-On Nails</x:v>
      </x:c>
      <x:c r="D4156" s="18" t="str">
        <x:v>Color: New short square—new year lion awakening / Medium oval - lunar new year lion dance; Color classification: X s / S / M / L</x:v>
      </x:c>
      <x:c r="E4156" s="25" t="str">
        <x:v>$3.49</x:v>
      </x:c>
      <x:c r="F4156" s="19" t="str">
        <x:v>1</x:v>
      </x:c>
    </x:row>
    <x:row r="4157" ht="93" customHeight="1">
      <x:c r="A4157" s="19" t="n">
        <x:v>4154</x:v>
      </x:c>
      <x:c r="B4157" s="22" t="e">
        <x:f>HYPERLINK("https://cdn.shopify.com/s/files/1/0918/6066/4603/files/O1CN0180zYXf2214vZYIOfh__2219480337059-0-cib.jpg?v=1773321098","Open")</x:f>
        <x:v>HYPERLINK is not implemented. linkLocation=https://cdn.shopify.com/s/files/1/0918/6066/4603/files/O1CN0180zYXf2214vZYIOfh__2219480337059-0-cib.jpg?v=1773321098, friendlyName=Open</x:v>
      </x:c>
      <x:c r="C4157" s="24" t="e">
        <x:f>HYPERLINK("https://365nails.com/products/365nails-macaron-labubu-buddies-short-round-handmade-kids-press-on-nails","365nails: ""macaron labubu buddies"" – short round handmade kids press-on nails")</x:f>
        <x:v>HYPERLINK is not implemented. linkLocation=https://365nails.com/products/365nails-macaron-labubu-buddies-short-round-handmade-kids-press-on-nails, friendlyName=365nails: "macaron labubu buddies" – short round handmade kids press-on nails</x:v>
      </x:c>
      <x:c r="D4157" s="18" t="str">
        <x:v>Color: 10207 water drop labubu; Color classification: Xs (about 2 years old) / S (3-4 years old) / M (5-7 years old) / L (8-11 years old)</x:v>
      </x:c>
      <x:c r="E4157" s="25" t="str">
        <x:v>$2.99</x:v>
      </x:c>
      <x:c r="F4157" s="19" t="str">
        <x:v>3</x:v>
      </x:c>
    </x:row>
    <x:row r="4158" ht="93" customHeight="1">
      <x:c r="A4158" s="19" t="n">
        <x:v>4155</x:v>
      </x:c>
      <x:c r="B4158" s="22" t="e">
        <x:f>HYPERLINK("https://cdn.shopify.com/s/files/1/0918/6066/4603/files/119ad1cdd7aab7417ce642a32ad935d9.jpg?v=1773306335","Open")</x:f>
        <x:v>HYPERLINK is not implemented. linkLocation=https://cdn.shopify.com/s/files/1/0918/6066/4603/files/119ad1cdd7aab7417ce642a32ad935d9.jpg?v=1773306335, friendlyName=Open</x:v>
      </x:c>
      <x:c r="C4158" s="24" t="e">
        <x:f>HYPERLINK("https://365nails.com/products/365nails-dark-floral-pop-handmade-press-on-toenails-pedicure","365nails: ""dark floral pop"" – handmade press-on toenails / pedicure")</x:f>
        <x:v>HYPERLINK is not implemented. linkLocation=https://365nails.com/products/365nails-dark-floral-pop-handmade-press-on-toenails-pedicure, friendlyName=365nails: "dark floral pop" – handmade press-on toenails / pedicure</x:v>
      </x:c>
      <x:c r="D4158" s="18" t="str">
        <x:v>Size: XS / S / M / L</x:v>
      </x:c>
      <x:c r="E4158" s="25" t="str">
        <x:v>$3.99</x:v>
      </x:c>
      <x:c r="F4158" s="19" t="str">
        <x:v>3</x:v>
      </x:c>
    </x:row>
    <x:row r="4159" ht="93" customHeight="1">
      <x:c r="A4159" s="19" t="n">
        <x:v>4156</x:v>
      </x:c>
      <x:c r="B4159" s="22" t="e">
        <x:f>HYPERLINK("https://cdn.shopify.com/s/files/1/0918/6066/4603/files/048d5fee77313563de65b7c1d4a6e97a.jpg?v=1776171146","Open")</x:f>
        <x:v>HYPERLINK is not implemented. linkLocation=https://cdn.shopify.com/s/files/1/0918/6066/4603/files/048d5fee77313563de65b7c1d4a6e97a.jpg?v=1776171146, friendlyName=Open</x:v>
      </x:c>
      <x:c r="C4159" s="24" t="e">
        <x:f>HYPERLINK("https://365nails.com/products/365nails-sweet-bear-3d-character-bear-handmade-short-square-nails","365nails: ""Sweet Bear"" – 3D Character Bear Handmade Short Square Nails")</x:f>
        <x:v>HYPERLINK is not implemented. linkLocation=https://365nails.com/products/365nails-sweet-bear-3d-character-bear-handmade-short-square-nails, friendlyName=365nails: "Sweet Bear" – 3D Character Bear Handmade Short Square Nails</x:v>
      </x:c>
      <x:c r="D4159" s="18" t="str">
        <x:v>Size: XS / S / M / L</x:v>
      </x:c>
      <x:c r="E4159" s="25" t="str">
        <x:v>$1.99</x:v>
      </x:c>
      <x:c r="F4159" s="19" t="str">
        <x:v>3</x:v>
      </x:c>
    </x:row>
    <x:row r="4160" ht="93" customHeight="1">
      <x:c r="A4160" s="19" t="n">
        <x:v>4157</x:v>
      </x:c>
      <x:c r="B4160" s="22" t="e">
        <x:f>HYPERLINK("https://cdn.shopify.com/s/files/1/0918/6066/4603/files/O1CN01GO015y1CPwKIqD1wj__2213196780074-0-cib_0602e19d-0924-4631-bc26-46c6ab388b7e.jpg?v=1774680663","Open")</x:f>
        <x:v>HYPERLINK is not implemented. linkLocation=https://cdn.shopify.com/s/files/1/0918/6066/4603/files/O1CN01GO015y1CPwKIqD1wj__2213196780074-0-cib_0602e19d-0924-4631-bc26-46c6ab388b7e.jpg?v=1774680663, friendlyName=Open</x:v>
      </x:c>
      <x:c r="C4160" s="24" t="e">
        <x:f>HYPERLINK("https://365nails.com/products/365nails-strawberry-bow-3d-fruit-handmade-oval-nails","365nails: ""Strawberry Bow"" – 3D Fruit Handmade Oval Nails")</x:f>
        <x:v>HYPERLINK is not implemented. linkLocation=https://365nails.com/products/365nails-strawberry-bow-3d-fruit-handmade-oval-nails, friendlyName=365nails: "Strawberry Bow" – 3D Fruit Handmade Oval Nails</x:v>
      </x:c>
      <x:c r="D4160" s="18" t="str">
        <x:v>Color: Extra small size xs / Small s / Medium m / Large l; Specification type: 2403 short oval</x:v>
      </x:c>
      <x:c r="E4160" s="25" t="str">
        <x:v>$2.99</x:v>
      </x:c>
      <x:c r="F4160" s="19" t="str">
        <x:v>1</x:v>
      </x:c>
    </x:row>
    <x:row r="4161" ht="93" customHeight="1">
      <x:c r="A4161" s="19" t="n">
        <x:v>4158</x:v>
      </x:c>
      <x:c r="B4161" s="22" t="e">
        <x:f>HYPERLINK("https://cdn.shopify.com/s/files/1/0918/6066/4603/files/O1CN01f5BFRA1CPwKNtBOoJ__2213196780074-0-cib.jpg?v=1776597625","Open")</x:f>
        <x:v>HYPERLINK is not implemented. linkLocation=https://cdn.shopify.com/s/files/1/0918/6066/4603/files/O1CN01f5BFRA1CPwKNtBOoJ__2213196780074-0-cib.jpg?v=1776597625, friendlyName=Open</x:v>
      </x:c>
      <x:c r="C4161" s="24" t="e">
        <x:f>HYPERLINK("https://365nails.com/products/365nails-velvet-crush-3d-diamond-cat-eye-handmade-medium-almond-nails","365nails: ""Velvet Crush"" – 3D Diamond Cat-Eye Handmade Medium Almond Nails")</x:f>
        <x:v>HYPERLINK is not implemented. linkLocation=https://365nails.com/products/365nails-velvet-crush-3d-diamond-cat-eye-handmade-medium-almond-nails, friendlyName=365nails: "Velvet Crush" – 3D Diamond Cat-Eye Handmade Medium Almond Nails</x:v>
      </x:c>
      <x:c r="D4161" s="18" t="str">
        <x:v>Color: 2708 medium oval; Color classification: Extra small size xs / Small s / Medium m / Large l</x:v>
      </x:c>
      <x:c r="E4161" s="25" t="str">
        <x:v>$2.99</x:v>
      </x:c>
      <x:c r="F4161" s="19" t="str">
        <x:v>1</x:v>
      </x:c>
    </x:row>
    <x:row r="4162" ht="93" customHeight="1">
      <x:c r="A4162" s="19" t="n">
        <x:v>4159</x:v>
      </x:c>
      <x:c r="B4162" s="22" t="e">
        <x:f>HYPERLINK("https://cdn.shopify.com/s/files/1/0918/6066/4603/files/80d2f2d2079a43522aa25c7e3e1199bd.jpg?v=1778241001","Open")</x:f>
        <x:v>HYPERLINK is not implemented. linkLocation=https://cdn.shopify.com/s/files/1/0918/6066/4603/files/80d2f2d2079a43522aa25c7e3e1199bd.jpg?v=1778241001, friendlyName=Open</x:v>
      </x:c>
      <x:c r="C4162" s="24" t="e">
        <x:f>HYPERLINK("https://365nails.com/products/365nails-neon-punk-3d-skull-abstract-handmade-long-stiletto-nails","365nails: ""Neon Punk"" – 3D Skull &amp; Abstract Handmade Long Stiletto Nails")</x:f>
        <x:v>HYPERLINK is not implemented. linkLocation=https://365nails.com/products/365nails-neon-punk-3d-skull-abstract-handmade-long-stiletto-nails, friendlyName=365nails: "Neon Punk" – 3D Skull &amp; Abstract Handmade Long Stiletto Nails</x:v>
      </x:c>
      <x:c r="D4162" s="18" t="str">
        <x:v>Size: XS / S / M / L</x:v>
      </x:c>
      <x:c r="E4162" s="25" t="str">
        <x:v>$4.99</x:v>
      </x:c>
      <x:c r="F4162" s="19" t="str">
        <x:v>5</x:v>
      </x:c>
    </x:row>
    <x:row r="4163" ht="93" customHeight="1">
      <x:c r="A4163" s="19" t="n">
        <x:v>4160</x:v>
      </x:c>
      <x:c r="B4163" s="22" t="e">
        <x:f>HYPERLINK("https://cdn.shopify.com/s/files/1/0918/6066/4603/files/O1CN01crM3go27ZUlqjspEV__2220024697811-0-cib.jpg?v=1774865168","Open")</x:f>
        <x:v>HYPERLINK is not implemented. linkLocation=https://cdn.shopify.com/s/files/1/0918/6066/4603/files/O1CN01crM3go27ZUlqjspEV__2220024697811-0-cib.jpg?v=1774865168, friendlyName=Open</x:v>
      </x:c>
      <x:c r="C4163" s="24" t="e">
        <x:f>HYPERLINK("https://365nails.com/products/365nails-autumn-reverie-3d-floral-gold-leaf-handmade-stiletto-nails","365nails: ""Autumn Reverie"" – 3D Floral &amp; Gold Leaf Handmade Stiletto Nails")</x:f>
        <x:v>HYPERLINK is not implemented. linkLocation=https://365nails.com/products/365nails-autumn-reverie-3d-floral-gold-leaf-handmade-stiletto-nails, friendlyName=365nails: "Autumn Reverie" – 3D Floral &amp; Gold Leaf Handmade Stiletto Nails</x:v>
      </x:c>
      <x:c r="D4163" s="18" t="str">
        <x:v>Color: Almond; Color classification: Xs / S / M / L</x:v>
      </x:c>
      <x:c r="E4163" s="25" t="str">
        <x:v>$4.99</x:v>
      </x:c>
      <x:c r="F4163" s="19" t="str">
        <x:v>3</x:v>
      </x:c>
    </x:row>
    <x:row r="4164" ht="93" customHeight="1">
      <x:c r="A4164" s="19" t="n">
        <x:v>4161</x:v>
      </x:c>
      <x:c r="B4164" s="22" t="e">
        <x:f>HYPERLINK("https://cdn.shopify.com/s/files/1/0918/6066/4603/files/614242073b347bfda4d76d92a2be7037.jpg?v=1773883686","Open")</x:f>
        <x:v>HYPERLINK is not implemented. linkLocation=https://cdn.shopify.com/s/files/1/0918/6066/4603/files/614242073b347bfda4d76d92a2be7037.jpg?v=1773883686, friendlyName=Open</x:v>
      </x:c>
      <x:c r="C4164" s="24" t="e">
        <x:f>HYPERLINK("https://365nails.com/products/365nails-strawberry-bunny-jam-handmade-press-on-nails-candy-series-cute-kawaii-style","365Nails: ""Strawberry Bunny Jam"" – handmade press-on nails (Candy Series/Cute Kawaii Style)")</x:f>
        <x:v>HYPERLINK is not implemented. linkLocation=https://365nails.com/products/365nails-strawberry-bunny-jam-handmade-press-on-nails-candy-series-cute-kawaii-style, friendlyName=365Nails: "Strawberry Bunny Jam" – handmade press-on nails (Candy Series/Cute Kawaii Style)</x:v>
      </x:c>
      <x:c r="D4164" s="18" t="str">
        <x:v>Size: XS / S / M / L</x:v>
      </x:c>
      <x:c r="E4164" s="25" t="str">
        <x:v>$3.99</x:v>
      </x:c>
      <x:c r="F4164" s="19" t="str">
        <x:v>10</x:v>
      </x:c>
    </x:row>
    <x:row r="4165" ht="93" customHeight="1">
      <x:c r="A4165" s="19" t="n">
        <x:v>4162</x:v>
      </x:c>
      <x:c r="B4165" s="22" t="e">
        <x:f>HYPERLINK("https://cdn.shopify.com/s/files/1/0918/6066/4603/files/693c669770c0c68266fc8738dd64d561.jpg?v=1776246012","Open")</x:f>
        <x:v>HYPERLINK is not implemented. linkLocation=https://cdn.shopify.com/s/files/1/0918/6066/4603/files/693c669770c0c68266fc8738dd64d561.jpg?v=1776246012, friendlyName=Open</x:v>
      </x:c>
      <x:c r="C4165" s="24" t="e">
        <x:f>HYPERLINK("https://365nails.com/products/365nails-unicorn-dreamland-3d-character-handmade-short-nails","365nails: ""Unicorn Dreamland"" – 3D Character Handmade Short Nails")</x:f>
        <x:v>HYPERLINK is not implemented. linkLocation=https://365nails.com/products/365nails-unicorn-dreamland-3d-character-handmade-short-nails, friendlyName=365nails: "Unicorn Dreamland" – 3D Character Handmade Short Nails</x:v>
      </x:c>
      <x:c r="D4165" s="18" t="str">
        <x:v>Size: XS / S / M / L</x:v>
      </x:c>
      <x:c r="E4165" s="25" t="str">
        <x:v>$2.49</x:v>
      </x:c>
      <x:c r="F4165" s="19" t="str">
        <x:v>3</x:v>
      </x:c>
    </x:row>
    <x:row r="4166" ht="93" customHeight="1">
      <x:c r="A4166" s="19" t="n">
        <x:v>4163</x:v>
      </x:c>
      <x:c r="B4166" s="22" t="e">
        <x:f>HYPERLINK("https://cdn.shopify.com/s/files/1/0918/6066/4603/files/5729f9952900a9b35a33379967a7b8c8.jpg?v=1776243558","Open")</x:f>
        <x:v>HYPERLINK is not implemented. linkLocation=https://cdn.shopify.com/s/files/1/0918/6066/4603/files/5729f9952900a9b35a33379967a7b8c8.jpg?v=1776243558, friendlyName=Open</x:v>
      </x:c>
      <x:c r="C4166" s="24" t="e">
        <x:f>HYPERLINK("https://365nails.com/products/365nails-my-melodys-candy-dream-3d-character-handmade-short-nails","365nails: ""My Melody's Candy Dream"" – 3D Character Handmade Short Nails")</x:f>
        <x:v>HYPERLINK is not implemented. linkLocation=https://365nails.com/products/365nails-my-melodys-candy-dream-3d-character-handmade-short-nails, friendlyName=365nails: "My Melody's Candy Dream" – 3D Character Handmade Short Nails</x:v>
      </x:c>
      <x:c r="D4166" s="18" t="str">
        <x:v>Size: XS / S / M / L</x:v>
      </x:c>
      <x:c r="E4166" s="25" t="str">
        <x:v>$2.99</x:v>
      </x:c>
      <x:c r="F4166" s="19" t="str">
        <x:v>3</x:v>
      </x:c>
    </x:row>
    <x:row r="4167" ht="93" customHeight="1">
      <x:c r="A4167" s="19" t="n">
        <x:v>4164</x:v>
      </x:c>
      <x:c r="B4167" s="22" t="e">
        <x:f>HYPERLINK("https://cdn.shopify.com/s/files/1/0918/6066/4603/files/705ed25a96b6fd0715ec08753dac83ef.jpg?v=1776246274","Open")</x:f>
        <x:v>HYPERLINK is not implemented. linkLocation=https://cdn.shopify.com/s/files/1/0918/6066/4603/files/705ed25a96b6fd0715ec08753dac83ef.jpg?v=1776246274, friendlyName=Open</x:v>
      </x:c>
      <x:c r="C4167" s="24" t="e">
        <x:f>HYPERLINK("https://365nails.com/products/365nails-capybaras-cozy-cafe-3d-character-handmade-short-nails","365nails: ""Capybara's Cozy Cafe"" – 3D Character Handmade Short Nails")</x:f>
        <x:v>HYPERLINK is not implemented. linkLocation=https://365nails.com/products/365nails-capybaras-cozy-cafe-3d-character-handmade-short-nails, friendlyName=365nails: "Capybara's Cozy Cafe" – 3D Character Handmade Short Nails</x:v>
      </x:c>
      <x:c r="D4167" s="18" t="str">
        <x:v>Size: XS / S / M / L</x:v>
      </x:c>
      <x:c r="E4167" s="25" t="str">
        <x:v>$2.49</x:v>
      </x:c>
      <x:c r="F4167" s="19" t="str">
        <x:v>3</x:v>
      </x:c>
    </x:row>
    <x:row r="4168" ht="93" customHeight="1">
      <x:c r="A4168" s="19" t="n">
        <x:v>4165</x:v>
      </x:c>
      <x:c r="B4168" s="22" t="e">
        <x:f>HYPERLINK("https://cdn.shopify.com/s/files/1/0918/6066/4603/files/a0a07e77ca3bc0f708ffc0acf18eb35a.jpg?v=1778318590","Open")</x:f>
        <x:v>HYPERLINK is not implemented. linkLocation=https://cdn.shopify.com/s/files/1/0918/6066/4603/files/a0a07e77ca3bc0f708ffc0acf18eb35a.jpg?v=1778318590, friendlyName=Open</x:v>
      </x:c>
      <x:c r="C4168" s="24" t="e">
        <x:f>HYPERLINK("https://365nails.com/products/365nails-wild-butterfly-3d-holographic-zebra-print-handmade-almond-nails","365nails: ""Wild Butterfly"" – 3D Holographic &amp; Zebra Print Handmade Almond Nails")</x:f>
        <x:v>HYPERLINK is not implemented. linkLocation=https://365nails.com/products/365nails-wild-butterfly-3d-holographic-zebra-print-handmade-almond-nails, friendlyName=365nails: "Wild Butterfly" – 3D Holographic &amp; Zebra Print Handmade Almond Nails</x:v>
      </x:c>
      <x:c r="D4168" s="18" t="str">
        <x:v>Size: XS / S / M / L</x:v>
      </x:c>
      <x:c r="E4168" s="25" t="str">
        <x:v>$2.99</x:v>
      </x:c>
      <x:c r="F4168" s="19" t="str">
        <x:v>5</x:v>
      </x:c>
    </x:row>
    <x:row r="4169" ht="93" customHeight="1">
      <x:c r="A4169" s="19" t="n">
        <x:v>4166</x:v>
      </x:c>
      <x:c r="B4169" s="22" t="e">
        <x:f>HYPERLINK("https://cdn.shopify.com/s/files/1/0918/6066/4603/files/92566ffcd493a8073b21dc7d990af80d.jpg?v=1773211325","Open")</x:f>
        <x:v>HYPERLINK is not implemented. linkLocation=https://cdn.shopify.com/s/files/1/0918/6066/4603/files/92566ffcd493a8073b21dc7d990af80d.jpg?v=1773211325, friendlyName=Open</x:v>
      </x:c>
      <x:c r="C4169" s="24" t="e">
        <x:f>HYPERLINK("https://365nails.com/products/365nails-sapphire-blue-gem-handmade-press-on-toenails-pedicure","365nails: ""sapphire blue gem"" – handmade press-on toenails / pedicure")</x:f>
        <x:v>HYPERLINK is not implemented. linkLocation=https://365nails.com/products/365nails-sapphire-blue-gem-handmade-press-on-toenails-pedicure, friendlyName=365nails: "sapphire blue gem" – handmade press-on toenails / pedicure</x:v>
      </x:c>
      <x:c r="D4169" s="18" t="str">
        <x:v>Size: XS / S / M / L</x:v>
      </x:c>
      <x:c r="E4169" s="25" t="str">
        <x:v>$4.99</x:v>
      </x:c>
      <x:c r="F4169" s="19" t="str">
        <x:v>3</x:v>
      </x:c>
    </x:row>
    <x:row r="4170" ht="93" customHeight="1">
      <x:c r="A4170" s="19" t="n">
        <x:v>4167</x:v>
      </x:c>
      <x:c r="B4170" s="22" t="e">
        <x:f>HYPERLINK("https://cdn.shopify.com/s/files/1/0918/6066/4603/files/7e8c6f1158fdc20206c28d05b6c0ad71.jpg?v=1776213697","Open")</x:f>
        <x:v>HYPERLINK is not implemented. linkLocation=https://cdn.shopify.com/s/files/1/0918/6066/4603/files/7e8c6f1158fdc20206c28d05b6c0ad71.jpg?v=1776213697, friendlyName=Open</x:v>
      </x:c>
      <x:c r="C4170" s="24" t="e">
        <x:f>HYPERLINK("https://365nails.com/products/365nails-rainbow-candyland-3d-handcrafted-sweet-style-short-square-nails","365nails: ""Rainbow Candyland"" – 3D Handcrafted Sweet Style Short Square Nails")</x:f>
        <x:v>HYPERLINK is not implemented. linkLocation=https://365nails.com/products/365nails-rainbow-candyland-3d-handcrafted-sweet-style-short-square-nails, friendlyName=365nails: "Rainbow Candyland" – 3D Handcrafted Sweet Style Short Square Nails</x:v>
      </x:c>
      <x:c r="D4170" s="18" t="str">
        <x:v>Size: XS / S / M / L</x:v>
      </x:c>
      <x:c r="E4170" s="25" t="str">
        <x:v>$1.99</x:v>
      </x:c>
      <x:c r="F4170" s="19" t="str">
        <x:v>3</x:v>
      </x:c>
    </x:row>
    <x:row r="4171" ht="93" customHeight="1">
      <x:c r="A4171" s="19" t="n">
        <x:v>4168</x:v>
      </x:c>
      <x:c r="B4171" s="22" t="e">
        <x:f>HYPERLINK("https://cdn.shopify.com/s/files/1/0918/6066/4603/files/de0fdd7419a7619f772e72aed6a7a224.jpg?v=1772976789","Open")</x:f>
        <x:v>HYPERLINK is not implemented. linkLocation=https://cdn.shopify.com/s/files/1/0918/6066/4603/files/de0fdd7419a7619f772e72aed6a7a224.jpg?v=1772976789, friendlyName=Open</x:v>
      </x:c>
      <x:c r="C4171" s="24" t="e">
        <x:f>HYPERLINK("https://365nails.com/products/drama-collection-extended-water-drop-nail-tips-multi-size-extended-water-drop-nail-tips","Drama Collection: ""Extended Water Drop Nail Tips"" – Multi-Size Extended Water Drop Nail Tips")</x:f>
        <x:v>HYPERLINK is not implemented. linkLocation=https://365nails.com/products/drama-collection-extended-water-drop-nail-tips-multi-size-extended-water-drop-nail-tips, friendlyName=Drama Collection: "Extended Water Drop Nail Tips" – Multi-Size Extended Water Drop Nail Tips</x:v>
      </x:c>
      <x:c r="D4171" s="18" t="str">
        <x:v>Color: 66-xl-traceless and transparent-504 pieces in bag / 66-xl-traceless and transparent-504 pieces in box / 66-xl-traceless natural-504 pieces in bag / 78-l-traceless and transparent-504 pieces in bag / 78-l-traceless transparent-504 pieces in box / 78-l-traceless natural-504 pieces in bag / 78-l-traceless natural-504 pieces in box / 112-xxl-traceless transparent-360 pieces in box / 112-xxl-traceless transparent-504 pieces in bags / 130-xxxl-transparent-504 pieces in box / 130-xxxl-transparent-504 pieces in bag / 130-xxxl-natural-504 tablets in bag</x:v>
      </x:c>
      <x:c r="E4171" s="25" t="str">
        <x:v>$1.78–$3.14</x:v>
      </x:c>
      <x:c r="F4171" s="19" t="str">
        <x:v>3</x:v>
      </x:c>
    </x:row>
    <x:row r="4172" ht="93" customHeight="1">
      <x:c r="A4172" s="19" t="n">
        <x:v>4169</x:v>
      </x:c>
      <x:c r="B4172" s="22" t="e">
        <x:f>HYPERLINK("https://cdn.shopify.com/s/files/1/0918/6066/4603/files/O1CN01lf04oz27ZUkAfHfNp__2220024697811-0-cib.jpg?v=1775107748","Open")</x:f>
        <x:v>HYPERLINK is not implemented. linkLocation=https://cdn.shopify.com/s/files/1/0918/6066/4603/files/O1CN01lf04oz27ZUkAfHfNp__2220024697811-0-cib.jpg?v=1775107748, friendlyName=Open</x:v>
      </x:c>
      <x:c r="C4172" s="24" t="e">
        <x:f>HYPERLINK("https://365nails.com/products/365nails-crimson-butterfly-3d-floral-french-tip-handmade-long-stiletto-nails","365nails: ""Crimson Butterfly"" – 3D Floral &amp; French Tip Handmade Long Stiletto Nails")</x:f>
        <x:v>HYPERLINK is not implemented. linkLocation=https://365nails.com/products/365nails-crimson-butterfly-3d-floral-french-tip-handmade-long-stiletto-nails, friendlyName=365nails: "Crimson Butterfly" – 3D Floral &amp; French Tip Handmade Long Stiletto Nails</x:v>
      </x:c>
      <x:c r="D4172" s="18" t="str">
        <x:v>Color: Long tip; Color classification: Xs / S / M / L</x:v>
      </x:c>
      <x:c r="E4172" s="25" t="str">
        <x:v>$5.49</x:v>
      </x:c>
      <x:c r="F4172" s="19" t="str">
        <x:v>3</x:v>
      </x:c>
    </x:row>
    <x:row r="4173" ht="93" customHeight="1">
      <x:c r="A4173" s="19" t="n">
        <x:v>4170</x:v>
      </x:c>
      <x:c r="B4173" s="22" t="e">
        <x:f>HYPERLINK("https://cdn.shopify.com/s/files/1/0918/6066/4603/files/O1CN013FdTEm27ZUljuSIE2__2220024697811-0-cib.jpg?v=1774961277","Open")</x:f>
        <x:v>HYPERLINK is not implemented. linkLocation=https://cdn.shopify.com/s/files/1/0918/6066/4603/files/O1CN013FdTEm27ZUljuSIE2__2220024697811-0-cib.jpg?v=1774961277, friendlyName=Open</x:v>
      </x:c>
      <x:c r="C4173" s="24" t="e">
        <x:f>HYPERLINK("https://365nails.com/products/365nails-cherry-opulence-3d-handmade-almond-nails","365nails: ""Cherry Opulence"" – 3D Handmade Almond Nails")</x:f>
        <x:v>HYPERLINK is not implemented. linkLocation=https://365nails.com/products/365nails-cherry-opulence-3d-handmade-almond-nails, friendlyName=365nails: "Cherry Opulence" – 3D Handmade Almond Nails</x:v>
      </x:c>
      <x:c r="D4173" s="18" t="str">
        <x:v>Color: Almond; Color classification: Xs / S / M / L</x:v>
      </x:c>
      <x:c r="E4173" s="25" t="str">
        <x:v>$4.49</x:v>
      </x:c>
      <x:c r="F4173" s="19" t="str">
        <x:v>3</x:v>
      </x:c>
    </x:row>
    <x:row r="4174" ht="93" customHeight="1">
      <x:c r="A4174" s="19" t="n">
        <x:v>4171</x:v>
      </x:c>
      <x:c r="B4174" s="22" t="e">
        <x:f>HYPERLINK("https://cdn.shopify.com/s/files/1/0918/6066/4603/files/O1CN01cL8pXD1rlpINqYJgX__2215158925672-0-cib_5be955c9-76b2-4ddc-b72c-22dabc34f70a.jpg?v=1772513722","Open")</x:f>
        <x:v>HYPERLINK is not implemented. linkLocation=https://cdn.shopify.com/s/files/1/0918/6066/4603/files/O1CN01cL8pXD1rlpINqYJgX__2215158925672-0-cib_5be955c9-76b2-4ddc-b72c-22dabc34f70a.jpg?v=1772513722, friendlyName=Open</x:v>
      </x:c>
      <x:c r="C4174" s="24" t="e">
        <x:f>HYPERLINK("https://365nails.com/products/365nails-glam-silver-illusion-long-coffin-silver-mirror-glitter-press-on-nails-24pcs","365nails: ""Icy Diamond Glitz"" – Long Square Handmade Press-On Nails")</x:f>
        <x:v>HYPERLINK is not implemented. linkLocation=https://365nails.com/products/365nails-glam-silver-illusion-long-coffin-silver-mirror-glitter-press-on-nails-24pcs, friendlyName=365nails: "Icy Diamond Glitz" – Long Square Handmade Press-On Nails</x:v>
      </x:c>
      <x:c r="D4174" s="18" t="str">
        <x:v>Color: Middle t; Color classification: X s / S / M / L</x:v>
      </x:c>
      <x:c r="E4174" s="25" t="str">
        <x:v>$2.99</x:v>
      </x:c>
      <x:c r="F4174" s="19" t="str">
        <x:v>3</x:v>
      </x:c>
    </x:row>
    <x:row r="4175" ht="93" customHeight="1">
      <x:c r="A4175" s="19" t="n">
        <x:v>4172</x:v>
      </x:c>
      <x:c r="B4175" s="22" t="e">
        <x:f>HYPERLINK("https://cdn.shopify.com/s/files/1/0918/6066/4603/files/4919313424332d3cae8a338e805e4ff9.jpg?v=1776243926","Open")</x:f>
        <x:v>HYPERLINK is not implemented. linkLocation=https://cdn.shopify.com/s/files/1/0918/6066/4603/files/4919313424332d3cae8a338e805e4ff9.jpg?v=1776243926, friendlyName=Open</x:v>
      </x:c>
      <x:c r="C4175" s="24" t="e">
        <x:f>HYPERLINK("https://365nails.com/products/365nails-bunnys-glitter-party-3d-character-handmade-short-nails","365nails: ""Bunny's Glitter Party"" – 3D Character Handmade Short Nails")</x:f>
        <x:v>HYPERLINK is not implemented. linkLocation=https://365nails.com/products/365nails-bunnys-glitter-party-3d-character-handmade-short-nails, friendlyName=365nails: "Bunny's Glitter Party" – 3D Character Handmade Short Nails</x:v>
      </x:c>
      <x:c r="D4175" s="18" t="str">
        <x:v>Size: XS / S / M / L</x:v>
      </x:c>
      <x:c r="E4175" s="25" t="str">
        <x:v>$2.49</x:v>
      </x:c>
      <x:c r="F4175" s="19" t="str">
        <x:v>3</x:v>
      </x:c>
    </x:row>
    <x:row r="4176" ht="93" customHeight="1">
      <x:c r="A4176" s="19" t="n">
        <x:v>4173</x:v>
      </x:c>
      <x:c r="B4176" s="22" t="e">
        <x:f>HYPERLINK("https://cdn.shopify.com/s/files/1/0918/6066/4603/files/O1CN01yxbczw2MQzdqiJLME__2219089449823-0-cib.jpg?v=1774096932","Open")</x:f>
        <x:v>HYPERLINK is not implemented. linkLocation=https://cdn.shopify.com/s/files/1/0918/6066/4603/files/O1CN01yxbczw2MQzdqiJLME__2219089449823-0-cib.jpg?v=1774096932, friendlyName=Open</x:v>
      </x:c>
      <x:c r="C4176" s="24" t="e">
        <x:f>HYPERLINK("https://365nails.com/products/tropical-bloom-crimson-hibiscus-almond-press-on","Tropical Bloom: ""Crimson Hibiscus"" – Almond Press-On")</x:f>
        <x:v>HYPERLINK is not implemented. linkLocation=https://365nails.com/products/tropical-bloom-crimson-hibiscus-almond-press-on, friendlyName=Tropical Bloom: "Crimson Hibiscus" – Almond Press-On</x:v>
      </x:c>
      <x:c r="D4176" s="18" t="str">
        <x:v>Color: D424; Color classification: X s / S / M / L</x:v>
      </x:c>
      <x:c r="E4176" s="25" t="str">
        <x:v>$3.99</x:v>
      </x:c>
      <x:c r="F4176" s="19" t="str">
        <x:v>1</x:v>
      </x:c>
    </x:row>
    <x:row r="4177" ht="93" customHeight="1">
      <x:c r="A4177" s="19" t="n">
        <x:v>4174</x:v>
      </x:c>
      <x:c r="B4177" s="22" t="e">
        <x:f>HYPERLINK("https://cdn.shopify.com/s/files/1/0918/6066/4603/files/bd86454529ccc70e14b76a2ecfba5818.jpg?v=1773306284","Open")</x:f>
        <x:v>HYPERLINK is not implemented. linkLocation=https://cdn.shopify.com/s/files/1/0918/6066/4603/files/bd86454529ccc70e14b76a2ecfba5818.jpg?v=1773306284, friendlyName=Open</x:v>
      </x:c>
      <x:c r="C4177" s="24" t="e">
        <x:f>HYPERLINK("https://365nails.com/products/365nails-turquoise-full-rhinestone-handmade-press-on-toenails-pedicure","365nails: ""turquoise full rhinestone"" – handmade press-on toenails / pedicure")</x:f>
        <x:v>HYPERLINK is not implemented. linkLocation=https://365nails.com/products/365nails-turquoise-full-rhinestone-handmade-press-on-toenails-pedicure, friendlyName=365nails: "turquoise full rhinestone" – handmade press-on toenails / pedicure</x:v>
      </x:c>
      <x:c r="D4177" s="18" t="str">
        <x:v>Size: XS / S / M / L</x:v>
      </x:c>
      <x:c r="E4177" s="25" t="str">
        <x:v>$4.99</x:v>
      </x:c>
      <x:c r="F4177" s="19" t="str">
        <x:v>3</x:v>
      </x:c>
    </x:row>
    <x:row r="4178" ht="93" customHeight="1">
      <x:c r="A4178" s="19" t="n">
        <x:v>4175</x:v>
      </x:c>
      <x:c r="B4178" s="22" t="e">
        <x:f>HYPERLINK("https://cdn.shopify.com/s/files/1/0918/6066/4603/files/7be30fbf2614db26a005e6dfc475e3f0.jpg?v=1776245785","Open")</x:f>
        <x:v>HYPERLINK is not implemented. linkLocation=https://cdn.shopify.com/s/files/1/0918/6066/4603/files/7be30fbf2614db26a005e6dfc475e3f0.jpg?v=1776245785, friendlyName=Open</x:v>
      </x:c>
      <x:c r="C4178" s="24" t="e">
        <x:f>HYPERLINK("https://365nails.com/products/365nails-purple-galaxy-friends-3d-character-handmade-short-nails","365nails: ""Purple Galaxy Friends"" – 3D Character Handmade Short Nails")</x:f>
        <x:v>HYPERLINK is not implemented. linkLocation=https://365nails.com/products/365nails-purple-galaxy-friends-3d-character-handmade-short-nails, friendlyName=365nails: "Purple Galaxy Friends" – 3D Character Handmade Short Nails</x:v>
      </x:c>
      <x:c r="D4178" s="18" t="str">
        <x:v>Size: XS / S / M / L</x:v>
      </x:c>
      <x:c r="E4178" s="25" t="str">
        <x:v>$2.99</x:v>
      </x:c>
      <x:c r="F4178" s="19" t="str">
        <x:v>3</x:v>
      </x:c>
    </x:row>
    <x:row r="4179" ht="93" customHeight="1">
      <x:c r="A4179" s="19" t="n">
        <x:v>4176</x:v>
      </x:c>
      <x:c r="B4179" s="22" t="e">
        <x:f>HYPERLINK("https://cdn.shopify.com/s/files/1/0918/6066/4603/files/O1CN01Ig7KKh27ZUl6jnuLO__2220024697811-0-cib.jpg?v=1774927770","Open")</x:f>
        <x:v>HYPERLINK is not implemented. linkLocation=https://cdn.shopify.com/s/files/1/0918/6066/4603/files/O1CN01Ig7KKh27ZUl6jnuLO__2220024697811-0-cib.jpg?v=1774927770, friendlyName=Open</x:v>
      </x:c>
      <x:c r="C4179" s="24" t="e">
        <x:f>HYPERLINK("https://365nails.com/products/365nails-enchanted-garden-3d-floral-handmade-almond-nails","365nails: ""Enchanted Garden"" – 3D Floral Handmade Almond Nails")</x:f>
        <x:v>HYPERLINK is not implemented. linkLocation=https://365nails.com/products/365nails-enchanted-garden-3d-floral-handmade-almond-nails, friendlyName=365nails: "Enchanted Garden" – 3D Floral Handmade Almond Nails</x:v>
      </x:c>
      <x:c r="D4179" s="18" t="str">
        <x:v>Color: Long tip; Color classification: Xs / S / M / L</x:v>
      </x:c>
      <x:c r="E4179" s="25" t="str">
        <x:v>$5.99</x:v>
      </x:c>
      <x:c r="F4179" s="19" t="str">
        <x:v>3</x:v>
      </x:c>
    </x:row>
    <x:row r="4180" ht="93" customHeight="1">
      <x:c r="A4180" s="19" t="n">
        <x:v>4177</x:v>
      </x:c>
      <x:c r="B4180" s="22" t="e">
        <x:f>HYPERLINK("https://cdn.shopify.com/s/files/1/0918/6066/4603/files/O1CN01guUoGB1CPwHeKil58__2213196780074-0-cib.jpg?v=1774603225","Open")</x:f>
        <x:v>HYPERLINK is not implemented. linkLocation=https://cdn.shopify.com/s/files/1/0918/6066/4603/files/O1CN01guUoGB1CPwHeKil58__2213196780074-0-cib.jpg?v=1774603225, friendlyName=Open</x:v>
      </x:c>
      <x:c r="C4180" s="24" t="e">
        <x:f>HYPERLINK("https://365nails.com/products/365nails-sweet-zoo-animal-cherry-short-square-nails","365nails: ""Sweet Zoo"" – Animal &amp; Cherry Short Square Nails")</x:f>
        <x:v>HYPERLINK is not implemented. linkLocation=https://365nails.com/products/365nails-sweet-zoo-animal-cherry-short-square-nails, friendlyName=365nails: "Sweet Zoo" – Animal &amp; Cherry Short Square Nails</x:v>
      </x:c>
      <x:c r="D4180" s="18" t="str">
        <x:v>Color: 1894 - new short square; Color classification: Extra small size xs / Small s / Medium m / Large l</x:v>
      </x:c>
      <x:c r="E4180" s="25" t="str">
        <x:v>$3.99</x:v>
      </x:c>
      <x:c r="F4180" s="19" t="str">
        <x:v>1</x:v>
      </x:c>
    </x:row>
    <x:row r="4181" ht="93" customHeight="1">
      <x:c r="A4181" s="19" t="n">
        <x:v>4178</x:v>
      </x:c>
      <x:c r="B4181" s="22" t="e">
        <x:f>HYPERLINK("https://cdn.shopify.com/s/files/1/0918/6066/4603/files/507e288608ed0f8e6b0411cec70488a9.jpg?v=1776246797","Open")</x:f>
        <x:v>HYPERLINK is not implemented. linkLocation=https://cdn.shopify.com/s/files/1/0918/6066/4603/files/507e288608ed0f8e6b0411cec70488a9.jpg?v=1776246797, friendlyName=Open</x:v>
      </x:c>
      <x:c r="C4181" s="24" t="e">
        <x:f>HYPERLINK("https://365nails.com/products/365nails-lotsos-berry-sweet-3d-character-handmade-short-nails","365nails: ""Lotso's Berry Sweet"" – 3D Character Handmade Short Nails")</x:f>
        <x:v>HYPERLINK is not implemented. linkLocation=https://365nails.com/products/365nails-lotsos-berry-sweet-3d-character-handmade-short-nails, friendlyName=365nails: "Lotso's Berry Sweet" – 3D Character Handmade Short Nails</x:v>
      </x:c>
      <x:c r="D4181" s="18" t="str">
        <x:v>Size: XS / S / M / L</x:v>
      </x:c>
      <x:c r="E4181" s="25" t="str">
        <x:v>$2.49</x:v>
      </x:c>
      <x:c r="F4181" s="19" t="str">
        <x:v>3</x:v>
      </x:c>
    </x:row>
    <x:row r="4182" ht="93" customHeight="1">
      <x:c r="A4182" s="19" t="n">
        <x:v>4179</x:v>
      </x:c>
      <x:c r="B4182" s="22" t="e">
        <x:f>HYPERLINK("https://cdn.shopify.com/s/files/1/0918/6066/4603/files/O1CN01TAGjy42MQze8GKpxJ__2219089449823-0-cib.jpg?v=1774097071","Open")</x:f>
        <x:v>HYPERLINK is not implemented. linkLocation=https://cdn.shopify.com/s/files/1/0918/6066/4603/files/O1CN01TAGjy42MQze8GKpxJ__2219089449823-0-cib.jpg?v=1774097071, friendlyName=Open</x:v>
      </x:c>
      <x:c r="C4182" s="24" t="e">
        <x:f>HYPERLINK("https://365nails.com/products/ocean-breeze-beach-star-almond-press-ons","Ocean Breeze: ""Beach Star"" – Almond Press-Ons")</x:f>
        <x:v>HYPERLINK is not implemented. linkLocation=https://365nails.com/products/ocean-breeze-beach-star-almond-press-ons, friendlyName=Ocean Breeze: "Beach Star" – Almond Press-Ons</x:v>
      </x:c>
      <x:c r="D4182" s="18" t="str">
        <x:v>Color: D407; Color classification: X s / S / M / L</x:v>
      </x:c>
      <x:c r="E4182" s="25" t="str">
        <x:v>$3.99</x:v>
      </x:c>
      <x:c r="F4182" s="19" t="str">
        <x:v>1</x:v>
      </x:c>
    </x:row>
    <x:row r="4183" ht="93" customHeight="1">
      <x:c r="A4183" s="19" t="n">
        <x:v>4180</x:v>
      </x:c>
      <x:c r="B4183" s="22" t="e">
        <x:f>HYPERLINK("https://cdn.shopify.com/s/files/1/0918/6066/4603/files/f00070272d173aa0305214050bce51ca.jpg?v=1778318757","Open")</x:f>
        <x:v>HYPERLINK is not implemented. linkLocation=https://cdn.shopify.com/s/files/1/0918/6066/4603/files/f00070272d173aa0305214050bce51ca.jpg?v=1778318757, friendlyName=Open</x:v>
      </x:c>
      <x:c r="C4183" s="24" t="e">
        <x:f>HYPERLINK("https://365nails.com/products/365nails-royal-leopard-3d-crystal-cow-print-handmade-almond-nails","365nails: ""Royal Leopard"" – 3D Crystal &amp; Cow Print Handmade Almond Nails")</x:f>
        <x:v>HYPERLINK is not implemented. linkLocation=https://365nails.com/products/365nails-royal-leopard-3d-crystal-cow-print-handmade-almond-nails, friendlyName=365nails: "Royal Leopard" – 3D Crystal &amp; Cow Print Handmade Almond Nails</x:v>
      </x:c>
      <x:c r="D4183" s="18" t="str">
        <x:v>Size: XS / S / M / L</x:v>
      </x:c>
      <x:c r="E4183" s="25" t="str">
        <x:v>$2.99</x:v>
      </x:c>
      <x:c r="F4183" s="19" t="str">
        <x:v>5</x:v>
      </x:c>
    </x:row>
    <x:row r="4184" ht="93" customHeight="1">
      <x:c r="A4184" s="19" t="n">
        <x:v>4181</x:v>
      </x:c>
      <x:c r="B4184" s="22" t="e">
        <x:f>HYPERLINK("https://cdn.shopify.com/s/files/1/0918/6066/4603/files/O1CN01pJm9kb27ZUlE0MRby__2220024697811-0-cib.jpg?v=1775053171","Open")</x:f>
        <x:v>HYPERLINK is not implemented. linkLocation=https://cdn.shopify.com/s/files/1/0918/6066/4603/files/O1CN01pJm9kb27ZUlE0MRby__2220024697811-0-cib.jpg?v=1775053171, friendlyName=Open</x:v>
      </x:c>
      <x:c r="C4184" s="24" t="e">
        <x:f>HYPERLINK("https://365nails.com/products/365nails-bloody-rose-3d-floral-marble-handmade-stiletto-nails","365nails: ""Bloody Rose"" – 3D Floral &amp; Marble Handmade Stiletto Nails")</x:f>
        <x:v>HYPERLINK is not implemented. linkLocation=https://365nails.com/products/365nails-bloody-rose-3d-floral-marble-handmade-stiletto-nails, friendlyName=365nails: "Bloody Rose" – 3D Floral &amp; Marble Handmade Stiletto Nails</x:v>
      </x:c>
      <x:c r="D4184" s="18" t="str">
        <x:v>Color: Almond; Color classification: Xs / S / M / L</x:v>
      </x:c>
      <x:c r="E4184" s="25" t="str">
        <x:v>$4.49</x:v>
      </x:c>
      <x:c r="F4184" s="19" t="str">
        <x:v>3</x:v>
      </x:c>
    </x:row>
    <x:row r="4185" ht="93" customHeight="1">
      <x:c r="A4185" s="19" t="n">
        <x:v>4182</x:v>
      </x:c>
      <x:c r="B4185" s="22" t="e">
        <x:f>HYPERLINK("https://cdn.shopify.com/s/files/1/0918/6066/4603/files/63d2fe1eb9b0fe3daf9dc42e2067097e.jpg?v=1778242171","Open")</x:f>
        <x:v>HYPERLINK is not implemented. linkLocation=https://cdn.shopify.com/s/files/1/0918/6066/4603/files/63d2fe1eb9b0fe3daf9dc42e2067097e.jpg?v=1778242171, friendlyName=Open</x:v>
      </x:c>
      <x:c r="C4185" s="24" t="e">
        <x:f>HYPERLINK("https://365nails.com/products/365nails-electric-doll-3d-butterfly-rhinestone-handmade-long-coffin-nails","365nails: ""Electric Doll"" – 3D Butterfly &amp; Rhinestone Handmade Long Coffin Nails")</x:f>
        <x:v>HYPERLINK is not implemented. linkLocation=https://365nails.com/products/365nails-electric-doll-3d-butterfly-rhinestone-handmade-long-coffin-nails, friendlyName=365nails: "Electric Doll" – 3D Butterfly &amp; Rhinestone Handmade Long Coffin Nails</x:v>
      </x:c>
      <x:c r="D4185" s="18" t="str">
        <x:v>Size: XS / S / M / L</x:v>
      </x:c>
      <x:c r="E4185" s="25" t="str">
        <x:v>$4.99</x:v>
      </x:c>
      <x:c r="F4185" s="19" t="str">
        <x:v>5</x:v>
      </x:c>
    </x:row>
    <x:row r="4186" ht="93" customHeight="1">
      <x:c r="A4186" s="19" t="n">
        <x:v>4183</x:v>
      </x:c>
      <x:c r="B4186" s="22" t="e">
        <x:f>HYPERLINK("https://cdn.shopify.com/s/files/1/0918/6066/4603/files/O1CN01fkaFsI2MQzdwvkrMh__2219089449823-0-cib.jpg?v=1774096968","Open")</x:f>
        <x:v>HYPERLINK is not implemented. linkLocation=https://cdn.shopify.com/s/files/1/0918/6066/4603/files/O1CN01fkaFsI2MQzdwvkrMh__2219089449823-0-cib.jpg?v=1774096968, friendlyName=Open</x:v>
      </x:c>
      <x:c r="C4186" s="24" t="e">
        <x:f>HYPERLINK("https://365nails.com/products/mermaid-tide-ocean-star-almond-press-ons","Mermaid Tide: ""Ocean Star"" – Almond Press-Ons")</x:f>
        <x:v>HYPERLINK is not implemented. linkLocation=https://365nails.com/products/mermaid-tide-ocean-star-almond-press-ons, friendlyName=Mermaid Tide: "Ocean Star" – Almond Press-Ons</x:v>
      </x:c>
      <x:c r="D4186" s="18" t="str">
        <x:v>Color: D514; Color classification: X s / S / M / L</x:v>
      </x:c>
      <x:c r="E4186" s="25" t="str">
        <x:v>$3.99</x:v>
      </x:c>
      <x:c r="F4186" s="19" t="str">
        <x:v>1</x:v>
      </x:c>
    </x:row>
    <x:row r="4187" ht="93" customHeight="1">
      <x:c r="A4187" s="19" t="n">
        <x:v>4184</x:v>
      </x:c>
      <x:c r="B4187" s="22" t="e">
        <x:f>HYPERLINK("https://cdn.shopify.com/s/files/1/0918/6066/4603/files/O1CN01gmqYob1CPwOuUdPb9__2213196780074-0-cib.jpg?v=1776935880","Open")</x:f>
        <x:v>HYPERLINK is not implemented. linkLocation=https://cdn.shopify.com/s/files/1/0918/6066/4603/files/O1CN01gmqYob1CPwOuUdPb9__2213196780074-0-cib.jpg?v=1776935880, friendlyName=Open</x:v>
      </x:c>
      <x:c r="C4187" s="24" t="e">
        <x:f>HYPERLINK("https://365nails.com/products/365nails-amber-whiskers-3d-character-handmade-press-on-nails-short-almond-nails","365nails: ""Amber Whiskers"" – 3D Character Handmade Press on Nails Short Almond Nails")</x:f>
        <x:v>HYPERLINK is not implemented. linkLocation=https://365nails.com/products/365nails-amber-whiskers-3d-character-handmade-press-on-nails-short-almond-nails, friendlyName=365nails: "Amber Whiskers" – 3D Character Handmade Press on Nails Short Almond Nails</x:v>
      </x:c>
      <x:c r="D4187" s="18" t="str">
        <x:v>Color: 3207-short round; Color classification: Xs / S / M / L</x:v>
      </x:c>
      <x:c r="E4187" s="25" t="str">
        <x:v>$3.49</x:v>
      </x:c>
      <x:c r="F4187" s="19" t="str">
        <x:v>1</x:v>
      </x:c>
    </x:row>
    <x:row r="4188" ht="93" customHeight="1">
      <x:c r="A4188" s="19" t="n">
        <x:v>4185</x:v>
      </x:c>
      <x:c r="B4188" s="22" t="e">
        <x:f>HYPERLINK("https://cdn.shopify.com/s/files/1/0918/6066/4603/files/O1CN011IxmYf1CPwJueuosB__2213196780074-0-cib_12f1092a-aed8-4bf1-b396-0da893c52c37.jpg?v=1775980187","Open")</x:f>
        <x:v>HYPERLINK is not implemented. linkLocation=https://cdn.shopify.com/s/files/1/0918/6066/4603/files/O1CN011IxmYf1CPwJueuosB__2213196780074-0-cib_12f1092a-aed8-4bf1-b396-0da893c52c37.jpg?v=1775980187, friendlyName=Open</x:v>
      </x:c>
      <x:c r="C4188" s="24" t="e">
        <x:f>HYPERLINK("https://365nails.com/products/365nails-leopard-bloom-3d-floral-gem-handmade-almond-nails","365nails: ""Leopard Bloom"" – 3D Floral &amp; Gem Handmade Almond Nails")</x:f>
        <x:v>HYPERLINK is not implemented. linkLocation=https://365nails.com/products/365nails-leopard-bloom-3d-floral-gem-handmade-almond-nails, friendlyName=365nails: "Leopard Bloom" – 3D Floral &amp; Gem Handmade Almond Nails</x:v>
      </x:c>
      <x:c r="D4188" s="18" t="str">
        <x:v>Color: Extra small size xs / Small s / Medium m / Large l; Specification type: 2508 medium oval</x:v>
      </x:c>
      <x:c r="E4188" s="25" t="str">
        <x:v>$4.49</x:v>
      </x:c>
      <x:c r="F4188" s="19" t="str">
        <x:v>3</x:v>
      </x:c>
    </x:row>
    <x:row r="4189" ht="93" customHeight="1">
      <x:c r="A4189" s="19" t="n">
        <x:v>4186</x:v>
      </x:c>
      <x:c r="B4189" s="22" t="e">
        <x:f>HYPERLINK("https://cdn.shopify.com/s/files/1/0918/6066/4603/files/d42f1e08c6ac9b1e6004b6c3ae727f25.jpg?v=1773306482","Open")</x:f>
        <x:v>HYPERLINK is not implemented. linkLocation=https://cdn.shopify.com/s/files/1/0918/6066/4603/files/d42f1e08c6ac9b1e6004b6c3ae727f25.jpg?v=1773306482, friendlyName=Open</x:v>
      </x:c>
      <x:c r="C4189" s="24" t="e">
        <x:f>HYPERLINK("https://365nails.com/products/365nails-sand-glitter-leopard-handmade-press-on-toenails-pedicure","365nails: ""sand glitter leopard"" – handmade press-on toenails / pedicure")</x:f>
        <x:v>HYPERLINK is not implemented. linkLocation=https://365nails.com/products/365nails-sand-glitter-leopard-handmade-press-on-toenails-pedicure, friendlyName=365nails: "sand glitter leopard" – handmade press-on toenails / pedicure</x:v>
      </x:c>
      <x:c r="D4189" s="18" t="str">
        <x:v>Size: XS / S / M / L</x:v>
      </x:c>
      <x:c r="E4189" s="25" t="str">
        <x:v>$2.99</x:v>
      </x:c>
      <x:c r="F4189" s="19" t="str">
        <x:v>3</x:v>
      </x:c>
    </x:row>
    <x:row r="4190" ht="93" customHeight="1">
      <x:c r="A4190" s="19" t="n">
        <x:v>4187</x:v>
      </x:c>
      <x:c r="B4190" s="22" t="e">
        <x:f>HYPERLINK("https://cdn.shopify.com/s/files/1/0918/6066/4603/files/3f1e4165480438312b41175f243a059d.jpg?v=1775906361","Open")</x:f>
        <x:v>HYPERLINK is not implemented. linkLocation=https://cdn.shopify.com/s/files/1/0918/6066/4603/files/3f1e4165480438312b41175f243a059d.jpg?v=1775906361, friendlyName=Open</x:v>
      </x:c>
      <x:c r="C4190" s="24" t="e">
        <x:f>HYPERLINK("https://365nails.com/products/365nails-sweet-chic-3d-floral-bow-handmade-square-nails","365nails: ""Sweet Chic"" – 3D Floral &amp; Bow Handmade Square Nails")</x:f>
        <x:v>HYPERLINK is not implemented. linkLocation=https://365nails.com/products/365nails-sweet-chic-3d-floral-bow-handmade-square-nails, friendlyName=365nails: "Sweet Chic" – 3D Floral &amp; Bow Handmade Square Nails</x:v>
      </x:c>
      <x:c r="D4190" s="18" t="str">
        <x:v>Size: XS / S / M / L</x:v>
      </x:c>
      <x:c r="E4190" s="25" t="str">
        <x:v>$3.99</x:v>
      </x:c>
      <x:c r="F4190" s="19" t="str">
        <x:v>5</x:v>
      </x:c>
    </x:row>
    <x:row r="4191" ht="93" customHeight="1">
      <x:c r="A4191" s="19" t="n">
        <x:v>4188</x:v>
      </x:c>
      <x:c r="B4191" s="22" t="e">
        <x:f>HYPERLINK("https://cdn.shopify.com/s/files/1/0918/6066/4603/files/O1CN01DtHhJc1CPwMy2rAC5__2213196780074-0-cib.jpg?v=1777017508","Open")</x:f>
        <x:v>HYPERLINK is not implemented. linkLocation=https://cdn.shopify.com/s/files/1/0918/6066/4603/files/O1CN01DtHhJc1CPwMy2rAC5__2213196780074-0-cib.jpg?v=1777017508, friendlyName=Open</x:v>
      </x:c>
      <x:c r="C4191" s="24" t="e">
        <x:f>HYPERLINK("https://365nails.com/products/365nails-moonlight-sonata-iridescent-opal-crystal-chain-handmade-stiletto-nails","365nails: ""Moonlight Sonata"" – Iridescent Opal &amp; Crystal Chain Handmade Stiletto Nails")</x:f>
        <x:v>HYPERLINK is not implemented. linkLocation=https://365nails.com/products/365nails-moonlight-sonata-iridescent-opal-crystal-chain-handmade-stiletto-nails, friendlyName=365nails: "Moonlight Sonata" – Iridescent Opal &amp; Crystal Chain Handmade Stiletto Nails</x:v>
      </x:c>
      <x:c r="D4191" s="18" t="str">
        <x:v>Color: 264-fine dog tip; Color classification: Xs / S / M / L</x:v>
      </x:c>
      <x:c r="E4191" s="25" t="str">
        <x:v>$3.49</x:v>
      </x:c>
      <x:c r="F4191" s="19" t="str">
        <x:v>1</x:v>
      </x:c>
    </x:row>
    <x:row r="4192" ht="93" customHeight="1">
      <x:c r="A4192" s="19" t="n">
        <x:v>4189</x:v>
      </x:c>
      <x:c r="B4192" s="22" t="e">
        <x:f>HYPERLINK("https://cdn.shopify.com/s/files/1/0918/6066/4603/files/O1CN01yhRxP52MQzePLQ5nF__2219089449823-0-cib.jpg?v=1774178637","Open")</x:f>
        <x:v>HYPERLINK is not implemented. linkLocation=https://cdn.shopify.com/s/files/1/0918/6066/4603/files/O1CN01yhRxP52MQzePLQ5nF__2219089449823-0-cib.jpg?v=1774178637, friendlyName=Open</x:v>
      </x:c>
      <x:c r="C4192" s="24" t="e">
        <x:f>HYPERLINK("https://365nails.com/products/monochrome-floral-series-noir-blanc-bloom-almond-handmade-press-on-nails","Monochrome Floral Series: ""Noir &amp; Blanc Bloom"" – Almond Handmade Press-on Nails")</x:f>
        <x:v>HYPERLINK is not implemented. linkLocation=https://365nails.com/products/monochrome-floral-series-noir-blanc-bloom-almond-handmade-press-on-nails, friendlyName=Monochrome Floral Series: "Noir &amp; Blanc Bloom" – Almond Handmade Press-on Nails</x:v>
      </x:c>
      <x:c r="D4192" s="18" t="str">
        <x:v>Color: D549; Color classification: X s / S / M / L</x:v>
      </x:c>
      <x:c r="E4192" s="25" t="str">
        <x:v>$3.49</x:v>
      </x:c>
      <x:c r="F4192" s="19" t="str">
        <x:v>1</x:v>
      </x:c>
    </x:row>
    <x:row r="4193" ht="93" customHeight="1">
      <x:c r="A4193" s="19" t="n">
        <x:v>4190</x:v>
      </x:c>
      <x:c r="B4193" s="22" t="e">
        <x:f>HYPERLINK("https://cdn.shopify.com/s/files/1/0918/6066/4603/files/20b90bf114bcc2a441337279e93a0e68.jpg?v=1775906934","Open")</x:f>
        <x:v>HYPERLINK is not implemented. linkLocation=https://cdn.shopify.com/s/files/1/0918/6066/4603/files/20b90bf114bcc2a441337279e93a0e68.jpg?v=1775906934, friendlyName=Open</x:v>
      </x:c>
      <x:c r="C4193" s="24" t="e">
        <x:f>HYPERLINK("https://365nails.com/products/365nails-enchanted-garden-3d-floral-gold-chain-handmade-coffin-nails","365nails: ""Enchanted Garden"" – 3D Floral &amp; Gold Chain Handmade Coffin Nails")</x:f>
        <x:v>HYPERLINK is not implemented. linkLocation=https://365nails.com/products/365nails-enchanted-garden-3d-floral-gold-chain-handmade-coffin-nails, friendlyName=365nails: "Enchanted Garden" – 3D Floral &amp; Gold Chain Handmade Coffin Nails</x:v>
      </x:c>
      <x:c r="D4193" s="18" t="str">
        <x:v>Size: XS / S / M / L</x:v>
      </x:c>
      <x:c r="E4193" s="25" t="str">
        <x:v>$3.99</x:v>
      </x:c>
      <x:c r="F4193" s="19" t="str">
        <x:v>5</x:v>
      </x:c>
    </x:row>
    <x:row r="4194" ht="93" customHeight="1">
      <x:c r="A4194" s="19" t="n">
        <x:v>4191</x:v>
      </x:c>
      <x:c r="B4194" s="22" t="e">
        <x:f>HYPERLINK("https://cdn.shopify.com/s/files/1/0918/6066/4603/files/4e1f75553ce59b0f5a8bd8347e7d4f16.jpg?v=1776243982","Open")</x:f>
        <x:v>HYPERLINK is not implemented. linkLocation=https://cdn.shopify.com/s/files/1/0918/6066/4603/files/4e1f75553ce59b0f5a8bd8347e7d4f16.jpg?v=1776243982, friendlyName=Open</x:v>
      </x:c>
      <x:c r="C4194" s="24" t="e">
        <x:f>HYPERLINK("https://365nails.com/products/365nails-lavender-bunny-dreams-3d-character-handmade-short-nails","365nails: ""Lavender Bunny Dreams"" – 3D Character Handmade Short Nails")</x:f>
        <x:v>HYPERLINK is not implemented. linkLocation=https://365nails.com/products/365nails-lavender-bunny-dreams-3d-character-handmade-short-nails, friendlyName=365nails: "Lavender Bunny Dreams" – 3D Character Handmade Short Nails</x:v>
      </x:c>
      <x:c r="D4194" s="18" t="str">
        <x:v>Size: XS / S / M / L</x:v>
      </x:c>
      <x:c r="E4194" s="25" t="str">
        <x:v>$2.49</x:v>
      </x:c>
      <x:c r="F4194" s="19" t="str">
        <x:v>3</x:v>
      </x:c>
    </x:row>
    <x:row r="4195" ht="93" customHeight="1">
      <x:c r="A4195" s="19" t="n">
        <x:v>4192</x:v>
      </x:c>
      <x:c r="B4195" s="22" t="e">
        <x:f>HYPERLINK("https://cdn.shopify.com/s/files/1/0918/6066/4603/files/O1CN015DJXC91CPwKjNzUkA__2213196780074-0-cib.jpg?v=1776600666","Open")</x:f>
        <x:v>HYPERLINK is not implemented. linkLocation=https://cdn.shopify.com/s/files/1/0918/6066/4603/files/O1CN015DJXC91CPwKjNzUkA__2213196780074-0-cib.jpg?v=1776600666, friendlyName=Open</x:v>
      </x:c>
      <x:c r="C4195" s="24" t="e">
        <x:f>HYPERLINK("https://365nails.com/products/365nails-lucky-charm-3d-velvet-bow-gold-foil-handmade-short-square-nails","365nails: ""Lucky Charm"" – 3D Velvet Bow &amp; Gold Foil Handmade Short Square Nails")</x:f>
        <x:v>HYPERLINK is not implemented. linkLocation=https://365nails.com/products/365nails-lucky-charm-3d-velvet-bow-gold-foil-handmade-short-square-nails, friendlyName=365nails: "Lucky Charm" – 3D Velvet Bow &amp; Gold Foil Handmade Short Square Nails</x:v>
      </x:c>
      <x:c r="D4195" s="18" t="str">
        <x:v>Color: Extra small size xs / Small s / Medium m / Large l; Specification type: 2770-ultra short ladder / 2772-new china</x:v>
      </x:c>
      <x:c r="E4195" s="25" t="str">
        <x:v>$3.49</x:v>
      </x:c>
      <x:c r="F4195" s="19" t="str">
        <x:v>1</x:v>
      </x:c>
    </x:row>
    <x:row r="4196" ht="93" customHeight="1">
      <x:c r="A4196" s="19" t="n">
        <x:v>4193</x:v>
      </x:c>
      <x:c r="B4196" s="22" t="e">
        <x:f>HYPERLINK("https://cdn.shopify.com/s/files/1/0918/6066/4603/files/O1CN011Omf1p1CPwIWkeLHm__2213196780074-0-cib.jpg?v=1777016671","Open")</x:f>
        <x:v>HYPERLINK is not implemented. linkLocation=https://cdn.shopify.com/s/files/1/0918/6066/4603/files/O1CN011Omf1p1CPwIWkeLHm__2213196780074-0-cib.jpg?v=1777016671, friendlyName=Open</x:v>
      </x:c>
      <x:c r="C4196" s="24" t="e">
        <x:f>HYPERLINK("https://365nails.com/products/365nails-velvet-crush-gradient-french-crystal-embellished-handmade-square-nails","365nails: ""Velvet Crush"" – Gradient French &amp; Crystal Embellished Handmade Square Nails")</x:f>
        <x:v>HYPERLINK is not implemented. linkLocation=https://365nails.com/products/365nails-velvet-crush-gradient-french-crystal-embellished-handmade-square-nails, friendlyName=365nails: "Velvet Crush" – Gradient French &amp; Crystal Embellished Handmade Square Nails</x:v>
      </x:c>
      <x:c r="D4196" s="18" t="str">
        <x:v>Color: 2192-short ladder; Color classification: Extra small size xs / Small s / Medium m / Large l</x:v>
      </x:c>
      <x:c r="E4196" s="25" t="str">
        <x:v>$3.49</x:v>
      </x:c>
      <x:c r="F4196" s="19" t="str">
        <x:v>1</x:v>
      </x:c>
    </x:row>
    <x:row r="4197" ht="93" customHeight="1">
      <x:c r="A4197" s="19" t="n">
        <x:v>4194</x:v>
      </x:c>
      <x:c r="B4197" s="22" t="e">
        <x:f>HYPERLINK("https://cdn.shopify.com/s/files/1/0918/6066/4603/files/be282c5d012936be5c09b3f87cb51497.jpg?v=1776245703","Open")</x:f>
        <x:v>HYPERLINK is not implemented. linkLocation=https://cdn.shopify.com/s/files/1/0918/6066/4603/files/be282c5d012936be5c09b3f87cb51497.jpg?v=1776245703, friendlyName=Open</x:v>
      </x:c>
      <x:c r="C4197" s="24" t="e">
        <x:f>HYPERLINK("https://365nails.com/products/365nails-bunnys-sweet-dream-3d-character-handmade-short-nails","365nails: ""Bunny's Sweet Dream"" – 3D Character Handmade Short Nails")</x:f>
        <x:v>HYPERLINK is not implemented. linkLocation=https://365nails.com/products/365nails-bunnys-sweet-dream-3d-character-handmade-short-nails, friendlyName=365nails: "Bunny's Sweet Dream" – 3D Character Handmade Short Nails</x:v>
      </x:c>
      <x:c r="D4197" s="18" t="str">
        <x:v>Size: XS / S / M / L</x:v>
      </x:c>
      <x:c r="E4197" s="25" t="str">
        <x:v>$2.49</x:v>
      </x:c>
      <x:c r="F4197" s="19" t="str">
        <x:v>3</x:v>
      </x:c>
    </x:row>
    <x:row r="4198" ht="93" customHeight="1">
      <x:c r="A4198" s="19" t="n">
        <x:v>4195</x:v>
      </x:c>
      <x:c r="B4198" s="22" t="e">
        <x:f>HYPERLINK("https://cdn.shopify.com/s/files/1/0918/6066/4603/files/0038d04c8757e88e20abb8de387ea80f.jpg?v=1776171055","Open")</x:f>
        <x:v>HYPERLINK is not implemented. linkLocation=https://cdn.shopify.com/s/files/1/0918/6066/4603/files/0038d04c8757e88e20abb8de387ea80f.jpg?v=1776171055, friendlyName=Open</x:v>
      </x:c>
      <x:c r="C4198" s="24" t="e">
        <x:f>HYPERLINK("https://365nails.com/products/365nails-candy-star-3d-character-handmade-short-square-nails","365nails: ""Candy Star"" – 3D Character Handmade Short Square Nails")</x:f>
        <x:v>HYPERLINK is not implemented. linkLocation=https://365nails.com/products/365nails-candy-star-3d-character-handmade-short-square-nails, friendlyName=365nails: "Candy Star" – 3D Character Handmade Short Square Nails</x:v>
      </x:c>
      <x:c r="D4198" s="18" t="str">
        <x:v>Size: XS / S / M / L</x:v>
      </x:c>
      <x:c r="E4198" s="25" t="str">
        <x:v>$1.99</x:v>
      </x:c>
      <x:c r="F4198" s="19" t="str">
        <x:v>3</x:v>
      </x:c>
    </x:row>
    <x:row r="4199" ht="93" customHeight="1">
      <x:c r="A4199" s="19" t="n">
        <x:v>4196</x:v>
      </x:c>
      <x:c r="B4199" s="22" t="e">
        <x:f>HYPERLINK("https://cdn.shopify.com/s/files/1/0918/6066/4603/files/6d697334e87a04fee5377c30e3762fb6.jpg?v=1776213840","Open")</x:f>
        <x:v>HYPERLINK is not implemented. linkLocation=https://cdn.shopify.com/s/files/1/0918/6066/4603/files/6d697334e87a04fee5377c30e3762fb6.jpg?v=1776213840, friendlyName=Open</x:v>
      </x:c>
      <x:c r="C4199" s="24" t="e">
        <x:f>HYPERLINK("https://365nails.com/products/365nails-kittys-bow-3d-character-handcrafted-sweet-short-square-nails","365nails: ""Kitty's Bow"" – 3D Character Handcrafted Sweet Short Square Nails")</x:f>
        <x:v>HYPERLINK is not implemented. linkLocation=https://365nails.com/products/365nails-kittys-bow-3d-character-handcrafted-sweet-short-square-nails, friendlyName=365nails: "Kitty's Bow" – 3D Character Handcrafted Sweet Short Square Nails</x:v>
      </x:c>
      <x:c r="D4199" s="18" t="str">
        <x:v>Size: XS / S / M / L</x:v>
      </x:c>
      <x:c r="E4199" s="25" t="str">
        <x:v>$1.99</x:v>
      </x:c>
      <x:c r="F4199" s="19" t="str">
        <x:v>3</x:v>
      </x:c>
    </x:row>
    <x:row r="4200" ht="93" customHeight="1">
      <x:c r="A4200" s="19" t="n">
        <x:v>4197</x:v>
      </x:c>
      <x:c r="B4200" s="22" t="e">
        <x:f>HYPERLINK("https://cdn.shopify.com/s/files/1/0918/6066/4603/files/d867ec30b041238d0a2cb59116b6db14.jpg?v=1778241481","Open")</x:f>
        <x:v>HYPERLINK is not implemented. linkLocation=https://cdn.shopify.com/s/files/1/0918/6066/4603/files/d867ec30b041238d0a2cb59116b6db14.jpg?v=1778241481, friendlyName=Open</x:v>
      </x:c>
      <x:c r="C4200" s="24" t="e">
        <x:f>HYPERLINK("https://365nails.com/products/365nails-sweet-bloom-3d-floral-rabbit-handmade-long-coffin-nails","365nails: ""Sweet Bloom"" – 3D Floral &amp; Rabbit Handmade Long Coffin Nails")</x:f>
        <x:v>HYPERLINK is not implemented. linkLocation=https://365nails.com/products/365nails-sweet-bloom-3d-floral-rabbit-handmade-long-coffin-nails, friendlyName=365nails: "Sweet Bloom" – 3D Floral &amp; Rabbit Handmade Long Coffin Nails</x:v>
      </x:c>
      <x:c r="D4200" s="18" t="str">
        <x:v>Size: XS / S / M / L</x:v>
      </x:c>
      <x:c r="E4200" s="25" t="str">
        <x:v>$4.99</x:v>
      </x:c>
      <x:c r="F4200" s="19" t="str">
        <x:v>5</x:v>
      </x:c>
    </x:row>
    <x:row r="4201" ht="93" customHeight="1">
      <x:c r="A4201" s="19" t="n">
        <x:v>4198</x:v>
      </x:c>
      <x:c r="B4201" s="22" t="e">
        <x:f>HYPERLINK("https://cdn.shopify.com/s/files/1/0918/6066/4603/files/O1CN01smyWwo2MQzdizBUKY__2219089449823-0-cib.jpg?v=1774065237","Open")</x:f>
        <x:v>HYPERLINK is not implemented. linkLocation=https://cdn.shopify.com/s/files/1/0918/6066/4603/files/O1CN01smyWwo2MQzdizBUKY__2219089449823-0-cib.jpg?v=1774065237, friendlyName=Open</x:v>
      </x:c>
      <x:c r="C4201" s="24" t="e">
        <x:f>HYPERLINK("https://365nails.com/products/beach-breeze-ocean-floral-almond-shape-handmade-3d-carved-press-on-nails","365nails-Beach Breeze: ""Ocean Floral"" – Almond Shape Handmade 3D Carved Press-On Nails")</x:f>
        <x:v>HYPERLINK is not implemented. linkLocation=https://365nails.com/products/beach-breeze-ocean-floral-almond-shape-handmade-3d-carved-press-on-nails, friendlyName=365nails-Beach Breeze: "Ocean Floral" – Almond Shape Handmade 3D Carved Press-On Nails</x:v>
      </x:c>
      <x:c r="D4201" s="18" t="str">
        <x:v>Color: D425; Color classification: X s / S / M / L</x:v>
      </x:c>
      <x:c r="E4201" s="25" t="str">
        <x:v>$3.99</x:v>
      </x:c>
      <x:c r="F4201" s="19" t="str">
        <x:v>5</x:v>
      </x:c>
    </x:row>
    <x:row r="4202" ht="93" customHeight="1">
      <x:c r="A4202" s="19" t="n">
        <x:v>4199</x:v>
      </x:c>
      <x:c r="B4202" s="22" t="e">
        <x:f>HYPERLINK("https://cdn.shopify.com/s/files/1/0918/6066/4603/files/42ff080f8341ed3fcab66fbafea8359a.jpg?v=1776214497","Open")</x:f>
        <x:v>HYPERLINK is not implemented. linkLocation=https://cdn.shopify.com/s/files/1/0918/6066/4603/files/42ff080f8341ed3fcab66fbafea8359a.jpg?v=1776214497, friendlyName=Open</x:v>
      </x:c>
      <x:c r="C4202" s="24" t="e">
        <x:f>HYPERLINK("https://365nails.com/products/365nails-hello-kitty-love-3d-character-handcrafted-sweet-short-square-nails","365nails: ""Hello Kitty Love"" – 3D Character Handcrafted Sweet Short Square Nails")</x:f>
        <x:v>HYPERLINK is not implemented. linkLocation=https://365nails.com/products/365nails-hello-kitty-love-3d-character-handcrafted-sweet-short-square-nails, friendlyName=365nails: "Hello Kitty Love" – 3D Character Handcrafted Sweet Short Square Nails</x:v>
      </x:c>
      <x:c r="D4202" s="18" t="str">
        <x:v>Size: XS / S / M / L</x:v>
      </x:c>
      <x:c r="E4202" s="25" t="str">
        <x:v>$2.99</x:v>
      </x:c>
      <x:c r="F4202" s="19" t="str">
        <x:v>3</x:v>
      </x:c>
    </x:row>
    <x:row r="4203" ht="93" customHeight="1">
      <x:c r="A4203" s="19" t="n">
        <x:v>4200</x:v>
      </x:c>
      <x:c r="B4203" s="22" t="e">
        <x:f>HYPERLINK("https://cdn.shopify.com/s/files/1/0918/6066/4603/files/O1CN01m1N2pA27ZUlY99GJn__2220024697811-0-cib.jpg?v=1775105408","Open")</x:f>
        <x:v>HYPERLINK is not implemented. linkLocation=https://cdn.shopify.com/s/files/1/0918/6066/4603/files/O1CN01m1N2pA27ZUlY99GJn__2220024697811-0-cib.jpg?v=1775105408, friendlyName=Open</x:v>
      </x:c>
      <x:c r="C4203" s="24" t="e">
        <x:f>HYPERLINK("https://365nails.com/products/365nails-berry-sweet-3d-strawberry-floral-handmade-press-on-nails-almond-nails","365nails: ""Berry Sweet"" – 3D Strawberry &amp; Floral Handmade Press on Nails Almond Nails")</x:f>
        <x:v>HYPERLINK is not implemented. linkLocation=https://365nails.com/products/365nails-berry-sweet-3d-strawberry-floral-handmade-press-on-nails-almond-nails, friendlyName=365nails: "Berry Sweet" – 3D Strawberry &amp; Floral Handmade Press on Nails Almond Nails</x:v>
      </x:c>
      <x:c r="D4203" s="18" t="str">
        <x:v>Color: Almond; Color classification: Xs / S / M / L</x:v>
      </x:c>
      <x:c r="E4203" s="25" t="str">
        <x:v>$4.49</x:v>
      </x:c>
      <x:c r="F4203" s="19" t="str">
        <x:v>3</x:v>
      </x:c>
    </x:row>
    <x:row r="4204" ht="93" customHeight="1">
      <x:c r="A4204" s="19" t="n">
        <x:v>4201</x:v>
      </x:c>
      <x:c r="B4204" s="22" t="e">
        <x:f>HYPERLINK("https://cdn.shopify.com/s/files/1/0918/6066/4603/files/d9ad1e1a22ddd8903b664f559ec8f714_dd2b9522-d6b2-437d-9356-2d5822201db3.jpg?v=1773212164","Open")</x:f>
        <x:v>HYPERLINK is not implemented. linkLocation=https://cdn.shopify.com/s/files/1/0918/6066/4603/files/d9ad1e1a22ddd8903b664f559ec8f714_dd2b9522-d6b2-437d-9356-2d5822201db3.jpg?v=1773212164, friendlyName=Open</x:v>
      </x:c>
      <x:c r="C4204" s="24" t="e">
        <x:f>HYPERLINK("https://365nails.com/products/365nails-holographic-polka-dot-handmade-press-on-toenails-pedicure","365nails: ""holographic polka dot"" – handmade press-on toenails / pedicure")</x:f>
        <x:v>HYPERLINK is not implemented. linkLocation=https://365nails.com/products/365nails-holographic-polka-dot-handmade-press-on-toenails-pedicure, friendlyName=365nails: "holographic polka dot" – handmade press-on toenails / pedicure</x:v>
      </x:c>
      <x:c r="D4204" s="18" t="str">
        <x:v>Size: XS / S / M / L</x:v>
      </x:c>
      <x:c r="E4204" s="25" t="str">
        <x:v>$2.99</x:v>
      </x:c>
      <x:c r="F4204" s="19" t="str">
        <x:v>3</x:v>
      </x:c>
    </x:row>
    <x:row r="4205" ht="93" customHeight="1">
      <x:c r="A4205" s="19" t="n">
        <x:v>4202</x:v>
      </x:c>
      <x:c r="B4205" s="22" t="e">
        <x:f>HYPERLINK("https://cdn.shopify.com/s/files/1/0918/6066/4603/files/7df182cebcf661b2e652bae28c74d519.jpg?v=1776243684","Open")</x:f>
        <x:v>HYPERLINK is not implemented. linkLocation=https://cdn.shopify.com/s/files/1/0918/6066/4603/files/7df182cebcf661b2e652bae28c74d519.jpg?v=1776243684, friendlyName=Open</x:v>
      </x:c>
      <x:c r="C4205" s="24" t="e">
        <x:f>HYPERLINK("https://365nails.com/products/365nails-kuromis-starry-night-3d-character-handmade-short-nails","365nails: ""Kuromi's Starry Night"" – 3D Character Handmade Short Nails")</x:f>
        <x:v>HYPERLINK is not implemented. linkLocation=https://365nails.com/products/365nails-kuromis-starry-night-3d-character-handmade-short-nails, friendlyName=365nails: "Kuromi's Starry Night" – 3D Character Handmade Short Nails</x:v>
      </x:c>
      <x:c r="D4205" s="18" t="str">
        <x:v>Size: XS / S / M / L</x:v>
      </x:c>
      <x:c r="E4205" s="25" t="str">
        <x:v>$2.99</x:v>
      </x:c>
      <x:c r="F4205" s="19" t="str">
        <x:v>3</x:v>
      </x:c>
    </x:row>
    <x:row r="4206" ht="93" customHeight="1">
      <x:c r="A4206" s="19" t="n">
        <x:v>4203</x:v>
      </x:c>
      <x:c r="B4206" s="22" t="e">
        <x:f>HYPERLINK("https://cdn.shopify.com/s/files/1/0918/6066/4603/files/O1CN0151gCeI2MQzfF3OcGX__2219089449823-0-cib.jpg?v=1774257952","Open")</x:f>
        <x:v>HYPERLINK is not implemented. linkLocation=https://cdn.shopify.com/s/files/1/0918/6066/4603/files/O1CN0151gCeI2MQzfF3OcGX__2219089449823-0-cib.jpg?v=1774257952, friendlyName=Open</x:v>
      </x:c>
      <x:c r="C4206" s="24" t="e">
        <x:f>HYPERLINK("https://365nails.com/products/coastal-bloom-cobalt-blue-flower-square-shape-handmade-press-on-nails","Coastal Bloom: ""Cobalt Blue Flower"" – Square Shape Handmade Press-On Nails")</x:f>
        <x:v>HYPERLINK is not implemented. linkLocation=https://365nails.com/products/coastal-bloom-cobalt-blue-flower-square-shape-handmade-press-on-nails, friendlyName=Coastal Bloom: "Cobalt Blue Flower" – Square Shape Handmade Press-On Nails</x:v>
      </x:c>
      <x:c r="D4206" s="18" t="str">
        <x:v>Color: L290; Color classification: X s / S / M / L</x:v>
      </x:c>
      <x:c r="E4206" s="25" t="str">
        <x:v>$4.99</x:v>
      </x:c>
      <x:c r="F4206" s="19" t="str">
        <x:v>1</x:v>
      </x:c>
    </x:row>
    <x:row r="4207" ht="93" customHeight="1">
      <x:c r="A4207" s="19" t="n">
        <x:v>4204</x:v>
      </x:c>
      <x:c r="B4207" s="22" t="e">
        <x:f>HYPERLINK("https://cdn.shopify.com/s/files/1/0918/6066/4603/files/O1CN01D8NAQG2MQzfhtkgit__2219089449823-0-cib.jpg?v=1774258091","Open")</x:f>
        <x:v>HYPERLINK is not implemented. linkLocation=https://cdn.shopify.com/s/files/1/0918/6066/4603/files/O1CN01D8NAQG2MQzfhtkgit__2219089449823-0-cib.jpg?v=1774258091, friendlyName=Open</x:v>
      </x:c>
      <x:c r="C4207" s="24" t="e">
        <x:f>HYPERLINK("https://365nails.com/products/amber-bloom-gradient-orange-flower-almond-shape-handmade-press-on-nails","Amber Bloom: ""Gradient Orange Flower"" – Almond Shape Handmade Press-On Nails")</x:f>
        <x:v>HYPERLINK is not implemented. linkLocation=https://365nails.com/products/amber-bloom-gradient-orange-flower-almond-shape-handmade-press-on-nails, friendlyName=Amber Bloom: "Gradient Orange Flower" – Almond Shape Handmade Press-On Nails</x:v>
      </x:c>
      <x:c r="D4207" s="18" t="str">
        <x:v>Color: D614; Color classification: X s / S / M / L</x:v>
      </x:c>
      <x:c r="E4207" s="25" t="str">
        <x:v>$3.49</x:v>
      </x:c>
      <x:c r="F4207" s="19" t="str">
        <x:v>1</x:v>
      </x:c>
    </x:row>
    <x:row r="4208" ht="93" customHeight="1">
      <x:c r="A4208" s="19" t="n">
        <x:v>4205</x:v>
      </x:c>
      <x:c r="B4208" s="22" t="e">
        <x:f>HYPERLINK("https://cdn.shopify.com/s/files/1/0918/6066/4603/files/O1CN01XLLmPR1JOkhjEQcOF__933261019-0-cib.jpg?v=1772373404","Open")</x:f>
        <x:v>HYPERLINK is not implemented. linkLocation=https://cdn.shopify.com/s/files/1/0918/6066/4603/files/O1CN01XLLmPR1JOkhjEQcOF__933261019-0-cib.jpg?v=1772373404, friendlyName=Open</x:v>
      </x:c>
      <x:c r="C4208" s="24" t="e">
        <x:f>HYPERLINK("https://365nails.com/products/modern-fantasy-collection-butterfly-whisper-short-almond-press-on-nails","Modern Fantasy Collection: ""Butterfly Whisper"" – Short Almond Press-On Nails")</x:f>
        <x:v>HYPERLINK is not implemented. linkLocation=https://365nails.com/products/modern-fantasy-collection-butterfly-whisper-short-almond-press-on-nails, friendlyName=Modern Fantasy Collection: "Butterfly Whisper" – Short Almond Press-On Nails</x:v>
      </x:c>
      <x:c r="D4208" s="18" t="str">
        <x:v>Color: Zx95-0080-4d026</x:v>
      </x:c>
      <x:c r="E4208" s="25" t="str">
        <x:v>$1.46</x:v>
      </x:c>
      <x:c r="F4208" s="19" t="str">
        <x:v>3</x:v>
      </x:c>
    </x:row>
    <x:row r="4209" ht="93" customHeight="1">
      <x:c r="A4209" s="19" t="n">
        <x:v>4206</x:v>
      </x:c>
      <x:c r="B4209" s="22" t="e">
        <x:f>HYPERLINK("https://cdn.shopify.com/s/files/1/0918/6066/4603/files/O1CN01qru1Tu1CPwJ3tUOuW__2213196780074-0-cib_8e4a529a-1830-4ac6-871e-2bc734b9eff5.jpg?v=1776742762","Open")</x:f>
        <x:v>HYPERLINK is not implemented. linkLocation=https://cdn.shopify.com/s/files/1/0918/6066/4603/files/O1CN01qru1Tu1CPwJ3tUOuW__2213196780074-0-cib_8e4a529a-1830-4ac6-871e-2bc734b9eff5.jpg?v=1776742762, friendlyName=Open</x:v>
      </x:c>
      <x:c r="C4209" s="24" t="e">
        <x:f>HYPERLINK("https://365nails.com/products/365nails-spring-meadow-3d-floral-butterfly-handmade-coffin-nails","365nails: ""Spring Meadow"" – 3D Floral &amp; Butterfly Handmade Coffin Nails")</x:f>
        <x:v>HYPERLINK is not implemented. linkLocation=https://365nails.com/products/365nails-spring-meadow-3d-floral-butterfly-handmade-coffin-nails, friendlyName=365nails: "Spring Meadow" – 3D Floral &amp; Butterfly Handmade Coffin Nails</x:v>
      </x:c>
      <x:c r="D4209" s="18" t="str">
        <x:v>Color: 2094-duckbill armor; Color classification: Extra small size xs / Small s / Medium m / Large l</x:v>
      </x:c>
      <x:c r="E4209" s="25" t="str">
        <x:v>$3.99</x:v>
      </x:c>
      <x:c r="F4209" s="19" t="str">
        <x:v>1</x:v>
      </x:c>
    </x:row>
    <x:row r="4210" ht="93" customHeight="1">
      <x:c r="A4210" s="19" t="n">
        <x:v>4207</x:v>
      </x:c>
      <x:c r="B4210" s="22" t="e">
        <x:f>HYPERLINK("https://cdn.shopify.com/s/files/1/0918/6066/4603/files/O1CN01rl1EIr1CPwM0js7pA__2213196780074-0-cib.jpg?v=1776763825","Open")</x:f>
        <x:v>HYPERLINK is not implemented. linkLocation=https://cdn.shopify.com/s/files/1/0918/6066/4603/files/O1CN01rl1EIr1CPwM0js7pA__2213196780074-0-cib.jpg?v=1776763825, friendlyName=Open</x:v>
      </x:c>
      <x:c r="C4210" s="24" t="e">
        <x:f>HYPERLINK("https://365nails.com/products/365nails-lilac-dream-3d-floral-butterfly-handmade-stiletto-nails","365nails: ""Lilac Dream"" – 3D Floral Butterfly Handmade Stiletto Nails")</x:f>
        <x:v>HYPERLINK is not implemented. linkLocation=https://365nails.com/products/365nails-lilac-dream-3d-floral-butterfly-handmade-stiletto-nails, friendlyName=365nails: "Lilac Dream" – 3D Floral Butterfly Handmade Stiletto Nails</x:v>
      </x:c>
      <x:c r="D4210" s="18" t="str">
        <x:v>Color: 326-medium oval / 339-long water drop; Color classification: Xs / S / M / L</x:v>
      </x:c>
      <x:c r="E4210" s="25" t="str">
        <x:v>$3.99</x:v>
      </x:c>
      <x:c r="F4210" s="19" t="str">
        <x:v>1</x:v>
      </x:c>
    </x:row>
    <x:row r="4211" ht="93" customHeight="1">
      <x:c r="A4211" s="19" t="n">
        <x:v>4208</x:v>
      </x:c>
      <x:c r="B4211" s="22" t="e">
        <x:f>HYPERLINK("https://cdn.shopify.com/s/files/1/0918/6066/4603/files/O1CN01APfPEV1CPwNxm1tfm__2213196780074-0-cib.jpg?v=1776646097","Open")</x:f>
        <x:v>HYPERLINK is not implemented. linkLocation=https://cdn.shopify.com/s/files/1/0918/6066/4603/files/O1CN01APfPEV1CPwNxm1tfm__2213196780074-0-cib.jpg?v=1776646097, friendlyName=Open</x:v>
      </x:c>
      <x:c r="C4211" s="24" t="e">
        <x:f>HYPERLINK("https://365nails.com/products/365nails-mystic-butterfly-hand-painted-cat-eye-butterfly-handmade-long-stiletto-nails","365nails: ""Mystic Butterfly"" – Hand-Painted Cat Eye &amp; Butterfly Handmade Long Stiletto Nails")</x:f>
        <x:v>HYPERLINK is not implemented. linkLocation=https://365nails.com/products/365nails-mystic-butterfly-hand-painted-cat-eye-butterfly-handmade-long-stiletto-nails, friendlyName=365nails: "Mystic Butterfly" – Hand-Painted Cat Eye &amp; Butterfly Handmade Long Stiletto Nails</x:v>
      </x:c>
      <x:c r="D4211" s="18" t="str">
        <x:v>Color: 2935-new sino-sino / 2937-almond a / 2939-fine dog tip; Color classification: Xs / S / M / L</x:v>
      </x:c>
      <x:c r="E4211" s="25" t="str">
        <x:v>$2.99</x:v>
      </x:c>
      <x:c r="F4211" s="19" t="str">
        <x:v>1</x:v>
      </x:c>
    </x:row>
    <x:row r="4212" ht="93" customHeight="1">
      <x:c r="A4212" s="19" t="n">
        <x:v>4209</x:v>
      </x:c>
      <x:c r="B4212" s="22" t="e">
        <x:f>HYPERLINK("https://cdn.shopify.com/s/files/1/0918/6066/4603/files/5573bb8e07137fa461bff8f7b5dfd48e.jpg?v=1776170893","Open")</x:f>
        <x:v>HYPERLINK is not implemented. linkLocation=https://cdn.shopify.com/s/files/1/0918/6066/4603/files/5573bb8e07137fa461bff8f7b5dfd48e.jpg?v=1776170893, friendlyName=Open</x:v>
      </x:c>
      <x:c r="C4212" s="24" t="e">
        <x:f>HYPERLINK("https://365nails.com/products/365nails-gilded-heart-3d-heart-textured-handmade-short-square-nails","365nails: ""Gilded Heart"" – 3D Heart Textured Handmade Short Square Nails")</x:f>
        <x:v>HYPERLINK is not implemented. linkLocation=https://365nails.com/products/365nails-gilded-heart-3d-heart-textured-handmade-short-square-nails, friendlyName=365nails: "Gilded Heart" – 3D Heart Textured Handmade Short Square Nails</x:v>
      </x:c>
      <x:c r="D4212" s="18" t="str">
        <x:v>Size: XS / S / M / L</x:v>
      </x:c>
      <x:c r="E4212" s="25" t="str">
        <x:v>$1.99</x:v>
      </x:c>
      <x:c r="F4212" s="19" t="str">
        <x:v>3</x:v>
      </x:c>
    </x:row>
    <x:row r="4213" ht="93" customHeight="1">
      <x:c r="A4213" s="19" t="n">
        <x:v>4210</x:v>
      </x:c>
      <x:c r="B4213" s="22" t="e">
        <x:f>HYPERLINK("https://cdn.shopify.com/s/files/1/0918/6066/4603/files/1362ec6d13aa2bdce2793fc9b61198e9.jpg?v=1775910651","Open")</x:f>
        <x:v>HYPERLINK is not implemented. linkLocation=https://cdn.shopify.com/s/files/1/0918/6066/4603/files/1362ec6d13aa2bdce2793fc9b61198e9.jpg?v=1775910651, friendlyName=Open</x:v>
      </x:c>
      <x:c r="C4213" s="24" t="e">
        <x:f>HYPERLINK("https://365nails.com/products/365nails-spring-watercolor-3d-floral-handmade-square-nails","365nails: ""Spring Watercolor"" – 3D Floral Handmade Square Nails")</x:f>
        <x:v>HYPERLINK is not implemented. linkLocation=https://365nails.com/products/365nails-spring-watercolor-3d-floral-handmade-square-nails, friendlyName=365nails: "Spring Watercolor" – 3D Floral Handmade Square Nails</x:v>
      </x:c>
      <x:c r="D4213" s="18" t="str">
        <x:v>Size: XS / S / M / L</x:v>
      </x:c>
      <x:c r="E4213" s="25" t="str">
        <x:v>$3.99</x:v>
      </x:c>
      <x:c r="F4213" s="19" t="str">
        <x:v>5</x:v>
      </x:c>
    </x:row>
    <x:row r="4214" ht="93" customHeight="1">
      <x:c r="A4214" s="19" t="n">
        <x:v>4211</x:v>
      </x:c>
      <x:c r="B4214" s="22" t="e">
        <x:f>HYPERLINK("https://cdn.shopify.com/s/files/1/0918/6066/4603/files/O1CN01dNGoET2MQzcdw5KHP__2219089449823-0-cib.jpg?v=1774349098","Open")</x:f>
        <x:v>HYPERLINK is not implemented. linkLocation=https://cdn.shopify.com/s/files/1/0918/6066/4603/files/O1CN01dNGoET2MQzcdw5KHP__2219089449823-0-cib.jpg?v=1774349098, friendlyName=Open</x:v>
      </x:c>
      <x:c r="C4214" s="24" t="e">
        <x:f>HYPERLINK("https://365nails.com/products/365nails-oceanic-bow-shell-medium-almond-blue-white-marine-handmade-press-on-nails","365nails: ""Oceanic Bow &amp; Shell"" – Medium Almond Blue-White Marine Handmade Press-On Nails")</x:f>
        <x:v>HYPERLINK is not implemented. linkLocation=https://365nails.com/products/365nails-oceanic-bow-shell-medium-almond-blue-white-marine-handmade-press-on-nails, friendlyName=365nails: "Oceanic Bow &amp; Shell" – Medium Almond Blue-White Marine Handmade Press-On Nails</x:v>
      </x:c>
      <x:c r="D4214" s="18" t="str">
        <x:v>Color: D357; Color classification: X s / S / M / L</x:v>
      </x:c>
      <x:c r="E4214" s="25" t="str">
        <x:v>$3.99</x:v>
      </x:c>
      <x:c r="F4214" s="19" t="str">
        <x:v>1</x:v>
      </x:c>
    </x:row>
    <x:row r="4215" ht="93" customHeight="1">
      <x:c r="A4215" s="19" t="n">
        <x:v>4212</x:v>
      </x:c>
      <x:c r="B4215" s="22" t="e">
        <x:f>HYPERLINK("https://cdn.shopify.com/s/files/1/0918/6066/4603/files/b32dc1c6fef8478401e36912a044c955.jpg?v=1778318075","Open")</x:f>
        <x:v>HYPERLINK is not implemented. linkLocation=https://cdn.shopify.com/s/files/1/0918/6066/4603/files/b32dc1c6fef8478401e36912a044c955.jpg?v=1778318075, friendlyName=Open</x:v>
      </x:c>
      <x:c r="C4215" s="24" t="e">
        <x:f>HYPERLINK("https://365nails.com/products/365nails-angelic-whispers-3d-floral-jewel-handmade-almond-nails","365nails: ""Angelic Whispers"" – 3D Floral &amp; Jewel Handmade Almond Nails")</x:f>
        <x:v>HYPERLINK is not implemented. linkLocation=https://365nails.com/products/365nails-angelic-whispers-3d-floral-jewel-handmade-almond-nails, friendlyName=365nails: "Angelic Whispers" – 3D Floral &amp; Jewel Handmade Almond Nails</x:v>
      </x:c>
      <x:c r="D4215" s="18" t="str">
        <x:v>Size: XS / S / M / L</x:v>
      </x:c>
      <x:c r="E4215" s="25" t="str">
        <x:v>$3.99</x:v>
      </x:c>
      <x:c r="F4215" s="19" t="str">
        <x:v>5</x:v>
      </x:c>
    </x:row>
    <x:row r="4216" ht="93" customHeight="1">
      <x:c r="A4216" s="19" t="n">
        <x:v>4213</x:v>
      </x:c>
      <x:c r="B4216" s="22" t="e">
        <x:f>HYPERLINK("https://cdn.shopify.com/s/files/1/0918/6066/4603/files/O1CN01AYS62z2214t0SSvOt__2219480337059-0-cib_2473856e-ec3f-41d8-b480-e34fee033ba6.jpg?v=1773824563","Open")</x:f>
        <x:v>HYPERLINK is not implemented. linkLocation=https://cdn.shopify.com/s/files/1/0918/6066/4603/files/O1CN01AYS62z2214t0SSvOt__2219480337059-0-cib_2473856e-ec3f-41d8-b480-e34fee033ba6.jpg?v=1773824563, friendlyName=Open</x:v>
      </x:c>
      <x:c r="C4216" s="24" t="e">
        <x:f>HYPERLINK("https://365nails.com/products/365nails-ruby-red-cat-eye-heart-handmade-press-on-pedicure","365nails: ""ruby red cat-eye heart"" – handmade press-on pedicure")</x:f>
        <x:v>HYPERLINK is not implemented. linkLocation=https://365nails.com/products/365nails-ruby-red-cat-eye-heart-handmade-press-on-pedicure, friendlyName=365nails: "ruby red cat-eye heart" – handmade press-on pedicure</x:v>
      </x:c>
      <x:c r="D4216" s="18" t="str">
        <x:v>Color: Red heart cat eye; Color classification: Xs (about 2 years old) / S (3-4 years old) / M (5-7 years old) / L (8-11 years old)</x:v>
      </x:c>
      <x:c r="E4216" s="25" t="str">
        <x:v>$2.99</x:v>
      </x:c>
      <x:c r="F4216" s="19" t="str">
        <x:v>3</x:v>
      </x:c>
    </x:row>
    <x:row r="4217" ht="93" customHeight="1">
      <x:c r="A4217" s="19" t="n">
        <x:v>4214</x:v>
      </x:c>
      <x:c r="B4217" s="22" t="e">
        <x:f>HYPERLINK("https://cdn.shopify.com/s/files/1/0918/6066/4603/files/c0edb4abc46ec3c39caefe2b36e16f54.jpg?v=1775908627","Open")</x:f>
        <x:v>HYPERLINK is not implemented. linkLocation=https://cdn.shopify.com/s/files/1/0918/6066/4603/files/c0edb4abc46ec3c39caefe2b36e16f54.jpg?v=1775908627, friendlyName=Open</x:v>
      </x:c>
      <x:c r="C4217" s="24" t="e">
        <x:f>HYPERLINK("https://365nails.com/products/365nails-citrus-bloom-3d-floral-handmade-almond-nails-2","365nails: ""Citrus Bloom"" – 3D Floral Handmade Almond Nails")</x:f>
        <x:v>HYPERLINK is not implemented. linkLocation=https://365nails.com/products/365nails-citrus-bloom-3d-floral-handmade-almond-nails-2, friendlyName=365nails: "Citrus Bloom" – 3D Floral Handmade Almond Nails</x:v>
      </x:c>
      <x:c r="D4217" s="18" t="str">
        <x:v>Size: XS / S / M / L</x:v>
      </x:c>
      <x:c r="E4217" s="25" t="str">
        <x:v>$3.99</x:v>
      </x:c>
      <x:c r="F4217" s="19" t="str">
        <x:v>5</x:v>
      </x:c>
    </x:row>
    <x:row r="4218" ht="93" customHeight="1">
      <x:c r="A4218" s="19" t="n">
        <x:v>4215</x:v>
      </x:c>
      <x:c r="B4218" s="22" t="e">
        <x:f>HYPERLINK("https://cdn.shopify.com/s/files/1/0918/6066/4603/files/O1CN01PcLHaY27ZUlP75MIj__2220024697811-0-cib.jpg?v=1775109322","Open")</x:f>
        <x:v>HYPERLINK is not implemented. linkLocation=https://cdn.shopify.com/s/files/1/0918/6066/4603/files/O1CN01PcLHaY27ZUlP75MIj__2220024697811-0-cib.jpg?v=1775109322, friendlyName=Open</x:v>
      </x:c>
      <x:c r="C4218" s="24" t="e">
        <x:f>HYPERLINK("https://365nails.com/products/365nails-ethereal-garden-hand-painted-floral-handmade-medium-almond-nails","365nails: ""Ethereal Garden"" – Hand Painted Floral Handmade Medium Almond Nails")</x:f>
        <x:v>HYPERLINK is not implemented. linkLocation=https://365nails.com/products/365nails-ethereal-garden-hand-painted-floral-handmade-medium-almond-nails, friendlyName=365nails: "Ethereal Garden" – Hand Painted Floral Handmade Medium Almond Nails</x:v>
      </x:c>
      <x:c r="D4218" s="18" t="str">
        <x:v>Color: Almond; Color classification: Xs / S / M / L</x:v>
      </x:c>
      <x:c r="E4218" s="25" t="str">
        <x:v>$4.49</x:v>
      </x:c>
      <x:c r="F4218" s="19" t="str">
        <x:v>3</x:v>
      </x:c>
    </x:row>
    <x:row r="4219" ht="93" customHeight="1">
      <x:c r="A4219" s="19" t="n">
        <x:v>4216</x:v>
      </x:c>
      <x:c r="B4219" s="22" t="e">
        <x:f>HYPERLINK("https://cdn.shopify.com/s/files/1/0918/6066/4603/files/O1CN01L4nw9P1CPwN9EL36A__2213196780074-0-cib.jpg?v=1776329846","Open")</x:f>
        <x:v>HYPERLINK is not implemented. linkLocation=https://cdn.shopify.com/s/files/1/0918/6066/4603/files/O1CN01L4nw9P1CPwN9EL36A__2213196780074-0-cib.jpg?v=1776329846, friendlyName=Open</x:v>
      </x:c>
      <x:c r="C4219" s="24" t="e">
        <x:f>HYPERLINK("https://365nails.com/products/365nails-tropical-bliss-3d-frangipani-floral-handmade-long-almond-nails","365nails: ""Tropical Bliss"" – 3D Frangipani Floral Handmade Long Almond Nails")</x:f>
        <x:v>HYPERLINK is not implemented. linkLocation=https://365nails.com/products/365nails-tropical-bliss-3d-frangipani-floral-handmade-long-almond-nails, friendlyName=365nails: "Tropical Bliss" – 3D Frangipani Floral Handmade Long Almond Nails</x:v>
      </x:c>
      <x:c r="D4219" s="18" t="str">
        <x:v>Color: 2835-almond a; Color classification: Xs / S / M / L</x:v>
      </x:c>
      <x:c r="E4219" s="25" t="str">
        <x:v>$4.49</x:v>
      </x:c>
      <x:c r="F4219" s="19" t="str">
        <x:v>1</x:v>
      </x:c>
    </x:row>
    <x:row r="4220" ht="93" customHeight="1">
      <x:c r="A4220" s="19" t="n">
        <x:v>4217</x:v>
      </x:c>
      <x:c r="B4220" s="22" t="e">
        <x:f>HYPERLINK("https://cdn.shopify.com/s/files/1/0918/6066/4603/files/3f0a426d1f24e0841fbdfb3426a1043f.jpg?v=1775907188","Open")</x:f>
        <x:v>HYPERLINK is not implemented. linkLocation=https://cdn.shopify.com/s/files/1/0918/6066/4603/files/3f0a426d1f24e0841fbdfb3426a1043f.jpg?v=1775907188, friendlyName=Open</x:v>
      </x:c>
      <x:c r="C4220" s="24" t="e">
        <x:f>HYPERLINK("https://365nails.com/products/365nails-midnight-bloom-3d-floral-jewel-handmade-stiletto-nails","365nails: ""Midnight Bloom"" – 3D Floral &amp; Jewel Handmade Stiletto Nails")</x:f>
        <x:v>HYPERLINK is not implemented. linkLocation=https://365nails.com/products/365nails-midnight-bloom-3d-floral-jewel-handmade-stiletto-nails, friendlyName=365nails: "Midnight Bloom" – 3D Floral &amp; Jewel Handmade Stiletto Nails</x:v>
      </x:c>
      <x:c r="D4220" s="18" t="str">
        <x:v>Size: XS / S / M / L</x:v>
      </x:c>
      <x:c r="E4220" s="25" t="str">
        <x:v>$3.99</x:v>
      </x:c>
      <x:c r="F4220" s="19" t="str">
        <x:v>5</x:v>
      </x:c>
    </x:row>
    <x:row r="4221" ht="93" customHeight="1">
      <x:c r="A4221" s="19" t="n">
        <x:v>4218</x:v>
      </x:c>
      <x:c r="B4221" s="22" t="e">
        <x:f>HYPERLINK("https://cdn.shopify.com/s/files/1/0918/6066/4603/files/O1CN010ZDWJE2MQzeN3osb0__2219089449823-0-cib.jpg?v=1774178612","Open")</x:f>
        <x:v>HYPERLINK is not implemented. linkLocation=https://cdn.shopify.com/s/files/1/0918/6066/4603/files/O1CN010ZDWJE2MQzeN3osb0__2219089449823-0-cib.jpg?v=1774178612, friendlyName=Open</x:v>
      </x:c>
      <x:c r="C4221" s="24" t="e">
        <x:f>HYPERLINK("https://365nails.com/products/sweet-kitty-series-pink-starry-kitty-short-square-handmade-press-on-nails","Sweet Kitty Series: ""Pink Starry Kitty"" – Short Square Handmade Press-on Nails")</x:f>
        <x:v>HYPERLINK is not implemented. linkLocation=https://365nails.com/products/sweet-kitty-series-pink-starry-kitty-short-square-handmade-press-on-nails, friendlyName=Sweet Kitty Series: "Pink Starry Kitty" – Short Square Handmade Press-on Nails</x:v>
      </x:c>
      <x:c r="D4221" s="18" t="str">
        <x:v>Color: L248; Color classification: X s / S / M / L</x:v>
      </x:c>
      <x:c r="E4221" s="25" t="str">
        <x:v>$4.99</x:v>
      </x:c>
      <x:c r="F4221" s="19" t="str">
        <x:v>1</x:v>
      </x:c>
    </x:row>
    <x:row r="4222" ht="93" customHeight="1">
      <x:c r="A4222" s="19" t="n">
        <x:v>4219</x:v>
      </x:c>
      <x:c r="B4222" s="22" t="e">
        <x:f>HYPERLINK("https://cdn.shopify.com/s/files/1/0918/6066/4603/files/2ebbb82739e99e7e8d86cc059c7cdb67.jpg?v=1775907499","Open")</x:f>
        <x:v>HYPERLINK is not implemented. linkLocation=https://cdn.shopify.com/s/files/1/0918/6066/4603/files/2ebbb82739e99e7e8d86cc059c7cdb67.jpg?v=1775907499, friendlyName=Open</x:v>
      </x:c>
      <x:c r="C4222" s="24" t="e">
        <x:f>HYPERLINK("https://365nails.com/products/365nails-sunflower-kiss-3d-floral-glitter-handmade-almond-nails","365nails: ""Sunflower Kiss"" – 3D Floral &amp; Glitter Handmade Almond Nails")</x:f>
        <x:v>HYPERLINK is not implemented. linkLocation=https://365nails.com/products/365nails-sunflower-kiss-3d-floral-glitter-handmade-almond-nails, friendlyName=365nails: "Sunflower Kiss" – 3D Floral &amp; Glitter Handmade Almond Nails</x:v>
      </x:c>
      <x:c r="D4222" s="18" t="str">
        <x:v>Size: XS / S / M / L</x:v>
      </x:c>
      <x:c r="E4222" s="25" t="str">
        <x:v>$3.99</x:v>
      </x:c>
      <x:c r="F4222" s="19" t="str">
        <x:v>5</x:v>
      </x:c>
    </x:row>
    <x:row r="4223" ht="93" customHeight="1">
      <x:c r="A4223" s="19" t="n">
        <x:v>4220</x:v>
      </x:c>
      <x:c r="B4223" s="22" t="e">
        <x:f>HYPERLINK("https://cdn.shopify.com/s/files/1/0918/6066/4603/files/62ca3724cc1943a1c4d785d2830f6e16.jpg?v=1778317792","Open")</x:f>
        <x:v>HYPERLINK is not implemented. linkLocation=https://cdn.shopify.com/s/files/1/0918/6066/4603/files/62ca3724cc1943a1c4d785d2830f6e16.jpg?v=1778317792, friendlyName=Open</x:v>
      </x:c>
      <x:c r="C4223" s="24" t="e">
        <x:f>HYPERLINK("https://365nails.com/products/365nails-gilded-starlight-3d-metallic-abstract-line-handmade-almond-nails","365nails: ""Gilded Starlight"" – 3D Metallic &amp; Abstract Line Handmade Almond Nails")</x:f>
        <x:v>HYPERLINK is not implemented. linkLocation=https://365nails.com/products/365nails-gilded-starlight-3d-metallic-abstract-line-handmade-almond-nails, friendlyName=365nails: "Gilded Starlight" – 3D Metallic &amp; Abstract Line Handmade Almond Nails</x:v>
      </x:c>
      <x:c r="D4223" s="18" t="str">
        <x:v>Size: XS / S / M / L</x:v>
      </x:c>
      <x:c r="E4223" s="25" t="str">
        <x:v>$3.99</x:v>
      </x:c>
      <x:c r="F4223" s="19" t="str">
        <x:v>5</x:v>
      </x:c>
    </x:row>
    <x:row r="4224" ht="93" customHeight="1">
      <x:c r="A4224" s="19" t="n">
        <x:v>4221</x:v>
      </x:c>
      <x:c r="B4224" s="22" t="e">
        <x:f>HYPERLINK("https://cdn.shopify.com/s/files/1/0918/6066/4603/files/O1CN01wMDRaI1z7XeMRKbua__6000000006667-0-cib.jpg?v=1774348880","Open")</x:f>
        <x:v>HYPERLINK is not implemented. linkLocation=https://cdn.shopify.com/s/files/1/0918/6066/4603/files/O1CN01wMDRaI1z7XeMRKbua__6000000006667-0-cib.jpg?v=1774348880, friendlyName=Open</x:v>
      </x:c>
      <x:c r="C4224" s="24" t="e">
        <x:f>HYPERLINK("https://365nails.com/products/elegant-floral-scarlet-camellia-whisper-medium-almond-nude-red-gradient-handmade-press-on","Elegant Floral: ""Scarlet Camellia Whisper"" – Medium Almond Nude &amp; Red Gradient Handmade Press-On")</x:f>
        <x:v>HYPERLINK is not implemented. linkLocation=https://365nails.com/products/elegant-floral-scarlet-camellia-whisper-medium-almond-nude-red-gradient-handmade-press-on, friendlyName=Elegant Floral: "Scarlet Camellia Whisper" – Medium Almond Nude &amp; Red Gradient Handmade Press-On</x:v>
      </x:c>
      <x:c r="D4224" s="18" t="str">
        <x:v>Color: D431; Color classification: X s / S / M / L</x:v>
      </x:c>
      <x:c r="E4224" s="25" t="str">
        <x:v>$3.49</x:v>
      </x:c>
      <x:c r="F4224" s="19" t="str">
        <x:v>1</x:v>
      </x:c>
    </x:row>
    <x:row r="4225" ht="93" customHeight="1">
      <x:c r="A4225" s="19" t="n">
        <x:v>4222</x:v>
      </x:c>
      <x:c r="B4225" s="22" t="e">
        <x:f>HYPERLINK("https://cdn.shopify.com/s/files/1/0918/6066/4603/files/O1CN01YJg5rj27ZUlmY7EkX__2220024697811-0-cib.jpg?v=1775105463","Open")</x:f>
        <x:v>HYPERLINK is not implemented. linkLocation=https://cdn.shopify.com/s/files/1/0918/6066/4603/files/O1CN01YJg5rj27ZUlmY7EkX__2220024697811-0-cib.jpg?v=1775105463, friendlyName=Open</x:v>
      </x:c>
      <x:c r="C4225" s="24" t="e">
        <x:f>HYPERLINK("https://365nails.com/products/365nails-dark-romance-3d-pearl-rhinestone-handmade-press-on-nails-almond-nails","365nails: ""Dark Romance"" – 3D Pearl &amp; Rhinestone Handmade Press on Nails Almond Nails")</x:f>
        <x:v>HYPERLINK is not implemented. linkLocation=https://365nails.com/products/365nails-dark-romance-3d-pearl-rhinestone-handmade-press-on-nails-almond-nails, friendlyName=365nails: "Dark Romance" – 3D Pearl &amp; Rhinestone Handmade Press on Nails Almond Nails</x:v>
      </x:c>
      <x:c r="D4225" s="18" t="str">
        <x:v>Color: Short almond; Color classification: Xs / S / M / L</x:v>
      </x:c>
      <x:c r="E4225" s="25" t="str">
        <x:v>$4.49</x:v>
      </x:c>
      <x:c r="F4225" s="19" t="str">
        <x:v>3</x:v>
      </x:c>
    </x:row>
    <x:row r="4226" ht="93" customHeight="1">
      <x:c r="A4226" s="19" t="n">
        <x:v>4223</x:v>
      </x:c>
      <x:c r="B4226" s="22" t="e">
        <x:f>HYPERLINK("https://cdn.shopify.com/s/files/1/0918/6066/4603/files/2803e8c93b3430141daa30ab42258e1c.jpg?v=1778240964","Open")</x:f>
        <x:v>HYPERLINK is not implemented. linkLocation=https://cdn.shopify.com/s/files/1/0918/6066/4603/files/2803e8c93b3430141daa30ab42258e1c.jpg?v=1778240964, friendlyName=Open</x:v>
      </x:c>
      <x:c r="C4226" s="24" t="e">
        <x:f>HYPERLINK("https://365nails.com/products/365nails-lavender-dreams-3d-floral-quilted-handmade-long-stiletto-nails","365nails: ""Lavender Dreams"" – 3D Floral &amp; Quilted Handmade Long Stiletto Nails")</x:f>
        <x:v>HYPERLINK is not implemented. linkLocation=https://365nails.com/products/365nails-lavender-dreams-3d-floral-quilted-handmade-long-stiletto-nails, friendlyName=365nails: "Lavender Dreams" – 3D Floral &amp; Quilted Handmade Long Stiletto Nails</x:v>
      </x:c>
      <x:c r="D4226" s="18" t="str">
        <x:v>Size: XS / S / M / L</x:v>
      </x:c>
      <x:c r="E4226" s="25" t="str">
        <x:v>$4.99</x:v>
      </x:c>
      <x:c r="F4226" s="19" t="str">
        <x:v>5</x:v>
      </x:c>
    </x:row>
    <x:row r="4227" ht="93" customHeight="1">
      <x:c r="A4227" s="19" t="n">
        <x:v>4224</x:v>
      </x:c>
      <x:c r="B4227" s="22" t="e">
        <x:f>HYPERLINK("https://cdn.shopify.com/s/files/1/0918/6066/4603/files/O1CN01xpMiUL1CPwHSyAGXk__2213196780074-0-cib.jpg?v=1774603134","Open")</x:f>
        <x:v>HYPERLINK is not implemented. linkLocation=https://cdn.shopify.com/s/files/1/0918/6066/4603/files/O1CN01xpMiUL1CPwHSyAGXk__2213196780074-0-cib.jpg?v=1774603134, friendlyName=Open</x:v>
      </x:c>
      <x:c r="C4227" s="24" t="e">
        <x:f>HYPERLINK("https://365nails.com/products/365nails-champagne-dream-cat-eye-french-tip-3d-crystal-square-nails","365nails: ""Champagne Dream"" – Cat Eye French Tip &amp; 3D Crystal Square Nails")</x:f>
        <x:v>HYPERLINK is not implemented. linkLocation=https://365nails.com/products/365nails-champagne-dream-cat-eye-french-tip-3d-crystal-square-nails, friendlyName=365nails: "Champagne Dream" – Cat Eye French Tip &amp; 3D Crystal Square Nails</x:v>
      </x:c>
      <x:c r="D4227" s="18" t="str">
        <x:v>Color: 2033 middle ladder; Color classification: Extra small size xs / Small s / Medium m / Large l</x:v>
      </x:c>
      <x:c r="E4227" s="25" t="str">
        <x:v>$3.99</x:v>
      </x:c>
      <x:c r="F4227" s="19" t="str">
        <x:v>1</x:v>
      </x:c>
    </x:row>
    <x:row r="4228" ht="93" customHeight="1">
      <x:c r="A4228" s="19" t="n">
        <x:v>4225</x:v>
      </x:c>
      <x:c r="B4228" s="22" t="e">
        <x:f>HYPERLINK("https://cdn.shopify.com/s/files/1/0918/6066/4603/files/O1CN01Mm1zST1CPwRBWyFTi__2213196780074-0-cib.jpg?v=1776937520","Open")</x:f>
        <x:v>HYPERLINK is not implemented. linkLocation=https://cdn.shopify.com/s/files/1/0918/6066/4603/files/O1CN01Mm1zST1CPwRBWyFTi__2213196780074-0-cib.jpg?v=1776937520, friendlyName=Open</x:v>
      </x:c>
      <x:c r="C4228" s="24" t="e">
        <x:f>HYPERLINK("https://365nails.com/products/365nails-ladybug-garden-3d-ladybug-floral-handmade-short-almond-nails","365nails: ""Ladybug Garden"" – 3D Ladybug &amp; Floral Handmade Short Almond Nails")</x:f>
        <x:v>HYPERLINK is not implemented. linkLocation=https://365nails.com/products/365nails-ladybug-garden-3d-ladybug-floral-handmade-short-almond-nails, friendlyName=365nails: "Ladybug Garden" – 3D Ladybug &amp; Floral Handmade Short Almond Nails</x:v>
      </x:c>
      <x:c r="D4228" s="18" t="str">
        <x:v>Color: 749-short almond / 797-short duckbill; Color classification: Extra small size xs / Small s / Medium m / Large l</x:v>
      </x:c>
      <x:c r="E4228" s="25" t="str">
        <x:v>$4.99</x:v>
      </x:c>
      <x:c r="F4228" s="19" t="str">
        <x:v>1</x:v>
      </x:c>
    </x:row>
    <x:row r="4229" ht="93" customHeight="1">
      <x:c r="A4229" s="19" t="n">
        <x:v>4226</x:v>
      </x:c>
      <x:c r="B4229" s="22" t="e">
        <x:f>HYPERLINK("https://cdn.shopify.com/s/files/1/0918/6066/4603/files/5c1ee543a4422da99bdafc4f7fa58eae.jpg?v=1755227926","Open")</x:f>
        <x:v>HYPERLINK is not implemented. linkLocation=https://cdn.shopify.com/s/files/1/0918/6066/4603/files/5c1ee543a4422da99bdafc4f7fa58eae.jpg?v=1755227926, friendlyName=Open</x:v>
      </x:c>
      <x:c r="C4229" s="24" t="e">
        <x:f>HYPERLINK("https://365nails.com/products/nail-tips-amazon-popular-transparent-square-nail-piece-240-pieces-boxed-short-half-sticker-fake-nail-manicure-press-on-nails-piece","Nail Tips Amazon popular transparent square nail piece 240 pieces boxed short half sticker fake nail manicure press on nails piece (MOQ=3)")</x:f>
        <x:v>HYPERLINK is not implemented. linkLocation=https://365nails.com/products/nail-tips-amazon-popular-transparent-square-nail-piece-240-pieces-boxed-short-half-sticker-fake-nail-manicure-press-on-nails-piece, friendlyName=Nail Tips Amazon popular transparent square nail piece 240 pieces boxed short half sticker fake nail manicure press on nails piece (MOQ=3)</x:v>
      </x:c>
      <x:c r="D4229" s="18" t="str">
        <x:v>Color: Transparent - Semi-sticker - Square head nail piece - 240 pieces in a box / YS-38 seamless half sand * 100 pieces boxed; Quantity: 3pcs</x:v>
      </x:c>
      <x:c r="E4229" s="25" t="str">
        <x:v>$1.92–$3.00</x:v>
      </x:c>
      <x:c r="F4229" s="19" t="str">
        <x:v>1</x:v>
      </x:c>
    </x:row>
    <x:row r="4230" ht="93" customHeight="1">
      <x:c r="A4230" s="19" t="n">
        <x:v>4227</x:v>
      </x:c>
      <x:c r="B4230" s="22" t="e">
        <x:f>HYPERLINK("https://cdn.shopify.com/s/files/1/0918/6066/4603/files/O1CN01ZqxcOM1CPwMg2SZv9__2213196780074-0-cib_2fb37d42-e6bd-40b2-9281-934e2efe8d8b.jpg?v=1776602994","Open")</x:f>
        <x:v>HYPERLINK is not implemented. linkLocation=https://cdn.shopify.com/s/files/1/0918/6066/4603/files/O1CN01ZqxcOM1CPwMg2SZv9__2213196780074-0-cib_2fb37d42-e6bd-40b2-9281-934e2efe8d8b.jpg?v=1776602994, friendlyName=Open</x:v>
      </x:c>
      <x:c r="C4230" s="24" t="e">
        <x:f>HYPERLINK("https://365nails.com/products/365nails-neon-abyss-3d-cross-airbrush-handmade-stiletto-nails","365nails: ""Neon Abyss"" – 3D Cross &amp; Airbrush Handmade Stiletto Nails")</x:f>
        <x:v>HYPERLINK is not implemented. linkLocation=https://365nails.com/products/365nails-neon-abyss-3d-cross-airbrush-handmade-stiletto-nails, friendlyName=365nails: "Neon Abyss" – 3D Cross &amp; Airbrush Handmade Stiletto Nails</x:v>
      </x:c>
      <x:c r="D4230" s="18" t="str">
        <x:v>Color: 349-long water drop; Color classification: Xs / S / M / L</x:v>
      </x:c>
      <x:c r="E4230" s="25" t="str">
        <x:v>$6.49</x:v>
      </x:c>
      <x:c r="F4230" s="19" t="str">
        <x:v>1</x:v>
      </x:c>
    </x:row>
    <x:row r="4231" ht="93" customHeight="1">
      <x:c r="A4231" s="19" t="n">
        <x:v>4228</x:v>
      </x:c>
      <x:c r="B4231" s="22" t="e">
        <x:f>HYPERLINK("https://cdn.shopify.com/s/files/1/0918/6066/4603/files/41ee3e210d3c2e09192f9a1a9d00ee9e.jpg?v=1776321914","Open")</x:f>
        <x:v>HYPERLINK is not implemented. linkLocation=https://cdn.shopify.com/s/files/1/0918/6066/4603/files/41ee3e210d3c2e09192f9a1a9d00ee9e.jpg?v=1776321914, friendlyName=Open</x:v>
      </x:c>
      <x:c r="C4231" s="24" t="e">
        <x:f>HYPERLINK("https://365nails.com/products/365nails-cocoa-pals-3d-cartoon-bear-short-square-nails","365nails: ""Cocoa Pals"" – 3D Cartoon Bear Short Square Nails")</x:f>
        <x:v>HYPERLINK is not implemented. linkLocation=https://365nails.com/products/365nails-cocoa-pals-3d-cartoon-bear-short-square-nails, friendlyName=365nails: "Cocoa Pals" – 3D Cartoon Bear Short Square Nails</x:v>
      </x:c>
      <x:c r="D4231" s="18" t="str">
        <x:v>Size: XS / S / M / L</x:v>
      </x:c>
      <x:c r="E4231" s="25" t="str">
        <x:v>$3.99</x:v>
      </x:c>
      <x:c r="F4231" s="19" t="str">
        <x:v>5</x:v>
      </x:c>
    </x:row>
    <x:row r="4232" ht="93" customHeight="1">
      <x:c r="A4232" s="19" t="n">
        <x:v>4229</x:v>
      </x:c>
      <x:c r="B4232" s="22" t="e">
        <x:f>HYPERLINK("https://cdn.shopify.com/s/files/1/0918/6066/4603/files/d97d8f6e673043f6dd64e883e582a0a9.jpg?v=1776246537","Open")</x:f>
        <x:v>HYPERLINK is not implemented. linkLocation=https://cdn.shopify.com/s/files/1/0918/6066/4603/files/d97d8f6e673043f6dd64e883e582a0a9.jpg?v=1776246537, friendlyName=Open</x:v>
      </x:c>
      <x:c r="C4232" s="24" t="e">
        <x:f>HYPERLINK("https://365nails.com/products/365nails-sweet-bears-candyland-3d-character-handmade-short-nails","365nails: ""Sweet Bear's Candyland"" – 3D Character Handmade Short Nails")</x:f>
        <x:v>HYPERLINK is not implemented. linkLocation=https://365nails.com/products/365nails-sweet-bears-candyland-3d-character-handmade-short-nails, friendlyName=365nails: "Sweet Bear's Candyland" – 3D Character Handmade Short Nails</x:v>
      </x:c>
      <x:c r="D4232" s="18" t="str">
        <x:v>Size: XS / S / M / L</x:v>
      </x:c>
      <x:c r="E4232" s="25" t="str">
        <x:v>$2.49</x:v>
      </x:c>
      <x:c r="F4232" s="19" t="str">
        <x:v>3</x:v>
      </x:c>
    </x:row>
    <x:row r="4233" ht="93" customHeight="1">
      <x:c r="A4233" s="19" t="n">
        <x:v>4230</x:v>
      </x:c>
      <x:c r="B4233" s="22" t="e">
        <x:f>HYPERLINK("https://cdn.shopify.com/s/files/1/0918/6066/4603/files/3e555ca79cc6b52e60bf2c91610b69ac.jpg?v=1773306500","Open")</x:f>
        <x:v>HYPERLINK is not implemented. linkLocation=https://cdn.shopify.com/s/files/1/0918/6066/4603/files/3e555ca79cc6b52e60bf2c91610b69ac.jpg?v=1773306500, friendlyName=Open</x:v>
      </x:c>
      <x:c r="C4233" s="24" t="e">
        <x:f>HYPERLINK("https://365nails.com/products/365nails-retro-velvet-bow-handmade-press-on-toenails-pedicure","365nails: ""retro velvet bow"" – handmade press-on toenails / pedicure")</x:f>
        <x:v>HYPERLINK is not implemented. linkLocation=https://365nails.com/products/365nails-retro-velvet-bow-handmade-press-on-toenails-pedicure, friendlyName=365nails: "retro velvet bow" – handmade press-on toenails / pedicure</x:v>
      </x:c>
      <x:c r="D4233" s="18" t="str">
        <x:v>Size: XS / S / M / L</x:v>
      </x:c>
      <x:c r="E4233" s="25" t="str">
        <x:v>$2.99</x:v>
      </x:c>
      <x:c r="F4233" s="19" t="str">
        <x:v>3</x:v>
      </x:c>
    </x:row>
    <x:row r="4234" ht="93" customHeight="1">
      <x:c r="A4234" s="19" t="n">
        <x:v>4231</x:v>
      </x:c>
      <x:c r="B4234" s="22" t="e">
        <x:f>HYPERLINK("https://cdn.shopify.com/s/files/1/0918/6066/4603/files/O1CN01kJcLQ81CPwJzzvWp8__2213196780074-0-cib_f08ad207-12e4-4248-a7b7-d3683788dce5.jpg?v=1776770332","Open")</x:f>
        <x:v>HYPERLINK is not implemented. linkLocation=https://cdn.shopify.com/s/files/1/0918/6066/4603/files/O1CN01kJcLQ81CPwJzzvWp8__2213196780074-0-cib_f08ad207-12e4-4248-a7b7-d3683788dce5.jpg?v=1776770332, friendlyName=Open</x:v>
      </x:c>
      <x:c r="C4234" s="24" t="e">
        <x:f>HYPERLINK("https://365nails.com/products/365nails-obsidian-flame-3d-metallic-handmade-stiletto-nails","365nails: ""Obsidian Flame"" – 3D Metallic Handmade Stiletto Nails")</x:f>
        <x:v>HYPERLINK is not implemented. linkLocation=https://365nails.com/products/365nails-obsidian-flame-3d-metallic-handmade-stiletto-nails, friendlyName=365nails: "Obsidian Flame" – 3D Metallic Handmade Stiletto Nails</x:v>
      </x:c>
      <x:c r="D4234" s="18" t="str">
        <x:v>Color: Extra small size xs / Small s / Medium m / Large l; Specification type: 2567 long tip</x:v>
      </x:c>
      <x:c r="E4234" s="25" t="str">
        <x:v>$3.99</x:v>
      </x:c>
      <x:c r="F4234" s="19" t="str">
        <x:v>1</x:v>
      </x:c>
    </x:row>
    <x:row r="4235" ht="93" customHeight="1">
      <x:c r="A4235" s="19" t="n">
        <x:v>4232</x:v>
      </x:c>
      <x:c r="B4235" s="22" t="e">
        <x:f>HYPERLINK("https://cdn.shopify.com/s/files/1/0918/6066/4603/files/O1CN01VqIENA1CPwPkmZSSh__2213196780074-0-cib.jpg?v=1777117956","Open")</x:f>
        <x:v>HYPERLINK is not implemented. linkLocation=https://cdn.shopify.com/s/files/1/0918/6066/4603/files/O1CN01VqIENA1CPwPkmZSSh__2213196780074-0-cib.jpg?v=1777117956, friendlyName=Open</x:v>
      </x:c>
      <x:c r="C4235" s="24" t="e">
        <x:f>HYPERLINK("https://365nails.com/products/365nails-summer-fruit-salad-3d-fruit-floral-handmade-almond-nails","365nails: ""Summer Fruit Salad"" – 3D Fruit &amp; Floral Handmade Almond Nails")</x:f>
        <x:v>HYPERLINK is not implemented. linkLocation=https://365nails.com/products/365nails-summer-fruit-salad-3d-fruit-floral-handmade-almond-nails, friendlyName=365nails: "Summer Fruit Salad" – 3D Fruit &amp; Floral Handmade Almond Nails</x:v>
      </x:c>
      <x:c r="D4235" s="18" t="str">
        <x:v>Color: 103 - medium almonds; Color classification: Extra small size xs / Small s / Medium m / Large l</x:v>
      </x:c>
      <x:c r="E4235" s="25" t="str">
        <x:v>$3.99</x:v>
      </x:c>
      <x:c r="F4235" s="19" t="str">
        <x:v>1</x:v>
      </x:c>
    </x:row>
    <x:row r="4236" ht="93" customHeight="1">
      <x:c r="A4236" s="19" t="n">
        <x:v>4233</x:v>
      </x:c>
      <x:c r="B4236" s="22" t="e">
        <x:f>HYPERLINK("https://cdn.shopify.com/s/files/1/0918/6066/4603/files/a26df736a0014008877e04556300d03a.jpg?v=1778242647","Open")</x:f>
        <x:v>HYPERLINK is not implemented. linkLocation=https://cdn.shopify.com/s/files/1/0918/6066/4603/files/a26df736a0014008877e04556300d03a.jpg?v=1778242647, friendlyName=Open</x:v>
      </x:c>
      <x:c r="C4236" s="24" t="e">
        <x:f>HYPERLINK("https://365nails.com/products/365nails-garden-party-3d-floral-butterfly-handmade-long-stiletto-nails","365nails: ""Garden Party"" – 3D Floral &amp; Butterfly Handmade Long Stiletto Nails")</x:f>
        <x:v>HYPERLINK is not implemented. linkLocation=https://365nails.com/products/365nails-garden-party-3d-floral-butterfly-handmade-long-stiletto-nails, friendlyName=365nails: "Garden Party" – 3D Floral &amp; Butterfly Handmade Long Stiletto Nails</x:v>
      </x:c>
      <x:c r="D4236" s="18" t="str">
        <x:v>Size: XS / S / M / L</x:v>
      </x:c>
      <x:c r="E4236" s="25" t="str">
        <x:v>$4.99</x:v>
      </x:c>
      <x:c r="F4236" s="19" t="str">
        <x:v>5</x:v>
      </x:c>
    </x:row>
    <x:row r="4237" ht="93" customHeight="1">
      <x:c r="A4237" s="19" t="n">
        <x:v>4234</x:v>
      </x:c>
      <x:c r="B4237" s="22" t="e">
        <x:f>HYPERLINK("https://cdn.shopify.com/s/files/1/0918/6066/4603/files/O1CN01xg8fUJ1l6iJyhMKc9__6000000004770-0-cib.jpg?v=1775108494","Open")</x:f>
        <x:v>HYPERLINK is not implemented. linkLocation=https://cdn.shopify.com/s/files/1/0918/6066/4603/files/O1CN01xg8fUJ1l6iJyhMKc9__6000000004770-0-cib.jpg?v=1775108494, friendlyName=Open</x:v>
      </x:c>
      <x:c r="C4237" s="24" t="e">
        <x:f>HYPERLINK("https://365nails.com/products/365nails-bohemian-rhapsody-3d-floral-handmade-long-stiletto-nails","365nails: ""Bohemian Rhapsody"" – 3D Floral Handmade Long Stiletto Nails")</x:f>
        <x:v>HYPERLINK is not implemented. linkLocation=https://365nails.com/products/365nails-bohemian-rhapsody-3d-floral-handmade-long-stiletto-nails, friendlyName=365nails: "Bohemian Rhapsody" – 3D Floral Handmade Long Stiletto Nails</x:v>
      </x:c>
      <x:c r="D4237" s="18" t="str">
        <x:v>Color: Long tip; Color classification: Xs / S / M / L</x:v>
      </x:c>
      <x:c r="E4237" s="25" t="str">
        <x:v>$5.99</x:v>
      </x:c>
      <x:c r="F4237" s="19" t="str">
        <x:v>3</x:v>
      </x:c>
    </x:row>
    <x:row r="4238" ht="93" customHeight="1">
      <x:c r="A4238" s="19" t="n">
        <x:v>4235</x:v>
      </x:c>
      <x:c r="B4238" s="22" t="e">
        <x:f>HYPERLINK("https://cdn.shopify.com/s/files/1/0918/6066/4603/files/27170cc698c8ad81cb3136602f6cf5f1.jpg?v=1776153069","Open")</x:f>
        <x:v>HYPERLINK is not implemented. linkLocation=https://cdn.shopify.com/s/files/1/0918/6066/4603/files/27170cc698c8ad81cb3136602f6cf5f1.jpg?v=1776153069, friendlyName=Open</x:v>
      </x:c>
      <x:c r="C4238" s="24" t="e">
        <x:f>HYPERLINK("https://365nails.com/products/365nails-blush-rose-petals-3d-floral-bow-handmade-short-square-nails","365nails: ""Blush Rose Petals"" – 3D Floral Bow Handmade Short Square Nails")</x:f>
        <x:v>HYPERLINK is not implemented. linkLocation=https://365nails.com/products/365nails-blush-rose-petals-3d-floral-bow-handmade-short-square-nails, friendlyName=365nails: "Blush Rose Petals" – 3D Floral Bow Handmade Short Square Nails</x:v>
      </x:c>
      <x:c r="D4238" s="18" t="str">
        <x:v>Size: XS / S / M / L</x:v>
      </x:c>
      <x:c r="E4238" s="25" t="str">
        <x:v>$1.99</x:v>
      </x:c>
      <x:c r="F4238" s="19" t="str">
        <x:v>3</x:v>
      </x:c>
    </x:row>
    <x:row r="4239" ht="93" customHeight="1">
      <x:c r="A4239" s="19" t="n">
        <x:v>4236</x:v>
      </x:c>
      <x:c r="B4239" s="22" t="e">
        <x:f>HYPERLINK("https://cdn.shopify.com/s/files/1/0918/6066/4603/files/3a9e2c75914672617a62899c4281b1ea.jpg?v=1775905883","Open")</x:f>
        <x:v>HYPERLINK is not implemented. linkLocation=https://cdn.shopify.com/s/files/1/0918/6066/4603/files/3a9e2c75914672617a62899c4281b1ea.jpg?v=1775905883, friendlyName=Open</x:v>
      </x:c>
      <x:c r="C4239" s="24" t="e">
        <x:f>HYPERLINK("https://365nails.com/products/365nails-midnight-bloom-3d-floral-marble-handmade-stiletto-nails","365nails: ""Midnight Bloom"" – 3D Floral &amp; Marble Handmade Stiletto Nails")</x:f>
        <x:v>HYPERLINK is not implemented. linkLocation=https://365nails.com/products/365nails-midnight-bloom-3d-floral-marble-handmade-stiletto-nails, friendlyName=365nails: "Midnight Bloom" – 3D Floral &amp; Marble Handmade Stiletto Nails</x:v>
      </x:c>
      <x:c r="D4239" s="18" t="str">
        <x:v>Size: XS / S / M / L</x:v>
      </x:c>
      <x:c r="E4239" s="25" t="str">
        <x:v>$3.99</x:v>
      </x:c>
      <x:c r="F4239" s="19" t="str">
        <x:v>5</x:v>
      </x:c>
    </x:row>
    <x:row r="4240" ht="93" customHeight="1">
      <x:c r="A4240" s="19" t="n">
        <x:v>4237</x:v>
      </x:c>
      <x:c r="B4240" s="22" t="e">
        <x:f>HYPERLINK("https://cdn.shopify.com/s/files/1/0918/6066/4603/files/8b7f6c5f53f7035f5cd820099d441092.jpg?v=1778317629","Open")</x:f>
        <x:v>HYPERLINK is not implemented. linkLocation=https://cdn.shopify.com/s/files/1/0918/6066/4603/files/8b7f6c5f53f7035f5cd820099d441092.jpg?v=1778317629, friendlyName=Open</x:v>
      </x:c>
      <x:c r="C4240" s="24" t="e">
        <x:f>HYPERLINK("https://365nails.com/products/365nails-summer-splash-3d-floral-checkered-handmade-square-nails","365nails: ""Summer Splash"" – 3D Floral &amp; Checkered Handmade Square Nails")</x:f>
        <x:v>HYPERLINK is not implemented. linkLocation=https://365nails.com/products/365nails-summer-splash-3d-floral-checkered-handmade-square-nails, friendlyName=365nails: "Summer Splash" – 3D Floral &amp; Checkered Handmade Square Nails</x:v>
      </x:c>
      <x:c r="D4240" s="18" t="str">
        <x:v>Size: XS / S / M / L</x:v>
      </x:c>
      <x:c r="E4240" s="25" t="str">
        <x:v>$3.99</x:v>
      </x:c>
      <x:c r="F4240" s="19" t="str">
        <x:v>5</x:v>
      </x:c>
    </x:row>
    <x:row r="4241" ht="93" customHeight="1">
      <x:c r="A4241" s="19" t="n">
        <x:v>4238</x:v>
      </x:c>
      <x:c r="B4241" s="22" t="e">
        <x:f>HYPERLINK("https://cdn.shopify.com/s/files/1/0918/6066/4603/files/a959ec7abd35b4336b001474e6f0611a.jpg?v=1773306381","Open")</x:f>
        <x:v>HYPERLINK is not implemented. linkLocation=https://cdn.shopify.com/s/files/1/0918/6066/4603/files/a959ec7abd35b4336b001474e6f0611a.jpg?v=1773306381, friendlyName=Open</x:v>
      </x:c>
      <x:c r="C4241" s="24" t="e">
        <x:f>HYPERLINK("https://365nails.com/products/365nails-nude-pink-glitter-ombre-handmade-press-on-toenails-pedicure","365nails: ""nude pink glitter ombre"" – handmade press-on toenails / pedicure")</x:f>
        <x:v>HYPERLINK is not implemented. linkLocation=https://365nails.com/products/365nails-nude-pink-glitter-ombre-handmade-press-on-toenails-pedicure, friendlyName=365nails: "nude pink glitter ombre" – handmade press-on toenails / pedicure</x:v>
      </x:c>
      <x:c r="D4241" s="18" t="str">
        <x:v>Size: XS / S / M / L</x:v>
      </x:c>
      <x:c r="E4241" s="25" t="str">
        <x:v>$2.99</x:v>
      </x:c>
      <x:c r="F4241" s="19" t="str">
        <x:v>3</x:v>
      </x:c>
    </x:row>
    <x:row r="4242" ht="93" customHeight="1">
      <x:c r="A4242" s="19" t="n">
        <x:v>4239</x:v>
      </x:c>
      <x:c r="B4242" s="22" t="e">
        <x:f>HYPERLINK("https://cdn.shopify.com/s/files/1/0918/6066/4603/files/O1CN01EJdArs2MQzeK6HxFg__2219089449823-0-cib.jpg?v=1774178617","Open")</x:f>
        <x:v>HYPERLINK is not implemented. linkLocation=https://cdn.shopify.com/s/files/1/0918/6066/4603/files/O1CN01EJdArs2MQzeK6HxFg__2219089449823-0-cib.jpg?v=1774178617, friendlyName=Open</x:v>
      </x:c>
      <x:c r="C4242" s="24" t="e">
        <x:f>HYPERLINK("https://365nails.com/products/floral-whisper-series-mint-blossom-almond-handmade-press-on-nails","Floral Whisper Series: ""Mint Blossom"" – Almond Handmade Press-on Nails")</x:f>
        <x:v>HYPERLINK is not implemented. linkLocation=https://365nails.com/products/floral-whisper-series-mint-blossom-almond-handmade-press-on-nails, friendlyName=Floral Whisper Series: "Mint Blossom" – Almond Handmade Press-on Nails</x:v>
      </x:c>
      <x:c r="D4242" s="18" t="str">
        <x:v>Color: D554; Color classification: X s / S / M / L</x:v>
      </x:c>
      <x:c r="E4242" s="25" t="str">
        <x:v>$3.49</x:v>
      </x:c>
      <x:c r="F4242" s="19" t="str">
        <x:v>1</x:v>
      </x:c>
    </x:row>
    <x:row r="4243" ht="93" customHeight="1">
      <x:c r="A4243" s="19" t="n">
        <x:v>4240</x:v>
      </x:c>
      <x:c r="B4243" s="22" t="e">
        <x:f>HYPERLINK("https://cdn.shopify.com/s/files/1/0918/6066/4603/files/O1CN014bIcAH1CPwOtyLZed__2213196780074-0-cib.jpg?v=1777116556","Open")</x:f>
        <x:v>HYPERLINK is not implemented. linkLocation=https://cdn.shopify.com/s/files/1/0918/6066/4603/files/O1CN014bIcAH1CPwOtyLZed__2213196780074-0-cib.jpg?v=1777116556, friendlyName=Open</x:v>
      </x:c>
      <x:c r="C4243" s="24" t="e">
        <x:f>HYPERLINK("https://365nails.com/products/365nails-pudding-pup-3d-cartoon-cat-eye-handmade-short-square-nails","365nails: ""Pudding Pup"" – 3D Cartoon Cat Eye Handmade Short Square Nails")</x:f>
        <x:v>HYPERLINK is not implemented. linkLocation=https://365nails.com/products/365nails-pudding-pup-3d-cartoon-cat-eye-handmade-short-square-nails, friendlyName=365nails: "Pudding Pup" – 3D Cartoon Cat Eye Handmade Short Square Nails</x:v>
      </x:c>
      <x:c r="D4243" s="18" t="str">
        <x:v>Color: 3208-short round; Color classification: Xs / S / M / L</x:v>
      </x:c>
      <x:c r="E4243" s="25" t="str">
        <x:v>$3.49</x:v>
      </x:c>
      <x:c r="F4243" s="19" t="str">
        <x:v>1</x:v>
      </x:c>
    </x:row>
    <x:row r="4244" ht="93" customHeight="1">
      <x:c r="A4244" s="19" t="n">
        <x:v>4241</x:v>
      </x:c>
      <x:c r="B4244" s="22" t="e">
        <x:f>HYPERLINK("https://cdn.shopify.com/s/files/1/0918/6066/4603/files/bbb7af8a457b6c9f740ce7fdca6e49d7.jpg?v=1778318102","Open")</x:f>
        <x:v>HYPERLINK is not implemented. linkLocation=https://cdn.shopify.com/s/files/1/0918/6066/4603/files/bbb7af8a457b6c9f740ce7fdca6e49d7.jpg?v=1778318102, friendlyName=Open</x:v>
      </x:c>
      <x:c r="C4244" s="24" t="e">
        <x:f>HYPERLINK("https://365nails.com/products/365nails-tropical-blush-3d-floral-heart-handmade-coffin-nails","365nails: ""Tropical Blush"" – 3D Floral &amp; Heart Handmade Coffin Nails")</x:f>
        <x:v>HYPERLINK is not implemented. linkLocation=https://365nails.com/products/365nails-tropical-blush-3d-floral-heart-handmade-coffin-nails, friendlyName=365nails: "Tropical Blush" – 3D Floral &amp; Heart Handmade Coffin Nails</x:v>
      </x:c>
      <x:c r="D4244" s="18" t="str">
        <x:v>Size: XS / S / M / L</x:v>
      </x:c>
      <x:c r="E4244" s="25" t="str">
        <x:v>$3.99</x:v>
      </x:c>
      <x:c r="F4244" s="19" t="str">
        <x:v>5</x:v>
      </x:c>
    </x:row>
    <x:row r="4245" ht="93" customHeight="1">
      <x:c r="A4245" s="19" t="n">
        <x:v>4242</x:v>
      </x:c>
      <x:c r="B4245" s="22" t="e">
        <x:f>HYPERLINK("https://cdn.shopify.com/s/files/1/0918/6066/4603/files/93a37655faec9758d3f0c77ab2a49f89.jpg?v=1775908902","Open")</x:f>
        <x:v>HYPERLINK is not implemented. linkLocation=https://cdn.shopify.com/s/files/1/0918/6066/4603/files/93a37655faec9758d3f0c77ab2a49f89.jpg?v=1775908902, friendlyName=Open</x:v>
      </x:c>
      <x:c r="C4245" s="24" t="e">
        <x:f>HYPERLINK("https://365nails.com/products/365nails-glimmering-garden-3d-floral-handmade-square-nails","365nails: ""Glimmering Garden"" – 3D Floral Handmade Square Nails")</x:f>
        <x:v>HYPERLINK is not implemented. linkLocation=https://365nails.com/products/365nails-glimmering-garden-3d-floral-handmade-square-nails, friendlyName=365nails: "Glimmering Garden" – 3D Floral Handmade Square Nails</x:v>
      </x:c>
      <x:c r="D4245" s="18" t="str">
        <x:v>Size: XS / S / M / L</x:v>
      </x:c>
      <x:c r="E4245" s="25" t="str">
        <x:v>$3.99</x:v>
      </x:c>
      <x:c r="F4245" s="19" t="str">
        <x:v>5</x:v>
      </x:c>
    </x:row>
    <x:row r="4246" ht="93" customHeight="1">
      <x:c r="A4246" s="19" t="n">
        <x:v>4243</x:v>
      </x:c>
      <x:c r="B4246" s="22" t="e">
        <x:f>HYPERLINK("https://cdn.shopify.com/s/files/1/0918/6066/4603/files/9b35c0ca3d201ccb6ab371942d07f2c9.jpg?v=1778317874","Open")</x:f>
        <x:v>HYPERLINK is not implemented. linkLocation=https://cdn.shopify.com/s/files/1/0918/6066/4603/files/9b35c0ca3d201ccb6ab371942d07f2c9.jpg?v=1778317874, friendlyName=Open</x:v>
      </x:c>
      <x:c r="C4246" s="24" t="e">
        <x:f>HYPERLINK("https://365nails.com/products/365nails-burgundy-chic-3d-floral-dalmatian-print-handmade-almond-nails","365nails: ""Burgundy Chic"" – 3D Floral &amp; Dalmatian Print Handmade Almond Nails")</x:f>
        <x:v>HYPERLINK is not implemented. linkLocation=https://365nails.com/products/365nails-burgundy-chic-3d-floral-dalmatian-print-handmade-almond-nails, friendlyName=365nails: "Burgundy Chic" – 3D Floral &amp; Dalmatian Print Handmade Almond Nails</x:v>
      </x:c>
      <x:c r="D4246" s="18" t="str">
        <x:v>Size: XS / S / M / L</x:v>
      </x:c>
      <x:c r="E4246" s="25" t="str">
        <x:v>$3.99</x:v>
      </x:c>
      <x:c r="F4246" s="19" t="str">
        <x:v>5</x:v>
      </x:c>
    </x:row>
    <x:row r="4247" ht="93" customHeight="1">
      <x:c r="A4247" s="19" t="n">
        <x:v>4244</x:v>
      </x:c>
      <x:c r="B4247" s="22" t="e">
        <x:f>HYPERLINK("https://cdn.shopify.com/s/files/1/0918/6066/4603/files/08d0cd3ba2accd3121f00e6f3f91e0d9.jpg?v=1776172717","Open")</x:f>
        <x:v>HYPERLINK is not implemented. linkLocation=https://cdn.shopify.com/s/files/1/0918/6066/4603/files/08d0cd3ba2accd3121f00e6f3f91e0d9.jpg?v=1776172717, friendlyName=Open</x:v>
      </x:c>
      <x:c r="C4247" s="24" t="e">
        <x:f>HYPERLINK("https://365nails.com/products/365nails-sunny-chick-3d-animal-floral-handmade-short-square-nails","365nails: ""Sunny Chick"" – 3D Animal &amp; Floral Handmade Short Square Nails")</x:f>
        <x:v>HYPERLINK is not implemented. linkLocation=https://365nails.com/products/365nails-sunny-chick-3d-animal-floral-handmade-short-square-nails, friendlyName=365nails: "Sunny Chick" – 3D Animal &amp; Floral Handmade Short Square Nails</x:v>
      </x:c>
      <x:c r="D4247" s="18" t="str">
        <x:v>Size: XS / S / M / L</x:v>
      </x:c>
      <x:c r="E4247" s="25" t="str">
        <x:v>$1.99</x:v>
      </x:c>
      <x:c r="F4247" s="19" t="str">
        <x:v>3</x:v>
      </x:c>
    </x:row>
    <x:row r="4248" ht="93" customHeight="1">
      <x:c r="A4248" s="19" t="n">
        <x:v>4245</x:v>
      </x:c>
      <x:c r="B4248" s="22" t="e">
        <x:f>HYPERLINK("https://cdn.shopify.com/s/files/1/0918/6066/4603/files/63a15051941d1042b560186919298094.jpg?v=1778244489","Open")</x:f>
        <x:v>HYPERLINK is not implemented. linkLocation=https://cdn.shopify.com/s/files/1/0918/6066/4603/files/63a15051941d1042b560186919298094.jpg?v=1778244489, friendlyName=Open</x:v>
      </x:c>
      <x:c r="C4248" s="24" t="e">
        <x:f>HYPERLINK("https://365nails.com/products/365nails-garden-party-3d-floral-handmade-short-square-nails","365nails: ""Garden Party"" – 3D Floral Handmade Short Square Nails")</x:f>
        <x:v>HYPERLINK is not implemented. linkLocation=https://365nails.com/products/365nails-garden-party-3d-floral-handmade-short-square-nails, friendlyName=365nails: "Garden Party" – 3D Floral Handmade Short Square Nails</x:v>
      </x:c>
      <x:c r="D4248" s="18" t="str">
        <x:v>Size: XS / S / M / L</x:v>
      </x:c>
      <x:c r="E4248" s="25" t="str">
        <x:v>$3.99</x:v>
      </x:c>
      <x:c r="F4248" s="19" t="str">
        <x:v>5</x:v>
      </x:c>
    </x:row>
    <x:row r="4249" ht="93" customHeight="1">
      <x:c r="A4249" s="19" t="n">
        <x:v>4246</x:v>
      </x:c>
      <x:c r="B4249" s="22" t="e">
        <x:f>HYPERLINK("https://cdn.shopify.com/s/files/1/0918/6066/4603/files/727d03c14451efe8447b7dc45077237e.jpg?v=1776325197","Open")</x:f>
        <x:v>HYPERLINK is not implemented. linkLocation=https://cdn.shopify.com/s/files/1/0918/6066/4603/files/727d03c14451efe8447b7dc45077237e.jpg?v=1776325197, friendlyName=Open</x:v>
      </x:c>
      <x:c r="C4249" s="24" t="e">
        <x:f>HYPERLINK("https://365nails.com/products/365nails-penguin-parade-3d-character-short-square-nails","365nails: ""Penguin Parade"" – 3D Character Short Square Nails")</x:f>
        <x:v>HYPERLINK is not implemented. linkLocation=https://365nails.com/products/365nails-penguin-parade-3d-character-short-square-nails, friendlyName=365nails: "Penguin Parade" – 3D Character Short Square Nails</x:v>
      </x:c>
      <x:c r="D4249" s="18" t="str">
        <x:v>Size: XS / S / M / L</x:v>
      </x:c>
      <x:c r="E4249" s="25" t="str">
        <x:v>$3.99</x:v>
      </x:c>
      <x:c r="F4249" s="19" t="str">
        <x:v>5</x:v>
      </x:c>
    </x:row>
    <x:row r="4250" ht="93" customHeight="1">
      <x:c r="A4250" s="19" t="n">
        <x:v>4247</x:v>
      </x:c>
      <x:c r="B4250" s="22" t="e">
        <x:f>HYPERLINK("https://cdn.shopify.com/s/files/1/0918/6066/4603/files/f13a6af1379dfd326c4392dcfedbc130.jpg?v=1776153833","Open")</x:f>
        <x:v>HYPERLINK is not implemented. linkLocation=https://cdn.shopify.com/s/files/1/0918/6066/4603/files/f13a6af1379dfd326c4392dcfedbc130.jpg?v=1776153833, friendlyName=Open</x:v>
      </x:c>
      <x:c r="C4250" s="24" t="e">
        <x:f>HYPERLINK("https://365nails.com/products/365nails-garden-party-3d-floral-handmade-short-square-nails-1","365nails: ""Garden Party"" – 3D Floral Handmade Short Square Nails")</x:f>
        <x:v>HYPERLINK is not implemented. linkLocation=https://365nails.com/products/365nails-garden-party-3d-floral-handmade-short-square-nails-1, friendlyName=365nails: "Garden Party" – 3D Floral Handmade Short Square Nails</x:v>
      </x:c>
      <x:c r="D4250" s="18" t="str">
        <x:v>Size: XS / S / M / L</x:v>
      </x:c>
      <x:c r="E4250" s="25" t="str">
        <x:v>$1.99</x:v>
      </x:c>
      <x:c r="F4250" s="19" t="str">
        <x:v>3</x:v>
      </x:c>
    </x:row>
    <x:row r="4251" ht="93" customHeight="1">
      <x:c r="A4251" s="19" t="n">
        <x:v>4248</x:v>
      </x:c>
      <x:c r="B4251" s="22" t="e">
        <x:f>HYPERLINK("https://cdn.shopify.com/s/files/1/0918/6066/4603/files/b36a0d984276184a40504eb886de4bbc.jpg?v=1778318036","Open")</x:f>
        <x:v>HYPERLINK is not implemented. linkLocation=https://cdn.shopify.com/s/files/1/0918/6066/4603/files/b36a0d984276184a40504eb886de4bbc.jpg?v=1778318036, friendlyName=Open</x:v>
      </x:c>
      <x:c r="C4251" s="24" t="e">
        <x:f>HYPERLINK("https://365nails.com/products/365nails-bubblegum-baddie-3d-flower-tiger-print-handmade-coffin-nails","365nails: ""Bubblegum Baddie"" – 3D Flower &amp; Tiger Print Handmade Coffin Nails")</x:f>
        <x:v>HYPERLINK is not implemented. linkLocation=https://365nails.com/products/365nails-bubblegum-baddie-3d-flower-tiger-print-handmade-coffin-nails, friendlyName=365nails: "Bubblegum Baddie" – 3D Flower &amp; Tiger Print Handmade Coffin Nails</x:v>
      </x:c>
      <x:c r="D4251" s="18" t="str">
        <x:v>Size: XS / S / M / L</x:v>
      </x:c>
      <x:c r="E4251" s="25" t="str">
        <x:v>$3.99</x:v>
      </x:c>
      <x:c r="F4251" s="19" t="str">
        <x:v>5</x:v>
      </x:c>
    </x:row>
    <x:row r="4252" ht="93" customHeight="1">
      <x:c r="A4252" s="19" t="n">
        <x:v>4249</x:v>
      </x:c>
      <x:c r="B4252" s="22" t="e">
        <x:f>HYPERLINK("https://cdn.shopify.com/s/files/1/0918/6066/4603/files/704c0874e45470d9b46e726c227591b0.jpg?v=1778243002","Open")</x:f>
        <x:v>HYPERLINK is not implemented. linkLocation=https://cdn.shopify.com/s/files/1/0918/6066/4603/files/704c0874e45470d9b46e726c227591b0.jpg?v=1778243002, friendlyName=Open</x:v>
      </x:c>
      <x:c r="C4252" s="24" t="e">
        <x:f>HYPERLINK("https://365nails.com/products/365nails-candy-pop-3d-floral-handmade-medium-almond-nails","365nails: ""Candy Pop"" – 3D Floral Handmade Medium Almond Nails")</x:f>
        <x:v>HYPERLINK is not implemented. linkLocation=https://365nails.com/products/365nails-candy-pop-3d-floral-handmade-medium-almond-nails, friendlyName=365nails: "Candy Pop" – 3D Floral Handmade Medium Almond Nails</x:v>
      </x:c>
      <x:c r="D4252" s="18" t="str">
        <x:v>Size: XS / S / M / L</x:v>
      </x:c>
      <x:c r="E4252" s="25" t="str">
        <x:v>$3.99</x:v>
      </x:c>
      <x:c r="F4252" s="19" t="str">
        <x:v>5</x:v>
      </x:c>
    </x:row>
    <x:row r="4253" ht="93" customHeight="1">
      <x:c r="A4253" s="19" t="n">
        <x:v>4250</x:v>
      </x:c>
      <x:c r="B4253" s="22" t="e">
        <x:f>HYPERLINK("https://cdn.shopify.com/s/files/1/0918/6066/4603/files/O1CN019AhMm5247ba0KPqbA__2209064737344-0-cib_79ef165c-8979-4503-b962-6871709d005c.jpg?v=1772707695","Open")</x:f>
        <x:v>HYPERLINK is not implemented. linkLocation=https://cdn.shopify.com/s/files/1/0918/6066/4603/files/O1CN019AhMm5247ba0KPqbA__2209064737344-0-cib_79ef165c-8979-4503-b962-6871709d005c.jpg?v=1772707695, friendlyName=Open</x:v>
      </x:c>
      <x:c r="C4253" s="24" t="e">
        <x:f>HYPERLINK("https://365nails.com/products/365nails-finger-specific-nail-tips-pre-sized-clear-nail-extensions","365nails: ""Finger-Specific Nail Tips"" – Pre-Sized Clear Nail Extensions")</x:f>
        <x:v>HYPERLINK is not implemented. linkLocation=https://365nails.com/products/365nails-finger-specific-nail-tips-pre-sized-clear-nail-extensions, friendlyName=365nails: "Finger-Specific Nail Tips" – Pre-Sized Clear Nail Extensions</x:v>
      </x:c>
      <x:c r="D4253" s="18" t="str">
        <x:v>Color: S size-trapezoid-280 pieces in box / M size-trapezoid-280 pieces in box / S size-short ladder-280 boxes / M size-short ladder-280 box</x:v>
      </x:c>
      <x:c r="E4253" s="25" t="str">
        <x:v>$2.02</x:v>
      </x:c>
      <x:c r="F4253" s="19" t="str">
        <x:v>3</x:v>
      </x:c>
    </x:row>
    <x:row r="4254" ht="93" customHeight="1">
      <x:c r="A4254" s="19" t="n">
        <x:v>4251</x:v>
      </x:c>
      <x:c r="B4254" s="22" t="e">
        <x:f>HYPERLINK("https://cdn.shopify.com/s/files/1/0918/6066/4603/files/2c4dc53f16a07f3120caf4fc33bf1a17.jpg?v=1778242149","Open")</x:f>
        <x:v>HYPERLINK is not implemented. linkLocation=https://cdn.shopify.com/s/files/1/0918/6066/4603/files/2c4dc53f16a07f3120caf4fc33bf1a17.jpg?v=1778242149, friendlyName=Open</x:v>
      </x:c>
      <x:c r="C4254" s="24" t="e">
        <x:f>HYPERLINK("https://365nails.com/products/365nails-sunny-splash-3d-floral-polka-dot-handmade-long-square-nails","365nails: ""Sunny Splash"" – 3D Floral &amp; Polka Dot Handmade Long Square Nails")</x:f>
        <x:v>HYPERLINK is not implemented. linkLocation=https://365nails.com/products/365nails-sunny-splash-3d-floral-polka-dot-handmade-long-square-nails, friendlyName=365nails: "Sunny Splash" – 3D Floral &amp; Polka Dot Handmade Long Square Nails</x:v>
      </x:c>
      <x:c r="D4254" s="18" t="str">
        <x:v>Size: XS / S / M / L</x:v>
      </x:c>
      <x:c r="E4254" s="25" t="str">
        <x:v>$4.99</x:v>
      </x:c>
      <x:c r="F4254" s="19" t="str">
        <x:v>5</x:v>
      </x:c>
    </x:row>
    <x:row r="4255" ht="93" customHeight="1">
      <x:c r="A4255" s="19" t="n">
        <x:v>4252</x:v>
      </x:c>
      <x:c r="B4255" s="22" t="e">
        <x:f>HYPERLINK("https://cdn.shopify.com/s/files/1/0918/6066/4603/files/bbd1fce5886e347e41264834ea746297.jpg?v=1778318564","Open")</x:f>
        <x:v>HYPERLINK is not implemented. linkLocation=https://cdn.shopify.com/s/files/1/0918/6066/4603/files/bbd1fce5886e347e41264834ea746297.jpg?v=1778318564, friendlyName=Open</x:v>
      </x:c>
      <x:c r="C4255" s="24" t="e">
        <x:f>HYPERLINK("https://365nails.com/products/365nails-cherry-blossom-breeze-3d-floral-stripe-handmade-almond-nails","365nails: ""Cherry Blossom Breeze"" – 3D Floral &amp; Stripe Handmade Almond Nails")</x:f>
        <x:v>HYPERLINK is not implemented. linkLocation=https://365nails.com/products/365nails-cherry-blossom-breeze-3d-floral-stripe-handmade-almond-nails, friendlyName=365nails: "Cherry Blossom Breeze" – 3D Floral &amp; Stripe Handmade Almond Nails</x:v>
      </x:c>
      <x:c r="D4255" s="18" t="str">
        <x:v>Size: XS / S / M / L</x:v>
      </x:c>
      <x:c r="E4255" s="25" t="str">
        <x:v>$2.99</x:v>
      </x:c>
      <x:c r="F4255" s="19" t="str">
        <x:v>5</x:v>
      </x:c>
    </x:row>
    <x:row r="4256" ht="93" customHeight="1">
      <x:c r="A4256" s="19" t="n">
        <x:v>4253</x:v>
      </x:c>
      <x:c r="B4256" s="22" t="e">
        <x:f>HYPERLINK("https://cdn.shopify.com/s/files/1/0918/6066/4603/files/bd06eaf63cfcbc81e518ec981ddf4e37.jpg?v=1772707675","Open")</x:f>
        <x:v>HYPERLINK is not implemented. linkLocation=https://cdn.shopify.com/s/files/1/0918/6066/4603/files/bd06eaf63cfcbc81e518ec981ddf4e37.jpg?v=1772707675, friendlyName=Open</x:v>
      </x:c>
      <x:c r="C4256" s="24" t="e">
        <x:f>HYPERLINK("https://365nails.com/products/365nails-matte-no-file-long-stiletto-long-stiletto-nail-extensions","365nails: ""Matte No-File Long Stiletto"" – Long Stiletto Nail Extensions")</x:f>
        <x:v>HYPERLINK is not implemented. linkLocation=https://365nails.com/products/365nails-matte-no-file-long-stiletto-long-stiletto-nail-extensions, friendlyName=365nails: "Matte No-File Long Stiletto" – Long Stiletto Nail Extensions</x:v>
      </x:c>
      <x:c r="D4256" s="18" t="str">
        <x:v>Color: 418-long ladder-m/l size-1 piece / 418-long ladder-xs/s size-1 piece</x:v>
      </x:c>
      <x:c r="E4256" s="25" t="str">
        <x:v>$0.19</x:v>
      </x:c>
      <x:c r="F4256" s="19" t="str">
        <x:v>3</x:v>
      </x:c>
    </x:row>
    <x:row r="4257" ht="93" customHeight="1">
      <x:c r="A4257" s="19" t="n">
        <x:v>4254</x:v>
      </x:c>
      <x:c r="B4257" s="22" t="e">
        <x:f>HYPERLINK("https://cdn.shopify.com/s/files/1/0918/6066/4603/files/5a21f8be722003c5bb316d4fdd9d3701.jpg?v=1778318230","Open")</x:f>
        <x:v>HYPERLINK is not implemented. linkLocation=https://cdn.shopify.com/s/files/1/0918/6066/4603/files/5a21f8be722003c5bb316d4fdd9d3701.jpg?v=1778318230, friendlyName=Open</x:v>
      </x:c>
      <x:c r="C4257" s="24" t="e">
        <x:f>HYPERLINK("https://365nails.com/products/365nails-wild-heart-3d-gem-zebra-print-handmade-almond-nails","365nails: ""Wild Heart"" – 3D Gem &amp; Zebra Print Handmade Almond Nails")</x:f>
        <x:v>HYPERLINK is not implemented. linkLocation=https://365nails.com/products/365nails-wild-heart-3d-gem-zebra-print-handmade-almond-nails, friendlyName=365nails: "Wild Heart" – 3D Gem &amp; Zebra Print Handmade Almond Nails</x:v>
      </x:c>
      <x:c r="D4257" s="18" t="str">
        <x:v>Size: XS / S / M / L</x:v>
      </x:c>
      <x:c r="E4257" s="25" t="str">
        <x:v>$3.99</x:v>
      </x:c>
      <x:c r="F4257" s="19" t="str">
        <x:v>5</x:v>
      </x:c>
    </x:row>
    <x:row r="4258" ht="93" customHeight="1">
      <x:c r="A4258" s="19" t="n">
        <x:v>4255</x:v>
      </x:c>
      <x:c r="B4258" s="22" t="e">
        <x:f>HYPERLINK("https://cdn.shopify.com/s/files/1/0918/6066/4603/files/O1CN01xtfpkF1q2etRZM2lZ__6000000005438-0-cib.jpg?v=1775112799","Open")</x:f>
        <x:v>HYPERLINK is not implemented. linkLocation=https://cdn.shopify.com/s/files/1/0918/6066/4603/files/O1CN01xtfpkF1q2etRZM2lZ__6000000005438-0-cib.jpg?v=1775112799, friendlyName=Open</x:v>
      </x:c>
      <x:c r="C4258" s="24" t="e">
        <x:f>HYPERLINK("https://365nails.com/products/365nails-butterfly-dream-3d-hand-painted-gradient-wing-handmade-long-almond-nails","365nails: ""Butterfly Dream"" – 3D Hand-Painted Gradient Wing Handmade Long Almond Nails")</x:f>
        <x:v>HYPERLINK is not implemented. linkLocation=https://365nails.com/products/365nails-butterfly-dream-3d-hand-painted-gradient-wing-handmade-long-almond-nails, friendlyName=365nails: "Butterfly Dream" – 3D Hand-Painted Gradient Wing Handmade Long Almond Nails</x:v>
      </x:c>
      <x:c r="D4258" s="18" t="str">
        <x:v>Color: Long almond; Color classification: Xs / S / M / L</x:v>
      </x:c>
      <x:c r="E4258" s="25" t="str">
        <x:v>$4.49</x:v>
      </x:c>
      <x:c r="F4258" s="19" t="str">
        <x:v>3</x:v>
      </x:c>
    </x:row>
    <x:row r="4259" ht="93" customHeight="1">
      <x:c r="A4259" s="19" t="n">
        <x:v>4256</x:v>
      </x:c>
      <x:c r="B4259" s="22" t="e">
        <x:f>HYPERLINK("https://cdn.shopify.com/s/files/1/0918/6066/4603/files/6142ab504d51eda30cd1342f90ae9af3.jpg?v=1778244785","Open")</x:f>
        <x:v>HYPERLINK is not implemented. linkLocation=https://cdn.shopify.com/s/files/1/0918/6066/4603/files/6142ab504d51eda30cd1342f90ae9af3.jpg?v=1778244785, friendlyName=Open</x:v>
      </x:c>
      <x:c r="C4259" s="24" t="e">
        <x:f>HYPERLINK("https://365nails.com/products/365nails-sweet-plaid-3d-heart-bow-handmade-stiletto-nails-1","365nails: ""Sweet Plaid"" – 3D Heart &amp; Bow Handmade Stiletto Nails")</x:f>
        <x:v>HYPERLINK is not implemented. linkLocation=https://365nails.com/products/365nails-sweet-plaid-3d-heart-bow-handmade-stiletto-nails-1, friendlyName=365nails: "Sweet Plaid" – 3D Heart &amp; Bow Handmade Stiletto Nails</x:v>
      </x:c>
      <x:c r="D4259" s="18" t="str">
        <x:v>Size: XS / S / M / L</x:v>
      </x:c>
      <x:c r="E4259" s="25" t="str">
        <x:v>$3.99</x:v>
      </x:c>
      <x:c r="F4259" s="19" t="str">
        <x:v>5</x:v>
      </x:c>
    </x:row>
    <x:row r="4260" ht="93" customHeight="1">
      <x:c r="A4260" s="19" t="n">
        <x:v>4257</x:v>
      </x:c>
      <x:c r="B4260" s="22" t="e">
        <x:f>HYPERLINK("https://cdn.shopify.com/s/files/1/0918/6066/4603/files/O1CN018lpCrN2214ta60vlt__2219480337059-0-cib_47486a09-773b-49c8-9678-d75664ee0d93.jpg?v=1773824715","Open")</x:f>
        <x:v>HYPERLINK is not implemented. linkLocation=https://cdn.shopify.com/s/files/1/0918/6066/4603/files/O1CN018lpCrN2214ta60vlt__2219480337059-0-cib_47486a09-773b-49c8-9678-d75664ee0d93.jpg?v=1773824715, friendlyName=Open</x:v>
      </x:c>
      <x:c r="C4260" s="24" t="e">
        <x:f>HYPERLINK("https://365nails.com/products/labubu-mix-match-kids-series-cute-monster-carnival-short-square-kids-nail-art","365nails-Labubu Mix &amp; Match Kids Series: ""Cute Monster Carnival"" – Short Square Kids Nail Art")</x:f>
        <x:v>HYPERLINK is not implemented. linkLocation=https://365nails.com/products/labubu-mix-match-kids-series-cute-monster-carnival-short-square-kids-nail-art, friendlyName=365nails-Labubu Mix &amp; Match Kids Series: "Cute Monster Carnival" – Short Square Kids Nail Art</x:v>
      </x:c>
      <x:c r="D4260" s="18" t="str">
        <x:v>Color: Candy labubu; Color classification: Xs (about 2 years old) / S (3-4 years old) / M (5-7 years old) / L (8-11 years old)</x:v>
      </x:c>
      <x:c r="E4260" s="25" t="str">
        <x:v>$2.99</x:v>
      </x:c>
      <x:c r="F4260" s="19" t="str">
        <x:v>3</x:v>
      </x:c>
    </x:row>
    <x:row r="4261" ht="93" customHeight="1">
      <x:c r="A4261" s="19" t="n">
        <x:v>4258</x:v>
      </x:c>
      <x:c r="B4261" s="22" t="e">
        <x:f>HYPERLINK("https://cdn.shopify.com/s/files/1/0918/6066/4603/files/03346a39b23fd5e950947343a725b7f9.jpg?v=1776322533","Open")</x:f>
        <x:v>HYPERLINK is not implemented. linkLocation=https://cdn.shopify.com/s/files/1/0918/6066/4603/files/03346a39b23fd5e950947343a725b7f9.jpg?v=1776322533, friendlyName=Open</x:v>
      </x:c>
      <x:c r="C4261" s="24" t="e">
        <x:f>HYPERLINK("https://365nails.com/products/365nails-circus-pals-3d-cartoon-character-short-square-nails","365nails: ""Circus Pals"" – 3D Cartoon Character Short Square Nails")</x:f>
        <x:v>HYPERLINK is not implemented. linkLocation=https://365nails.com/products/365nails-circus-pals-3d-cartoon-character-short-square-nails, friendlyName=365nails: "Circus Pals" – 3D Cartoon Character Short Square Nails</x:v>
      </x:c>
      <x:c r="D4261" s="18" t="str">
        <x:v>Size: XS / S / M / L</x:v>
      </x:c>
      <x:c r="E4261" s="25" t="str">
        <x:v>$3.99</x:v>
      </x:c>
      <x:c r="F4261" s="19" t="str">
        <x:v>5</x:v>
      </x:c>
    </x:row>
    <x:row r="4262" ht="93" customHeight="1">
      <x:c r="A4262" s="19" t="n">
        <x:v>4259</x:v>
      </x:c>
      <x:c r="B4262" s="22" t="e">
        <x:f>HYPERLINK("https://cdn.shopify.com/s/files/1/0918/6066/4603/files/b684f4f1e6d1ac850af11f4125c2b58f.jpg?v=1773306393","Open")</x:f>
        <x:v>HYPERLINK is not implemented. linkLocation=https://cdn.shopify.com/s/files/1/0918/6066/4603/files/b684f4f1e6d1ac850af11f4125c2b58f.jpg?v=1773306393, friendlyName=Open</x:v>
      </x:c>
      <x:c r="C4262" s="24" t="e">
        <x:f>HYPERLINK("https://365nails.com/products/365nails-teal-confetti-border-handmade-press-on-toenails-pedicure","365nails: ""teal confetti border"" – handmade press-on toenails / pedicure")</x:f>
        <x:v>HYPERLINK is not implemented. linkLocation=https://365nails.com/products/365nails-teal-confetti-border-handmade-press-on-toenails-pedicure, friendlyName=365nails: "teal confetti border" – handmade press-on toenails / pedicure</x:v>
      </x:c>
      <x:c r="D4262" s="18" t="str">
        <x:v>Size: XS / S / M / L</x:v>
      </x:c>
      <x:c r="E4262" s="25" t="str">
        <x:v>$3.99</x:v>
      </x:c>
      <x:c r="F4262" s="19" t="str">
        <x:v>3</x:v>
      </x:c>
    </x:row>
    <x:row r="4263" ht="93" customHeight="1">
      <x:c r="A4263" s="19" t="n">
        <x:v>4260</x:v>
      </x:c>
      <x:c r="B4263" s="22" t="e">
        <x:f>HYPERLINK("https://cdn.shopify.com/s/files/1/0918/6066/4603/files/0c04674a619a4e489b4a7375baff48f5.jpg?v=1778240571","Open")</x:f>
        <x:v>HYPERLINK is not implemented. linkLocation=https://cdn.shopify.com/s/files/1/0918/6066/4603/files/0c04674a619a4e489b4a7375baff48f5.jpg?v=1778240571, friendlyName=Open</x:v>
      </x:c>
      <x:c r="C4263" s="24" t="e">
        <x:f>HYPERLINK("https://365nails.com/products/365nails-hot-pink-animal-3d-star-chain-handmade-long-coffin-nails","365nails: ""Hot Pink Animal"" – 3D Star &amp; Chain Handmade Long Coffin Nails")</x:f>
        <x:v>HYPERLINK is not implemented. linkLocation=https://365nails.com/products/365nails-hot-pink-animal-3d-star-chain-handmade-long-coffin-nails, friendlyName=365nails: "Hot Pink Animal" – 3D Star &amp; Chain Handmade Long Coffin Nails</x:v>
      </x:c>
      <x:c r="D4263" s="18" t="str">
        <x:v>Size: XS / S / M / L</x:v>
      </x:c>
      <x:c r="E4263" s="25" t="str">
        <x:v>$4.99</x:v>
      </x:c>
      <x:c r="F4263" s="19" t="str">
        <x:v>5</x:v>
      </x:c>
    </x:row>
    <x:row r="4264" ht="93" customHeight="1">
      <x:c r="A4264" s="19" t="n">
        <x:v>4261</x:v>
      </x:c>
      <x:c r="B4264" s="22" t="e">
        <x:f>HYPERLINK("https://cdn.shopify.com/s/files/1/0918/6066/4603/files/5f6d0f07cc93c825a144c55dcc7d1f4a.jpg?v=1776324724","Open")</x:f>
        <x:v>HYPERLINK is not implemented. linkLocation=https://cdn.shopify.com/s/files/1/0918/6066/4603/files/5f6d0f07cc93c825a144c55dcc7d1f4a.jpg?v=1776324724, friendlyName=Open</x:v>
      </x:c>
      <x:c r="C4264" s="24" t="e">
        <x:f>HYPERLINK("https://365nails.com/products/365nails-cozy-critters-3d-pastel-cartoon-short-square-nails","365nails: ""Cozy Critters"" – 3D Pastel Cartoon Short Square Nails")</x:f>
        <x:v>HYPERLINK is not implemented. linkLocation=https://365nails.com/products/365nails-cozy-critters-3d-pastel-cartoon-short-square-nails, friendlyName=365nails: "Cozy Critters" – 3D Pastel Cartoon Short Square Nails</x:v>
      </x:c>
      <x:c r="D4264" s="18" t="str">
        <x:v>Size: XS / S / M / L</x:v>
      </x:c>
      <x:c r="E4264" s="25" t="str">
        <x:v>$3.99</x:v>
      </x:c>
      <x:c r="F4264" s="19" t="str">
        <x:v>5</x:v>
      </x:c>
    </x:row>
    <x:row r="4265" ht="93" customHeight="1">
      <x:c r="A4265" s="19" t="n">
        <x:v>4262</x:v>
      </x:c>
      <x:c r="B4265" s="22" t="e">
        <x:f>HYPERLINK("https://cdn.shopify.com/s/files/1/0918/6066/4603/files/O1CN010cEkEG1CPwJvNeXy2__2213196780074-0-cib.jpg?v=1775985655","Open")</x:f>
        <x:v>HYPERLINK is not implemented. linkLocation=https://cdn.shopify.com/s/files/1/0918/6066/4603/files/O1CN010cEkEG1CPwJvNeXy2__2213196780074-0-cib.jpg?v=1775985655, friendlyName=Open</x:v>
      </x:c>
      <x:c r="C4265" s="24" t="e">
        <x:f>HYPERLINK("https://365nails.com/products/365nails-citrus-sparkle-gold-foil-glitter-handmade-short-square-nails","365nails: ""Citrus Sparkle"" – Gold Foil &amp; Glitter Handmade Short Square Nails")</x:f>
        <x:v>HYPERLINK is not implemented. linkLocation=https://365nails.com/products/365nails-citrus-sparkle-gold-foil-glitter-handmade-short-square-nails, friendlyName=365nails: "Citrus Sparkle" – Gold Foil &amp; Glitter Handmade Short Square Nails</x:v>
      </x:c>
      <x:c r="D4265" s="18" t="str">
        <x:v>Color: Extra small size xs / Small s / Medium m / Large l; Specification type: 2524 short ladder</x:v>
      </x:c>
      <x:c r="E4265" s="25" t="str">
        <x:v>$2.99</x:v>
      </x:c>
      <x:c r="F4265" s="19" t="str">
        <x:v>3</x:v>
      </x:c>
    </x:row>
    <x:row r="4266" ht="93" customHeight="1">
      <x:c r="A4266" s="19" t="n">
        <x:v>4263</x:v>
      </x:c>
      <x:c r="B4266" s="22" t="e">
        <x:f>HYPERLINK("https://cdn.shopify.com/s/files/1/0918/6066/4603/files/1078f892a8c51c39d1d1666681507856.jpg?v=1776321770","Open")</x:f>
        <x:v>HYPERLINK is not implemented. linkLocation=https://cdn.shopify.com/s/files/1/0918/6066/4603/files/1078f892a8c51c39d1d1666681507856.jpg?v=1776321770, friendlyName=Open</x:v>
      </x:c>
      <x:c r="C4266" s="24" t="e">
        <x:f>HYPERLINK("https://365nails.com/products/365nails-cartoon-carnival-3d-character-short-square-nails","365nails: ""Cartoon Carnival"" – 3D Character Short Square Nails")</x:f>
        <x:v>HYPERLINK is not implemented. linkLocation=https://365nails.com/products/365nails-cartoon-carnival-3d-character-short-square-nails, friendlyName=365nails: "Cartoon Carnival" – 3D Character Short Square Nails</x:v>
      </x:c>
      <x:c r="D4266" s="18" t="str">
        <x:v>Size: XS / S / M / L</x:v>
      </x:c>
      <x:c r="E4266" s="25" t="str">
        <x:v>$3.99</x:v>
      </x:c>
      <x:c r="F4266" s="19" t="str">
        <x:v>5</x:v>
      </x:c>
    </x:row>
    <x:row r="4267" ht="93" customHeight="1">
      <x:c r="A4267" s="19" t="n">
        <x:v>4264</x:v>
      </x:c>
      <x:c r="B4267" s="22" t="e">
        <x:f>HYPERLINK("https://cdn.shopify.com/s/files/1/0918/6066/4603/files/O1CN01h9lewp2MQzdmMboon__2219089449823-0-cib.jpg?v=1774096929","Open")</x:f>
        <x:v>HYPERLINK is not implemented. linkLocation=https://cdn.shopify.com/s/files/1/0918/6066/4603/files/O1CN01h9lewp2MQzdmMboon__2219089449823-0-cib.jpg?v=1774096929, friendlyName=Open</x:v>
      </x:c>
      <x:c r="C4267" s="24" t="e">
        <x:f>HYPERLINK("https://365nails.com/products/sweet-dream-buttercup-ruffle-short-square-press-ons","Sweet Dream: ""Buttercup Ruffle"" – Short Square Press-Ons")</x:f>
        <x:v>HYPERLINK is not implemented. linkLocation=https://365nails.com/products/sweet-dream-buttercup-ruffle-short-square-press-ons, friendlyName=Sweet Dream: "Buttercup Ruffle" – Short Square Press-Ons</x:v>
      </x:c>
      <x:c r="D4267" s="18" t="str">
        <x:v>Color: L278; Color classification: X s / S / M / L</x:v>
      </x:c>
      <x:c r="E4267" s="25" t="str">
        <x:v>$4.99</x:v>
      </x:c>
      <x:c r="F4267" s="19" t="str">
        <x:v>1</x:v>
      </x:c>
    </x:row>
    <x:row r="4268" ht="93" customHeight="1">
      <x:c r="A4268" s="19" t="n">
        <x:v>4265</x:v>
      </x:c>
      <x:c r="B4268" s="22" t="e">
        <x:f>HYPERLINK("https://cdn.shopify.com/s/files/1/0918/6066/4603/files/490f45da84beb8cab23cc7e3ec40b974.jpg?v=1778241937","Open")</x:f>
        <x:v>HYPERLINK is not implemented. linkLocation=https://cdn.shopify.com/s/files/1/0918/6066/4603/files/490f45da84beb8cab23cc7e3ec40b974.jpg?v=1778241937, friendlyName=Open</x:v>
      </x:c>
      <x:c r="C4268" s="24" t="e">
        <x:f>HYPERLINK("https://365nails.com/products/365nails-celestial-dream-3d-floral-chain-handmade-long-coffin-nails","365nails: ""Celestial Dream"" – 3D Floral &amp; Chain Handmade Long Coffin Nails")</x:f>
        <x:v>HYPERLINK is not implemented. linkLocation=https://365nails.com/products/365nails-celestial-dream-3d-floral-chain-handmade-long-coffin-nails, friendlyName=365nails: "Celestial Dream" – 3D Floral &amp; Chain Handmade Long Coffin Nails</x:v>
      </x:c>
      <x:c r="D4268" s="18" t="str">
        <x:v>Size: XS / S / M / L</x:v>
      </x:c>
      <x:c r="E4268" s="25" t="str">
        <x:v>$4.99</x:v>
      </x:c>
      <x:c r="F4268" s="19" t="str">
        <x:v>5</x:v>
      </x:c>
    </x:row>
    <x:row r="4269" ht="93" customHeight="1">
      <x:c r="A4269" s="19" t="n">
        <x:v>4266</x:v>
      </x:c>
      <x:c r="B4269" s="22" t="e">
        <x:f>HYPERLINK("https://cdn.shopify.com/s/files/1/0918/6066/4603/files/e5f477be232f8ae3bfecc26731ea491f.jpg?v=1776245389","Open")</x:f>
        <x:v>HYPERLINK is not implemented. linkLocation=https://cdn.shopify.com/s/files/1/0918/6066/4603/files/e5f477be232f8ae3bfecc26731ea491f.jpg?v=1776245389, friendlyName=Open</x:v>
      </x:c>
      <x:c r="C4269" s="24" t="e">
        <x:f>HYPERLINK("https://365nails.com/products/365nails-candy-clouds-3d-character-handmade-short-nails","365nails: ""Candy Clouds"" – 3D Character Handmade Short Nails")</x:f>
        <x:v>HYPERLINK is not implemented. linkLocation=https://365nails.com/products/365nails-candy-clouds-3d-character-handmade-short-nails, friendlyName=365nails: "Candy Clouds" – 3D Character Handmade Short Nails</x:v>
      </x:c>
      <x:c r="D4269" s="18" t="str">
        <x:v>Size: XS / S / M / L</x:v>
      </x:c>
      <x:c r="E4269" s="25" t="str">
        <x:v>$2.99</x:v>
      </x:c>
      <x:c r="F4269" s="19" t="str">
        <x:v>3</x:v>
      </x:c>
    </x:row>
    <x:row r="4270" ht="93" customHeight="1">
      <x:c r="A4270" s="19" t="n">
        <x:v>4267</x:v>
      </x:c>
      <x:c r="B4270" s="22" t="e">
        <x:f>HYPERLINK("https://cdn.shopify.com/s/files/1/0918/6066/4603/files/061aac214ad8a3b24cc43e2675f913ee.jpg?v=1776322229","Open")</x:f>
        <x:v>HYPERLINK is not implemented. linkLocation=https://cdn.shopify.com/s/files/1/0918/6066/4603/files/061aac214ad8a3b24cc43e2675f913ee.jpg?v=1776322229, friendlyName=Open</x:v>
      </x:c>
      <x:c r="C4270" s="24" t="e">
        <x:f>HYPERLINK("https://365nails.com/products/365nails-kittys-daydream-3d-cartoon-character-short-square-nails","365nails: ""Kitty's Daydream"" – 3D Cartoon Character Short Square Nails")</x:f>
        <x:v>HYPERLINK is not implemented. linkLocation=https://365nails.com/products/365nails-kittys-daydream-3d-cartoon-character-short-square-nails, friendlyName=365nails: "Kitty's Daydream" – 3D Cartoon Character Short Square Nails</x:v>
      </x:c>
      <x:c r="D4270" s="18" t="str">
        <x:v>Size: XS / S / M / L</x:v>
      </x:c>
      <x:c r="E4270" s="25" t="str">
        <x:v>$3.99</x:v>
      </x:c>
      <x:c r="F4270" s="19" t="str">
        <x:v>5</x:v>
      </x:c>
    </x:row>
    <x:row r="4271" ht="93" customHeight="1">
      <x:c r="A4271" s="19" t="n">
        <x:v>4268</x:v>
      </x:c>
      <x:c r="B4271" s="22" t="e">
        <x:f>HYPERLINK("https://cdn.shopify.com/s/files/1/0918/6066/4603/files/O1CN01Xa7AiX27ZUmSKWN2V__2220024697811-0-cib.jpg?v=1775111022","Open")</x:f>
        <x:v>HYPERLINK is not implemented. linkLocation=https://cdn.shopify.com/s/files/1/0918/6066/4603/files/O1CN01Xa7AiX27ZUmSKWN2V__2220024697811-0-cib.jpg?v=1775111022, friendlyName=Open</x:v>
      </x:c>
      <x:c r="C4271" s="24" t="e">
        <x:f>HYPERLINK("https://365nails.com/products/365nails-gilded-noir-3d-floral-lace-handmade-medium-almond-nails","365nails: ""Gilded Noir"" – 3D Floral &amp; Lace Handmade Medium Almond Nails")</x:f>
        <x:v>HYPERLINK is not implemented. linkLocation=https://365nails.com/products/365nails-gilded-noir-3d-floral-lace-handmade-medium-almond-nails, friendlyName=365nails: "Gilded Noir" – 3D Floral &amp; Lace Handmade Medium Almond Nails</x:v>
      </x:c>
      <x:c r="D4271" s="18" t="str">
        <x:v>Color: Almond; Color classification: Xs / S / M / L</x:v>
      </x:c>
      <x:c r="E4271" s="25" t="str">
        <x:v>$4.49</x:v>
      </x:c>
      <x:c r="F4271" s="19" t="str">
        <x:v>3</x:v>
      </x:c>
    </x:row>
    <x:row r="4272" ht="93" customHeight="1">
      <x:c r="A4272" s="19" t="n">
        <x:v>4269</x:v>
      </x:c>
      <x:c r="B4272" s="22" t="e">
        <x:f>HYPERLINK("https://cdn.shopify.com/s/files/1/0918/6066/4603/files/O1CN01jv0POd27ZUlEIGfx0__2220024697811-0-cib.jpg?v=1775106911","Open")</x:f>
        <x:v>HYPERLINK is not implemented. linkLocation=https://cdn.shopify.com/s/files/1/0918/6066/4603/files/O1CN01jv0POd27ZUlEIGfx0__2220024697811-0-cib.jpg?v=1775106911, friendlyName=Open</x:v>
      </x:c>
      <x:c r="C4272" s="24" t="e">
        <x:f>HYPERLINK("https://365nails.com/products/365nails-dark-angel-3d-metal-charm-hand-painted-gothic-handmade-stiletto-nails","365nails: ""Dark Angel"" – 3D Metal Charm &amp; Hand-Painted Gothic Handmade Stiletto Nails")</x:f>
        <x:v>HYPERLINK is not implemented. linkLocation=https://365nails.com/products/365nails-dark-angel-3d-metal-charm-hand-painted-gothic-handmade-stiletto-nails, friendlyName=365nails: "Dark Angel" – 3D Metal Charm &amp; Hand-Painted Gothic Handmade Stiletto Nails</x:v>
      </x:c>
      <x:c r="D4272" s="18" t="str">
        <x:v>Color: Long tip; Color classification: Xs / S / M / L</x:v>
      </x:c>
      <x:c r="E4272" s="25" t="str">
        <x:v>$4.49</x:v>
      </x:c>
      <x:c r="F4272" s="19" t="str">
        <x:v>3</x:v>
      </x:c>
    </x:row>
    <x:row r="4273" ht="93" customHeight="1">
      <x:c r="A4273" s="19" t="n">
        <x:v>4270</x:v>
      </x:c>
      <x:c r="B4273" s="22" t="e">
        <x:f>HYPERLINK("https://cdn.shopify.com/s/files/1/0918/6066/4603/files/O1CN01G98v7z27ZUkgshuUn__2220024697811-0-cib.jpg?v=1775111529","Open")</x:f>
        <x:v>HYPERLINK is not implemented. linkLocation=https://cdn.shopify.com/s/files/1/0918/6066/4603/files/O1CN01G98v7z27ZUkgshuUn__2220024697811-0-cib.jpg?v=1775111529, friendlyName=Open</x:v>
      </x:c>
      <x:c r="C4273" s="24" t="e">
        <x:f>HYPERLINK("https://365nails.com/products/365nails-tropical-bloom-3d-floral-butterfly-handmade-medium-coffin-nails","365nails: ""Tropical Bloom"" – 3D Floral &amp; Butterfly Handmade Medium Coffin Nails")</x:f>
        <x:v>HYPERLINK is not implemented. linkLocation=https://365nails.com/products/365nails-tropical-bloom-3d-floral-butterfly-handmade-medium-coffin-nails, friendlyName=365nails: "Tropical Bloom" – 3D Floral &amp; Butterfly Handmade Medium Coffin Nails</x:v>
      </x:c>
      <x:c r="D4273" s="18" t="str">
        <x:v>Color: Medium t; Color classification: Xs / S / M / L</x:v>
      </x:c>
      <x:c r="E4273" s="25" t="str">
        <x:v>$4.99</x:v>
      </x:c>
      <x:c r="F4273" s="19" t="str">
        <x:v>3</x:v>
      </x:c>
    </x:row>
    <x:row r="4274" ht="93" customHeight="1">
      <x:c r="A4274" s="19" t="n">
        <x:v>4271</x:v>
      </x:c>
      <x:c r="B4274" s="22" t="e">
        <x:f>HYPERLINK("https://cdn.shopify.com/s/files/1/0918/6066/4603/files/b0fa29a829e6a3d982fb6f28e32c52ac.jpg?v=1778241748","Open")</x:f>
        <x:v>HYPERLINK is not implemented. linkLocation=https://cdn.shopify.com/s/files/1/0918/6066/4603/files/b0fa29a829e6a3d982fb6f28e32c52ac.jpg?v=1778241748, friendlyName=Open</x:v>
      </x:c>
      <x:c r="C4274" s="24" t="e">
        <x:f>HYPERLINK("https://365nails.com/products/365nails-amethyst-garden-3d-floral-pearl-handmade-long-almond-nails","365nails: ""Amethyst Garden"" – 3D Floral &amp; Pearl Handmade Long Almond Nails")</x:f>
        <x:v>HYPERLINK is not implemented. linkLocation=https://365nails.com/products/365nails-amethyst-garden-3d-floral-pearl-handmade-long-almond-nails, friendlyName=365nails: "Amethyst Garden" – 3D Floral &amp; Pearl Handmade Long Almond Nails</x:v>
      </x:c>
      <x:c r="D4274" s="18" t="str">
        <x:v>Size: XS / S / M / L</x:v>
      </x:c>
      <x:c r="E4274" s="25" t="str">
        <x:v>$4.99</x:v>
      </x:c>
      <x:c r="F4274" s="19" t="str">
        <x:v>5</x:v>
      </x:c>
    </x:row>
    <x:row r="4275" ht="93" customHeight="1">
      <x:c r="A4275" s="19" t="n">
        <x:v>4272</x:v>
      </x:c>
      <x:c r="B4275" s="22" t="e">
        <x:f>HYPERLINK("https://cdn.shopify.com/s/files/1/0918/6066/4603/files/O1CN01Jw4VsD2MQze3N8qhU__2219089449823-0-cib.jpg?v=1774097035","Open")</x:f>
        <x:v>HYPERLINK is not implemented. linkLocation=https://cdn.shopify.com/s/files/1/0918/6066/4603/files/O1CN01Jw4VsD2MQze3N8qhU__2219089449823-0-cib.jpg?v=1774097035, friendlyName=Open</x:v>
      </x:c>
      <x:c r="C4275" s="24" t="e">
        <x:f>HYPERLINK("https://365nails.com/products/kitty-fantasy-leopard-kitty-short-square-press-ons","Kitty Fantasy: ""Leopard Kitty"" – Short Square Press-Ons")</x:f>
        <x:v>HYPERLINK is not implemented. linkLocation=https://365nails.com/products/kitty-fantasy-leopard-kitty-short-square-press-ons, friendlyName=Kitty Fantasy: "Leopard Kitty" – Short Square Press-Ons</x:v>
      </x:c>
      <x:c r="D4275" s="18" t="str">
        <x:v>Color: L253; Color classification: X s / S / M / L</x:v>
      </x:c>
      <x:c r="E4275" s="25" t="str">
        <x:v>$4.99</x:v>
      </x:c>
      <x:c r="F4275" s="19" t="str">
        <x:v>1</x:v>
      </x:c>
    </x:row>
    <x:row r="4276" ht="93" customHeight="1">
      <x:c r="A4276" s="19" t="n">
        <x:v>4273</x:v>
      </x:c>
      <x:c r="B4276" s="22" t="e">
        <x:f>HYPERLINK("https://cdn.shopify.com/s/files/1/0918/6066/4603/files/41ee59574a377267cfcdaf881e94e086.jpg?v=1776246477","Open")</x:f>
        <x:v>HYPERLINK is not implemented. linkLocation=https://cdn.shopify.com/s/files/1/0918/6066/4603/files/41ee59574a377267cfcdaf881e94e086.jpg?v=1776246477, friendlyName=Open</x:v>
      </x:c>
      <x:c r="C4276" s="24" t="e">
        <x:f>HYPERLINK("https://365nails.com/products/365nails-hello-kittys-gift-box-3d-character-handmade-short-nails","365nails: ""Hello Kitty's Gift Box"" – 3D Character Handmade Short Nails")</x:f>
        <x:v>HYPERLINK is not implemented. linkLocation=https://365nails.com/products/365nails-hello-kittys-gift-box-3d-character-handmade-short-nails, friendlyName=365nails: "Hello Kitty's Gift Box" – 3D Character Handmade Short Nails</x:v>
      </x:c>
      <x:c r="D4276" s="18" t="str">
        <x:v>Size: XS / S / M / L</x:v>
      </x:c>
      <x:c r="E4276" s="25" t="str">
        <x:v>$2.49</x:v>
      </x:c>
      <x:c r="F4276" s="19" t="str">
        <x:v>3</x:v>
      </x:c>
    </x:row>
    <x:row r="4277" ht="93" customHeight="1">
      <x:c r="A4277" s="19" t="n">
        <x:v>4274</x:v>
      </x:c>
      <x:c r="B4277" s="22" t="e">
        <x:f>HYPERLINK("https://cdn.shopify.com/s/files/1/0918/6066/4603/files/O1CN01ZZhb0C1CPwMyMs597__2213196780074-0-cib.jpg?v=1777017429","Open")</x:f>
        <x:v>HYPERLINK is not implemented. linkLocation=https://cdn.shopify.com/s/files/1/0918/6066/4603/files/O1CN01ZZhb0C1CPwMyMs597__2213196780074-0-cib.jpg?v=1777017429, friendlyName=Open</x:v>
      </x:c>
      <x:c r="C4277" s="24" t="e">
        <x:f>HYPERLINK("https://365nails.com/products/365nails-golden-citrus-hand-painted-polka-dot-3d-gem-short-square-nails","365nails: ""Golden Citrus"" – Hand-Painted Polka Dot &amp; 3D Gem Short Square Nails")</x:f>
        <x:v>HYPERLINK is not implemented. linkLocation=https://365nails.com/products/365nails-golden-citrus-hand-painted-polka-dot-3d-gem-short-square-nails, friendlyName=365nails: "Golden Citrus" – Hand-Painted Polka Dot &amp; 3D Gem Short Square Nails</x:v>
      </x:c>
      <x:c r="D4277" s="18" t="str">
        <x:v>Color: 1346-super short ladder; Color classification: Xs / S / M / L</x:v>
      </x:c>
      <x:c r="E4277" s="25" t="str">
        <x:v>$2.99</x:v>
      </x:c>
      <x:c r="F4277" s="19" t="str">
        <x:v>1</x:v>
      </x:c>
    </x:row>
    <x:row r="4278" ht="93" customHeight="1">
      <x:c r="A4278" s="19" t="n">
        <x:v>4275</x:v>
      </x:c>
      <x:c r="B4278" s="22" t="e">
        <x:f>HYPERLINK("https://cdn.shopify.com/s/files/1/0918/6066/4603/files/O1CN01chOB0Y1CPwKOBW6DY__2213196780074-0-cib.jpg?v=1776763460","Open")</x:f>
        <x:v>HYPERLINK is not implemented. linkLocation=https://cdn.shopify.com/s/files/1/0918/6066/4603/files/O1CN01chOB0Y1CPwKOBW6DY__2213196780074-0-cib.jpg?v=1776763460, friendlyName=Open</x:v>
      </x:c>
      <x:c r="C4278" s="24" t="e">
        <x:f>HYPERLINK("https://365nails.com/products/365nails-velvet-crush-handcrafted-cat-eye-gradient-gemstone-coffin-nails","365nails: ""Velvet Crush"" – Handcrafted Cat Eye Gradient &amp; Gemstone Coffin Nails")</x:f>
        <x:v>HYPERLINK is not implemented. linkLocation=https://365nails.com/products/365nails-velvet-crush-handcrafted-cat-eye-gradient-gemstone-coffin-nails, friendlyName=365nails: "Velvet Crush" – Handcrafted Cat Eye Gradient &amp; Gemstone Coffin Nails</x:v>
      </x:c>
      <x:c r="D4278" s="18" t="str">
        <x:v>Color: 2671 extra long ladder; Color classification: Extra small size xs / Small s / Medium m / Large l</x:v>
      </x:c>
      <x:c r="E4278" s="25" t="str">
        <x:v>$3.99</x:v>
      </x:c>
      <x:c r="F4278" s="19" t="str">
        <x:v>1</x:v>
      </x:c>
    </x:row>
    <x:row r="4279" ht="93" customHeight="1">
      <x:c r="A4279" s="19" t="n">
        <x:v>4276</x:v>
      </x:c>
      <x:c r="B4279" s="22" t="e">
        <x:f>HYPERLINK("https://cdn.shopify.com/s/files/1/0918/6066/4603/files/5cf9844e65c0a8eef696edd822cb9d6d.jpg?v=1778241848","Open")</x:f>
        <x:v>HYPERLINK is not implemented. linkLocation=https://cdn.shopify.com/s/files/1/0918/6066/4603/files/5cf9844e65c0a8eef696edd822cb9d6d.jpg?v=1778241848, friendlyName=Open</x:v>
      </x:c>
      <x:c r="C4279" s="24" t="e">
        <x:f>HYPERLINK("https://365nails.com/products/365nails-blue-denim-dream-3d-ribbon-charm-handmade-long-coffin-nails","365nails: ""Blue Denim Dream"" – 3D Ribbon &amp; Charm Handmade Long Coffin Nails")</x:f>
        <x:v>HYPERLINK is not implemented. linkLocation=https://365nails.com/products/365nails-blue-denim-dream-3d-ribbon-charm-handmade-long-coffin-nails, friendlyName=365nails: "Blue Denim Dream" – 3D Ribbon &amp; Charm Handmade Long Coffin Nails</x:v>
      </x:c>
      <x:c r="D4279" s="18" t="str">
        <x:v>Size: XS / S / M / L</x:v>
      </x:c>
      <x:c r="E4279" s="25" t="str">
        <x:v>$4.99</x:v>
      </x:c>
      <x:c r="F4279" s="19" t="str">
        <x:v>5</x:v>
      </x:c>
    </x:row>
    <x:row r="4280" ht="93" customHeight="1">
      <x:c r="A4280" s="19" t="n">
        <x:v>4277</x:v>
      </x:c>
      <x:c r="B4280" s="22" t="e">
        <x:f>HYPERLINK("https://cdn.shopify.com/s/files/1/0918/6066/4603/files/6e5fb28ccd935dd76c4349155c077a00.jpg?v=1776244240","Open")</x:f>
        <x:v>HYPERLINK is not implemented. linkLocation=https://cdn.shopify.com/s/files/1/0918/6066/4603/files/6e5fb28ccd935dd76c4349155c077a00.jpg?v=1776244240, friendlyName=Open</x:v>
      </x:c>
      <x:c r="C4280" s="24" t="e">
        <x:f>HYPERLINK("https://365nails.com/products/365nails-kittys-blossom-garden-3d-floral-handmade-short-nails","365nails: ""Kitty's Blossom Garden"" – 3D Floral Handmade Short Nails")</x:f>
        <x:v>HYPERLINK is not implemented. linkLocation=https://365nails.com/products/365nails-kittys-blossom-garden-3d-floral-handmade-short-nails, friendlyName=365nails: "Kitty's Blossom Garden" – 3D Floral Handmade Short Nails</x:v>
      </x:c>
      <x:c r="D4280" s="18" t="str">
        <x:v>Size: XS / S / M / L</x:v>
      </x:c>
      <x:c r="E4280" s="25" t="str">
        <x:v>$2.49</x:v>
      </x:c>
      <x:c r="F4280" s="19" t="str">
        <x:v>3</x:v>
      </x:c>
    </x:row>
    <x:row r="4281" ht="93" customHeight="1">
      <x:c r="A4281" s="19" t="n">
        <x:v>4278</x:v>
      </x:c>
      <x:c r="B4281" s="22" t="e">
        <x:f>HYPERLINK("https://cdn.shopify.com/s/files/1/0918/6066/4603/files/O1CN01GHSDs91CPwQajNqvr__2213196780074-0-cib.jpg?v=1772373389","Open")</x:f>
        <x:v>HYPERLINK is not implemented. linkLocation=https://cdn.shopify.com/s/files/1/0918/6066/4603/files/O1CN01GHSDs91CPwQajNqvr__2213196780074-0-cib.jpg?v=1772373389, friendlyName=Open</x:v>
      </x:c>
      <x:c r="C4281" s="24" t="e">
        <x:f>HYPERLINK("https://365nails.com/products/glazed-gold-collection-ruby-whisper-short-square-short-oval-press-on-nails","Glazed Gold Collection: ""Ruby Whisper"" – Short Square/Short Oval Press-On Nails")</x:f>
        <x:v>HYPERLINK is not implemented. linkLocation=https://365nails.com/products/glazed-gold-collection-ruby-whisper-short-square-short-oval-press-on-nails, friendlyName=Glazed Gold Collection: "Ruby Whisper" – Short Square/Short Oval Press-On Nails</x:v>
      </x:c>
      <x:c r="D4281" s="18" t="str">
        <x:v>Color: 3467-new short square / 3469-new chinese side / 3471-short oval / 3473-mid ellipse; Color classification: Extra small xs / Small s / Medium m / Large l</x:v>
      </x:c>
      <x:c r="E4281" s="25" t="str">
        <x:v>$3.14</x:v>
      </x:c>
      <x:c r="F4281" s="19" t="str">
        <x:v>1</x:v>
      </x:c>
    </x:row>
    <x:row r="4282" ht="93" customHeight="1">
      <x:c r="A4282" s="19" t="n">
        <x:v>4279</x:v>
      </x:c>
      <x:c r="B4282" s="22" t="e">
        <x:f>HYPERLINK("https://cdn.shopify.com/s/files/1/0918/6066/4603/files/59bb44a7a25e9c396a14d567c2023178.jpg?v=1776172049","Open")</x:f>
        <x:v>HYPERLINK is not implemented. linkLocation=https://cdn.shopify.com/s/files/1/0918/6066/4603/files/59bb44a7a25e9c396a14d567c2023178.jpg?v=1776172049, friendlyName=Open</x:v>
      </x:c>
      <x:c r="C4282" s="24" t="e">
        <x:f>HYPERLINK("https://365nails.com/products/365nails-strawberry-patch-3d-strawberry-polka-dot-handmade-short-square-nails","365nails: ""Strawberry Patch"" – 3D Strawberry &amp; Polka Dot Handmade Short Square Nails")</x:f>
        <x:v>HYPERLINK is not implemented. linkLocation=https://365nails.com/products/365nails-strawberry-patch-3d-strawberry-polka-dot-handmade-short-square-nails, friendlyName=365nails: "Strawberry Patch" – 3D Strawberry &amp; Polka Dot Handmade Short Square Nails</x:v>
      </x:c>
      <x:c r="D4282" s="18" t="str">
        <x:v>Size: XS / S / M / L</x:v>
      </x:c>
      <x:c r="E4282" s="25" t="str">
        <x:v>$1.99</x:v>
      </x:c>
      <x:c r="F4282" s="19" t="str">
        <x:v>3</x:v>
      </x:c>
    </x:row>
    <x:row r="4283" ht="93" customHeight="1">
      <x:c r="A4283" s="19" t="n">
        <x:v>4280</x:v>
      </x:c>
      <x:c r="B4283" s="22" t="e">
        <x:f>HYPERLINK("https://cdn.shopify.com/s/files/1/0918/6066/4603/files/O1CN01wnQfuU2MQzeXWBFtJ__2219089449823-0-cib.jpg?v=1774178682","Open")</x:f>
        <x:v>HYPERLINK is not implemented. linkLocation=https://cdn.shopify.com/s/files/1/0918/6066/4603/files/O1CN01wnQfuU2MQzeXWBFtJ__2219089449823-0-cib.jpg?v=1774178682, friendlyName=Open</x:v>
      </x:c>
      <x:c r="C4283" s="24" t="e">
        <x:f>HYPERLINK("https://365nails.com/products/edgy-monochrome-series-leopard-bikini-long-almond-handmade-press-on-nails","Edgy Monochrome Series: ""Leopard Bikini"" – Long Almond Handmade Press-on Nails")</x:f>
        <x:v>HYPERLINK is not implemented. linkLocation=https://365nails.com/products/edgy-monochrome-series-leopard-bikini-long-almond-handmade-press-on-nails, friendlyName=Edgy Monochrome Series: "Leopard Bikini" – Long Almond Handmade Press-on Nails</x:v>
      </x:c>
      <x:c r="D4283" s="18" t="str">
        <x:v>Color: D558; Color classification: X s / S / M / L</x:v>
      </x:c>
      <x:c r="E4283" s="25" t="str">
        <x:v>$3.49</x:v>
      </x:c>
      <x:c r="F4283" s="19" t="str">
        <x:v>1</x:v>
      </x:c>
    </x:row>
    <x:row r="4284" ht="93" customHeight="1">
      <x:c r="A4284" s="19" t="n">
        <x:v>4281</x:v>
      </x:c>
      <x:c r="B4284" s="22" t="e">
        <x:f>HYPERLINK("https://cdn.shopify.com/s/files/1/0918/6066/4603/files/O1CN01b7LINI27ZUmHaRypB__2220024697811-0-cib.jpg?v=1775106117","Open")</x:f>
        <x:v>HYPERLINK is not implemented. linkLocation=https://cdn.shopify.com/s/files/1/0918/6066/4603/files/O1CN01b7LINI27ZUmHaRypB__2220024697811-0-cib.jpg?v=1775106117, friendlyName=Open</x:v>
      </x:c>
      <x:c r="C4284" s="24" t="e">
        <x:f>HYPERLINK("https://365nails.com/products/365nails-imperial-gold-3d-ornate-carving-handmade-stiletto-nails","365nails: ""Imperial Gold"" – 3D Ornate Carving Handmade Stiletto Nails")</x:f>
        <x:v>HYPERLINK is not implemented. linkLocation=https://365nails.com/products/365nails-imperial-gold-3d-ornate-carving-handmade-stiletto-nails, friendlyName=365nails: "Imperial Gold" – 3D Ornate Carving Handmade Stiletto Nails</x:v>
      </x:c>
      <x:c r="D4284" s="18" t="str">
        <x:v>Color: Long tip; Color classification: Xs / S / M / L</x:v>
      </x:c>
      <x:c r="E4284" s="25" t="str">
        <x:v>$4.99</x:v>
      </x:c>
      <x:c r="F4284" s="19" t="str">
        <x:v>3</x:v>
      </x:c>
    </x:row>
    <x:row r="4285" ht="93" customHeight="1">
      <x:c r="A4285" s="19" t="n">
        <x:v>4282</x:v>
      </x:c>
      <x:c r="B4285" s="22" t="e">
        <x:f>HYPERLINK("https://cdn.shopify.com/s/files/1/0918/6066/4603/files/e4808c88edef527785bd8a7c6ebcd89d.jpg?v=1776243627","Open")</x:f>
        <x:v>HYPERLINK is not implemented. linkLocation=https://cdn.shopify.com/s/files/1/0918/6066/4603/files/e4808c88edef527785bd8a7c6ebcd89d.jpg?v=1776243627, friendlyName=Open</x:v>
      </x:c>
      <x:c r="C4285" s="24" t="e">
        <x:f>HYPERLINK("https://365nails.com/products/365nails-pumpkin-ghosts-party-3d-character-handmade-short-nails","365nails: ""Pumpkin Ghost's Party"" – 3D Character Handmade Short Nails")</x:f>
        <x:v>HYPERLINK is not implemented. linkLocation=https://365nails.com/products/365nails-pumpkin-ghosts-party-3d-character-handmade-short-nails, friendlyName=365nails: "Pumpkin Ghost's Party" – 3D Character Handmade Short Nails</x:v>
      </x:c>
      <x:c r="D4285" s="18" t="str">
        <x:v>Size: XS / S / M / L</x:v>
      </x:c>
      <x:c r="E4285" s="25" t="str">
        <x:v>$2.49</x:v>
      </x:c>
      <x:c r="F4285" s="19" t="str">
        <x:v>3</x:v>
      </x:c>
    </x:row>
    <x:row r="4286" ht="93" customHeight="1">
      <x:c r="A4286" s="19" t="n">
        <x:v>4283</x:v>
      </x:c>
      <x:c r="B4286" s="22" t="e">
        <x:f>HYPERLINK("https://cdn.shopify.com/s/files/1/0918/6066/4603/files/02d6cc31ba820e131abc2af4ae989c38.jpg?v=1778245074","Open")</x:f>
        <x:v>HYPERLINK is not implemented. linkLocation=https://cdn.shopify.com/s/files/1/0918/6066/4603/files/02d6cc31ba820e131abc2af4ae989c38.jpg?v=1778245074, friendlyName=Open</x:v>
      </x:c>
      <x:c r="C4286" s="24" t="e">
        <x:f>HYPERLINK("https://365nails.com/products/365nails-golden-leaf-3d-floral-handmade-coffin-nails","365nails: ""Golden Leaf"" – 3D Floral Handmade Coffin Nails")</x:f>
        <x:v>HYPERLINK is not implemented. linkLocation=https://365nails.com/products/365nails-golden-leaf-3d-floral-handmade-coffin-nails, friendlyName=365nails: "Golden Leaf" – 3D Floral Handmade Coffin Nails</x:v>
      </x:c>
      <x:c r="D4286" s="18" t="str">
        <x:v>Size: XS / S / M / L</x:v>
      </x:c>
      <x:c r="E4286" s="25" t="str">
        <x:v>$3.99</x:v>
      </x:c>
      <x:c r="F4286" s="19" t="str">
        <x:v>5</x:v>
      </x:c>
    </x:row>
    <x:row r="4287" ht="93" customHeight="1">
      <x:c r="A4287" s="19" t="n">
        <x:v>4284</x:v>
      </x:c>
      <x:c r="B4287" s="22" t="e">
        <x:f>HYPERLINK("https://cdn.shopify.com/s/files/1/0918/6066/4603/files/5f57b89869275b6095d80f0aa55ccc5e.jpg?v=1778240319","Open")</x:f>
        <x:v>HYPERLINK is not implemented. linkLocation=https://cdn.shopify.com/s/files/1/0918/6066/4603/files/5f57b89869275b6095d80f0aa55ccc5e.jpg?v=1778240319, friendlyName=Open</x:v>
      </x:c>
      <x:c r="C4287" s="24" t="e">
        <x:f>HYPERLINK("https://365nails.com/products/365nails-tropical-bloom-3d-floral-crystal-handmade-medium-coffin-nails","365nails: ""Tropical Bloom"" – 3D Floral &amp; Crystal Handmade Medium Coffin Nails")</x:f>
        <x:v>HYPERLINK is not implemented. linkLocation=https://365nails.com/products/365nails-tropical-bloom-3d-floral-crystal-handmade-medium-coffin-nails, friendlyName=365nails: "Tropical Bloom" – 3D Floral &amp; Crystal Handmade Medium Coffin Nails</x:v>
      </x:c>
      <x:c r="D4287" s="18" t="str">
        <x:v>Size: XS / S / M / L</x:v>
      </x:c>
      <x:c r="E4287" s="25" t="str">
        <x:v>$4.99</x:v>
      </x:c>
      <x:c r="F4287" s="19" t="str">
        <x:v>5</x:v>
      </x:c>
    </x:row>
    <x:row r="4288" ht="93" customHeight="1">
      <x:c r="A4288" s="19" t="n">
        <x:v>4285</x:v>
      </x:c>
      <x:c r="B4288" s="22" t="e">
        <x:f>HYPERLINK("https://cdn.shopify.com/s/files/1/0918/6066/4603/files/O1CN01ooM4Da2214uHeRlCY__2219480337059-0-cib.jpg?v=1774070372","Open")</x:f>
        <x:v>HYPERLINK is not implemented. linkLocation=https://cdn.shopify.com/s/files/1/0918/6066/4603/files/O1CN01ooM4Da2214uHeRlCY__2219480337059-0-cib.jpg?v=1774070372, friendlyName=Open</x:v>
      </x:c>
      <x:c r="C4288" s="24" t="e">
        <x:f>HYPERLINK("https://365nails.com/products/365nails-peach-blush-glow-handmade-cute-short-oval-press-on-nails-with-peach-design","365Nails: ""Peach Blush Glow"" – Handmade Cute Short Oval Press On Nails With Peach Design")</x:f>
        <x:v>HYPERLINK is not implemented. linkLocation=https://365nails.com/products/365nails-peach-blush-glow-handmade-cute-short-oval-press-on-nails-with-peach-design, friendlyName=365Nails: "Peach Blush Glow" – Handmade Cute Short Oval Press On Nails With Peach Design</x:v>
      </x:c>
      <x:c r="D4288" s="18" t="str">
        <x:v>Color: Iced peach; Color classification: Xs (about 2 years old) / S (3-4 years old) / M (5-7 years old) / L (8-11 years old)</x:v>
      </x:c>
      <x:c r="E4288" s="25" t="str">
        <x:v>$2.99</x:v>
      </x:c>
      <x:c r="F4288" s="19" t="str">
        <x:v>3</x:v>
      </x:c>
    </x:row>
    <x:row r="4289" ht="93" customHeight="1">
      <x:c r="A4289" s="19" t="n">
        <x:v>4286</x:v>
      </x:c>
      <x:c r="B4289" s="22" t="e">
        <x:f>HYPERLINK("https://cdn.shopify.com/s/files/1/0918/6066/4603/files/O1CN01EPhZqR22SYiKA0RV2__2219370087119-0-cib.jpg?v=1772373481","Open")</x:f>
        <x:v>HYPERLINK is not implemented. linkLocation=https://cdn.shopify.com/s/files/1/0918/6066/4603/files/O1CN01EPhZqR22SYiKA0RV2__2219370087119-0-cib.jpg?v=1772373481, friendlyName=Open</x:v>
      </x:c>
      <x:c r="C4289" s="24" t="e">
        <x:f>HYPERLINK("https://365nails.com/products/floral-fantasy-collection-spring-blossom-short-square-press-on-nails","Floral Fantasy Collection: ""Spring Blossom"" – Short Square Press-On Nails")</x:f>
        <x:v>HYPERLINK is not implemented. linkLocation=https://365nails.com/products/floral-fantasy-collection-spring-blossom-short-square-press-on-nails, friendlyName=Floral Fantasy Collection: "Spring Blossom" – Short Square Press-On Nails</x:v>
      </x:c>
      <x:c r="D4289" s="18" t="str">
        <x:v>Color: L / M / S; Color classification: M</x:v>
      </x:c>
      <x:c r="E4289" s="25" t="str">
        <x:v>$5.72</x:v>
      </x:c>
      <x:c r="F4289" s="19" t="str">
        <x:v>1</x:v>
      </x:c>
    </x:row>
    <x:row r="4290" ht="93" customHeight="1">
      <x:c r="A4290" s="19" t="n">
        <x:v>4287</x:v>
      </x:c>
      <x:c r="B4290" s="22" t="e">
        <x:f>HYPERLINK("https://cdn.shopify.com/s/files/1/0918/6066/4603/files/O1CN01Zlw6km27ZUlEqkRnn__2220024697811-0-cib.jpg?v=1775107612","Open")</x:f>
        <x:v>HYPERLINK is not implemented. linkLocation=https://cdn.shopify.com/s/files/1/0918/6066/4603/files/O1CN01Zlw6km27ZUlEqkRnn__2220024697811-0-cib.jpg?v=1775107612, friendlyName=Open</x:v>
      </x:c>
      <x:c r="C4290" s="24" t="e">
        <x:f>HYPERLINK("https://365nails.com/products/365nails-midnight-bloom-3d-floral-matte-handmade-short-almond-nails","365nails: ""Midnight Bloom"" – 3D Floral Matte Handmade Short Almond Nails")</x:f>
        <x:v>HYPERLINK is not implemented. linkLocation=https://365nails.com/products/365nails-midnight-bloom-3d-floral-matte-handmade-short-almond-nails, friendlyName=365nails: "Midnight Bloom" – 3D Floral Matte Handmade Short Almond Nails</x:v>
      </x:c>
      <x:c r="D4290" s="18" t="str">
        <x:v>Color: Almond; Color classification: Xs / S / M / L</x:v>
      </x:c>
      <x:c r="E4290" s="25" t="str">
        <x:v>$4.49</x:v>
      </x:c>
      <x:c r="F4290" s="19" t="str">
        <x:v>3</x:v>
      </x:c>
    </x:row>
    <x:row r="4291" ht="93" customHeight="1">
      <x:c r="A4291" s="19" t="n">
        <x:v>4288</x:v>
      </x:c>
      <x:c r="B4291" s="22" t="e">
        <x:f>HYPERLINK("https://cdn.shopify.com/s/files/1/0918/6066/4603/files/776c43de1093ead5b612c9281b8f696b.jpg?v=1776149562","Open")</x:f>
        <x:v>HYPERLINK is not implemented. linkLocation=https://cdn.shopify.com/s/files/1/0918/6066/4603/files/776c43de1093ead5b612c9281b8f696b.jpg?v=1776149562, friendlyName=Open</x:v>
      </x:c>
      <x:c r="C4291" s="24" t="e">
        <x:f>HYPERLINK("https://365nails.com/products/365nails-sweet-bunny-berry-3d-character-sculpture-handmade-short-square-nails","365nails: ""Sweet Bunny Berry"" – 3D Character Sculpture Handmade Short Square Nails")</x:f>
        <x:v>HYPERLINK is not implemented. linkLocation=https://365nails.com/products/365nails-sweet-bunny-berry-3d-character-sculpture-handmade-short-square-nails, friendlyName=365nails: "Sweet Bunny Berry" – 3D Character Sculpture Handmade Short Square Nails</x:v>
      </x:c>
      <x:c r="D4291" s="18" t="str">
        <x:v>Size: XS / S / M / L</x:v>
      </x:c>
      <x:c r="E4291" s="25" t="str">
        <x:v>$1.99</x:v>
      </x:c>
      <x:c r="F4291" s="19" t="str">
        <x:v>3</x:v>
      </x:c>
    </x:row>
    <x:row r="4292" ht="93" customHeight="1">
      <x:c r="A4292" s="19" t="n">
        <x:v>4289</x:v>
      </x:c>
      <x:c r="B4292" s="22" t="e">
        <x:f>HYPERLINK("https://cdn.shopify.com/s/files/1/0918/6066/4603/files/O1CN01uzcviv1CPwJcpb9pj__2213196780074-0-cib.jpg?v=1775978726","Open")</x:f>
        <x:v>HYPERLINK is not implemented. linkLocation=https://cdn.shopify.com/s/files/1/0918/6066/4603/files/O1CN01uzcviv1CPwJcpb9pj__2213196780074-0-cib.jpg?v=1775978726, friendlyName=Open</x:v>
      </x:c>
      <x:c r="C4292" s="24" t="e">
        <x:f>HYPERLINK("https://365nails.com/products/365nails-midnight-mirage-cat-eye-rhinestone-handmade-press-on-nails-short-square-nails","365nails: ""Midnight Mirage"" – Cat Eye &amp; Rhinestone Handmade Press on Nails Short Square Nails")</x:f>
        <x:v>HYPERLINK is not implemented. linkLocation=https://365nails.com/products/365nails-midnight-mirage-cat-eye-rhinestone-handmade-press-on-nails-short-square-nails, friendlyName=365nails: "Midnight Mirage" – Cat Eye &amp; Rhinestone Handmade Press on Nails Short Square Nails</x:v>
      </x:c>
      <x:c r="D4292" s="18" t="str">
        <x:v>Color: Extra small size xs / Small s / Medium m / Large l; Specification type: 2430 medium oval</x:v>
      </x:c>
      <x:c r="E4292" s="25" t="str">
        <x:v>$3.49</x:v>
      </x:c>
      <x:c r="F4292" s="19" t="str">
        <x:v>3</x:v>
      </x:c>
    </x:row>
    <x:row r="4293" ht="93" customHeight="1">
      <x:c r="A4293" s="19" t="n">
        <x:v>4290</x:v>
      </x:c>
      <x:c r="B4293" s="22" t="e">
        <x:f>HYPERLINK("https://cdn.shopify.com/s/files/1/0918/6066/4603/files/O1CN01jciEgw1CPwKZnOIAp__2213196780074-0-cib.jpg?v=1777119440","Open")</x:f>
        <x:v>HYPERLINK is not implemented. linkLocation=https://cdn.shopify.com/s/files/1/0918/6066/4603/files/O1CN01jciEgw1CPwKZnOIAp__2213196780074-0-cib.jpg?v=1777119440, friendlyName=Open</x:v>
      </x:c>
      <x:c r="C4293" s="24" t="e">
        <x:f>HYPERLINK("https://365nails.com/products/365nails-crimson-bloom-3d-floral-rhinestone-handmade-short-square-nails","365nails: ""Crimson Bloom"" – 3D Floral Rhinestone Handmade Short Square Nails")</x:f>
        <x:v>HYPERLINK is not implemented. linkLocation=https://365nails.com/products/365nails-crimson-bloom-3d-floral-rhinestone-handmade-short-square-nails, friendlyName=365nails: "Crimson Bloom" – 3D Floral Rhinestone Handmade Short Square Nails</x:v>
      </x:c>
      <x:c r="D4293" s="18" t="str">
        <x:v>Color: Extra small size xs / Small s / Medium m / Large l; Specification type: 2752-super short ladder</x:v>
      </x:c>
      <x:c r="E4293" s="25" t="str">
        <x:v>$3.49</x:v>
      </x:c>
      <x:c r="F4293" s="19" t="str">
        <x:v>1</x:v>
      </x:c>
    </x:row>
    <x:row r="4294" ht="93" customHeight="1">
      <x:c r="A4294" s="19" t="n">
        <x:v>4291</x:v>
      </x:c>
      <x:c r="B4294" s="22" t="e">
        <x:f>HYPERLINK("https://cdn.shopify.com/s/files/1/0918/6066/4603/files/5f18564ab57797b1f0e370764f5f1748.jpg?v=1776416545","Open")</x:f>
        <x:v>HYPERLINK is not implemented. linkLocation=https://cdn.shopify.com/s/files/1/0918/6066/4603/files/5f18564ab57797b1f0e370764f5f1748.jpg?v=1776416545, friendlyName=Open</x:v>
      </x:c>
      <x:c r="C4294" s="24" t="e">
        <x:f>HYPERLINK("https://365nails.com/products/365nails-misty-blue-3d-floral-handmade-medium-coffin-nails","365nails: ""Misty Blue"" – 3D Floral Handmade Medium Coffin Nails")</x:f>
        <x:v>HYPERLINK is not implemented. linkLocation=https://365nails.com/products/365nails-misty-blue-3d-floral-handmade-medium-coffin-nails, friendlyName=365nails: "Misty Blue" – 3D Floral Handmade Medium Coffin Nails</x:v>
      </x:c>
      <x:c r="D4294" s="18" t="str">
        <x:v>Size: XS / S / M / L</x:v>
      </x:c>
      <x:c r="E4294" s="25" t="str">
        <x:v>$2.99</x:v>
      </x:c>
      <x:c r="F4294" s="19" t="str">
        <x:v>5</x:v>
      </x:c>
    </x:row>
    <x:row r="4295" ht="93" customHeight="1">
      <x:c r="A4295" s="19" t="n">
        <x:v>4292</x:v>
      </x:c>
      <x:c r="B4295" s="22" t="e">
        <x:f>HYPERLINK("https://cdn.shopify.com/s/files/1/0918/6066/4603/files/O1CN01tnK93Q27ZUmELHW8Q__2220024697811-0-cib.jpg?v=1775112398","Open")</x:f>
        <x:v>HYPERLINK is not implemented. linkLocation=https://cdn.shopify.com/s/files/1/0918/6066/4603/files/O1CN01tnK93Q27ZUmELHW8Q__2220024697811-0-cib.jpg?v=1775112398, friendlyName=Open</x:v>
      </x:c>
      <x:c r="C4295" s="24" t="e">
        <x:f>HYPERLINK("https://365nails.com/products/365nails-retro-noir-3d-floral-polka-dot-handmade-long-stiletto-nails","365nails: ""Retro Noir"" – 3D Floral &amp; Polka Dot Handmade Long Stiletto Nails")</x:f>
        <x:v>HYPERLINK is not implemented. linkLocation=https://365nails.com/products/365nails-retro-noir-3d-floral-polka-dot-handmade-long-stiletto-nails, friendlyName=365nails: "Retro Noir" – 3D Floral &amp; Polka Dot Handmade Long Stiletto Nails</x:v>
      </x:c>
      <x:c r="D4295" s="18" t="str">
        <x:v>Color: Long tip; Color classification: Xs / S / M / L</x:v>
      </x:c>
      <x:c r="E4295" s="25" t="str">
        <x:v>$4.49</x:v>
      </x:c>
      <x:c r="F4295" s="19" t="str">
        <x:v>3</x:v>
      </x:c>
    </x:row>
    <x:row r="4296" ht="93" customHeight="1">
      <x:c r="A4296" s="19" t="n">
        <x:v>4293</x:v>
      </x:c>
      <x:c r="B4296" s="22" t="e">
        <x:f>HYPERLINK("https://cdn.shopify.com/s/files/1/0918/6066/4603/files/O1CN014E7Kko2MQzf9zLPZr__2219089449823-0-cib.jpg?v=1774452877","Open")</x:f>
        <x:v>HYPERLINK is not implemented. linkLocation=https://cdn.shopify.com/s/files/1/0918/6066/4603/files/O1CN014E7Kko2MQzf9zLPZr__2219089449823-0-cib.jpg?v=1774452877, friendlyName=Open</x:v>
      </x:c>
      <x:c r="C4296" s="24" t="e">
        <x:f>HYPERLINK("https://365nails.com/products/autumn-bloom-orange-floral-glow-almond-shape-handmade-press-ons","Autumn Bloom: ""Orange Floral Glow"" – Almond Shape Handmade Press-Ons")</x:f>
        <x:v>HYPERLINK is not implemented. linkLocation=https://365nails.com/products/autumn-bloom-orange-floral-glow-almond-shape-handmade-press-ons, friendlyName=Autumn Bloom: "Orange Floral Glow" – Almond Shape Handmade Press-Ons</x:v>
      </x:c>
      <x:c r="D4296" s="18" t="str">
        <x:v>Color: D604; Color classification: X s / S / M / L</x:v>
      </x:c>
      <x:c r="E4296" s="25" t="str">
        <x:v>$3.49</x:v>
      </x:c>
      <x:c r="F4296" s="19" t="str">
        <x:v>1</x:v>
      </x:c>
    </x:row>
    <x:row r="4297" ht="93" customHeight="1">
      <x:c r="A4297" s="19" t="n">
        <x:v>4294</x:v>
      </x:c>
      <x:c r="B4297" s="22" t="e">
        <x:f>HYPERLINK("https://cdn.shopify.com/s/files/1/0918/6066/4603/files/7f781be7e5db252eba07906b7fbd4afe.jpg?v=1773908612","Open")</x:f>
        <x:v>HYPERLINK is not implemented. linkLocation=https://cdn.shopify.com/s/files/1/0918/6066/4603/files/7f781be7e5db252eba07906b7fbd4afe.jpg?v=1773908612, friendlyName=Open</x:v>
      </x:c>
      <x:c r="C4297" s="24" t="e">
        <x:f>HYPERLINK("https://365nails.com/products/365nails-ice-mist-ink-flow-handmade-press-on-nails-ink-wash-impression-futuristic-tech","365Nails: ""Ice Mist Ink Flow"" – handmade press-on nails (Ink Wash Impression/Futuristic Tech)")</x:f>
        <x:v>HYPERLINK is not implemented. linkLocation=https://365nails.com/products/365nails-ice-mist-ink-flow-handmade-press-on-nails-ink-wash-impression-futuristic-tech, friendlyName=365Nails: "Ice Mist Ink Flow" – handmade press-on nails (Ink Wash Impression/Futuristic Tech)</x:v>
      </x:c>
      <x:c r="D4297" s="18" t="str">
        <x:v>Size: XS / S / M / L</x:v>
      </x:c>
      <x:c r="E4297" s="25" t="str">
        <x:v>$3.99</x:v>
      </x:c>
      <x:c r="F4297" s="19" t="str">
        <x:v>5</x:v>
      </x:c>
    </x:row>
    <x:row r="4298" ht="93" customHeight="1">
      <x:c r="A4298" s="19" t="n">
        <x:v>4295</x:v>
      </x:c>
      <x:c r="B4298" s="22" t="e">
        <x:f>HYPERLINK("https://cdn.shopify.com/s/files/1/0918/6066/4603/files/O1CN01mRhimo2214sw243HB__2219480337059-0-cib_f5f00de4-26d0-4d18-b058-2d32091cb012.jpg?v=1774069965","Open")</x:f>
        <x:v>HYPERLINK is not implemented. linkLocation=https://cdn.shopify.com/s/files/1/0918/6066/4603/files/O1CN01mRhimo2214sw243HB__2219480337059-0-cib_f5f00de4-26d0-4d18-b058-2d32091cb012.jpg?v=1774069965, friendlyName=Open</x:v>
      </x:c>
      <x:c r="C4298" s="24" t="e">
        <x:f>HYPERLINK("https://365nails.com/products/365nails-hello-kitty-ruby-bow-handmade-cute-short-oval-press-on-nails","365Nails: ""Hello Kitty Ruby Bow"" – Handmade Cute Short Oval Press On Nails")</x:f>
        <x:v>HYPERLINK is not implemented. linkLocation=https://365nails.com/products/365nails-hello-kitty-ruby-bow-handmade-cute-short-oval-press-on-nails, friendlyName=365Nails: "Hello Kitty Ruby Bow" – Handmade Cute Short Oval Press On Nails</x:v>
      </x:c>
      <x:c r="D4298" s="18" t="str">
        <x:v>Color: Metal bow hello kitty; Color classification: Xs (about 2 years old) / S (3-4 years old) / M (5-7 years old) / L (8-11 years old)</x:v>
      </x:c>
      <x:c r="E4298" s="25" t="str">
        <x:v>$2.99</x:v>
      </x:c>
      <x:c r="F4298" s="19" t="str">
        <x:v>3</x:v>
      </x:c>
    </x:row>
    <x:row r="4299" ht="93" customHeight="1">
      <x:c r="A4299" s="19" t="n">
        <x:v>4296</x:v>
      </x:c>
      <x:c r="B4299" s="22" t="e">
        <x:f>HYPERLINK("https://cdn.shopify.com/s/files/1/0918/6066/4603/files/O1CN014nGD8w2MQzdxVuqS8__2219089449823-0-cib.jpg?v=1774097015","Open")</x:f>
        <x:v>HYPERLINK is not implemented. linkLocation=https://cdn.shopify.com/s/files/1/0918/6066/4603/files/O1CN014nGD8w2MQzdxVuqS8__2219089449823-0-cib.jpg?v=1774097015, friendlyName=Open</x:v>
      </x:c>
      <x:c r="C4299" s="24" t="e">
        <x:f>HYPERLINK("https://365nails.com/products/sakura-fantasy-pink-blossom-short-square-press-ons","Sakura Fantasy: ""Pink Blossom"" – Short Square Press-Ons")</x:f>
        <x:v>HYPERLINK is not implemented. linkLocation=https://365nails.com/products/sakura-fantasy-pink-blossom-short-square-press-ons, friendlyName=Sakura Fantasy: "Pink Blossom" – Short Square Press-Ons</x:v>
      </x:c>
      <x:c r="D4299" s="18" t="str">
        <x:v>Color: L259; Color classification: X s / S / M / L</x:v>
      </x:c>
      <x:c r="E4299" s="25" t="str">
        <x:v>$4.99</x:v>
      </x:c>
      <x:c r="F4299" s="19" t="str">
        <x:v>1</x:v>
      </x:c>
    </x:row>
    <x:row r="4300" ht="93" customHeight="1">
      <x:c r="A4300" s="19" t="n">
        <x:v>4297</x:v>
      </x:c>
      <x:c r="B4300" s="22" t="e">
        <x:f>HYPERLINK("https://cdn.shopify.com/s/files/1/0918/6066/4603/files/4fb52862888afbdeaeb49055ecef35ca.jpg?v=1776150196","Open")</x:f>
        <x:v>HYPERLINK is not implemented. linkLocation=https://cdn.shopify.com/s/files/1/0918/6066/4603/files/4fb52862888afbdeaeb49055ecef35ca.jpg?v=1776150196, friendlyName=Open</x:v>
      </x:c>
      <x:c r="C4300" s="24" t="e">
        <x:f>HYPERLINK("https://365nails.com/products/365nails-candy-land-pop-3d-sweets-donut-handmade-short-square-nails","365nails: ""Candy Land Pop"" – 3D Sweets &amp; Donut Handmade Short Square Nails")</x:f>
        <x:v>HYPERLINK is not implemented. linkLocation=https://365nails.com/products/365nails-candy-land-pop-3d-sweets-donut-handmade-short-square-nails, friendlyName=365nails: "Candy Land Pop" – 3D Sweets &amp; Donut Handmade Short Square Nails</x:v>
      </x:c>
      <x:c r="D4300" s="18" t="str">
        <x:v>Size: XS / S / M / L</x:v>
      </x:c>
      <x:c r="E4300" s="25" t="str">
        <x:v>$1.99</x:v>
      </x:c>
      <x:c r="F4300" s="19" t="str">
        <x:v>3</x:v>
      </x:c>
    </x:row>
    <x:row r="4301" ht="93" customHeight="1">
      <x:c r="A4301" s="19" t="n">
        <x:v>4298</x:v>
      </x:c>
      <x:c r="B4301" s="22" t="e">
        <x:f>HYPERLINK("https://cdn.shopify.com/s/files/1/0918/6066/4603/files/O1CN01cENMAA27ZUmW6u4QW__2220024697811-0-cib.jpg?v=1775111076","Open")</x:f>
        <x:v>HYPERLINK is not implemented. linkLocation=https://cdn.shopify.com/s/files/1/0918/6066/4603/files/O1CN01cENMAA27ZUmW6u4QW__2220024697811-0-cib.jpg?v=1775111076, friendlyName=Open</x:v>
      </x:c>
      <x:c r="C4301" s="24" t="e">
        <x:f>HYPERLINK("https://365nails.com/products/365nails-retro-bloom-3d-floral-pearl-handmade-short-square-nails","365nails: ""Retro Bloom"" – 3D Floral &amp; Pearl Handmade Short Square Nails")</x:f>
        <x:v>HYPERLINK is not implemented. linkLocation=https://365nails.com/products/365nails-retro-bloom-3d-floral-pearl-handmade-short-square-nails, friendlyName=365nails: "Retro Bloom" – 3D Floral &amp; Pearl Handmade Short Square Nails</x:v>
      </x:c>
      <x:c r="D4301" s="18" t="str">
        <x:v>Color: European; Color classification: Xs / S / M / L</x:v>
      </x:c>
      <x:c r="E4301" s="25" t="str">
        <x:v>$4.99</x:v>
      </x:c>
      <x:c r="F4301" s="19" t="str">
        <x:v>3</x:v>
      </x:c>
    </x:row>
    <x:row r="4302" ht="93" customHeight="1">
      <x:c r="A4302" s="19" t="n">
        <x:v>4299</x:v>
      </x:c>
      <x:c r="B4302" s="22" t="e">
        <x:f>HYPERLINK("https://cdn.shopify.com/s/files/1/0918/6066/4603/files/O1CN01OwrcoW2MQze4pcD0j__2219089449823-0-cib.jpg?v=1774097057","Open")</x:f>
        <x:v>HYPERLINK is not implemented. linkLocation=https://cdn.shopify.com/s/files/1/0918/6066/4603/files/O1CN01OwrcoW2MQze4pcD0j__2219089449823-0-cib.jpg?v=1774097057, friendlyName=Open</x:v>
      </x:c>
      <x:c r="C4302" s="24" t="e">
        <x:f>HYPERLINK("https://365nails.com/products/blush-bride-cherry-blossom-almond-press-ons","Blush Bride: ""Cherry Blossom"" – Almond Press-Ons")</x:f>
        <x:v>HYPERLINK is not implemented. linkLocation=https://365nails.com/products/blush-bride-cherry-blossom-almond-press-ons, friendlyName=Blush Bride: "Cherry Blossom" – Almond Press-Ons</x:v>
      </x:c>
      <x:c r="D4302" s="18" t="str">
        <x:v>Color: D409; Color classification: X s / S / M / L</x:v>
      </x:c>
      <x:c r="E4302" s="25" t="str">
        <x:v>$3.99</x:v>
      </x:c>
      <x:c r="F4302" s="19" t="str">
        <x:v>1</x:v>
      </x:c>
    </x:row>
    <x:row r="4303" ht="93" customHeight="1">
      <x:c r="A4303" s="19" t="n">
        <x:v>4300</x:v>
      </x:c>
      <x:c r="B4303" s="22" t="e">
        <x:f>HYPERLINK("https://cdn.shopify.com/s/files/1/0918/6066/4603/files/O1CN01Z5xZxU2214sHEF3WW__2219480337059-0-cib.jpg?v=1774068040","Open")</x:f>
        <x:v>HYPERLINK is not implemented. linkLocation=https://cdn.shopify.com/s/files/1/0918/6066/4603/files/O1CN01Z5xZxU2214sHEF3WW__2219480337059-0-cib.jpg?v=1774068040, friendlyName=Open</x:v>
      </x:c>
      <x:c r="C4303" s="24" t="e">
        <x:f>HYPERLINK("https://365nails.com/products/365nails-toy-story-funhouse-handmade-cute-short-oval-press-on-nails-with-toy-story-character-design","365Nails: ""Toy Story Funhouse"" – Handmade Cute Short Oval Press On Nails With Toy Story Character Design")</x:f>
        <x:v>HYPERLINK is not implemented. linkLocation=https://365nails.com/products/365nails-toy-story-funhouse-handmade-cute-short-oval-press-on-nails-with-toy-story-character-design, friendlyName=365Nails: "Toy Story Funhouse" – Handmade Cute Short Oval Press On Nails With Toy Story Character Design</x:v>
      </x:c>
      <x:c r="D4303" s="18" t="str">
        <x:v>Color: Winnie the pooh; Color classification: Xs (2-3 years old) / S (3-4 years old) / M (5-7 years old) / L (8-11 years old)</x:v>
      </x:c>
      <x:c r="E4303" s="25" t="str">
        <x:v>$2.99</x:v>
      </x:c>
      <x:c r="F4303" s="19" t="str">
        <x:v>3</x:v>
      </x:c>
    </x:row>
    <x:row r="4304" ht="93" customHeight="1">
      <x:c r="A4304" s="19" t="n">
        <x:v>4301</x:v>
      </x:c>
      <x:c r="B4304" s="22" t="e">
        <x:f>HYPERLINK("https://cdn.shopify.com/s/files/1/0918/6066/4603/files/O1CN01nsYtDf2214usyTkj4__2219480337059-0-cib.jpg?v=1773321134","Open")</x:f>
        <x:v>HYPERLINK is not implemented. linkLocation=https://cdn.shopify.com/s/files/1/0918/6066/4603/files/O1CN01nsYtDf2214usyTkj4__2219480337059-0-cib.jpg?v=1773321134, friendlyName=Open</x:v>
      </x:c>
      <x:c r="C4304" s="24" t="e">
        <x:f>HYPERLINK("https://365nails.com/products/365nails-cherry-berry-hello-kitty-short-round-handmade-kids-press-on-nails","365nails: ""cherry berry hello kitty"" – short round handmade kids press-on nails")</x:f>
        <x:v>HYPERLINK is not implemented. linkLocation=https://365nails.com/products/365nails-cherry-berry-hello-kitty-short-round-handmade-kids-press-on-nails, friendlyName=365nails: "cherry berry hello kitty" – short round handmade kids press-on nails</x:v>
      </x:c>
      <x:c r="D4304" s="18" t="str">
        <x:v>Color: Butterfly strawberry hello kitty; Color classification: Xs (about 2 years old) / S (3-4 years old) / M (5-7 years old) / L (8-11 years old)</x:v>
      </x:c>
      <x:c r="E4304" s="25" t="str">
        <x:v>$2.99</x:v>
      </x:c>
      <x:c r="F4304" s="19" t="str">
        <x:v>3</x:v>
      </x:c>
    </x:row>
    <x:row r="4305" ht="93" customHeight="1">
      <x:c r="A4305" s="19" t="n">
        <x:v>4302</x:v>
      </x:c>
      <x:c r="B4305" s="22" t="e">
        <x:f>HYPERLINK("https://cdn.shopify.com/s/files/1/0918/6066/4603/files/O1CN014uACIV2MQzezUCdTZ__2219089449823-0-cib.jpg?v=1774452850","Open")</x:f>
        <x:v>HYPERLINK is not implemented. linkLocation=https://cdn.shopify.com/s/files/1/0918/6066/4603/files/O1CN014uACIV2MQzezUCdTZ__2219089449823-0-cib.jpg?v=1774452850, friendlyName=Open</x:v>
      </x:c>
      <x:c r="C4305" s="24" t="e">
        <x:f>HYPERLINK("https://365nails.com/products/summer-fruits-blooms-strawberry-sakura-glow-almond-shape-handmade-press-ons","Summer Fruits &amp; Blooms: ""Strawberry Sakura Glow"" – Almond Shape Handmade Press-Ons")</x:f>
        <x:v>HYPERLINK is not implemented. linkLocation=https://365nails.com/products/summer-fruits-blooms-strawberry-sakura-glow-almond-shape-handmade-press-ons, friendlyName=Summer Fruits &amp; Blooms: "Strawberry Sakura Glow" – Almond Shape Handmade Press-Ons</x:v>
      </x:c>
      <x:c r="D4305" s="18" t="str">
        <x:v>Color: D393; Color classification: X s / S / M / L</x:v>
      </x:c>
      <x:c r="E4305" s="25" t="str">
        <x:v>$3.49</x:v>
      </x:c>
      <x:c r="F4305" s="19" t="str">
        <x:v>1</x:v>
      </x:c>
    </x:row>
    <x:row r="4306" ht="93" customHeight="1">
      <x:c r="A4306" s="19" t="n">
        <x:v>4303</x:v>
      </x:c>
      <x:c r="B4306" s="22" t="e">
        <x:f>HYPERLINK("https://cdn.shopify.com/s/files/1/0918/6066/4603/files/O1CN01CZ23pk2MQzduX099a__2219089449823-0-cib.jpg?v=1774096985","Open")</x:f>
        <x:v>HYPERLINK is not implemented. linkLocation=https://cdn.shopify.com/s/files/1/0918/6066/4603/files/O1CN01CZ23pk2MQzduX099a__2219089449823-0-cib.jpg?v=1774096985, friendlyName=Open</x:v>
      </x:c>
      <x:c r="C4306" s="24" t="e">
        <x:f>HYPERLINK("https://365nails.com/products/dual-bloom-sun-sea-almond-press-ons","Dual Bloom: ""Sun &amp; Sea"" – Almond Press-Ons")</x:f>
        <x:v>HYPERLINK is not implemented. linkLocation=https://365nails.com/products/dual-bloom-sun-sea-almond-press-ons, friendlyName=Dual Bloom: "Sun &amp; Sea" – Almond Press-Ons</x:v>
      </x:c>
      <x:c r="D4306" s="18" t="str">
        <x:v>Color: D518; Color classification: X s / S / M / L</x:v>
      </x:c>
      <x:c r="E4306" s="25" t="str">
        <x:v>$3.99</x:v>
      </x:c>
      <x:c r="F4306" s="19" t="str">
        <x:v>1</x:v>
      </x:c>
    </x:row>
    <x:row r="4307" ht="93" customHeight="1">
      <x:c r="A4307" s="19" t="n">
        <x:v>4304</x:v>
      </x:c>
      <x:c r="B4307" s="22" t="e">
        <x:f>HYPERLINK("https://cdn.shopify.com/s/files/1/0918/6066/4603/files/O1CN01fCQmXX1CPwQ55vRnj__2213196780074-0-cib.jpg?v=1776852623","Open")</x:f>
        <x:v>HYPERLINK is not implemented. linkLocation=https://cdn.shopify.com/s/files/1/0918/6066/4603/files/O1CN01fCQmXX1CPwQ55vRnj__2213196780074-0-cib.jpg?v=1776852623, friendlyName=Open</x:v>
      </x:c>
      <x:c r="C4307" s="24" t="e">
        <x:f>HYPERLINK("https://365nails.com/products/365nails-fiery-blossom-3d-floral-abstract-handmade-almond-nails","365nails: ""Fiery Blossom"" – 3D Floral &amp; Abstract Handmade Almond Nails")</x:f>
        <x:v>HYPERLINK is not implemented. linkLocation=https://365nails.com/products/365nails-fiery-blossom-3d-floral-abstract-handmade-almond-nails, friendlyName=365nails: "Fiery Blossom" – 3D Floral &amp; Abstract Handmade Almond Nails</x:v>
      </x:c>
      <x:c r="D4307" s="18" t="str">
        <x:v>Color: 3379-short almond / 3381 - medium almonds; Color classification: Extra small size xs / Small s / Medium m / Large l</x:v>
      </x:c>
      <x:c r="E4307" s="25" t="str">
        <x:v>$3.49</x:v>
      </x:c>
      <x:c r="F4307" s="19" t="str">
        <x:v>1</x:v>
      </x:c>
    </x:row>
    <x:row r="4308" ht="93" customHeight="1">
      <x:c r="A4308" s="19" t="n">
        <x:v>4305</x:v>
      </x:c>
      <x:c r="B4308" s="22" t="e">
        <x:f>HYPERLINK("https://cdn.shopify.com/s/files/1/0918/6066/4603/files/80f20de606a44723c13b6dde563de460.jpg?v=1776150378","Open")</x:f>
        <x:v>HYPERLINK is not implemented. linkLocation=https://cdn.shopify.com/s/files/1/0918/6066/4603/files/80f20de606a44723c13b6dde563de460.jpg?v=1776150378, friendlyName=Open</x:v>
      </x:c>
      <x:c r="C4308" s="24" t="e">
        <x:f>HYPERLINK("https://365nails.com/products/365nails-golden-bloom-opulence-3d-floral-crystal-handmade-short-square-nails","365nails: ""Golden Bloom Opulence"" – 3D Floral &amp; Crystal Handmade Short Square Nails")</x:f>
        <x:v>HYPERLINK is not implemented. linkLocation=https://365nails.com/products/365nails-golden-bloom-opulence-3d-floral-crystal-handmade-short-square-nails, friendlyName=365nails: "Golden Bloom Opulence" – 3D Floral &amp; Crystal Handmade Short Square Nails</x:v>
      </x:c>
      <x:c r="D4308" s="18" t="str">
        <x:v>Size: XS / S / M / L</x:v>
      </x:c>
      <x:c r="E4308" s="25" t="str">
        <x:v>$1.99</x:v>
      </x:c>
      <x:c r="F4308" s="19" t="str">
        <x:v>3</x:v>
      </x:c>
    </x:row>
    <x:row r="4309" ht="93" customHeight="1">
      <x:c r="A4309" s="19" t="n">
        <x:v>4306</x:v>
      </x:c>
      <x:c r="B4309" s="22" t="e">
        <x:f>HYPERLINK("https://cdn.shopify.com/s/files/1/0918/6066/4603/files/b589bd86abfe24d3b660911fc63da427.jpg?v=1778318146","Open")</x:f>
        <x:v>HYPERLINK is not implemented. linkLocation=https://cdn.shopify.com/s/files/1/0918/6066/4603/files/b589bd86abfe24d3b660911fc63da427.jpg?v=1778318146, friendlyName=Open</x:v>
      </x:c>
      <x:c r="C4309" s="24" t="e">
        <x:f>HYPERLINK("https://365nails.com/products/365nails-desert-siren-3d-bunny-leopard-print-handmade-almond-nails","365nails: ""Desert Siren"" – 3D Bunny &amp; Leopard Print Handmade Almond Nails")</x:f>
        <x:v>HYPERLINK is not implemented. linkLocation=https://365nails.com/products/365nails-desert-siren-3d-bunny-leopard-print-handmade-almond-nails, friendlyName=365nails: "Desert Siren" – 3D Bunny &amp; Leopard Print Handmade Almond Nails</x:v>
      </x:c>
      <x:c r="D4309" s="18" t="str">
        <x:v>Size: XS / S / M / L</x:v>
      </x:c>
      <x:c r="E4309" s="25" t="str">
        <x:v>$3.99</x:v>
      </x:c>
      <x:c r="F4309" s="19" t="str">
        <x:v>5</x:v>
      </x:c>
    </x:row>
    <x:row r="4310" ht="93" customHeight="1">
      <x:c r="A4310" s="19" t="n">
        <x:v>4307</x:v>
      </x:c>
      <x:c r="B4310" s="22" t="e">
        <x:f>HYPERLINK("https://cdn.shopify.com/s/files/1/0918/6066/4603/files/ce1abdfd317fb361456a8a3451974daf.jpg?v=1776171327","Open")</x:f>
        <x:v>HYPERLINK is not implemented. linkLocation=https://cdn.shopify.com/s/files/1/0918/6066/4603/files/ce1abdfd317fb361456a8a3451974daf.jpg?v=1776171327, friendlyName=Open</x:v>
      </x:c>
      <x:c r="C4310" s="24" t="e">
        <x:f>HYPERLINK("https://365nails.com/products/365nails-happy-cloud-3d-character-mix-handmade-short-square-nails","365nails: ""Happy Cloud"" – 3D Character Mix Handmade Short Square Nails")</x:f>
        <x:v>HYPERLINK is not implemented. linkLocation=https://365nails.com/products/365nails-happy-cloud-3d-character-mix-handmade-short-square-nails, friendlyName=365nails: "Happy Cloud" – 3D Character Mix Handmade Short Square Nails</x:v>
      </x:c>
      <x:c r="D4310" s="18" t="str">
        <x:v>Size: XS / S / M / L</x:v>
      </x:c>
      <x:c r="E4310" s="25" t="str">
        <x:v>$1.99</x:v>
      </x:c>
      <x:c r="F4310" s="19" t="str">
        <x:v>3</x:v>
      </x:c>
    </x:row>
    <x:row r="4311" ht="93" customHeight="1">
      <x:c r="A4311" s="19" t="n">
        <x:v>4308</x:v>
      </x:c>
      <x:c r="B4311" s="22" t="e">
        <x:f>HYPERLINK("https://cdn.shopify.com/s/files/1/0918/6066/4603/files/eb07c00089cd81b1c077cc8a79907225.jpg?v=1778318397","Open")</x:f>
        <x:v>HYPERLINK is not implemented. linkLocation=https://cdn.shopify.com/s/files/1/0918/6066/4603/files/eb07c00089cd81b1c077cc8a79907225.jpg?v=1778318397, friendlyName=Open</x:v>
      </x:c>
      <x:c r="C4311" s="24" t="e">
        <x:f>HYPERLINK("https://365nails.com/products/365nails-gothic-coquette-3d-bow-lace-handmade-stiletto-nails","365nails: ""Gothic Coquette"" – 3D Bow &amp; Lace Handmade Stiletto Nails")</x:f>
        <x:v>HYPERLINK is not implemented. linkLocation=https://365nails.com/products/365nails-gothic-coquette-3d-bow-lace-handmade-stiletto-nails, friendlyName=365nails: "Gothic Coquette" – 3D Bow &amp; Lace Handmade Stiletto Nails</x:v>
      </x:c>
      <x:c r="D4311" s="18" t="str">
        <x:v>Size: XS / S / M / L</x:v>
      </x:c>
      <x:c r="E4311" s="25" t="str">
        <x:v>$3.99</x:v>
      </x:c>
      <x:c r="F4311" s="19" t="str">
        <x:v>5</x:v>
      </x:c>
    </x:row>
    <x:row r="4312" ht="93" customHeight="1">
      <x:c r="A4312" s="19" t="n">
        <x:v>4309</x:v>
      </x:c>
      <x:c r="B4312" s="22" t="e">
        <x:f>HYPERLINK("https://cdn.shopify.com/s/files/1/0918/6066/4603/files/b62f60ec9183ed1702b2a91db943f37e.jpg?v=1776324869","Open")</x:f>
        <x:v>HYPERLINK is not implemented. linkLocation=https://cdn.shopify.com/s/files/1/0918/6066/4603/files/b62f60ec9183ed1702b2a91db943f37e.jpg?v=1776324869, friendlyName=Open</x:v>
      </x:c>
      <x:c r="C4312" s="24" t="e">
        <x:f>HYPERLINK("https://365nails.com/products/365nails-dollhouse-dreams-3d-character-short-square-nails","365nails: ""Dollhouse Dreams"" – 3D Character Short Square Nails")</x:f>
        <x:v>HYPERLINK is not implemented. linkLocation=https://365nails.com/products/365nails-dollhouse-dreams-3d-character-short-square-nails, friendlyName=365nails: "Dollhouse Dreams" – 3D Character Short Square Nails</x:v>
      </x:c>
      <x:c r="D4312" s="18" t="str">
        <x:v>Size: XS / S / M / L</x:v>
      </x:c>
      <x:c r="E4312" s="25" t="str">
        <x:v>$3.99</x:v>
      </x:c>
      <x:c r="F4312" s="19" t="str">
        <x:v>5</x:v>
      </x:c>
    </x:row>
    <x:row r="4313" ht="93" customHeight="1">
      <x:c r="A4313" s="19" t="n">
        <x:v>4310</x:v>
      </x:c>
      <x:c r="B4313" s="22" t="e">
        <x:f>HYPERLINK("https://cdn.shopify.com/s/files/1/0918/6066/4603/files/8435e54b4cbe4e84e7ceffb2f3bc3c5a.jpg?v=1778240922","Open")</x:f>
        <x:v>HYPERLINK is not implemented. linkLocation=https://cdn.shopify.com/s/files/1/0918/6066/4603/files/8435e54b4cbe4e84e7ceffb2f3bc3c5a.jpg?v=1778240922, friendlyName=Open</x:v>
      </x:c>
      <x:c r="C4313" s="24" t="e">
        <x:f>HYPERLINK("https://365nails.com/products/365nails-emerald-envy-3d-floral-abstract-handmade-long-stiletto-nails","365nails: ""Emerald Envy"" – 3D Floral &amp; Abstract Handmade Long Stiletto Nails")</x:f>
        <x:v>HYPERLINK is not implemented. linkLocation=https://365nails.com/products/365nails-emerald-envy-3d-floral-abstract-handmade-long-stiletto-nails, friendlyName=365nails: "Emerald Envy" – 3D Floral &amp; Abstract Handmade Long Stiletto Nails</x:v>
      </x:c>
      <x:c r="D4313" s="18" t="str">
        <x:v>Size: XS / S / M / L</x:v>
      </x:c>
      <x:c r="E4313" s="25" t="str">
        <x:v>$4.99</x:v>
      </x:c>
      <x:c r="F4313" s="19" t="str">
        <x:v>5</x:v>
      </x:c>
    </x:row>
    <x:row r="4314" ht="93" customHeight="1">
      <x:c r="A4314" s="19" t="n">
        <x:v>4311</x:v>
      </x:c>
      <x:c r="B4314" s="22" t="e">
        <x:f>HYPERLINK("https://cdn.shopify.com/s/files/1/0918/6066/4603/files/a9369233730934fd1f49528d9091079a_8c70cd92-768a-4e25-8632-cbab336621f5.jpg?v=1776245584","Open")</x:f>
        <x:v>HYPERLINK is not implemented. linkLocation=https://cdn.shopify.com/s/files/1/0918/6066/4603/files/a9369233730934fd1f49528d9091079a_8c70cd92-768a-4e25-8632-cbab336621f5.jpg?v=1776245584, friendlyName=Open</x:v>
      </x:c>
      <x:c r="C4314" s="24" t="e">
        <x:f>HYPERLINK("https://365nails.com/products/365nails-candyland-carnival-3d-character-handmade-short-nails","365nails: ""Candyland Carnival"" – 3D Character Handmade Short Nails")</x:f>
        <x:v>HYPERLINK is not implemented. linkLocation=https://365nails.com/products/365nails-candyland-carnival-3d-character-handmade-short-nails, friendlyName=365nails: "Candyland Carnival" – 3D Character Handmade Short Nails</x:v>
      </x:c>
      <x:c r="D4314" s="18" t="str">
        <x:v>Size: XS / S / M / L</x:v>
      </x:c>
      <x:c r="E4314" s="25" t="str">
        <x:v>$2.49</x:v>
      </x:c>
      <x:c r="F4314" s="19" t="str">
        <x:v>3</x:v>
      </x:c>
    </x:row>
    <x:row r="4315" ht="93" customHeight="1">
      <x:c r="A4315" s="19" t="n">
        <x:v>4312</x:v>
      </x:c>
      <x:c r="B4315" s="22" t="e">
        <x:f>HYPERLINK("https://cdn.shopify.com/s/files/1/0918/6066/4603/files/O1CN01CBb0Ft2MQzfBUOvw9__2219089449823-0-cib.jpg?v=1774349055","Open")</x:f>
        <x:v>HYPERLINK is not implemented. linkLocation=https://cdn.shopify.com/s/files/1/0918/6066/4603/files/O1CN01CBb0Ft2MQzfBUOvw9__2219089449823-0-cib.jpg?v=1774349055, friendlyName=Open</x:v>
      </x:c>
      <x:c r="C4315" s="24" t="e">
        <x:f>HYPERLINK("https://365nails.com/products/365nails-deep-sea-starry-mermaid-medium-almond-blue-glitter-marine-handmade-press-on-nails","365nails: ""Deep Sea Starry Mermaid"" – Medium Almond Blue Glitter Marine Handmade Press-On Nails")</x:f>
        <x:v>HYPERLINK is not implemented. linkLocation=https://365nails.com/products/365nails-deep-sea-starry-mermaid-medium-almond-blue-glitter-marine-handmade-press-on-nails, friendlyName=365nails: "Deep Sea Starry Mermaid" – Medium Almond Blue Glitter Marine Handmade Press-On Nails</x:v>
      </x:c>
      <x:c r="D4315" s="18" t="str">
        <x:v>Color: O008; Color classification: S / M / L</x:v>
      </x:c>
      <x:c r="E4315" s="25" t="str">
        <x:v>$8.99</x:v>
      </x:c>
      <x:c r="F4315" s="19" t="str">
        <x:v>1</x:v>
      </x:c>
    </x:row>
    <x:row r="4316" ht="93" customHeight="1">
      <x:c r="A4316" s="19" t="n">
        <x:v>4313</x:v>
      </x:c>
      <x:c r="B4316" s="22" t="e">
        <x:f>HYPERLINK("https://cdn.shopify.com/s/files/1/0918/6066/4603/files/543a5b698575b71c8a2794edd88f9137.jpg?v=1778318613","Open")</x:f>
        <x:v>HYPERLINK is not implemented. linkLocation=https://cdn.shopify.com/s/files/1/0918/6066/4603/files/543a5b698575b71c8a2794edd88f9137.jpg?v=1778318613, friendlyName=Open</x:v>
      </x:c>
      <x:c r="C4316" s="24" t="e">
        <x:f>HYPERLINK("https://365nails.com/products/365nails-sapphire-ocean-3d-crystal-rhinestone-handmade-almond-nails","365nails: ""Sapphire Ocean"" – 3D Crystal &amp; Rhinestone Handmade Almond Nails")</x:f>
        <x:v>HYPERLINK is not implemented. linkLocation=https://365nails.com/products/365nails-sapphire-ocean-3d-crystal-rhinestone-handmade-almond-nails, friendlyName=365nails: "Sapphire Ocean" – 3D Crystal &amp; Rhinestone Handmade Almond Nails</x:v>
      </x:c>
      <x:c r="D4316" s="18" t="str">
        <x:v>Size: XS / S / M / L</x:v>
      </x:c>
      <x:c r="E4316" s="25" t="str">
        <x:v>$2.99</x:v>
      </x:c>
      <x:c r="F4316" s="19" t="str">
        <x:v>5</x:v>
      </x:c>
    </x:row>
    <x:row r="4317" ht="93" customHeight="1">
      <x:c r="A4317" s="19" t="n">
        <x:v>4314</x:v>
      </x:c>
      <x:c r="B4317" s="22" t="e">
        <x:f>HYPERLINK("https://cdn.shopify.com/s/files/1/0918/6066/4603/files/O1CN01CDZTS52214tRJhDYe__2219480337059-0-cib.jpg?v=1774070405","Open")</x:f>
        <x:v>HYPERLINK is not implemented. linkLocation=https://cdn.shopify.com/s/files/1/0918/6066/4603/files/O1CN01CDZTS52214tRJhDYe__2219480337059-0-cib.jpg?v=1774070405, friendlyName=Open</x:v>
      </x:c>
      <x:c r="C4317" s="24" t="e">
        <x:f>HYPERLINK("https://365nails.com/products/365nails-labubu-woodland-whisper-handmade-cute-short-oval-press-on-nails-with-labubu-forest-design","365Nails: ""Labubu Woodland Whisper"" – Handmade Cute Short Oval Press On Nails With Labubu &amp; Forest Design")</x:f>
        <x:v>HYPERLINK is not implemented. linkLocation=https://365nails.com/products/365nails-labubu-woodland-whisper-handmade-cute-short-oval-press-on-nails-with-labubu-forest-design, friendlyName=365Nails: "Labubu Woodland Whisper" – Handmade Cute Short Oval Press On Nails With Labubu &amp; Forest Design</x:v>
      </x:c>
      <x:c r="D4317" s="18" t="str">
        <x:v>Color: New short square; Color classification: X s / S / M / L</x:v>
      </x:c>
      <x:c r="E4317" s="25" t="str">
        <x:v>$2.99</x:v>
      </x:c>
      <x:c r="F4317" s="19" t="str">
        <x:v>3</x:v>
      </x:c>
    </x:row>
    <x:row r="4318" ht="93" customHeight="1">
      <x:c r="A4318" s="19" t="n">
        <x:v>4315</x:v>
      </x:c>
      <x:c r="B4318" s="22" t="e">
        <x:f>HYPERLINK("https://cdn.shopify.com/s/files/1/0918/6066/4603/files/7f2927602a1373b1a90c412d71ad5e8e.jpg?v=1775911355","Open")</x:f>
        <x:v>HYPERLINK is not implemented. linkLocation=https://cdn.shopify.com/s/files/1/0918/6066/4603/files/7f2927602a1373b1a90c412d71ad5e8e.jpg?v=1775911355, friendlyName=Open</x:v>
      </x:c>
      <x:c r="C4318" s="24" t="e">
        <x:f>HYPERLINK("https://365nails.com/products/365nails-balletcore-bliss-3d-bow-handmade-stiletto-nails","365nails: ""Balletcore Bliss"" – 3D Bow Handmade Stiletto Nails")</x:f>
        <x:v>HYPERLINK is not implemented. linkLocation=https://365nails.com/products/365nails-balletcore-bliss-3d-bow-handmade-stiletto-nails, friendlyName=365nails: "Balletcore Bliss" – 3D Bow Handmade Stiletto Nails</x:v>
      </x:c>
      <x:c r="D4318" s="18" t="str">
        <x:v>Size: XS / S / M / L</x:v>
      </x:c>
      <x:c r="E4318" s="25" t="str">
        <x:v>$3.99</x:v>
      </x:c>
      <x:c r="F4318" s="19" t="str">
        <x:v>5</x:v>
      </x:c>
    </x:row>
    <x:row r="4319" ht="93" customHeight="1">
      <x:c r="A4319" s="19" t="n">
        <x:v>4316</x:v>
      </x:c>
      <x:c r="B4319" s="22" t="e">
        <x:f>HYPERLINK("https://cdn.shopify.com/s/files/1/0918/6066/4603/files/61efc312b1baa74d77c4b3fdbe6100b3.jpg?v=1776173108","Open")</x:f>
        <x:v>HYPERLINK is not implemented. linkLocation=https://cdn.shopify.com/s/files/1/0918/6066/4603/files/61efc312b1baa74d77c4b3fdbe6100b3.jpg?v=1776173108, friendlyName=Open</x:v>
      </x:c>
      <x:c r="C4319" s="24" t="e">
        <x:f>HYPERLINK("https://365nails.com/products/365nails-starlight-dreams-3d-animal-celestial-handmade-short-square-nails","365nails: ""Starlight Dreams"" – 3D Animal &amp; Celestial Handmade Short Square Nails")</x:f>
        <x:v>HYPERLINK is not implemented. linkLocation=https://365nails.com/products/365nails-starlight-dreams-3d-animal-celestial-handmade-short-square-nails, friendlyName=365nails: "Starlight Dreams" – 3D Animal &amp; Celestial Handmade Short Square Nails</x:v>
      </x:c>
      <x:c r="D4319" s="18" t="str">
        <x:v>Size: XS / S / M / L</x:v>
      </x:c>
      <x:c r="E4319" s="25" t="str">
        <x:v>$1.99</x:v>
      </x:c>
      <x:c r="F4319" s="19" t="str">
        <x:v>3</x:v>
      </x:c>
    </x:row>
    <x:row r="4320" ht="93" customHeight="1">
      <x:c r="A4320" s="19" t="n">
        <x:v>4317</x:v>
      </x:c>
      <x:c r="B4320" s="22" t="e">
        <x:f>HYPERLINK("https://cdn.shopify.com/s/files/1/0918/6066/4603/files/O1CN01L4IutH1CPwJfeTKWB__2213196780074-0-cib.jpg?v=1776938108","Open")</x:f>
        <x:v>HYPERLINK is not implemented. linkLocation=https://cdn.shopify.com/s/files/1/0918/6066/4603/files/O1CN01L4IutH1CPwJfeTKWB__2213196780074-0-cib.jpg?v=1776938108, friendlyName=Open</x:v>
      </x:c>
      <x:c r="C4320" s="24" t="e">
        <x:f>HYPERLINK("https://365nails.com/products/365nails-frosted-chrome-metallic-french-tip-handmade-short-square-nails","365nails: ""Frosted Chrome"" – Metallic French Tip Handmade Short Square Nails")</x:f>
        <x:v>HYPERLINK is not implemented. linkLocation=https://365nails.com/products/365nails-frosted-chrome-metallic-french-tip-handmade-short-square-nails, friendlyName=365nails: "Frosted Chrome" – Metallic French Tip Handmade Short Square Nails</x:v>
      </x:c>
      <x:c r="D4320" s="18" t="str">
        <x:v>Color: Extra small size xs / Small s / Medium m / Large l; Specification type: 2173 extra long ladder</x:v>
      </x:c>
      <x:c r="E4320" s="25" t="str">
        <x:v>$3.99</x:v>
      </x:c>
      <x:c r="F4320" s="19" t="str">
        <x:v>1</x:v>
      </x:c>
    </x:row>
    <x:row r="4321" ht="93" customHeight="1">
      <x:c r="A4321" s="19" t="n">
        <x:v>4318</x:v>
      </x:c>
      <x:c r="B4321" s="22" t="e">
        <x:f>HYPERLINK("https://cdn.shopify.com/s/files/1/0918/6066/4603/files/5ab78568be11c90c26297f377737675d.jpg?v=1776324197","Open")</x:f>
        <x:v>HYPERLINK is not implemented. linkLocation=https://cdn.shopify.com/s/files/1/0918/6066/4603/files/5ab78568be11c90c26297f377737675d.jpg?v=1776324197, friendlyName=Open</x:v>
      </x:c>
      <x:c r="C4321" s="24" t="e">
        <x:f>HYPERLINK("https://365nails.com/products/365nails-little-devils-ball-3d-spooky-cute-short-square-nails","365nails: ""Little Devil's Ball"" – 3D Spooky Cute Short Square Nails")</x:f>
        <x:v>HYPERLINK is not implemented. linkLocation=https://365nails.com/products/365nails-little-devils-ball-3d-spooky-cute-short-square-nails, friendlyName=365nails: "Little Devil's Ball" – 3D Spooky Cute Short Square Nails</x:v>
      </x:c>
      <x:c r="D4321" s="18" t="str">
        <x:v>Size: XS / S / M / L</x:v>
      </x:c>
      <x:c r="E4321" s="25" t="str">
        <x:v>$3.99</x:v>
      </x:c>
      <x:c r="F4321" s="19" t="str">
        <x:v>5</x:v>
      </x:c>
    </x:row>
    <x:row r="4322" ht="93" customHeight="1">
      <x:c r="A4322" s="19" t="n">
        <x:v>4319</x:v>
      </x:c>
      <x:c r="B4322" s="22" t="e">
        <x:f>HYPERLINK("https://cdn.shopify.com/s/files/1/0918/6066/4603/files/O1CN019rzMIb2MQze1QfHyc__2219089449823-0-cib.jpg?v=1774097007","Open")</x:f>
        <x:v>HYPERLINK is not implemented. linkLocation=https://cdn.shopify.com/s/files/1/0918/6066/4603/files/O1CN019rzMIb2MQze1QfHyc__2219089449823-0-cib.jpg?v=1774097007, friendlyName=Open</x:v>
      </x:c>
      <x:c r="C4322" s="24" t="e">
        <x:f>HYPERLINK("https://365nails.com/products/sweet-dalmatian-blush-spot-almond-press-ons","Sweet Dalmatian: ""Blush Spot"" – Almond Press-Ons")</x:f>
        <x:v>HYPERLINK is not implemented. linkLocation=https://365nails.com/products/sweet-dalmatian-blush-spot-almond-press-ons, friendlyName=Sweet Dalmatian: "Blush Spot" – Almond Press-Ons</x:v>
      </x:c>
      <x:c r="D4322" s="18" t="str">
        <x:v>Color: D524; Color classification: X s / S / M / L</x:v>
      </x:c>
      <x:c r="E4322" s="25" t="str">
        <x:v>$3.99</x:v>
      </x:c>
      <x:c r="F4322" s="19" t="str">
        <x:v>1</x:v>
      </x:c>
    </x:row>
    <x:row r="4323" ht="93" customHeight="1">
      <x:c r="A4323" s="19" t="n">
        <x:v>4320</x:v>
      </x:c>
      <x:c r="B4323" s="22" t="e">
        <x:f>HYPERLINK("https://cdn.shopify.com/s/files/1/0918/6066/4603/files/O1CN01ikdnMl2MQze0pQJyY__2219089449823-0-cib.jpg?v=1774097002","Open")</x:f>
        <x:v>HYPERLINK is not implemented. linkLocation=https://cdn.shopify.com/s/files/1/0918/6066/4603/files/O1CN01ikdnMl2MQze0pQJyY__2219089449823-0-cib.jpg?v=1774097002, friendlyName=Open</x:v>
      </x:c>
      <x:c r="C4323" s="24" t="e">
        <x:f>HYPERLINK("https://365nails.com/products/ocean-gem-turquoise-treasure-short-square-press-ons","Ocean Gem: ""Turquoise Treasure"" – Short Square Press-Ons")</x:f>
        <x:v>HYPERLINK is not implemented. linkLocation=https://365nails.com/products/ocean-gem-turquoise-treasure-short-square-press-ons, friendlyName=Ocean Gem: "Turquoise Treasure" – Short Square Press-Ons</x:v>
      </x:c>
      <x:c r="D4323" s="18" t="str">
        <x:v>Color: L255; Color classification: X s / S / M / L</x:v>
      </x:c>
      <x:c r="E4323" s="25" t="str">
        <x:v>$4.99</x:v>
      </x:c>
      <x:c r="F4323" s="19" t="str">
        <x:v>1</x:v>
      </x:c>
    </x:row>
    <x:row r="4324" ht="93" customHeight="1">
      <x:c r="A4324" s="19" t="n">
        <x:v>4321</x:v>
      </x:c>
      <x:c r="B4324" s="22" t="e">
        <x:f>HYPERLINK("https://cdn.shopify.com/s/files/1/0918/6066/4603/files/O1CN01E81lmn27ZUlEOU3A5__2220024697811-0-cib.jpg?v=1775111972","Open")</x:f>
        <x:v>HYPERLINK is not implemented. linkLocation=https://cdn.shopify.com/s/files/1/0918/6066/4603/files/O1CN01E81lmn27ZUlEOU3A5__2220024697811-0-cib.jpg?v=1775111972, friendlyName=Open</x:v>
      </x:c>
      <x:c r="C4324" s="24" t="e">
        <x:f>HYPERLINK("https://365nails.com/products/365nails-botanical-rainbow-3d-floral-gradient-handmade-long-coffin-nails","365nails: ""Botanical Rainbow"" – 3D Floral &amp; Gradient Handmade Long Coffin Nails")</x:f>
        <x:v>HYPERLINK is not implemented. linkLocation=https://365nails.com/products/365nails-botanical-rainbow-3d-floral-gradient-handmade-long-coffin-nails, friendlyName=365nails: "Botanical Rainbow" – 3D Floral &amp; Gradient Handmade Long Coffin Nails</x:v>
      </x:c>
      <x:c r="D4324" s="18" t="str">
        <x:v>Color: Medium t; Color classification: Xs / S / M / L</x:v>
      </x:c>
      <x:c r="E4324" s="25" t="str">
        <x:v>$4.99</x:v>
      </x:c>
      <x:c r="F4324" s="19" t="str">
        <x:v>3</x:v>
      </x:c>
    </x:row>
    <x:row r="4325" ht="93" customHeight="1">
      <x:c r="A4325" s="19" t="n">
        <x:v>4322</x:v>
      </x:c>
      <x:c r="B4325" s="22" t="e">
        <x:f>HYPERLINK("https://cdn.shopify.com/s/files/1/0918/6066/4603/files/O1CN01mPsaMb27ZUmgaR79J__2220024697811-0-cib.jpg?v=1775111423","Open")</x:f>
        <x:v>HYPERLINK is not implemented. linkLocation=https://cdn.shopify.com/s/files/1/0918/6066/4603/files/O1CN01mPsaMb27ZUmgaR79J__2220024697811-0-cib.jpg?v=1775111423, friendlyName=Open</x:v>
      </x:c>
      <x:c r="C4325" s="24" t="e">
        <x:f>HYPERLINK("https://365nails.com/products/365nails-cherry-pop-3d-fruit-beads-handmade-short-square-nails","365nails: ""Cherry Pop"" – 3D Fruit &amp; Beads Handmade Short Square Nails")</x:f>
        <x:v>HYPERLINK is not implemented. linkLocation=https://365nails.com/products/365nails-cherry-pop-3d-fruit-beads-handmade-short-square-nails, friendlyName=365nails: "Cherry Pop" – 3D Fruit &amp; Beads Handmade Short Square Nails</x:v>
      </x:c>
      <x:c r="D4325" s="18" t="str">
        <x:v>Color: Right angle t; Color classification: Xs / S / M / L</x:v>
      </x:c>
      <x:c r="E4325" s="25" t="str">
        <x:v>$4.99</x:v>
      </x:c>
      <x:c r="F4325" s="19" t="str">
        <x:v>3</x:v>
      </x:c>
    </x:row>
    <x:row r="4326" ht="93" customHeight="1">
      <x:c r="A4326" s="19" t="n">
        <x:v>4323</x:v>
      </x:c>
      <x:c r="B4326" s="22" t="e">
        <x:f>HYPERLINK("https://cdn.shopify.com/s/files/1/0918/6066/4603/files/c44bdaa2315cd79a383c577b7fcb0577.jpg?v=1778242280","Open")</x:f>
        <x:v>HYPERLINK is not implemented. linkLocation=https://cdn.shopify.com/s/files/1/0918/6066/4603/files/c44bdaa2315cd79a383c577b7fcb0577.jpg?v=1778242280, friendlyName=Open</x:v>
      </x:c>
      <x:c r="C4326" s="24" t="e">
        <x:f>HYPERLINK("https://365nails.com/products/365nails-pastel-wild-3d-rhinestone-animal-print-handmade-medium-almond-nails","365nails: ""Pastel Wild"" – 3D Rhinestone &amp; Animal Print Handmade Medium Almond Nails")</x:f>
        <x:v>HYPERLINK is not implemented. linkLocation=https://365nails.com/products/365nails-pastel-wild-3d-rhinestone-animal-print-handmade-medium-almond-nails, friendlyName=365nails: "Pastel Wild" – 3D Rhinestone &amp; Animal Print Handmade Medium Almond Nails</x:v>
      </x:c>
      <x:c r="D4326" s="18" t="str">
        <x:v>Size: XS / S / M / L</x:v>
      </x:c>
      <x:c r="E4326" s="25" t="str">
        <x:v>$4.99</x:v>
      </x:c>
      <x:c r="F4326" s="19" t="str">
        <x:v>5</x:v>
      </x:c>
    </x:row>
    <x:row r="4327" ht="93" customHeight="1">
      <x:c r="A4327" s="19" t="n">
        <x:v>4324</x:v>
      </x:c>
      <x:c r="B4327" s="22" t="e">
        <x:f>HYPERLINK("https://cdn.shopify.com/s/files/1/0918/6066/4603/files/O1CN018T7ngl1CPwQ5lHwXj__2213196780074-0-cib.jpg?v=1774679278","Open")</x:f>
        <x:v>HYPERLINK is not implemented. linkLocation=https://cdn.shopify.com/s/files/1/0918/6066/4603/files/O1CN018T7ngl1CPwQ5lHwXj__2213196780074-0-cib.jpg?v=1774679278, friendlyName=Open</x:v>
      </x:c>
      <x:c r="C4327" s="24" t="e">
        <x:f>HYPERLINK("https://365nails.com/products/365nails-cherry-leopard-fantasy-3d-floral-animal-print-handmade-almond-nails","365nails: ""Cherry Leopard Fantasy"" – 3D Floral &amp; Animal Print Handmade Almond Nails")</x:f>
        <x:v>HYPERLINK is not implemented. linkLocation=https://365nails.com/products/365nails-cherry-leopard-fantasy-3d-floral-animal-print-handmade-almond-nails, friendlyName=365nails: "Cherry Leopard Fantasy" – 3D Floral &amp; Animal Print Handmade Almond Nails</x:v>
      </x:c>
      <x:c r="D4327" s="18" t="str">
        <x:v>Color: 3380-long tip; Color classification: Extra small size xs / Small s / Medium m / Large l</x:v>
      </x:c>
      <x:c r="E4327" s="25" t="str">
        <x:v>$3.49</x:v>
      </x:c>
      <x:c r="F4327" s="19" t="str">
        <x:v>1</x:v>
      </x:c>
    </x:row>
    <x:row r="4328" ht="93" customHeight="1">
      <x:c r="A4328" s="19" t="n">
        <x:v>4325</x:v>
      </x:c>
      <x:c r="B4328" s="22" t="e">
        <x:f>HYPERLINK("https://cdn.shopify.com/s/files/1/0918/6066/4603/files/11a8917ecabdaf9debc2c6c86166f438.jpg?v=1778242715","Open")</x:f>
        <x:v>HYPERLINK is not implemented. linkLocation=https://cdn.shopify.com/s/files/1/0918/6066/4603/files/11a8917ecabdaf9debc2c6c86166f438.jpg?v=1778242715, friendlyName=Open</x:v>
      </x:c>
      <x:c r="C4328" s="24" t="e">
        <x:f>HYPERLINK("https://365nails.com/products/365nails-crimson-romance-3d-floral-rhinestone-handmade-long-stiletto-nails","365nails: ""Crimson Romance"" – 3D Floral &amp; Rhinestone Handmade Long Stiletto Nails")</x:f>
        <x:v>HYPERLINK is not implemented. linkLocation=https://365nails.com/products/365nails-crimson-romance-3d-floral-rhinestone-handmade-long-stiletto-nails, friendlyName=365nails: "Crimson Romance" – 3D Floral &amp; Rhinestone Handmade Long Stiletto Nails</x:v>
      </x:c>
      <x:c r="D4328" s="18" t="str">
        <x:v>Size: XS / S / M / L</x:v>
      </x:c>
      <x:c r="E4328" s="25" t="str">
        <x:v>$3.99</x:v>
      </x:c>
      <x:c r="F4328" s="19" t="str">
        <x:v>5</x:v>
      </x:c>
    </x:row>
    <x:row r="4329" ht="93" customHeight="1">
      <x:c r="A4329" s="19" t="n">
        <x:v>4326</x:v>
      </x:c>
      <x:c r="B4329" s="22" t="e">
        <x:f>HYPERLINK("https://cdn.shopify.com/s/files/1/0918/6066/4603/files/32c2bd68af44c9e4bae292f38f16e392_fc9da6ab-ff99-484d-951a-316c15e637ed.jpg?v=1773306526","Open")</x:f>
        <x:v>HYPERLINK is not implemented. linkLocation=https://cdn.shopify.com/s/files/1/0918/6066/4603/files/32c2bd68af44c9e4bae292f38f16e392_fc9da6ab-ff99-484d-951a-316c15e637ed.jpg?v=1773306526, friendlyName=Open</x:v>
      </x:c>
      <x:c r="C4329" s="24" t="e">
        <x:f>HYPERLINK("https://365nails.com/products/365nails-kitty-pink-bow-handmade-press-on-toenails-pedicure","365nails: ""kitty pink bow"" – handmade press-on toenails / pedicure")</x:f>
        <x:v>HYPERLINK is not implemented. linkLocation=https://365nails.com/products/365nails-kitty-pink-bow-handmade-press-on-toenails-pedicure, friendlyName=365nails: "kitty pink bow" – handmade press-on toenails / pedicure</x:v>
      </x:c>
      <x:c r="D4329" s="18" t="str">
        <x:v>Size: XS / S / M / L</x:v>
      </x:c>
      <x:c r="E4329" s="25" t="str">
        <x:v>$3.99</x:v>
      </x:c>
      <x:c r="F4329" s="19" t="str">
        <x:v>3</x:v>
      </x:c>
    </x:row>
    <x:row r="4330" ht="93" customHeight="1">
      <x:c r="A4330" s="19" t="n">
        <x:v>4327</x:v>
      </x:c>
      <x:c r="B4330" s="22" t="e">
        <x:f>HYPERLINK("https://cdn.shopify.com/s/files/1/0918/6066/4603/files/ff59f11a156860fcf35021261e7544fb.jpg?v=1778244733","Open")</x:f>
        <x:v>HYPERLINK is not implemented. linkLocation=https://cdn.shopify.com/s/files/1/0918/6066/4603/files/ff59f11a156860fcf35021261e7544fb.jpg?v=1778244733, friendlyName=Open</x:v>
      </x:c>
      <x:c r="C4330" s="24" t="e">
        <x:f>HYPERLINK("https://365nails.com/products/365nails-autumn-whisper-3d-flower-rhinestone-handmade-almond-nails","365nails: ""Autumn Whisper"" – 3D Flower &amp; Rhinestone Handmade Almond Nails")</x:f>
        <x:v>HYPERLINK is not implemented. linkLocation=https://365nails.com/products/365nails-autumn-whisper-3d-flower-rhinestone-handmade-almond-nails, friendlyName=365nails: "Autumn Whisper" – 3D Flower &amp; Rhinestone Handmade Almond Nails</x:v>
      </x:c>
      <x:c r="D4330" s="18" t="str">
        <x:v>Size: XS / S / M / L</x:v>
      </x:c>
      <x:c r="E4330" s="25" t="str">
        <x:v>$3.99</x:v>
      </x:c>
      <x:c r="F4330" s="19" t="str">
        <x:v>5</x:v>
      </x:c>
    </x:row>
    <x:row r="4331" ht="93" customHeight="1">
      <x:c r="A4331" s="19" t="n">
        <x:v>4328</x:v>
      </x:c>
      <x:c r="B4331" s="22" t="e">
        <x:f>HYPERLINK("https://cdn.shopify.com/s/files/1/0918/6066/4603/files/ff1addc53993d5557084001586f19164.jpg?v=1778317821","Open")</x:f>
        <x:v>HYPERLINK is not implemented. linkLocation=https://cdn.shopify.com/s/files/1/0918/6066/4603/files/ff1addc53993d5557084001586f19164.jpg?v=1778317821, friendlyName=Open</x:v>
      </x:c>
      <x:c r="C4331" s="24" t="e">
        <x:f>HYPERLINK("https://365nails.com/products/365nails-wild-orchid-3d-butterfly-tiger-print-handmade-coffin-nails","365nails: ""Wild Orchid"" – 3D Butterfly &amp; Tiger Print Handmade Coffin Nails")</x:f>
        <x:v>HYPERLINK is not implemented. linkLocation=https://365nails.com/products/365nails-wild-orchid-3d-butterfly-tiger-print-handmade-coffin-nails, friendlyName=365nails: "Wild Orchid" – 3D Butterfly &amp; Tiger Print Handmade Coffin Nails</x:v>
      </x:c>
      <x:c r="D4331" s="18" t="str">
        <x:v>Size: XS / S / M / L</x:v>
      </x:c>
      <x:c r="E4331" s="25" t="str">
        <x:v>$3.99</x:v>
      </x:c>
      <x:c r="F4331" s="19" t="str">
        <x:v>5</x:v>
      </x:c>
    </x:row>
    <x:row r="4332" ht="93" customHeight="1">
      <x:c r="A4332" s="19" t="n">
        <x:v>4329</x:v>
      </x:c>
      <x:c r="B4332" s="22" t="e">
        <x:f>HYPERLINK("https://cdn.shopify.com/s/files/1/0918/6066/4603/files/O1CN01E2w69a27ZUk6aZ1fU__2220024697811-0-cib.jpg?v=1775107807","Open")</x:f>
        <x:v>HYPERLINK is not implemented. linkLocation=https://cdn.shopify.com/s/files/1/0918/6066/4603/files/O1CN01E2w69a27ZUk6aZ1fU__2220024697811-0-cib.jpg?v=1775107807, friendlyName=Open</x:v>
      </x:c>
      <x:c r="C4332" s="24" t="e">
        <x:f>HYPERLINK("https://365nails.com/products/365nails-frozen-elegance-3d-snowflake-handmade-long-almond-nails","365nails: ""Frozen Elegance"" – 3D Snowflake Handmade Long Almond Nails")</x:f>
        <x:v>HYPERLINK is not implemented. linkLocation=https://365nails.com/products/365nails-frozen-elegance-3d-snowflake-handmade-long-almond-nails, friendlyName=365nails: "Frozen Elegance" – 3D Snowflake Handmade Long Almond Nails</x:v>
      </x:c>
      <x:c r="D4332" s="18" t="str">
        <x:v>Color: Almond; Color classification: Xs / S / M / L</x:v>
      </x:c>
      <x:c r="E4332" s="25" t="str">
        <x:v>$4.49</x:v>
      </x:c>
      <x:c r="F4332" s="19" t="str">
        <x:v>3</x:v>
      </x:c>
    </x:row>
    <x:row r="4333" ht="93" customHeight="1">
      <x:c r="A4333" s="19" t="n">
        <x:v>4330</x:v>
      </x:c>
      <x:c r="B4333" s="22" t="e">
        <x:f>HYPERLINK("https://cdn.shopify.com/s/files/1/0918/6066/4603/files/0dd8039cc95100dce10faf46f219b078.jpg?v=1778241136","Open")</x:f>
        <x:v>HYPERLINK is not implemented. linkLocation=https://cdn.shopify.com/s/files/1/0918/6066/4603/files/0dd8039cc95100dce10faf46f219b078.jpg?v=1778241136, friendlyName=Open</x:v>
      </x:c>
      <x:c r="C4333" s="24" t="e">
        <x:f>HYPERLINK("https://365nails.com/products/365nails-sweet-bunny-3d-rabbit-heart-handmade-long-coffin-nails","365nails: ""Sweet Bunny"" – 3D Rabbit &amp; Heart Handmade Long Coffin Nails")</x:f>
        <x:v>HYPERLINK is not implemented. linkLocation=https://365nails.com/products/365nails-sweet-bunny-3d-rabbit-heart-handmade-long-coffin-nails, friendlyName=365nails: "Sweet Bunny" – 3D Rabbit &amp; Heart Handmade Long Coffin Nails</x:v>
      </x:c>
      <x:c r="D4333" s="18" t="str">
        <x:v>Size: XS / S / M / L</x:v>
      </x:c>
      <x:c r="E4333" s="25" t="str">
        <x:v>$4.99</x:v>
      </x:c>
      <x:c r="F4333" s="19" t="str">
        <x:v>5</x:v>
      </x:c>
    </x:row>
    <x:row r="4334" ht="93" customHeight="1">
      <x:c r="A4334" s="19" t="n">
        <x:v>4331</x:v>
      </x:c>
      <x:c r="B4334" s="22" t="e">
        <x:f>HYPERLINK("https://cdn.shopify.com/s/files/1/0918/6066/4603/files/O1CN01XgQeTp1CPwMWobrng__2213196780074-0-cib.jpg?v=1776764435","Open")</x:f>
        <x:v>HYPERLINK is not implemented. linkLocation=https://cdn.shopify.com/s/files/1/0918/6066/4603/files/O1CN01XgQeTp1CPwMWobrng__2213196780074-0-cib.jpg?v=1776764435, friendlyName=Open</x:v>
      </x:c>
      <x:c r="C4334" s="24" t="e">
        <x:f>HYPERLINK("https://365nails.com/products/365nails-ice-queen-k9-crystal-bling-handmade-almond-nails","365nails: ""Ice Queen"" – K9 Crystal Bling Handmade Almond Nails")</x:f>
        <x:v>HYPERLINK is not implemented. linkLocation=https://365nails.com/products/365nails-ice-queen-k9-crystal-bling-handmade-almond-nails, friendlyName=365nails: "Ice Queen" – K9 Crystal Bling Handmade Almond Nails</x:v>
      </x:c>
      <x:c r="D4334" s="18" t="str">
        <x:v>Color: 2513-extra long ladder / 2514-fine dog tip; Color classification: Xs / S / M / L</x:v>
      </x:c>
      <x:c r="E4334" s="25" t="str">
        <x:v>$3.49</x:v>
      </x:c>
      <x:c r="F4334" s="19" t="str">
        <x:v>1</x:v>
      </x:c>
    </x:row>
    <x:row r="4335" ht="93" customHeight="1">
      <x:c r="A4335" s="19" t="n">
        <x:v>4332</x:v>
      </x:c>
      <x:c r="B4335" s="22" t="e">
        <x:f>HYPERLINK("https://cdn.shopify.com/s/files/1/0918/6066/4603/files/O1CN01hMGa5u2MQzdtpYc1W__2219089449823-0-cib.jpg?v=1774096952","Open")</x:f>
        <x:v>HYPERLINK is not implemented. linkLocation=https://cdn.shopify.com/s/files/1/0918/6066/4603/files/O1CN01hMGa5u2MQzdtpYc1W__2219089449823-0-cib.jpg?v=1774096952, friendlyName=Open</x:v>
      </x:c>
      <x:c r="C4335" s="24" t="e">
        <x:f>HYPERLINK("https://365nails.com/products/fantasy-dream-starry-bow-short-square-press-ons","Fantasy Dream: ""Starry Bow"" – Short Square Press-Ons")</x:f>
        <x:v>HYPERLINK is not implemented. linkLocation=https://365nails.com/products/fantasy-dream-starry-bow-short-square-press-ons, friendlyName=Fantasy Dream: "Starry Bow" – Short Square Press-Ons</x:v>
      </x:c>
      <x:c r="D4335" s="18" t="str">
        <x:v>Color: L262; Color classification: X s / S / M / L</x:v>
      </x:c>
      <x:c r="E4335" s="25" t="str">
        <x:v>$4.99</x:v>
      </x:c>
      <x:c r="F4335" s="19" t="str">
        <x:v>1</x:v>
      </x:c>
    </x:row>
    <x:row r="4336" ht="93" customHeight="1">
      <x:c r="A4336" s="19" t="n">
        <x:v>4333</x:v>
      </x:c>
      <x:c r="B4336" s="22" t="e">
        <x:f>HYPERLINK("https://cdn.shopify.com/s/files/1/0918/6066/4603/files/7163cf6f1f1f2e0624960afbf145936a.jpg?v=1773908792","Open")</x:f>
        <x:v>HYPERLINK is not implemented. linkLocation=https://cdn.shopify.com/s/files/1/0918/6066/4603/files/7163cf6f1f1f2e0624960afbf145936a.jpg?v=1773908792, friendlyName=Open</x:v>
      </x:c>
      <x:c r="C4336" s="24" t="e">
        <x:f>HYPERLINK("https://365nails.com/products/365nails-sweetheart-silver-flake-handmade-press-on-nails-punk-girl-y2k-sweet-cool","365Nails: ""Sweetheart Silver Flake"" – handmade press-on nails (Punk Girl/Y2K Sweet Cool)")</x:f>
        <x:v>HYPERLINK is not implemented. linkLocation=https://365nails.com/products/365nails-sweetheart-silver-flake-handmade-press-on-nails-punk-girl-y2k-sweet-cool, friendlyName=365Nails: "Sweetheart Silver Flake" – handmade press-on nails (Punk Girl/Y2K Sweet Cool)</x:v>
      </x:c>
      <x:c r="D4336" s="18" t="str">
        <x:v>Size: XS / S / M / L</x:v>
      </x:c>
      <x:c r="E4336" s="25" t="str">
        <x:v>$3.99</x:v>
      </x:c>
      <x:c r="F4336" s="19" t="str">
        <x:v>5</x:v>
      </x:c>
    </x:row>
    <x:row r="4337" ht="93" customHeight="1">
      <x:c r="A4337" s="19" t="n">
        <x:v>4334</x:v>
      </x:c>
      <x:c r="B4337" s="22" t="e">
        <x:f>HYPERLINK("https://cdn.shopify.com/s/files/1/0918/6066/4603/files/5f94092da44a5671abce3a9e749478bc.jpg?v=1778244863","Open")</x:f>
        <x:v>HYPERLINK is not implemented. linkLocation=https://cdn.shopify.com/s/files/1/0918/6066/4603/files/5f94092da44a5671abce3a9e749478bc.jpg?v=1778244863, friendlyName=Open</x:v>
      </x:c>
      <x:c r="C4337" s="24" t="e">
        <x:f>HYPERLINK("https://365nails.com/products/365nails-wild-heart-hand-drawn-animal-print-handmade-stiletto-nails","365nails: ""Wild Heart"" – Hand-Drawn Animal Print Handmade Stiletto Nails")</x:f>
        <x:v>HYPERLINK is not implemented. linkLocation=https://365nails.com/products/365nails-wild-heart-hand-drawn-animal-print-handmade-stiletto-nails, friendlyName=365nails: "Wild Heart" – Hand-Drawn Animal Print Handmade Stiletto Nails</x:v>
      </x:c>
      <x:c r="D4337" s="18" t="str">
        <x:v>Size: XS / S / M / L</x:v>
      </x:c>
      <x:c r="E4337" s="25" t="str">
        <x:v>$3.99</x:v>
      </x:c>
      <x:c r="F4337" s="19" t="str">
        <x:v>5</x:v>
      </x:c>
    </x:row>
    <x:row r="4338" ht="93" customHeight="1">
      <x:c r="A4338" s="19" t="n">
        <x:v>4335</x:v>
      </x:c>
      <x:c r="B4338" s="22" t="e">
        <x:f>HYPERLINK("https://cdn.shopify.com/s/files/1/0918/6066/4603/files/O1CN01czxLJL2MQzfRcFpBM__2219089449823-0-cib.jpg?v=1774452964","Open")</x:f>
        <x:v>HYPERLINK is not implemented. linkLocation=https://cdn.shopify.com/s/files/1/0918/6066/4603/files/O1CN01czxLJL2MQzfRcFpBM__2219089449823-0-cib.jpg?v=1774452964, friendlyName=Open</x:v>
      </x:c>
      <x:c r="C4338" s="24" t="e">
        <x:f>HYPERLINK("https://365nails.com/products/celestial-french-gold-star-french-almond-shape-handmade-press-ons","Celestial French: ""Gold Star French"" – Almond Shape Handmade Press-Ons")</x:f>
        <x:v>HYPERLINK is not implemented. linkLocation=https://365nails.com/products/celestial-french-gold-star-french-almond-shape-handmade-press-ons, friendlyName=Celestial French: "Gold Star French" – Almond Shape Handmade Press-Ons</x:v>
      </x:c>
      <x:c r="D4338" s="18" t="str">
        <x:v>Color: C 440; Color classification: X s / S / M / L</x:v>
      </x:c>
      <x:c r="E4338" s="25" t="str">
        <x:v>$3.49</x:v>
      </x:c>
      <x:c r="F4338" s="19" t="str">
        <x:v>1</x:v>
      </x:c>
    </x:row>
    <x:row r="4339" ht="93" customHeight="1">
      <x:c r="A4339" s="19" t="n">
        <x:v>4336</x:v>
      </x:c>
      <x:c r="B4339" s="22" t="e">
        <x:f>HYPERLINK("https://cdn.shopify.com/s/files/1/0918/6066/4603/files/O1CN01UCj45I2MQzdtI27pE__2219089449823-0-cib.jpg?v=1774096960","Open")</x:f>
        <x:v>HYPERLINK is not implemented. linkLocation=https://cdn.shopify.com/s/files/1/0918/6066/4603/files/O1CN01UCj45I2MQzdtI27pE__2219089449823-0-cib.jpg?v=1774096960, friendlyName=Open</x:v>
      </x:c>
      <x:c r="C4339" s="24" t="e">
        <x:f>HYPERLINK("https://365nails.com/products/ocean-whisper-lavender-tide-almond-press-ons","Ocean Whisper: ""Lavender Tide"" – Almond Press-Ons")</x:f>
        <x:v>HYPERLINK is not implemented. linkLocation=https://365nails.com/products/ocean-whisper-lavender-tide-almond-press-ons, friendlyName=Ocean Whisper: "Lavender Tide" – Almond Press-Ons</x:v>
      </x:c>
      <x:c r="D4339" s="18" t="str">
        <x:v>Color: D419; Color classification: X s / S / M / L</x:v>
      </x:c>
      <x:c r="E4339" s="25" t="str">
        <x:v>$3.99</x:v>
      </x:c>
      <x:c r="F4339" s="19" t="str">
        <x:v>1</x:v>
      </x:c>
    </x:row>
    <x:row r="4340" ht="93" customHeight="1">
      <x:c r="A4340" s="19" t="n">
        <x:v>4337</x:v>
      </x:c>
      <x:c r="B4340" s="22" t="e">
        <x:f>HYPERLINK("https://cdn.shopify.com/s/files/1/0918/6066/4603/files/b57f4a309d4bdc6c86efc7711ea9bfe2.jpg?v=1778318520","Open")</x:f>
        <x:v>HYPERLINK is not implemented. linkLocation=https://cdn.shopify.com/s/files/1/0918/6066/4603/files/b57f4a309d4bdc6c86efc7711ea9bfe2.jpg?v=1778318520, friendlyName=Open</x:v>
      </x:c>
      <x:c r="C4340" s="24" t="e">
        <x:f>HYPERLINK("https://365nails.com/products/365nails-dark-angel-3d-wing-rhinestone-handmade-stiletto-nails","365nails: ""Dark Angel"" – 3D Wing &amp; Rhinestone Handmade Stiletto Nails")</x:f>
        <x:v>HYPERLINK is not implemented. linkLocation=https://365nails.com/products/365nails-dark-angel-3d-wing-rhinestone-handmade-stiletto-nails, friendlyName=365nails: "Dark Angel" – 3D Wing &amp; Rhinestone Handmade Stiletto Nails</x:v>
      </x:c>
      <x:c r="D4340" s="18" t="str">
        <x:v>Size: XS / S / M / L</x:v>
      </x:c>
      <x:c r="E4340" s="25" t="str">
        <x:v>$3.99</x:v>
      </x:c>
      <x:c r="F4340" s="19" t="str">
        <x:v>5</x:v>
      </x:c>
    </x:row>
    <x:row r="4341" ht="93" customHeight="1">
      <x:c r="A4341" s="19" t="n">
        <x:v>4338</x:v>
      </x:c>
      <x:c r="B4341" s="22" t="e">
        <x:f>HYPERLINK("https://cdn.shopify.com/s/files/1/0918/6066/4603/files/cec2b60e17303f4397e10f82a2947c71_9f8f927b-5f3d-4ccc-8fc3-74ec59a530d8.jpg?v=1773212237","Open")</x:f>
        <x:v>HYPERLINK is not implemented. linkLocation=https://cdn.shopify.com/s/files/1/0918/6066/4603/files/cec2b60e17303f4397e10f82a2947c71_9f8f927b-5f3d-4ccc-8fc3-74ec59a530d8.jpg?v=1773212237, friendlyName=Open</x:v>
      </x:c>
      <x:c r="C4341" s="24" t="e">
        <x:f>HYPERLINK("https://365nails.com/products/365nails-galaxy-glitter-flower-handmade-press-on-toenails-pedicure","365nails: ""galaxy glitter flower"" – handmade press-on toenails / pedicure")</x:f>
        <x:v>HYPERLINK is not implemented. linkLocation=https://365nails.com/products/365nails-galaxy-glitter-flower-handmade-press-on-toenails-pedicure, friendlyName=365nails: "galaxy glitter flower" – handmade press-on toenails / pedicure</x:v>
      </x:c>
      <x:c r="D4341" s="18" t="str">
        <x:v>Size: XS / S / M / L</x:v>
      </x:c>
      <x:c r="E4341" s="25" t="str">
        <x:v>$4.99</x:v>
      </x:c>
      <x:c r="F4341" s="19" t="str">
        <x:v>3</x:v>
      </x:c>
    </x:row>
    <x:row r="4342" ht="93" customHeight="1">
      <x:c r="A4342" s="19" t="n">
        <x:v>4339</x:v>
      </x:c>
      <x:c r="B4342" s="22" t="e">
        <x:f>HYPERLINK("https://cdn.shopify.com/s/files/1/0918/6066/4603/files/555e855be746fd270342756ac0756ac2.jpg?v=1778242013","Open")</x:f>
        <x:v>HYPERLINK is not implemented. linkLocation=https://cdn.shopify.com/s/files/1/0918/6066/4603/files/555e855be746fd270342756ac0756ac2.jpg?v=1778242013, friendlyName=Open</x:v>
      </x:c>
      <x:c r="C4342" s="24" t="e">
        <x:f>HYPERLINK("https://365nails.com/products/365nails-safari-chic-3d-bow-zebra-print-handmade-medium-almond-nails","365nails: ""Safari Chic"" – 3D Bow &amp; Zebra Print Handmade Medium Almond Nails")</x:f>
        <x:v>HYPERLINK is not implemented. linkLocation=https://365nails.com/products/365nails-safari-chic-3d-bow-zebra-print-handmade-medium-almond-nails, friendlyName=365nails: "Safari Chic" – 3D Bow &amp; Zebra Print Handmade Medium Almond Nails</x:v>
      </x:c>
      <x:c r="D4342" s="18" t="str">
        <x:v>Size: XS / S / M / L</x:v>
      </x:c>
      <x:c r="E4342" s="25" t="str">
        <x:v>$4.99</x:v>
      </x:c>
      <x:c r="F4342" s="19" t="str">
        <x:v>5</x:v>
      </x:c>
    </x:row>
    <x:row r="4343" ht="93" customHeight="1">
      <x:c r="A4343" s="19" t="n">
        <x:v>4340</x:v>
      </x:c>
      <x:c r="B4343" s="22" t="e">
        <x:f>HYPERLINK("https://cdn.shopify.com/s/files/1/0918/6066/4603/files/4425c2864059a99862f9e782f3f7f833.jpg?v=1778241917","Open")</x:f>
        <x:v>HYPERLINK is not implemented. linkLocation=https://cdn.shopify.com/s/files/1/0918/6066/4603/files/4425c2864059a99862f9e782f3f7f833.jpg?v=1778241917, friendlyName=Open</x:v>
      </x:c>
      <x:c r="C4343" s="24" t="e">
        <x:f>HYPERLINK("https://365nails.com/products/365nails-safari-chic-3d-floral-animal-print-handmade-long-coffin-nails","365nails: ""Safari Chic"" – 3D Floral &amp; Animal Print Handmade Long Coffin Nails")</x:f>
        <x:v>HYPERLINK is not implemented. linkLocation=https://365nails.com/products/365nails-safari-chic-3d-floral-animal-print-handmade-long-coffin-nails, friendlyName=365nails: "Safari Chic" – 3D Floral &amp; Animal Print Handmade Long Coffin Nails</x:v>
      </x:c>
      <x:c r="D4343" s="18" t="str">
        <x:v>Size: XS / S / M / L</x:v>
      </x:c>
      <x:c r="E4343" s="25" t="str">
        <x:v>$4.99</x:v>
      </x:c>
      <x:c r="F4343" s="19" t="str">
        <x:v>5</x:v>
      </x:c>
    </x:row>
    <x:row r="4344" ht="93" customHeight="1">
      <x:c r="A4344" s="19" t="n">
        <x:v>4341</x:v>
      </x:c>
      <x:c r="B4344" s="22" t="e">
        <x:f>HYPERLINK("https://cdn.shopify.com/s/files/1/0918/6066/4603/files/794e810455078d302203fd9911f0f5c6.jpg?v=1776244885","Open")</x:f>
        <x:v>HYPERLINK is not implemented. linkLocation=https://cdn.shopify.com/s/files/1/0918/6066/4603/files/794e810455078d302203fd9911f0f5c6.jpg?v=1776244885, friendlyName=Open</x:v>
      </x:c>
      <x:c r="C4344" s="24" t="e">
        <x:f>HYPERLINK("https://365nails.com/products/365nails-silver-swan-lake-3d-swan-glitter-handmade-short-nails","365nails: ""Silver Swan Lake"" – 3D Swan &amp; Glitter Handmade Short Nails")</x:f>
        <x:v>HYPERLINK is not implemented. linkLocation=https://365nails.com/products/365nails-silver-swan-lake-3d-swan-glitter-handmade-short-nails, friendlyName=365nails: "Silver Swan Lake" – 3D Swan &amp; Glitter Handmade Short Nails</x:v>
      </x:c>
      <x:c r="D4344" s="18" t="str">
        <x:v>Size: XS / S / M / L</x:v>
      </x:c>
      <x:c r="E4344" s="25" t="str">
        <x:v>$2.49</x:v>
      </x:c>
      <x:c r="F4344" s="19" t="str">
        <x:v>3</x:v>
      </x:c>
    </x:row>
    <x:row r="4345" ht="93" customHeight="1">
      <x:c r="A4345" s="19" t="n">
        <x:v>4342</x:v>
      </x:c>
      <x:c r="B4345" s="22" t="e">
        <x:f>HYPERLINK("https://cdn.shopify.com/s/files/1/0918/6066/4603/files/O1CN015b91ck2MQzf10X6dp__2219089449823-0-cib.jpg?v=1774452859","Open")</x:f>
        <x:v>HYPERLINK is not implemented. linkLocation=https://cdn.shopify.com/s/files/1/0918/6066/4603/files/O1CN015b91ck2MQzf10X6dp__2219089449823-0-cib.jpg?v=1774452859, friendlyName=Open</x:v>
      </x:c>
      <x:c r="C4345" s="24" t="e">
        <x:f>HYPERLINK("https://365nails.com/products/fresh-meadow-green-daisy-breeze-short-square-handmade-press-ons","Fresh Meadow: ""Green Daisy Breeze"" – Short Square Handmade Press-Ons")</x:f>
        <x:v>HYPERLINK is not implemented. linkLocation=https://365nails.com/products/fresh-meadow-green-daisy-breeze-short-square-handmade-press-ons, friendlyName=Fresh Meadow: "Green Daisy Breeze" – Short Square Handmade Press-Ons</x:v>
      </x:c>
      <x:c r="D4345" s="18" t="str">
        <x:v>Color: L233; Color classification: X s / S / M / L</x:v>
      </x:c>
      <x:c r="E4345" s="25" t="str">
        <x:v>$3.49</x:v>
      </x:c>
      <x:c r="F4345" s="19" t="str">
        <x:v>1</x:v>
      </x:c>
    </x:row>
    <x:row r="4346" ht="93" customHeight="1">
      <x:c r="A4346" s="19" t="n">
        <x:v>4343</x:v>
      </x:c>
      <x:c r="B4346" s="22" t="e">
        <x:f>HYPERLINK("https://cdn.shopify.com/s/files/1/0918/6066/4603/files/88de0479f7c602b050b0fd0895a41ac6.jpg?v=1775910443","Open")</x:f>
        <x:v>HYPERLINK is not implemented. linkLocation=https://cdn.shopify.com/s/files/1/0918/6066/4603/files/88de0479f7c602b050b0fd0895a41ac6.jpg?v=1775910443, friendlyName=Open</x:v>
      </x:c>
      <x:c r="C4346" s="24" t="e">
        <x:f>HYPERLINK("https://365nails.com/products/365nails-midnight-bloom-3d-floral-handmade-stiletto-nails-3","365nails: ""Purple Midnight Bloom"" – 3D Floral Handmade Stiletto Nails")</x:f>
        <x:v>HYPERLINK is not implemented. linkLocation=https://365nails.com/products/365nails-midnight-bloom-3d-floral-handmade-stiletto-nails-3, friendlyName=365nails: "Purple Midnight Bloom" – 3D Floral Handmade Stiletto Nails</x:v>
      </x:c>
      <x:c r="D4346" s="18" t="str">
        <x:v>Size: XS / S / M / L</x:v>
      </x:c>
      <x:c r="E4346" s="25" t="str">
        <x:v>$3.99</x:v>
      </x:c>
      <x:c r="F4346" s="19" t="str">
        <x:v>5</x:v>
      </x:c>
    </x:row>
    <x:row r="4347" ht="93" customHeight="1">
      <x:c r="A4347" s="19" t="n">
        <x:v>4344</x:v>
      </x:c>
      <x:c r="B4347" s="22" t="e">
        <x:f>HYPERLINK("https://cdn.shopify.com/s/files/1/0918/6066/4603/files/O1CN01tAwnMT27ZUmWOv8wr__2220024697811-0-cib.jpg?v=1775111130","Open")</x:f>
        <x:v>HYPERLINK is not implemented. linkLocation=https://cdn.shopify.com/s/files/1/0918/6066/4603/files/O1CN01tAwnMT27ZUmWOv8wr__2220024697811-0-cib.jpg?v=1775111130, friendlyName=Open</x:v>
      </x:c>
      <x:c r="C4347" s="24" t="e">
        <x:f>HYPERLINK("https://365nails.com/products/365nails-royal-porcelain-3d-floral-lace-handmade-long-coffin-nails","365nails: ""Royal Porcelain"" – 3D Floral &amp; Lace Handmade Long Coffin Nails")</x:f>
        <x:v>HYPERLINK is not implemented. linkLocation=https://365nails.com/products/365nails-royal-porcelain-3d-floral-lace-handmade-long-coffin-nails, friendlyName=365nails: "Royal Porcelain" – 3D Floral &amp; Lace Handmade Long Coffin Nails</x:v>
      </x:c>
      <x:c r="D4347" s="18" t="str">
        <x:v>Color: Long tip; Color classification: Xs / S / M / L</x:v>
      </x:c>
      <x:c r="E4347" s="25" t="str">
        <x:v>$5.49</x:v>
      </x:c>
      <x:c r="F4347" s="19" t="str">
        <x:v>3</x:v>
      </x:c>
    </x:row>
    <x:row r="4348" ht="93" customHeight="1">
      <x:c r="A4348" s="19" t="n">
        <x:v>4345</x:v>
      </x:c>
      <x:c r="B4348" s="22" t="e">
        <x:f>HYPERLINK("https://cdn.shopify.com/s/files/1/0918/6066/4603/files/O1CN01Gh50I52214thUkPH7__2219480337059-0-cib.jpg?v=1773824579","Open")</x:f>
        <x:v>HYPERLINK is not implemented. linkLocation=https://cdn.shopify.com/s/files/1/0918/6066/4603/files/O1CN01Gh50I52214thUkPH7__2219480337059-0-cib.jpg?v=1773824579, friendlyName=Open</x:v>
      </x:c>
      <x:c r="C4348" s="24" t="e">
        <x:f>HYPERLINK("https://365nails.com/products/365nails-rainbow-snowman-3d-handmade-press-on-pedicure","365nails: ""rainbow snowman 3d"" – handmade press-on pedicure")</x:f>
        <x:v>HYPERLINK is not implemented. linkLocation=https://365nails.com/products/365nails-rainbow-snowman-3d-handmade-press-on-pedicure, friendlyName=365nails: "rainbow snowman 3d" – handmade press-on pedicure</x:v>
      </x:c>
      <x:c r="D4348" s="18" t="str">
        <x:v>Color: Snowman; Color classification: Xs (about 2 years old) / S (3-4 years old) / M (5-7 years old) / L (8-11 years old)</x:v>
      </x:c>
      <x:c r="E4348" s="25" t="str">
        <x:v>$2.99</x:v>
      </x:c>
      <x:c r="F4348" s="19" t="str">
        <x:v>3</x:v>
      </x:c>
    </x:row>
    <x:row r="4349" ht="93" customHeight="1">
      <x:c r="A4349" s="19" t="n">
        <x:v>4346</x:v>
      </x:c>
      <x:c r="B4349" s="22" t="e">
        <x:f>HYPERLINK("https://cdn.shopify.com/s/files/1/0918/6066/4603/files/f9997fc84b5f57f5578e75cedf8c7272.jpg?v=1778244979","Open")</x:f>
        <x:v>HYPERLINK is not implemented. linkLocation=https://cdn.shopify.com/s/files/1/0918/6066/4603/files/f9997fc84b5f57f5578e75cedf8c7272.jpg?v=1778244979, friendlyName=Open</x:v>
      </x:c>
      <x:c r="C4349" s="24" t="e">
        <x:f>HYPERLINK("https://365nails.com/products/365nails-radiant-bloom-3d-diamond-bow-handmade-coffin-nails","365nails: ""Radiant Bloom"" – 3D Diamond &amp; Bow Handmade Coffin Nails")</x:f>
        <x:v>HYPERLINK is not implemented. linkLocation=https://365nails.com/products/365nails-radiant-bloom-3d-diamond-bow-handmade-coffin-nails, friendlyName=365nails: "Radiant Bloom" – 3D Diamond &amp; Bow Handmade Coffin Nails</x:v>
      </x:c>
      <x:c r="D4349" s="18" t="str">
        <x:v>Size: XS / S / M / L</x:v>
      </x:c>
      <x:c r="E4349" s="25" t="str">
        <x:v>$3.99</x:v>
      </x:c>
      <x:c r="F4349" s="19" t="str">
        <x:v>5</x:v>
      </x:c>
    </x:row>
    <x:row r="4350" ht="93" customHeight="1">
      <x:c r="A4350" s="19" t="n">
        <x:v>4347</x:v>
      </x:c>
      <x:c r="B4350" s="22" t="e">
        <x:f>HYPERLINK("https://cdn.shopify.com/s/files/1/0918/6066/4603/files/O1CN01BYDOfz2214sHD2XYZ__2219480337059-0-cib.jpg?v=1774067832","Open")</x:f>
        <x:v>HYPERLINK is not implemented. linkLocation=https://cdn.shopify.com/s/files/1/0918/6066/4603/files/O1CN01BYDOfz2214sHD2XYZ__2219480337059-0-cib.jpg?v=1774067832, friendlyName=Open</x:v>
      </x:c>
      <x:c r="C4350" s="24" t="e">
        <x:f>HYPERLINK("https://365nails.com/products/365nails-cherry-blossom-kitty-handmade-cute-short-oval-press-on-nails-with-hello-kitty-floral-design","365Nails: ""Cherry Blossom Kitty"" – Handmade Cute Short Oval Press On Nails With Hello Kitty &amp; Floral Design")</x:f>
        <x:v>HYPERLINK is not implemented. linkLocation=https://365nails.com/products/365nails-cherry-blossom-kitty-handmade-cute-short-oval-press-on-nails-with-hello-kitty-floral-design, friendlyName=365Nails: "Cherry Blossom Kitty" – Handmade Cute Short Oval Press On Nails With Hello Kitty &amp; Floral Design</x:v>
      </x:c>
      <x:c r="D4350" s="18" t="str">
        <x:v>Color: Crescent kitty; Color classification: Xs (about 2 years old) / S (3-4 years old) / M (5-7 years old) / L (8-11 years old)</x:v>
      </x:c>
      <x:c r="E4350" s="25" t="str">
        <x:v>$2.99</x:v>
      </x:c>
      <x:c r="F4350" s="19" t="str">
        <x:v>3</x:v>
      </x:c>
    </x:row>
    <x:row r="4351" ht="93" customHeight="1">
      <x:c r="A4351" s="19" t="n">
        <x:v>4348</x:v>
      </x:c>
      <x:c r="B4351" s="22" t="e">
        <x:f>HYPERLINK("https://cdn.shopify.com/s/files/1/0918/6066/4603/files/O1CN01Mtnjcx2MQzfLyzqht__2219089449823-0-cib.jpg?v=1774452947","Open")</x:f>
        <x:v>HYPERLINK is not implemented. linkLocation=https://cdn.shopify.com/s/files/1/0918/6066/4603/files/O1CN01Mtnjcx2MQzfLyzqht__2219089449823-0-cib.jpg?v=1774452947, friendlyName=Open</x:v>
      </x:c>
      <x:c r="C4351" s="24" t="e">
        <x:f>HYPERLINK("https://365nails.com/products/enchanted-garden-butterfly-floral-crystal-short-square-handmade-press-ons","Enchanted Garden: ""Butterfly Floral Crystal"" – Short Square Handmade Press-Ons")</x:f>
        <x:v>HYPERLINK is not implemented. linkLocation=https://365nails.com/products/enchanted-garden-butterfly-floral-crystal-short-square-handmade-press-ons, friendlyName=Enchanted Garden: "Butterfly Floral Crystal" – Short Square Handmade Press-Ons</x:v>
      </x:c>
      <x:c r="D4351" s="18" t="str">
        <x:v>Color: L 215; Color classification: X s / S / M / L</x:v>
      </x:c>
      <x:c r="E4351" s="25" t="str">
        <x:v>$4.99</x:v>
      </x:c>
      <x:c r="F4351" s="19" t="str">
        <x:v>1</x:v>
      </x:c>
    </x:row>
    <x:row r="4352" ht="93" customHeight="1">
      <x:c r="A4352" s="19" t="n">
        <x:v>4349</x:v>
      </x:c>
      <x:c r="B4352" s="22" t="e">
        <x:f>HYPERLINK("https://cdn.shopify.com/s/files/1/0918/6066/4603/files/5a8d0d069d5f146503265726ff37e970.jpg?v=1778241103","Open")</x:f>
        <x:v>HYPERLINK is not implemented. linkLocation=https://cdn.shopify.com/s/files/1/0918/6066/4603/files/5a8d0d069d5f146503265726ff37e970.jpg?v=1778241103, friendlyName=Open</x:v>
      </x:c>
      <x:c r="C4352" s="24" t="e">
        <x:f>HYPERLINK("https://365nails.com/products/365nails-strawberry-gold-3d-bow-metallic-handmade-long-stiletto-nails","365nails: ""Strawberry Gold"" – 3D Bow &amp; Metallic Handmade Long Stiletto Nails")</x:f>
        <x:v>HYPERLINK is not implemented. linkLocation=https://365nails.com/products/365nails-strawberry-gold-3d-bow-metallic-handmade-long-stiletto-nails, friendlyName=365nails: "Strawberry Gold" – 3D Bow &amp; Metallic Handmade Long Stiletto Nails</x:v>
      </x:c>
      <x:c r="D4352" s="18" t="str">
        <x:v>Size: XS / S / M / L</x:v>
      </x:c>
      <x:c r="E4352" s="25" t="str">
        <x:v>$4.99</x:v>
      </x:c>
      <x:c r="F4352" s="19" t="str">
        <x:v>5</x:v>
      </x:c>
    </x:row>
    <x:row r="4353" ht="93" customHeight="1">
      <x:c r="A4353" s="19" t="n">
        <x:v>4350</x:v>
      </x:c>
      <x:c r="B4353" s="22" t="e">
        <x:f>HYPERLINK("https://cdn.shopify.com/s/files/1/0918/6066/4603/files/df191de4bbb53a2dae1fb8aeaa429564.jpg?v=1775910273","Open")</x:f>
        <x:v>HYPERLINK is not implemented. linkLocation=https://cdn.shopify.com/s/files/1/0918/6066/4603/files/df191de4bbb53a2dae1fb8aeaa429564.jpg?v=1775910273, friendlyName=Open</x:v>
      </x:c>
      <x:c r="C4353" s="24" t="e">
        <x:f>HYPERLINK("https://365nails.com/products/365nails-sweet-whimsy-3d-floral-handmade-stiletto-nails","365nails: ""Sweet Whimsy"" – 3D Floral Handmade Stiletto Nails")</x:f>
        <x:v>HYPERLINK is not implemented. linkLocation=https://365nails.com/products/365nails-sweet-whimsy-3d-floral-handmade-stiletto-nails, friendlyName=365nails: "Sweet Whimsy" – 3D Floral Handmade Stiletto Nails</x:v>
      </x:c>
      <x:c r="D4353" s="18" t="str">
        <x:v>Size: XS / S / M / L</x:v>
      </x:c>
      <x:c r="E4353" s="25" t="str">
        <x:v>$3.99</x:v>
      </x:c>
      <x:c r="F4353" s="19" t="str">
        <x:v>5</x:v>
      </x:c>
    </x:row>
    <x:row r="4354" ht="93" customHeight="1">
      <x:c r="A4354" s="19" t="n">
        <x:v>4351</x:v>
      </x:c>
      <x:c r="B4354" s="22" t="e">
        <x:f>HYPERLINK("https://cdn.shopify.com/s/files/1/0918/6066/4603/files/O1CN011AeVTC2214suhWYQa__2219480337059-0-cib.jpg?v=1774070436","Open")</x:f>
        <x:v>HYPERLINK is not implemented. linkLocation=https://cdn.shopify.com/s/files/1/0918/6066/4603/files/O1CN011AeVTC2214suhWYQa__2219480337059-0-cib.jpg?v=1774070436, friendlyName=Open</x:v>
      </x:c>
      <x:c r="C4354" s="24" t="e">
        <x:f>HYPERLINK("https://365nails.com/products/365nails-cinnamoroll-cloud-dream-handmade-cute-short-oval-press-on-nails-with-cinnamoroll-flower-design","365Nails: ""Cinnamoroll Cloud Dream"" – Handmade Cute Short Oval Press On Nails With Cinnamoroll &amp; Flower Design")</x:f>
        <x:v>HYPERLINK is not implemented. linkLocation=https://365nails.com/products/365nails-cinnamoroll-cloud-dream-handmade-cute-short-oval-press-on-nails-with-cinnamoroll-flower-design, friendlyName=365Nails: "Cinnamoroll Cloud Dream" – Handmade Cute Short Oval Press On Nails With Cinnamoroll &amp; Flower Design</x:v>
      </x:c>
      <x:c r="D4354" s="18" t="str">
        <x:v>Color: Round cinnamon dog; Color classification: Xs size (about 2 years old) / S size (3-4 years old) / M size (5-7 years old) / L size (8-11 years old)</x:v>
      </x:c>
      <x:c r="E4354" s="25" t="str">
        <x:v>$2.99</x:v>
      </x:c>
      <x:c r="F4354" s="19" t="str">
        <x:v>3</x:v>
      </x:c>
    </x:row>
    <x:row r="4355" ht="93" customHeight="1">
      <x:c r="A4355" s="19" t="n">
        <x:v>4352</x:v>
      </x:c>
      <x:c r="B4355" s="22" t="e">
        <x:f>HYPERLINK("https://cdn.shopify.com/s/files/1/0918/6066/4603/files/f897a31c48f7a9f649270eb88a79c085.jpg?v=1778242797","Open")</x:f>
        <x:v>HYPERLINK is not implemented. linkLocation=https://cdn.shopify.com/s/files/1/0918/6066/4603/files/f897a31c48f7a9f649270eb88a79c085.jpg?v=1778242797, friendlyName=Open</x:v>
      </x:c>
      <x:c r="C4355" s="24" t="e">
        <x:f>HYPERLINK("https://365nails.com/products/365nails-crimson-dynasty-3d-rose-gold-leaf-handmade-long-stiletto-nails","365nails: ""Crimson Dynasty"" – 3D Rose &amp; Gold Leaf Handmade Long Stiletto Nails")</x:f>
        <x:v>HYPERLINK is not implemented. linkLocation=https://365nails.com/products/365nails-crimson-dynasty-3d-rose-gold-leaf-handmade-long-stiletto-nails, friendlyName=365nails: "Crimson Dynasty" – 3D Rose &amp; Gold Leaf Handmade Long Stiletto Nails</x:v>
      </x:c>
      <x:c r="D4355" s="18" t="str">
        <x:v>Size: XS / S / M / L</x:v>
      </x:c>
      <x:c r="E4355" s="25" t="str">
        <x:v>$3.99</x:v>
      </x:c>
      <x:c r="F4355" s="19" t="str">
        <x:v>5</x:v>
      </x:c>
    </x:row>
    <x:row r="4356" ht="93" customHeight="1">
      <x:c r="A4356" s="19" t="n">
        <x:v>4353</x:v>
      </x:c>
      <x:c r="B4356" s="22" t="e">
        <x:f>HYPERLINK("https://cdn.shopify.com/s/files/1/0918/6066/4603/files/496e91e1fa9b7e9870b21cd47549fa5e.jpg?v=1773306439","Open")</x:f>
        <x:v>HYPERLINK is not implemented. linkLocation=https://cdn.shopify.com/s/files/1/0918/6066/4603/files/496e91e1fa9b7e9870b21cd47549fa5e.jpg?v=1773306439, friendlyName=Open</x:v>
      </x:c>
      <x:c r="C4356" s="24" t="e">
        <x:f>HYPERLINK("https://365nails.com/products/365nails-pale-jade-gold-foil-handmade-press-on-toenails-pedicure","365nails: ""pale jade gold foil"" – handmade press-on toenails / pedicure")</x:f>
        <x:v>HYPERLINK is not implemented. linkLocation=https://365nails.com/products/365nails-pale-jade-gold-foil-handmade-press-on-toenails-pedicure, friendlyName=365nails: "pale jade gold foil" – handmade press-on toenails / pedicure</x:v>
      </x:c>
      <x:c r="D4356" s="18" t="str">
        <x:v>Size: XS / S / M / L</x:v>
      </x:c>
      <x:c r="E4356" s="25" t="str">
        <x:v>$2.99</x:v>
      </x:c>
      <x:c r="F4356" s="19" t="str">
        <x:v>3</x:v>
      </x:c>
    </x:row>
    <x:row r="4357" ht="93" customHeight="1">
      <x:c r="A4357" s="19" t="n">
        <x:v>4354</x:v>
      </x:c>
      <x:c r="B4357" s="22" t="e">
        <x:f>HYPERLINK("https://cdn.shopify.com/s/files/1/0918/6066/4603/files/O1CN01fsD9f11CPwOhDfMzk__2213196780074-0-cib.jpg?v=1776935812","Open")</x:f>
        <x:v>HYPERLINK is not implemented. linkLocation=https://cdn.shopify.com/s/files/1/0918/6066/4603/files/O1CN01fsD9f11CPwOhDfMzk__2213196780074-0-cib.jpg?v=1776935812, friendlyName=Open</x:v>
      </x:c>
      <x:c r="C4357" s="24" t="e">
        <x:f>HYPERLINK("https://365nails.com/products/365nails-ethereal-whisper-3d-bow-crystal-handmade-almond-nails","365nails: ""Ethereal Whisper"" – 3D Bow &amp; Crystal Handmade Almond Nails")</x:f>
        <x:v>HYPERLINK is not implemented. linkLocation=https://365nails.com/products/365nails-ethereal-whisper-3d-bow-crystal-handmade-almond-nails, friendlyName=365nails: "Ethereal Whisper" – 3D Bow &amp; Crystal Handmade Almond Nails</x:v>
      </x:c>
      <x:c r="D4357" s="18" t="str">
        <x:v>Color: 3132-long oval; Color classification: Xs / S / M / L</x:v>
      </x:c>
      <x:c r="E4357" s="25" t="str">
        <x:v>$3.49</x:v>
      </x:c>
      <x:c r="F4357" s="19" t="str">
        <x:v>1</x:v>
      </x:c>
    </x:row>
    <x:row r="4358" ht="93" customHeight="1">
      <x:c r="A4358" s="19" t="n">
        <x:v>4355</x:v>
      </x:c>
      <x:c r="B4358" s="22" t="e">
        <x:f>HYPERLINK("https://cdn.shopify.com/s/files/1/0918/6066/4603/files/O1CN01rtZ6hS2MQze3mWSer__2219089449823-0-cib.jpg?v=1774097023","Open")</x:f>
        <x:v>HYPERLINK is not implemented. linkLocation=https://cdn.shopify.com/s/files/1/0918/6066/4603/files/O1CN01rtZ6hS2MQze3mWSer__2219089449823-0-cib.jpg?v=1774097023, friendlyName=Open</x:v>
      </x:c>
      <x:c r="C4358" s="24" t="e">
        <x:f>HYPERLINK("https://365nails.com/products/jelly-bloom-strawberry-flower-almond-press-ons","Jelly Bloom: ""Strawberry Flower"" – Almond Press-Ons")</x:f>
        <x:v>HYPERLINK is not implemented. linkLocation=https://365nails.com/products/jelly-bloom-strawberry-flower-almond-press-ons, friendlyName=Jelly Bloom: "Strawberry Flower" – Almond Press-Ons</x:v>
      </x:c>
      <x:c r="D4358" s="18" t="str">
        <x:v>Color: D535; Color classification: X s / S / M / L</x:v>
      </x:c>
      <x:c r="E4358" s="25" t="str">
        <x:v>$3.99</x:v>
      </x:c>
      <x:c r="F4358" s="19" t="str">
        <x:v>1</x:v>
      </x:c>
    </x:row>
    <x:row r="4359" ht="93" customHeight="1">
      <x:c r="A4359" s="19" t="n">
        <x:v>4356</x:v>
      </x:c>
      <x:c r="B4359" s="22" t="e">
        <x:f>HYPERLINK("https://cdn.shopify.com/s/files/1/0918/6066/4603/files/O1CN01UoPHpJ1rlpJty2NBY__2215158925672-0-cib_10cac2d8-32ed-47a7-8248-0f2c06730fe0.jpg?v=1772513790","Open")</x:f>
        <x:v>HYPERLINK is not implemented. linkLocation=https://cdn.shopify.com/s/files/1/0918/6066/4603/files/O1CN01UoPHpJ1rlpJty2NBY__2215158925672-0-cib_10cac2d8-32ed-47a7-8248-0f2c06730fe0.jpg?v=1772513790, friendlyName=Open</x:v>
      </x:c>
      <x:c r="C4359" s="24" t="e">
        <x:f>HYPERLINK("https://365nails.com/products/365nails-avant-garde-aurora-shift-long-coffin-multichrome-cat-eye-press-on-nails-24pcs","365nails: ""Phantom Aura"" – Long Coffin Handmade Press-On Nails")</x:f>
        <x:v>HYPERLINK is not implemented. linkLocation=https://365nails.com/products/365nails-avant-garde-aurora-shift-long-coffin-multichrome-cat-eye-press-on-nails-24pcs, friendlyName=365nails: "Phantom Aura" – Long Coffin Handmade Press-On Nails</x:v>
      </x:c>
      <x:c r="D4359" s="18" t="str">
        <x:v>Color: Pink medium t / Blue medium t-shirt; Color classification: X s / S / M / L</x:v>
      </x:c>
      <x:c r="E4359" s="25" t="str">
        <x:v>$2.49</x:v>
      </x:c>
      <x:c r="F4359" s="19" t="str">
        <x:v>3</x:v>
      </x:c>
    </x:row>
    <x:row r="4360" ht="93" customHeight="1">
      <x:c r="A4360" s="19" t="n">
        <x:v>4357</x:v>
      </x:c>
      <x:c r="B4360" s="22" t="e">
        <x:f>HYPERLINK("https://cdn.shopify.com/s/files/1/0918/6066/4603/files/1f47bd6787329f6131a9f37c024d08e9_7032a645-e1ac-499c-80f8-076959435c4c.jpg?v=1776151711","Open")</x:f>
        <x:v>HYPERLINK is not implemented. linkLocation=https://cdn.shopify.com/s/files/1/0918/6066/4603/files/1f47bd6787329f6131a9f37c024d08e9_7032a645-e1ac-499c-80f8-076959435c4c.jpg?v=1776151711, friendlyName=Open</x:v>
      </x:c>
      <x:c r="C4360" s="24" t="e">
        <x:f>HYPERLINK("https://365nails.com/products/365nails-dreamy-kitty-garden-3d-cat-floral-handmade-short-square-nails","365nails: ""Dreamy Kitty Garden"" – 3D Cat &amp; Floral Handmade Short Square Nails")</x:f>
        <x:v>HYPERLINK is not implemented. linkLocation=https://365nails.com/products/365nails-dreamy-kitty-garden-3d-cat-floral-handmade-short-square-nails, friendlyName=365nails: "Dreamy Kitty Garden" – 3D Cat &amp; Floral Handmade Short Square Nails</x:v>
      </x:c>
      <x:c r="D4360" s="18" t="str">
        <x:v>Size: XS / S / M / L</x:v>
      </x:c>
      <x:c r="E4360" s="25" t="str">
        <x:v>$1.99</x:v>
      </x:c>
      <x:c r="F4360" s="19" t="str">
        <x:v>3</x:v>
      </x:c>
    </x:row>
    <x:row r="4361" ht="93" customHeight="1">
      <x:c r="A4361" s="19" t="n">
        <x:v>4358</x:v>
      </x:c>
      <x:c r="B4361" s="22" t="e">
        <x:f>HYPERLINK("https://cdn.shopify.com/s/files/1/0918/6066/4603/files/O1CN016NL5cD2MQzf3LiBw2__2219089449823-0-cib.jpg?v=1774452863","Open")</x:f>
        <x:v>HYPERLINK is not implemented. linkLocation=https://cdn.shopify.com/s/files/1/0918/6066/4603/files/O1CN016NL5cD2MQzf3LiBw2__2219089449823-0-cib.jpg?v=1774452863, friendlyName=Open</x:v>
      </x:c>
      <x:c r="C4361" s="24" t="e">
        <x:f>HYPERLINK("https://365nails.com/products/blush-crystal-pink-diamond-dream-short-square-handmade-press-ons","Blush Crystal: ""Pink Diamond Dream"" – Short Square Handmade Press-Ons")</x:f>
        <x:v>HYPERLINK is not implemented. linkLocation=https://365nails.com/products/blush-crystal-pink-diamond-dream-short-square-handmade-press-ons, friendlyName=Blush Crystal: "Pink Diamond Dream" – Short Square Handmade Press-Ons</x:v>
      </x:c>
      <x:c r="D4361" s="18" t="str">
        <x:v>Color: Q231; Color classification: X s / S / M / L</x:v>
      </x:c>
      <x:c r="E4361" s="25" t="str">
        <x:v>$3.49</x:v>
      </x:c>
      <x:c r="F4361" s="19" t="str">
        <x:v>1</x:v>
      </x:c>
    </x:row>
    <x:row r="4362" ht="93" customHeight="1">
      <x:c r="A4362" s="19" t="n">
        <x:v>4359</x:v>
      </x:c>
      <x:c r="B4362" s="22" t="e">
        <x:f>HYPERLINK("https://cdn.shopify.com/s/files/1/0918/6066/4603/files/O1CN0167siKu1CPwKfhotJo__2213196780074-0-cib.jpg?v=1776600752","Open")</x:f>
        <x:v>HYPERLINK is not implemented. linkLocation=https://cdn.shopify.com/s/files/1/0918/6066/4603/files/O1CN0167siKu1CPwKfhotJo__2213196780074-0-cib.jpg?v=1776600752, friendlyName=Open</x:v>
      </x:c>
      <x:c r="C4362" s="24" t="e">
        <x:f>HYPERLINK("https://365nails.com/products/365nails-crimson-opulence-3d-bow-diamond-handmade-almond-nails","365nails: ""Crimson Opulence"" – 3D Bow &amp; Diamond Handmade Almond Nails")</x:f>
        <x:v>HYPERLINK is not implemented. linkLocation=https://365nails.com/products/365nails-crimson-opulence-3d-bow-diamond-handmade-almond-nails, friendlyName=365nails: "Crimson Opulence" – 3D Bow &amp; Diamond Handmade Almond Nails</x:v>
      </x:c>
      <x:c r="D4362" s="18" t="str">
        <x:v>Color: Extra small size xs / Small s / Medium m / Large l; Specification type: 2798-long ladder</x:v>
      </x:c>
      <x:c r="E4362" s="25" t="str">
        <x:v>$3.99</x:v>
      </x:c>
      <x:c r="F4362" s="19" t="str">
        <x:v>1</x:v>
      </x:c>
    </x:row>
    <x:row r="4363" ht="93" customHeight="1">
      <x:c r="A4363" s="19" t="n">
        <x:v>4360</x:v>
      </x:c>
      <x:c r="B4363" s="22" t="e">
        <x:f>HYPERLINK("https://cdn.shopify.com/s/files/1/0918/6066/4603/files/O1CN01b7wfc32214tvW9eTs__2219480337059-0-cib.jpg?v=1774069864","Open")</x:f>
        <x:v>HYPERLINK is not implemented. linkLocation=https://cdn.shopify.com/s/files/1/0918/6066/4603/files/O1CN01b7wfc32214tvW9eTs__2219480337059-0-cib.jpg?v=1774069864, friendlyName=Open</x:v>
      </x:c>
      <x:c r="C4363" s="24" t="e">
        <x:f>HYPERLINK("https://365nails.com/products/365nails-labubu-capibara-snack-time-handmade-cute-short-oval-press-on-nails","365Nails: ""Labubu &amp; Capibara Snack Time"" – Handmade Cute Short Oval Press On Nails")</x:f>
        <x:v>HYPERLINK is not implemented. linkLocation=https://365nails.com/products/365nails-labubu-capibara-snack-time-handmade-cute-short-oval-press-on-nails, friendlyName=365Nails: "Labubu &amp; Capibara Snack Time" – Handmade Cute Short Oval Press On Nails</x:v>
      </x:c>
      <x:c r="D4363" s="18" t="str">
        <x:v>Color: Labubukapi; Color classification: Xs (about 2 years old) / S (3-4 years old) / M (5-7 years old) / L (8-11 years old)</x:v>
      </x:c>
      <x:c r="E4363" s="25" t="str">
        <x:v>$2.99</x:v>
      </x:c>
      <x:c r="F4363" s="19" t="str">
        <x:v>3</x:v>
      </x:c>
    </x:row>
    <x:row r="4364" ht="93" customHeight="1">
      <x:c r="A4364" s="19" t="n">
        <x:v>4361</x:v>
      </x:c>
      <x:c r="B4364" s="22" t="e">
        <x:f>HYPERLINK("https://cdn.shopify.com/s/files/1/0918/6066/4603/files/e8571e75ede5fc8d0232710b1a4a8b6d.jpg?v=1778244511","Open")</x:f>
        <x:v>HYPERLINK is not implemented. linkLocation=https://cdn.shopify.com/s/files/1/0918/6066/4603/files/e8571e75ede5fc8d0232710b1a4a8b6d.jpg?v=1778244511, friendlyName=Open</x:v>
      </x:c>
      <x:c r="C4364" s="24" t="e">
        <x:f>HYPERLINK("https://365nails.com/products/365nails-blooming-berry-3d-floral-bow-handmade-medium-square-nails","365nails: ""Blooming Berry"" – 3D Floral Bow Handmade Medium Square Nails")</x:f>
        <x:v>HYPERLINK is not implemented. linkLocation=https://365nails.com/products/365nails-blooming-berry-3d-floral-bow-handmade-medium-square-nails, friendlyName=365nails: "Blooming Berry" – 3D Floral Bow Handmade Medium Square Nails</x:v>
      </x:c>
      <x:c r="D4364" s="18" t="str">
        <x:v>Size: XS / S / M / L</x:v>
      </x:c>
      <x:c r="E4364" s="25" t="str">
        <x:v>$3.99</x:v>
      </x:c>
      <x:c r="F4364" s="19" t="str">
        <x:v>5</x:v>
      </x:c>
    </x:row>
    <x:row r="4365" ht="93" customHeight="1">
      <x:c r="A4365" s="19" t="n">
        <x:v>4362</x:v>
      </x:c>
      <x:c r="B4365" s="22" t="e">
        <x:f>HYPERLINK("https://cdn.shopify.com/s/files/1/0918/6066/4603/files/O1CN01qALfaI2214tJoNPw9__2219480337059-0-cib.jpg?v=1774070154","Open")</x:f>
        <x:v>HYPERLINK is not implemented. linkLocation=https://cdn.shopify.com/s/files/1/0918/6066/4603/files/O1CN01qALfaI2214tJoNPw9__2219480337059-0-cib.jpg?v=1774070154, friendlyName=Open</x:v>
      </x:c>
      <x:c r="C4365" s="24" t="e">
        <x:f>HYPERLINK("https://365nails.com/products/365nails-pastel-bunny-garden-handmade-cute-short-oval-press-on-nails-with-bunny-daisy-design","365Nails: ""Pastel Bunny Garden"" – Handmade Cute Short Oval Press On Nails With Bunny &amp; Daisy Design")</x:f>
        <x:v>HYPERLINK is not implemented. linkLocation=https://365nails.com/products/365nails-pastel-bunny-garden-handmade-cute-short-oval-press-on-nails-with-bunny-daisy-design, friendlyName=365Nails: "Pastel Bunny Garden" – Handmade Cute Short Oval Press On Nails With Bunny &amp; Daisy Design</x:v>
      </x:c>
      <x:c r="D4365" s="18" t="str">
        <x:v>Color: Mini kitchen; Color classification: Xs (about 2 years old) / S (3-4 years old) / M (5-7 years old) / L (8-11 years old)</x:v>
      </x:c>
      <x:c r="E4365" s="25" t="str">
        <x:v>$2.99</x:v>
      </x:c>
      <x:c r="F4365" s="19" t="str">
        <x:v>3</x:v>
      </x:c>
    </x:row>
    <x:row r="4366" ht="93" customHeight="1">
      <x:c r="A4366" s="19" t="n">
        <x:v>4363</x:v>
      </x:c>
      <x:c r="B4366" s="22" t="e">
        <x:f>HYPERLINK("https://cdn.shopify.com/s/files/1/0918/6066/4603/files/O1CN01VuVh4B1CPwKWohuBR__2213196780074-0-cib.jpg?v=1776600439","Open")</x:f>
        <x:v>HYPERLINK is not implemented. linkLocation=https://cdn.shopify.com/s/files/1/0918/6066/4603/files/O1CN01VuVh4B1CPwKWohuBR__2213196780074-0-cib.jpg?v=1776600439, friendlyName=Open</x:v>
      </x:c>
      <x:c r="C4366" s="24" t="e">
        <x:f>HYPERLINK("https://365nails.com/products/365nails-sunset-aura-iridescent-cat-eye-crystal-flower-handmade-almond-nails","365nails: ""Sunset Aura"" – Iridescent Cat Eye &amp; Crystal Flower Handmade Almond Nails")</x:f>
        <x:v>HYPERLINK is not implemented. linkLocation=https://365nails.com/products/365nails-sunset-aura-iridescent-cat-eye-crystal-flower-handmade-almond-nails, friendlyName=365nails: "Sunset Aura" – Iridescent Cat Eye &amp; Crystal Flower Handmade Almond Nails</x:v>
      </x:c>
      <x:c r="D4366" s="18" t="str">
        <x:v>Color: Extra small size xs / Small s / Medium m / Large l; Specification type: 2786-super short ladder / 2788-short oval</x:v>
      </x:c>
      <x:c r="E4366" s="25" t="str">
        <x:v>$3.49</x:v>
      </x:c>
      <x:c r="F4366" s="19" t="str">
        <x:v>1</x:v>
      </x:c>
    </x:row>
    <x:row r="4367" ht="93" customHeight="1">
      <x:c r="A4367" s="19" t="n">
        <x:v>4364</x:v>
      </x:c>
      <x:c r="B4367" s="22" t="e">
        <x:f>HYPERLINK("https://cdn.shopify.com/s/files/1/0918/6066/4603/files/5e4dc617eb368a9a070d630d6e411767.jpg?v=1775911164","Open")</x:f>
        <x:v>HYPERLINK is not implemented. linkLocation=https://cdn.shopify.com/s/files/1/0918/6066/4603/files/5e4dc617eb368a9a070d630d6e411767.jpg?v=1775911164, friendlyName=Open</x:v>
      </x:c>
      <x:c r="C4367" s="24" t="e">
        <x:f>HYPERLINK("https://365nails.com/products/365nails-liquid-metal-bloom-3d-metallic-floral-handmade-stiletto-nails","365nails: ""Liquid Metal Bloom"" – 3D Metallic Floral Handmade Stiletto Nails")</x:f>
        <x:v>HYPERLINK is not implemented. linkLocation=https://365nails.com/products/365nails-liquid-metal-bloom-3d-metallic-floral-handmade-stiletto-nails, friendlyName=365nails: "Liquid Metal Bloom" – 3D Metallic Floral Handmade Stiletto Nails</x:v>
      </x:c>
      <x:c r="D4367" s="18" t="str">
        <x:v>Size: XS / S / M / L</x:v>
      </x:c>
      <x:c r="E4367" s="25" t="str">
        <x:v>$3.99</x:v>
      </x:c>
      <x:c r="F4367" s="19" t="str">
        <x:v>5</x:v>
      </x:c>
    </x:row>
    <x:row r="4368" ht="93" customHeight="1">
      <x:c r="A4368" s="19" t="n">
        <x:v>4365</x:v>
      </x:c>
      <x:c r="B4368" s="22" t="e">
        <x:f>HYPERLINK("https://cdn.shopify.com/s/files/1/0918/6066/4603/files/O1CN01HgmBdM2214tMR7raN__2219480337059-0-cib_b3ee4e14-fa23-458c-a0c1-1bdb06cd31c6.jpg?v=1774067922","Open")</x:f>
        <x:v>HYPERLINK is not implemented. linkLocation=https://cdn.shopify.com/s/files/1/0918/6066/4603/files/O1CN01HgmBdM2214tMR7raN__2219480337059-0-cib_b3ee4e14-fa23-458c-a0c1-1bdb06cd31c6.jpg?v=1774067922, friendlyName=Open</x:v>
      </x:c>
      <x:c r="C4368" s="24" t="e">
        <x:f>HYPERLINK("https://365nails.com/products/365nails-blossom-labubu-handmade-cute-short-oval-press-on-nails-with-labubu-floral-design","365Nails: ""Blossom Labubu"" – Handmade Cute Short Oval Press On Nails With Labubu &amp; Floral Design")</x:f>
        <x:v>HYPERLINK is not implemented. linkLocation=https://365nails.com/products/365nails-blossom-labubu-handmade-cute-short-oval-press-on-nails-with-labubu-floral-design, friendlyName=365Nails: "Blossom Labubu" – Handmade Cute Short Oval Press On Nails With Labubu &amp; Floral Design</x:v>
      </x:c>
      <x:c r="D4368" s="18" t="str">
        <x:v>Color: Pink labubu; Color classification: Xs (about 2 years old) / S (3-4 years old) / M (5-7 years old) / L (8-11 years old)</x:v>
      </x:c>
      <x:c r="E4368" s="25" t="str">
        <x:v>$2.99</x:v>
      </x:c>
      <x:c r="F4368" s="19" t="str">
        <x:v>3</x:v>
      </x:c>
    </x:row>
    <x:row r="4369" ht="93" customHeight="1">
      <x:c r="A4369" s="19" t="n">
        <x:v>4366</x:v>
      </x:c>
      <x:c r="B4369" s="22" t="e">
        <x:f>HYPERLINK("https://cdn.shopify.com/s/files/1/0918/6066/4603/files/e50bc509fc6f213d06fe815fc7bd9bb6.jpg?v=1776246852","Open")</x:f>
        <x:v>HYPERLINK is not implemented. linkLocation=https://cdn.shopify.com/s/files/1/0918/6066/4603/files/e50bc509fc6f213d06fe815fc7bd9bb6.jpg?v=1776246852, friendlyName=Open</x:v>
      </x:c>
      <x:c r="C4369" s="24" t="e">
        <x:f>HYPERLINK("https://365nails.com/products/365nails-kuromis-ghostly-night-3d-character-handmade-short-nails","365nails: ""Kuromi's Ghostly Night"" – 3D Character Handmade Short Nails")</x:f>
        <x:v>HYPERLINK is not implemented. linkLocation=https://365nails.com/products/365nails-kuromis-ghostly-night-3d-character-handmade-short-nails, friendlyName=365nails: "Kuromi's Ghostly Night" – 3D Character Handmade Short Nails</x:v>
      </x:c>
      <x:c r="D4369" s="18" t="str">
        <x:v>Size: XS / S / M / L</x:v>
      </x:c>
      <x:c r="E4369" s="25" t="str">
        <x:v>$2.49</x:v>
      </x:c>
      <x:c r="F4369" s="19" t="str">
        <x:v>3</x:v>
      </x:c>
    </x:row>
    <x:row r="4370" ht="93" customHeight="1">
      <x:c r="A4370" s="19" t="n">
        <x:v>4367</x:v>
      </x:c>
      <x:c r="B4370" s="22" t="e">
        <x:f>HYPERLINK("https://cdn.shopify.com/s/files/1/0918/6066/4603/files/O1CN01NhUufB1CPwOICd4uR__2213196780074-0-cib.jpg?v=1776764934","Open")</x:f>
        <x:v>HYPERLINK is not implemented. linkLocation=https://cdn.shopify.com/s/files/1/0918/6066/4603/files/O1CN01NhUufB1CPwOICd4uR__2213196780074-0-cib.jpg?v=1776764934, friendlyName=Open</x:v>
      </x:c>
      <x:c r="C4370" s="24" t="e">
        <x:f>HYPERLINK("https://365nails.com/products/365nails-verdant-bloom-3d-floral-handmade-short-square-nails","365nails: ""Verdant Bloom"" – 3D Floral Handmade Short Square Nails")</x:f>
        <x:v>HYPERLINK is not implemented. linkLocation=https://365nails.com/products/365nails-verdant-bloom-3d-floral-handmade-short-square-nails, friendlyName=365nails: "Verdant Bloom" – 3D Floral Handmade Short Square Nails</x:v>
      </x:c>
      <x:c r="D4370" s="18" t="str">
        <x:v>Color: W166-long oval; Color classification: Xs / S / M / L</x:v>
      </x:c>
      <x:c r="E4370" s="25" t="str">
        <x:v>$2.49</x:v>
      </x:c>
      <x:c r="F4370" s="19" t="str">
        <x:v>1</x:v>
      </x:c>
    </x:row>
    <x:row r="4371" ht="93" customHeight="1">
      <x:c r="A4371" s="19" t="n">
        <x:v>4368</x:v>
      </x:c>
      <x:c r="B4371" s="22" t="e">
        <x:f>HYPERLINK("https://cdn.shopify.com/s/files/1/0918/6066/4603/files/5b921f2db271d329b9fdbc155f6e18fe.jpg?v=1773306573","Open")</x:f>
        <x:v>HYPERLINK is not implemented. linkLocation=https://cdn.shopify.com/s/files/1/0918/6066/4603/files/5b921f2db271d329b9fdbc155f6e18fe.jpg?v=1773306573, friendlyName=Open</x:v>
      </x:c>
      <x:c r="C4371" s="24" t="e">
        <x:f>HYPERLINK("https://365nails.com/products/365nails-olive-starry-gem-handmade-press-on-toenails-pedicure","365nails: ""olive starry gem"" – handmade press-on toenails / pedicure")</x:f>
        <x:v>HYPERLINK is not implemented. linkLocation=https://365nails.com/products/365nails-olive-starry-gem-handmade-press-on-toenails-pedicure, friendlyName=365nails: "olive starry gem" – handmade press-on toenails / pedicure</x:v>
      </x:c>
      <x:c r="D4371" s="18" t="str">
        <x:v>Size: XS / S / M / L</x:v>
      </x:c>
      <x:c r="E4371" s="25" t="str">
        <x:v>$3.99</x:v>
      </x:c>
      <x:c r="F4371" s="19" t="str">
        <x:v>3</x:v>
      </x:c>
    </x:row>
    <x:row r="4372" ht="93" customHeight="1">
      <x:c r="A4372" s="19" t="n">
        <x:v>4369</x:v>
      </x:c>
      <x:c r="B4372" s="22" t="e">
        <x:f>HYPERLINK("https://cdn.shopify.com/s/files/1/0918/6066/4603/files/da89ccfac1ec59f1dc025552ccf5373b.jpg?v=1775907322","Open")</x:f>
        <x:v>HYPERLINK is not implemented. linkLocation=https://cdn.shopify.com/s/files/1/0918/6066/4603/files/da89ccfac1ec59f1dc025552ccf5373b.jpg?v=1775907322, friendlyName=Open</x:v>
      </x:c>
      <x:c r="C4372" s="24" t="e">
        <x:f>HYPERLINK("https://365nails.com/products/365nails-retro-chic-3d-bow-polka-dot-handmade-coffin-nails","365nails: ""Retro Chic"" – 3D Bow &amp; Polka Dot Handmade Coffin Nails")</x:f>
        <x:v>HYPERLINK is not implemented. linkLocation=https://365nails.com/products/365nails-retro-chic-3d-bow-polka-dot-handmade-coffin-nails, friendlyName=365nails: "Retro Chic" – 3D Bow &amp; Polka Dot Handmade Coffin Nails</x:v>
      </x:c>
      <x:c r="D4372" s="18" t="str">
        <x:v>Size: XS / S / M / L</x:v>
      </x:c>
      <x:c r="E4372" s="25" t="str">
        <x:v>$3.99</x:v>
      </x:c>
      <x:c r="F4372" s="19" t="str">
        <x:v>5</x:v>
      </x:c>
    </x:row>
    <x:row r="4373" ht="93" customHeight="1">
      <x:c r="A4373" s="19" t="n">
        <x:v>4370</x:v>
      </x:c>
      <x:c r="B4373" s="22" t="e">
        <x:f>HYPERLINK("https://cdn.shopify.com/s/files/1/0918/6066/4603/files/0285c77296ce1d626c30c8dd87203303.jpg?v=1776171987","Open")</x:f>
        <x:v>HYPERLINK is not implemented. linkLocation=https://cdn.shopify.com/s/files/1/0918/6066/4603/files/0285c77296ce1d626c30c8dd87203303.jpg?v=1776171987, friendlyName=Open</x:v>
      </x:c>
      <x:c r="C4373" s="24" t="e">
        <x:f>HYPERLINK("https://365nails.com/products/365nails-sweet-tooth-3d-character-lollipop-handmade-short-square-nails","365nails: ""Sweet Tooth"" – 3D Character &amp; Lollipop Handmade Short Square Nails")</x:f>
        <x:v>HYPERLINK is not implemented. linkLocation=https://365nails.com/products/365nails-sweet-tooth-3d-character-lollipop-handmade-short-square-nails, friendlyName=365nails: "Sweet Tooth" – 3D Character &amp; Lollipop Handmade Short Square Nails</x:v>
      </x:c>
      <x:c r="D4373" s="18" t="str">
        <x:v>Size: XS / S / M / L</x:v>
      </x:c>
      <x:c r="E4373" s="25" t="str">
        <x:v>$1.99</x:v>
      </x:c>
      <x:c r="F4373" s="19" t="str">
        <x:v>3</x:v>
      </x:c>
    </x:row>
    <x:row r="4374" ht="93" customHeight="1">
      <x:c r="A4374" s="19" t="n">
        <x:v>4371</x:v>
      </x:c>
      <x:c r="B4374" s="22" t="e">
        <x:f>HYPERLINK("https://cdn.shopify.com/s/files/1/0918/6066/4603/files/4ca03f08bfd94dd16ffd73cd5a2faae0.jpg?v=1776171767","Open")</x:f>
        <x:v>HYPERLINK is not implemented. linkLocation=https://cdn.shopify.com/s/files/1/0918/6066/4603/files/4ca03f08bfd94dd16ffd73cd5a2faae0.jpg?v=1776171767, friendlyName=Open</x:v>
      </x:c>
      <x:c r="C4374" s="24" t="e">
        <x:f>HYPERLINK("https://365nails.com/products/365nails-sweet-petals-3d-character-bow-handmade-short-square-nails","365nails: ""Sweet Petals"" – 3D Character &amp; Bow Handmade Short Square Nails")</x:f>
        <x:v>HYPERLINK is not implemented. linkLocation=https://365nails.com/products/365nails-sweet-petals-3d-character-bow-handmade-short-square-nails, friendlyName=365nails: "Sweet Petals" – 3D Character &amp; Bow Handmade Short Square Nails</x:v>
      </x:c>
      <x:c r="D4374" s="18" t="str">
        <x:v>Size: XS / S / M / L</x:v>
      </x:c>
      <x:c r="E4374" s="25" t="str">
        <x:v>$1.99</x:v>
      </x:c>
      <x:c r="F4374" s="19" t="str">
        <x:v>3</x:v>
      </x:c>
    </x:row>
    <x:row r="4375" ht="93" customHeight="1">
      <x:c r="A4375" s="19" t="n">
        <x:v>4372</x:v>
      </x:c>
      <x:c r="B4375" s="22" t="e">
        <x:f>HYPERLINK("https://cdn.shopify.com/s/files/1/0918/6066/4603/files/O1CN01GOb54X2MQze3aL42G__2219089449823-0-cib.jpg?v=1774097053","Open")</x:f>
        <x:v>HYPERLINK is not implemented. linkLocation=https://cdn.shopify.com/s/files/1/0918/6066/4603/files/O1CN01GOb54X2MQze3aL42G__2219089449823-0-cib.jpg?v=1774097053, friendlyName=Open</x:v>
      </x:c>
      <x:c r="C4375" s="24" t="e">
        <x:f>HYPERLINK("https://365nails.com/products/pastel-dream-candy-flower-almond-press-ons","Pastel Dream: ""Candy Flower"" – Almond Press-Ons")</x:f>
        <x:v>HYPERLINK is not implemented. linkLocation=https://365nails.com/products/pastel-dream-candy-flower-almond-press-ons, friendlyName=Pastel Dream: "Candy Flower" – Almond Press-Ons</x:v>
      </x:c>
      <x:c r="D4375" s="18" t="str">
        <x:v>Color: D533; Color classification: X s / S / M / L</x:v>
      </x:c>
      <x:c r="E4375" s="25" t="str">
        <x:v>$3.99</x:v>
      </x:c>
      <x:c r="F4375" s="19" t="str">
        <x:v>1</x:v>
      </x:c>
    </x:row>
    <x:row r="4376" ht="93" customHeight="1">
      <x:c r="A4376" s="19" t="n">
        <x:v>4373</x:v>
      </x:c>
      <x:c r="B4376" s="22" t="e">
        <x:f>HYPERLINK("https://cdn.shopify.com/s/files/1/0918/6066/4603/files/dde8b2bb927db10100b70df72780eddd.jpg?v=1778245121","Open")</x:f>
        <x:v>HYPERLINK is not implemented. linkLocation=https://cdn.shopify.com/s/files/1/0918/6066/4603/files/dde8b2bb927db10100b70df72780eddd.jpg?v=1778245121, friendlyName=Open</x:v>
      </x:c>
      <x:c r="C4376" s="24" t="e">
        <x:f>HYPERLINK("https://365nails.com/products/365nails-crimson-petal-3d-floral-rhinestone-handmade-almond-nails","365nails: ""Crimson Petal"" – 3D Floral &amp; Rhinestone Handmade Almond Nails")</x:f>
        <x:v>HYPERLINK is not implemented. linkLocation=https://365nails.com/products/365nails-crimson-petal-3d-floral-rhinestone-handmade-almond-nails, friendlyName=365nails: "Crimson Petal" – 3D Floral &amp; Rhinestone Handmade Almond Nails</x:v>
      </x:c>
      <x:c r="D4376" s="18" t="str">
        <x:v>Size: XS / S / M / L</x:v>
      </x:c>
      <x:c r="E4376" s="25" t="str">
        <x:v>$3.99</x:v>
      </x:c>
      <x:c r="F4376" s="19" t="str">
        <x:v>5</x:v>
      </x:c>
    </x:row>
    <x:row r="4377" ht="93" customHeight="1">
      <x:c r="A4377" s="19" t="n">
        <x:v>4374</x:v>
      </x:c>
      <x:c r="B4377" s="22" t="e">
        <x:f>HYPERLINK("https://cdn.shopify.com/s/files/1/0918/6066/4603/files/O1CN0136xeoI27ZUlXYMMCQ__2220024697811-0-cib.jpg?v=1775109905","Open")</x:f>
        <x:v>HYPERLINK is not implemented. linkLocation=https://cdn.shopify.com/s/files/1/0918/6066/4603/files/O1CN0136xeoI27ZUlXYMMCQ__2220024697811-0-cib.jpg?v=1775109905, friendlyName=Open</x:v>
      </x:c>
      <x:c r="C4377" s="24" t="e">
        <x:f>HYPERLINK("https://365nails.com/products/365nails-emerald-whisper-hand-painted-cat-eye-handmade-medium-almond-nails","365nails: ""Emerald Whisper"" – Hand-Painted Cat-Eye Handmade Medium Almond Nails")</x:f>
        <x:v>HYPERLINK is not implemented. linkLocation=https://365nails.com/products/365nails-emerald-whisper-hand-painted-cat-eye-handmade-medium-almond-nails, friendlyName=365nails: "Emerald Whisper" – Hand-Painted Cat-Eye Handmade Medium Almond Nails</x:v>
      </x:c>
      <x:c r="D4377" s="18" t="str">
        <x:v>Color: Almond; Color classification: Xs / S / M / L</x:v>
      </x:c>
      <x:c r="E4377" s="25" t="str">
        <x:v>$3.99</x:v>
      </x:c>
      <x:c r="F4377" s="19" t="str">
        <x:v>3</x:v>
      </x:c>
    </x:row>
    <x:row r="4378" ht="93" customHeight="1">
      <x:c r="A4378" s="19" t="n">
        <x:v>4375</x:v>
      </x:c>
      <x:c r="B4378" s="22" t="e">
        <x:f>HYPERLINK("https://cdn.shopify.com/s/files/1/0918/6066/4603/files/b0369ccbb941be3f345a546be8cf260d.jpg?v=1773306410","Open")</x:f>
        <x:v>HYPERLINK is not implemented. linkLocation=https://cdn.shopify.com/s/files/1/0918/6066/4603/files/b0369ccbb941be3f345a546be8cf260d.jpg?v=1773306410, friendlyName=Open</x:v>
      </x:c>
      <x:c r="C4378" s="24" t="e">
        <x:f>HYPERLINK("https://365nails.com/products/365nails-zebra-neon-mix-handmade-press-on-toenails-pedicure","365nails: ""zebra neon mix"" – handmade press-on toenails / pedicure")</x:f>
        <x:v>HYPERLINK is not implemented. linkLocation=https://365nails.com/products/365nails-zebra-neon-mix-handmade-press-on-toenails-pedicure, friendlyName=365nails: "zebra neon mix" – handmade press-on toenails / pedicure</x:v>
      </x:c>
      <x:c r="D4378" s="18" t="str">
        <x:v>Size: XS / S / M / L</x:v>
      </x:c>
      <x:c r="E4378" s="25" t="str">
        <x:v>$3.99</x:v>
      </x:c>
      <x:c r="F4378" s="19" t="str">
        <x:v>3</x:v>
      </x:c>
    </x:row>
    <x:row r="4379" ht="93" customHeight="1">
      <x:c r="A4379" s="19" t="n">
        <x:v>4376</x:v>
      </x:c>
      <x:c r="B4379" s="22" t="e">
        <x:f>HYPERLINK("https://cdn.shopify.com/s/files/1/0918/6066/4603/files/O1CN01SrQOxR2NGHtpW7zzk__4234819935-0-cib_6cd58341-a02a-4f75-acc0-1e46a2c977b8.jpg?v=1761286745","Open")</x:f>
        <x:v>HYPERLINK is not implemented. linkLocation=https://cdn.shopify.com/s/files/1/0918/6066/4603/files/O1CN01SrQOxR2NGHtpW7zzk__4234819935-0-cib_6cd58341-a02a-4f75-acc0-1e46a2c977b8.jpg?v=1761286745, friendlyName=Open</x:v>
      </x:c>
      <x:c r="C4379" s="24" t="e">
        <x:f>HYPERLINK("https://365nails.com/products/cross-border-babes-wear-nail-pads-hot-selling-fake-nails-in-foreign-trade-3d-point-drill-fake-nails-fake-nails","Cross-border babes wear nail pads, hot-selling fake nails in foreign trade, 3D point drill fake nails, fake nails.")</x:f>
        <x:v>HYPERLINK is not implemented. linkLocation=https://365nails.com/products/cross-border-babes-wear-nail-pads-hot-selling-fake-nails-in-foreign-trade-3d-point-drill-fake-nails-fake-nails, friendlyName=Cross-border babes wear nail pads, hot-selling fake nails in foreign trade, 3D point drill fake nails, fake nails.</x:v>
      </x:c>
      <x:c r="D4379" s="18" t="str">
        <x:v>Color: JP3446</x:v>
      </x:c>
      <x:c r="E4379" s="25" t="str">
        <x:v>$1.43</x:v>
      </x:c>
      <x:c r="F4379" s="19" t="str">
        <x:v>1</x:v>
      </x:c>
    </x:row>
    <x:row r="4380" ht="93" customHeight="1">
      <x:c r="A4380" s="19" t="n">
        <x:v>4377</x:v>
      </x:c>
      <x:c r="B4380" s="22" t="e">
        <x:f>HYPERLINK("https://cdn.shopify.com/s/files/1/0918/6066/4603/files/e5dbffc8fb4666bc1796f0ca4c84045e.jpg?v=1776172921","Open")</x:f>
        <x:v>HYPERLINK is not implemented. linkLocation=https://cdn.shopify.com/s/files/1/0918/6066/4603/files/e5dbffc8fb4666bc1796f0ca4c84045e.jpg?v=1776172921, friendlyName=Open</x:v>
      </x:c>
      <x:c r="C4380" s="24" t="e">
        <x:f>HYPERLINK("https://365nails.com/products/365nails-sweet-cocoa-bear-3d-bear-heart-handmade-short-square-nails","365nails: ""Sweet Cocoa Bear"" – 3D Bear &amp; Heart Handmade Short Square Nails")</x:f>
        <x:v>HYPERLINK is not implemented. linkLocation=https://365nails.com/products/365nails-sweet-cocoa-bear-3d-bear-heart-handmade-short-square-nails, friendlyName=365nails: "Sweet Cocoa Bear" – 3D Bear &amp; Heart Handmade Short Square Nails</x:v>
      </x:c>
      <x:c r="D4380" s="18" t="str">
        <x:v>Size: XS / S / M / L</x:v>
      </x:c>
      <x:c r="E4380" s="25" t="str">
        <x:v>$1.99</x:v>
      </x:c>
      <x:c r="F4380" s="19" t="str">
        <x:v>3</x:v>
      </x:c>
    </x:row>
    <x:row r="4381" ht="93" customHeight="1">
      <x:c r="A4381" s="19" t="n">
        <x:v>4378</x:v>
      </x:c>
      <x:c r="B4381" s="22" t="e">
        <x:f>HYPERLINK("https://cdn.shopify.com/s/files/1/0918/6066/4603/files/547886a596c6a996273cf0f65a5d8765.jpg?v=1778240718","Open")</x:f>
        <x:v>HYPERLINK is not implemented. linkLocation=https://cdn.shopify.com/s/files/1/0918/6066/4603/files/547886a596c6a996273cf0f65a5d8765.jpg?v=1778240718, friendlyName=Open</x:v>
      </x:c>
      <x:c r="C4381" s="24" t="e">
        <x:f>HYPERLINK("https://365nails.com/products/365nails-wild-cherry-3d-lips-animal-print-handmade-long-coffin-nails","365nails: ""Wild Cherry"" – 3D Lips &amp; Animal Print Handmade Long Coffin Nails")</x:f>
        <x:v>HYPERLINK is not implemented. linkLocation=https://365nails.com/products/365nails-wild-cherry-3d-lips-animal-print-handmade-long-coffin-nails, friendlyName=365nails: "Wild Cherry" – 3D Lips &amp; Animal Print Handmade Long Coffin Nails</x:v>
      </x:c>
      <x:c r="D4381" s="18" t="str">
        <x:v>Size: XS / S / M / L</x:v>
      </x:c>
      <x:c r="E4381" s="25" t="str">
        <x:v>$4.99</x:v>
      </x:c>
      <x:c r="F4381" s="19" t="str">
        <x:v>5</x:v>
      </x:c>
    </x:row>
    <x:row r="4382" ht="93" customHeight="1">
      <x:c r="A4382" s="19" t="n">
        <x:v>4379</x:v>
      </x:c>
      <x:c r="B4382" s="22" t="e">
        <x:f>HYPERLINK("https://cdn.shopify.com/s/files/1/0918/6066/4603/files/O1CN01YNYZuw2214ummaUDZ__2219480337059-0-cib.jpg?v=1774069780","Open")</x:f>
        <x:v>HYPERLINK is not implemented. linkLocation=https://cdn.shopify.com/s/files/1/0918/6066/4603/files/O1CN01YNYZuw2214ummaUDZ__2219480337059-0-cib.jpg?v=1774069780, friendlyName=Open</x:v>
      </x:c>
      <x:c r="C4382" s="24" t="e">
        <x:f>HYPERLINK("https://365nails.com/products/365nails-duffys-paw-paradise-handmade-cute-short-oval-press-on-nails","365Nails: ""Duffy's Paw Paradise"" – Handmade Cute Short Oval Press On Nails")</x:f>
        <x:v>HYPERLINK is not implemented. linkLocation=https://365nails.com/products/365nails-duffys-paw-paradise-handmade-cute-short-oval-press-on-nails, friendlyName=365Nails: "Duffy's Paw Paradise" – Handmade Cute Short Oval Press On Nails</x:v>
      </x:c>
      <x:c r="D4382" s="18" t="str">
        <x:v>Color: Umbrella daffy bear; Color classification: Xs (about 2 years old) / S (3-4 years old) / M (5-7 years old) / L (8-11 years old)</x:v>
      </x:c>
      <x:c r="E4382" s="25" t="str">
        <x:v>$2.99</x:v>
      </x:c>
      <x:c r="F4382" s="19" t="str">
        <x:v>3</x:v>
      </x:c>
    </x:row>
    <x:row r="4383" ht="93" customHeight="1">
      <x:c r="A4383" s="19" t="n">
        <x:v>4380</x:v>
      </x:c>
      <x:c r="B4383" s="22" t="e">
        <x:f>HYPERLINK("https://cdn.shopify.com/s/files/1/0918/6066/4603/files/O1CN01DCjut12214soBWkT6__2219480337059-0-cib.jpg?v=1774068295","Open")</x:f>
        <x:v>HYPERLINK is not implemented. linkLocation=https://cdn.shopify.com/s/files/1/0918/6066/4603/files/O1CN01DCjut12214soBWkT6__2219480337059-0-cib.jpg?v=1774068295, friendlyName=Open</x:v>
      </x:c>
      <x:c r="C4383" s="24" t="e">
        <x:f>HYPERLINK("https://365nails.com/products/365nails-capybara-bakery-handmade-cute-short-oval-press-on-nails-with-capybara-cookie-design","365Nails: ""Capybara Bakery"" – Handmade Cute Short Oval Press On Nails With Capybara &amp; Cookie Design")</x:f>
        <x:v>HYPERLINK is not implemented. linkLocation=https://365nails.com/products/365nails-capybara-bakery-handmade-cute-short-oval-press-on-nails-with-capybara-cookie-design, friendlyName=365Nails: "Capybara Bakery" – Handmade Cute Short Oval Press On Nails With Capybara &amp; Cookie Design</x:v>
      </x:c>
      <x:c r="D4383" s="18" t="str">
        <x:v>Color: Polka dot capybara; Color classification: Xs (about 2 years old) / S (3-4 years old) / M (5-7 years old) / L (8-11 years old)</x:v>
      </x:c>
      <x:c r="E4383" s="25" t="str">
        <x:v>$2.99</x:v>
      </x:c>
      <x:c r="F4383" s="19" t="str">
        <x:v>3</x:v>
      </x:c>
    </x:row>
    <x:row r="4384" ht="93" customHeight="1">
      <x:c r="A4384" s="19" t="n">
        <x:v>4381</x:v>
      </x:c>
      <x:c r="B4384" s="22" t="e">
        <x:f>HYPERLINK("https://cdn.shopify.com/s/files/1/0918/6066/4603/files/O1CN01mCfOKv2MQzfHpCq6w__2219089449823-0-cib.jpg?v=1774452930","Open")</x:f>
        <x:v>HYPERLINK is not implemented. linkLocation=https://cdn.shopify.com/s/files/1/0918/6066/4603/files/O1CN01mCfOKv2MQzfHpCq6w__2219089449823-0-cib.jpg?v=1774452930, friendlyName=Open</x:v>
      </x:c>
      <x:c r="C4384" s="24" t="e">
        <x:f>HYPERLINK("https://365nails.com/products/wild-floral-pink-tiger-sakura-short-square-handmade-press-ons","Wild Floral: ""Pink Tiger Sakura"" – Short Square Handmade Press-Ons")</x:f>
        <x:v>HYPERLINK is not implemented. linkLocation=https://365nails.com/products/wild-floral-pink-tiger-sakura-short-square-handmade-press-ons, friendlyName=Wild Floral: "Pink Tiger Sakura" – Short Square Handmade Press-Ons</x:v>
      </x:c>
      <x:c r="D4384" s="18" t="str">
        <x:v>Color: D608; Color classification: X s / S / M / L</x:v>
      </x:c>
      <x:c r="E4384" s="25" t="str">
        <x:v>$3.49</x:v>
      </x:c>
      <x:c r="F4384" s="19" t="str">
        <x:v>1</x:v>
      </x:c>
    </x:row>
    <x:row r="4385" ht="93" customHeight="1">
      <x:c r="A4385" s="19" t="n">
        <x:v>4382</x:v>
      </x:c>
      <x:c r="B4385" s="22" t="e">
        <x:f>HYPERLINK("https://cdn.shopify.com/s/files/1/0918/6066/4603/files/O1CN01Io5p2Q1CPwNLWWqiS__2213196780074-0-cib_59673b1f-f6c9-4753-ad97-c380ac6ec0e1.jpg?v=1776764551","Open")</x:f>
        <x:v>HYPERLINK is not implemented. linkLocation=https://cdn.shopify.com/s/files/1/0918/6066/4603/files/O1CN01Io5p2Q1CPwNLWWqiS__2213196780074-0-cib_59673b1f-f6c9-4753-ad97-c380ac6ec0e1.jpg?v=1776764551, friendlyName=Open</x:v>
      </x:c>
      <x:c r="C4385" s="24" t="e">
        <x:f>HYPERLINK("https://365nails.com/products/365nails-gilded-peacock-emerald-french-tip-handmade-stiletto-nails","365nails: ""Gilded Peacock"" – Emerald French Tip Handmade Stiletto Nails")</x:f>
        <x:v>HYPERLINK is not implemented. linkLocation=https://365nails.com/products/365nails-gilded-peacock-emerald-french-tip-handmade-stiletto-nails, friendlyName=365nails: "Gilded Peacock" – Emerald French Tip Handmade Stiletto Nails</x:v>
      </x:c>
      <x:c r="D4385" s="18" t="str">
        <x:v>Color: 2863-long water drop; Color classification: Xs / S / M / L</x:v>
      </x:c>
      <x:c r="E4385" s="25" t="str">
        <x:v>$3.49</x:v>
      </x:c>
      <x:c r="F4385" s="19" t="str">
        <x:v>1</x:v>
      </x:c>
    </x:row>
    <x:row r="4386" ht="93" customHeight="1">
      <x:c r="A4386" s="19" t="n">
        <x:v>4383</x:v>
      </x:c>
      <x:c r="B4386" s="22" t="e">
        <x:f>HYPERLINK("https://cdn.shopify.com/s/files/1/0918/6066/4603/files/f05a50763c99f12c8f348dbbb29774e1.jpg?v=1776159153","Open")</x:f>
        <x:v>HYPERLINK is not implemented. linkLocation=https://cdn.shopify.com/s/files/1/0918/6066/4603/files/f05a50763c99f12c8f348dbbb29774e1.jpg?v=1776159153, friendlyName=Open</x:v>
      </x:c>
      <x:c r="C4386" s="24" t="e">
        <x:f>HYPERLINK("https://365nails.com/products/365nails-confetti-pop-hand-painted-polka-dot-handmade-short-square-nails","365nails: ""Confetti Pop"" – Hand-Painted Polka Dot Handmade Short Square Nails")</x:f>
        <x:v>HYPERLINK is not implemented. linkLocation=https://365nails.com/products/365nails-confetti-pop-hand-painted-polka-dot-handmade-short-square-nails, friendlyName=365nails: "Confetti Pop" – Hand-Painted Polka Dot Handmade Short Square Nails</x:v>
      </x:c>
      <x:c r="D4386" s="18" t="str">
        <x:v>Size: XS / S / M / L</x:v>
      </x:c>
      <x:c r="E4386" s="25" t="str">
        <x:v>$1.99</x:v>
      </x:c>
      <x:c r="F4386" s="19" t="str">
        <x:v>3</x:v>
      </x:c>
    </x:row>
    <x:row r="4387" ht="93" customHeight="1">
      <x:c r="A4387" s="19" t="n">
        <x:v>4384</x:v>
      </x:c>
      <x:c r="B4387" s="22" t="e">
        <x:f>HYPERLINK("https://cdn.shopify.com/s/files/1/0918/6066/4603/files/ec344a86800862ae085447d3394bd3f0.jpg?v=1778241962","Open")</x:f>
        <x:v>HYPERLINK is not implemented. linkLocation=https://cdn.shopify.com/s/files/1/0918/6066/4603/files/ec344a86800862ae085447d3394bd3f0.jpg?v=1778241962, friendlyName=Open</x:v>
      </x:c>
      <x:c r="C4387" s="24" t="e">
        <x:f>HYPERLINK("https://365nails.com/products/365nails-candy-pop-3d-snake-mushroom-handmade-long-coffin-nails","365nails: ""Candy Pop"" – 3D Snake &amp; Mushroom Handmade Long Coffin Nails")</x:f>
        <x:v>HYPERLINK is not implemented. linkLocation=https://365nails.com/products/365nails-candy-pop-3d-snake-mushroom-handmade-long-coffin-nails, friendlyName=365nails: "Candy Pop" – 3D Snake &amp; Mushroom Handmade Long Coffin Nails</x:v>
      </x:c>
      <x:c r="D4387" s="18" t="str">
        <x:v>Size: XS / S / M / L</x:v>
      </x:c>
      <x:c r="E4387" s="25" t="str">
        <x:v>$4.99</x:v>
      </x:c>
      <x:c r="F4387" s="19" t="str">
        <x:v>5</x:v>
      </x:c>
    </x:row>
    <x:row r="4388" ht="93" customHeight="1">
      <x:c r="A4388" s="19" t="n">
        <x:v>4385</x:v>
      </x:c>
      <x:c r="B4388" s="22" t="e">
        <x:f>HYPERLINK("https://cdn.shopify.com/s/files/1/0918/6066/4603/files/O1CN01j33PzV27ZUldZO7TO__2220024697811-0-cib.jpg?v=1775106969","Open")</x:f>
        <x:v>HYPERLINK is not implemented. linkLocation=https://cdn.shopify.com/s/files/1/0918/6066/4603/files/O1CN01j33PzV27ZUldZO7TO__2220024697811-0-cib.jpg?v=1775106969, friendlyName=Open</x:v>
      </x:c>
      <x:c r="C4388" s="24" t="e">
        <x:f>HYPERLINK("https://365nails.com/products/365nails-gilded-muse-3d-sculpture-gold-leaf-handmade-coffin-nails","365nails: ""Gilded Muse"" – 3D Sculpture &amp; Gold Leaf Handmade Coffin Nails")</x:f>
        <x:v>HYPERLINK is not implemented. linkLocation=https://365nails.com/products/365nails-gilded-muse-3d-sculpture-gold-leaf-handmade-coffin-nails, friendlyName=365nails: "Gilded Muse" – 3D Sculpture &amp; Gold Leaf Handmade Coffin Nails</x:v>
      </x:c>
      <x:c r="D4388" s="18" t="str">
        <x:v>Color: Almond; Color classification: Xs / S / M / L</x:v>
      </x:c>
      <x:c r="E4388" s="25" t="str">
        <x:v>$4.99</x:v>
      </x:c>
      <x:c r="F4388" s="19" t="str">
        <x:v>3</x:v>
      </x:c>
    </x:row>
    <x:row r="4389" ht="93" customHeight="1">
      <x:c r="A4389" s="19" t="n">
        <x:v>4386</x:v>
      </x:c>
      <x:c r="B4389" s="22" t="e">
        <x:f>HYPERLINK("https://cdn.shopify.com/s/files/1/0918/6066/4603/files/O1CN01eBBGUD1rlpJXscl3y__2215158925672-0-cib_75850691-f2ff-405e-b5f2-56f117813bff.jpg?v=1772513756","Open")</x:f>
        <x:v>HYPERLINK is not implemented. linkLocation=https://cdn.shopify.com/s/files/1/0918/6066/4603/files/O1CN01eBBGUD1rlpJXscl3y__2215158925672-0-cib_75850691-f2ff-405e-b5f2-56f117813bff.jpg?v=1772513756, friendlyName=Open</x:v>
      </x:c>
      <x:c r="C4389" s="24" t="e">
        <x:f>HYPERLINK("https://365nails.com/products/365nails-whimsy-sunny-brunch-medium-almond-3d-cheese-egg-press-on-nails-24pcs","365nails: ""Cheese &amp; Egg"" – Medium Coffin Handmade Press-On Nails")</x:f>
        <x:v>HYPERLINK is not implemented. linkLocation=https://365nails.com/products/365nails-whimsy-sunny-brunch-medium-almond-3d-cheese-egg-press-on-nails-24pcs, friendlyName=365nails: "Cheese &amp; Egg" – Medium Coffin Handmade Press-On Nails</x:v>
      </x:c>
      <x:c r="D4389" s="18" t="str">
        <x:v>Color: Middle t; Color classification: X s / S / M / L</x:v>
      </x:c>
      <x:c r="E4389" s="25" t="str">
        <x:v>$3.49</x:v>
      </x:c>
      <x:c r="F4389" s="19" t="str">
        <x:v>3</x:v>
      </x:c>
    </x:row>
    <x:row r="4390" ht="93" customHeight="1">
      <x:c r="A4390" s="19" t="n">
        <x:v>4387</x:v>
      </x:c>
      <x:c r="B4390" s="22" t="e">
        <x:f>HYPERLINK("https://cdn.shopify.com/s/files/1/0918/6066/4603/files/3393fbc320ceba997dace451e14e4c89.jpg?v=1778242348","Open")</x:f>
        <x:v>HYPERLINK is not implemented. linkLocation=https://cdn.shopify.com/s/files/1/0918/6066/4603/files/3393fbc320ceba997dace451e14e4c89.jpg?v=1778242348, friendlyName=Open</x:v>
      </x:c>
      <x:c r="C4390" s="24" t="e">
        <x:f>HYPERLINK("https://365nails.com/products/365nails-cyan-flame-3d-floral-abstract-handmade-long-stiletto-nails","365nails: ""Cyan Flame"" – 3D Floral &amp; Abstract Handmade Long Stiletto Nails")</x:f>
        <x:v>HYPERLINK is not implemented. linkLocation=https://365nails.com/products/365nails-cyan-flame-3d-floral-abstract-handmade-long-stiletto-nails, friendlyName=365nails: "Cyan Flame" – 3D Floral &amp; Abstract Handmade Long Stiletto Nails</x:v>
      </x:c>
      <x:c r="D4390" s="18" t="str">
        <x:v>Size: XS / S / M / L</x:v>
      </x:c>
      <x:c r="E4390" s="25" t="str">
        <x:v>$4.99</x:v>
      </x:c>
      <x:c r="F4390" s="19" t="str">
        <x:v>5</x:v>
      </x:c>
    </x:row>
    <x:row r="4391" ht="93" customHeight="1">
      <x:c r="A4391" s="19" t="n">
        <x:v>4388</x:v>
      </x:c>
      <x:c r="B4391" s="22" t="e">
        <x:f>HYPERLINK("https://cdn.shopify.com/s/files/1/0918/6066/4603/files/O1CN01d7u4bF2214v7LBQL3__2219480337059-0-cib.jpg?v=1774067798","Open")</x:f>
        <x:v>HYPERLINK is not implemented. linkLocation=https://cdn.shopify.com/s/files/1/0918/6066/4603/files/O1CN01d7u4bF2214v7LBQL3__2219480337059-0-cib.jpg?v=1774067798, friendlyName=Open</x:v>
      </x:c>
      <x:c r="C4391" s="24" t="e">
        <x:f>HYPERLINK("https://365nails.com/products/365nails-strawberry-melody-fest-handmade-cute-short-square-press-on-nails-with-my-melody-strawberry-design","365Nails: ""Strawberry Melody Fest"" – Handmade Cute Short Square Press On Nails With My Melody &amp; Strawberry Design")</x:f>
        <x:v>HYPERLINK is not implemented. linkLocation=https://365nails.com/products/365nails-strawberry-melody-fest-handmade-cute-short-square-press-on-nails-with-my-melody-strawberry-design, friendlyName=365Nails: "Strawberry Melody Fest" – Handmade Cute Short Square Press On Nails With My Melody &amp; Strawberry Design</x:v>
      </x:c>
      <x:c r="D4391" s="18" t="str">
        <x:v>Color: H9210 strawberry melody; Color classification: Xs (about 2 years old) / S (3-4 years old) / M (5-7 years old) / L (8-11 years old)</x:v>
      </x:c>
      <x:c r="E4391" s="25" t="str">
        <x:v>$2.99</x:v>
      </x:c>
      <x:c r="F4391" s="19" t="str">
        <x:v>3</x:v>
      </x:c>
    </x:row>
    <x:row r="4392" ht="93" customHeight="1">
      <x:c r="A4392" s="19" t="n">
        <x:v>4389</x:v>
      </x:c>
      <x:c r="B4392" s="22" t="e">
        <x:f>HYPERLINK("https://cdn.shopify.com/s/files/1/0918/6066/4603/files/O1CN013m7C7X1CPwNuUmdrD__2213196780074-0-cib_3e606c64-a4c3-4b98-a10d-ee4ceaa69c82.jpg?v=1776850302","Open")</x:f>
        <x:v>HYPERLINK is not implemented. linkLocation=https://cdn.shopify.com/s/files/1/0918/6066/4603/files/O1CN013m7C7X1CPwNuUmdrD__2213196780074-0-cib_3e606c64-a4c3-4b98-a10d-ee4ceaa69c82.jpg?v=1776850302, friendlyName=Open</x:v>
      </x:c>
      <x:c r="C4392" s="24" t="e">
        <x:f>HYPERLINK("https://365nails.com/products/365nails-crimson-sakura-hand-painted-floral-ombre-handmade-long-almond-nails","365nails: ""Crimson Sakura"" – Hand-Painted Floral &amp; Ombré Handmade Long Almond Nails")</x:f>
        <x:v>HYPERLINK is not implemented. linkLocation=https://365nails.com/products/365nails-crimson-sakura-hand-painted-floral-ombre-handmade-long-almond-nails, friendlyName=365nails: "Crimson Sakura" – Hand-Painted Floral &amp; Ombré Handmade Long Almond Nails</x:v>
      </x:c>
      <x:c r="D4392" s="18" t="str">
        <x:v>Color: 2887-almond a; Color classification: Xs / S / M / L</x:v>
      </x:c>
      <x:c r="E4392" s="25" t="str">
        <x:v>$4.49</x:v>
      </x:c>
      <x:c r="F4392" s="19" t="str">
        <x:v>1</x:v>
      </x:c>
    </x:row>
    <x:row r="4393" ht="93" customHeight="1">
      <x:c r="A4393" s="19" t="n">
        <x:v>4390</x:v>
      </x:c>
      <x:c r="B4393" s="22" t="e">
        <x:f>HYPERLINK("https://cdn.shopify.com/s/files/1/0918/6066/4603/files/fe25c373f0ef68e72c0ddae4a3b37d3c.jpg?v=1776324793","Open")</x:f>
        <x:v>HYPERLINK is not implemented. linkLocation=https://cdn.shopify.com/s/files/1/0918/6066/4603/files/fe25c373f0ef68e72c0ddae4a3b37d3c.jpg?v=1776324793, friendlyName=Open</x:v>
      </x:c>
      <x:c r="C4393" s="24" t="e">
        <x:f>HYPERLINK("https://365nails.com/products/365nails-sweet-treats-carnival-3d-cartoon-character-short-square-nails","365nails: ""Sweet Treats Carnival"" – 3D Cartoon Character Short Square Nails")</x:f>
        <x:v>HYPERLINK is not implemented. linkLocation=https://365nails.com/products/365nails-sweet-treats-carnival-3d-cartoon-character-short-square-nails, friendlyName=365nails: "Sweet Treats Carnival" – 3D Cartoon Character Short Square Nails</x:v>
      </x:c>
      <x:c r="D4393" s="18" t="str">
        <x:v>Size: XS / S / M / L</x:v>
      </x:c>
      <x:c r="E4393" s="25" t="str">
        <x:v>$3.99</x:v>
      </x:c>
      <x:c r="F4393" s="19" t="str">
        <x:v>5</x:v>
      </x:c>
    </x:row>
    <x:row r="4394" ht="93" customHeight="1">
      <x:c r="A4394" s="19" t="n">
        <x:v>4391</x:v>
      </x:c>
      <x:c r="B4394" s="22" t="e">
        <x:f>HYPERLINK("https://cdn.shopify.com/s/files/1/0918/6066/4603/files/49217293c7750bce70e45878b63e3438.jpg?v=1776245309","Open")</x:f>
        <x:v>HYPERLINK is not implemented. linkLocation=https://cdn.shopify.com/s/files/1/0918/6066/4603/files/49217293c7750bce70e45878b63e3438.jpg?v=1776245309, friendlyName=Open</x:v>
      </x:c>
      <x:c r="C4394" s="24" t="e">
        <x:f>HYPERLINK("https://365nails.com/products/365nails-sparkling-heart-bow-3d-charm-handmade-short-nails","365nails: ""Sparkling Heart Bow"" – 3D Charm Handmade Short Nails")</x:f>
        <x:v>HYPERLINK is not implemented. linkLocation=https://365nails.com/products/365nails-sparkling-heart-bow-3d-charm-handmade-short-nails, friendlyName=365nails: "Sparkling Heart Bow" – 3D Charm Handmade Short Nails</x:v>
      </x:c>
      <x:c r="D4394" s="18" t="str">
        <x:v>Size: XS / S / M / L</x:v>
      </x:c>
      <x:c r="E4394" s="25" t="str">
        <x:v>$2.99</x:v>
      </x:c>
      <x:c r="F4394" s="19" t="str">
        <x:v>3</x:v>
      </x:c>
    </x:row>
    <x:row r="4395" ht="93" customHeight="1">
      <x:c r="A4395" s="19" t="n">
        <x:v>4392</x:v>
      </x:c>
      <x:c r="B4395" s="22" t="e">
        <x:f>HYPERLINK("https://cdn.shopify.com/s/files/1/0918/6066/4603/files/O1CN01u4FmiN2MQze2sHN7a__2219089449823-0-cib.jpg?v=1774097109","Open")</x:f>
        <x:v>HYPERLINK is not implemented. linkLocation=https://cdn.shopify.com/s/files/1/0918/6066/4603/files/O1CN01u4FmiN2MQze2sHN7a__2219089449823-0-cib.jpg?v=1774097109, friendlyName=Open</x:v>
      </x:c>
      <x:c r="C4395" s="24" t="e">
        <x:f>HYPERLINK("https://365nails.com/products/gothic-noir-midnight-rose-eclipse-almond-press-ons","Gothic Noir: ""Midnight Rose Eclipse"" – Almond Press-Ons")</x:f>
        <x:v>HYPERLINK is not implemented. linkLocation=https://365nails.com/products/gothic-noir-midnight-rose-eclipse-almond-press-ons, friendlyName=Gothic Noir: "Midnight Rose Eclipse" – Almond Press-Ons</x:v>
      </x:c>
      <x:c r="D4395" s="18" t="str">
        <x:v>Color: (c102) waltz one - oval; Color classification: X s / S / M / L</x:v>
      </x:c>
      <x:c r="E4395" s="25" t="str">
        <x:v>$3.99</x:v>
      </x:c>
      <x:c r="F4395" s="19" t="str">
        <x:v>1</x:v>
      </x:c>
    </x:row>
    <x:row r="4396" ht="93" customHeight="1">
      <x:c r="A4396" s="19" t="n">
        <x:v>4393</x:v>
      </x:c>
      <x:c r="B4396" s="22" t="e">
        <x:f>HYPERLINK("https://cdn.shopify.com/s/files/1/0918/6066/4603/files/O1CN01oyCu5r2MQzdrflZ8m__2219089449823-0-cib.jpg?v=1774096948","Open")</x:f>
        <x:v>HYPERLINK is not implemented. linkLocation=https://cdn.shopify.com/s/files/1/0918/6066/4603/files/O1CN01oyCu5r2MQzdrflZ8m__2219089449823-0-cib.jpg?v=1774096948, friendlyName=Open</x:v>
      </x:c>
      <x:c r="C4396" s="24" t="e">
        <x:f>HYPERLINK("https://365nails.com/products/wild-bloom-leopard-cherry-almond-press-ons","Wild Bloom: ""Leopard Cherry"" – Almond Press-Ons")</x:f>
        <x:v>HYPERLINK is not implemented. linkLocation=https://365nails.com/products/wild-bloom-leopard-cherry-almond-press-ons, friendlyName=Wild Bloom: "Leopard Cherry" – Almond Press-Ons</x:v>
      </x:c>
      <x:c r="D4396" s="18" t="str">
        <x:v>Color: D50s; Color classification: X s / S / M / L</x:v>
      </x:c>
      <x:c r="E4396" s="25" t="str">
        <x:v>$3.99</x:v>
      </x:c>
      <x:c r="F4396" s="19" t="str">
        <x:v>1</x:v>
      </x:c>
    </x:row>
    <x:row r="4397" ht="93" customHeight="1">
      <x:c r="A4397" s="19" t="n">
        <x:v>4394</x:v>
      </x:c>
      <x:c r="B4397" s="22" t="e">
        <x:f>HYPERLINK("https://cdn.shopify.com/s/files/1/0918/6066/4603/files/O1CN01guZskb1rlpK9ThLmE__2215158925672-0-cib_38302dbd-0416-43c9-991f-c2c48934c3c6.jpg?v=1772513822","Open")</x:f>
        <x:v>HYPERLINK is not implemented. linkLocation=https://cdn.shopify.com/s/files/1/0918/6066/4603/files/O1CN01guZskb1rlpK9ThLmE__2215158925672-0-cib_38302dbd-0416-43c9-991f-c2c48934c3c6.jpg?v=1772513822, friendlyName=Open</x:v>
      </x:c>
      <x:c r="C4397" s="24" t="e">
        <x:f>HYPERLINK("https://365nails.com/products/365nails-whimsy-rainbow-gem-drops-short-square-iridescent-gem-pastel-press-on-nails-24pcs","365nails: ""Dopamine Jelly Stones"" – Short Squoval Handmade Press-On Nails")</x:f>
        <x:v>HYPERLINK is not implemented. linkLocation=https://365nails.com/products/365nails-whimsy-rainbow-gem-drops-short-square-iridescent-gem-pastel-press-on-nails-24pcs, friendlyName=365nails: "Dopamine Jelly Stones" – Short Squoval Handmade Press-On Nails</x:v>
      </x:c>
      <x:c r="D4397" s="18" t="str">
        <x:v>Color: New short square; Color classification: X s / S / M / L</x:v>
      </x:c>
      <x:c r="E4397" s="25" t="str">
        <x:v>$2.99</x:v>
      </x:c>
      <x:c r="F4397" s="19" t="str">
        <x:v>3</x:v>
      </x:c>
    </x:row>
    <x:row r="4398" ht="93" customHeight="1">
      <x:c r="A4398" s="19" t="n">
        <x:v>4395</x:v>
      </x:c>
      <x:c r="B4398" s="22" t="e">
        <x:f>HYPERLINK("https://cdn.shopify.com/s/files/1/0918/6066/4603/files/O1CN01hrFbsv1HlWzORTiyr__2545140798-0-cib.jpg?v=1772522514","Open")</x:f>
        <x:v>HYPERLINK is not implemented. linkLocation=https://cdn.shopify.com/s/files/1/0918/6066/4603/files/O1CN01hrFbsv1HlWzORTiyr__2545140798-0-cib.jpg?v=1772522514, friendlyName=Open</x:v>
      </x:c>
      <x:c r="C4398" s="24" t="e">
        <x:f>HYPERLINK("https://365nails.com/products/fairy-iridescent-blooming-flower-nail-stickers-pearl-crystal-text-decals","Fairy Iridescent Blooming Flower Nail Stickers | Pearl, Crystal &amp; Text Decals")</x:f>
        <x:v>HYPERLINK is not implemented. linkLocation=https://365nails.com/products/fairy-iridescent-blooming-flower-nail-stickers-pearl-crystal-text-decals, friendlyName=Fairy Iridescent Blooming Flower Nail Stickers | Pearl, Crystal &amp; Text Decals</x:v>
      </x:c>
      <x:c r="D4398" s="18" t="str">
        <x:v>Specification type: To3799-crystal diamond / To3800-crystal diamond</x:v>
      </x:c>
      <x:c r="E4398" s="25" t="str">
        <x:v>$1.31</x:v>
      </x:c>
      <x:c r="F4398" s="19" t="str">
        <x:v>5</x:v>
      </x:c>
    </x:row>
    <x:row r="4399" ht="93" customHeight="1">
      <x:c r="A4399" s="19" t="n">
        <x:v>4396</x:v>
      </x:c>
      <x:c r="B4399" s="22" t="e">
        <x:f>HYPERLINK("https://cdn.shopify.com/s/files/1/0918/6066/4603/files/7918ed85f762bae06a54d14857483047.jpg?v=1778242254","Open")</x:f>
        <x:v>HYPERLINK is not implemented. linkLocation=https://cdn.shopify.com/s/files/1/0918/6066/4603/files/7918ed85f762bae06a54d14857483047.jpg?v=1778242254, friendlyName=Open</x:v>
      </x:c>
      <x:c r="C4399" s="24" t="e">
        <x:f>HYPERLINK("https://365nails.com/products/365nails-enchanted-garden-3d-floral-butterfly-handmade-medium-coffin-nails","365nails: ""Enchanted Garden"" – 3D Floral &amp; Butterfly Handmade Medium Coffin Nails")</x:f>
        <x:v>HYPERLINK is not implemented. linkLocation=https://365nails.com/products/365nails-enchanted-garden-3d-floral-butterfly-handmade-medium-coffin-nails, friendlyName=365nails: "Enchanted Garden" – 3D Floral &amp; Butterfly Handmade Medium Coffin Nails</x:v>
      </x:c>
      <x:c r="D4399" s="18" t="str">
        <x:v>Size: XS / S / M / L</x:v>
      </x:c>
      <x:c r="E4399" s="25" t="str">
        <x:v>$4.99</x:v>
      </x:c>
      <x:c r="F4399" s="19" t="str">
        <x:v>5</x:v>
      </x:c>
    </x:row>
    <x:row r="4400" ht="93" customHeight="1">
      <x:c r="A4400" s="19" t="n">
        <x:v>4397</x:v>
      </x:c>
      <x:c r="B4400" s="22" t="e">
        <x:f>HYPERLINK("https://cdn.shopify.com/s/files/1/0918/6066/4603/files/64973cb45d369213528d21654d225ab3.jpg?v=1776171647","Open")</x:f>
        <x:v>HYPERLINK is not implemented. linkLocation=https://cdn.shopify.com/s/files/1/0918/6066/4603/files/64973cb45d369213528d21654d225ab3.jpg?v=1776171647, friendlyName=Open</x:v>
      </x:c>
      <x:c r="C4400" s="24" t="e">
        <x:f>HYPERLINK("https://365nails.com/products/365nails-bunny-hop-3d-cartoon-mix-handmade-short-square-nails","365nails: ""Bunny Hop"" – 3D Cartoon Mix Handmade Short Square Nails")</x:f>
        <x:v>HYPERLINK is not implemented. linkLocation=https://365nails.com/products/365nails-bunny-hop-3d-cartoon-mix-handmade-short-square-nails, friendlyName=365nails: "Bunny Hop" – 3D Cartoon Mix Handmade Short Square Nails</x:v>
      </x:c>
      <x:c r="D4400" s="18" t="str">
        <x:v>Size: XS / S / M / L</x:v>
      </x:c>
      <x:c r="E4400" s="25" t="str">
        <x:v>$1.99</x:v>
      </x:c>
      <x:c r="F4400" s="19" t="str">
        <x:v>3</x:v>
      </x:c>
    </x:row>
    <x:row r="4401" ht="93" customHeight="1">
      <x:c r="A4401" s="19" t="n">
        <x:v>4398</x:v>
      </x:c>
      <x:c r="B4401" s="22" t="e">
        <x:f>HYPERLINK("https://cdn.shopify.com/s/files/1/0918/6066/4603/files/bfaf07e2dec14a3127cb720cd1f70d73.jpg?v=1776323429","Open")</x:f>
        <x:v>HYPERLINK is not implemented. linkLocation=https://cdn.shopify.com/s/files/1/0918/6066/4603/files/bfaf07e2dec14a3127cb720cd1f70d73.jpg?v=1776323429, friendlyName=Open</x:v>
      </x:c>
      <x:c r="C4401" s="24" t="e">
        <x:f>HYPERLINK("https://365nails.com/products/365nails-kittys-picnic-3d-hello-kitty-short-square-nails","365nails: ""Kitty's Picnic"" – 3D Hello Kitty Short Square Nails")</x:f>
        <x:v>HYPERLINK is not implemented. linkLocation=https://365nails.com/products/365nails-kittys-picnic-3d-hello-kitty-short-square-nails, friendlyName=365nails: "Kitty's Picnic" – 3D Hello Kitty Short Square Nails</x:v>
      </x:c>
      <x:c r="D4401" s="18" t="str">
        <x:v>Size: XS / S / M / L</x:v>
      </x:c>
      <x:c r="E4401" s="25" t="str">
        <x:v>$3.99</x:v>
      </x:c>
      <x:c r="F4401" s="19" t="str">
        <x:v>5</x:v>
      </x:c>
    </x:row>
    <x:row r="4402" ht="93" customHeight="1">
      <x:c r="A4402" s="19" t="n">
        <x:v>4399</x:v>
      </x:c>
      <x:c r="B4402" s="22" t="e">
        <x:f>HYPERLINK("https://cdn.shopify.com/s/files/1/0918/6066/4603/files/47bdff761f7653593c3d641904ce6d2e.jpg?v=1775912968","Open")</x:f>
        <x:v>HYPERLINK is not implemented. linkLocation=https://cdn.shopify.com/s/files/1/0918/6066/4603/files/47bdff761f7653593c3d641904ce6d2e.jpg?v=1775912968, friendlyName=Open</x:v>
      </x:c>
      <x:c r="C4402" s="24" t="e">
        <x:f>HYPERLINK("https://365nails.com/products/365nails-velvet-ribbon-3d-bow-handmade-square-nails","365nails: ""Velvet Ribbon"" – 3D Bow Handmade Square Nails")</x:f>
        <x:v>HYPERLINK is not implemented. linkLocation=https://365nails.com/products/365nails-velvet-ribbon-3d-bow-handmade-square-nails, friendlyName=365nails: "Velvet Ribbon" – 3D Bow Handmade Square Nails</x:v>
      </x:c>
      <x:c r="D4402" s="18" t="str">
        <x:v>Size: XS / S / M / L</x:v>
      </x:c>
      <x:c r="E4402" s="25" t="str">
        <x:v>$3.99</x:v>
      </x:c>
      <x:c r="F4402" s="19" t="str">
        <x:v>5</x:v>
      </x:c>
    </x:row>
    <x:row r="4403" ht="93" customHeight="1">
      <x:c r="A4403" s="19" t="n">
        <x:v>4400</x:v>
      </x:c>
      <x:c r="B4403" s="22" t="e">
        <x:f>HYPERLINK("https://cdn.shopify.com/s/files/1/0918/6066/4603/files/0726d164d254a4593e3222de407bc458.jpg?v=1776246195","Open")</x:f>
        <x:v>HYPERLINK is not implemented. linkLocation=https://cdn.shopify.com/s/files/1/0918/6066/4603/files/0726d164d254a4593e3222de407bc458.jpg?v=1776246195, friendlyName=Open</x:v>
      </x:c>
      <x:c r="C4403" s="24" t="e">
        <x:f>HYPERLINK("https://365nails.com/products/365nails-moo-moos-candyland-3d-character-handmade-short-nails","365nails: ""Moo Moo's Candyland"" – 3D Character Handmade Short Nails")</x:f>
        <x:v>HYPERLINK is not implemented. linkLocation=https://365nails.com/products/365nails-moo-moos-candyland-3d-character-handmade-short-nails, friendlyName=365nails: "Moo Moo's Candyland" – 3D Character Handmade Short Nails</x:v>
      </x:c>
      <x:c r="D4403" s="18" t="str">
        <x:v>Size: XS / S / M / L</x:v>
      </x:c>
      <x:c r="E4403" s="25" t="str">
        <x:v>$2.49</x:v>
      </x:c>
      <x:c r="F4403" s="19" t="str">
        <x:v>3</x:v>
      </x:c>
    </x:row>
    <x:row r="4404" ht="93" customHeight="1">
      <x:c r="A4404" s="19" t="n">
        <x:v>4401</x:v>
      </x:c>
      <x:c r="B4404" s="22" t="e">
        <x:f>HYPERLINK("https://cdn.shopify.com/s/files/1/0918/6066/4603/files/55450f113cb2e14de2c8842415d07f85.png?v=1755264716","Open")</x:f>
        <x:v>HYPERLINK is not implemented. linkLocation=https://cdn.shopify.com/s/files/1/0918/6066/4603/files/55450f113cb2e14de2c8842415d07f85.png?v=1755264716, friendlyName=Open</x:v>
      </x:c>
      <x:c r="C4404" s="24" t="e">
        <x:f>HYPERLINK("https://365nails.com/products/nail-tips-full-number-of-special-nail-pads-for-nail-salons-transparent-and-seamless-150-pcs-boxed-press-on-nails-pads-almond-trapezoidal-fake-nails","Nail TipsTransparent Seamless Salon Nail Pads, Almond Trapezoidal Press-On Fake Nails, 150 Pieces Boxed (MOQ=3)")</x:f>
        <x:v>HYPERLINK is not implemented. linkLocation=https://365nails.com/products/nail-tips-full-number-of-special-nail-pads-for-nail-salons-transparent-and-seamless-150-pcs-boxed-press-on-nails-pads-almond-trapezoidal-fake-nails, friendlyName=Nail TipsTransparent Seamless Salon Nail Pads, Almond Trapezoidal Press-On Fake Nails, 150 Pieces Boxed (MOQ=3)</x:v>
      </x:c>
      <x:c r="D4404" s="18" t="str">
        <x:v>Color: YS-431 * 150 pieces / YS-432 * 150 pieces / YS-433 * 150 pieces / YS-434 * 150 pieces / YS-435 * 150 pieces / YS-437 * 150 pieces / YS-438 * 150 pieces / YS-440 * 150 pieces / YS-441 * 150 pieces / YS-448 * 150 pieces / YS-449 * 150 pieces / YS-451 * 150 pieces / YS-452 * 150 pieces / YS-453 * 150 pieces / YS-454 * 150 pieces / YS-455 * 150 pieces / YS-456 * 150 pieces / YS-457 * 150 pieces / YS-462 * 150 pieces / YS-463 * 150 pieces / YS-464 * 150 pieces / YS-465 * 150 pieces / YS-467 * 150 pieces; Quantity: 3pcs</x:v>
      </x:c>
      <x:c r="E4404" s="25" t="str">
        <x:v>$3.54</x:v>
      </x:c>
      <x:c r="F4404" s="19" t="str">
        <x:v>1</x:v>
      </x:c>
    </x:row>
    <x:row r="4405" ht="93" customHeight="1">
      <x:c r="A4405" s="19" t="n">
        <x:v>4402</x:v>
      </x:c>
      <x:c r="B4405" s="22" t="e">
        <x:f>HYPERLINK("https://cdn.shopify.com/s/files/1/0918/6066/4603/files/779655baafd5ab51dd33cc38269f24c2.jpg?v=1773306603","Open")</x:f>
        <x:v>HYPERLINK is not implemented. linkLocation=https://cdn.shopify.com/s/files/1/0918/6066/4603/files/779655baafd5ab51dd33cc38269f24c2.jpg?v=1773306603, friendlyName=Open</x:v>
      </x:c>
      <x:c r="C4405" s="24" t="e">
        <x:f>HYPERLINK("https://365nails.com/products/365nails-olive-cat-eye-gem-handmade-press-on-toenails-pedicure","365nails: ""olive cat eye gem"" – handmade press-on toenails / pedicure")</x:f>
        <x:v>HYPERLINK is not implemented. linkLocation=https://365nails.com/products/365nails-olive-cat-eye-gem-handmade-press-on-toenails-pedicure, friendlyName=365nails: "olive cat eye gem" – handmade press-on toenails / pedicure</x:v>
      </x:c>
      <x:c r="D4405" s="18" t="str">
        <x:v>Size: XS / S / M / L</x:v>
      </x:c>
      <x:c r="E4405" s="25" t="str">
        <x:v>$3.99</x:v>
      </x:c>
      <x:c r="F4405" s="19" t="str">
        <x:v>3</x:v>
      </x:c>
    </x:row>
    <x:row r="4406" ht="93" customHeight="1">
      <x:c r="A4406" s="19" t="n">
        <x:v>4403</x:v>
      </x:c>
      <x:c r="B4406" s="22" t="e">
        <x:f>HYPERLINK("https://cdn.shopify.com/s/files/1/0918/6066/4603/files/O1CN01zHlyXe1CPwMyhorqh__2213196780074-0-cib_2602c396-b645-4b0e-88b4-60adc1241e14.jpg?v=1776849819","Open")</x:f>
        <x:v>HYPERLINK is not implemented. linkLocation=https://cdn.shopify.com/s/files/1/0918/6066/4603/files/O1CN01zHlyXe1CPwMyhorqh__2213196780074-0-cib_2602c396-b645-4b0e-88b4-60adc1241e14.jpg?v=1776849819, friendlyName=Open</x:v>
      </x:c>
      <x:c r="C4406" s="24" t="e">
        <x:f>HYPERLINK("https://365nails.com/products/365nails-rebel-heart-3d-rhinestone-metal-charm-handmade-long-stiletto-nails","365nails: ""Rebel Heart"" – 3D Rhinestone &amp; Metal Charm Handmade Long Stiletto Nails")</x:f>
        <x:v>HYPERLINK is not implemented. linkLocation=https://365nails.com/products/365nails-rebel-heart-3d-rhinestone-metal-charm-handmade-long-stiletto-nails, friendlyName=365nails: "Rebel Heart" – 3D Rhinestone &amp; Metal Charm Handmade Long Stiletto Nails</x:v>
      </x:c>
      <x:c r="D4406" s="18" t="str">
        <x:v>Color: 324-european and american long tip; Color classification: Xs / S / M / L</x:v>
      </x:c>
      <x:c r="E4406" s="25" t="str">
        <x:v>$5.99</x:v>
      </x:c>
      <x:c r="F4406" s="19" t="str">
        <x:v>1</x:v>
      </x:c>
    </x:row>
    <x:row r="4407" ht="93" customHeight="1">
      <x:c r="A4407" s="19" t="n">
        <x:v>4404</x:v>
      </x:c>
      <x:c r="B4407" s="22" t="e">
        <x:f>HYPERLINK("https://cdn.shopify.com/s/files/1/0918/6066/4603/files/5e117cb0dad61f73bf60aa7d71229ee8.jpg?v=1776245236","Open")</x:f>
        <x:v>HYPERLINK is not implemented. linkLocation=https://cdn.shopify.com/s/files/1/0918/6066/4603/files/5e117cb0dad61f73bf60aa7d71229ee8.jpg?v=1776245236, friendlyName=Open</x:v>
      </x:c>
      <x:c r="C4407" s="24" t="e">
        <x:f>HYPERLINK("https://365nails.com/products/365nails-pastel-playground-3d-character-handmade-short-nails","365nails: ""Pastel Playground"" – 3D Character Handmade Short Nails")</x:f>
        <x:v>HYPERLINK is not implemented. linkLocation=https://365nails.com/products/365nails-pastel-playground-3d-character-handmade-short-nails, friendlyName=365nails: "Pastel Playground" – 3D Character Handmade Short Nails</x:v>
      </x:c>
      <x:c r="D4407" s="18" t="str">
        <x:v>Size: XS / S / M / L</x:v>
      </x:c>
      <x:c r="E4407" s="25" t="str">
        <x:v>$2.49</x:v>
      </x:c>
      <x:c r="F4407" s="19" t="str">
        <x:v>3</x:v>
      </x:c>
    </x:row>
    <x:row r="4408" ht="93" customHeight="1">
      <x:c r="A4408" s="19" t="n">
        <x:v>4405</x:v>
      </x:c>
      <x:c r="B4408" s="22" t="e">
        <x:f>HYPERLINK("https://cdn.shopify.com/s/files/1/0918/6066/4603/files/O1CN015BAltu2MQzfMcoQnp__2219089449823-0-cib.jpg?v=1774349059","Open")</x:f>
        <x:v>HYPERLINK is not implemented. linkLocation=https://cdn.shopify.com/s/files/1/0918/6066/4603/files/O1CN015BAltu2MQzfMcoQnp__2219089449823-0-cib.jpg?v=1774349059, friendlyName=Open</x:v>
      </x:c>
      <x:c r="C4408" s="24" t="e">
        <x:f>HYPERLINK("https://365nails.com/products/365nails-blush-gold-bow-short-square-nude-pink-french-gold-handmade-press-on-nails","365nails: ""Blush Gold Bow"" – Short Square Nude-Pink French Gold Handmade Press-On Nails")</x:f>
        <x:v>HYPERLINK is not implemented. linkLocation=https://365nails.com/products/365nails-blush-gold-bow-short-square-nude-pink-french-gold-handmade-press-on-nails, friendlyName=365nails: "Blush Gold Bow" – Short Square Nude-Pink French Gold Handmade Press-On Nails</x:v>
      </x:c>
      <x:c r="D4408" s="18" t="str">
        <x:v>Color: L217; Color classification: X s / S / M / L</x:v>
      </x:c>
      <x:c r="E4408" s="25" t="str">
        <x:v>$4.99</x:v>
      </x:c>
      <x:c r="F4408" s="19" t="str">
        <x:v>1</x:v>
      </x:c>
    </x:row>
    <x:row r="4409" ht="93" customHeight="1">
      <x:c r="A4409" s="19" t="n">
        <x:v>4406</x:v>
      </x:c>
      <x:c r="B4409" s="22" t="e">
        <x:f>HYPERLINK("https://cdn.shopify.com/s/files/1/0918/6066/4603/files/5fb694932f0a1366c27be13b3a71fae9.jpg?v=1773306614","Open")</x:f>
        <x:v>HYPERLINK is not implemented. linkLocation=https://cdn.shopify.com/s/files/1/0918/6066/4603/files/5fb694932f0a1366c27be13b3a71fae9.jpg?v=1773306614, friendlyName=Open</x:v>
      </x:c>
      <x:c r="C4409" s="24" t="e">
        <x:f>HYPERLINK("https://365nails.com/products/365nails-black-blue-plaid-frame-handmade-press-on-toenails-pedicure","365nails: ""black blue plaid frame"" – handmade press-on toenails / pedicure")</x:f>
        <x:v>HYPERLINK is not implemented. linkLocation=https://365nails.com/products/365nails-black-blue-plaid-frame-handmade-press-on-toenails-pedicure, friendlyName=365nails: "black blue plaid frame" – handmade press-on toenails / pedicure</x:v>
      </x:c>
      <x:c r="D4409" s="18" t="str">
        <x:v>Size: XS / S / M / L</x:v>
      </x:c>
      <x:c r="E4409" s="25" t="str">
        <x:v>$3.99</x:v>
      </x:c>
      <x:c r="F4409" s="19" t="str">
        <x:v>3</x:v>
      </x:c>
    </x:row>
    <x:row r="4410" ht="93" customHeight="1">
      <x:c r="A4410" s="19" t="n">
        <x:v>4407</x:v>
      </x:c>
      <x:c r="B4410" s="22" t="e">
        <x:f>HYPERLINK("https://cdn.shopify.com/s/files/1/0918/6066/4603/files/dfbe188ec80031d028498ffd43ec96d3_30debc4b-1b3a-4fa4-bc65-1c0f247d2310.jpg?v=1775906171","Open")</x:f>
        <x:v>HYPERLINK is not implemented. linkLocation=https://cdn.shopify.com/s/files/1/0918/6066/4603/files/dfbe188ec80031d028498ffd43ec96d3_30debc4b-1b3a-4fa4-bc65-1c0f247d2310.jpg?v=1775906171, friendlyName=Open</x:v>
      </x:c>
      <x:c r="C4410" s="24" t="e">
        <x:f>HYPERLINK("https://365nails.com/products/365nails-ocean-bloom-3d-floral-french-tip-handmade-almond-nails-1","365nails: ""Ocean Bloom"" – 3D Floral French Tip Handmade Almond Nails")</x:f>
        <x:v>HYPERLINK is not implemented. linkLocation=https://365nails.com/products/365nails-ocean-bloom-3d-floral-french-tip-handmade-almond-nails-1, friendlyName=365nails: "Ocean Bloom" – 3D Floral French Tip Handmade Almond Nails</x:v>
      </x:c>
      <x:c r="D4410" s="18" t="str">
        <x:v>Size: XS / S / M / L</x:v>
      </x:c>
      <x:c r="E4410" s="25" t="str">
        <x:v>$3.99</x:v>
      </x:c>
      <x:c r="F4410" s="19" t="str">
        <x:v>5</x:v>
      </x:c>
    </x:row>
    <x:row r="4411" ht="93" customHeight="1">
      <x:c r="A4411" s="19" t="n">
        <x:v>4408</x:v>
      </x:c>
      <x:c r="B4411" s="22" t="e">
        <x:f>HYPERLINK("https://cdn.shopify.com/s/files/1/0918/6066/4603/files/b7226d078bb3fb4a9b1f7d082c6d0031.jpg?v=1776325081","Open")</x:f>
        <x:v>HYPERLINK is not implemented. linkLocation=https://cdn.shopify.com/s/files/1/0918/6066/4603/files/b7226d078bb3fb4a9b1f7d082c6d0031.jpg?v=1776325081, friendlyName=Open</x:v>
      </x:c>
      <x:c r="C4411" s="24" t="e">
        <x:f>HYPERLINK("https://365nails.com/products/365nails-teddy-bear-picnic-3d-character-short-square-nails","365nails: ""Teddy Bear Picnic"" – 3D Character Short Square Nails")</x:f>
        <x:v>HYPERLINK is not implemented. linkLocation=https://365nails.com/products/365nails-teddy-bear-picnic-3d-character-short-square-nails, friendlyName=365nails: "Teddy Bear Picnic" – 3D Character Short Square Nails</x:v>
      </x:c>
      <x:c r="D4411" s="18" t="str">
        <x:v>Size: XS / S / M / L</x:v>
      </x:c>
      <x:c r="E4411" s="25" t="str">
        <x:v>$3.99</x:v>
      </x:c>
      <x:c r="F4411" s="19" t="str">
        <x:v>5</x:v>
      </x:c>
    </x:row>
    <x:row r="4412" ht="93" customHeight="1">
      <x:c r="A4412" s="19" t="n">
        <x:v>4409</x:v>
      </x:c>
      <x:c r="B4412" s="22" t="e">
        <x:f>HYPERLINK("https://cdn.shopify.com/s/files/1/0918/6066/4603/files/41525e0c3a4952c4a65b659d609ee805.jpg?v=1776246595","Open")</x:f>
        <x:v>HYPERLINK is not implemented. linkLocation=https://cdn.shopify.com/s/files/1/0918/6066/4603/files/41525e0c3a4952c4a65b659d609ee805.jpg?v=1776246595, friendlyName=Open</x:v>
      </x:c>
      <x:c r="C4412" s="24" t="e">
        <x:f>HYPERLINK("https://365nails.com/products/365nails-kuromis-midnight-bow-3d-character-handmade-short-nails","365nails: ""Kuromi's Midnight Bow"" – 3D Character Handmade Short Nails")</x:f>
        <x:v>HYPERLINK is not implemented. linkLocation=https://365nails.com/products/365nails-kuromis-midnight-bow-3d-character-handmade-short-nails, friendlyName=365nails: "Kuromi's Midnight Bow" – 3D Character Handmade Short Nails</x:v>
      </x:c>
      <x:c r="D4412" s="18" t="str">
        <x:v>Size: XS / S / M / L</x:v>
      </x:c>
      <x:c r="E4412" s="25" t="str">
        <x:v>$2.49</x:v>
      </x:c>
      <x:c r="F4412" s="19" t="str">
        <x:v>3</x:v>
      </x:c>
    </x:row>
    <x:row r="4413" ht="93" customHeight="1">
      <x:c r="A4413" s="19" t="n">
        <x:v>4410</x:v>
      </x:c>
      <x:c r="B4413" s="22" t="e">
        <x:f>HYPERLINK("https://cdn.shopify.com/s/files/1/0918/6066/4603/files/d865f1fd59d6be6c6563fb0d3234404e.jpg?v=1775912011","Open")</x:f>
        <x:v>HYPERLINK is not implemented. linkLocation=https://cdn.shopify.com/s/files/1/0918/6066/4603/files/d865f1fd59d6be6c6563fb0d3234404e.jpg?v=1775912011, friendlyName=Open</x:v>
      </x:c>
      <x:c r="C4413" s="24" t="e">
        <x:f>HYPERLINK("https://365nails.com/products/365nails-crimson-bloom-3d-floral-handmade-stiletto-nails-1","365nails: ""Crimson Bloom"" – 3D Floral Handmade Stiletto Nails")</x:f>
        <x:v>HYPERLINK is not implemented. linkLocation=https://365nails.com/products/365nails-crimson-bloom-3d-floral-handmade-stiletto-nails-1, friendlyName=365nails: "Crimson Bloom" – 3D Floral Handmade Stiletto Nails</x:v>
      </x:c>
      <x:c r="D4413" s="18" t="str">
        <x:v>Size: XS / S / M / L</x:v>
      </x:c>
      <x:c r="E4413" s="25" t="str">
        <x:v>$3.99</x:v>
      </x:c>
      <x:c r="F4413" s="19" t="str">
        <x:v>5</x:v>
      </x:c>
    </x:row>
    <x:row r="4414" ht="93" customHeight="1">
      <x:c r="A4414" s="19" t="n">
        <x:v>4411</x:v>
      </x:c>
      <x:c r="B4414" s="22" t="e">
        <x:f>HYPERLINK("https://cdn.shopify.com/s/files/1/0918/6066/4603/files/1890dd021f2332b41fafbffeb33e1cee.jpg?v=1776150478","Open")</x:f>
        <x:v>HYPERLINK is not implemented. linkLocation=https://cdn.shopify.com/s/files/1/0918/6066/4603/files/1890dd021f2332b41fafbffeb33e1cee.jpg?v=1776150478, friendlyName=Open</x:v>
      </x:c>
      <x:c r="C4414" s="24" t="e">
        <x:f>HYPERLINK("https://365nails.com/products/365nails-festive-snowman-delight-3d-character-snowflake-handmade-short-square-nails","365nails: ""Festive Snowman Delight"" – 3D Character &amp; Snowflake Handmade Short Square Nails")</x:f>
        <x:v>HYPERLINK is not implemented. linkLocation=https://365nails.com/products/365nails-festive-snowman-delight-3d-character-snowflake-handmade-short-square-nails, friendlyName=365nails: "Festive Snowman Delight" – 3D Character &amp; Snowflake Handmade Short Square Nails</x:v>
      </x:c>
      <x:c r="D4414" s="18" t="str">
        <x:v>Size: XS / S / M / L</x:v>
      </x:c>
      <x:c r="E4414" s="25" t="str">
        <x:v>$1.99</x:v>
      </x:c>
      <x:c r="F4414" s="19" t="str">
        <x:v>3</x:v>
      </x:c>
    </x:row>
    <x:row r="4415" ht="93" customHeight="1">
      <x:c r="A4415" s="19" t="n">
        <x:v>4412</x:v>
      </x:c>
      <x:c r="B4415" s="22" t="e">
        <x:f>HYPERLINK("https://cdn.shopify.com/s/files/1/0918/6066/4603/files/O1CN01x0PhpB2MQzfUbwsrE__2219089449823-0-cib.jpg?v=1774452959","Open")</x:f>
        <x:v>HYPERLINK is not implemented. linkLocation=https://cdn.shopify.com/s/files/1/0918/6066/4603/files/O1CN01x0PhpB2MQzfUbwsrE__2219089449823-0-cib.jpg?v=1774452959, friendlyName=Open</x:v>
      </x:c>
      <x:c r="C4415" s="24" t="e">
        <x:f>HYPERLINK("https://365nails.com/products/meadow-bloom-wildflower-blueberry-almond-shape-handmade-press-ons","Meadow Bloom: ""Wildflower Blueberry"" – Almond Shape Handmade Press-Ons")</x:f>
        <x:v>HYPERLINK is not implemented. linkLocation=https://365nails.com/products/meadow-bloom-wildflower-blueberry-almond-shape-handmade-press-ons, friendlyName=Meadow Bloom: "Wildflower Blueberry" – Almond Shape Handmade Press-Ons</x:v>
      </x:c>
      <x:c r="D4415" s="18" t="str">
        <x:v>Color: D624; Color classification: X s / S / M / L</x:v>
      </x:c>
      <x:c r="E4415" s="25" t="str">
        <x:v>$3.49</x:v>
      </x:c>
      <x:c r="F4415" s="19" t="str">
        <x:v>1</x:v>
      </x:c>
    </x:row>
    <x:row r="4416" ht="93" customHeight="1">
      <x:c r="A4416" s="19" t="n">
        <x:v>4413</x:v>
      </x:c>
      <x:c r="B4416" s="22" t="e">
        <x:f>HYPERLINK("https://cdn.shopify.com/s/files/1/0918/6066/4603/files/645eeeee4a221b0d3e4ca956b161158a.jpg?v=1773909340","Open")</x:f>
        <x:v>HYPERLINK is not implemented. linkLocation=https://cdn.shopify.com/s/files/1/0918/6066/4603/files/645eeeee4a221b0d3e4ca956b161158a.jpg?v=1773909340, friendlyName=Open</x:v>
      </x:c>
      <x:c r="C4416" s="24" t="e">
        <x:f>HYPERLINK("https://365nails.com/products/365nails-mint-starlight-gradient-handmade-press-on-nails-fresh-elegant-futuristic-tech","365Nails: ""Mint Starlight Gradient"" – handmade press-on nails (Fresh Elegant/Futuristic Tech)")</x:f>
        <x:v>HYPERLINK is not implemented. linkLocation=https://365nails.com/products/365nails-mint-starlight-gradient-handmade-press-on-nails-fresh-elegant-futuristic-tech, friendlyName=365Nails: "Mint Starlight Gradient" – handmade press-on nails (Fresh Elegant/Futuristic Tech)</x:v>
      </x:c>
      <x:c r="D4416" s="18" t="str">
        <x:v>Size: XS / S / M / L</x:v>
      </x:c>
      <x:c r="E4416" s="25" t="str">
        <x:v>$3.99</x:v>
      </x:c>
      <x:c r="F4416" s="19" t="str">
        <x:v>5</x:v>
      </x:c>
    </x:row>
    <x:row r="4417" ht="93" customHeight="1">
      <x:c r="A4417" s="19" t="n">
        <x:v>4414</x:v>
      </x:c>
      <x:c r="B4417" s="22" t="e">
        <x:f>HYPERLINK("https://cdn.shopify.com/s/files/1/0918/6066/4603/files/083a1fcb96d3db562c614ebaa46d3188.jpg?v=1775729110","Open")</x:f>
        <x:v>HYPERLINK is not implemented. linkLocation=https://cdn.shopify.com/s/files/1/0918/6066/4603/files/083a1fcb96d3db562c614ebaa46d3188.jpg?v=1775729110, friendlyName=Open</x:v>
      </x:c>
      <x:c r="C4417" s="24" t="e">
        <x:f>HYPERLINK("https://365nails.com/products/365nails-gilded-noir-3d-floral-feather-handmade-almond-nails","365nails: ""Gilded Noir"" – 3D Floral &amp; Feather Handmade Almond Nails")</x:f>
        <x:v>HYPERLINK is not implemented. linkLocation=https://365nails.com/products/365nails-gilded-noir-3d-floral-feather-handmade-almond-nails, friendlyName=365nails: "Gilded Noir" – 3D Floral &amp; Feather Handmade Almond Nails</x:v>
      </x:c>
      <x:c r="D4417" s="18" t="str">
        <x:v>Size: XS / S / M / L</x:v>
      </x:c>
      <x:c r="E4417" s="25" t="str">
        <x:v>$3.99</x:v>
      </x:c>
      <x:c r="F4417" s="19" t="str">
        <x:v>5</x:v>
      </x:c>
    </x:row>
    <x:row r="4418" ht="93" customHeight="1">
      <x:c r="A4418" s="19" t="n">
        <x:v>4415</x:v>
      </x:c>
      <x:c r="B4418" s="22" t="e">
        <x:f>HYPERLINK("https://cdn.shopify.com/s/files/1/0918/6066/4603/files/O1CN01xLflVu2MQzdtoE6SM__2219089449823-0-cib.jpg?v=1774096964","Open")</x:f>
        <x:v>HYPERLINK is not implemented. linkLocation=https://cdn.shopify.com/s/files/1/0918/6066/4603/files/O1CN01xLflVu2MQzdtoE6SM__2219089449823-0-cib.jpg?v=1774096964, friendlyName=Open</x:v>
      </x:c>
      <x:c r="C4418" s="24" t="e">
        <x:f>HYPERLINK("https://365nails.com/products/wild-bloom-dalmation-tulip-almond-press-ons","Wild Bloom: ""Dalmation Tulip"" – Almond Press-Ons")</x:f>
        <x:v>HYPERLINK is not implemented. linkLocation=https://365nails.com/products/wild-bloom-dalmation-tulip-almond-press-ons, friendlyName=Wild Bloom: "Dalmation Tulip" – Almond Press-Ons</x:v>
      </x:c>
      <x:c r="D4418" s="18" t="str">
        <x:v>Color: D512; Color classification: X s / S / M / L</x:v>
      </x:c>
      <x:c r="E4418" s="25" t="str">
        <x:v>$3.99</x:v>
      </x:c>
      <x:c r="F4418" s="19" t="str">
        <x:v>1</x:v>
      </x:c>
    </x:row>
    <x:row r="4419" ht="93" customHeight="1">
      <x:c r="A4419" s="19" t="n">
        <x:v>4416</x:v>
      </x:c>
      <x:c r="B4419" s="22" t="e">
        <x:f>HYPERLINK("https://cdn.shopify.com/s/files/1/0918/6066/4603/files/c0701f928cbd5bce4c23eac3810dd8bd.jpg?v=1775909376","Open")</x:f>
        <x:v>HYPERLINK is not implemented. linkLocation=https://cdn.shopify.com/s/files/1/0918/6066/4603/files/c0701f928cbd5bce4c23eac3810dd8bd.jpg?v=1775909376, friendlyName=Open</x:v>
      </x:c>
      <x:c r="C4419" s="24" t="e">
        <x:f>HYPERLINK("https://365nails.com/products/365nails-midnight-blossom-3d-floral-handmade-square-nails","365nails: ""Midnight Blossom"" – 3D Floral Handmade Square Nails")</x:f>
        <x:v>HYPERLINK is not implemented. linkLocation=https://365nails.com/products/365nails-midnight-blossom-3d-floral-handmade-square-nails, friendlyName=365nails: "Midnight Blossom" – 3D Floral Handmade Square Nails</x:v>
      </x:c>
      <x:c r="D4419" s="18" t="str">
        <x:v>Size: XS / S / M / L</x:v>
      </x:c>
      <x:c r="E4419" s="25" t="str">
        <x:v>$3.99</x:v>
      </x:c>
      <x:c r="F4419" s="19" t="str">
        <x:v>5</x:v>
      </x:c>
    </x:row>
    <x:row r="4420" ht="93" customHeight="1">
      <x:c r="A4420" s="19" t="n">
        <x:v>4417</x:v>
      </x:c>
      <x:c r="B4420" s="22" t="e">
        <x:f>HYPERLINK("https://cdn.shopify.com/s/files/1/0918/6066/4603/files/2e8f5850e9900ba52d86035cfb24dc5a.jpg?v=1778242379","Open")</x:f>
        <x:v>HYPERLINK is not implemented. linkLocation=https://cdn.shopify.com/s/files/1/0918/6066/4603/files/2e8f5850e9900ba52d86035cfb24dc5a.jpg?v=1778242379, friendlyName=Open</x:v>
      </x:c>
      <x:c r="C4420" s="24" t="e">
        <x:f>HYPERLINK("https://365nails.com/products/365nails-rosy-dream-3d-floral-bow-handmade-medium-almond-nails","365nails: ""Rosy Dream"" – 3D Floral &amp; Bow Handmade Medium Almond Nails")</x:f>
        <x:v>HYPERLINK is not implemented. linkLocation=https://365nails.com/products/365nails-rosy-dream-3d-floral-bow-handmade-medium-almond-nails, friendlyName=365nails: "Rosy Dream" – 3D Floral &amp; Bow Handmade Medium Almond Nails</x:v>
      </x:c>
      <x:c r="D4420" s="18" t="str">
        <x:v>Size: XS / S / M / L</x:v>
      </x:c>
      <x:c r="E4420" s="25" t="str">
        <x:v>$4.99</x:v>
      </x:c>
      <x:c r="F4420" s="19" t="str">
        <x:v>5</x:v>
      </x:c>
    </x:row>
    <x:row r="4421" ht="93" customHeight="1">
      <x:c r="A4421" s="19" t="n">
        <x:v>4418</x:v>
      </x:c>
      <x:c r="B4421" s="22" t="e">
        <x:f>HYPERLINK("https://cdn.shopify.com/s/files/1/0918/6066/4603/files/O1CN01KTGUGd2214uchZoJ0__2219480337059-0-cib.jpg?v=1774070512","Open")</x:f>
        <x:v>HYPERLINK is not implemented. linkLocation=https://cdn.shopify.com/s/files/1/0918/6066/4603/files/O1CN01KTGUGd2214uchZoJ0__2219480337059-0-cib.jpg?v=1774070512, friendlyName=Open</x:v>
      </x:c>
      <x:c r="C4421" s="24" t="e">
        <x:f>HYPERLINK("https://365nails.com/products/365nails-labubu-sweet-party-handmade-cute-short-oval-press-on-nails-with-labubu-dessert-design","365Nails: ""Labubu Sweet Party"" – Handmade Cute Short Oval Press On Nails With Labubu &amp; Dessert Design")</x:f>
        <x:v>HYPERLINK is not implemented. linkLocation=https://365nails.com/products/365nails-labubu-sweet-party-handmade-cute-short-oval-press-on-nails-with-labubu-dessert-design, friendlyName=365Nails: "Labubu Sweet Party" – Handmade Cute Short Oval Press On Nails With Labubu &amp; Dessert Design</x:v>
      </x:c>
      <x:c r="D4421" s="18" t="str">
        <x:v>Color: Shovel shovel cloth; Color classification: Xs (about 2 years old) / S (3-4 years old) / M (5-7 years old) / L (8-11 years old)</x:v>
      </x:c>
      <x:c r="E4421" s="25" t="str">
        <x:v>$2.99</x:v>
      </x:c>
      <x:c r="F4421" s="19" t="str">
        <x:v>3</x:v>
      </x:c>
    </x:row>
    <x:row r="4422" ht="93" customHeight="1">
      <x:c r="A4422" s="19" t="n">
        <x:v>4419</x:v>
      </x:c>
      <x:c r="B4422" s="22" t="e">
        <x:f>HYPERLINK("https://cdn.shopify.com/s/files/1/0918/6066/4603/files/f51116c2f0028f55df07194c274e55ab.jpg?v=1778318495","Open")</x:f>
        <x:v>HYPERLINK is not implemented. linkLocation=https://cdn.shopify.com/s/files/1/0918/6066/4603/files/f51116c2f0028f55df07194c274e55ab.jpg?v=1778318495, friendlyName=Open</x:v>
      </x:c>
      <x:c r="C4422" s="24" t="e">
        <x:f>HYPERLINK("https://365nails.com/products/365nails-candy-plaid-3d-bow-glitter-handmade-stiletto-nails","365nails: ""Candy Plaid"" – 3D Bow &amp; Glitter Handmade Stiletto Nails")</x:f>
        <x:v>HYPERLINK is not implemented. linkLocation=https://365nails.com/products/365nails-candy-plaid-3d-bow-glitter-handmade-stiletto-nails, friendlyName=365nails: "Candy Plaid" – 3D Bow &amp; Glitter Handmade Stiletto Nails</x:v>
      </x:c>
      <x:c r="D4422" s="18" t="str">
        <x:v>Size: XS / S / M / L</x:v>
      </x:c>
      <x:c r="E4422" s="25" t="str">
        <x:v>$3.99</x:v>
      </x:c>
      <x:c r="F4422" s="19" t="str">
        <x:v>5</x:v>
      </x:c>
    </x:row>
    <x:row r="4423" ht="93" customHeight="1">
      <x:c r="A4423" s="19" t="n">
        <x:v>4420</x:v>
      </x:c>
      <x:c r="B4423" s="22" t="e">
        <x:f>HYPERLINK("https://cdn.shopify.com/s/files/1/0918/6066/4603/files/773c911a068188aa01f4464a68daf99b.jpg?v=1778240808","Open")</x:f>
        <x:v>HYPERLINK is not implemented. linkLocation=https://cdn.shopify.com/s/files/1/0918/6066/4603/files/773c911a068188aa01f4464a68daf99b.jpg?v=1778240808, friendlyName=Open</x:v>
      </x:c>
      <x:c r="C4423" s="24" t="e">
        <x:f>HYPERLINK("https://365nails.com/products/365nails-blooming-vines-3d-floral-swirl-handmade-long-stiletto-nails","365nails: ""Blooming Vines"" – 3D Floral &amp; Swirl Handmade Long Stiletto Nails")</x:f>
        <x:v>HYPERLINK is not implemented. linkLocation=https://365nails.com/products/365nails-blooming-vines-3d-floral-swirl-handmade-long-stiletto-nails, friendlyName=365nails: "Blooming Vines" – 3D Floral &amp; Swirl Handmade Long Stiletto Nails</x:v>
      </x:c>
      <x:c r="D4423" s="18" t="str">
        <x:v>Size: XS / S / M / L</x:v>
      </x:c>
      <x:c r="E4423" s="25" t="str">
        <x:v>$4.99</x:v>
      </x:c>
      <x:c r="F4423" s="19" t="str">
        <x:v>5</x:v>
      </x:c>
    </x:row>
    <x:row r="4424" ht="93" customHeight="1">
      <x:c r="A4424" s="19" t="n">
        <x:v>4421</x:v>
      </x:c>
      <x:c r="B4424" s="22" t="e">
        <x:f>HYPERLINK("https://cdn.shopify.com/s/files/1/0918/6066/4603/files/O1CN01irUXTw2214sn50zs2__2219480337059-0-cib.jpg?v=1774068239","Open")</x:f>
        <x:v>HYPERLINK is not implemented. linkLocation=https://cdn.shopify.com/s/files/1/0918/6066/4603/files/O1CN01irUXTw2214sn50zs2__2219480337059-0-cib.jpg?v=1774068239, friendlyName=Open</x:v>
      </x:c>
      <x:c r="C4424" s="24" t="e">
        <x:f>HYPERLINK("https://365nails.com/products/365nails-capybara-glitter-dream-handmade-cute-short-oval-press-on-nails-with-capybara-gem-design","365Nails: ""Capybara Glitter Dream"" – Handmade Cute Short Oval Press On Nails With Capybara &amp; Gem Design")</x:f>
        <x:v>HYPERLINK is not implemented. linkLocation=https://365nails.com/products/365nails-capybara-glitter-dream-handmade-cute-short-oval-press-on-nails-with-capybara-gem-design, friendlyName=365Nails: "Capybara Glitter Dream" – Handmade Cute Short Oval Press On Nails With Capybara &amp; Gem Design</x:v>
      </x:c>
      <x:c r="D4424" s="18" t="str">
        <x:v>Color: Pink mermaid; Color classification: Xs (about 2 years old) / S (3-4 years old) / M (5-7 years old) / L (8-11 years old)</x:v>
      </x:c>
      <x:c r="E4424" s="25" t="str">
        <x:v>$2.99</x:v>
      </x:c>
      <x:c r="F4424" s="19" t="str">
        <x:v>3</x:v>
      </x:c>
    </x:row>
    <x:row r="4425" ht="93" customHeight="1">
      <x:c r="A4425" s="19" t="n">
        <x:v>4422</x:v>
      </x:c>
      <x:c r="B4425" s="22" t="e">
        <x:f>HYPERLINK("https://cdn.shopify.com/s/files/1/0918/6066/4603/files/O1CN01CuBj3a2214sXPtOCh__2219480337059-0-cib.jpg?v=1774068090","Open")</x:f>
        <x:v>HYPERLINK is not implemented. linkLocation=https://cdn.shopify.com/s/files/1/0918/6066/4603/files/O1CN01CuBj3a2214sXPtOCh__2219480337059-0-cib.jpg?v=1774068090, friendlyName=Open</x:v>
      </x:c>
      <x:c r="C4425" s="24" t="e">
        <x:f>HYPERLINK("https://365nails.com/products/365nails-candy-monster-playground-handmade-cute-short-oval-press-on-nails-with-colorful-monster-candy-design","365Nails: ""Candy Monster Playground"" – Handmade Cute Short Oval Press On Nails With Colorful Monster &amp; Candy Design")</x:f>
        <x:v>HYPERLINK is not implemented. linkLocation=https://365nails.com/products/365nails-candy-monster-playground-handmade-cute-short-oval-press-on-nails-with-colorful-monster-candy-design, friendlyName=365Nails: "Candy Monster Playground" – Handmade Cute Short Oval Press On Nails With Colorful Monster &amp; Candy Design</x:v>
      </x:c>
      <x:c r="D4425" s="18" t="str">
        <x:v>Color: Jelly pinch; Color classification: Xs (about 2 years old) / S (3-4 years old) / M (5-7 years old) / L (8-11 years old)</x:v>
      </x:c>
      <x:c r="E4425" s="25" t="str">
        <x:v>$2.99</x:v>
      </x:c>
      <x:c r="F4425" s="19" t="str">
        <x:v>3</x:v>
      </x:c>
    </x:row>
    <x:row r="4426" ht="93" customHeight="1">
      <x:c r="A4426" s="19" t="n">
        <x:v>4423</x:v>
      </x:c>
      <x:c r="B4426" s="22" t="e">
        <x:f>HYPERLINK("https://cdn.shopify.com/s/files/1/0918/6066/4603/files/O1CN01mtEHa32214tIsqDJi__2219480337059-0-cib.jpg?v=1774067894","Open")</x:f>
        <x:v>HYPERLINK is not implemented. linkLocation=https://cdn.shopify.com/s/files/1/0918/6066/4603/files/O1CN01mtEHa32214tIsqDJi__2219480337059-0-cib.jpg?v=1774067894, friendlyName=Open</x:v>
      </x:c>
      <x:c r="C4426" s="24" t="e">
        <x:f>HYPERLINK("https://365nails.com/products/365nails-moonlight-magical-girl-handmade-cute-short-oval-press-on-nails-with-sailor-moon-design","365Nails: ""Moonlight Magical Girl"" – Handmade Cute Short Oval Press On Nails With Sailor Moon Design")</x:f>
        <x:v>HYPERLINK is not implemented. linkLocation=https://365nails.com/products/365nails-moonlight-magical-girl-handmade-cute-short-oval-press-on-nails-with-sailor-moon-design, friendlyName=365Nails: "Moonlight Magical Girl" – Handmade Cute Short Oval Press On Nails With Sailor Moon Design</x:v>
      </x:c>
      <x:c r="D4426" s="18" t="str">
        <x:v>Color: Sailor moon; Color classification: Xs (about 2 years old) / S (3-4 years old) / M (5-7 years old) / L (8-11 years old)</x:v>
      </x:c>
      <x:c r="E4426" s="25" t="str">
        <x:v>$2.99</x:v>
      </x:c>
      <x:c r="F4426" s="19" t="str">
        <x:v>3</x:v>
      </x:c>
    </x:row>
    <x:row r="4427" ht="93" customHeight="1">
      <x:c r="A4427" s="19" t="n">
        <x:v>4424</x:v>
      </x:c>
      <x:c r="B4427" s="22" t="e">
        <x:f>HYPERLINK("https://cdn.shopify.com/s/files/1/0918/6066/4603/files/ef4d73bd0341008e6b334a90e990a066.jpg?v=1775910706","Open")</x:f>
        <x:v>HYPERLINK is not implemented. linkLocation=https://cdn.shopify.com/s/files/1/0918/6066/4603/files/ef4d73bd0341008e6b334a90e990a066.jpg?v=1775910706, friendlyName=Open</x:v>
      </x:c>
      <x:c r="C4427" s="24" t="e">
        <x:f>HYPERLINK("https://365nails.com/products/365nails-cherry-picnic-3d-fruit-floral-handmade-short-nails","365nails: ""Cherry Picnic"" – 3D Fruit &amp; Floral Handmade Short Nails")</x:f>
        <x:v>HYPERLINK is not implemented. linkLocation=https://365nails.com/products/365nails-cherry-picnic-3d-fruit-floral-handmade-short-nails, friendlyName=365nails: "Cherry Picnic" – 3D Fruit &amp; Floral Handmade Short Nails</x:v>
      </x:c>
      <x:c r="D4427" s="18" t="str">
        <x:v>Size: XS / S / M / L</x:v>
      </x:c>
      <x:c r="E4427" s="25" t="str">
        <x:v>$3.99</x:v>
      </x:c>
      <x:c r="F4427" s="19" t="str">
        <x:v>5</x:v>
      </x:c>
    </x:row>
    <x:row r="4428" ht="93" customHeight="1">
      <x:c r="A4428" s="19" t="n">
        <x:v>4425</x:v>
      </x:c>
      <x:c r="B4428" s="22" t="e">
        <x:f>HYPERLINK("https://cdn.shopify.com/s/files/1/0918/6066/4603/files/c6b22f6ca4eb7d1242ee7451cdc926b9.jpg?v=1775909287","Open")</x:f>
        <x:v>HYPERLINK is not implemented. linkLocation=https://cdn.shopify.com/s/files/1/0918/6066/4603/files/c6b22f6ca4eb7d1242ee7451cdc926b9.jpg?v=1775909287, friendlyName=Open</x:v>
      </x:c>
      <x:c r="C4428" s="24" t="e">
        <x:f>HYPERLINK("https://365nails.com/products/365nails-golden-butterfly-dream-3d-butterfly-handmade-almond-nails","365nails: ""Golden Butterfly Dream"" – 3D Butterfly Handmade Almond Nails")</x:f>
        <x:v>HYPERLINK is not implemented. linkLocation=https://365nails.com/products/365nails-golden-butterfly-dream-3d-butterfly-handmade-almond-nails, friendlyName=365nails: "Golden Butterfly Dream" – 3D Butterfly Handmade Almond Nails</x:v>
      </x:c>
      <x:c r="D4428" s="18" t="str">
        <x:v>Size: XS / S / M / L</x:v>
      </x:c>
      <x:c r="E4428" s="25" t="str">
        <x:v>$3.99</x:v>
      </x:c>
      <x:c r="F4428" s="19" t="str">
        <x:v>5</x:v>
      </x:c>
    </x:row>
    <x:row r="4429" ht="93" customHeight="1">
      <x:c r="A4429" s="19" t="n">
        <x:v>4426</x:v>
      </x:c>
      <x:c r="B4429" s="22" t="e">
        <x:f>HYPERLINK("https://cdn.shopify.com/s/files/1/0918/6066/4603/files/O1CN01hj73dG2MQzew3dbXE__2219089449823-0-cib.jpg?v=1774452855","Open")</x:f>
        <x:v>HYPERLINK is not implemented. linkLocation=https://cdn.shopify.com/s/files/1/0918/6066/4603/files/O1CN01hj73dG2MQzew3dbXE__2219089449823-0-cib.jpg?v=1774452855, friendlyName=Open</x:v>
      </x:c>
      <x:c r="C4429" s="24" t="e">
        <x:f>HYPERLINK("https://365nails.com/products/tropical-bloom-orange-daisy-glow-almond-shape-handmade-press-ons","Tropical Bloom: ""Orange Daisy Glow"" – Almond Shape Handmade Press-Ons")</x:f>
        <x:v>HYPERLINK is not implemented. linkLocation=https://365nails.com/products/tropical-bloom-orange-daisy-glow-almond-shape-handmade-press-ons, friendlyName=Tropical Bloom: "Orange Daisy Glow" – Almond Shape Handmade Press-Ons</x:v>
      </x:c>
      <x:c r="D4429" s="18" t="str">
        <x:v>Color: D395; Color classification: X s / S / M / L</x:v>
      </x:c>
      <x:c r="E4429" s="25" t="str">
        <x:v>$3.49</x:v>
      </x:c>
      <x:c r="F4429" s="19" t="str">
        <x:v>1</x:v>
      </x:c>
    </x:row>
    <x:row r="4430" ht="93" customHeight="1">
      <x:c r="A4430" s="19" t="n">
        <x:v>4427</x:v>
      </x:c>
      <x:c r="B4430" s="22" t="e">
        <x:f>HYPERLINK("https://cdn.shopify.com/s/files/1/0918/6066/4603/files/f8cac9f3cd829e374745385e6882ec66.jpg?v=1778318449","Open")</x:f>
        <x:v>HYPERLINK is not implemented. linkLocation=https://cdn.shopify.com/s/files/1/0918/6066/4603/files/f8cac9f3cd829e374745385e6882ec66.jpg?v=1778318449, friendlyName=Open</x:v>
      </x:c>
      <x:c r="C4430" s="24" t="e">
        <x:f>HYPERLINK("https://365nails.com/products/365nails-frosty-opulence-3d-rhinestone-handmade-square-nails","365nails: ""Frosty Opulence"" – 3D Rhinestone Handmade Square Nails")</x:f>
        <x:v>HYPERLINK is not implemented. linkLocation=https://365nails.com/products/365nails-frosty-opulence-3d-rhinestone-handmade-square-nails, friendlyName=365nails: "Frosty Opulence" – 3D Rhinestone Handmade Square Nails</x:v>
      </x:c>
      <x:c r="D4430" s="18" t="str">
        <x:v>Size: XS / S / M / L</x:v>
      </x:c>
      <x:c r="E4430" s="25" t="str">
        <x:v>$3.99</x:v>
      </x:c>
      <x:c r="F4430" s="19" t="str">
        <x:v>5</x:v>
      </x:c>
    </x:row>
    <x:row r="4431" ht="93" customHeight="1">
      <x:c r="A4431" s="19" t="n">
        <x:v>4428</x:v>
      </x:c>
      <x:c r="B4431" s="22" t="e">
        <x:f>HYPERLINK("https://cdn.shopify.com/s/files/1/0918/6066/4603/files/O1CN013HBGp11CPwIasYZgk__2213196780074-0-cib.jpg?v=1774603324","Open")</x:f>
        <x:v>HYPERLINK is not implemented. linkLocation=https://cdn.shopify.com/s/files/1/0918/6066/4603/files/O1CN013HBGp11CPwIasYZgk__2213196780074-0-cib.jpg?v=1774603324, friendlyName=Open</x:v>
      </x:c>
      <x:c r="C4431" s="24" t="e">
        <x:f>HYPERLINK("https://365nails.com/products/365nails-blue-lagoon-ice-blue-cat-eye-3d-flower-short-square-nails","365nails: ""Blue Lagoon"" – Ice Blue Cat Eye &amp; 3D Flower Short Square Nails")</x:f>
        <x:v>HYPERLINK is not implemented. linkLocation=https://365nails.com/products/365nails-blue-lagoon-ice-blue-cat-eye-3d-flower-short-square-nails, friendlyName=365nails: "Blue Lagoon" – Ice Blue Cat Eye &amp; 3D Flower Short Square Nails</x:v>
      </x:c>
      <x:c r="D4431" s="18" t="str">
        <x:v>Color: 2277-super short ladder; Color classification: Extra small size xs / Small s / Medium m / Large l</x:v>
      </x:c>
      <x:c r="E4431" s="25" t="str">
        <x:v>$3.99</x:v>
      </x:c>
      <x:c r="F4431" s="19" t="str">
        <x:v>1</x:v>
      </x:c>
    </x:row>
    <x:row r="4432" ht="93" customHeight="1">
      <x:c r="A4432" s="19" t="n">
        <x:v>4429</x:v>
      </x:c>
      <x:c r="B4432" s="22" t="e">
        <x:f>HYPERLINK("https://cdn.shopify.com/s/files/1/0918/6066/4603/files/O1CN01NcSFuz2MQzfPapnnq__2219089449823-0-cib.jpg?v=1774452942","Open")</x:f>
        <x:v>HYPERLINK is not implemented. linkLocation=https://cdn.shopify.com/s/files/1/0918/6066/4603/files/O1CN01NcSFuz2MQzfPapnnq__2219089449823-0-cib.jpg?v=1774452942, friendlyName=Open</x:v>
      </x:c>
      <x:c r="C4432" s="24" t="e">
        <x:f>HYPERLINK("https://365nails.com/products/sweetheart-romance-strawberry-bow-heart-almond-shape-handmade-press-ons","Sweetheart Romance: ""Strawberry Bow Heart"" – Almond Shape Handmade Press-Ons")</x:f>
        <x:v>HYPERLINK is not implemented. linkLocation=https://365nails.com/products/sweetheart-romance-strawberry-bow-heart-almond-shape-handmade-press-ons, friendlyName=Sweetheart Romance: "Strawberry Bow Heart" – Almond Shape Handmade Press-Ons</x:v>
      </x:c>
      <x:c r="D4432" s="18" t="str">
        <x:v>Color: C 441; Color classification: X s / S / M / L</x:v>
      </x:c>
      <x:c r="E4432" s="25" t="str">
        <x:v>$3.49</x:v>
      </x:c>
      <x:c r="F4432" s="19" t="str">
        <x:v>1</x:v>
      </x:c>
    </x:row>
    <x:row r="4433" ht="93" customHeight="1">
      <x:c r="A4433" s="19" t="n">
        <x:v>4430</x:v>
      </x:c>
      <x:c r="B4433" s="22" t="e">
        <x:f>HYPERLINK("https://cdn.shopify.com/s/files/1/0918/6066/4603/files/O1CN01n0cxNq2214sWpkPlR__2219480337059-0-cib.jpg?v=1774070008","Open")</x:f>
        <x:v>HYPERLINK is not implemented. linkLocation=https://cdn.shopify.com/s/files/1/0918/6066/4603/files/O1CN01n0cxNq2214sWpkPlR__2219480337059-0-cib.jpg?v=1774070008, friendlyName=Open</x:v>
      </x:c>
      <x:c r="C4433" s="24" t="e">
        <x:f>HYPERLINK("https://365nails.com/products/365nails-bunny-carrot-garden-handmade-cute-short-oval-press-on-nails","365Nails: ""Bunny Carrot Garden"" – Handmade Cute Short Oval Press On Nails")</x:f>
        <x:v>HYPERLINK is not implemented. linkLocation=https://365nails.com/products/365nails-bunny-carrot-garden-handmade-cute-short-oval-press-on-nails, friendlyName=365Nails: "Bunny Carrot Garden" – Handmade Cute Short Oval Press On Nails</x:v>
      </x:c>
      <x:c r="D4433" s="18" t="str">
        <x:v>Color: Carrot rabbit; Color classification: Xs (about 2 years old) / S (3-4 years old) / M (5-7 years old) / L (8-11 years old)</x:v>
      </x:c>
      <x:c r="E4433" s="25" t="str">
        <x:v>$2.99</x:v>
      </x:c>
      <x:c r="F4433" s="19" t="str">
        <x:v>3</x:v>
      </x:c>
    </x:row>
    <x:row r="4434" ht="93" customHeight="1">
      <x:c r="A4434" s="19" t="n">
        <x:v>4431</x:v>
      </x:c>
      <x:c r="B4434" s="22" t="e">
        <x:f>HYPERLINK("https://cdn.shopify.com/s/files/1/0918/6066/4603/files/48b43e348f604b3e25dad50da9954a3e.jpg?v=1776173321","Open")</x:f>
        <x:v>HYPERLINK is not implemented. linkLocation=https://cdn.shopify.com/s/files/1/0918/6066/4603/files/48b43e348f604b3e25dad50da9954a3e.jpg?v=1776173321, friendlyName=Open</x:v>
      </x:c>
      <x:c r="C4434" s="24" t="e">
        <x:f>HYPERLINK("https://365nails.com/products/365nails-candy-land-dreams-3d-pastel-character-star-handmade-short-square-nails","365nails: ""Candy Land Dreams"" – 3D Pastel Character &amp; Star Handmade Short Square Nails")</x:f>
        <x:v>HYPERLINK is not implemented. linkLocation=https://365nails.com/products/365nails-candy-land-dreams-3d-pastel-character-star-handmade-short-square-nails, friendlyName=365nails: "Candy Land Dreams" – 3D Pastel Character &amp; Star Handmade Short Square Nails</x:v>
      </x:c>
      <x:c r="D4434" s="18" t="str">
        <x:v>Size: XS / S / M / L</x:v>
      </x:c>
      <x:c r="E4434" s="25" t="str">
        <x:v>$1.99</x:v>
      </x:c>
      <x:c r="F4434" s="19" t="str">
        <x:v>3</x:v>
      </x:c>
    </x:row>
    <x:row r="4435" ht="93" customHeight="1">
      <x:c r="A4435" s="19" t="n">
        <x:v>4432</x:v>
      </x:c>
      <x:c r="B4435" s="22" t="e">
        <x:f>HYPERLINK("https://cdn.shopify.com/s/files/1/0918/6066/4603/files/O1CN01DnKyFx27ZUlzItDrT__2220024697811-0-cib.jpg?v=1775107244","Open")</x:f>
        <x:v>HYPERLINK is not implemented. linkLocation=https://cdn.shopify.com/s/files/1/0918/6066/4603/files/O1CN01DnKyFx27ZUlzItDrT__2220024697811-0-cib.jpg?v=1775107244, friendlyName=Open</x:v>
      </x:c>
      <x:c r="C4435" s="24" t="e">
        <x:f>HYPERLINK("https://365nails.com/products/365nails-y2k-safari-3d-character-leopard-print-handmade-short-square-nails","365nails: ""Y2K Safari"" – 3D Character &amp; Leopard Print Handmade Short Square Nails")</x:f>
        <x:v>HYPERLINK is not implemented. linkLocation=https://365nails.com/products/365nails-y2k-safari-3d-character-leopard-print-handmade-short-square-nails, friendlyName=365nails: "Y2K Safari" – 3D Character &amp; Leopard Print Handmade Short Square Nails</x:v>
      </x:c>
      <x:c r="D4435" s="18" t="str">
        <x:v>Color: Right angle; Color classification: Xs / S / M / L</x:v>
      </x:c>
      <x:c r="E4435" s="25" t="str">
        <x:v>$4.99</x:v>
      </x:c>
      <x:c r="F4435" s="19" t="str">
        <x:v>3</x:v>
      </x:c>
    </x:row>
    <x:row r="4436" ht="93" customHeight="1">
      <x:c r="A4436" s="19" t="n">
        <x:v>4433</x:v>
      </x:c>
      <x:c r="B4436" s="22" t="e">
        <x:f>HYPERLINK("https://cdn.shopify.com/s/files/1/0918/6066/4603/files/O1CN01PUia2H2MQzfEdinxP__2219089449823-0-cib.jpg?v=1774452921","Open")</x:f>
        <x:v>HYPERLINK is not implemented. linkLocation=https://cdn.shopify.com/s/files/1/0918/6066/4603/files/O1CN01PUia2H2MQzfEdinxP__2219089449823-0-cib.jpg?v=1774452921, friendlyName=Open</x:v>
      </x:c>
      <x:c r="C4436" s="24" t="e">
        <x:f>HYPERLINK("https://365nails.com/products/ocean-bloom-seashell-lily-glow-short-square-handmade-press-ons","Ocean Bloom: ""Seashell Lily Glow"" – Short Square Handmade Press-Ons")</x:f>
        <x:v>HYPERLINK is not implemented. linkLocation=https://365nails.com/products/ocean-bloom-seashell-lily-glow-short-square-handmade-press-ons, friendlyName=Ocean Bloom: "Seashell Lily Glow" – Short Square Handmade Press-Ons</x:v>
      </x:c>
      <x:c r="D4436" s="18" t="str">
        <x:v>Color: L292; Color classification: X s / S / M / L</x:v>
      </x:c>
      <x:c r="E4436" s="25" t="str">
        <x:v>$4.99</x:v>
      </x:c>
      <x:c r="F4436" s="19" t="str">
        <x:v>1</x:v>
      </x:c>
    </x:row>
    <x:row r="4437" ht="93" customHeight="1">
      <x:c r="A4437" s="19" t="n">
        <x:v>4434</x:v>
      </x:c>
      <x:c r="B4437" s="22" t="e">
        <x:f>HYPERLINK("https://cdn.shopify.com/s/files/1/0918/6066/4603/files/O1CN01rpa3F91CPwIodkW7u__2213196780074-0-cib.jpg?v=1774603432","Open")</x:f>
        <x:v>HYPERLINK is not implemented. linkLocation=https://cdn.shopify.com/s/files/1/0918/6066/4603/files/O1CN01rpa3F91CPwIodkW7u__2213196780074-0-cib.jpg?v=1774603432, friendlyName=Open</x:v>
      </x:c>
      <x:c r="C4437" s="24" t="e">
        <x:f>HYPERLINK("https://365nails.com/products/365nails-golden-splendor-glitter-cat-eye-3d-flower-square-nails","365nails: ""Golden Splendor"" – Glitter Cat Eye &amp; 3D Flower Square Nails")</x:f>
        <x:v>HYPERLINK is not implemented. linkLocation=https://365nails.com/products/365nails-golden-splendor-glitter-cat-eye-3d-flower-square-nails, friendlyName=365nails: "Golden Splendor" – Glitter Cat Eye &amp; 3D Flower Square Nails</x:v>
      </x:c>
      <x:c r="D4437" s="18" t="str">
        <x:v>Color: 2390-ultra short ladder / 2392 - medium oval; Color classification: Extra small size xs / Small s / Medium m / Large l</x:v>
      </x:c>
      <x:c r="E4437" s="25" t="str">
        <x:v>$3.99</x:v>
      </x:c>
      <x:c r="F4437" s="19" t="str">
        <x:v>1</x:v>
      </x:c>
    </x:row>
    <x:row r="4438" ht="93" customHeight="1">
      <x:c r="A4438" s="19" t="n">
        <x:v>4435</x:v>
      </x:c>
      <x:c r="B4438" s="22" t="e">
        <x:f>HYPERLINK("https://cdn.shopify.com/s/files/1/0918/6066/4603/files/3b0904a316b36bd0de3bfb0290b2e7f2.jpg?v=1773908258","Open")</x:f>
        <x:v>HYPERLINK is not implemented. linkLocation=https://cdn.shopify.com/s/files/1/0918/6066/4603/files/3b0904a316b36bd0de3bfb0290b2e7f2.jpg?v=1773908258, friendlyName=Open</x:v>
      </x:c>
      <x:c r="C4438" s="24" t="e">
        <x:f>HYPERLINK("https://365nails.com/products/365nails-dark-rose-mirage-handmade-press-on-nails-gothic-romantic-y2k-trend","365Nails: ""Dark Rose Mirage"" – handmade press-on nails (Gothic Romantic/Y2K Trend)")</x:f>
        <x:v>HYPERLINK is not implemented. linkLocation=https://365nails.com/products/365nails-dark-rose-mirage-handmade-press-on-nails-gothic-romantic-y2k-trend, friendlyName=365Nails: "Dark Rose Mirage" – handmade press-on nails (Gothic Romantic/Y2K Trend)</x:v>
      </x:c>
      <x:c r="D4438" s="18" t="str">
        <x:v>Size: XS / S / M / L</x:v>
      </x:c>
      <x:c r="E4438" s="25" t="str">
        <x:v>$3.99</x:v>
      </x:c>
      <x:c r="F4438" s="19" t="str">
        <x:v>5</x:v>
      </x:c>
    </x:row>
    <x:row r="4439" ht="93" customHeight="1">
      <x:c r="A4439" s="19" t="n">
        <x:v>4436</x:v>
      </x:c>
      <x:c r="B4439" s="22" t="e">
        <x:f>HYPERLINK("https://cdn.shopify.com/s/files/1/0918/6066/4603/files/O1CN0106Fnam1CPwJPLNj6N__2213196780074-0-cib_18b1ac6d-1449-43e9-a086-c06fd6966d08.jpg?v=1777016999","Open")</x:f>
        <x:v>HYPERLINK is not implemented. linkLocation=https://cdn.shopify.com/s/files/1/0918/6066/4603/files/O1CN0106Fnam1CPwJPLNj6N__2213196780074-0-cib_18b1ac6d-1449-43e9-a086-c06fd6966d08.jpg?v=1777016999, friendlyName=Open</x:v>
      </x:c>
      <x:c r="C4439" s="24" t="e">
        <x:f>HYPERLINK("https://365nails.com/products/365nails-sweet-toon-3d-black-outline-glitter-cat-eye-handmade-almond-nails","365nails: ""Sweet Toon"" – 3D Black Outline &amp; Glitter Cat Eye Handmade Almond Nails")</x:f>
        <x:v>HYPERLINK is not implemented. linkLocation=https://365nails.com/products/365nails-sweet-toon-3d-black-outline-glitter-cat-eye-handmade-almond-nails, friendlyName=365nails: "Sweet Toon" – 3D Black Outline &amp; Glitter Cat Eye Handmade Almond Nails</x:v>
      </x:c>
      <x:c r="D4439" s="18" t="str">
        <x:v>Color: Extra small size xs / Small s / Medium m / Large l; Specification type: 121-extra long ladder</x:v>
      </x:c>
      <x:c r="E4439" s="25" t="str">
        <x:v>$4.99</x:v>
      </x:c>
      <x:c r="F4439" s="19" t="str">
        <x:v>1</x:v>
      </x:c>
    </x:row>
    <x:row r="4440" ht="93" customHeight="1">
      <x:c r="A4440" s="19" t="n">
        <x:v>4437</x:v>
      </x:c>
      <x:c r="B4440" s="22" t="e">
        <x:f>HYPERLINK("https://cdn.shopify.com/s/files/1/0918/6066/4603/files/abeedfa015be6652e7536e472d5a725d.jpg?v=1776152074","Open")</x:f>
        <x:v>HYPERLINK is not implemented. linkLocation=https://cdn.shopify.com/s/files/1/0918/6066/4603/files/abeedfa015be6652e7536e472d5a725d.jpg?v=1776152074, friendlyName=Open</x:v>
      </x:c>
      <x:c r="C4440" s="24" t="e">
        <x:f>HYPERLINK("https://365nails.com/products/365nails-cherry-pudding-pop-3d-fruit-pudding-handmade-short-square-nails","365nails: ""Cherry Pudding Pop"" – 3D Fruit &amp; Pudding Handmade Short Square Nails")</x:f>
        <x:v>HYPERLINK is not implemented. linkLocation=https://365nails.com/products/365nails-cherry-pudding-pop-3d-fruit-pudding-handmade-short-square-nails, friendlyName=365nails: "Cherry Pudding Pop" – 3D Fruit &amp; Pudding Handmade Short Square Nails</x:v>
      </x:c>
      <x:c r="D4440" s="18" t="str">
        <x:v>Size: XS / S / M / L</x:v>
      </x:c>
      <x:c r="E4440" s="25" t="str">
        <x:v>$1.99</x:v>
      </x:c>
      <x:c r="F4440" s="19" t="str">
        <x:v>3</x:v>
      </x:c>
    </x:row>
    <x:row r="4441" ht="93" customHeight="1">
      <x:c r="A4441" s="19" t="n">
        <x:v>4438</x:v>
      </x:c>
      <x:c r="B4441" s="22" t="e">
        <x:f>HYPERLINK("https://cdn.shopify.com/s/files/1/0918/6066/4603/files/O1CN01SE7eYA2MQzdzPIuWP__2219089449823-0-cib.jpg?v=1774096990","Open")</x:f>
        <x:v>HYPERLINK is not implemented. linkLocation=https://cdn.shopify.com/s/files/1/0918/6066/4603/files/O1CN01SE7eYA2MQzdzPIuWP__2219089449823-0-cib.jpg?v=1774096990, friendlyName=Open</x:v>
      </x:c>
      <x:c r="C4441" s="24" t="e">
        <x:f>HYPERLINK("https://365nails.com/products/cloud-dream-sky-blossom-almond-press-ons","Cloud Dream: ""Sky Blossom"" – Almond Press-Ons")</x:f>
        <x:v>HYPERLINK is not implemented. linkLocation=https://365nails.com/products/cloud-dream-sky-blossom-almond-press-ons, friendlyName=Cloud Dream: "Sky Blossom" – Almond Press-Ons</x:v>
      </x:c>
      <x:c r="D4441" s="18" t="str">
        <x:v>Color: D416; Color classification: X s / S / M / L</x:v>
      </x:c>
      <x:c r="E4441" s="25" t="str">
        <x:v>$3.99</x:v>
      </x:c>
      <x:c r="F4441" s="19" t="str">
        <x:v>1</x:v>
      </x:c>
    </x:row>
    <x:row r="4442" ht="93" customHeight="1">
      <x:c r="A4442" s="19" t="n">
        <x:v>4439</x:v>
      </x:c>
      <x:c r="B4442" s="22" t="e">
        <x:f>HYPERLINK("https://cdn.shopify.com/s/files/1/0918/6066/4603/files/O1CN01whtw5O27ZUlD5GO2Z__2220024697811-0-cib.jpg?v=1775114284","Open")</x:f>
        <x:v>HYPERLINK is not implemented. linkLocation=https://cdn.shopify.com/s/files/1/0918/6066/4603/files/O1CN01whtw5O27ZUlD5GO2Z__2220024697811-0-cib.jpg?v=1775114284, friendlyName=Open</x:v>
      </x:c>
      <x:c r="C4442" s="24" t="e">
        <x:f>HYPERLINK("https://365nails.com/products/365nails-midnight-bloom-3d-butterfly-crystal-french-tip-handmade-short-square-nails","365nails: ""Midnight Bloom"" – 3D Butterfly &amp; Crystal French Tip Handmade Short Square Nails")</x:f>
        <x:v>HYPERLINK is not implemented. linkLocation=https://365nails.com/products/365nails-midnight-bloom-3d-butterfly-crystal-french-tip-handmade-short-square-nails, friendlyName=365nails: "Midnight Bloom" – 3D Butterfly &amp; Crystal French Tip Handmade Short Square Nails</x:v>
      </x:c>
      <x:c r="D4442" s="18" t="str">
        <x:v>Color: Duckbill; Color classification: Xs / S / M / L</x:v>
      </x:c>
      <x:c r="E4442" s="25" t="str">
        <x:v>$4.49</x:v>
      </x:c>
      <x:c r="F4442" s="19" t="str">
        <x:v>3</x:v>
      </x:c>
    </x:row>
    <x:row r="4443" ht="93" customHeight="1">
      <x:c r="A4443" s="19" t="n">
        <x:v>4440</x:v>
      </x:c>
      <x:c r="B4443" s="22" t="e">
        <x:f>HYPERLINK("https://cdn.shopify.com/s/files/1/0918/6066/4603/files/O1CN01gHhrmh1CPwKa4lkfR__2213196780074-0-cib.jpg?v=1776600313","Open")</x:f>
        <x:v>HYPERLINK is not implemented. linkLocation=https://cdn.shopify.com/s/files/1/0918/6066/4603/files/O1CN01gHhrmh1CPwKa4lkfR__2213196780074-0-cib.jpg?v=1776600313, friendlyName=Open</x:v>
      </x:c>
      <x:c r="C4443" s="24" t="e">
        <x:f>HYPERLINK("https://365nails.com/products/365nails-crimson-fireworks-3d-gem-french-tip-handmade-short-square-nails","365nails: ""Crimson Fireworks"" – 3D Gem &amp; French Tip Handmade Short Square Nails")</x:f>
        <x:v>HYPERLINK is not implemented. linkLocation=https://365nails.com/products/365nails-crimson-fireworks-3d-gem-french-tip-handmade-short-square-nails, friendlyName=365nails: "Crimson Fireworks" – 3D Gem &amp; French Tip Handmade Short Square Nails</x:v>
      </x:c>
      <x:c r="D4443" s="18" t="str">
        <x:v>Color: Extra small size xs / Small s / Medium m / Large l; Specification type: 2737-short oval / 2741-short ladder</x:v>
      </x:c>
      <x:c r="E4443" s="25" t="str">
        <x:v>$3.49</x:v>
      </x:c>
      <x:c r="F4443" s="19" t="str">
        <x:v>1</x:v>
      </x:c>
    </x:row>
    <x:row r="4444" ht="93" customHeight="1">
      <x:c r="A4444" s="19" t="n">
        <x:v>4441</x:v>
      </x:c>
      <x:c r="B4444" s="22" t="e">
        <x:f>HYPERLINK("https://cdn.shopify.com/s/files/1/0918/6066/4603/files/O1CN01Z2vQxh1CPwRJvK3uP__2213196780074-0-cib.jpg?v=1776054816","Open")</x:f>
        <x:v>HYPERLINK is not implemented. linkLocation=https://cdn.shopify.com/s/files/1/0918/6066/4603/files/O1CN01Z2vQxh1CPwRJvK3uP__2213196780074-0-cib.jpg?v=1776054816, friendlyName=Open</x:v>
      </x:c>
      <x:c r="C4444" s="24" t="e">
        <x:f>HYPERLINK("https://365nails.com/products/365nails-iridescent-reverie-3d-butterfly-pearl-handmade-press-on-nails-short-square-nails","365nails: ""Iridescent Reverie"" – 3D Butterfly &amp; Pearl Handmade Press on Nails Short Square Nails")</x:f>
        <x:v>HYPERLINK is not implemented. linkLocation=https://365nails.com/products/365nails-iridescent-reverie-3d-butterfly-pearl-handmade-press-on-nails-short-square-nails, friendlyName=365nails: "Iridescent Reverie" – 3D Butterfly &amp; Pearl Handmade Press on Nails Short Square Nails</x:v>
      </x:c>
      <x:c r="D4444" s="18" t="str">
        <x:v>Color: K8-short duckbill; Color classification: Extra small size xs / Small s / Medium m / Large l</x:v>
      </x:c>
      <x:c r="E4444" s="25" t="str">
        <x:v>$3.99</x:v>
      </x:c>
      <x:c r="F4444" s="19" t="str">
        <x:v>1</x:v>
      </x:c>
    </x:row>
    <x:row r="4445" ht="93" customHeight="1">
      <x:c r="A4445" s="19" t="n">
        <x:v>4442</x:v>
      </x:c>
      <x:c r="B4445" s="22" t="e">
        <x:f>HYPERLINK("https://cdn.shopify.com/s/files/1/0918/6066/4603/files/O1CN01tviop12MQzePwa4Xf__2219089449823-0-cib.jpg?v=1774178625","Open")</x:f>
        <x:v>HYPERLINK is not implemented. linkLocation=https://cdn.shopify.com/s/files/1/0918/6066/4603/files/O1CN01tviop12MQzePwa4Xf__2219089449823-0-cib.jpg?v=1774178625, friendlyName=Open</x:v>
      </x:c>
      <x:c r="C4445" s="24" t="e">
        <x:f>HYPERLINK("https://365nails.com/products/autumn-kitty-series-mocha-plaid-kitty-short-round-handmade-press-on-nails","Autumn Kitty Series: ""Mocha Plaid Kitty"" – Short Round Handmade Press-on Nails")</x:f>
        <x:v>HYPERLINK is not implemented. linkLocation=https://365nails.com/products/autumn-kitty-series-mocha-plaid-kitty-short-round-handmade-press-on-nails, friendlyName=Autumn Kitty Series: "Mocha Plaid Kitty" – Short Round Handmade Press-on Nails</x:v>
      </x:c>
      <x:c r="D4445" s="18" t="str">
        <x:v>Color: (e26) milk hat cat with a short square circle; Color classification: X s / S / M / L</x:v>
      </x:c>
      <x:c r="E4445" s="25" t="str">
        <x:v>$3.49</x:v>
      </x:c>
      <x:c r="F4445" s="19" t="str">
        <x:v>1</x:v>
      </x:c>
    </x:row>
    <x:row r="4446" ht="93" customHeight="1">
      <x:c r="A4446" s="19" t="n">
        <x:v>4443</x:v>
      </x:c>
      <x:c r="B4446" s="22" t="e">
        <x:f>HYPERLINK("https://cdn.shopify.com/s/files/1/0918/6066/4603/files/9f9b32d9fb952c65dc6ba82642b89e6f.jpg?v=1773306453","Open")</x:f>
        <x:v>HYPERLINK is not implemented. linkLocation=https://cdn.shopify.com/s/files/1/0918/6066/4603/files/9f9b32d9fb952c65dc6ba82642b89e6f.jpg?v=1773306453, friendlyName=Open</x:v>
      </x:c>
      <x:c r="C4446" s="24" t="e">
        <x:f>HYPERLINK("https://365nails.com/products/365nails-lemon-green-dewdrop-handmade-press-on-toenails-pedicure","365nails: ""lemon green dewdrop"" – handmade press-on toenails / pedicure")</x:f>
        <x:v>HYPERLINK is not implemented. linkLocation=https://365nails.com/products/365nails-lemon-green-dewdrop-handmade-press-on-toenails-pedicure, friendlyName=365nails: "lemon green dewdrop" – handmade press-on toenails / pedicure</x:v>
      </x:c>
      <x:c r="D4446" s="18" t="str">
        <x:v>Size: XS / S / M / L</x:v>
      </x:c>
      <x:c r="E4446" s="25" t="str">
        <x:v>$3.99</x:v>
      </x:c>
      <x:c r="F4446" s="19" t="str">
        <x:v>3</x:v>
      </x:c>
    </x:row>
    <x:row r="4447" ht="93" customHeight="1">
      <x:c r="A4447" s="19" t="n">
        <x:v>4444</x:v>
      </x:c>
      <x:c r="B4447" s="22" t="e">
        <x:f>HYPERLINK("https://cdn.shopify.com/s/files/1/0918/6066/4603/files/9166957560ff45dad2ee4638d77c21b5.jpg?v=1776152390","Open")</x:f>
        <x:v>HYPERLINK is not implemented. linkLocation=https://cdn.shopify.com/s/files/1/0918/6066/4603/files/9166957560ff45dad2ee4638d77c21b5.jpg?v=1776152390, friendlyName=Open</x:v>
      </x:c>
      <x:c r="C4447" s="24" t="e">
        <x:f>HYPERLINK("https://365nails.com/products/365nails-candy-land-monsters-3d-googly-eye-handmade-short-square-nails","365nails: ""Candy Land Monsters"" – 3D Googly Eye Handmade Short Square Nails")</x:f>
        <x:v>HYPERLINK is not implemented. linkLocation=https://365nails.com/products/365nails-candy-land-monsters-3d-googly-eye-handmade-short-square-nails, friendlyName=365nails: "Candy Land Monsters" – 3D Googly Eye Handmade Short Square Nails</x:v>
      </x:c>
      <x:c r="D4447" s="18" t="str">
        <x:v>Size: XS / S / M / L</x:v>
      </x:c>
      <x:c r="E4447" s="25" t="str">
        <x:v>$1.99</x:v>
      </x:c>
      <x:c r="F4447" s="19" t="str">
        <x:v>3</x:v>
      </x:c>
    </x:row>
    <x:row r="4448" ht="93" customHeight="1">
      <x:c r="A4448" s="19" t="n">
        <x:v>4445</x:v>
      </x:c>
      <x:c r="B4448" s="22" t="e">
        <x:f>HYPERLINK("https://cdn.shopify.com/s/files/1/0918/6066/4603/files/2e4eb1520e28b814e9573c824c968b0a.jpg?v=1778315394","Open")</x:f>
        <x:v>HYPERLINK is not implemented. linkLocation=https://cdn.shopify.com/s/files/1/0918/6066/4603/files/2e4eb1520e28b814e9573c824c968b0a.jpg?v=1778315394, friendlyName=Open</x:v>
      </x:c>
      <x:c r="C4448" s="24" t="e">
        <x:f>HYPERLINK("https://365nails.com/products/365nails-velvet-rose-3d-floral-french-tip-handmade-medium-square-nails","365nails: ""Velvet Rose"" – 3D Floral French Tip Handmade Medium Square Nails")</x:f>
        <x:v>HYPERLINK is not implemented. linkLocation=https://365nails.com/products/365nails-velvet-rose-3d-floral-french-tip-handmade-medium-square-nails, friendlyName=365nails: "Velvet Rose" – 3D Floral French Tip Handmade Medium Square Nails</x:v>
      </x:c>
      <x:c r="D4448" s="18" t="str">
        <x:v>Size: XS / S / M / L</x:v>
      </x:c>
      <x:c r="E4448" s="25" t="str">
        <x:v>$3.99</x:v>
      </x:c>
      <x:c r="F4448" s="19" t="str">
        <x:v>5</x:v>
      </x:c>
    </x:row>
    <x:row r="4449" ht="93" customHeight="1">
      <x:c r="A4449" s="19" t="n">
        <x:v>4446</x:v>
      </x:c>
      <x:c r="B4449" s="22" t="e">
        <x:f>HYPERLINK("https://cdn.shopify.com/s/files/1/0918/6066/4603/files/51f71678a14847af13d868fefeb65ab9.jpg?v=1776324308","Open")</x:f>
        <x:v>HYPERLINK is not implemented. linkLocation=https://cdn.shopify.com/s/files/1/0918/6066/4603/files/51f71678a14847af13d868fefeb65ab9.jpg?v=1776324308, friendlyName=Open</x:v>
      </x:c>
      <x:c r="C4449" s="24" t="e">
        <x:f>HYPERLINK("https://365nails.com/products/365nails-candyland-cuties-3d-cartoon-character-short-square-nails","365nails: ""Candyland Cuties"" – 3D Cartoon Character Short Square Nails")</x:f>
        <x:v>HYPERLINK is not implemented. linkLocation=https://365nails.com/products/365nails-candyland-cuties-3d-cartoon-character-short-square-nails, friendlyName=365nails: "Candyland Cuties" – 3D Cartoon Character Short Square Nails</x:v>
      </x:c>
      <x:c r="D4449" s="18" t="str">
        <x:v>Size: XS / S / M / L</x:v>
      </x:c>
      <x:c r="E4449" s="25" t="str">
        <x:v>$3.99</x:v>
      </x:c>
      <x:c r="F4449" s="19" t="str">
        <x:v>5</x:v>
      </x:c>
    </x:row>
    <x:row r="4450" ht="93" customHeight="1">
      <x:c r="A4450" s="19" t="n">
        <x:v>4447</x:v>
      </x:c>
      <x:c r="B4450" s="22" t="e">
        <x:f>HYPERLINK("https://cdn.shopify.com/s/files/1/0918/6066/4603/files/d09c4eac402141bc3cf0855836a52014.jpg?v=1778244828","Open")</x:f>
        <x:v>HYPERLINK is not implemented. linkLocation=https://cdn.shopify.com/s/files/1/0918/6066/4603/files/d09c4eac402141bc3cf0855836a52014.jpg?v=1778244828, friendlyName=Open</x:v>
      </x:c>
      <x:c r="C4450" s="24" t="e">
        <x:f>HYPERLINK("https://365nails.com/products/365nails-midnight-bloom-3d-butterfly-rhinestone-handmade-stiletto-nails","365nails: ""Midnight Bloom"" – 3D Butterfly &amp; Rhinestone Handmade Stiletto Nails")</x:f>
        <x:v>HYPERLINK is not implemented. linkLocation=https://365nails.com/products/365nails-midnight-bloom-3d-butterfly-rhinestone-handmade-stiletto-nails, friendlyName=365nails: "Midnight Bloom" – 3D Butterfly &amp; Rhinestone Handmade Stiletto Nails</x:v>
      </x:c>
      <x:c r="D4450" s="18" t="str">
        <x:v>Size: XS / S / M / L</x:v>
      </x:c>
      <x:c r="E4450" s="25" t="str">
        <x:v>$3.99</x:v>
      </x:c>
      <x:c r="F4450" s="19" t="str">
        <x:v>5</x:v>
      </x:c>
    </x:row>
    <x:row r="4451" ht="93" customHeight="1">
      <x:c r="A4451" s="19" t="n">
        <x:v>4448</x:v>
      </x:c>
      <x:c r="B4451" s="22" t="e">
        <x:f>HYPERLINK("https://cdn.shopify.com/s/files/1/0918/6066/4603/files/bd4a2fe49df7324eee465feed0888926.jpg?v=1776417017","Open")</x:f>
        <x:v>HYPERLINK is not implemented. linkLocation=https://cdn.shopify.com/s/files/1/0918/6066/4603/files/bd4a2fe49df7324eee465feed0888926.jpg?v=1776417017, friendlyName=Open</x:v>
      </x:c>
      <x:c r="C4451" s="24" t="e">
        <x:f>HYPERLINK("https://365nails.com/products/365nails-lilac-mist-3d-floral-handmade-medium-almond-nails","365nails: ""Lilac Mist"" – 3D Floral Handmade Medium Almond Nails")</x:f>
        <x:v>HYPERLINK is not implemented. linkLocation=https://365nails.com/products/365nails-lilac-mist-3d-floral-handmade-medium-almond-nails, friendlyName=365nails: "Lilac Mist" – 3D Floral Handmade Medium Almond Nails</x:v>
      </x:c>
      <x:c r="D4451" s="18" t="str">
        <x:v>Size: XS / S / M / L</x:v>
      </x:c>
      <x:c r="E4451" s="25" t="str">
        <x:v>$3.99</x:v>
      </x:c>
      <x:c r="F4451" s="19" t="str">
        <x:v>5</x:v>
      </x:c>
    </x:row>
    <x:row r="4452" ht="93" customHeight="1">
      <x:c r="A4452" s="19" t="n">
        <x:v>4449</x:v>
      </x:c>
      <x:c r="B4452" s="22" t="e">
        <x:f>HYPERLINK("https://cdn.shopify.com/s/files/1/0918/6066/4603/files/O1CN01wBJwAn2214tXoEiaA__2219480337059-0-cib_656a67b0-a8ac-454e-af04-2f76e21a66e2.jpg?v=1774070256","Open")</x:f>
        <x:v>HYPERLINK is not implemented. linkLocation=https://cdn.shopify.com/s/files/1/0918/6066/4603/files/O1CN01wBJwAn2214tXoEiaA__2219480337059-0-cib_656a67b0-a8ac-454e-af04-2f76e21a66e2.jpg?v=1774070256, friendlyName=Open</x:v>
      </x:c>
      <x:c r="C4452" s="24" t="e">
        <x:f>HYPERLINK("https://365nails.com/products/365nails-labubu-pink-ribbon-dream-handmade-cute-short-oval-press-on-nails-with-labubu-bow-design","365Nails: ""Labubu Pink Ribbon Dream"" – Handmade Cute Short Oval Press On Nails With Labubu &amp; Bow Design")</x:f>
        <x:v>HYPERLINK is not implemented. linkLocation=https://365nails.com/products/365nails-labubu-pink-ribbon-dream-handmade-cute-short-oval-press-on-nails-with-labubu-bow-design, friendlyName=365Nails: "Labubu Pink Ribbon Dream" – Handmade Cute Short Oval Press On Nails With Labubu &amp; Bow Design</x:v>
      </x:c>
      <x:c r="D4452" s="18" t="str">
        <x:v>Color: Pull the ribbon; Color classification: Xs (about 2 years old) / S (3-4 years old) / M (5-7 years old) / L (8-11 years old)</x:v>
      </x:c>
      <x:c r="E4452" s="25" t="str">
        <x:v>$2.99</x:v>
      </x:c>
      <x:c r="F4452" s="19" t="str">
        <x:v>3</x:v>
      </x:c>
    </x:row>
    <x:row r="4453" ht="93" customHeight="1">
      <x:c r="A4453" s="19" t="n">
        <x:v>4450</x:v>
      </x:c>
      <x:c r="B4453" s="22" t="e">
        <x:f>HYPERLINK("https://cdn.shopify.com/s/files/1/0918/6066/4603/files/16331952db3afe71ad499bc825d0462c.jpg?v=1776415176","Open")</x:f>
        <x:v>HYPERLINK is not implemented. linkLocation=https://cdn.shopify.com/s/files/1/0918/6066/4603/files/16331952db3afe71ad499bc825d0462c.jpg?v=1776415176, friendlyName=Open</x:v>
      </x:c>
      <x:c r="C4453" s="24" t="e">
        <x:f>HYPERLINK("https://365nails.com/products/365nails-lavender-haze-handpainted-floral-geometric-handmade-short-square-nails","365nails: ""Lavender Haze"" – Handpainted Floral &amp; Geometric Handmade Short Square Nails")</x:f>
        <x:v>HYPERLINK is not implemented. linkLocation=https://365nails.com/products/365nails-lavender-haze-handpainted-floral-geometric-handmade-short-square-nails, friendlyName=365nails: "Lavender Haze" – Handpainted Floral &amp; Geometric Handmade Short Square Nails</x:v>
      </x:c>
      <x:c r="D4453" s="18" t="str">
        <x:v>Size: XS / S / M / L</x:v>
      </x:c>
      <x:c r="E4453" s="25" t="str">
        <x:v>$2.49</x:v>
      </x:c>
      <x:c r="F4453" s="19" t="str">
        <x:v>5</x:v>
      </x:c>
    </x:row>
    <x:row r="4454" ht="93" customHeight="1">
      <x:c r="A4454" s="19" t="n">
        <x:v>4451</x:v>
      </x:c>
      <x:c r="B4454" s="22" t="e">
        <x:f>HYPERLINK("https://cdn.shopify.com/s/files/1/0918/6066/4603/files/fc7d4ab1a3c1069e801049b1f3baa295.jpg?v=1776322822","Open")</x:f>
        <x:v>HYPERLINK is not implemented. linkLocation=https://cdn.shopify.com/s/files/1/0918/6066/4603/files/fc7d4ab1a3c1069e801049b1f3baa295.jpg?v=1776322822, friendlyName=Open</x:v>
      </x:c>
      <x:c r="C4454" s="24" t="e">
        <x:f>HYPERLINK("https://365nails.com/products/365nails-candy-garden-friends-3d-cartoon-animal-short-square-nails","365nails: ""Candy Garden Friends"" – 3D Cartoon Animal Short Square Nails")</x:f>
        <x:v>HYPERLINK is not implemented. linkLocation=https://365nails.com/products/365nails-candy-garden-friends-3d-cartoon-animal-short-square-nails, friendlyName=365nails: "Candy Garden Friends" – 3D Cartoon Animal Short Square Nails</x:v>
      </x:c>
      <x:c r="D4454" s="18" t="str">
        <x:v>Size: XS / S / M / L</x:v>
      </x:c>
      <x:c r="E4454" s="25" t="str">
        <x:v>$3.99</x:v>
      </x:c>
      <x:c r="F4454" s="19" t="str">
        <x:v>5</x:v>
      </x:c>
    </x:row>
    <x:row r="4455" ht="93" customHeight="1">
      <x:c r="A4455" s="19" t="n">
        <x:v>4452</x:v>
      </x:c>
      <x:c r="B4455" s="22" t="e">
        <x:f>HYPERLINK("https://cdn.shopify.com/s/files/1/0918/6066/4603/files/561fb6bbe6b19bdaa5a98c5d0fffb5c1.jpg?v=1776153700","Open")</x:f>
        <x:v>HYPERLINK is not implemented. linkLocation=https://cdn.shopify.com/s/files/1/0918/6066/4603/files/561fb6bbe6b19bdaa5a98c5d0fffb5c1.jpg?v=1776153700, friendlyName=Open</x:v>
      </x:c>
      <x:c r="C4455" s="24" t="e">
        <x:f>HYPERLINK("https://365nails.com/products/365nails-dreamy-mermaid-3d-shell-pearl-handmade-short-square-nails","365nails: ""Dreamy Mermaid"" – 3D Shell &amp; Pearl Handmade Short Square Nails")</x:f>
        <x:v>HYPERLINK is not implemented. linkLocation=https://365nails.com/products/365nails-dreamy-mermaid-3d-shell-pearl-handmade-short-square-nails, friendlyName=365nails: "Dreamy Mermaid" – 3D Shell &amp; Pearl Handmade Short Square Nails</x:v>
      </x:c>
      <x:c r="D4455" s="18" t="str">
        <x:v>Size: XS / S / M / L</x:v>
      </x:c>
      <x:c r="E4455" s="25" t="str">
        <x:v>$1.99</x:v>
      </x:c>
      <x:c r="F4455" s="19" t="str">
        <x:v>3</x:v>
      </x:c>
    </x:row>
    <x:row r="4456" ht="93" customHeight="1">
      <x:c r="A4456" s="19" t="n">
        <x:v>4453</x:v>
      </x:c>
      <x:c r="B4456" s="22" t="e">
        <x:f>HYPERLINK("https://cdn.shopify.com/s/files/1/0918/6066/4603/files/O1CN015qrJ5j27ZUlKDJhnT__2220024697811-0-cib.jpg?v=1775113140","Open")</x:f>
        <x:v>HYPERLINK is not implemented. linkLocation=https://cdn.shopify.com/s/files/1/0918/6066/4603/files/O1CN015qrJ5j27ZUlKDJhnT__2220024697811-0-cib.jpg?v=1775113140, friendlyName=Open</x:v>
      </x:c>
      <x:c r="C4456" s="24" t="e">
        <x:f>HYPERLINK("https://365nails.com/products/365nails-amber-bloom-3d-floral-butterfly-handmade-medium-square-nails","365nails: ""Amber Bloom"" – 3D Floral &amp; Butterfly Handmade Medium Square Nails")</x:f>
        <x:v>HYPERLINK is not implemented. linkLocation=https://365nails.com/products/365nails-amber-bloom-3d-floral-butterfly-handmade-medium-square-nails, friendlyName=365nails: "Amber Bloom" – 3D Floral &amp; Butterfly Handmade Medium Square Nails</x:v>
      </x:c>
      <x:c r="D4456" s="18" t="str">
        <x:v>Color: Almond; Color classification: Xs / S / M / L</x:v>
      </x:c>
      <x:c r="E4456" s="25" t="str">
        <x:v>$5.49</x:v>
      </x:c>
      <x:c r="F4456" s="19" t="str">
        <x:v>3</x:v>
      </x:c>
    </x:row>
    <x:row r="4457" ht="93" customHeight="1">
      <x:c r="A4457" s="19" t="n">
        <x:v>4454</x:v>
      </x:c>
      <x:c r="B4457" s="22" t="e">
        <x:f>HYPERLINK("https://cdn.shopify.com/s/files/1/0918/6066/4603/files/O1CN01MDM7Vu2MQzczvFUht__2219089449823-0-cib.jpg?v=1774349135","Open")</x:f>
        <x:v>HYPERLINK is not implemented. linkLocation=https://cdn.shopify.com/s/files/1/0918/6066/4603/files/O1CN01MDM7Vu2MQzczvFUht__2219089449823-0-cib.jpg?v=1774349135, friendlyName=Open</x:v>
      </x:c>
      <x:c r="C4457" s="24" t="e">
        <x:f>HYPERLINK("https://365nails.com/products/365nails-beach-star-floral-medium-almond-marine-floral-handmade-press-on-nails","365nails: ""Beach Star &amp; Floral"" – Medium Almond Marine Floral Handmade Press-On Nails")</x:f>
        <x:v>HYPERLINK is not implemented. linkLocation=https://365nails.com/products/365nails-beach-star-floral-medium-almond-marine-floral-handmade-press-on-nails, friendlyName=365nails: "Beach Star &amp; Floral" – Medium Almond Marine Floral Handmade Press-On Nails</x:v>
      </x:c>
      <x:c r="D4457" s="18" t="str">
        <x:v>Color: D432; Color classification: X s / S / M / L</x:v>
      </x:c>
      <x:c r="E4457" s="25" t="str">
        <x:v>$3.99</x:v>
      </x:c>
      <x:c r="F4457" s="19" t="str">
        <x:v>1</x:v>
      </x:c>
    </x:row>
    <x:row r="4458" ht="93" customHeight="1">
      <x:c r="A4458" s="19" t="n">
        <x:v>4455</x:v>
      </x:c>
      <x:c r="B4458" s="22" t="e">
        <x:f>HYPERLINK("https://cdn.shopify.com/s/files/1/0918/6066/4603/files/O1CN01B1iL5g1rlpJgMui6J__2215158925672-0-cib_17a37d38-f500-4510-a133-42bd752e2d45.jpg?v=1772513765","Open")</x:f>
        <x:v>HYPERLINK is not implemented. linkLocation=https://cdn.shopify.com/s/files/1/0918/6066/4603/files/O1CN01B1iL5g1rlpJgMui6J__2215158925672-0-cib_17a37d38-f500-4510-a133-42bd752e2d45.jpg?v=1772513765, friendlyName=Open</x:v>
      </x:c>
      <x:c r="C4458" s="24" t="e">
        <x:f>HYPERLINK("https://365nails.com/products/365nails-minimalist-liquid-silver-medium-almond-silver-line-art-press-on-nails-24pcs","365nails: ""Liquid Silver"" – Long Coffin Handmade Press-On Nails")</x:f>
        <x:v>HYPERLINK is not implemented. linkLocation=https://365nails.com/products/365nails-minimalist-liquid-silver-medium-almond-silver-line-art-press-on-nails-24pcs, friendlyName=365nails: "Liquid Silver" – Long Coffin Handmade Press-On Nails</x:v>
      </x:c>
      <x:c r="D4458" s="18" t="str">
        <x:v>Color: Middle t; Color classification: X s / S / M / L</x:v>
      </x:c>
      <x:c r="E4458" s="25" t="str">
        <x:v>$3.49</x:v>
      </x:c>
      <x:c r="F4458" s="19" t="str">
        <x:v>3</x:v>
      </x:c>
    </x:row>
    <x:row r="4459" ht="93" customHeight="1">
      <x:c r="A4459" s="19" t="n">
        <x:v>4456</x:v>
      </x:c>
      <x:c r="B4459" s="22" t="e">
        <x:f>HYPERLINK("https://cdn.shopify.com/s/files/1/0918/6066/4603/files/O1CN01Fy424U2214sFW0sXu__2219480337059-0-cib.jpg?v=1774070038","Open")</x:f>
        <x:v>HYPERLINK is not implemented. linkLocation=https://cdn.shopify.com/s/files/1/0918/6066/4603/files/O1CN01Fy424U2214sFW0sXu__2219480337059-0-cib.jpg?v=1774070038, friendlyName=Open</x:v>
      </x:c>
      <x:c r="C4459" s="24" t="e">
        <x:f>HYPERLINK("https://365nails.com/products/365nails-kuromi-pastel-starry-dream-handmade-cute-short-oval-press-on-nails","365Nails: ""Kuromi Pastel Starry Dream"" – Handmade Cute Short Oval Press On Nails")</x:f>
        <x:v>HYPERLINK is not implemented. linkLocation=https://365nails.com/products/365nails-kuromi-pastel-starry-dream-handmade-cute-short-oval-press-on-nails, friendlyName=365Nails: "Kuromi Pastel Starry Dream" – Handmade Cute Short Oval Press On Nails</x:v>
      </x:c>
      <x:c r="D4459" s="18" t="str">
        <x:v>Color: Purple culomi; Color classification: Xs (about 2 years old) / S (3-4 years old) / M (5-7 years old) / L (8-11 years old)</x:v>
      </x:c>
      <x:c r="E4459" s="25" t="str">
        <x:v>$2.99</x:v>
      </x:c>
      <x:c r="F4459" s="19" t="str">
        <x:v>3</x:v>
      </x:c>
    </x:row>
    <x:row r="4460" ht="93" customHeight="1">
      <x:c r="A4460" s="19" t="n">
        <x:v>4457</x:v>
      </x:c>
      <x:c r="B4460" s="22" t="e">
        <x:f>HYPERLINK("https://cdn.shopify.com/s/files/1/0918/6066/4603/files/O1CN01BHEp0O2214tE8DuZd__2219480337059-0-cib.jpg?v=1774070232","Open")</x:f>
        <x:v>HYPERLINK is not implemented. linkLocation=https://cdn.shopify.com/s/files/1/0918/6066/4603/files/O1CN01BHEp0O2214tE8DuZd__2219480337059-0-cib.jpg?v=1774070232, friendlyName=Open</x:v>
      </x:c>
      <x:c r="C4460" s="24" t="e">
        <x:f>HYPERLINK("https://365nails.com/products/365nails-my-little-pony-fantasy-handmade-cute-short-oval-press-on-nails-with-cartoon-character-design","365Nails: ""My Little Pony Fantasy"" – Handmade Cute Short Oval Press On Nails With Cartoon Character Design")</x:f>
        <x:v>HYPERLINK is not implemented. linkLocation=https://365nails.com/products/365nails-my-little-pony-fantasy-handmade-cute-short-oval-press-on-nails-with-cartoon-character-design, friendlyName=365Nails: "My Little Pony Fantasy" – Handmade Cute Short Oval Press On Nails With Cartoon Character Design</x:v>
      </x:c>
      <x:c r="D4460" s="18" t="str">
        <x:v>Color: Little pony bucky; Color classification: Xs (about 2 years old) / S (3-4 years old) / M (5-7 years old) / L (8-11 years old)</x:v>
      </x:c>
      <x:c r="E4460" s="25" t="str">
        <x:v>$2.99</x:v>
      </x:c>
      <x:c r="F4460" s="19" t="str">
        <x:v>3</x:v>
      </x:c>
    </x:row>
    <x:row r="4461" ht="93" customHeight="1">
      <x:c r="A4461" s="19" t="n">
        <x:v>4458</x:v>
      </x:c>
      <x:c r="B4461" s="22" t="e">
        <x:f>HYPERLINK("https://cdn.shopify.com/s/files/1/0918/6066/4603/files/a414dfb19a9b9ae1585b0a07b44cf4e2.jpg?v=1773306588","Open")</x:f>
        <x:v>HYPERLINK is not implemented. linkLocation=https://cdn.shopify.com/s/files/1/0918/6066/4603/files/a414dfb19a9b9ae1585b0a07b44cf4e2.jpg?v=1773306588, friendlyName=Open</x:v>
      </x:c>
      <x:c r="C4461" s="24" t="e">
        <x:f>HYPERLINK("https://365nails.com/products/365nails-teal-silver-french-handmade-press-on-toenails-pedicure","365nails: ""teal silver french"" – handmade press-on toenails / pedicure")</x:f>
        <x:v>HYPERLINK is not implemented. linkLocation=https://365nails.com/products/365nails-teal-silver-french-handmade-press-on-toenails-pedicure, friendlyName=365nails: "teal silver french" – handmade press-on toenails / pedicure</x:v>
      </x:c>
      <x:c r="D4461" s="18" t="str">
        <x:v>Size: XS / S / M / L</x:v>
      </x:c>
      <x:c r="E4461" s="25" t="str">
        <x:v>$2.99</x:v>
      </x:c>
      <x:c r="F4461" s="19" t="str">
        <x:v>3</x:v>
      </x:c>
    </x:row>
    <x:row r="4462" ht="93" customHeight="1">
      <x:c r="A4462" s="19" t="n">
        <x:v>4459</x:v>
      </x:c>
      <x:c r="B4462" s="22" t="e">
        <x:f>HYPERLINK("https://cdn.shopify.com/s/files/1/0918/6066/4603/files/O1CN01cwwJl52MQzfNpqhLU__2219089449823-0-cib.jpg?v=1774452951","Open")</x:f>
        <x:v>HYPERLINK is not implemented. linkLocation=https://cdn.shopify.com/s/files/1/0918/6066/4603/files/O1CN01cwwJl52MQzfNpqhLU__2219089449823-0-cib.jpg?v=1774452951, friendlyName=Open</x:v>
      </x:c>
      <x:c r="C4462" s="24" t="e">
        <x:f>HYPERLINK("https://365nails.com/products/wild-cherry-zebra-butterfly-cherry-short-square-handmade-press-ons","Wild Cherry: ""Zebra Butterfly Cherry"" – Short Square Handmade Press-Ons")</x:f>
        <x:v>HYPERLINK is not implemented. linkLocation=https://365nails.com/products/wild-cherry-zebra-butterfly-cherry-short-square-handmade-press-ons, friendlyName=Wild Cherry: "Zebra Butterfly Cherry" – Short Square Handmade Press-Ons</x:v>
      </x:c>
      <x:c r="D4462" s="18" t="str">
        <x:v>Color: L 214; Color classification: X s / S / M / L</x:v>
      </x:c>
      <x:c r="E4462" s="25" t="str">
        <x:v>$4.99</x:v>
      </x:c>
      <x:c r="F4462" s="19" t="str">
        <x:v>1</x:v>
      </x:c>
    </x:row>
    <x:row r="4463" ht="93" customHeight="1">
      <x:c r="A4463" s="19" t="n">
        <x:v>4460</x:v>
      </x:c>
      <x:c r="B4463" s="22" t="e">
        <x:f>HYPERLINK("https://cdn.shopify.com/s/files/1/0918/6066/4603/files/O1CN01YZNcMs2214vDec3EQ__2219480337059-0-cib.jpg?v=1774070179","Open")</x:f>
        <x:v>HYPERLINK is not implemented. linkLocation=https://cdn.shopify.com/s/files/1/0918/6066/4603/files/O1CN01YZNcMs2214vDec3EQ__2219480337059-0-cib.jpg?v=1774070179, friendlyName=Open</x:v>
      </x:c>
      <x:c r="C4463" s="24" t="e">
        <x:f>HYPERLINK("https://365nails.com/products/365nails-ruby-glitter-romance-handmade-cute-short-oval-press-on-nails-with-gem-flower-design","365Nails: ""Ruby Glitter Romance"" – Handmade Cute Short Oval Press On Nails With Gem &amp; Flower Design")</x:f>
        <x:v>HYPERLINK is not implemented. linkLocation=https://365nails.com/products/365nails-ruby-glitter-romance-handmade-cute-short-oval-press-on-nails-with-gem-flower-design, friendlyName=365Nails: "Ruby Glitter Romance" – Handmade Cute Short Oval Press On Nails With Gem &amp; Flower Design</x:v>
      </x:c>
      <x:c r="D4463" s="18" t="str">
        <x:v>Color: 9284 red rhyme; Color classification: Xs (about 2 years old) / S (3-4 years old) / M (5-7 years old) / L (8-11 years old)</x:v>
      </x:c>
      <x:c r="E4463" s="25" t="str">
        <x:v>$2.99</x:v>
      </x:c>
      <x:c r="F4463" s="19" t="str">
        <x:v>3</x:v>
      </x:c>
    </x:row>
    <x:row r="4464" ht="93" customHeight="1">
      <x:c r="A4464" s="19" t="n">
        <x:v>4461</x:v>
      </x:c>
      <x:c r="B4464" s="22" t="e">
        <x:f>HYPERLINK("https://cdn.shopify.com/s/files/1/0918/6066/4603/files/O1CN01aN0Ixf2214tpJ4cPp__2219480337059-0-cib_9034b4df-c360-4a66-b98b-c221cd9ff1f8.jpg?v=1774070561","Open")</x:f>
        <x:v>HYPERLINK is not implemented. linkLocation=https://cdn.shopify.com/s/files/1/0918/6066/4603/files/O1CN01aN0Ixf2214tpJ4cPp__2219480337059-0-cib_9034b4df-c360-4a66-b98b-c221cd9ff1f8.jpg?v=1774070561, friendlyName=Open</x:v>
      </x:c>
      <x:c r="C4464" s="24" t="e">
        <x:f>HYPERLINK("https://365nails.com/products/365nails-tropical-beach-fun-handmade-cute-short-oval-press-on-nails-with-duck-palm-tree-design","365Nails: ""Tropical Beach Fun"" – Handmade Cute Short Oval Press On Nails With Duck &amp; Palm Tree Design")</x:f>
        <x:v>HYPERLINK is not implemented. linkLocation=https://365nails.com/products/365nails-tropical-beach-fun-handmade-cute-short-oval-press-on-nails-with-duck-palm-tree-design, friendlyName=365Nails: "Tropical Beach Fun" – Handmade Cute Short Oval Press On Nails With Duck &amp; Palm Tree Design</x:v>
      </x:c>
      <x:c r="D4464" s="18" t="str">
        <x:v>Color: Coconut tree yellow duck; Color classification: Xs (about 2 years old) / S (3-4 years old) / M (5-7 years old) / L (8-11 years old)</x:v>
      </x:c>
      <x:c r="E4464" s="25" t="str">
        <x:v>$2.99</x:v>
      </x:c>
      <x:c r="F4464" s="19" t="str">
        <x:v>3</x:v>
      </x:c>
    </x:row>
    <x:row r="4465" ht="93" customHeight="1">
      <x:c r="A4465" s="19" t="n">
        <x:v>4462</x:v>
      </x:c>
      <x:c r="B4465" s="22" t="e">
        <x:f>HYPERLINK("https://cdn.shopify.com/s/files/1/0918/6066/4603/files/f8e5e165279682a75cf4f4f4e4bc4121.jpg?v=1776326378","Open")</x:f>
        <x:v>HYPERLINK is not implemented. linkLocation=https://cdn.shopify.com/s/files/1/0918/6066/4603/files/f8e5e165279682a75cf4f4f4e4bc4121.jpg?v=1776326378, friendlyName=Open</x:v>
      </x:c>
      <x:c r="C4465" s="24" t="e">
        <x:f>HYPERLINK("https://365nails.com/products/365nails-cozy-critter-cafe-3d-cartoon-character-handmade-short-square-nails","365nails: ""Cozy Critter Cafe"" – 3D Cartoon Character Handmade Short Square Nails")</x:f>
        <x:v>HYPERLINK is not implemented. linkLocation=https://365nails.com/products/365nails-cozy-critter-cafe-3d-cartoon-character-handmade-short-square-nails, friendlyName=365nails: "Cozy Critter Cafe" – 3D Cartoon Character Handmade Short Square Nails</x:v>
      </x:c>
      <x:c r="D4465" s="18" t="str">
        <x:v>Size: XS / S / M / L</x:v>
      </x:c>
      <x:c r="E4465" s="25" t="str">
        <x:v>$3.99</x:v>
      </x:c>
      <x:c r="F4465" s="19" t="str">
        <x:v>5</x:v>
      </x:c>
    </x:row>
    <x:row r="4466" ht="93" customHeight="1">
      <x:c r="A4466" s="19" t="n">
        <x:v>4463</x:v>
      </x:c>
      <x:c r="B4466" s="22" t="e">
        <x:f>HYPERLINK("https://cdn.shopify.com/s/files/1/0918/6066/4603/files/69d25756b336bc98581cd5a05bb3f903.jpg?v=1776417738","Open")</x:f>
        <x:v>HYPERLINK is not implemented. linkLocation=https://cdn.shopify.com/s/files/1/0918/6066/4603/files/69d25756b336bc98581cd5a05bb3f903.jpg?v=1776417738, friendlyName=Open</x:v>
      </x:c>
      <x:c r="C4466" s="24" t="e">
        <x:f>HYPERLINK("https://365nails.com/products/365nails-midnight-bloom-3d-floral-handmade-long-coffin-nails-1","365nails: ""Midnight Bloom"" – 3D Floral Handmade Long Coffin Nails")</x:f>
        <x:v>HYPERLINK is not implemented. linkLocation=https://365nails.com/products/365nails-midnight-bloom-3d-floral-handmade-long-coffin-nails-1, friendlyName=365nails: "Midnight Bloom" – 3D Floral Handmade Long Coffin Nails</x:v>
      </x:c>
      <x:c r="D4466" s="18" t="str">
        <x:v>Size: XS / S / M / L</x:v>
      </x:c>
      <x:c r="E4466" s="25" t="str">
        <x:v>$3.99</x:v>
      </x:c>
      <x:c r="F4466" s="19" t="str">
        <x:v>5</x:v>
      </x:c>
    </x:row>
    <x:row r="4467" ht="93" customHeight="1">
      <x:c r="A4467" s="19" t="n">
        <x:v>4464</x:v>
      </x:c>
      <x:c r="B4467" s="22" t="e">
        <x:f>HYPERLINK("https://cdn.shopify.com/s/files/1/0918/6066/4603/files/O1CN01p82NqL2214taoLMEr__2219480337059-0-cib.jpg?v=1774070097","Open")</x:f>
        <x:v>HYPERLINK is not implemented. linkLocation=https://cdn.shopify.com/s/files/1/0918/6066/4603/files/O1CN01p82NqL2214taoLMEr__2219480337059-0-cib.jpg?v=1774070097, friendlyName=Open</x:v>
      </x:c>
      <x:c r="C4467" s="24" t="e">
        <x:f>HYPERLINK("https://365nails.com/products/365nails-strawberry-kuromi-sweet-bite-handmade-cute-short-square-press-on-nails","365Nails: ""Strawberry Kuromi Sweet Bite"" – Handmade Cute Short Square Press On Nails")</x:f>
        <x:v>HYPERLINK is not implemented. linkLocation=https://365nails.com/products/365nails-strawberry-kuromi-sweet-bite-handmade-cute-short-square-press-on-nails, friendlyName=365Nails: "Strawberry Kuromi Sweet Bite" – Handmade Cute Short Square Press On Nails</x:v>
      </x:c>
      <x:c r="D4467" s="18" t="str">
        <x:v>Color: Pinch strawberry candied haws; Color classification: Xs (about 2 years old) / S (3-4 years old) / M (5-7 years old) / L (8-11 years old)</x:v>
      </x:c>
      <x:c r="E4467" s="25" t="str">
        <x:v>$2.99</x:v>
      </x:c>
      <x:c r="F4467" s="19" t="str">
        <x:v>3</x:v>
      </x:c>
    </x:row>
    <x:row r="4468" ht="93" customHeight="1">
      <x:c r="A4468" s="19" t="n">
        <x:v>4465</x:v>
      </x:c>
      <x:c r="B4468" s="22" t="e">
        <x:f>HYPERLINK("https://cdn.shopify.com/s/files/1/0918/6066/4603/files/O1CN01RQnq0e1CPwKZys55w__2213196780074-0-cib.jpg?v=1774604771","Open")</x:f>
        <x:v>HYPERLINK is not implemented. linkLocation=https://cdn.shopify.com/s/files/1/0918/6066/4603/files/O1CN01RQnq0e1CPwKZys55w__2213196780074-0-cib.jpg?v=1774604771, friendlyName=Open</x:v>
      </x:c>
      <x:c r="C4468" s="24" t="e">
        <x:f>HYPERLINK("https://365nails.com/products/365nails-candyland-christmas-3d-bow-plaid-short-square-nails","365nails: ""Candyland Christmas"" – 3D Bow &amp; Plaid Short Square Nails")</x:f>
        <x:v>HYPERLINK is not implemented. linkLocation=https://365nails.com/products/365nails-candyland-christmas-3d-bow-plaid-short-square-nails, friendlyName=365nails: "Candyland Christmas" – 3D Bow &amp; Plaid Short Square Nails</x:v>
      </x:c>
      <x:c r="D4468" s="18" t="str">
        <x:v>Color: Extra small size xs / Small s / Medium m / Large l; Specification type: 2710-ultra short ladder</x:v>
      </x:c>
      <x:c r="E4468" s="25" t="str">
        <x:v>$3.49</x:v>
      </x:c>
      <x:c r="F4468" s="19" t="str">
        <x:v>1</x:v>
      </x:c>
    </x:row>
    <x:row r="4469" ht="93" customHeight="1">
      <x:c r="A4469" s="19" t="n">
        <x:v>4466</x:v>
      </x:c>
      <x:c r="B4469" s="22" t="e">
        <x:f>HYPERLINK("https://cdn.shopify.com/s/files/1/0918/6066/4603/files/aae9d30a1af53f9c100020a154045701.jpg?v=1776416157","Open")</x:f>
        <x:v>HYPERLINK is not implemented. linkLocation=https://cdn.shopify.com/s/files/1/0918/6066/4603/files/aae9d30a1af53f9c100020a154045701.jpg?v=1776416157, friendlyName=Open</x:v>
      </x:c>
      <x:c r="C4469" s="24" t="e">
        <x:f>HYPERLINK("https://365nails.com/products/365nails-midnight-bloom-3d-floral-handmade-long-coffin-nails","365nails: ""Midnight Bloom"" – 3D Floral Handmade Long Coffin Nails")</x:f>
        <x:v>HYPERLINK is not implemented. linkLocation=https://365nails.com/products/365nails-midnight-bloom-3d-floral-handmade-long-coffin-nails, friendlyName=365nails: "Midnight Bloom" – 3D Floral Handmade Long Coffin Nails</x:v>
      </x:c>
      <x:c r="D4469" s="18" t="str">
        <x:v>Size: XS / S / M / L</x:v>
      </x:c>
      <x:c r="E4469" s="25" t="str">
        <x:v>$2.99</x:v>
      </x:c>
      <x:c r="F4469" s="19" t="str">
        <x:v>5</x:v>
      </x:c>
    </x:row>
    <x:row r="4470" ht="93" customHeight="1">
      <x:c r="A4470" s="19" t="n">
        <x:v>4467</x:v>
      </x:c>
      <x:c r="B4470" s="22" t="e">
        <x:f>HYPERLINK("https://cdn.shopify.com/s/files/1/0918/6066/4603/files/7a658412a9f78a13c7a870f24eed7168.jpg?v=1775909439","Open")</x:f>
        <x:v>HYPERLINK is not implemented. linkLocation=https://cdn.shopify.com/s/files/1/0918/6066/4603/files/7a658412a9f78a13c7a870f24eed7168.jpg?v=1775909439, friendlyName=Open</x:v>
      </x:c>
      <x:c r="C4470" s="24" t="e">
        <x:f>HYPERLINK("https://365nails.com/products/365nails-tropical-sunset-3d-floral-handmade-stiletto-nails","365nails: ""Tropical Sunset"" – 3D Floral Handmade Stiletto Nails")</x:f>
        <x:v>HYPERLINK is not implemented. linkLocation=https://365nails.com/products/365nails-tropical-sunset-3d-floral-handmade-stiletto-nails, friendlyName=365nails: "Tropical Sunset" – 3D Floral Handmade Stiletto Nails</x:v>
      </x:c>
      <x:c r="D4470" s="18" t="str">
        <x:v>Size: XS / S / M / L</x:v>
      </x:c>
      <x:c r="E4470" s="25" t="str">
        <x:v>$3.99</x:v>
      </x:c>
      <x:c r="F4470" s="19" t="str">
        <x:v>5</x:v>
      </x:c>
    </x:row>
    <x:row r="4471" ht="93" customHeight="1">
      <x:c r="A4471" s="19" t="n">
        <x:v>4468</x:v>
      </x:c>
      <x:c r="B4471" s="22" t="e">
        <x:f>HYPERLINK("https://cdn.shopify.com/s/files/1/0918/6066/4603/files/eee28969f0b0332f05b577316a8fd08a.jpg?v=1778244924","Open")</x:f>
        <x:v>HYPERLINK is not implemented. linkLocation=https://cdn.shopify.com/s/files/1/0918/6066/4603/files/eee28969f0b0332f05b577316a8fd08a.jpg?v=1778244924, friendlyName=Open</x:v>
      </x:c>
      <x:c r="C4471" s="24" t="e">
        <x:f>HYPERLINK("https://365nails.com/products/365nails-midnight-leopard-3d-floral-rhinestone-handmade-stiletto-nails","365nails: ""Midnight Leopard"" – 3D Floral &amp; Rhinestone Handmade Stiletto Nails")</x:f>
        <x:v>HYPERLINK is not implemented. linkLocation=https://365nails.com/products/365nails-midnight-leopard-3d-floral-rhinestone-handmade-stiletto-nails, friendlyName=365nails: "Midnight Leopard" – 3D Floral &amp; Rhinestone Handmade Stiletto Nails</x:v>
      </x:c>
      <x:c r="D4471" s="18" t="str">
        <x:v>Size: XS / S / M / L</x:v>
      </x:c>
      <x:c r="E4471" s="25" t="str">
        <x:v>$3.99</x:v>
      </x:c>
      <x:c r="F4471" s="19" t="str">
        <x:v>5</x:v>
      </x:c>
    </x:row>
    <x:row r="4472" ht="93" customHeight="1">
      <x:c r="A4472" s="19" t="n">
        <x:v>4469</x:v>
      </x:c>
      <x:c r="B4472" s="22" t="e">
        <x:f>HYPERLINK("https://cdn.shopify.com/s/files/1/0918/6066/4603/files/5d4030ca582029d49fa94df54ce73368.jpg?v=1773908884","Open")</x:f>
        <x:v>HYPERLINK is not implemented. linkLocation=https://cdn.shopify.com/s/files/1/0918/6066/4603/files/5d4030ca582029d49fa94df54ce73368.jpg?v=1773908884, friendlyName=Open</x:v>
      </x:c>
      <x:c r="C4472" s="24" t="e">
        <x:f>HYPERLINK("https://365nails.com/products/365nails-frosted-stream-whirlpool-handmade-press-on-nails-frozen-fantasy-futuristic-cool","365Nails: ""Frosted Stream Whirlpool"" – handmade press-on nails (Frozen Fantasy/Futuristic Cool)")</x:f>
        <x:v>HYPERLINK is not implemented. linkLocation=https://365nails.com/products/365nails-frosted-stream-whirlpool-handmade-press-on-nails-frozen-fantasy-futuristic-cool, friendlyName=365Nails: "Frosted Stream Whirlpool" – handmade press-on nails (Frozen Fantasy/Futuristic Cool)</x:v>
      </x:c>
      <x:c r="D4472" s="18" t="str">
        <x:v>Size: XS / S / M / L</x:v>
      </x:c>
      <x:c r="E4472" s="25" t="str">
        <x:v>$3.99</x:v>
      </x:c>
      <x:c r="F4472" s="19" t="str">
        <x:v>5</x:v>
      </x:c>
    </x:row>
    <x:row r="4473" ht="93" customHeight="1">
      <x:c r="A4473" s="19" t="n">
        <x:v>4470</x:v>
      </x:c>
      <x:c r="B4473" s="22" t="e">
        <x:f>HYPERLINK("https://cdn.shopify.com/s/files/1/0918/6066/4603/files/5f317d750f3fea7e1562805bad1b221d.jpg?v=1776324589","Open")</x:f>
        <x:v>HYPERLINK is not implemented. linkLocation=https://cdn.shopify.com/s/files/1/0918/6066/4603/files/5f317d750f3fea7e1562805bad1b221d.jpg?v=1776324589, friendlyName=Open</x:v>
      </x:c>
      <x:c r="C4473" s="24" t="e">
        <x:f>HYPERLINK("https://365nails.com/products/365nails-cute-critter-party-3d-cartoon-short-square-nails","365nails: ""Cute Critter Party"" – 3D Cartoon Short Square Nails")</x:f>
        <x:v>HYPERLINK is not implemented. linkLocation=https://365nails.com/products/365nails-cute-critter-party-3d-cartoon-short-square-nails, friendlyName=365nails: "Cute Critter Party" – 3D Cartoon Short Square Nails</x:v>
      </x:c>
      <x:c r="D4473" s="18" t="str">
        <x:v>Size: XS / S / M / L</x:v>
      </x:c>
      <x:c r="E4473" s="25" t="str">
        <x:v>$3.99</x:v>
      </x:c>
      <x:c r="F4473" s="19" t="str">
        <x:v>5</x:v>
      </x:c>
    </x:row>
    <x:row r="4474" ht="93" customHeight="1">
      <x:c r="A4474" s="19" t="n">
        <x:v>4471</x:v>
      </x:c>
      <x:c r="B4474" s="22" t="e">
        <x:f>HYPERLINK("https://cdn.shopify.com/s/files/1/0918/6066/4603/files/6a0618ef0f11539a72900721d6d41248.jpg?v=1776323494","Open")</x:f>
        <x:v>HYPERLINK is not implemented. linkLocation=https://cdn.shopify.com/s/files/1/0918/6066/4603/files/6a0618ef0f11539a72900721d6d41248.jpg?v=1776323494, friendlyName=Open</x:v>
      </x:c>
      <x:c r="C4474" s="24" t="e">
        <x:f>HYPERLINK("https://365nails.com/products/365nails-garden-party-whimsy-3d-cartoon-character-short-square-nails","365nails: ""Garden Party Whimsy"" – 3D Cartoon Character Short Square Nails")</x:f>
        <x:v>HYPERLINK is not implemented. linkLocation=https://365nails.com/products/365nails-garden-party-whimsy-3d-cartoon-character-short-square-nails, friendlyName=365nails: "Garden Party Whimsy" – 3D Cartoon Character Short Square Nails</x:v>
      </x:c>
      <x:c r="D4474" s="18" t="str">
        <x:v>Size: XS / S / M / L</x:v>
      </x:c>
      <x:c r="E4474" s="25" t="str">
        <x:v>$3.99</x:v>
      </x:c>
      <x:c r="F4474" s="19" t="str">
        <x:v>5</x:v>
      </x:c>
    </x:row>
    <x:row r="4475" ht="93" customHeight="1">
      <x:c r="A4475" s="19" t="n">
        <x:v>4472</x:v>
      </x:c>
      <x:c r="B4475" s="22" t="e">
        <x:f>HYPERLINK("https://cdn.shopify.com/s/files/1/0918/6066/4603/files/O1CN01a5v8a32214vaYXTvL__2219480337059-0-cib.jpg?v=1774070207","Open")</x:f>
        <x:v>HYPERLINK is not implemented. linkLocation=https://cdn.shopify.com/s/files/1/0918/6066/4603/files/O1CN01a5v8a32214vaYXTvL__2219480337059-0-cib.jpg?v=1774070207, friendlyName=Open</x:v>
      </x:c>
      <x:c r="C4475" s="24" t="e">
        <x:f>HYPERLINK("https://365nails.com/products/365nails-christmas-snowy-wish-handmade-cute-short-oval-press-on-nails-with-snowflake-gift-design","365Nails: ""Christmas Snowy Wish"" – Handmade Cute Short Oval Press On Nails With Snowflake &amp; Gift Design")</x:f>
        <x:v>HYPERLINK is not implemented. linkLocation=https://365nails.com/products/365nails-christmas-snowy-wish-handmade-cute-short-oval-press-on-nails-with-snowflake-gift-design, friendlyName=365Nails: "Christmas Snowy Wish" – Handmade Cute Short Oval Press On Nails With Snowflake &amp; Gift Design</x:v>
      </x:c>
      <x:c r="D4475" s="18" t="str">
        <x:v>Color: H9259 snowflake red cat eye; Color classification: Xs (about 2 years old) / S (3-4 years old) / M (5-7 years old) / L (8-11 years old)</x:v>
      </x:c>
      <x:c r="E4475" s="25" t="str">
        <x:v>$2.99</x:v>
      </x:c>
      <x:c r="F4475" s="19" t="str">
        <x:v>3</x:v>
      </x:c>
    </x:row>
    <x:row r="4476" ht="93" customHeight="1">
      <x:c r="A4476" s="19" t="n">
        <x:v>4473</x:v>
      </x:c>
      <x:c r="B4476" s="22" t="e">
        <x:f>HYPERLINK("https://cdn.shopify.com/s/files/1/0918/6066/4603/files/O1CN01xgV0uB2214vLlhS5N__2219480337059-0-cib.jpg?v=1774070489","Open")</x:f>
        <x:v>HYPERLINK is not implemented. linkLocation=https://cdn.shopify.com/s/files/1/0918/6066/4603/files/O1CN01xgV0uB2214vLlhS5N__2219480337059-0-cib.jpg?v=1774070489, friendlyName=Open</x:v>
      </x:c>
      <x:c r="C4476" s="24" t="e">
        <x:f>HYPERLINK("https://365nails.com/products/365nails-hello-kitty-strawberry-dream-handmade-cute-short-oval-press-on-nails-with-hello-kitty-bow-design","365Nails: ""Hello Kitty Strawberry Dream"" – Handmade Cute Short Oval Press On Nails With Hello Kitty &amp; Bow Design")</x:f>
        <x:v>HYPERLINK is not implemented. linkLocation=https://365nails.com/products/365nails-hello-kitty-strawberry-dream-handmade-cute-short-oval-press-on-nails-with-hello-kitty-bow-design, friendlyName=365Nails: "Hello Kitty Strawberry Dream" – Handmade Cute Short Oval Press On Nails With Hello Kitty &amp; Bow Design</x:v>
      </x:c>
      <x:c r="D4476" s="18" t="str">
        <x:v>Color: 10091 leopard print hello kitty; Color classification: Xs (about 2 years old) / S (3-4 years old) / M (5-7 years old) / L (8-11 years old)</x:v>
      </x:c>
      <x:c r="E4476" s="25" t="str">
        <x:v>$2.99</x:v>
      </x:c>
      <x:c r="F4476" s="19" t="str">
        <x:v>3</x:v>
      </x:c>
    </x:row>
    <x:row r="4477" ht="93" customHeight="1">
      <x:c r="A4477" s="19" t="n">
        <x:v>4474</x:v>
      </x:c>
      <x:c r="B4477" s="22" t="e">
        <x:f>HYPERLINK("https://cdn.shopify.com/s/files/1/0918/6066/4603/files/O1CN019uuH0e2214s9VFCUt__2219480337059-0-cib.jpg?v=1774068200","Open")</x:f>
        <x:v>HYPERLINK is not implemented. linkLocation=https://cdn.shopify.com/s/files/1/0918/6066/4603/files/O1CN019uuH0e2214s9VFCUt__2219480337059-0-cib.jpg?v=1774068200, friendlyName=Open</x:v>
      </x:c>
      <x:c r="C4477" s="24" t="e">
        <x:f>HYPERLINK("https://365nails.com/products/365nails-kuromi-sweet-dream-handmade-cute-short-oval-press-on-nails-with-kuromi-bow-design","365Nails: ""Kuromi Sweet Dream"" – Handmade Cute Short Oval Press On Nails With Kuromi &amp; Bow Design")</x:f>
        <x:v>HYPERLINK is not implemented. linkLocation=https://365nails.com/products/365nails-kuromi-sweet-dream-handmade-cute-short-oval-press-on-nails-with-kuromi-bow-design, friendlyName=365Nails: "Kuromi Sweet Dream" – Handmade Cute Short Oval Press On Nails With Kuromi &amp; Bow Design</x:v>
      </x:c>
      <x:c r="D4477" s="18" t="str">
        <x:v>Color: Hd melody; Color classification: Extra small xs / Small s / Medium m / Large l</x:v>
      </x:c>
      <x:c r="E4477" s="25" t="str">
        <x:v>$2.99</x:v>
      </x:c>
      <x:c r="F4477" s="19" t="str">
        <x:v>3</x:v>
      </x:c>
    </x:row>
    <x:row r="4478" ht="93" customHeight="1">
      <x:c r="A4478" s="19" t="n">
        <x:v>4475</x:v>
      </x:c>
      <x:c r="B4478" s="22" t="e">
        <x:f>HYPERLINK("https://cdn.shopify.com/s/files/1/0918/6066/4603/files/a45a79cb4d67a677bd1b9fed86566a4d.jpg?v=1775907380","Open")</x:f>
        <x:v>HYPERLINK is not implemented. linkLocation=https://cdn.shopify.com/s/files/1/0918/6066/4603/files/a45a79cb4d67a677bd1b9fed86566a4d.jpg?v=1775907380, friendlyName=Open</x:v>
      </x:c>
      <x:c r="C4478" s="24" t="e">
        <x:f>HYPERLINK("https://365nails.com/products/365nails-wild-heart-3d-bow-leopard-print-handmade-almond-nails","365nails: ""Wild Heart"" – 3D Bow &amp; Leopard Print Handmade Almond Nails")</x:f>
        <x:v>HYPERLINK is not implemented. linkLocation=https://365nails.com/products/365nails-wild-heart-3d-bow-leopard-print-handmade-almond-nails, friendlyName=365nails: "Wild Heart" – 3D Bow &amp; Leopard Print Handmade Almond Nails</x:v>
      </x:c>
      <x:c r="D4478" s="18" t="str">
        <x:v>Size: XS / S / M / L</x:v>
      </x:c>
      <x:c r="E4478" s="25" t="str">
        <x:v>$3.99</x:v>
      </x:c>
      <x:c r="F4478" s="19" t="str">
        <x:v>5</x:v>
      </x:c>
    </x:row>
    <x:row r="4479" ht="93" customHeight="1">
      <x:c r="A4479" s="19" t="n">
        <x:v>4476</x:v>
      </x:c>
      <x:c r="B4479" s="22" t="e">
        <x:f>HYPERLINK("https://cdn.shopify.com/s/files/1/0918/6066/4603/files/18ddb52c63c8e3f9fe679011e607df39.jpg?v=1773306513","Open")</x:f>
        <x:v>HYPERLINK is not implemented. linkLocation=https://cdn.shopify.com/s/files/1/0918/6066/4603/files/18ddb52c63c8e3f9fe679011e607df39.jpg?v=1773306513, friendlyName=Open</x:v>
      </x:c>
      <x:c r="C4479" s="24" t="e">
        <x:f>HYPERLINK("https://365nails.com/products/365nails-barbie-pink-star-handmade-press-on-toenails-pedicure","365nails: ""barbie pink star"" – handmade press-on toenails / pedicure")</x:f>
        <x:v>HYPERLINK is not implemented. linkLocation=https://365nails.com/products/365nails-barbie-pink-star-handmade-press-on-toenails-pedicure, friendlyName=365nails: "barbie pink star" – handmade press-on toenails / pedicure</x:v>
      </x:c>
      <x:c r="D4479" s="18" t="str">
        <x:v>Size: XS / S / M / L</x:v>
      </x:c>
      <x:c r="E4479" s="25" t="str">
        <x:v>$3.99</x:v>
      </x:c>
      <x:c r="F4479" s="19" t="str">
        <x:v>3</x:v>
      </x:c>
    </x:row>
    <x:row r="4480" ht="93" customHeight="1">
      <x:c r="A4480" s="19" t="n">
        <x:v>4477</x:v>
      </x:c>
      <x:c r="B4480" s="22" t="e">
        <x:f>HYPERLINK("https://cdn.shopify.com/s/files/1/0918/6066/4603/files/04945707a0d79fdadac5e52f8fa34d36.jpg?v=1778241209","Open")</x:f>
        <x:v>HYPERLINK is not implemented. linkLocation=https://cdn.shopify.com/s/files/1/0918/6066/4603/files/04945707a0d79fdadac5e52f8fa34d36.jpg?v=1778241209, friendlyName=Open</x:v>
      </x:c>
      <x:c r="C4480" s="24" t="e">
        <x:f>HYPERLINK("https://365nails.com/products/365nails-urban-jungle-3d-chain-corset-handmade-long-stiletto-nails","365nails: ""Urban Jungle"" – 3D Chain &amp; Corset Handmade Long Stiletto Nails")</x:f>
        <x:v>HYPERLINK is not implemented. linkLocation=https://365nails.com/products/365nails-urban-jungle-3d-chain-corset-handmade-long-stiletto-nails, friendlyName=365nails: "Urban Jungle" – 3D Chain &amp; Corset Handmade Long Stiletto Nails</x:v>
      </x:c>
      <x:c r="D4480" s="18" t="str">
        <x:v>Size: XS / S / M / L</x:v>
      </x:c>
      <x:c r="E4480" s="25" t="str">
        <x:v>$4.99</x:v>
      </x:c>
      <x:c r="F4480" s="19" t="str">
        <x:v>5</x:v>
      </x:c>
    </x:row>
    <x:row r="4481" ht="93" customHeight="1">
      <x:c r="A4481" s="19" t="n">
        <x:v>4478</x:v>
      </x:c>
      <x:c r="B4481" s="22" t="e">
        <x:f>HYPERLINK("https://cdn.shopify.com/s/files/1/0918/6066/4603/files/4963662bafdd701d81e2bd8320b958d0.jpg?v=1755239436","Open")</x:f>
        <x:v>HYPERLINK is not implemented. linkLocation=https://cdn.shopify.com/s/files/1/0918/6066/4603/files/4963662bafdd701d81e2bd8320b958d0.jpg?v=1755239436, friendlyName=Open</x:v>
      </x:c>
      <x:c r="C4481" s="24" t="e">
        <x:f>HYPERLINK("https://365nails.com/products/nail-tips-new-nail-art-mold-140-pieces-boxed-transparent-rapid-phototherapy-extension-nail-fit-thin-crystal-extension-scale-nail","Nail Tips New Nail Art Mold 140 Pieces Boxed Transparent Rapid Phototherapy Extension Nail Fit Thin Crystal Extension Scale Nail (MOQ=3)")</x:f>
        <x:v>HYPERLINK is not implemented. linkLocation=https://365nails.com/products/nail-tips-new-nail-art-mold-140-pieces-boxed-transparent-rapid-phototherapy-extension-nail-fit-thin-crystal-extension-scale-nail, friendlyName=Nail Tips New Nail Art Mold 140 Pieces Boxed Transparent Rapid Phototherapy Extension Nail Fit Thin Crystal Extension Scale Nail (MOQ=3)</x:v>
      </x:c>
      <x:c r="D4481" s="18" t="str">
        <x:v>Color: JM-27 / JM-28 / JM-29 / JM-30; Quantity: 3pcs</x:v>
      </x:c>
      <x:c r="E4481" s="25" t="str">
        <x:v>$4.11</x:v>
      </x:c>
      <x:c r="F4481" s="19" t="str">
        <x:v>1</x:v>
      </x:c>
    </x:row>
    <x:row r="4482" ht="93" customHeight="1">
      <x:c r="A4482" s="19" t="n">
        <x:v>4479</x:v>
      </x:c>
      <x:c r="B4482" s="22" t="e">
        <x:f>HYPERLINK("https://cdn.shopify.com/s/files/1/0918/6066/4603/files/9bcbedab6a33aacf767a32dc5a26cd00.jpg?v=1776416959","Open")</x:f>
        <x:v>HYPERLINK is not implemented. linkLocation=https://cdn.shopify.com/s/files/1/0918/6066/4603/files/9bcbedab6a33aacf767a32dc5a26cd00.jpg?v=1776416959, friendlyName=Open</x:v>
      </x:c>
      <x:c r="C4482" s="24" t="e">
        <x:f>HYPERLINK("https://365nails.com/products/365nails-daisy-meadow-3d-floral-handmade-medium-almond-nails","365nails: ""Daisy Meadow"" – 3D Floral Handmade Medium Almond Nails")</x:f>
        <x:v>HYPERLINK is not implemented. linkLocation=https://365nails.com/products/365nails-daisy-meadow-3d-floral-handmade-medium-almond-nails, friendlyName=365nails: "Daisy Meadow" – 3D Floral Handmade Medium Almond Nails</x:v>
      </x:c>
      <x:c r="D4482" s="18" t="str">
        <x:v>Size: XS / S / M / L</x:v>
      </x:c>
      <x:c r="E4482" s="25" t="str">
        <x:v>$3.99</x:v>
      </x:c>
      <x:c r="F4482" s="19" t="str">
        <x:v>5</x:v>
      </x:c>
    </x:row>
    <x:row r="4483" ht="93" customHeight="1">
      <x:c r="A4483" s="19" t="n">
        <x:v>4480</x:v>
      </x:c>
      <x:c r="B4483" s="22" t="e">
        <x:f>HYPERLINK("https://cdn.shopify.com/s/files/1/0918/6066/4603/files/09f7d599e2409b8c8d26a2c3398f410a.jpg?v=1776413871","Open")</x:f>
        <x:v>HYPERLINK is not implemented. linkLocation=https://cdn.shopify.com/s/files/1/0918/6066/4603/files/09f7d599e2409b8c8d26a2c3398f410a.jpg?v=1776413871, friendlyName=Open</x:v>
      </x:c>
      <x:c r="C4483" s="24" t="e">
        <x:f>HYPERLINK("https://365nails.com/products/365nails-rebel-heart-3d-skull-character-handmade-coffin-nails","365nails: ""Rebel Heart"" – 3D Skull Character Handmade Coffin Nails-5.5cm")</x:f>
        <x:v>HYPERLINK is not implemented. linkLocation=https://365nails.com/products/365nails-rebel-heart-3d-skull-character-handmade-coffin-nails, friendlyName=365nails: "Rebel Heart" – 3D Skull Character Handmade Coffin Nails-5.5cm</x:v>
      </x:c>
      <x:c r="D4483" s="18" t="str">
        <x:v>Size: XS / S / M / L</x:v>
      </x:c>
      <x:c r="E4483" s="25" t="str">
        <x:v>$7.99</x:v>
      </x:c>
      <x:c r="F4483" s="19" t="str">
        <x:v>10</x:v>
      </x:c>
    </x:row>
    <x:row r="4484" ht="93" customHeight="1">
      <x:c r="A4484" s="19" t="n">
        <x:v>4481</x:v>
      </x:c>
      <x:c r="B4484" s="22" t="e">
        <x:f>HYPERLINK("https://cdn.shopify.com/s/files/1/0918/6066/4603/files/O1CN01C2L0uv2214sXgKts4__2219480337059-0-cib.jpg?v=1774067864","Open")</x:f>
        <x:v>HYPERLINK is not implemented. linkLocation=https://cdn.shopify.com/s/files/1/0918/6066/4603/files/O1CN01C2L0uv2214sXgKts4__2219480337059-0-cib.jpg?v=1774067864, friendlyName=Open</x:v>
      </x:c>
      <x:c r="C4484" s="24" t="e">
        <x:f>HYPERLINK("https://365nails.com/products/365nails-ocean-whimsy-handmade-cute-short-oval-press-on-nails-with-marine-life-design","365Nails: ""Ocean Whimsy"" – Handmade Cute Short Oval Press On Nails With Marine Life Design")</x:f>
        <x:v>HYPERLINK is not implemented. linkLocation=https://365nails.com/products/365nails-ocean-whimsy-handmade-cute-short-oval-press-on-nails-with-marine-life-design, friendlyName=365Nails: "Ocean Whimsy" – Handmade Cute Short Oval Press On Nails With Marine Life Design</x:v>
      </x:c>
      <x:c r="D4484" s="18" t="str">
        <x:v>Color: Underwater world; Color classification: Xs (about 2 years old) / S (3-4 years old) / M (5-7 years old) / L (8-11 years old)</x:v>
      </x:c>
      <x:c r="E4484" s="25" t="str">
        <x:v>$2.99</x:v>
      </x:c>
      <x:c r="F4484" s="19" t="str">
        <x:v>3</x:v>
      </x:c>
    </x:row>
    <x:row r="4485" ht="93" customHeight="1">
      <x:c r="A4485" s="19" t="n">
        <x:v>4482</x:v>
      </x:c>
      <x:c r="B4485" s="22" t="e">
        <x:f>HYPERLINK("https://cdn.shopify.com/s/files/1/0918/6066/4603/files/O1CN01Usi4pm2MQzfML3NWQ__2219089449823-0-cib.jpg?v=1774452955","Open")</x:f>
        <x:v>HYPERLINK is not implemented. linkLocation=https://cdn.shopify.com/s/files/1/0918/6066/4603/files/O1CN01Usi4pm2MQzfML3NWQ__2219089449823-0-cib.jpg?v=1774452955, friendlyName=Open</x:v>
      </x:c>
      <x:c r="C4485" s="24" t="e">
        <x:f>HYPERLINK("https://365nails.com/products/blush-floral-pink-cherry-dots-almond-shape-handmade-press-ons","Blush Floral: ""Pink Cherry Dots"" – Almond Shape Handmade Press-Ons")</x:f>
        <x:v>HYPERLINK is not implemented. linkLocation=https://365nails.com/products/blush-floral-pink-cherry-dots-almond-shape-handmade-press-ons, friendlyName=Blush Floral: "Pink Cherry Dots" – Almond Shape Handmade Press-Ons</x:v>
      </x:c>
      <x:c r="D4485" s="18" t="str">
        <x:v>Color: D386; Color classification: X s / S / M / L</x:v>
      </x:c>
      <x:c r="E4485" s="25" t="str">
        <x:v>$3.49</x:v>
      </x:c>
      <x:c r="F4485" s="19" t="str">
        <x:v>1</x:v>
      </x:c>
    </x:row>
    <x:row r="4486" ht="93" customHeight="1">
      <x:c r="A4486" s="19" t="n">
        <x:v>4483</x:v>
      </x:c>
      <x:c r="B4486" s="22" t="e">
        <x:f>HYPERLINK("https://cdn.shopify.com/s/files/1/0918/6066/4603/files/aab18fc1653e7590b27a84fc1c4bde52.jpg?v=1776172635","Open")</x:f>
        <x:v>HYPERLINK is not implemented. linkLocation=https://cdn.shopify.com/s/files/1/0918/6066/4603/files/aab18fc1653e7590b27a84fc1c4bde52.jpg?v=1776172635, friendlyName=Open</x:v>
      </x:c>
      <x:c r="C4486" s="24" t="e">
        <x:f>HYPERLINK("https://365nails.com/products/365nails-pingus-playground-3d-character-checkered-handmade-short-square-nails","365nails: ""Pingu's Playground"" – 3D Character &amp; Checkered Handmade Short Square Nails")</x:f>
        <x:v>HYPERLINK is not implemented. linkLocation=https://365nails.com/products/365nails-pingus-playground-3d-character-checkered-handmade-short-square-nails, friendlyName=365nails: "Pingu's Playground" – 3D Character &amp; Checkered Handmade Short Square Nails</x:v>
      </x:c>
      <x:c r="D4486" s="18" t="str">
        <x:v>Size: XS / S / M / L</x:v>
      </x:c>
      <x:c r="E4486" s="25" t="str">
        <x:v>$1.99</x:v>
      </x:c>
      <x:c r="F4486" s="19" t="str">
        <x:v>3</x:v>
      </x:c>
    </x:row>
    <x:row r="4487" ht="93" customHeight="1">
      <x:c r="A4487" s="19" t="n">
        <x:v>4484</x:v>
      </x:c>
      <x:c r="B4487" s="22" t="e">
        <x:f>HYPERLINK("https://cdn.shopify.com/s/files/1/0918/6066/4603/files/O1CN01H1YPtt1CPwJoGpZ6P__2213196780074-0-cib.jpg?v=1775979080","Open")</x:f>
        <x:v>HYPERLINK is not implemented. linkLocation=https://cdn.shopify.com/s/files/1/0918/6066/4603/files/O1CN01H1YPtt1CPwJoGpZ6P__2213196780074-0-cib.jpg?v=1775979080, friendlyName=Open</x:v>
      </x:c>
      <x:c r="C4487" s="24" t="e">
        <x:f>HYPERLINK("https://365nails.com/products/365nails-oceans-whisper-3d-floral-handmade-coffin-nails","365nails: ""Ocean's Whisper"" – 3D Floral Handmade Coffin Nails")</x:f>
        <x:v>HYPERLINK is not implemented. linkLocation=https://365nails.com/products/365nails-oceans-whisper-3d-floral-handmade-coffin-nails, friendlyName=365nails: "Ocean's Whisper" – 3D Floral Handmade Coffin Nails</x:v>
      </x:c>
      <x:c r="D4487" s="18" t="str">
        <x:v>Color: Extra small size xs / Small s / Medium m / Large l; Specification type: 2515 medium oval</x:v>
      </x:c>
      <x:c r="E4487" s="25" t="str">
        <x:v>$3.49</x:v>
      </x:c>
      <x:c r="F4487" s="19" t="str">
        <x:v>3</x:v>
      </x:c>
    </x:row>
    <x:row r="4488" ht="93" customHeight="1">
      <x:c r="A4488" s="19" t="n">
        <x:v>4485</x:v>
      </x:c>
      <x:c r="B4488" s="22" t="e">
        <x:f>HYPERLINK("https://cdn.shopify.com/s/files/1/0918/6066/4603/files/O1CN01VJYmbi2MQze9vrgvj__2219089449823-0-cib.jpg?v=1774097104","Open")</x:f>
        <x:v>HYPERLINK is not implemented. linkLocation=https://cdn.shopify.com/s/files/1/0918/6066/4603/files/O1CN01VJYmbi2MQze9vrgvj__2219089449823-0-cib.jpg?v=1774097104, friendlyName=Open</x:v>
      </x:c>
      <x:c r="C4488" s="24" t="e">
        <x:f>HYPERLINK("https://365nails.com/products/rainbow-bloom-candy-garden-almond-press-ons","Rainbow Bloom: ""Candy Garden"" – Almond Press-Ons")</x:f>
        <x:v>HYPERLINK is not implemented. linkLocation=https://365nails.com/products/rainbow-bloom-candy-garden-almond-press-ons, friendlyName=Rainbow Bloom: "Candy Garden" – Almond Press-Ons</x:v>
      </x:c>
      <x:c r="D4488" s="18" t="str">
        <x:v>Color: D405; Color classification: X s / S / M / L</x:v>
      </x:c>
      <x:c r="E4488" s="25" t="str">
        <x:v>$3.99</x:v>
      </x:c>
      <x:c r="F4488" s="19" t="str">
        <x:v>1</x:v>
      </x:c>
    </x:row>
    <x:row r="4489" ht="93" customHeight="1">
      <x:c r="A4489" s="19" t="n">
        <x:v>4486</x:v>
      </x:c>
      <x:c r="B4489" s="22" t="e">
        <x:f>HYPERLINK("https://cdn.shopify.com/s/files/1/0918/6066/4603/files/4c67e659e94fd5466cd607733277054e.jpg?v=1778244704","Open")</x:f>
        <x:v>HYPERLINK is not implemented. linkLocation=https://cdn.shopify.com/s/files/1/0918/6066/4603/files/4c67e659e94fd5466cd607733277054e.jpg?v=1778244704, friendlyName=Open</x:v>
      </x:c>
      <x:c r="C4489" s="24" t="e">
        <x:f>HYPERLINK("https://365nails.com/products/365nails-crimson-rabbit-3d-character-cat-eye-handmade-stiletto-nails","365nails: ""Crimson Rabbit"" – 3D Character &amp; Cat Eye Handmade Stiletto Nails")</x:f>
        <x:v>HYPERLINK is not implemented. linkLocation=https://365nails.com/products/365nails-crimson-rabbit-3d-character-cat-eye-handmade-stiletto-nails, friendlyName=365nails: "Crimson Rabbit" – 3D Character &amp; Cat Eye Handmade Stiletto Nails</x:v>
      </x:c>
      <x:c r="D4489" s="18" t="str">
        <x:v>Size: XS / S / M / L</x:v>
      </x:c>
      <x:c r="E4489" s="25" t="str">
        <x:v>$3.99</x:v>
      </x:c>
      <x:c r="F4489" s="19" t="str">
        <x:v>5</x:v>
      </x:c>
    </x:row>
    <x:row r="4490" ht="93" customHeight="1">
      <x:c r="A4490" s="19" t="n">
        <x:v>4487</x:v>
      </x:c>
      <x:c r="B4490" s="22" t="e">
        <x:f>HYPERLINK("https://cdn.shopify.com/s/files/1/0918/6066/4603/files/O1CN01AOMPA01CPwJNfjXV6__2213196780074-0-cib_bccb67c9-3d96-40de-8348-acbe790c9c8e.jpg?v=1774605211","Open")</x:f>
        <x:v>HYPERLINK is not implemented. linkLocation=https://cdn.shopify.com/s/files/1/0918/6066/4603/files/O1CN01AOMPA01CPwJNfjXV6__2213196780074-0-cib_bccb67c9-3d96-40de-8348-acbe790c9c8e.jpg?v=1774605211, friendlyName=Open</x:v>
      </x:c>
      <x:c r="C4490" s="24" t="e">
        <x:f>HYPERLINK("https://365nails.com/products/365nails-kittys-playground-3d-cartoon-character-crystal-square-nails","365nails: ""Kitty's Playground"" – 3D Cartoon Character &amp; Crystal Square Nails")</x:f>
        <x:v>HYPERLINK is not implemented. linkLocation=https://365nails.com/products/365nails-kittys-playground-3d-cartoon-character-crystal-square-nails, friendlyName=365nails: "Kitty's Playground" – 3D Cartoon Character &amp; Crystal Square Nails</x:v>
      </x:c>
      <x:c r="D4490" s="18" t="str">
        <x:v>Color: Extra small size xs / Small s / Medium m / Large l; Specification type: 2274-short round</x:v>
      </x:c>
      <x:c r="E4490" s="25" t="str">
        <x:v>$3.49</x:v>
      </x:c>
      <x:c r="F4490" s="19" t="str">
        <x:v>1</x:v>
      </x:c>
    </x:row>
    <x:row r="4491" ht="93" customHeight="1">
      <x:c r="A4491" s="19" t="n">
        <x:v>4488</x:v>
      </x:c>
      <x:c r="B4491" s="22" t="e">
        <x:f>HYPERLINK("https://cdn.shopify.com/s/files/1/0918/6066/4603/files/O1CN01cRi2OS2MQzdIIoKP2__2219089449823-0-cib.jpg?v=1774348854","Open")</x:f>
        <x:v>HYPERLINK is not implemented. linkLocation=https://cdn.shopify.com/s/files/1/0918/6066/4603/files/O1CN01cRi2OS2MQzdIIoKP2__2219089449823-0-cib.jpg?v=1774348854, friendlyName=Open</x:v>
      </x:c>
      <x:c r="C4491" s="24" t="e">
        <x:f>HYPERLINK("https://365nails.com/products/pink-punk-rebel-y2k-gothic-collection","Pink Punk Rebel"" – Y2K Gothic Collection")</x:f>
        <x:v>HYPERLINK is not implemented. linkLocation=https://365nails.com/products/pink-punk-rebel-y2k-gothic-collection, friendlyName=Pink Punk Rebel" – Y2K Gothic Collection</x:v>
      </x:c>
      <x:c r="D4491" s="18" t="str">
        <x:v>Color: M111; Color classification: X s / S / M / L</x:v>
      </x:c>
      <x:c r="E4491" s="25" t="str">
        <x:v>$4.99</x:v>
      </x:c>
      <x:c r="F4491" s="19" t="str">
        <x:v>1</x:v>
      </x:c>
    </x:row>
    <x:row r="4492" ht="93" customHeight="1">
      <x:c r="A4492" s="19" t="n">
        <x:v>4489</x:v>
      </x:c>
      <x:c r="B4492" s="22" t="e">
        <x:f>HYPERLINK("https://cdn.shopify.com/s/files/1/0918/6066/4603/files/69f6db2f71f60d928ea1be2d72ddd6ff.jpg?v=1775912130","Open")</x:f>
        <x:v>HYPERLINK is not implemented. linkLocation=https://cdn.shopify.com/s/files/1/0918/6066/4603/files/69f6db2f71f60d928ea1be2d72ddd6ff.jpg?v=1775912130, friendlyName=Open</x:v>
      </x:c>
      <x:c r="C4492" s="24" t="e">
        <x:f>HYPERLINK("https://365nails.com/products/365nails-tropical-breeze-3d-floral-handmade-stiletto-nails","365nails: ""Tropical Breeze"" – 3D Floral Handmade Stiletto Nails")</x:f>
        <x:v>HYPERLINK is not implemented. linkLocation=https://365nails.com/products/365nails-tropical-breeze-3d-floral-handmade-stiletto-nails, friendlyName=365nails: "Tropical Breeze" – 3D Floral Handmade Stiletto Nails</x:v>
      </x:c>
      <x:c r="D4492" s="18" t="str">
        <x:v>Size: XS / S / M / L</x:v>
      </x:c>
      <x:c r="E4492" s="25" t="str">
        <x:v>$3.99</x:v>
      </x:c>
      <x:c r="F4492" s="19" t="str">
        <x:v>5</x:v>
      </x:c>
    </x:row>
    <x:row r="4493" ht="93" customHeight="1">
      <x:c r="A4493" s="19" t="n">
        <x:v>4490</x:v>
      </x:c>
      <x:c r="B4493" s="22" t="e">
        <x:f>HYPERLINK("https://cdn.shopify.com/s/files/1/0918/6066/4603/files/2fc0566aac798debd9dee389a1792107.jpg?v=1773306630","Open")</x:f>
        <x:v>HYPERLINK is not implemented. linkLocation=https://cdn.shopify.com/s/files/1/0918/6066/4603/files/2fc0566aac798debd9dee389a1792107.jpg?v=1773306630, friendlyName=Open</x:v>
      </x:c>
      <x:c r="C4493" s="24" t="e">
        <x:f>HYPERLINK("https://365nails.com/products/365nails-purple-black-floral-bow-handmade-press-on-toenails-pedicure","365nails: ""purple black floral bow"" – handmade press-on toenails / pedicure")</x:f>
        <x:v>HYPERLINK is not implemented. linkLocation=https://365nails.com/products/365nails-purple-black-floral-bow-handmade-press-on-toenails-pedicure, friendlyName=365nails: "purple black floral bow" – handmade press-on toenails / pedicure</x:v>
      </x:c>
      <x:c r="D4493" s="18" t="str">
        <x:v>Size: XS / S / M / L</x:v>
      </x:c>
      <x:c r="E4493" s="25" t="str">
        <x:v>$2.99</x:v>
      </x:c>
      <x:c r="F4493" s="19" t="str">
        <x:v>3</x:v>
      </x:c>
    </x:row>
    <x:row r="4494" ht="93" customHeight="1">
      <x:c r="A4494" s="19" t="n">
        <x:v>4491</x:v>
      </x:c>
      <x:c r="B4494" s="22" t="e">
        <x:f>HYPERLINK("https://cdn.shopify.com/s/files/1/0918/6066/4603/files/31a12c8f0e261ea820895900ea3268d7.jpg?v=1776153930","Open")</x:f>
        <x:v>HYPERLINK is not implemented. linkLocation=https://cdn.shopify.com/s/files/1/0918/6066/4603/files/31a12c8f0e261ea820895900ea3268d7.jpg?v=1776153930, friendlyName=Open</x:v>
      </x:c>
      <x:c r="C4494" s="24" t="e">
        <x:f>HYPERLINK("https://365nails.com/products/365nails-kitty-paw-party-3d-cat-paw-print-handmade-short-square-nails","365nails: ""Kitty Paw Party"" – 3D Cat &amp; Paw Print Handmade Short Square Nails")</x:f>
        <x:v>HYPERLINK is not implemented. linkLocation=https://365nails.com/products/365nails-kitty-paw-party-3d-cat-paw-print-handmade-short-square-nails, friendlyName=365nails: "Kitty Paw Party" – 3D Cat &amp; Paw Print Handmade Short Square Nails</x:v>
      </x:c>
      <x:c r="D4494" s="18" t="str">
        <x:v>Size: XS / S / M / L</x:v>
      </x:c>
      <x:c r="E4494" s="25" t="str">
        <x:v>$1.99</x:v>
      </x:c>
      <x:c r="F4494" s="19" t="str">
        <x:v>3</x:v>
      </x:c>
    </x:row>
    <x:row r="4495" ht="93" customHeight="1">
      <x:c r="A4495" s="19" t="n">
        <x:v>4492</x:v>
      </x:c>
      <x:c r="B4495" s="22" t="e">
        <x:f>HYPERLINK("https://cdn.shopify.com/s/files/1/0918/6066/4603/files/O1CN01VNPCt42214saSXWDC__2219480337059-0-cib.jpg?v=1774068330","Open")</x:f>
        <x:v>HYPERLINK is not implemented. linkLocation=https://cdn.shopify.com/s/files/1/0918/6066/4603/files/O1CN01VNPCt42214saSXWDC__2219480337059-0-cib.jpg?v=1774068330, friendlyName=Open</x:v>
      </x:c>
      <x:c r="C4495" s="24" t="e">
        <x:f>HYPERLINK("https://365nails.com/products/365nails-sanrio-pastel-bow-garden-handmade-cute-short-oval-press-on-nails","365Nails: ""Sanrio Pastel Bow Garden"" – Handmade Cute Short Oval Press On Nails")</x:f>
        <x:v>HYPERLINK is not implemented. linkLocation=https://365nails.com/products/365nails-sanrio-pastel-bow-garden-handmade-cute-short-oval-press-on-nails, friendlyName=365Nails: "Sanrio Pastel Bow Garden" – Handmade Cute Short Oval Press On Nails</x:v>
      </x:c>
      <x:c r="D4495" s="18" t="str">
        <x:v>Color: Mikko bow; Color classification: Xs (about 2 years old) / S (3-4 years old) / M (5-7 years old) / L (8-11 years old)</x:v>
      </x:c>
      <x:c r="E4495" s="25" t="str">
        <x:v>$2.99</x:v>
      </x:c>
      <x:c r="F4495" s="19" t="str">
        <x:v>3</x:v>
      </x:c>
    </x:row>
    <x:row r="4496" ht="93" customHeight="1">
      <x:c r="A4496" s="19" t="n">
        <x:v>4493</x:v>
      </x:c>
      <x:c r="B4496" s="22" t="e">
        <x:f>HYPERLINK("https://cdn.shopify.com/s/files/1/0918/6066/4603/files/O1CN01lVYqXJ247beejNgXW__2209064737344-0-cib_02cb88f0-f82b-4a14-ab85-2651768e7613.jpg?v=1772707699","Open")</x:f>
        <x:v>HYPERLINK is not implemented. linkLocation=https://cdn.shopify.com/s/files/1/0918/6066/4603/files/O1CN01lVYqXJ247beejNgXW__2209064737344-0-cib_02cb88f0-f82b-4a14-ab85-2651768e7613.jpg?v=1772707699, friendlyName=Open</x:v>
      </x:c>
      <x:c r="C4496" s="24" t="e">
        <x:f>HYPERLINK("https://365nails.com/products/365nails-dual-form-nail-tips-414-415-long-coffin-clear-nail-extensions","365nails: ""Dual-Form Nail Tips (414/415)"" – Long Coffin Clear Nail Extensions")</x:f>
        <x:v>HYPERLINK is not implemented. linkLocation=https://365nails.com/products/365nails-dual-form-nail-tips-414-415-long-coffin-clear-nail-extensions, friendlyName=365nails: "Dual-Form Nail Tips (414/415)" – Long Coffin Clear Nail Extensions</x:v>
      </x:c>
      <x:c r="D4496" s="18" t="str">
        <x:v>Color: 414 - short, shallow stickers - 30 pieces/strip / 415-shallow long ladder-30 pieces/strip</x:v>
      </x:c>
      <x:c r="E4496" s="25" t="str">
        <x:v>$0.19</x:v>
      </x:c>
      <x:c r="F4496" s="19" t="str">
        <x:v>10</x:v>
      </x:c>
    </x:row>
    <x:row r="4497" ht="93" customHeight="1">
      <x:c r="A4497" s="19" t="n">
        <x:v>4494</x:v>
      </x:c>
      <x:c r="B4497" s="22" t="e">
        <x:f>HYPERLINK("https://cdn.shopify.com/s/files/1/0918/6066/4603/files/bed3f29a4e083127a8c0aece983f72dd.jpg?v=1776173237","Open")</x:f>
        <x:v>HYPERLINK is not implemented. linkLocation=https://cdn.shopify.com/s/files/1/0918/6066/4603/files/bed3f29a4e083127a8c0aece983f72dd.jpg?v=1776173237, friendlyName=Open</x:v>
      </x:c>
      <x:c r="C4497" s="24" t="e">
        <x:f>HYPERLINK("https://365nails.com/products/365nails-sweet-bow-kitty-3d-character-bow-handmade-short-square-nails","365nails: ""Sweet Bow Kitty"" – 3D Character &amp; Bow Handmade Short Square Nails")</x:f>
        <x:v>HYPERLINK is not implemented. linkLocation=https://365nails.com/products/365nails-sweet-bow-kitty-3d-character-bow-handmade-short-square-nails, friendlyName=365nails: "Sweet Bow Kitty" – 3D Character &amp; Bow Handmade Short Square Nails</x:v>
      </x:c>
      <x:c r="D4497" s="18" t="str">
        <x:v>Size: XS / S / M / L</x:v>
      </x:c>
      <x:c r="E4497" s="25" t="str">
        <x:v>$1.99</x:v>
      </x:c>
      <x:c r="F4497" s="19" t="str">
        <x:v>3</x:v>
      </x:c>
    </x:row>
    <x:row r="4498" ht="93" customHeight="1">
      <x:c r="A4498" s="19" t="n">
        <x:v>4495</x:v>
      </x:c>
      <x:c r="B4498" s="22" t="e">
        <x:f>HYPERLINK("https://cdn.shopify.com/s/files/1/0918/6066/4603/files/095847ac6a5457dd30b749649831cc39_2ba4c926-5131-4a07-a0be-85f39e82fe6d.jpg?v=1773909366","Open")</x:f>
        <x:v>HYPERLINK is not implemented. linkLocation=https://cdn.shopify.com/s/files/1/0918/6066/4603/files/095847ac6a5457dd30b749649831cc39_2ba4c926-5131-4a07-a0be-85f39e82fe6d.jpg?v=1773909366, friendlyName=Open</x:v>
      </x:c>
      <x:c r="C4498" s="24" t="e">
        <x:f>HYPERLINK("https://365nails.com/products/365nails-dark-bone-lace-handmade-press-on-nails","365Nails: ""Dark Bone Lace"" – handmade press-on nails")</x:f>
        <x:v>HYPERLINK is not implemented. linkLocation=https://365nails.com/products/365nails-dark-bone-lace-handmade-press-on-nails, friendlyName=365Nails: "Dark Bone Lace" – handmade press-on nails</x:v>
      </x:c>
      <x:c r="D4498" s="18" t="str">
        <x:v>Size: XS / S / M / L</x:v>
      </x:c>
      <x:c r="E4498" s="25" t="str">
        <x:v>$3.99</x:v>
      </x:c>
      <x:c r="F4498" s="19" t="str">
        <x:v>5</x:v>
      </x:c>
    </x:row>
    <x:row r="4499" ht="93" customHeight="1">
      <x:c r="A4499" s="19" t="n">
        <x:v>4496</x:v>
      </x:c>
      <x:c r="B4499" s="22" t="e">
        <x:f>HYPERLINK("https://cdn.shopify.com/s/files/1/0918/6066/4603/files/O1CN01Rjo85o1CPwNM0XqNL__2213196780074-0-cib_05b23dad-b312-48c1-9c3c-03fdc9597a40.jpg?v=1776850071","Open")</x:f>
        <x:v>HYPERLINK is not implemented. linkLocation=https://cdn.shopify.com/s/files/1/0918/6066/4603/files/O1CN01Rjo85o1CPwNM0XqNL__2213196780074-0-cib_05b23dad-b312-48c1-9c3c-03fdc9597a40.jpg?v=1776850071, friendlyName=Open</x:v>
      </x:c>
      <x:c r="C4499" s="24" t="e">
        <x:f>HYPERLINK("https://365nails.com/products/365nails-peach-blossom-3d-floral-french-tip-handmade-short-square-nails","365nails: ""Peach Blossom"" – 3D Floral &amp; French Tip Handmade Short Square Nails")</x:f>
        <x:v>HYPERLINK is not implemented. linkLocation=https://365nails.com/products/365nails-peach-blossom-3d-floral-french-tip-handmade-short-square-nails, friendlyName=365nails: "Peach Blossom" – 3D Floral &amp; French Tip Handmade Short Square Nails</x:v>
      </x:c>
      <x:c r="D4499" s="18" t="str">
        <x:v>Color: 195 - medium oval; Color classification: Xs / S / M / L</x:v>
      </x:c>
      <x:c r="E4499" s="25" t="str">
        <x:v>$3.99</x:v>
      </x:c>
      <x:c r="F4499" s="19" t="str">
        <x:v>1</x:v>
      </x:c>
    </x:row>
    <x:row r="4500" ht="93" customHeight="1">
      <x:c r="A4500" s="19" t="n">
        <x:v>4497</x:v>
      </x:c>
      <x:c r="B4500" s="22" t="e">
        <x:f>HYPERLINK("https://cdn.shopify.com/s/files/1/0918/6066/4603/files/2dffd0c30f7264a555c7465d87b0c8e4.jpg?v=1755139132","Open")</x:f>
        <x:v>HYPERLINK is not implemented. linkLocation=https://cdn.shopify.com/s/files/1/0918/6066/4603/files/2dffd0c30f7264a555c7465d87b0c8e4.jpg?v=1755139132, friendlyName=Open</x:v>
      </x:c>
      <x:c r="C4500" s="24" t="e">
        <x:f>HYPERLINK("https://365nails.com/products/nail-tips-semi-full-sticker-light-sticker-extended-water-pipe-nail-240-pieces-xxxl-thin-dog-transparent-manicure-patch-fake-nail","Semi-Full Nail Tips Light Stickers, XXXL Thin Transparent Extension Nail Patches, 240 Pieces  (MOQ=3)")</x:f>
        <x:v>HYPERLINK is not implemented. linkLocation=https://365nails.com/products/nail-tips-semi-full-sticker-light-sticker-extended-water-pipe-nail-240-pieces-xxxl-thin-dog-transparent-manicure-patch-fake-nail, friendlyName=Semi-Full Nail Tips Light Stickers, XXXL Thin Transparent Extension Nail Patches, 240 Pieces  (MOQ=3)</x:v>
      </x:c>
      <x:c r="D4500" s="18" t="str">
        <x:v>Color: 115-240 pieces transparent-extra long denim armor / 115-240 Natural-Extra Long Denim Armor / 125-240 pieces transparent-extra long water pipe armor / 125-240 Natural-Extra Long Water Pipe Armor / 126-240 pieces transparent-extra long square head armor / 126-240 Natural - Extra Long Square Nail / 130-240 pieces transparent-super long water drop nail / 130-240 Tablets Natural - Extra Long Water Drop Nail / 134-240 Pieces Transparent - Extra Long Ballet Nail / 134-240 Natural - Extra Long Ballet Nail / 141-240 Natural - Half-Stick Long Tip Armor / 141-240 Transparent - Semi-stick Long Tip Armor / 162-240 pieces transparent-semi-sticky pointed armor / 162-240 Natural - Semi-Stick Pointed Nail / 163-240 Pieces Transparent-Half Ballet Nail / 163-240 Natural - Half Ballet Nail / 168-240 pieces transparent - full sticker / 168-240 pieces natural - full sticker; Quantity: 3pcs</x:v>
      </x:c>
      <x:c r="E4500" s="25" t="str">
        <x:v>$3.27</x:v>
      </x:c>
      <x:c r="F4500" s="19" t="str">
        <x:v>1</x:v>
      </x:c>
    </x:row>
    <x:row r="4501" ht="93" customHeight="1">
      <x:c r="A4501" s="19" t="n">
        <x:v>4498</x:v>
      </x:c>
      <x:c r="B4501" s="22" t="e">
        <x:f>HYPERLINK("https://cdn.shopify.com/s/files/1/0918/6066/4603/files/e68a8f1206d4bfb66a3ebaf1083596ef.jpg?v=1775906276","Open")</x:f>
        <x:v>HYPERLINK is not implemented. linkLocation=https://cdn.shopify.com/s/files/1/0918/6066/4603/files/e68a8f1206d4bfb66a3ebaf1083596ef.jpg?v=1775906276, friendlyName=Open</x:v>
      </x:c>
      <x:c r="C4501" s="24" t="e">
        <x:f>HYPERLINK("https://365nails.com/products/365nails-sapphire-dreams-3d-floral-ombre-handmade-square-nails","365nails: ""Sapphire Dreams"" – 3D Floral &amp; Ombré Handmade Square Nails")</x:f>
        <x:v>HYPERLINK is not implemented. linkLocation=https://365nails.com/products/365nails-sapphire-dreams-3d-floral-ombre-handmade-square-nails, friendlyName=365nails: "Sapphire Dreams" – 3D Floral &amp; Ombré Handmade Square Nails</x:v>
      </x:c>
      <x:c r="D4501" s="18" t="str">
        <x:v>Size: XS / S / M / L</x:v>
      </x:c>
      <x:c r="E4501" s="25" t="str">
        <x:v>$3.99</x:v>
      </x:c>
      <x:c r="F4501" s="19" t="str">
        <x:v>5</x:v>
      </x:c>
    </x:row>
    <x:row r="4502" ht="93" customHeight="1">
      <x:c r="A4502" s="19" t="n">
        <x:v>4499</x:v>
      </x:c>
      <x:c r="B4502" s="22" t="e">
        <x:f>HYPERLINK("https://cdn.shopify.com/s/files/1/0918/6066/4603/files/O1CN01jdok7s2MQze22NLva__2219089449823-0-cib.jpg?v=1774097075","Open")</x:f>
        <x:v>HYPERLINK is not implemented. linkLocation=https://cdn.shopify.com/s/files/1/0918/6066/4603/files/O1CN01jdok7s2MQze22NLva__2219089449823-0-cib.jpg?v=1774097075, friendlyName=Open</x:v>
      </x:c>
      <x:c r="C4502" s="24" t="e">
        <x:f>HYPERLINK("https://365nails.com/products/hologram-bloom-rainbow-flower-almond-press-ons","Hologram Bloom: ""Rainbow Flower"" – Almond Press-Ons")</x:f>
        <x:v>HYPERLINK is not implemented. linkLocation=https://365nails.com/products/hologram-bloom-rainbow-flower-almond-press-ons, friendlyName=Hologram Bloom: "Rainbow Flower" – Almond Press-Ons</x:v>
      </x:c>
      <x:c r="D4502" s="18" t="str">
        <x:v>Color: D52; Color classification: X s / S / M / L</x:v>
      </x:c>
      <x:c r="E4502" s="25" t="str">
        <x:v>$3.99</x:v>
      </x:c>
      <x:c r="F4502" s="19" t="str">
        <x:v>1</x:v>
      </x:c>
    </x:row>
    <x:row r="4503" ht="93" customHeight="1">
      <x:c r="A4503" s="19" t="n">
        <x:v>4500</x:v>
      </x:c>
      <x:c r="B4503" s="22" t="e">
        <x:f>HYPERLINK("https://cdn.shopify.com/s/files/1/0918/6066/4603/files/O1CN01oypO6x1CPwKOXPRh3__2213196780074-0-cib.jpg?v=1777014318","Open")</x:f>
        <x:v>HYPERLINK is not implemented. linkLocation=https://cdn.shopify.com/s/files/1/0918/6066/4603/files/O1CN01oypO6x1CPwKOXPRh3__2213196780074-0-cib.jpg?v=1777014318, friendlyName=Open</x:v>
      </x:c>
      <x:c r="C4503" s="24" t="e">
        <x:f>HYPERLINK("https://365nails.com/products/365nails-mythic-legend-3d-character-art-handmade-coffin-nails","365nails: ""Mythic Legend"" – 3D Character Art Handmade Coffin Nails")</x:f>
        <x:v>HYPERLINK is not implemented. linkLocation=https://365nails.com/products/365nails-mythic-legend-3d-character-art-handmade-coffin-nails, friendlyName=365nails: "Mythic Legend" – 3D Character Art Handmade Coffin Nails</x:v>
      </x:c>
      <x:c r="D4503" s="18" t="str">
        <x:v>Color: 2432 long ladder; Color classification: Extra small size xs / Small s / Medium m / Large l</x:v>
      </x:c>
      <x:c r="E4503" s="25" t="str">
        <x:v>$4.49</x:v>
      </x:c>
      <x:c r="F4503" s="19" t="str">
        <x:v>1</x:v>
      </x:c>
    </x:row>
    <x:row r="4504" ht="93" customHeight="1">
      <x:c r="A4504" s="19" t="n">
        <x:v>4501</x:v>
      </x:c>
      <x:c r="B4504" s="22" t="e">
        <x:f>HYPERLINK("https://cdn.shopify.com/s/files/1/0918/6066/4603/files/4d99fa39b2face8f6907afe53b1aa2cb.jpg?v=1776153543","Open")</x:f>
        <x:v>HYPERLINK is not implemented. linkLocation=https://cdn.shopify.com/s/files/1/0918/6066/4603/files/4d99fa39b2face8f6907afe53b1aa2cb.jpg?v=1776153543, friendlyName=Open</x:v>
      </x:c>
      <x:c r="C4504" s="24" t="e">
        <x:f>HYPERLINK("https://365nails.com/products/365nails-sunny-day-picnic-3d-character-fruit-handmade-short-square-nails","365nails: ""Sunny Day Picnic"" – 3D Character &amp; Fruit Handmade Short Square Nails")</x:f>
        <x:v>HYPERLINK is not implemented. linkLocation=https://365nails.com/products/365nails-sunny-day-picnic-3d-character-fruit-handmade-short-square-nails, friendlyName=365nails: "Sunny Day Picnic" – 3D Character &amp; Fruit Handmade Short Square Nails</x:v>
      </x:c>
      <x:c r="D4504" s="18" t="str">
        <x:v>Size: XS / S / M / L</x:v>
      </x:c>
      <x:c r="E4504" s="25" t="str">
        <x:v>$1.99</x:v>
      </x:c>
      <x:c r="F4504" s="19" t="str">
        <x:v>3</x:v>
      </x:c>
    </x:row>
    <x:row r="4505" ht="93" customHeight="1">
      <x:c r="A4505" s="19" t="n">
        <x:v>4502</x:v>
      </x:c>
      <x:c r="B4505" s="22" t="e">
        <x:f>HYPERLINK("https://cdn.shopify.com/s/files/1/0918/6066/4603/files/O1CN01TnkZgd2214vjQ22ZI__2219480337059-0-cib.jpg?v=1774067987","Open")</x:f>
        <x:v>HYPERLINK is not implemented. linkLocation=https://cdn.shopify.com/s/files/1/0918/6066/4603/files/O1CN01TnkZgd2214vjQ22ZI__2219480337059-0-cib.jpg?v=1774067987, friendlyName=Open</x:v>
      </x:c>
      <x:c r="C4505" s="24" t="e">
        <x:f>HYPERLINK("https://365nails.com/products/365nails-tiger-cub-carnival-handmade-cute-short-oval-press-on-nails-with-garfield-tiger-stripe-design","365Nails: ""Tiger Cub Carnival"" – Handmade Cute Short Oval Press On Nails With Garfield &amp; Tiger Stripe Design")</x:f>
        <x:v>HYPERLINK is not implemented. linkLocation=https://365nails.com/products/365nails-tiger-cub-carnival-handmade-cute-short-oval-press-on-nails-with-garfield-tiger-stripe-design, friendlyName=365Nails: "Tiger Cub Carnival" – Handmade Cute Short Oval Press On Nails With Garfield &amp; Tiger Stripe Design</x:v>
      </x:c>
      <x:c r="D4505" s="18" t="str">
        <x:v>Color: 10323 playful garfield; Color classification: Xs (about 2 years old) / S (3-4 years old) / M (5-7 years old) / L (8-11 years old)</x:v>
      </x:c>
      <x:c r="E4505" s="25" t="str">
        <x:v>$2.99</x:v>
      </x:c>
      <x:c r="F4505" s="19" t="str">
        <x:v>3</x:v>
      </x:c>
    </x:row>
    <x:row r="4506" ht="93" customHeight="1">
      <x:c r="A4506" s="19" t="n">
        <x:v>4503</x:v>
      </x:c>
      <x:c r="B4506" s="22" t="e">
        <x:f>HYPERLINK("https://cdn.shopify.com/s/files/1/0918/6066/4603/files/O1CN01A6Uj3B2MQzfFrBeDx__2219089449823-0-cib.jpg?v=1774452916","Open")</x:f>
        <x:v>HYPERLINK is not implemented. linkLocation=https://cdn.shopify.com/s/files/1/0918/6066/4603/files/O1CN01A6Uj3B2MQzfFrBeDx__2219089449823-0-cib.jpg?v=1774452916, friendlyName=Open</x:v>
      </x:c>
      <x:c r="C4506" s="24" t="e">
        <x:f>HYPERLINK("https://365nails.com/products/wild-elegance-leopard-lily-noir-almond-shape-handmade-press-ons","Wild Elegance: ""Leopard Lily Noir"" – Almond Shape Handmade Press-Ons")</x:f>
        <x:v>HYPERLINK is not implemented. linkLocation=https://365nails.com/products/wild-elegance-leopard-lily-noir-almond-shape-handmade-press-ons, friendlyName=Wild Elegance: "Leopard Lily Noir" – Almond Shape Handmade Press-Ons</x:v>
      </x:c>
      <x:c r="D4506" s="18" t="str">
        <x:v>Color: D596; Color classification: X s / S / M / L</x:v>
      </x:c>
      <x:c r="E4506" s="25" t="str">
        <x:v>$3.49</x:v>
      </x:c>
      <x:c r="F4506" s="19" t="str">
        <x:v>1</x:v>
      </x:c>
    </x:row>
    <x:row r="4507" ht="93" customHeight="1">
      <x:c r="A4507" s="19" t="n">
        <x:v>4504</x:v>
      </x:c>
      <x:c r="B4507" s="22" t="e">
        <x:f>HYPERLINK("https://cdn.shopify.com/s/files/1/0918/6066/4603/files/d2ff2e1d86e95be4429e4e6142053182.jpg?v=1778240532","Open")</x:f>
        <x:v>HYPERLINK is not implemented. linkLocation=https://cdn.shopify.com/s/files/1/0918/6066/4603/files/d2ff2e1d86e95be4429e4e6142053182.jpg?v=1778240532, friendlyName=Open</x:v>
      </x:c>
      <x:c r="C4507" s="24" t="e">
        <x:f>HYPERLINK("https://365nails.com/products/365nails-puppy-love-3d-dog-bowknot-handmade-medium-almond-nails","365nails: ""Puppy Love"" – 3D Dog &amp; Bowknot Handmade Medium Almond Nails")</x:f>
        <x:v>HYPERLINK is not implemented. linkLocation=https://365nails.com/products/365nails-puppy-love-3d-dog-bowknot-handmade-medium-almond-nails, friendlyName=365nails: "Puppy Love" – 3D Dog &amp; Bowknot Handmade Medium Almond Nails</x:v>
      </x:c>
      <x:c r="D4507" s="18" t="str">
        <x:v>Size: XS / S / M / L</x:v>
      </x:c>
      <x:c r="E4507" s="25" t="str">
        <x:v>$4.99</x:v>
      </x:c>
      <x:c r="F4507" s="19" t="str">
        <x:v>5</x:v>
      </x:c>
    </x:row>
    <x:row r="4508" ht="93" customHeight="1">
      <x:c r="A4508" s="19" t="n">
        <x:v>4505</x:v>
      </x:c>
      <x:c r="B4508" s="22" t="e">
        <x:f>HYPERLINK("https://cdn.shopify.com/s/files/1/0918/6066/4603/files/O1CN01MFI8Af2MQzf8YtdXI__2219089449823-0-cib.jpg?v=1774452882","Open")</x:f>
        <x:v>HYPERLINK is not implemented. linkLocation=https://cdn.shopify.com/s/files/1/0918/6066/4603/files/O1CN01MFI8Af2MQzf8YtdXI__2219089449823-0-cib.jpg?v=1774452882, friendlyName=Open</x:v>
      </x:c>
      <x:c r="C4508" s="24" t="e">
        <x:f>HYPERLINK("https://365nails.com/products/crimson-gold-scarlet-bloom-opulence-almond-shape-handmade-press-ons","Crimson Gold: ""Scarlet Bloom Opulence"" – Almond Shape Handmade Press-Ons")</x:f>
        <x:v>HYPERLINK is not implemented. linkLocation=https://365nails.com/products/crimson-gold-scarlet-bloom-opulence-almond-shape-handmade-press-ons, friendlyName=Crimson Gold: "Scarlet Bloom Opulence" – Almond Shape Handmade Press-Ons</x:v>
      </x:c>
      <x:c r="D4508" s="18" t="str">
        <x:v>Color: K038; Color classification: X s / S / M / L</x:v>
      </x:c>
      <x:c r="E4508" s="25" t="str">
        <x:v>$3.99</x:v>
      </x:c>
      <x:c r="F4508" s="19" t="str">
        <x:v>1</x:v>
      </x:c>
    </x:row>
    <x:row r="4509" ht="93" customHeight="1">
      <x:c r="A4509" s="19" t="n">
        <x:v>4506</x:v>
      </x:c>
      <x:c r="B4509" s="22" t="e">
        <x:f>HYPERLINK("https://cdn.shopify.com/s/files/1/0918/6066/4603/files/95f3c8e6503948947f97a4fcff15dfe1.jpg?v=1775911536","Open")</x:f>
        <x:v>HYPERLINK is not implemented. linkLocation=https://cdn.shopify.com/s/files/1/0918/6066/4603/files/95f3c8e6503948947f97a4fcff15dfe1.jpg?v=1775911536, friendlyName=Open</x:v>
      </x:c>
      <x:c r="C4509" s="24" t="e">
        <x:f>HYPERLINK("https://365nails.com/products/365nails-blue-gothic-3d-floral-cross-handmade-stiletto-nails","365nails: ""Blue Gothic"" – 3D Floral Cross Handmade Stiletto Nails")</x:f>
        <x:v>HYPERLINK is not implemented. linkLocation=https://365nails.com/products/365nails-blue-gothic-3d-floral-cross-handmade-stiletto-nails, friendlyName=365nails: "Blue Gothic" – 3D Floral Cross Handmade Stiletto Nails</x:v>
      </x:c>
      <x:c r="D4509" s="18" t="str">
        <x:v>Size: XS / S / M / L</x:v>
      </x:c>
      <x:c r="E4509" s="25" t="str">
        <x:v>$3.99</x:v>
      </x:c>
      <x:c r="F4509" s="19" t="str">
        <x:v>5</x:v>
      </x:c>
    </x:row>
    <x:row r="4510" ht="93" customHeight="1">
      <x:c r="A4510" s="19" t="n">
        <x:v>4507</x:v>
      </x:c>
      <x:c r="B4510" s="22" t="e">
        <x:f>HYPERLINK("https://cdn.shopify.com/s/files/1/0918/6066/4603/files/6322a36f9bb8e4cb0ee29e9410f0b25f.jpg?v=1773306540","Open")</x:f>
        <x:v>HYPERLINK is not implemented. linkLocation=https://cdn.shopify.com/s/files/1/0918/6066/4603/files/6322a36f9bb8e4cb0ee29e9410f0b25f.jpg?v=1773306540, friendlyName=Open</x:v>
      </x:c>
      <x:c r="C4510" s="24" t="e">
        <x:f>HYPERLINK("https://365nails.com/products/365nails-silver-glitter-crackle-handmade-press-on-toenails-pedicure","365nails: ""silver glitter crackle"" – handmade press-on toenails / pedicure")</x:f>
        <x:v>HYPERLINK is not implemented. linkLocation=https://365nails.com/products/365nails-silver-glitter-crackle-handmade-press-on-toenails-pedicure, friendlyName=365nails: "silver glitter crackle" – handmade press-on toenails / pedicure</x:v>
      </x:c>
      <x:c r="D4510" s="18" t="str">
        <x:v>Size: XS / S / M / L</x:v>
      </x:c>
      <x:c r="E4510" s="25" t="str">
        <x:v>$2.99</x:v>
      </x:c>
      <x:c r="F4510" s="19" t="str">
        <x:v>3</x:v>
      </x:c>
    </x:row>
    <x:row r="4511" ht="93" customHeight="1">
      <x:c r="A4511" s="19" t="n">
        <x:v>4508</x:v>
      </x:c>
      <x:c r="B4511" s="22" t="e">
        <x:f>HYPERLINK("https://cdn.shopify.com/s/files/1/0918/6066/4603/files/138c6a9a4e792c19cc6a03adea94bdff.jpg?v=1772707670","Open")</x:f>
        <x:v>HYPERLINK is not implemented. linkLocation=https://cdn.shopify.com/s/files/1/0918/6066/4603/files/138c6a9a4e792c19cc6a03adea94bdff.jpg?v=1772707670, friendlyName=Open</x:v>
      </x:c>
      <x:c r="C4511" s="24" t="e">
        <x:f>HYPERLINK("https://365nails.com/products/365nails-matte-half-cover-nail-tips-long-coffin-nail-extensions","365nails: ""Matte Half-cover Nail Tips"" – Long Coffin Nail Extensions")</x:f>
        <x:v>HYPERLINK is not implemented. linkLocation=https://365nails.com/products/365nails-matte-half-cover-nail-tips-long-coffin-nail-extensions, friendlyName=365nails: "Matte Half-cover Nail Tips" – Long Coffin Nail Extensions</x:v>
      </x:c>
      <x:c r="D4511" s="18" t="str">
        <x:v>Color: Ys-265 frosted half cover short nail tips 240pcs / Ys-266 frosted half cover long nail tips 240pcs</x:v>
      </x:c>
      <x:c r="E4511" s="25" t="str">
        <x:v>$1.46</x:v>
      </x:c>
      <x:c r="F4511" s="19" t="str">
        <x:v>3</x:v>
      </x:c>
    </x:row>
    <x:row r="4512" ht="93" customHeight="1">
      <x:c r="A4512" s="19" t="n">
        <x:v>4509</x:v>
      </x:c>
      <x:c r="B4512" s="22" t="e">
        <x:f>HYPERLINK("https://cdn.shopify.com/s/files/1/0918/6066/4603/files/O1CN01vvILYe2214uCvJUKq__2219480337059-0-cib.jpg?v=1774067766","Open")</x:f>
        <x:v>HYPERLINK is not implemented. linkLocation=https://cdn.shopify.com/s/files/1/0918/6066/4603/files/O1CN01vvILYe2214uCvJUKq__2219480337059-0-cib.jpg?v=1774067766, friendlyName=Open</x:v>
      </x:c>
      <x:c r="C4512" s="24" t="e">
        <x:f>HYPERLINK("https://365nails.com/products/365nails-melody-summer-breeze-handmade-cute-short-oval-press-on-nails-with-watermelon-bunny-design","365Nails: ""Melody Summer Breeze"" – Handmade Cute Short Oval Press On Nails With Watermelon &amp; Bunny Design")</x:f>
        <x:v>HYPERLINK is not implemented. linkLocation=https://365nails.com/products/365nails-melody-summer-breeze-handmade-cute-short-oval-press-on-nails-with-watermelon-bunny-design, friendlyName=365Nails: "Melody Summer Breeze" – Handmade Cute Short Oval Press On Nails With Watermelon &amp; Bunny Design</x:v>
      </x:c>
      <x:c r="D4512" s="18" t="str">
        <x:v>Color: Big watermelon melody; Color classification: Xs (about 2 years old) / S (3-4 years old) / M (5-7 years old) / L (8-11 years old)</x:v>
      </x:c>
      <x:c r="E4512" s="25" t="str">
        <x:v>$2.99</x:v>
      </x:c>
      <x:c r="F4512" s="19" t="str">
        <x:v>3</x:v>
      </x:c>
    </x:row>
    <x:row r="4513" ht="93" customHeight="1">
      <x:c r="A4513" s="19" t="n">
        <x:v>4510</x:v>
      </x:c>
      <x:c r="B4513" s="22" t="e">
        <x:f>HYPERLINK("https://cdn.shopify.com/s/files/1/0918/6066/4603/files/O1CN01wiE0LW2MQzg1xfbZL__2219089449823-0-cib.jpg?v=1774349068","Open")</x:f>
        <x:v>HYPERLINK is not implemented. linkLocation=https://cdn.shopify.com/s/files/1/0918/6066/4603/files/O1CN01wiE0LW2MQzg1xfbZL__2219089449823-0-cib.jpg?v=1774349068, friendlyName=Open</x:v>
      </x:c>
      <x:c r="C4513" s="24" t="e">
        <x:f>HYPERLINK("https://365nails.com/products/365nails-colorful-floral-gradient-medium-almond-multicolor-floral-handmade-press-on-nails","365nails: ""Colorful Floral Gradient"" – Medium Almond Multicolor Floral Handmade Press-On Nails")</x:f>
        <x:v>HYPERLINK is not implemented. linkLocation=https://365nails.com/products/365nails-colorful-floral-gradient-medium-almond-multicolor-floral-handmade-press-on-nails, friendlyName=365nails: "Colorful Floral Gradient" – Medium Almond Multicolor Floral Handmade Press-On Nails</x:v>
      </x:c>
      <x:c r="D4513" s="18" t="str">
        <x:v>Color: D270; Color classification: X s / S / M / L</x:v>
      </x:c>
      <x:c r="E4513" s="25" t="str">
        <x:v>$3.49</x:v>
      </x:c>
      <x:c r="F4513" s="19" t="str">
        <x:v>1</x:v>
      </x:c>
    </x:row>
    <x:row r="4514" ht="93" customHeight="1">
      <x:c r="A4514" s="19" t="n">
        <x:v>4511</x:v>
      </x:c>
      <x:c r="B4514" s="22" t="e">
        <x:f>HYPERLINK("https://cdn.shopify.com/s/files/1/0918/6066/4603/files/O1CN01NrNs1G2214sLBCpyp__2219480337059-0-cib_e2d35923-156f-42b5-b680-a7e6a7d471f3.jpg?v=1774069750","Open")</x:f>
        <x:v>HYPERLINK is not implemented. linkLocation=https://cdn.shopify.com/s/files/1/0918/6066/4603/files/O1CN01NrNs1G2214sLBCpyp__2219480337059-0-cib_e2d35923-156f-42b5-b680-a7e6a7d471f3.jpg?v=1774069750, friendlyName=Open</x:v>
      </x:c>
      <x:c r="C4514" s="24" t="e">
        <x:f>HYPERLINK("https://365nails.com/products/365nails-ne-zhas-fiery-adventure-handmade-cute-short-oval-press-on-nails","365Nails: ""Ne Zha's Fiery Adventure"" – Handmade Cute Short Oval Press On Nails")</x:f>
        <x:v>HYPERLINK is not implemented. linkLocation=https://365nails.com/products/365nails-ne-zhas-fiery-adventure-handmade-cute-short-oval-press-on-nails, friendlyName=365Nails: "Ne Zha's Fiery Adventure" – Handmade Cute Short Oval Press On Nails</x:v>
      </x:c>
      <x:c r="D4514" s="18" t="str">
        <x:v>Color: Cute nezha; Color classification: Extra small (xs) / Small size s / Medium size m / Large size l</x:v>
      </x:c>
      <x:c r="E4514" s="25" t="str">
        <x:v>$2.99</x:v>
      </x:c>
      <x:c r="F4514" s="19" t="str">
        <x:v>3</x:v>
      </x:c>
    </x:row>
    <x:row r="4515" ht="93" customHeight="1">
      <x:c r="A4515" s="19" t="n">
        <x:v>4512</x:v>
      </x:c>
      <x:c r="B4515" s="22" t="e">
        <x:f>HYPERLINK("https://cdn.shopify.com/s/files/1/0918/6066/4603/files/10703955fab64852045817829c794a5c.jpg?v=1776414948","Open")</x:f>
        <x:v>HYPERLINK is not implemented. linkLocation=https://cdn.shopify.com/s/files/1/0918/6066/4603/files/10703955fab64852045817829c794a5c.jpg?v=1776414948, friendlyName=Open</x:v>
      </x:c>
      <x:c r="C4515" s="24" t="e">
        <x:f>HYPERLINK("https://365nails.com/products/365nails-azure-blossom-handpainted-floral-feather-handmade-short-square-nails","365nails: ""Azure Blossom"" – Handpainted Floral &amp; Feather Handmade Short Square Nails")</x:f>
        <x:v>HYPERLINK is not implemented. linkLocation=https://365nails.com/products/365nails-azure-blossom-handpainted-floral-feather-handmade-short-square-nails, friendlyName=365nails: "Azure Blossom" – Handpainted Floral &amp; Feather Handmade Short Square Nails</x:v>
      </x:c>
      <x:c r="D4515" s="18" t="str">
        <x:v>Size: XS / S / M / L</x:v>
      </x:c>
      <x:c r="E4515" s="25" t="str">
        <x:v>$2.49</x:v>
      </x:c>
      <x:c r="F4515" s="19" t="str">
        <x:v>5</x:v>
      </x:c>
    </x:row>
    <x:row r="4516" ht="93" customHeight="1">
      <x:c r="A4516" s="19" t="n">
        <x:v>4513</x:v>
      </x:c>
      <x:c r="B4516" s="22" t="e">
        <x:f>HYPERLINK("https://cdn.shopify.com/s/files/1/0918/6066/4603/files/O1CN01vO8vBp247bhlwtZi5__2209064737344-0-cib_6e1dc693-88b7-4d01-aec5-914d8a0a6516.jpg?v=1772707724","Open")</x:f>
        <x:v>HYPERLINK is not implemented. linkLocation=https://cdn.shopify.com/s/files/1/0918/6066/4603/files/O1CN01vO8vBp247bhlwtZi5__2209064737344-0-cib_6e1dc693-88b7-4d01-aec5-914d8a0a6516.jpg?v=1772707724, friendlyName=Open</x:v>
      </x:c>
      <x:c r="C4516" s="24" t="e">
        <x:f>HYPERLINK("https://365nails.com/products/365nails-matte-seamless-no-file-nail-tips-multi-shape-nail-extensions","365nails: ""Matte Seamless No-File Nail Tips"" – Multi-Shape Nail Extensions")</x:f>
        <x:v>HYPERLINK is not implemented. linkLocation=https://365nails.com/products/365nails-matte-seamless-no-file-nail-tips-multi-shape-nail-extensions, friendlyName=365nails: "Matte Seamless No-File Nail Tips" – Multi-Shape Nail Extensions</x:v>
      </x:c>
      <x:c r="D4516" s="18" t="str">
        <x:v>Color: 419 short almond * 120 slices / 421 short round * 120 pieces / 420 square meters*120 pieces</x:v>
      </x:c>
      <x:c r="E4516" s="25" t="str">
        <x:v>$0.85</x:v>
      </x:c>
      <x:c r="F4516" s="19" t="str">
        <x:v>3</x:v>
      </x:c>
    </x:row>
    <x:row r="4517" ht="93" customHeight="1">
      <x:c r="A4517" s="19" t="n">
        <x:v>4514</x:v>
      </x:c>
      <x:c r="B4517" s="22" t="e">
        <x:f>HYPERLINK("https://cdn.shopify.com/s/files/1/0918/6066/4603/files/O1CN01PAXQBb1CPwPtjO5US__2213196780074-0-cib.jpg?v=1776515513","Open")</x:f>
        <x:v>HYPERLINK is not implemented. linkLocation=https://cdn.shopify.com/s/files/1/0918/6066/4603/files/O1CN01PAXQBb1CPwPtjO5US__2213196780074-0-cib.jpg?v=1776515513, friendlyName=Open</x:v>
      </x:c>
      <x:c r="C4517" s="24" t="e">
        <x:f>HYPERLINK("https://365nails.com/products/365nails-crimson-fire-3d-textured-red-glitter-handmade-coffin-nails","365nails: ""Crimson Fire"" – 3D Textured Red Glitter Handmade Coffin Nails")</x:f>
        <x:v>HYPERLINK is not implemented. linkLocation=https://365nails.com/products/365nails-crimson-fire-3d-textured-red-glitter-handmade-coffin-nails, friendlyName=365nails: "Crimson Fire" – 3D Textured Red Glitter Handmade Coffin Nails</x:v>
      </x:c>
      <x:c r="D4517" s="18" t="str">
        <x:v>Color: 1034-duckbill armor; Color classification: Extra small size xs / Small s / Medium m / Large l</x:v>
      </x:c>
      <x:c r="E4517" s="25" t="str">
        <x:v>$3.99</x:v>
      </x:c>
      <x:c r="F4517" s="19" t="str">
        <x:v>1</x:v>
      </x:c>
    </x:row>
    <x:row r="4518" ht="93" customHeight="1">
      <x:c r="A4518" s="19" t="n">
        <x:v>4515</x:v>
      </x:c>
      <x:c r="B4518" s="22" t="e">
        <x:f>HYPERLINK("https://cdn.shopify.com/s/files/1/0918/6066/4603/files/f836d299a39d49d6349b5d08edfc8d31.jpg?v=1776410466","Open")</x:f>
        <x:v>HYPERLINK is not implemented. linkLocation=https://cdn.shopify.com/s/files/1/0918/6066/4603/files/f836d299a39d49d6349b5d08edfc8d31.jpg?v=1776410466, friendlyName=Open</x:v>
      </x:c>
      <x:c r="C4518" s="24" t="e">
        <x:f>HYPERLINK("https://365nails.com/products/365nails-celestial-blue-3d-figure-handmade-coffin-nails","365nails: ""Celestial Blue"" – 3D Figure Handmade Coffin Nails-5.5cm")</x:f>
        <x:v>HYPERLINK is not implemented. linkLocation=https://365nails.com/products/365nails-celestial-blue-3d-figure-handmade-coffin-nails, friendlyName=365nails: "Celestial Blue" – 3D Figure Handmade Coffin Nails-5.5cm</x:v>
      </x:c>
      <x:c r="D4518" s="18" t="str">
        <x:v>Size: XS / S / M / L</x:v>
      </x:c>
      <x:c r="E4518" s="25" t="str">
        <x:v>$7.99</x:v>
      </x:c>
      <x:c r="F4518" s="19" t="str">
        <x:v>10</x:v>
      </x:c>
    </x:row>
    <x:row r="4519" ht="93" customHeight="1">
      <x:c r="A4519" s="19" t="n">
        <x:v>4516</x:v>
      </x:c>
      <x:c r="B4519" s="22" t="e">
        <x:f>HYPERLINK("https://cdn.shopify.com/s/files/1/0918/6066/4603/files/O1CN01K4ZqHw27ZUmWikuFe__2220024697811-0-cib.jpg?v=1775106311","Open")</x:f>
        <x:v>HYPERLINK is not implemented. linkLocation=https://cdn.shopify.com/s/files/1/0918/6066/4603/files/O1CN01K4ZqHw27ZUmWikuFe__2220024697811-0-cib.jpg?v=1775106311, friendlyName=Open</x:v>
      </x:c>
      <x:c r="C4519" s="24" t="e">
        <x:f>HYPERLINK("https://365nails.com/products/365nails-celestial-mosaic-hand-painted-art-gold-foil-handmade-almond-nails","365nails: ""Celestial Mosaic"" – Hand-Painted Art &amp; Gold Foil Handmade Almond Nails")</x:f>
        <x:v>HYPERLINK is not implemented. linkLocation=https://365nails.com/products/365nails-celestial-mosaic-hand-painted-art-gold-foil-handmade-almond-nails, friendlyName=365nails: "Celestial Mosaic" – Hand-Painted Art &amp; Gold Foil Handmade Almond Nails</x:v>
      </x:c>
      <x:c r="D4519" s="18" t="str">
        <x:v>Color: Almond; Color classification: Xs / S / M / L</x:v>
      </x:c>
      <x:c r="E4519" s="25" t="str">
        <x:v>$4.49</x:v>
      </x:c>
      <x:c r="F4519" s="19" t="str">
        <x:v>3</x:v>
      </x:c>
    </x:row>
    <x:row r="4520" ht="93" customHeight="1">
      <x:c r="A4520" s="19" t="n">
        <x:v>4517</x:v>
      </x:c>
      <x:c r="B4520" s="22" t="e">
        <x:f>HYPERLINK("https://cdn.shopify.com/s/files/1/0918/6066/4603/files/574909eb2f6478762a5cddfd8b10d130.jpg?v=1776416898","Open")</x:f>
        <x:v>HYPERLINK is not implemented. linkLocation=https://cdn.shopify.com/s/files/1/0918/6066/4603/files/574909eb2f6478762a5cddfd8b10d130.jpg?v=1776416898, friendlyName=Open</x:v>
      </x:c>
      <x:c r="C4520" s="24" t="e">
        <x:f>HYPERLINK("https://365nails.com/products/365nails-velvet-blush-3d-floral-handmade-medium-almond-nails","365nails: ""Velvet Blush"" – 3D Floral Handmade Medium Almond Nails")</x:f>
        <x:v>HYPERLINK is not implemented. linkLocation=https://365nails.com/products/365nails-velvet-blush-3d-floral-handmade-medium-almond-nails, friendlyName=365nails: "Velvet Blush" – 3D Floral Handmade Medium Almond Nails</x:v>
      </x:c>
      <x:c r="D4520" s="18" t="str">
        <x:v>Size: XS / S / M / L</x:v>
      </x:c>
      <x:c r="E4520" s="25" t="str">
        <x:v>$3.99</x:v>
      </x:c>
      <x:c r="F4520" s="19" t="str">
        <x:v>5</x:v>
      </x:c>
    </x:row>
    <x:row r="4521" ht="93" customHeight="1">
      <x:c r="A4521" s="19" t="n">
        <x:v>4518</x:v>
      </x:c>
      <x:c r="B4521" s="22" t="e">
        <x:f>HYPERLINK("https://cdn.shopify.com/s/files/1/0918/6066/4603/files/2afc4b77391b8578dc638a9f33960657.jpg?v=1776326440","Open")</x:f>
        <x:v>HYPERLINK is not implemented. linkLocation=https://cdn.shopify.com/s/files/1/0918/6066/4603/files/2afc4b77391b8578dc638a9f33960657.jpg?v=1776326440, friendlyName=Open</x:v>
      </x:c>
      <x:c r="C4521" s="24" t="e">
        <x:f>HYPERLINK("https://365nails.com/products/365nails-kittys-autumn-picnic-3d-character-fox-handmade-short-square-nails","365nails: ""Kitty's Autumn Picnic"" – 3D Character &amp; Fox Handmade Short Square Nails")</x:f>
        <x:v>HYPERLINK is not implemented. linkLocation=https://365nails.com/products/365nails-kittys-autumn-picnic-3d-character-fox-handmade-short-square-nails, friendlyName=365nails: "Kitty's Autumn Picnic" – 3D Character &amp; Fox Handmade Short Square Nails</x:v>
      </x:c>
      <x:c r="D4521" s="18" t="str">
        <x:v>Size: XS / S / M / L</x:v>
      </x:c>
      <x:c r="E4521" s="25" t="str">
        <x:v>$3.99</x:v>
      </x:c>
      <x:c r="F4521" s="19" t="str">
        <x:v>5</x:v>
      </x:c>
    </x:row>
    <x:row r="4522" ht="93" customHeight="1">
      <x:c r="A4522" s="19" t="n">
        <x:v>4519</x:v>
      </x:c>
      <x:c r="B4522" s="22" t="e">
        <x:f>HYPERLINK("https://cdn.shopify.com/s/files/1/0918/6066/4603/files/211b4cff971df6da012c8a2224e98e89.jpg?v=1778241648","Open")</x:f>
        <x:v>HYPERLINK is not implemented. linkLocation=https://cdn.shopify.com/s/files/1/0918/6066/4603/files/211b4cff971df6da012c8a2224e98e89.jpg?v=1778241648, friendlyName=Open</x:v>
      </x:c>
      <x:c r="C4522" s="24" t="e">
        <x:f>HYPERLINK("https://365nails.com/products/365nails-dreamy-wonderland-3d-bunny-floral-handmade-long-coffin-nails","365nails: ""Dreamy Wonderland"" – 3D Bunny &amp; Floral Handmade Long Coffin Nails")</x:f>
        <x:v>HYPERLINK is not implemented. linkLocation=https://365nails.com/products/365nails-dreamy-wonderland-3d-bunny-floral-handmade-long-coffin-nails, friendlyName=365nails: "Dreamy Wonderland" – 3D Bunny &amp; Floral Handmade Long Coffin Nails</x:v>
      </x:c>
      <x:c r="D4522" s="18" t="str">
        <x:v>Size: XS / S / M / L</x:v>
      </x:c>
      <x:c r="E4522" s="25" t="str">
        <x:v>$4.99</x:v>
      </x:c>
      <x:c r="F4522" s="19" t="str">
        <x:v>5</x:v>
      </x:c>
    </x:row>
    <x:row r="4523" ht="93" customHeight="1">
      <x:c r="A4523" s="19" t="n">
        <x:v>4520</x:v>
      </x:c>
      <x:c r="B4523" s="22" t="e">
        <x:f>HYPERLINK("https://cdn.shopify.com/s/files/1/0918/6066/4603/files/b11ef05352e7a5952378329e0b914f80.jpg?v=1776326558","Open")</x:f>
        <x:v>HYPERLINK is not implemented. linkLocation=https://cdn.shopify.com/s/files/1/0918/6066/4603/files/b11ef05352e7a5952378329e0b914f80.jpg?v=1776326558, friendlyName=Open</x:v>
      </x:c>
      <x:c r="C4523" s="24" t="e">
        <x:f>HYPERLINK("https://365nails.com/products/365nails-rainbow-friends-party-3d-cute-character-handmade-short-square-nails","365nails: ""Rainbow Friends Party"" – 3D Cute Character Handmade Short Square Nails")</x:f>
        <x:v>HYPERLINK is not implemented. linkLocation=https://365nails.com/products/365nails-rainbow-friends-party-3d-cute-character-handmade-short-square-nails, friendlyName=365nails: "Rainbow Friends Party" – 3D Cute Character Handmade Short Square Nails</x:v>
      </x:c>
      <x:c r="D4523" s="18" t="str">
        <x:v>Size: XS / S / M / L</x:v>
      </x:c>
      <x:c r="E4523" s="25" t="str">
        <x:v>$3.99</x:v>
      </x:c>
      <x:c r="F4523" s="19" t="str">
        <x:v>5</x:v>
      </x:c>
    </x:row>
    <x:row r="4524" ht="93" customHeight="1">
      <x:c r="A4524" s="19" t="n">
        <x:v>4521</x:v>
      </x:c>
      <x:c r="B4524" s="22" t="e">
        <x:f>HYPERLINK("https://cdn.shopify.com/s/files/1/0918/6066/4603/files/7b65f7e8ab69206dce094308e58d4a01.jpg?v=1776149866","Open")</x:f>
        <x:v>HYPERLINK is not implemented. linkLocation=https://cdn.shopify.com/s/files/1/0918/6066/4603/files/7b65f7e8ab69206dce094308e58d4a01.jpg?v=1776149866, friendlyName=Open</x:v>
      </x:c>
      <x:c r="C4524" s="24" t="e">
        <x:f>HYPERLINK("https://365nails.com/products/365nails-pink-ribbon-fantasy-3d-bow-heart-handmade-short-square-nails","365nails: ""Pink Ribbon Fantasy"" – 3D Bow &amp; Heart Handmade Short Square Nails")</x:f>
        <x:v>HYPERLINK is not implemented. linkLocation=https://365nails.com/products/365nails-pink-ribbon-fantasy-3d-bow-heart-handmade-short-square-nails, friendlyName=365nails: "Pink Ribbon Fantasy" – 3D Bow &amp; Heart Handmade Short Square Nails</x:v>
      </x:c>
      <x:c r="D4524" s="18" t="str">
        <x:v>Size: XS / S / M / L</x:v>
      </x:c>
      <x:c r="E4524" s="25" t="str">
        <x:v>$1.99</x:v>
      </x:c>
      <x:c r="F4524" s="19" t="str">
        <x:v>3</x:v>
      </x:c>
    </x:row>
    <x:row r="4525" ht="93" customHeight="1">
      <x:c r="A4525" s="19" t="n">
        <x:v>4522</x:v>
      </x:c>
      <x:c r="B4525" s="22" t="e">
        <x:f>HYPERLINK("https://cdn.shopify.com/s/files/1/0918/6066/4603/files/O1CN01fhIaWP1CPwKXxY5vo__2213196780074-0-cib.jpg?v=1776599061","Open")</x:f>
        <x:v>HYPERLINK is not implemented. linkLocation=https://cdn.shopify.com/s/files/1/0918/6066/4603/files/O1CN01fhIaWP1CPwKXxY5vo__2213196780074-0-cib.jpg?v=1776599061, friendlyName=Open</x:v>
      </x:c>
      <x:c r="C4525" s="24" t="e">
        <x:f>HYPERLINK("https://365nails.com/products/365nails-emerald-galaxy-3d-skull-holographic-glitter-handmade-short-square-nails","365nails: ""Emerald Galaxy"" – 3D Skull &amp; Holographic Glitter Handmade Short Square Nails")</x:f>
        <x:v>HYPERLINK is not implemented. linkLocation=https://365nails.com/products/365nails-emerald-galaxy-3d-skull-holographic-glitter-handmade-short-square-nails, friendlyName=365nails: "Emerald Galaxy" – 3D Skull &amp; Holographic Glitter Handmade Short Square Nails</x:v>
      </x:c>
      <x:c r="D4525" s="18" t="str">
        <x:v>Color: Extra small size xs / Small s / Medium m / Large l; Specification type: 2728-super short ladder / 2730-new sino-sino</x:v>
      </x:c>
      <x:c r="E4525" s="25" t="str">
        <x:v>$3.49</x:v>
      </x:c>
      <x:c r="F4525" s="19" t="str">
        <x:v>1</x:v>
      </x:c>
    </x:row>
    <x:row r="4526" ht="93" customHeight="1">
      <x:c r="A4526" s="19" t="n">
        <x:v>4523</x:v>
      </x:c>
      <x:c r="B4526" s="22" t="e">
        <x:f>HYPERLINK("https://cdn.shopify.com/s/files/1/0918/6066/4603/files/O1CN01hhmU2M1CPwPwHDGA6__2213196780074-0-cib.jpg?v=1776765405","Open")</x:f>
        <x:v>HYPERLINK is not implemented. linkLocation=https://cdn.shopify.com/s/files/1/0918/6066/4603/files/O1CN01hhmU2M1CPwPwHDGA6__2213196780074-0-cib.jpg?v=1776765405, friendlyName=Open</x:v>
      </x:c>
      <x:c r="C4526" s="24" t="e">
        <x:f>HYPERLINK("https://365nails.com/products/365nails-crimson-velvet-crystal-french-tip-handmade-almond-nails","365nails: ""Crimson Velvet"" – Crystal French Tip Handmade Almond Nails")</x:f>
        <x:v>HYPERLINK is not implemented. linkLocation=https://365nails.com/products/365nails-crimson-velvet-crystal-french-tip-handmade-almond-nails, friendlyName=365nails: "Crimson Velvet" – Crystal French Tip Handmade Almond Nails</x:v>
      </x:c>
      <x:c r="D4526" s="18" t="str">
        <x:v>Color: 1592-long oval; Color classification: Extra small size xs / Small s / Medium m / Large l</x:v>
      </x:c>
      <x:c r="E4526" s="25" t="str">
        <x:v>$3.99</x:v>
      </x:c>
      <x:c r="F4526" s="19" t="str">
        <x:v>1</x:v>
      </x:c>
    </x:row>
    <x:row r="4527" ht="93" customHeight="1">
      <x:c r="A4527" s="19" t="n">
        <x:v>4524</x:v>
      </x:c>
      <x:c r="B4527" s="22" t="e">
        <x:f>HYPERLINK("https://cdn.shopify.com/s/files/1/0918/6066/4603/files/1a63e23185da996938d78c19898aa759.jpg?v=1776415239","Open")</x:f>
        <x:v>HYPERLINK is not implemented. linkLocation=https://cdn.shopify.com/s/files/1/0918/6066/4603/files/1a63e23185da996938d78c19898aa759.jpg?v=1776415239, friendlyName=Open</x:v>
      </x:c>
      <x:c r="C4527" s="24" t="e">
        <x:f>HYPERLINK("https://365nails.com/products/365nails-blush-petals-3d-floral-crystal-handmade-medium-almond-nails","365nails: ""Blush Petals"" – 3D Floral &amp; Crystal Handmade Medium Almond Nails")</x:f>
        <x:v>HYPERLINK is not implemented. linkLocation=https://365nails.com/products/365nails-blush-petals-3d-floral-crystal-handmade-medium-almond-nails, friendlyName=365nails: "Blush Petals" – 3D Floral &amp; Crystal Handmade Medium Almond Nails</x:v>
      </x:c>
      <x:c r="D4527" s="18" t="str">
        <x:v>Size: XS / S / M / L</x:v>
      </x:c>
      <x:c r="E4527" s="25" t="str">
        <x:v>$2.49</x:v>
      </x:c>
      <x:c r="F4527" s="19" t="str">
        <x:v>5</x:v>
      </x:c>
    </x:row>
    <x:row r="4528" ht="93" customHeight="1">
      <x:c r="A4528" s="19" t="n">
        <x:v>4525</x:v>
      </x:c>
      <x:c r="B4528" s="22" t="e">
        <x:f>HYPERLINK("https://cdn.shopify.com/s/files/1/0918/6066/4603/files/9ba5718a2aa66a655fe53c51b4193c46.jpg?v=1778241243","Open")</x:f>
        <x:v>HYPERLINK is not implemented. linkLocation=https://cdn.shopify.com/s/files/1/0918/6066/4603/files/9ba5718a2aa66a655fe53c51b4193c46.jpg?v=1778241243, friendlyName=Open</x:v>
      </x:c>
      <x:c r="C4528" s="24" t="e">
        <x:f>HYPERLINK("https://365nails.com/products/365nails-wild-couture-3d-bow-leopard-print-handmade-long-stiletto-nails","365nails: ""Wild Couture"" – 3D Bow &amp; Leopard Print Handmade Long Stiletto Nails")</x:f>
        <x:v>HYPERLINK is not implemented. linkLocation=https://365nails.com/products/365nails-wild-couture-3d-bow-leopard-print-handmade-long-stiletto-nails, friendlyName=365nails: "Wild Couture" – 3D Bow &amp; Leopard Print Handmade Long Stiletto Nails</x:v>
      </x:c>
      <x:c r="D4528" s="18" t="str">
        <x:v>Size: XS / S / M / L</x:v>
      </x:c>
      <x:c r="E4528" s="25" t="str">
        <x:v>$4.99</x:v>
      </x:c>
      <x:c r="F4528" s="19" t="str">
        <x:v>5</x:v>
      </x:c>
    </x:row>
    <x:row r="4529" ht="93" customHeight="1">
      <x:c r="A4529" s="19" t="n">
        <x:v>4526</x:v>
      </x:c>
      <x:c r="B4529" s="22" t="e">
        <x:f>HYPERLINK("https://cdn.shopify.com/s/files/1/0918/6066/4603/files/O1CN01Yqkzcn1JOki0fK0Ec__933261019-0-cib.jpg?v=1772373420","Open")</x:f>
        <x:v>HYPERLINK is not implemented. linkLocation=https://cdn.shopify.com/s/files/1/0918/6066/4603/files/O1CN01Yqkzcn1JOki0fK0Ec__933261019-0-cib.jpg?v=1772373420, friendlyName=Open</x:v>
      </x:c>
      <x:c r="C4529" s="24" t="e">
        <x:f>HYPERLINK("https://365nails.com/products/modern-fantasy-collection-pink-crystal-wings-short-almond-press-on-nails","Modern Fantasy Collection: ""Pink Crystal Wings"" – Short Almond Press-On Nails")</x:f>
        <x:v>HYPERLINK is not implemented. linkLocation=https://365nails.com/products/modern-fantasy-collection-pink-crystal-wings-short-almond-press-on-nails, friendlyName=Modern Fantasy Collection: "Pink Crystal Wings" – Short Almond Press-On Nails</x:v>
      </x:c>
      <x:c r="D4529" s="18" t="str">
        <x:v>Color: Zx96-0074-4d01</x:v>
      </x:c>
      <x:c r="E4529" s="25" t="str">
        <x:v>$1.38</x:v>
      </x:c>
      <x:c r="F4529" s="19" t="str">
        <x:v>3</x:v>
      </x:c>
    </x:row>
    <x:row r="4530" ht="93" customHeight="1">
      <x:c r="A4530" s="19" t="n">
        <x:v>4527</x:v>
      </x:c>
      <x:c r="B4530" s="22" t="e">
        <x:f>HYPERLINK("https://cdn.shopify.com/s/files/1/0918/6066/4603/files/O1CN01q49w3N1CPwMqmRIFM__2213196780074-0-cib_81908718-f519-40d5-a2d4-bb2f23d0f0a8.jpg?v=1776764149","Open")</x:f>
        <x:v>HYPERLINK is not implemented. linkLocation=https://cdn.shopify.com/s/files/1/0918/6066/4603/files/O1CN01q49w3N1CPwMqmRIFM__2213196780074-0-cib_81908718-f519-40d5-a2d4-bb2f23d0f0a8.jpg?v=1776764149, friendlyName=Open</x:v>
      </x:c>
      <x:c r="C4530" s="24" t="e">
        <x:f>HYPERLINK("https://365nails.com/products/365nails-mercury-aura-iridescent-chrome-flame-stiletto-nails","365nails: ""Mercury Aura"" – Iridescent Chrome Flame Stiletto Nails")</x:f>
        <x:v>HYPERLINK is not implemented. linkLocation=https://365nails.com/products/365nails-mercury-aura-iridescent-chrome-flame-stiletto-nails, friendlyName=365nails: "Mercury Aura" – Iridescent Chrome Flame Stiletto Nails</x:v>
      </x:c>
      <x:c r="D4530" s="18" t="str">
        <x:v>Color: 1761-ab type a; Color classification: Xs / S / M / L</x:v>
      </x:c>
      <x:c r="E4530" s="25" t="str">
        <x:v>$3.99</x:v>
      </x:c>
      <x:c r="F4530" s="19" t="str">
        <x:v>1</x:v>
      </x:c>
    </x:row>
    <x:row r="4531" ht="93" customHeight="1">
      <x:c r="A4531" s="19" t="n">
        <x:v>4528</x:v>
      </x:c>
      <x:c r="B4531" s="22" t="e">
        <x:f>HYPERLINK("https://cdn.shopify.com/s/files/1/0918/6066/4603/files/b7467c7cedacb9da50b1a8d8735d6dbd.jpg?v=1776326498","Open")</x:f>
        <x:v>HYPERLINK is not implemented. linkLocation=https://cdn.shopify.com/s/files/1/0918/6066/4603/files/b7467c7cedacb9da50b1a8d8735d6dbd.jpg?v=1776326498, friendlyName=Open</x:v>
      </x:c>
      <x:c r="C4531" s="24" t="e">
        <x:f>HYPERLINK("https://365nails.com/products/365nails-candy-pop-carnival-3d-cartoon-character-handmade-short-square-nails","365nails: ""Candy Pop Carnival"" – 3D Cartoon Character Handmade Short Square Nails")</x:f>
        <x:v>HYPERLINK is not implemented. linkLocation=https://365nails.com/products/365nails-candy-pop-carnival-3d-cartoon-character-handmade-short-square-nails, friendlyName=365nails: "Candy Pop Carnival" – 3D Cartoon Character Handmade Short Square Nails</x:v>
      </x:c>
      <x:c r="D4531" s="18" t="str">
        <x:v>Size: XS / S / M / L</x:v>
      </x:c>
      <x:c r="E4531" s="25" t="str">
        <x:v>$3.99</x:v>
      </x:c>
      <x:c r="F4531" s="19" t="str">
        <x:v>5</x:v>
      </x:c>
    </x:row>
    <x:row r="4532" ht="93" customHeight="1">
      <x:c r="A4532" s="19" t="n">
        <x:v>4529</x:v>
      </x:c>
      <x:c r="B4532" s="22" t="e">
        <x:f>HYPERLINK("https://cdn.shopify.com/s/files/1/0918/6066/4603/files/O1CN01uFSI9w1rlpJQhBTqb__2215158925672-0-cib_88808d05-5469-4426-9171-2706986427ca.jpg?v=1772513752","Open")</x:f>
        <x:v>HYPERLINK is not implemented. linkLocation=https://cdn.shopify.com/s/files/1/0918/6066/4603/files/O1CN01uFSI9w1rlpJQhBTqb__2215158925672-0-cib_88808d05-5469-4426-9171-2706986427ca.jpg?v=1772513752, friendlyName=Open</x:v>
      </x:c>
      <x:c r="C4532" s="24" t="e">
        <x:f>HYPERLINK("https://365nails.com/products/365nails-avant-garde-frosted-sapphire-medium-almond-silver-glitter-blue-crystal-press-on-nails-24pcs","365nails: ""Cyber Starlight"" – Medium Almond Handmade Press-On Nails")</x:f>
        <x:v>HYPERLINK is not implemented. linkLocation=https://365nails.com/products/365nails-avant-garde-frosted-sapphire-medium-almond-silver-glitter-blue-crystal-press-on-nails-24pcs, friendlyName=365nails: "Cyber Starlight" – Medium Almond Handmade Press-On Nails</x:v>
      </x:c>
      <x:c r="D4532" s="18" t="str">
        <x:v>Color: Medium almond; Color classification: X s / S / M / L</x:v>
      </x:c>
      <x:c r="E4532" s="25" t="str">
        <x:v>$3.49</x:v>
      </x:c>
      <x:c r="F4532" s="19" t="str">
        <x:v>3</x:v>
      </x:c>
    </x:row>
    <x:row r="4533" ht="93" customHeight="1">
      <x:c r="A4533" s="19" t="n">
        <x:v>4530</x:v>
      </x:c>
      <x:c r="B4533" s="22" t="e">
        <x:f>HYPERLINK("https://cdn.shopify.com/s/files/1/0918/6066/4603/files/fbe4871435b81122788b3ed0e87bdc4a.jpg?v=1775912070","Open")</x:f>
        <x:v>HYPERLINK is not implemented. linkLocation=https://cdn.shopify.com/s/files/1/0918/6066/4603/files/fbe4871435b81122788b3ed0e87bdc4a.jpg?v=1775912070, friendlyName=Open</x:v>
      </x:c>
      <x:c r="C4533" s="24" t="e">
        <x:f>HYPERLINK("https://365nails.com/products/365nails-midnight-garden-3d-floral-handmade-stiletto-nails","365nails: ""Midnight Garden"" – 3D Floral Handmade Stiletto Nails")</x:f>
        <x:v>HYPERLINK is not implemented. linkLocation=https://365nails.com/products/365nails-midnight-garden-3d-floral-handmade-stiletto-nails, friendlyName=365nails: "Midnight Garden" – 3D Floral Handmade Stiletto Nails</x:v>
      </x:c>
      <x:c r="D4533" s="18" t="str">
        <x:v>Size: XS / S / M / L</x:v>
      </x:c>
      <x:c r="E4533" s="25" t="str">
        <x:v>$3.99</x:v>
      </x:c>
      <x:c r="F4533" s="19" t="str">
        <x:v>5</x:v>
      </x:c>
    </x:row>
    <x:row r="4534" ht="93" customHeight="1">
      <x:c r="A4534" s="19" t="n">
        <x:v>4531</x:v>
      </x:c>
      <x:c r="B4534" s="22" t="e">
        <x:f>HYPERLINK("https://cdn.shopify.com/s/files/1/0918/6066/4603/files/36779ce01baf8faf117de6c0f04bee16.jpg?v=1776153308","Open")</x:f>
        <x:v>HYPERLINK is not implemented. linkLocation=https://cdn.shopify.com/s/files/1/0918/6066/4603/files/36779ce01baf8faf117de6c0f04bee16.jpg?v=1776153308, friendlyName=Open</x:v>
      </x:c>
      <x:c r="C4534" s="24" t="e">
        <x:f>HYPERLINK("https://365nails.com/products/365nails-sweet-candy-shop-3d-chocolate-bean-handmade-short-square-nails","365nails: ""Sweet Candy Shop"" – 3D Chocolate Bean Handmade Short Square Nails")</x:f>
        <x:v>HYPERLINK is not implemented. linkLocation=https://365nails.com/products/365nails-sweet-candy-shop-3d-chocolate-bean-handmade-short-square-nails, friendlyName=365nails: "Sweet Candy Shop" – 3D Chocolate Bean Handmade Short Square Nails</x:v>
      </x:c>
      <x:c r="D4534" s="18" t="str">
        <x:v>Size: XS / S / M / L</x:v>
      </x:c>
      <x:c r="E4534" s="25" t="str">
        <x:v>$1.99</x:v>
      </x:c>
      <x:c r="F4534" s="19" t="str">
        <x:v>3</x:v>
      </x:c>
    </x:row>
    <x:row r="4535" ht="93" customHeight="1">
      <x:c r="A4535" s="19" t="n">
        <x:v>4532</x:v>
      </x:c>
      <x:c r="B4535" s="22" t="e">
        <x:f>HYPERLINK("https://cdn.shopify.com/s/files/1/0918/6066/4603/files/e9a32747541ba75dd3b4d2b55e331eef_af4482af-0c89-4058-b8e3-4b7db9fa4eb2.jpg?v=1773306467","Open")</x:f>
        <x:v>HYPERLINK is not implemented. linkLocation=https://cdn.shopify.com/s/files/1/0918/6066/4603/files/e9a32747541ba75dd3b4d2b55e331eef_af4482af-0c89-4058-b8e3-4b7db9fa4eb2.jpg?v=1773306467, friendlyName=Open</x:v>
      </x:c>
      <x:c r="C4535" s="24" t="e">
        <x:f>HYPERLINK("https://365nails.com/products/365nails-cat-eye-tiger-stripe-handmade-press-on-toenails-pedicure","365nails: ""cat eye tiger stripe"" – handmade press-on toenails / pedicure")</x:f>
        <x:v>HYPERLINK is not implemented. linkLocation=https://365nails.com/products/365nails-cat-eye-tiger-stripe-handmade-press-on-toenails-pedicure, friendlyName=365nails: "cat eye tiger stripe" – handmade press-on toenails / pedicure</x:v>
      </x:c>
      <x:c r="D4535" s="18" t="str">
        <x:v>Size: XS / S / M / L</x:v>
      </x:c>
      <x:c r="E4535" s="25" t="str">
        <x:v>$2.99</x:v>
      </x:c>
      <x:c r="F4535" s="19" t="str">
        <x:v>3</x:v>
      </x:c>
    </x:row>
    <x:row r="4536" ht="93" customHeight="1">
      <x:c r="A4536" s="19" t="n">
        <x:v>4533</x:v>
      </x:c>
      <x:c r="B4536" s="22" t="e">
        <x:f>HYPERLINK("https://cdn.shopify.com/s/files/1/0918/6066/4603/files/O1CN0131B3GC2214tpLCP9R__2219480337059-0-cib.jpg?v=1773831712","Open")</x:f>
        <x:v>HYPERLINK is not implemented. linkLocation=https://cdn.shopify.com/s/files/1/0918/6066/4603/files/O1CN0131B3GC2214tpLCP9R__2219480337059-0-cib.jpg?v=1773831712, friendlyName=Open</x:v>
      </x:c>
      <x:c r="C4536" s="24" t="e">
        <x:f>HYPERLINK("https://365nails.com/products/%E5%84%BF%E7%AB%A5%E6%89%8B%E5%B7%A5%E7%A9%BF%E6%88%B4%E7%94%B2%E5%9C%A3%E8%AF%9E%E6%A0%91%E9%9B%AA%E4%BA%BA-%E5%8D%A1%E9%80%9A%E5%8F%AF%E7%88%B1%E5%AE%9D%E5%AE%9D%E5%81%87%E6%8C%87%E7%94%B2%E8%B4%B4%E7%89%873-6-11%E5%B2%81%E7%BE%8E%E7%94%B2","365Nails: ""Snowman's Winter Wish"" – Handmade Cute Short Oval Press On Nails With Snowman &amp; Christmas Tree Design")</x:f>
        <x:v>HYPERLINK is not implemented. linkLocation=https://365nails.com/products/%E5%84%BF%E7%AB%A5%E6%89%8B%E5%B7%A5%E7%A9%BF%E6%88%B4%E7%94%B2%E5%9C%A3%E8%AF%9E%E6%A0%91%E9%9B%AA%E4%BA%BA-%E5%8D%A1%E9%80%9A%E5%8F%AF%E7%88%B1%E5%AE%9D%E5%AE%9D%E5%81%87%E6%8C%87%E7%94%B2%E8%B4%B4%E7%89%873-6-11%E5%B2%81%E7%BE%8E%E7%94%B2, friendlyName=365Nails: "Snowman's Winter Wish" – Handmade Cute Short Oval Press On Nails With Snowman &amp; Christmas Tree Design</x:v>
      </x:c>
      <x:c r="D4536" s="18" t="str">
        <x:v>Color: Christmas tree snowman; Color classification: Xs (about 2 years old) / S (3-4 years old) / M (5-7 years old) / L (8-11 years old)</x:v>
      </x:c>
      <x:c r="E4536" s="25" t="str">
        <x:v>$2.99</x:v>
      </x:c>
      <x:c r="F4536" s="19" t="str">
        <x:v>1</x:v>
      </x:c>
    </x:row>
    <x:row r="4537" ht="93" customHeight="1">
      <x:c r="A4537" s="19" t="n">
        <x:v>4534</x:v>
      </x:c>
      <x:c r="B4537" s="22" t="e">
        <x:f>HYPERLINK("https://cdn.shopify.com/s/files/1/0918/6066/4603/files/9008f490ca5f519ffdaa7ef4bc42c8ee.jpg?v=1776326624","Open")</x:f>
        <x:v>HYPERLINK is not implemented. linkLocation=https://cdn.shopify.com/s/files/1/0918/6066/4603/files/9008f490ca5f519ffdaa7ef4bc42c8ee.jpg?v=1776326624, friendlyName=Open</x:v>
      </x:c>
      <x:c r="C4537" s="24" t="e">
        <x:f>HYPERLINK("https://365nails.com/products/365nails-pandas-love-letter-3d-bear-heart-handmade-short-square-nails","365nails: ""Panda's Love Letter"" – 3D Bear &amp; Heart Handmade Short Square Nails")</x:f>
        <x:v>HYPERLINK is not implemented. linkLocation=https://365nails.com/products/365nails-pandas-love-letter-3d-bear-heart-handmade-short-square-nails, friendlyName=365nails: "Panda's Love Letter" – 3D Bear &amp; Heart Handmade Short Square Nails</x:v>
      </x:c>
      <x:c r="D4537" s="18" t="str">
        <x:v>Size: XS / S / M / L</x:v>
      </x:c>
      <x:c r="E4537" s="25" t="str">
        <x:v>$3.99</x:v>
      </x:c>
      <x:c r="F4537" s="19" t="str">
        <x:v>5</x:v>
      </x:c>
    </x:row>
    <x:row r="4538" ht="93" customHeight="1">
      <x:c r="A4538" s="19" t="n">
        <x:v>4535</x:v>
      </x:c>
      <x:c r="B4538" s="22" t="e">
        <x:f>HYPERLINK("https://cdn.shopify.com/s/files/1/0918/6066/4603/files/4937013b3e84731a4b6102400381048e.jpg?v=1778337664","Open")</x:f>
        <x:v>HYPERLINK is not implemented. linkLocation=https://cdn.shopify.com/s/files/1/0918/6066/4603/files/4937013b3e84731a4b6102400381048e.jpg?v=1778337664, friendlyName=Open</x:v>
      </x:c>
      <x:c r="C4538" s="24" t="e">
        <x:f>HYPERLINK("https://365nails.com/products/365nails-azure-fantasy-3d-floral-abstract-handmade-long-almond-nails","365nails: ""Azure Fantasy"" – 3D Floral &amp; Abstract Handmade Long Almond Nails")</x:f>
        <x:v>HYPERLINK is not implemented. linkLocation=https://365nails.com/products/365nails-azure-fantasy-3d-floral-abstract-handmade-long-almond-nails, friendlyName=365nails: "Azure Fantasy" – 3D Floral &amp; Abstract Handmade Long Almond Nails</x:v>
      </x:c>
      <x:c r="D4538" s="18" t="str">
        <x:v>Size: XS / S / M / L</x:v>
      </x:c>
      <x:c r="E4538" s="25" t="str">
        <x:v>$4.99</x:v>
      </x:c>
      <x:c r="F4538" s="19" t="str">
        <x:v>5</x:v>
      </x:c>
    </x:row>
    <x:row r="4539" ht="93" customHeight="1">
      <x:c r="A4539" s="19" t="n">
        <x:v>4536</x:v>
      </x:c>
      <x:c r="B4539" s="22" t="e">
        <x:f>HYPERLINK("https://cdn.shopify.com/s/files/1/0918/6066/4603/files/837e5e5f1f11124fbaba15b3f8d8c2cf.jpg?v=1776214439","Open")</x:f>
        <x:v>HYPERLINK is not implemented. linkLocation=https://cdn.shopify.com/s/files/1/0918/6066/4603/files/837e5e5f1f11124fbaba15b3f8d8c2cf.jpg?v=1776214439, friendlyName=Open</x:v>
      </x:c>
      <x:c r="C4539" s="24" t="e">
        <x:f>HYPERLINK("https://365nails.com/products/365nails-candy-carousel-3d-character-handcrafted-sweet-short-square-nails","365nails: ""Candy Carousel"" – 3D Character Handcrafted Sweet Short Square Nails")</x:f>
        <x:v>HYPERLINK is not implemented. linkLocation=https://365nails.com/products/365nails-candy-carousel-3d-character-handcrafted-sweet-short-square-nails, friendlyName=365nails: "Candy Carousel" – 3D Character Handcrafted Sweet Short Square Nails</x:v>
      </x:c>
      <x:c r="D4539" s="18" t="str">
        <x:v>Size: XS / S / M / L</x:v>
      </x:c>
      <x:c r="E4539" s="25" t="str">
        <x:v>$2.49</x:v>
      </x:c>
      <x:c r="F4539" s="19" t="str">
        <x:v>3</x:v>
      </x:c>
    </x:row>
    <x:row r="4540" ht="93" customHeight="1">
      <x:c r="A4540" s="19" t="n">
        <x:v>4537</x:v>
      </x:c>
      <x:c r="B4540" s="22" t="e">
        <x:f>HYPERLINK("https://cdn.shopify.com/s/files/1/0918/6066/4603/files/O1CN017DLgBs2214vgzyssL__2219480337059-0-cib.jpg?v=1774069836","Open")</x:f>
        <x:v>HYPERLINK is not implemented. linkLocation=https://cdn.shopify.com/s/files/1/0918/6066/4603/files/O1CN017DLgBs2214vgzyssL__2219480337059-0-cib.jpg?v=1774069836, friendlyName=Open</x:v>
      </x:c>
      <x:c r="C4540" s="24" t="e">
        <x:f>HYPERLINK("https://365nails.com/products/365nails-sanrio-christmas-party-handmade-cute-short-oval-press-on-nails","365Nails: ""Sanrio Christmas Party"" – Handmade Cute Short Oval Press On Nails")</x:f>
        <x:v>HYPERLINK is not implemented. linkLocation=https://365nails.com/products/365nails-sanrio-christmas-party-handmade-cute-short-oval-press-on-nails, friendlyName=365Nails: "Sanrio Christmas Party" – Handmade Cute Short Oval Press On Nails</x:v>
      </x:c>
      <x:c r="D4540" s="18" t="str">
        <x:v>Color: 10313; Color classification: Xs (about 2 years old) / S (3-4 years old) / M (5-7 years old) / L (8-11 years old)</x:v>
      </x:c>
      <x:c r="E4540" s="25" t="str">
        <x:v>$2.99</x:v>
      </x:c>
      <x:c r="F4540" s="19" t="str">
        <x:v>3</x:v>
      </x:c>
    </x:row>
    <x:row r="4541" ht="93" customHeight="1">
      <x:c r="A4541" s="19" t="n">
        <x:v>4538</x:v>
      </x:c>
      <x:c r="B4541" s="22" t="e">
        <x:f>HYPERLINK("https://cdn.shopify.com/s/files/1/0918/6066/4603/files/62fa097c72056488f08e62011202b31d.jpg?v=1778240646","Open")</x:f>
        <x:v>HYPERLINK is not implemented. linkLocation=https://cdn.shopify.com/s/files/1/0918/6066/4603/files/62fa097c72056488f08e62011202b31d.jpg?v=1778240646, friendlyName=Open</x:v>
      </x:c>
      <x:c r="C4541" s="24" t="e">
        <x:f>HYPERLINK("https://365nails.com/products/365nails-iridescent-dream-3d-butterfly-crystal-handmade-long-coffin-nails","365nails: ""Iridescent Dream"" – 3D Butterfly &amp; Crystal Handmade Long Coffin Nails")</x:f>
        <x:v>HYPERLINK is not implemented. linkLocation=https://365nails.com/products/365nails-iridescent-dream-3d-butterfly-crystal-handmade-long-coffin-nails, friendlyName=365nails: "Iridescent Dream" – 3D Butterfly &amp; Crystal Handmade Long Coffin Nails</x:v>
      </x:c>
      <x:c r="D4541" s="18" t="str">
        <x:v>Size: XS / S / M / L</x:v>
      </x:c>
      <x:c r="E4541" s="25" t="str">
        <x:v>$4.99</x:v>
      </x:c>
      <x:c r="F4541" s="19" t="str">
        <x:v>5</x:v>
      </x:c>
    </x:row>
    <x:row r="4542" ht="93" customHeight="1">
      <x:c r="A4542" s="19" t="n">
        <x:v>4539</x:v>
      </x:c>
      <x:c r="B4542" s="22" t="e">
        <x:f>HYPERLINK("https://cdn.shopify.com/s/files/1/0918/6066/4603/files/O1CN01DJe8dF2214tuyEWN7__2219480337059-0-cib.jpg?v=1773824583","Open")</x:f>
        <x:v>HYPERLINK is not implemented. linkLocation=https://cdn.shopify.com/s/files/1/0918/6066/4603/files/O1CN01DJe8dF2214tuyEWN7__2219480337059-0-cib.jpg?v=1773824583, friendlyName=Open</x:v>
      </x:c>
      <x:c r="C4542" s="24" t="e">
        <x:f>HYPERLINK("https://365nails.com/products/spooky-halloween-kids-series-trick-or-treat-squad-short-square-kids-pedicure-nail-art","365nails-Spooky Halloween Kids Series: ""Trick or Treat Squad"" – Short Square Kids Pedicure Nail Art")</x:f>
        <x:v>HYPERLINK is not implemented. linkLocation=https://365nails.com/products/spooky-halloween-kids-series-trick-or-treat-squad-short-square-kids-pedicure-nail-art, friendlyName=365nails-Spooky Halloween Kids Series: "Trick or Treat Squad" – Short Square Kids Pedicure Nail Art</x:v>
      </x:c>
      <x:c r="D4542" s="18" t="str">
        <x:v>Color: Pumpkin bat; Color classification: Xs (about 2 years old) / S (3-4 years old) / M (5-7 years old) / L (8-11 years old)</x:v>
      </x:c>
      <x:c r="E4542" s="25" t="str">
        <x:v>$2.99</x:v>
      </x:c>
      <x:c r="F4542" s="19" t="str">
        <x:v>3</x:v>
      </x:c>
    </x:row>
    <x:row r="4543" ht="93" customHeight="1">
      <x:c r="A4543" s="19" t="n">
        <x:v>4540</x:v>
      </x:c>
      <x:c r="B4543" s="22" t="e">
        <x:f>HYPERLINK("https://cdn.shopify.com/s/files/1/0918/6066/4603/files/f670ff60b51613c3e6a174a08e72f217.jpg?v=1755226083","Open")</x:f>
        <x:v>HYPERLINK is not implemented. linkLocation=https://cdn.shopify.com/s/files/1/0918/6066/4603/files/f670ff60b51613c3e6a174a08e72f217.jpg?v=1755226083, friendlyName=Open</x:v>
      </x:c>
      <x:c r="C4543" s="24" t="e">
        <x:f>HYPERLINK("https://365nails.com/products/nail-tips-french-press-on-nails-explosion-five-color-rectangular-versatile-removable-patch-manicure-150-pieces-fake-nail-piece-1","French Press-On Nail Tips, Five-Color Rectangular Removable Manicure Set, 150-Piece Fake Nails (MOQ=3)")</x:f>
        <x:v>HYPERLINK is not implemented. linkLocation=https://365nails.com/products/nail-tips-french-press-on-nails-explosion-five-color-rectangular-versatile-removable-patch-manicure-150-pieces-fake-nail-piece-1, friendlyName=French Press-On Nail Tips, Five-Color Rectangular Removable Manicure Set, 150-Piece Fake Nails (MOQ=3)</x:v>
      </x:c>
      <x:c r="D4543" s="18" t="str">
        <x:v>Color: YS-411-3387 * 150 piece bag / YS-411-3387 * 150 pieces in a box / YS-411-442 * 150 piece bag / YS-411-442 * 150 piece box / 193-442 * 150 piece bag / 193-442 * 150 piece box / 193-3387-1 * 150 piece bag / 193-3387-1 * 150 piece box / 197-442 * 150 piece bag / 197-442 * 150 piece box / 197-3387-1 * 150 piece bag / 197-3387-1 * 150 pieces box / 515-442 * 160 piece bag / 515-3387-1 * 160 piece bag / 516-442 * 160 piece bag / 516-3387-1 * 160 piece bag; Quantity: 3pcs</x:v>
      </x:c>
      <x:c r="E4543" s="25" t="str">
        <x:v>$5.43–$7.62</x:v>
      </x:c>
      <x:c r="F4543" s="19" t="str">
        <x:v>1</x:v>
      </x:c>
    </x:row>
    <x:row r="4544" ht="93" customHeight="1">
      <x:c r="A4544" s="19" t="n">
        <x:v>4541</x:v>
      </x:c>
      <x:c r="B4544" s="22" t="e">
        <x:f>HYPERLINK("https://cdn.shopify.com/s/files/1/0918/6066/4603/files/6e93345fd6f5b0167cd1c76d23a41691.jpg?v=1776326129","Open")</x:f>
        <x:v>HYPERLINK is not implemented. linkLocation=https://cdn.shopify.com/s/files/1/0918/6066/4603/files/6e93345fd6f5b0167cd1c76d23a41691.jpg?v=1776326129, friendlyName=Open</x:v>
      </x:c>
      <x:c r="C4544" s="24" t="e">
        <x:f>HYPERLINK("https://365nails.com/products/365nails-pingus-playground-3d-cartoon-character-handmade-short-square-nails","365nails: ""Pingu's Playground"" – 3D Cartoon Character Handmade Short Square Nails")</x:f>
        <x:v>HYPERLINK is not implemented. linkLocation=https://365nails.com/products/365nails-pingus-playground-3d-cartoon-character-handmade-short-square-nails, friendlyName=365nails: "Pingu's Playground" – 3D Cartoon Character Handmade Short Square Nails</x:v>
      </x:c>
      <x:c r="D4544" s="18" t="str">
        <x:v>Size: XS / S / M / L</x:v>
      </x:c>
      <x:c r="E4544" s="25" t="str">
        <x:v>$3.99</x:v>
      </x:c>
      <x:c r="F4544" s="19" t="str">
        <x:v>5</x:v>
      </x:c>
    </x:row>
    <x:row r="4545" ht="93" customHeight="1">
      <x:c r="A4545" s="19" t="n">
        <x:v>4542</x:v>
      </x:c>
      <x:c r="B4545" s="22" t="e">
        <x:f>HYPERLINK("https://cdn.shopify.com/s/files/1/0918/6066/4603/files/1e01c08c1c96490b9374cb8d89de33c5.jpg?v=1776415109","Open")</x:f>
        <x:v>HYPERLINK is not implemented. linkLocation=https://cdn.shopify.com/s/files/1/0918/6066/4603/files/1e01c08c1c96490b9374cb8d89de33c5.jpg?v=1776415109, friendlyName=Open</x:v>
      </x:c>
      <x:c r="C4545" s="24" t="e">
        <x:f>HYPERLINK("https://365nails.com/products/365nails-enchanted-bloom-3d-floral-handmade-short-square-nails","365nails: ""Enchanted Bloom"" – 3D Floral Handmade Short Square Nails")</x:f>
        <x:v>HYPERLINK is not implemented. linkLocation=https://365nails.com/products/365nails-enchanted-bloom-3d-floral-handmade-short-square-nails, friendlyName=365nails: "Enchanted Bloom" – 3D Floral Handmade Short Square Nails</x:v>
      </x:c>
      <x:c r="D4545" s="18" t="str">
        <x:v>Size: XS / S / M / L</x:v>
      </x:c>
      <x:c r="E4545" s="25" t="str">
        <x:v>$2.49</x:v>
      </x:c>
      <x:c r="F4545" s="19" t="str">
        <x:v>5</x:v>
      </x:c>
    </x:row>
    <x:row r="4546" ht="93" customHeight="1">
      <x:c r="A4546" s="19" t="n">
        <x:v>4543</x:v>
      </x:c>
      <x:c r="B4546" s="22" t="e">
        <x:f>HYPERLINK("https://cdn.shopify.com/s/files/1/0918/6066/4603/files/O1CN01OMyuJU1rlpKHGSNLe__2215158925672-0-cib_216aebe4-a902-4d5c-9c8f-ef5f628e01d9.jpg?v=1772513818","Open")</x:f>
        <x:v>HYPERLINK is not implemented. linkLocation=https://cdn.shopify.com/s/files/1/0918/6066/4603/files/O1CN01OMyuJU1rlpKHGSNLe__2215158925672-0-cib_216aebe4-a902-4d5c-9c8f-ef5f628e01d9.jpg?v=1772513818, friendlyName=Open</x:v>
      </x:c>
      <x:c r="C4546" s="24" t="e">
        <x:f>HYPERLINK("https://365nails.com/products/365nails-whimsy-pastel-gem-drops-short-square-iridescent-gem-confetti-press-on-nails-24pcs","365nails: ""Aurora Jelly Bubbles"" – Short Squoval Handmade Press-On Nails")</x:f>
        <x:v>HYPERLINK is not implemented. linkLocation=https://365nails.com/products/365nails-whimsy-pastel-gem-drops-short-square-iridescent-gem-confetti-press-on-nails-24pcs, friendlyName=365nails: "Aurora Jelly Bubbles" – Short Squoval Handmade Press-On Nails</x:v>
      </x:c>
      <x:c r="D4546" s="18" t="str">
        <x:v>Color: Short round; Color classification: X s / S / M / L</x:v>
      </x:c>
      <x:c r="E4546" s="25" t="str">
        <x:v>$2.99</x:v>
      </x:c>
      <x:c r="F4546" s="19" t="str">
        <x:v>3</x:v>
      </x:c>
    </x:row>
    <x:row r="4547" ht="93" customHeight="1">
      <x:c r="A4547" s="19" t="n">
        <x:v>4544</x:v>
      </x:c>
      <x:c r="B4547" s="22" t="e">
        <x:f>HYPERLINK("https://cdn.shopify.com/s/files/1/0918/6066/4603/files/O1CN01mnS0Ck2MQzelyE9Ly__2219089449823-0-cib.jpg?v=1774178716","Open")</x:f>
        <x:v>HYPERLINK is not implemented. linkLocation=https://cdn.shopify.com/s/files/1/0918/6066/4603/files/O1CN01mnS0Ck2MQzelyE9Ly__2219089449823-0-cib.jpg?v=1774178716, friendlyName=Open</x:v>
      </x:c>
      <x:c r="C4547" s="24" t="e">
        <x:f>HYPERLINK("https://365nails.com/products/sweet-cherry-blush-noir-duck-bill-shape-handmade-press-on-nails","Sweet Cherry: ""Blush Noir"" – Duck Bill Shape Handmade Press On Nails")</x:f>
        <x:v>HYPERLINK is not implemented. linkLocation=https://365nails.com/products/sweet-cherry-blush-noir-duck-bill-shape-handmade-press-on-nails, friendlyName=Sweet Cherry: "Blush Noir" – Duck Bill Shape Handmade Press On Nails</x:v>
      </x:c>
      <x:c r="D4547" s="18" t="str">
        <x:v>Color: L228; Color classification: X s / S / M / L</x:v>
      </x:c>
      <x:c r="E4547" s="25" t="str">
        <x:v>$4.99</x:v>
      </x:c>
      <x:c r="F4547" s="19" t="str">
        <x:v>1</x:v>
      </x:c>
    </x:row>
    <x:row r="4548" ht="93" customHeight="1">
      <x:c r="A4548" s="19" t="n">
        <x:v>4545</x:v>
      </x:c>
      <x:c r="B4548" s="22" t="e">
        <x:f>HYPERLINK("https://cdn.shopify.com/s/files/1/0918/6066/4603/files/7aa8266f6d8a209bd8373f46712d63d5.jpg?v=1776172452","Open")</x:f>
        <x:v>HYPERLINK is not implemented. linkLocation=https://cdn.shopify.com/s/files/1/0918/6066/4603/files/7aa8266f6d8a209bd8373f46712d63d5.jpg?v=1776172452, friendlyName=Open</x:v>
      </x:c>
      <x:c r="C4548" s="24" t="e">
        <x:f>HYPERLINK("https://365nails.com/products/365nails-cartoon-circus-3d-character-stripes-handmade-short-square-nails","365nails: ""Cartoon Circus"" – 3D Character &amp; Stripes Handmade Short Square Nails")</x:f>
        <x:v>HYPERLINK is not implemented. linkLocation=https://365nails.com/products/365nails-cartoon-circus-3d-character-stripes-handmade-short-square-nails, friendlyName=365nails: "Cartoon Circus" – 3D Character &amp; Stripes Handmade Short Square Nails</x:v>
      </x:c>
      <x:c r="D4548" s="18" t="str">
        <x:v>Size: XS / S / M / L</x:v>
      </x:c>
      <x:c r="E4548" s="25" t="str">
        <x:v>$1.99</x:v>
      </x:c>
      <x:c r="F4548" s="19" t="str">
        <x:v>3</x:v>
      </x:c>
    </x:row>
    <x:row r="4549" ht="93" customHeight="1">
      <x:c r="A4549" s="19" t="n">
        <x:v>4546</x:v>
      </x:c>
      <x:c r="B4549" s="22" t="e">
        <x:f>HYPERLINK("https://cdn.shopify.com/s/files/1/0918/6066/4603/files/103e51cd68a0f8b075074fd632387682.jpg?v=1776152482","Open")</x:f>
        <x:v>HYPERLINK is not implemented. linkLocation=https://cdn.shopify.com/s/files/1/0918/6066/4603/files/103e51cd68a0f8b075074fd632387682.jpg?v=1776152482, friendlyName=Open</x:v>
      </x:c>
      <x:c r="C4549" s="24" t="e">
        <x:f>HYPERLINK("https://365nails.com/products/365nails-kittys-garden-market-3d-character-tomato-handmade-short-square-nails","365nails: ""Kitty's Garden Market"" – 3D Character &amp; Tomato Handmade Short Square Nails")</x:f>
        <x:v>HYPERLINK is not implemented. linkLocation=https://365nails.com/products/365nails-kittys-garden-market-3d-character-tomato-handmade-short-square-nails, friendlyName=365nails: "Kitty's Garden Market" – 3D Character &amp; Tomato Handmade Short Square Nails</x:v>
      </x:c>
      <x:c r="D4549" s="18" t="str">
        <x:v>Size: XS / S / M / L</x:v>
      </x:c>
      <x:c r="E4549" s="25" t="str">
        <x:v>$1.99</x:v>
      </x:c>
      <x:c r="F4549" s="19" t="str">
        <x:v>3</x:v>
      </x:c>
    </x:row>
    <x:row r="4550" ht="93" customHeight="1">
      <x:c r="A4550" s="19" t="n">
        <x:v>4547</x:v>
      </x:c>
      <x:c r="B4550" s="22" t="e">
        <x:f>HYPERLINK("https://cdn.shopify.com/s/files/1/0918/6066/4603/files/O1CN01ZMHzps2214seW0FTq__2219480337059-0-cib.jpg?v=1773831669","Open")</x:f>
        <x:v>HYPERLINK is not implemented. linkLocation=https://cdn.shopify.com/s/files/1/0918/6066/4603/files/O1CN01ZMHzps2214seW0FTq__2219480337059-0-cib.jpg?v=1773831669, friendlyName=Open</x:v>
      </x:c>
      <x:c r="C4550" s="24" t="e">
        <x:f>HYPERLINK("https://365nails.com/products/%E5%8D%A1%E9%80%9A%E5%BA%93%E6%B4%9B%E7%B1%B3%E5%84%BF%E7%AB%A5%E7%BE%8E%E7%94%B2%E8%B4%B4%E7%89%87-5-8-12%E5%B2%81%E5%81%87%E6%8C%87%E7%94%B2%E7%89%87-%E5%AD%A6%E7%94%9F%E7%BA%AF%E6%89%8B%E5%B7%A5%E7%A9%BF%E6%88%B4%E7%94%B2%E5%8F%AF%E7%88%B1","365Nails: ""Kuromi Dark Fantasy"" – Handmade Cute Short Oval Press On Nails With Kuromi &amp; Bow Design")</x:f>
        <x:v>HYPERLINK is not implemented. linkLocation=https://365nails.com/products/%E5%8D%A1%E9%80%9A%E5%BA%93%E6%B4%9B%E7%B1%B3%E5%84%BF%E7%AB%A5%E7%BE%8E%E7%94%B2%E8%B4%B4%E7%89%87-5-8-12%E5%B2%81%E5%81%87%E6%8C%87%E7%94%B2%E7%89%87-%E5%AD%A6%E7%94%9F%E7%BA%AF%E6%89%8B%E5%B7%A5%E7%A9%BF%E6%88%B4%E7%94%B2%E5%8F%AF%E7%88%B1, friendlyName=365Nails: "Kuromi Dark Fantasy" – Handmade Cute Short Oval Press On Nails With Kuromi &amp; Bow Design</x:v>
      </x:c>
      <x:c r="D4550" s="18" t="str">
        <x:v>Color: Checkered kuromi; Color classification: Xs (about 2 years old) / S (3-4 years old) / M (5-7 years old) / L (8-11 years old)</x:v>
      </x:c>
      <x:c r="E4550" s="25" t="str">
        <x:v>$2.99</x:v>
      </x:c>
      <x:c r="F4550" s="19" t="str">
        <x:v>1</x:v>
      </x:c>
    </x:row>
    <x:row r="4551" ht="93" customHeight="1">
      <x:c r="A4551" s="19" t="n">
        <x:v>4548</x:v>
      </x:c>
      <x:c r="B4551" s="22" t="e">
        <x:f>HYPERLINK("https://cdn.shopify.com/s/files/1/0918/6066/4603/files/b77bbf4660e57317367d31161f75bc9b.jpg?v=1776173424","Open")</x:f>
        <x:v>HYPERLINK is not implemented. linkLocation=https://cdn.shopify.com/s/files/1/0918/6066/4603/files/b77bbf4660e57317367d31161f75bc9b.jpg?v=1776173424, friendlyName=Open</x:v>
      </x:c>
      <x:c r="C4551" s="24" t="e">
        <x:f>HYPERLINK("https://365nails.com/products/365nails-sweet-bunny-hop-3d-character-star-handmade-short-square-nails","365nails: ""Sweet Bunny Hop"" – 3D Character &amp; Star Handmade Short Square Nails")</x:f>
        <x:v>HYPERLINK is not implemented. linkLocation=https://365nails.com/products/365nails-sweet-bunny-hop-3d-character-star-handmade-short-square-nails, friendlyName=365nails: "Sweet Bunny Hop" – 3D Character &amp; Star Handmade Short Square Nails</x:v>
      </x:c>
      <x:c r="D4551" s="18" t="str">
        <x:v>Size: XS / S / M / L</x:v>
      </x:c>
      <x:c r="E4551" s="25" t="str">
        <x:v>$1.99</x:v>
      </x:c>
      <x:c r="F4551" s="19" t="str">
        <x:v>3</x:v>
      </x:c>
    </x:row>
    <x:row r="4552" ht="93" customHeight="1">
      <x:c r="A4552" s="19" t="n">
        <x:v>4549</x:v>
      </x:c>
      <x:c r="B4552" s="22" t="e">
        <x:f>HYPERLINK("https://cdn.shopify.com/s/files/1/0918/6066/4603/files/c544ef5f25b268467478b96c56ac592e.jpg?v=1776324530","Open")</x:f>
        <x:v>HYPERLINK is not implemented. linkLocation=https://cdn.shopify.com/s/files/1/0918/6066/4603/files/c544ef5f25b268467478b96c56ac592e.jpg?v=1776324530, friendlyName=Open</x:v>
      </x:c>
      <x:c r="C4552" s="24" t="e">
        <x:f>HYPERLINK("https://365nails.com/products/365nails-cartoon-carnival-3d-cute-character-short-square-nails","365nails: ""Cartoon Carnival"" – 3D Cute Character Short Square Nails")</x:f>
        <x:v>HYPERLINK is not implemented. linkLocation=https://365nails.com/products/365nails-cartoon-carnival-3d-cute-character-short-square-nails, friendlyName=365nails: "Cartoon Carnival" – 3D Cute Character Short Square Nails</x:v>
      </x:c>
      <x:c r="D4552" s="18" t="str">
        <x:v>Size: XS / S / M / L</x:v>
      </x:c>
      <x:c r="E4552" s="25" t="str">
        <x:v>$3.99</x:v>
      </x:c>
      <x:c r="F4552" s="19" t="str">
        <x:v>5</x:v>
      </x:c>
    </x:row>
    <x:row r="4553" ht="93" customHeight="1">
      <x:c r="A4553" s="19" t="n">
        <x:v>4550</x:v>
      </x:c>
      <x:c r="B4553" s="22" t="e">
        <x:f>HYPERLINK("https://cdn.shopify.com/s/files/1/0918/6066/4603/files/O1CN01gnFQGW2MQzgId5a06__2219089449823-0-cib.jpg?v=1774349030","Open")</x:f>
        <x:v>HYPERLINK is not implemented. linkLocation=https://cdn.shopify.com/s/files/1/0918/6066/4603/files/O1CN01gnFQGW2MQzgId5a06__2219089449823-0-cib.jpg?v=1774349030, friendlyName=Open</x:v>
      </x:c>
      <x:c r="C4553" s="24" t="e">
        <x:f>HYPERLINK("https://365nails.com/products/365nails-midnight-sakura-noir-medium-almond-black-pink-gradient-3d-flower-handmade-press-on-nails","365nails: ""Midnight Sakura Noir"" – Medium Almond Black-Pink Gradient 3D Flower Handmade Press-On Nails")</x:f>
        <x:v>HYPERLINK is not implemented. linkLocation=https://365nails.com/products/365nails-midnight-sakura-noir-medium-almond-black-pink-gradient-3d-flower-handmade-press-on-nails, friendlyName=365nails: "Midnight Sakura Noir" – Medium Almond Black-Pink Gradient 3D Flower Handmade Press-On Nails</x:v>
      </x:c>
      <x:c r="D4553" s="18" t="str">
        <x:v>Color: D249; Color classification: X s / S / M / L</x:v>
      </x:c>
      <x:c r="E4553" s="25" t="str">
        <x:v>$3.49</x:v>
      </x:c>
      <x:c r="F4553" s="19" t="str">
        <x:v>1</x:v>
      </x:c>
    </x:row>
    <x:row r="4554" ht="93" customHeight="1">
      <x:c r="A4554" s="19" t="n">
        <x:v>4551</x:v>
      </x:c>
      <x:c r="B4554" s="22" t="e">
        <x:f>HYPERLINK("https://cdn.shopify.com/s/files/1/0918/6066/4603/files/O1CN01P0a2J12214vSpq77H__2219480337059-0-cib_e0ea2d43-3650-4bb9-b22b-af6d806d0446.jpg?v=1774067964","Open")</x:f>
        <x:v>HYPERLINK is not implemented. linkLocation=https://cdn.shopify.com/s/files/1/0918/6066/4603/files/O1CN01P0a2J12214vSpq77H__2219480337059-0-cib_e0ea2d43-3650-4bb9-b22b-af6d806d0446.jpg?v=1774067964, friendlyName=Open</x:v>
      </x:c>
      <x:c r="C4554" s="24" t="e">
        <x:f>HYPERLINK("https://365nails.com/products/365nails-rainbow-pony-paradise-handmade-cute-short-oval-press-on-nails-with-my-little-pony-rainbow-design","365Nails: ""Rainbow Pony Paradise"" – Handmade Cute Short Oval Press On Nails With My Little Pony &amp; Rainbow Design")</x:f>
        <x:v>HYPERLINK is not implemented. linkLocation=https://365nails.com/products/365nails-rainbow-pony-paradise-handmade-cute-short-oval-press-on-nails-with-my-little-pony-rainbow-design, friendlyName=365Nails: "Rainbow Pony Paradise" – Handmade Cute Short Oval Press On Nails With My Little Pony &amp; Rainbow Design</x:v>
      </x:c>
      <x:c r="D4554" s="18" t="str">
        <x:v>Color: 9280 blue horse; Color classification: Xs (about 2 years old) / S (3-4 years old) / M (5-7 years old) / L (8-11 years old)</x:v>
      </x:c>
      <x:c r="E4554" s="25" t="str">
        <x:v>$2.99</x:v>
      </x:c>
      <x:c r="F4554" s="19" t="str">
        <x:v>3</x:v>
      </x:c>
    </x:row>
    <x:row r="4555" ht="93" customHeight="1">
      <x:c r="A4555" s="19" t="n">
        <x:v>4552</x:v>
      </x:c>
      <x:c r="B4555" s="22" t="e">
        <x:f>HYPERLINK("https://cdn.shopify.com/s/files/1/0918/6066/4603/files/O1CN0122XdQn2214w5ADoQA__2219480337059-0-cib.jpg?v=1774070069","Open")</x:f>
        <x:v>HYPERLINK is not implemented. linkLocation=https://cdn.shopify.com/s/files/1/0918/6066/4603/files/O1CN0122XdQn2214w5ADoQA__2219480337059-0-cib.jpg?v=1774070069, friendlyName=Open</x:v>
      </x:c>
      <x:c r="C4555" s="24" t="e">
        <x:f>HYPERLINK("https://365nails.com/products/365nails-christmas-snowy-wonderland-handmade-cute-short-oval-press-on-nails","365Nails: ""Christmas Snowy Wonderland"" – Handmade Cute Short Oval Press On Nails")</x:f>
        <x:v>HYPERLINK is not implemented. linkLocation=https://365nails.com/products/365nails-christmas-snowy-wonderland-handmade-cute-short-oval-press-on-nails, friendlyName=365Nails: "Christmas Snowy Wonderland" – Handmade Cute Short Oval Press On Nails</x:v>
      </x:c>
      <x:c r="D4555" s="18" t="str">
        <x:v>Color: New christmas; Color classification: Xs (about 2 years old) / S (3-4 years old) / M (5-7 years old) / L (8-11 years old)</x:v>
      </x:c>
      <x:c r="E4555" s="25" t="str">
        <x:v>$2.99</x:v>
      </x:c>
      <x:c r="F4555" s="19" t="str">
        <x:v>3</x:v>
      </x:c>
    </x:row>
    <x:row r="4556" ht="93" customHeight="1">
      <x:c r="A4556" s="19" t="n">
        <x:v>4553</x:v>
      </x:c>
      <x:c r="B4556" s="22" t="e">
        <x:f>HYPERLINK("https://cdn.shopify.com/s/files/1/0918/6066/4603/files/O1CN01yJqfAq27ZUlYtPGZX__2220024697811-0-cib.jpg?v=1775107038","Open")</x:f>
        <x:v>HYPERLINK is not implemented. linkLocation=https://cdn.shopify.com/s/files/1/0918/6066/4603/files/O1CN01yJqfAq27ZUlYtPGZX__2220024697811-0-cib.jpg?v=1775107038, friendlyName=Open</x:v>
      </x:c>
      <x:c r="C4556" s="24" t="e">
        <x:f>HYPERLINK("https://365nails.com/products/365nails-leopard-bloom-3d-floral-hand-painted-animal-print-handmade-almond-nails","365nails: ""Leopard Bloom"" – 3D Floral Hand-Painted Animal Print Handmade Almond Nails")</x:f>
        <x:v>HYPERLINK is not implemented. linkLocation=https://365nails.com/products/365nails-leopard-bloom-3d-floral-hand-painted-animal-print-handmade-almond-nails, friendlyName=365nails: "Leopard Bloom" – 3D Floral Hand-Painted Animal Print Handmade Almond Nails</x:v>
      </x:c>
      <x:c r="D4556" s="18" t="str">
        <x:v>Color: Short square; Color classification: Xs / S / M / L</x:v>
      </x:c>
      <x:c r="E4556" s="25" t="str">
        <x:v>$4.49</x:v>
      </x:c>
      <x:c r="F4556" s="19" t="str">
        <x:v>3</x:v>
      </x:c>
    </x:row>
    <x:row r="4557" ht="93" customHeight="1">
      <x:c r="A4557" s="19" t="n">
        <x:v>4554</x:v>
      </x:c>
      <x:c r="B4557" s="22" t="e">
        <x:f>HYPERLINK("https://cdn.shopify.com/s/files/1/0918/6066/4603/files/O1CN01V7mn1P1CPwPuyteZq__2213196780074-0-cib.jpg?v=1777014820","Open")</x:f>
        <x:v>HYPERLINK is not implemented. linkLocation=https://cdn.shopify.com/s/files/1/0918/6066/4603/files/O1CN01V7mn1P1CPwPuyteZq__2213196780074-0-cib.jpg?v=1777014820, friendlyName=Open</x:v>
      </x:c>
      <x:c r="C4557" s="24" t="e">
        <x:f>HYPERLINK("https://365nails.com/products/365nails-tropical-bloom-3d-floral-leopard-print-handmade-almond-nails","365nails: ""Tropical Bloom"" – 3D Floral &amp; Leopard Print Handmade Almond Nails")</x:f>
        <x:v>HYPERLINK is not implemented. linkLocation=https://365nails.com/products/365nails-tropical-bloom-3d-floral-leopard-print-handmade-almond-nails, friendlyName=365nails: "Tropical Bloom" – 3D Floral &amp; Leopard Print Handmade Almond Nails</x:v>
      </x:c>
      <x:c r="D4557" s="18" t="str">
        <x:v>Color: 1473 - medium apricot kernels; Color classification: Extra small size xs / Small s / Medium m / Large l</x:v>
      </x:c>
      <x:c r="E4557" s="25" t="str">
        <x:v>$3.49</x:v>
      </x:c>
      <x:c r="F4557" s="19" t="str">
        <x:v>1</x:v>
      </x:c>
    </x:row>
    <x:row r="4558" ht="93" customHeight="1">
      <x:c r="A4558" s="19" t="n">
        <x:v>4555</x:v>
      </x:c>
      <x:c r="B4558" s="22" t="e">
        <x:f>HYPERLINK("https://cdn.shopify.com/s/files/1/0918/6066/4603/files/O1CN0115L79L1CPwQIWHG5M__2213196780074-0-cib.jpg?v=1776852700","Open")</x:f>
        <x:v>HYPERLINK is not implemented. linkLocation=https://cdn.shopify.com/s/files/1/0918/6066/4603/files/O1CN0115L79L1CPwQIWHG5M__2213196780074-0-cib.jpg?v=1776852700, friendlyName=Open</x:v>
      </x:c>
      <x:c r="C4558" s="24" t="e">
        <x:f>HYPERLINK("https://365nails.com/products/365nails-gilded-citrine-3d-gemstone-rhinestone-handmade-almond-nails","365nails: ""Gilded Citrine"" – 3D Gemstone &amp; Rhinestone Handmade Almond Nails")</x:f>
        <x:v>HYPERLINK is not implemented. linkLocation=https://365nails.com/products/365nails-gilded-citrine-3d-gemstone-rhinestone-handmade-almond-nails, friendlyName=365nails: "Gilded Citrine" – 3D Gemstone &amp; Rhinestone Handmade Almond Nails</x:v>
      </x:c>
      <x:c r="D4558" s="18" t="str">
        <x:v>Color: 3458-long oval; Color classification: Extra small size xs / Small s / Medium m / Large l</x:v>
      </x:c>
      <x:c r="E4558" s="25" t="str">
        <x:v>$3.99</x:v>
      </x:c>
      <x:c r="F4558" s="19" t="str">
        <x:v>1</x:v>
      </x:c>
    </x:row>
    <x:row r="4559" ht="93" customHeight="1">
      <x:c r="A4559" s="19" t="n">
        <x:v>4556</x:v>
      </x:c>
      <x:c r="B4559" s="22" t="e">
        <x:f>HYPERLINK("https://cdn.shopify.com/s/files/1/0918/6066/4603/files/O1CN01xNYjAY1CPwOoImiCe__2213196780074-0-cib.jpg?v=1776765271","Open")</x:f>
        <x:v>HYPERLINK is not implemented. linkLocation=https://cdn.shopify.com/s/files/1/0918/6066/4603/files/O1CN01xNYjAY1CPwOoImiCe__2213196780074-0-cib.jpg?v=1776765271, friendlyName=Open</x:v>
      </x:c>
      <x:c r="C4559" s="24" t="e">
        <x:f>HYPERLINK("https://365nails.com/products/365nails-starlight-bow-3d-bow-crystal-handmade-almond-nails","365nails: ""Starlight Bow"" – 3D Bow &amp; Crystal Handmade Almond Nails")</x:f>
        <x:v>HYPERLINK is not implemented. linkLocation=https://365nails.com/products/365nails-starlight-bow-3d-bow-crystal-handmade-almond-nails, friendlyName=365nails: "Starlight Bow" – 3D Bow &amp; Crystal Handmade Almond Nails</x:v>
      </x:c>
      <x:c r="D4559" s="18" t="str">
        <x:v>Color: 3150 - medium oval / 3152-middle ladder / 3154-long oval; Color classification: Xs / S / M / L</x:v>
      </x:c>
      <x:c r="E4559" s="25" t="str">
        <x:v>$3.49</x:v>
      </x:c>
      <x:c r="F4559" s="19" t="str">
        <x:v>1</x:v>
      </x:c>
    </x:row>
    <x:row r="4560" ht="93" customHeight="1">
      <x:c r="A4560" s="19" t="n">
        <x:v>4557</x:v>
      </x:c>
      <x:c r="B4560" s="22" t="e">
        <x:f>HYPERLINK("https://cdn.shopify.com/s/files/1/0918/6066/4603/files/O1CN01WPaYNi2214sLLuD8T__2219480337059-0-cib.jpg?v=1773824575","Open")</x:f>
        <x:v>HYPERLINK is not implemented. linkLocation=https://cdn.shopify.com/s/files/1/0918/6066/4603/files/O1CN01WPaYNi2214sLLuD8T__2219480337059-0-cib.jpg?v=1773824575, friendlyName=Open</x:v>
      </x:c>
      <x:c r="C4560" s="24" t="e">
        <x:f>HYPERLINK("https://365nails.com/products/365nails-fairy-tale-princess-3d-handmade-press-on-pedicure","365nails: ""fairy tale princess 3d"" – handmade press-on pedicure")</x:f>
        <x:v>HYPERLINK is not implemented. linkLocation=https://365nails.com/products/365nails-fairy-tale-princess-3d-handmade-press-on-pedicure, friendlyName=365nails: "fairy tale princess 3d" – handmade press-on pedicure</x:v>
      </x:c>
      <x:c r="D4560" s="18" t="str">
        <x:v>Color: Princess collection; Color classification: Xs (about 2 years old) / S (3-4 years old) / M (5-7 years old) / L (8-11 years old)</x:v>
      </x:c>
      <x:c r="E4560" s="25" t="str">
        <x:v>$2.99</x:v>
      </x:c>
      <x:c r="F4560" s="19" t="str">
        <x:v>3</x:v>
      </x:c>
    </x:row>
    <x:row r="4561" ht="93" customHeight="1">
      <x:c r="A4561" s="19" t="n">
        <x:v>4558</x:v>
      </x:c>
      <x:c r="B4561" s="22" t="e">
        <x:f>HYPERLINK("https://cdn.shopify.com/s/files/1/0918/6066/4603/files/95e3564b6025bbd60859f2786086249e.jpg?v=1775912907","Open")</x:f>
        <x:v>HYPERLINK is not implemented. linkLocation=https://cdn.shopify.com/s/files/1/0918/6066/4603/files/95e3564b6025bbd60859f2786086249e.jpg?v=1775912907, friendlyName=Open</x:v>
      </x:c>
      <x:c r="C4561" s="24" t="e">
        <x:f>HYPERLINK("https://365nails.com/products/365nails-midnight-bloom-3d-floral-handmade-stiletto-nails-5","365nails: ""Midnight Bloom"" – 3D Floral Handmade Stiletto Nails")</x:f>
        <x:v>HYPERLINK is not implemented. linkLocation=https://365nails.com/products/365nails-midnight-bloom-3d-floral-handmade-stiletto-nails-5, friendlyName=365nails: "Midnight Bloom" – 3D Floral Handmade Stiletto Nails</x:v>
      </x:c>
      <x:c r="D4561" s="18" t="str">
        <x:v>Size: XS / S / M / L</x:v>
      </x:c>
      <x:c r="E4561" s="25" t="str">
        <x:v>$3.99</x:v>
      </x:c>
      <x:c r="F4561" s="19" t="str">
        <x:v>5</x:v>
      </x:c>
    </x:row>
    <x:row r="4562" ht="93" customHeight="1">
      <x:c r="A4562" s="19" t="n">
        <x:v>4559</x:v>
      </x:c>
      <x:c r="B4562" s="22" t="e">
        <x:f>HYPERLINK("https://cdn.shopify.com/s/files/1/0918/6066/4603/files/O1CN01S3fjKQ2MQzefP8jk5__2219089449823-0-cib.jpg?v=1774178724","Open")</x:f>
        <x:v>HYPERLINK is not implemented. linkLocation=https://cdn.shopify.com/s/files/1/0918/6066/4603/files/O1CN01S3fjKQ2MQzefP8jk5__2219089449823-0-cib.jpg?v=1774178724, friendlyName=Open</x:v>
      </x:c>
      <x:c r="C4562" s="24" t="e">
        <x:f>HYPERLINK("https://365nails.com/products/summer-breeze-seashell-whisper-almond-shape-handmade-press-on-nails","Summer Breeze: ""Seashell Whisper"" – Almond Shape Handmade Press On Nails")</x:f>
        <x:v>HYPERLINK is not implemented. linkLocation=https://365nails.com/products/summer-breeze-seashell-whisper-almond-shape-handmade-press-on-nails, friendlyName=Summer Breeze: "Seashell Whisper" – Almond Shape Handmade Press On Nails</x:v>
      </x:c>
      <x:c r="D4562" s="18" t="str">
        <x:v>Color: D575; Color classification: X s / S / M / L</x:v>
      </x:c>
      <x:c r="E4562" s="25" t="str">
        <x:v>$3.49</x:v>
      </x:c>
      <x:c r="F4562" s="19" t="str">
        <x:v>1</x:v>
      </x:c>
    </x:row>
    <x:row r="4563" ht="93" customHeight="1">
      <x:c r="A4563" s="19" t="n">
        <x:v>4560</x:v>
      </x:c>
      <x:c r="B4563" s="22" t="e">
        <x:f>HYPERLINK("https://cdn.shopify.com/s/files/1/0918/6066/4603/files/O1CN01g6M4Je1CPwNld1eH5__2213196780074-0-cib_22a1c9a2-df5a-4344-a6e0-e766f31adda4.jpg?v=1776935643","Open")</x:f>
        <x:v>HYPERLINK is not implemented. linkLocation=https://cdn.shopify.com/s/files/1/0918/6066/4603/files/O1CN01g6M4Je1CPwNld1eH5__2213196780074-0-cib_22a1c9a2-df5a-4344-a6e0-e766f31adda4.jpg?v=1776935643, friendlyName=Open</x:v>
      </x:c>
      <x:c r="C4563" s="24" t="e">
        <x:f>HYPERLINK("https://365nails.com/products/365nails-verdant-bloom-3d-sculpted-floral-handmade-press-on-nails-almond-nails","365nails: ""Verdant Bloom"" – 3D Sculpted Floral Handmade Press on Nails Almond Nails")</x:f>
        <x:v>HYPERLINK is not implemented. linkLocation=https://365nails.com/products/365nails-verdant-bloom-3d-sculpted-floral-handmade-press-on-nails-almond-nails, friendlyName=365nails: "Verdant Bloom" – 3D Sculpted Floral Handmade Press on Nails Almond Nails</x:v>
      </x:c>
      <x:c r="D4563" s="18" t="str">
        <x:v>Color: 2861-almond a; Color classification: Xs / S / M / L</x:v>
      </x:c>
      <x:c r="E4563" s="25" t="str">
        <x:v>$3.99</x:v>
      </x:c>
      <x:c r="F4563" s="19" t="str">
        <x:v>1</x:v>
      </x:c>
    </x:row>
    <x:row r="4564" ht="93" customHeight="1">
      <x:c r="A4564" s="19" t="n">
        <x:v>4561</x:v>
      </x:c>
      <x:c r="B4564" s="22" t="e">
        <x:f>HYPERLINK("https://cdn.shopify.com/s/files/1/0918/6066/4603/files/O1CN013zLfoi1CPwRJCDcIF__2213196780074-0-cib.jpg?v=1777016513","Open")</x:f>
        <x:v>HYPERLINK is not implemented. linkLocation=https://cdn.shopify.com/s/files/1/0918/6066/4603/files/O1CN013zLfoi1CPwRJCDcIF__2213196780074-0-cib.jpg?v=1777016513, friendlyName=Open</x:v>
      </x:c>
      <x:c r="C4564" s="24" t="e">
        <x:f>HYPERLINK("https://365nails.com/products/365nails-neon-safari-3d-floral-iridescent-tiger-stripe-handmade-almond-nails","365nails: ""Neon Safari"" – 3D Floral &amp; Iridescent Tiger Stripe Handmade Almond Nails")</x:f>
        <x:v>HYPERLINK is not implemented. linkLocation=https://365nails.com/products/365nails-neon-safari-3d-floral-iridescent-tiger-stripe-handmade-almond-nails, friendlyName=365nails: "Neon Safari" – 3D Floral &amp; Iridescent Tiger Stripe Handmade Almond Nails</x:v>
      </x:c>
      <x:c r="D4564" s="18" t="str">
        <x:v>Color: K4-short duckbill; Color classification: Extra small size xs / Small s / Medium m / Large l</x:v>
      </x:c>
      <x:c r="E4564" s="25" t="str">
        <x:v>$4.49</x:v>
      </x:c>
      <x:c r="F4564" s="19" t="str">
        <x:v>1</x:v>
      </x:c>
    </x:row>
    <x:row r="4565" ht="93" customHeight="1">
      <x:c r="A4565" s="19" t="n">
        <x:v>4562</x:v>
      </x:c>
      <x:c r="B4565" s="22" t="e">
        <x:f>HYPERLINK("https://cdn.shopify.com/s/files/1/0918/6066/4603/files/O1CN0112t5RU1rlpJrxRtuS__2215158925672-0-cib_b6332438-d458-4cf6-85b5-fa6329fa95a4.jpg?v=1772513783","Open")</x:f>
        <x:v>HYPERLINK is not implemented. linkLocation=https://cdn.shopify.com/s/files/1/0918/6066/4603/files/O1CN0112t5RU1rlpJrxRtuS__2215158925672-0-cib_b6332438-d458-4cf6-85b5-fa6329fa95a4.jpg?v=1772513783, friendlyName=Open</x:v>
      </x:c>
      <x:c r="C4565" s="24" t="e">
        <x:f>HYPERLINK("https://365nails.com/products/365nails-minimalist-creamy-noir-short-square-black-line-art-gold-accents-press-on-nails-24pcs","365nails: ""Abstract Butter"" – Short Squoval Handmade Press-On Nails")</x:f>
        <x:v>HYPERLINK is not implemented. linkLocation=https://365nails.com/products/365nails-minimalist-creamy-noir-short-square-black-line-art-gold-accents-press-on-nails-24pcs, friendlyName=365nails: "Abstract Butter" – Short Squoval Handmade Press-On Nails</x:v>
      </x:c>
      <x:c r="D4565" s="18" t="str">
        <x:v>Color: New short square; Color classification: X s / S / M / L</x:v>
      </x:c>
      <x:c r="E4565" s="25" t="str">
        <x:v>$3.49</x:v>
      </x:c>
      <x:c r="F4565" s="19" t="str">
        <x:v>3</x:v>
      </x:c>
    </x:row>
    <x:row r="4566" ht="93" customHeight="1">
      <x:c r="A4566" s="19" t="n">
        <x:v>4563</x:v>
      </x:c>
      <x:c r="B4566" s="22" t="e">
        <x:f>HYPERLINK("https://cdn.shopify.com/s/files/1/0918/6066/4603/files/e7bf17b602691fe122fe289cc21f3866.jpg?v=1776153634","Open")</x:f>
        <x:v>HYPERLINK is not implemented. linkLocation=https://cdn.shopify.com/s/files/1/0918/6066/4603/files/e7bf17b602691fe122fe289cc21f3866.jpg?v=1776153634, friendlyName=Open</x:v>
      </x:c>
      <x:c r="C4566" s="24" t="e">
        <x:f>HYPERLINK("https://365nails.com/products/365nails-retro-cherry-pop-3d-fruit-striped-handmade-short-square-nails","365nails: ""Retro Cherry Pop"" – 3D Fruit &amp; Striped Handmade Short Square Nails")</x:f>
        <x:v>HYPERLINK is not implemented. linkLocation=https://365nails.com/products/365nails-retro-cherry-pop-3d-fruit-striped-handmade-short-square-nails, friendlyName=365nails: "Retro Cherry Pop" – 3D Fruit &amp; Striped Handmade Short Square Nails</x:v>
      </x:c>
      <x:c r="D4566" s="18" t="str">
        <x:v>Size: XS / S / M / L</x:v>
      </x:c>
      <x:c r="E4566" s="25" t="str">
        <x:v>$1.99</x:v>
      </x:c>
      <x:c r="F4566" s="19" t="str">
        <x:v>3</x:v>
      </x:c>
    </x:row>
    <x:row r="4567" ht="93" customHeight="1">
      <x:c r="A4567" s="19" t="n">
        <x:v>4564</x:v>
      </x:c>
      <x:c r="B4567" s="22" t="e">
        <x:f>HYPERLINK("https://cdn.shopify.com/s/files/1/0918/6066/4603/files/O1CN0133X6ls2214v7K8Hv3__2219480337059-0-cib.jpg?v=1774068144","Open")</x:f>
        <x:v>HYPERLINK is not implemented. linkLocation=https://cdn.shopify.com/s/files/1/0918/6066/4603/files/O1CN0133X6ls2214v7K8Hv3__2219480337059-0-cib.jpg?v=1774068144, friendlyName=Open</x:v>
      </x:c>
      <x:c r="C4567" s="24" t="e">
        <x:f>HYPERLINK("https://365nails.com/products/365nails-christmas-wonderland-handmade-cute-short-oval-press-on-nails-with-santa-snowman-design","365Nails: ""Christmas Wonderland"" – Handmade Cute Short Oval Press On Nails With Santa &amp; Snowman Design")</x:f>
        <x:v>HYPERLINK is not implemented. linkLocation=https://365nails.com/products/365nails-christmas-wonderland-handmade-cute-short-oval-press-on-nails-with-santa-snowman-design, friendlyName=365Nails: "Christmas Wonderland" – Handmade Cute Short Oval Press On Nails With Santa &amp; Snowman Design</x:v>
      </x:c>
      <x:c r="D4567" s="18" t="str">
        <x:v>Color: H9211 light blue christmas; Color classification: Xs (about 2 years old) / S (3-4 years old) / M (5-7 years old) / L (8-11 years old)</x:v>
      </x:c>
      <x:c r="E4567" s="25" t="str">
        <x:v>$2.99</x:v>
      </x:c>
      <x:c r="F4567" s="19" t="str">
        <x:v>3</x:v>
      </x:c>
    </x:row>
    <x:row r="4568" ht="93" customHeight="1">
      <x:c r="A4568" s="19" t="n">
        <x:v>4565</x:v>
      </x:c>
      <x:c r="B4568" s="22" t="e">
        <x:f>HYPERLINK("https://cdn.shopify.com/s/files/1/0918/6066/4603/files/O1CN01NkSPFJ27ZUkDJ6j8I__2220024697811-0-cib.jpg?v=1775003919","Open")</x:f>
        <x:v>HYPERLINK is not implemented. linkLocation=https://cdn.shopify.com/s/files/1/0918/6066/4603/files/O1CN01NkSPFJ27ZUkDJ6j8I__2220024697811-0-cib.jpg?v=1775003919, friendlyName=Open</x:v>
      </x:c>
      <x:c r="C4568" s="24" t="e">
        <x:f>HYPERLINK("https://365nails.com/products/365nails-pearlescent-whisper-3d-floral-handmade-almond-nails","365nails: ""Pearlescent Whisper"" – 3D Floral Handmade Almond Nails")</x:f>
        <x:v>HYPERLINK is not implemented. linkLocation=https://365nails.com/products/365nails-pearlescent-whisper-3d-floral-handmade-almond-nails, friendlyName=365nails: "Pearlescent Whisper" – 3D Floral Handmade Almond Nails</x:v>
      </x:c>
      <x:c r="D4568" s="18" t="str">
        <x:v>Color: Almond; Color classification: Xs / S / M / L</x:v>
      </x:c>
      <x:c r="E4568" s="25" t="str">
        <x:v>$4.49</x:v>
      </x:c>
      <x:c r="F4568" s="19" t="str">
        <x:v>3</x:v>
      </x:c>
    </x:row>
    <x:row r="4569" ht="93" customHeight="1">
      <x:c r="A4569" s="19" t="n">
        <x:v>4566</x:v>
      </x:c>
      <x:c r="B4569" s="22" t="e">
        <x:f>HYPERLINK("https://cdn.shopify.com/s/files/1/0918/6066/4603/files/O1CN01B3X23n2214t2BNhYE__2219480337059-0-cib.jpg?v=1774069913","Open")</x:f>
        <x:v>HYPERLINK is not implemented. linkLocation=https://cdn.shopify.com/s/files/1/0918/6066/4603/files/O1CN01B3X23n2214t2BNhYE__2219480337059-0-cib.jpg?v=1774069913, friendlyName=Open</x:v>
      </x:c>
      <x:c r="C4569" s="24" t="e">
        <x:f>HYPERLINK("https://365nails.com/products/365nails-kuromi-monochrome-magic-handmade-cute-short-oval-press-on-nails","365Nails: ""Kuromi Monochrome Magic"" – Handmade Cute Short Oval Press On Nails")</x:f>
        <x:v>HYPERLINK is not implemented. linkLocation=https://365nails.com/products/365nails-kuromi-monochrome-magic-handmade-cute-short-oval-press-on-nails, friendlyName=365Nails: "Kuromi Monochrome Magic" – Handmade Cute Short Oval Press On Nails</x:v>
      </x:c>
      <x:c r="D4569" s="18" t="str">
        <x:v>Color: Striped kuromi; Color classification: Xs (about 2 years old) / S (3-4 years old) / M (5-7 years old) / L (8-11 years old)</x:v>
      </x:c>
      <x:c r="E4569" s="25" t="str">
        <x:v>$2.99</x:v>
      </x:c>
      <x:c r="F4569" s="19" t="str">
        <x:v>3</x:v>
      </x:c>
    </x:row>
    <x:row r="4570" ht="93" customHeight="1">
      <x:c r="A4570" s="19" t="n">
        <x:v>4567</x:v>
      </x:c>
      <x:c r="B4570" s="22" t="e">
        <x:f>HYPERLINK("https://cdn.shopify.com/s/files/1/0918/6066/4603/files/537ed01b597f11f8a7abcb1ccbb05510.jpg?v=1776332506","Open")</x:f>
        <x:v>HYPERLINK is not implemented. linkLocation=https://cdn.shopify.com/s/files/1/0918/6066/4603/files/537ed01b597f11f8a7abcb1ccbb05510.jpg?v=1776332506, friendlyName=Open</x:v>
      </x:c>
      <x:c r="C4570" s="24" t="e">
        <x:f>HYPERLINK("https://365nails.com/products/365nails-tropical-sunset-3d-floral-handmade-long-stiletto-nails","365nails: ""Tropical Sunset"" – 3D Floral Handmade Long Stiletto Nails")</x:f>
        <x:v>HYPERLINK is not implemented. linkLocation=https://365nails.com/products/365nails-tropical-sunset-3d-floral-handmade-long-stiletto-nails, friendlyName=365nails: "Tropical Sunset" – 3D Floral Handmade Long Stiletto Nails</x:v>
      </x:c>
      <x:c r="D4570" s="18" t="str">
        <x:v>Size: XS / S / M / L</x:v>
      </x:c>
      <x:c r="E4570" s="25" t="str">
        <x:v>$3.99</x:v>
      </x:c>
      <x:c r="F4570" s="19" t="str">
        <x:v>5</x:v>
      </x:c>
    </x:row>
    <x:row r="4571" ht="93" customHeight="1">
      <x:c r="A4571" s="19" t="n">
        <x:v>4568</x:v>
      </x:c>
      <x:c r="B4571" s="22" t="e">
        <x:f>HYPERLINK("https://cdn.shopify.com/s/files/1/0918/6066/4603/files/2a05b424532de306bcc1619a73ea02ff.jpg?v=1776154349","Open")</x:f>
        <x:v>HYPERLINK is not implemented. linkLocation=https://cdn.shopify.com/s/files/1/0918/6066/4603/files/2a05b424532de306bcc1619a73ea02ff.jpg?v=1776154349, friendlyName=Open</x:v>
      </x:c>
      <x:c r="C4571" s="24" t="e">
        <x:f>HYPERLINK("https://365nails.com/products/365nails-sweet-treats-3d-pastry-candy-handmade-short-square-nails","365nails: ""Sweet Treats"" – 3D Pastry &amp; Candy Handmade Short Square Nails")</x:f>
        <x:v>HYPERLINK is not implemented. linkLocation=https://365nails.com/products/365nails-sweet-treats-3d-pastry-candy-handmade-short-square-nails, friendlyName=365nails: "Sweet Treats" – 3D Pastry &amp; Candy Handmade Short Square Nails</x:v>
      </x:c>
      <x:c r="D4571" s="18" t="str">
        <x:v>Size: XS / S / M / L</x:v>
      </x:c>
      <x:c r="E4571" s="25" t="str">
        <x:v>$1.99</x:v>
      </x:c>
      <x:c r="F4571" s="19" t="str">
        <x:v>3</x:v>
      </x:c>
    </x:row>
    <x:row r="4572" ht="93" customHeight="1">
      <x:c r="A4572" s="19" t="n">
        <x:v>4569</x:v>
      </x:c>
      <x:c r="B4572" s="22" t="e">
        <x:f>HYPERLINK("https://cdn.shopify.com/s/files/1/0918/6066/4603/files/18d5a3f48bc841752deb25075fd65c7a.jpg?v=1776415301","Open")</x:f>
        <x:v>HYPERLINK is not implemented. linkLocation=https://cdn.shopify.com/s/files/1/0918/6066/4603/files/18d5a3f48bc841752deb25075fd65c7a.jpg?v=1776415301, friendlyName=Open</x:v>
      </x:c>
      <x:c r="C4572" s="24" t="e">
        <x:f>HYPERLINK("https://365nails.com/products/365nails-glacial-whisper-3d-floral-ombre-handmade-medium-almond-nails","365nails: ""Glacial Whisper"" – 3D Floral &amp; Ombre Handmade Medium Almond Nails")</x:f>
        <x:v>HYPERLINK is not implemented. linkLocation=https://365nails.com/products/365nails-glacial-whisper-3d-floral-ombre-handmade-medium-almond-nails, friendlyName=365nails: "Glacial Whisper" – 3D Floral &amp; Ombre Handmade Medium Almond Nails</x:v>
      </x:c>
      <x:c r="D4572" s="18" t="str">
        <x:v>Size: XS / S / M / L</x:v>
      </x:c>
      <x:c r="E4572" s="25" t="str">
        <x:v>$2.49</x:v>
      </x:c>
      <x:c r="F4572" s="19" t="str">
        <x:v>5</x:v>
      </x:c>
    </x:row>
    <x:row r="4573" ht="93" customHeight="1">
      <x:c r="A4573" s="19" t="n">
        <x:v>4570</x:v>
      </x:c>
      <x:c r="B4573" s="22" t="e">
        <x:f>HYPERLINK("https://cdn.shopify.com/s/files/1/0918/6066/4603/files/O1CN01IxKHi91CPwJRIRlyn__2213196780074-0-cib_6e41354d-b929-40f7-8071-41b74ea7c612.jpg?v=1774605279","Open")</x:f>
        <x:v>HYPERLINK is not implemented. linkLocation=https://cdn.shopify.com/s/files/1/0918/6066/4603/files/O1CN01IxKHi91CPwJRIRlyn__2213196780074-0-cib_6e41354d-b929-40f7-8071-41b74ea7c612.jpg?v=1774605279, friendlyName=Open</x:v>
      </x:c>
      <x:c r="C4573" s="24" t="e">
        <x:f>HYPERLINK("https://365nails.com/products/365nails-gothic-glam-3d-cross-pearl-stiletto-nails","365nails: ""Gothic Glam"" – 3D Cross &amp; Pearl Stiletto Nails")</x:f>
        <x:v>HYPERLINK is not implemented. linkLocation=https://365nails.com/products/365nails-gothic-glam-3d-cross-pearl-stiletto-nails, friendlyName=365nails: "Gothic Glam" – 3D Cross &amp; Pearl Stiletto Nails</x:v>
      </x:c>
      <x:c r="D4573" s="18" t="str">
        <x:v>Color: Extra small size xs / Small s / Medium m / Large l; Specification type: 2109-extended duckbill</x:v>
      </x:c>
      <x:c r="E4573" s="25" t="str">
        <x:v>$5.49</x:v>
      </x:c>
      <x:c r="F4573" s="19" t="str">
        <x:v>1</x:v>
      </x:c>
    </x:row>
    <x:row r="4574" ht="93" customHeight="1">
      <x:c r="A4574" s="19" t="n">
        <x:v>4571</x:v>
      </x:c>
      <x:c r="B4574" s="22" t="e">
        <x:f>HYPERLINK("https://cdn.shopify.com/s/files/1/0918/6066/4603/files/O1CN01xl3LIK2214tjL7vpo__2219480337059-0-cib.jpg?v=1774070280","Open")</x:f>
        <x:v>HYPERLINK is not implemented. linkLocation=https://cdn.shopify.com/s/files/1/0918/6066/4603/files/O1CN01xl3LIK2214tjL7vpo__2219480337059-0-cib.jpg?v=1774070280, friendlyName=Open</x:v>
      </x:c>
      <x:c r="C4574" s="24" t="e">
        <x:f>HYPERLINK("https://365nails.com/products/365nails-kuromi-dark-sweetheart-handmade-cute-short-oval-press-on-nails-with-kuromi-bow-design","365Nails: ""Kuromi Dark Sweetheart"" – Handmade Cute Short Oval Press On Nails With Kuromi &amp; Bow Design")</x:f>
        <x:v>HYPERLINK is not implemented. linkLocation=https://365nails.com/products/365nails-kuromi-dark-sweetheart-handmade-cute-short-oval-press-on-nails-with-kuromi-bow-design, friendlyName=365Nails: "Kuromi Dark Sweetheart" – Handmade Cute Short Oval Press On Nails With Kuromi &amp; Bow Design</x:v>
      </x:c>
      <x:c r="D4574" s="18" t="str">
        <x:v>Color: Labubu kuromi; Color classification: Xs (about 2 years old) / S (3-4 years old) / M (5-7 years old) / L (8-11 years old)</x:v>
      </x:c>
      <x:c r="E4574" s="25" t="str">
        <x:v>$2.99</x:v>
      </x:c>
      <x:c r="F4574" s="19" t="str">
        <x:v>3</x:v>
      </x:c>
    </x:row>
    <x:row r="4575" ht="93" customHeight="1">
      <x:c r="A4575" s="19" t="n">
        <x:v>4572</x:v>
      </x:c>
      <x:c r="B4575" s="22" t="e">
        <x:f>HYPERLINK("https://cdn.shopify.com/s/files/1/0918/6066/4603/files/O1CN01zfKb1M1v7Ixl6SY49__2218399446125-0-cib.jpg?v=1763631910","Open")</x:f>
        <x:v>HYPERLINK is not implemented. linkLocation=https://cdn.shopify.com/s/files/1/0918/6066/4603/files/O1CN01zfKb1M1v7Ixl6SY49__2218399446125-0-cib.jpg?v=1763631910, friendlyName=Open</x:v>
      </x:c>
      <x:c r="C4575" s="24" t="e">
        <x:f>HYPERLINK("https://365nails.com/products/christmas-colorful-hut-nail-art-sticker-5d-relief-three-dimensional-christmas-atmosphere-nail-sticker-jewelry-tj-model","Christmas colorful hut nail art sticker 5D relief three-dimensional Christmas atmosphere nail sticker jewelry TJ model")</x:f>
        <x:v>HYPERLINK is not implemented. linkLocation=https://365nails.com/products/christmas-colorful-hut-nail-art-sticker-5d-relief-three-dimensional-christmas-atmosphere-nail-sticker-jewelry-tj-model, friendlyName=Christmas colorful hut nail art sticker 5D relief three-dimensional Christmas atmosphere nail sticker jewelry TJ model</x:v>
      </x:c>
      <x:c r="D4575" s="18" t="str">
        <x:v>Specification type: TJ-017 / TJ-018 / TJ-019</x:v>
      </x:c>
      <x:c r="E4575" s="25" t="str">
        <x:v>$0.70</x:v>
      </x:c>
      <x:c r="F4575" s="19" t="str">
        <x:v>1</x:v>
      </x:c>
    </x:row>
    <x:row r="4576" ht="93" customHeight="1">
      <x:c r="A4576" s="19" t="n">
        <x:v>4573</x:v>
      </x:c>
      <x:c r="B4576" s="22" t="e">
        <x:f>HYPERLINK("https://cdn.shopify.com/s/files/1/0918/6066/4603/files/34153a973b297d88710e8cbfe73e46af.jpg?v=1776151869","Open")</x:f>
        <x:v>HYPERLINK is not implemented. linkLocation=https://cdn.shopify.com/s/files/1/0918/6066/4603/files/34153a973b297d88710e8cbfe73e46af.jpg?v=1776151869, friendlyName=Open</x:v>
      </x:c>
      <x:c r="C4576" s="24" t="e">
        <x:f>HYPERLINK("https://365nails.com/products/365nails-hello-kittys-red-bow-3d-character-polka-dot-handmade-short-square-nails","365nails: ""Hello Kitty's Red Bow"" – 3D Character &amp; Polka Dot Handmade Short Square Nails")</x:f>
        <x:v>HYPERLINK is not implemented. linkLocation=https://365nails.com/products/365nails-hello-kittys-red-bow-3d-character-polka-dot-handmade-short-square-nails, friendlyName=365nails: "Hello Kitty's Red Bow" – 3D Character &amp; Polka Dot Handmade Short Square Nails</x:v>
      </x:c>
      <x:c r="D4576" s="18" t="str">
        <x:v>Size: XS / S / M / L</x:v>
      </x:c>
      <x:c r="E4576" s="25" t="str">
        <x:v>$1.99</x:v>
      </x:c>
      <x:c r="F4576" s="19" t="str">
        <x:v>3</x:v>
      </x:c>
    </x:row>
    <x:row r="4577" ht="93" customHeight="1">
      <x:c r="A4577" s="19" t="n">
        <x:v>4574</x:v>
      </x:c>
      <x:c r="B4577" s="22" t="e">
        <x:f>HYPERLINK("https://cdn.shopify.com/s/files/1/0918/6066/4603/files/0f8001d5ab7d35d5a9c0a36972666eba.jpg?v=1775909219","Open")</x:f>
        <x:v>HYPERLINK is not implemented. linkLocation=https://cdn.shopify.com/s/files/1/0918/6066/4603/files/0f8001d5ab7d35d5a9c0a36972666eba.jpg?v=1775909219, friendlyName=Open</x:v>
      </x:c>
      <x:c r="C4577" s="24" t="e">
        <x:f>HYPERLINK("https://365nails.com/products/365nails-jungle-fever-3d-art-handmade-coffin-nails","365nails: ""Jungle Fever"" – 3D Art Handmade Coffin Nails")</x:f>
        <x:v>HYPERLINK is not implemented. linkLocation=https://365nails.com/products/365nails-jungle-fever-3d-art-handmade-coffin-nails, friendlyName=365nails: "Jungle Fever" – 3D Art Handmade Coffin Nails</x:v>
      </x:c>
      <x:c r="D4577" s="18" t="str">
        <x:v>Size: XS / S / M / L</x:v>
      </x:c>
      <x:c r="E4577" s="25" t="str">
        <x:v>$3.99</x:v>
      </x:c>
      <x:c r="F4577" s="19" t="str">
        <x:v>5</x:v>
      </x:c>
    </x:row>
    <x:row r="4578" ht="93" customHeight="1">
      <x:c r="A4578" s="19" t="n">
        <x:v>4575</x:v>
      </x:c>
      <x:c r="B4578" s="22" t="e">
        <x:f>HYPERLINK("https://cdn.shopify.com/s/files/1/0918/6066/4603/files/O1CN01Zjuvq02214vAid6XW__2219480337059-0-cib_694552b4-995b-4231-a405-f8194fc3a48b.jpg?v=1774070344","Open")</x:f>
        <x:v>HYPERLINK is not implemented. linkLocation=https://cdn.shopify.com/s/files/1/0918/6066/4603/files/O1CN01Zjuvq02214vAid6XW__2219480337059-0-cib_694552b4-995b-4231-a405-f8194fc3a48b.jpg?v=1774070344, friendlyName=Open</x:v>
      </x:c>
      <x:c r="C4578" s="24" t="e">
        <x:f>HYPERLINK("https://365nails.com/products/365nails-christmas-sweet-feast-handmade-cute-short-oval-press-on-nails-with-santa-gingerbread-design","365Nails: ""Christmas Sweet Feast"" – Handmade Cute Short Oval Press On Nails With Santa &amp; Gingerbread Design")</x:f>
        <x:v>HYPERLINK is not implemented. linkLocation=https://365nails.com/products/365nails-christmas-sweet-feast-handmade-cute-short-oval-press-on-nails-with-santa-gingerbread-design, friendlyName=365Nails: "Christmas Sweet Feast" – Handmade Cute Short Oval Press On Nails With Santa &amp; Gingerbread Design</x:v>
      </x:c>
      <x:c r="D4578" s="18" t="str">
        <x:v>Color: H9250 christmas gingerbread man; Color classification: Xs (about 2 years old) / S (3-4 years old) / M (5-7 years old) / L (8-11 years old)</x:v>
      </x:c>
      <x:c r="E4578" s="25" t="str">
        <x:v>$2.99</x:v>
      </x:c>
      <x:c r="F4578" s="19" t="str">
        <x:v>3</x:v>
      </x:c>
    </x:row>
    <x:row r="4579" ht="93" customHeight="1">
      <x:c r="A4579" s="19" t="n">
        <x:v>4576</x:v>
      </x:c>
      <x:c r="B4579" s="22" t="e">
        <x:f>HYPERLINK("https://cdn.shopify.com/s/files/1/0918/6066/4603/files/O1CN010xjMcv1rlpKYEVUJ7__2215158925672-0-cib_7c153867-8951-45e2-ba02-ea7266717b87.jpg?v=1772513852","Open")</x:f>
        <x:v>HYPERLINK is not implemented. linkLocation=https://cdn.shopify.com/s/files/1/0918/6066/4603/files/O1CN010xjMcv1rlpKYEVUJ7__2215158925672-0-cib_7c153867-8951-45e2-ba02-ea7266717b87.jpg?v=1772513852, friendlyName=Open</x:v>
      </x:c>
      <x:c r="C4579" s="24" t="e">
        <x:f>HYPERLINK("https://365nails.com/products/365nails-minimalist-lavender-haze-medium-square-cat-eye-iridescent-press-on-nails-24pcs","365nails: ""Aurora Planet"" – Medium Coffin Handmade Press-On Nails")</x:f>
        <x:v>HYPERLINK is not implemented. linkLocation=https://365nails.com/products/365nails-minimalist-lavender-haze-medium-square-cat-eye-iridescent-press-on-nails-24pcs, friendlyName=365nails: "Aurora Planet" – Medium Coffin Handmade Press-On Nails</x:v>
      </x:c>
      <x:c r="D4579" s="18" t="str">
        <x:v>Color: Short t; Color classification: X s / S / M / L</x:v>
      </x:c>
      <x:c r="E4579" s="25" t="str">
        <x:v>$2.49</x:v>
      </x:c>
      <x:c r="F4579" s="19" t="str">
        <x:v>3</x:v>
      </x:c>
    </x:row>
    <x:row r="4580" ht="93" customHeight="1">
      <x:c r="A4580" s="19" t="n">
        <x:v>4577</x:v>
      </x:c>
      <x:c r="B4580" s="22" t="e">
        <x:f>HYPERLINK("https://cdn.shopify.com/s/files/1/0918/6066/4603/files/O1CN013L7mu42214sA1eoLj__2219480337059-0-cib.jpg?v=1774265824","Open")</x:f>
        <x:v>HYPERLINK is not implemented. linkLocation=https://cdn.shopify.com/s/files/1/0918/6066/4603/files/O1CN013L7mu42214sA1eoLj__2219480337059-0-cib.jpg?v=1774265824, friendlyName=Open</x:v>
      </x:c>
      <x:c r="C4580" s="24" t="e">
        <x:f>HYPERLINK("https://365nails.com/products/365nails-dusty-rose-cat-eye-heart-handmade-press-on-pedicure","365nails: ""dusty rose cat-eye heart"" – handmade press-on pedicure")</x:f>
        <x:v>HYPERLINK is not implemented. linkLocation=https://365nails.com/products/365nails-dusty-rose-cat-eye-heart-handmade-press-on-pedicure, friendlyName=365nails: "dusty rose cat-eye heart" – handmade press-on pedicure</x:v>
      </x:c>
      <x:c r="D4580" s="18" t="str">
        <x:v>Color: Love cat eye; Color classification: X s / S / M / L</x:v>
      </x:c>
      <x:c r="E4580" s="25" t="str">
        <x:v>$2.99</x:v>
      </x:c>
      <x:c r="F4580" s="19" t="str">
        <x:v>3</x:v>
      </x:c>
    </x:row>
    <x:row r="4581" ht="93" customHeight="1">
      <x:c r="A4581" s="19" t="n">
        <x:v>4578</x:v>
      </x:c>
      <x:c r="B4581" s="22" t="e">
        <x:f>HYPERLINK("https://cdn.shopify.com/s/files/1/0918/6066/4603/files/O1CN01UG9UVV2MQzf9ucJBB__2219089449823-0-cib_bf26bde2-3497-4874-94aa-574a74ce39cb.jpg?v=1774579346","Open")</x:f>
        <x:v>HYPERLINK is not implemented. linkLocation=https://cdn.shopify.com/s/files/1/0918/6066/4603/files/O1CN01UG9UVV2MQzf9ucJBB__2219089449823-0-cib_bf26bde2-3497-4874-94aa-574a74ce39cb.jpg?v=1774579346, friendlyName=Open</x:v>
      </x:c>
      <x:c r="C4581" s="24" t="e">
        <x:f>HYPERLINK("https://365nails.com/products/whimsical-animal-floral-mixed-print-almond-press-on-nails","Whimsical Safari: ""Animal Print Fantasy"" – Almond Shape Handmade Press-Ons")</x:f>
        <x:v>HYPERLINK is not implemented. linkLocation=https://365nails.com/products/whimsical-animal-floral-mixed-print-almond-press-on-nails, friendlyName=Whimsical Safari: "Animal Print Fantasy" – Almond Shape Handmade Press-Ons</x:v>
      </x:c>
      <x:c r="D4581" s="18" t="str">
        <x:v>Color: D605; Color classification: X s / S / M / L</x:v>
      </x:c>
      <x:c r="E4581" s="25" t="str">
        <x:v>$3.49</x:v>
      </x:c>
      <x:c r="F4581" s="19" t="str">
        <x:v>1</x:v>
      </x:c>
    </x:row>
    <x:row r="4582" ht="93" customHeight="1">
      <x:c r="A4582" s="19" t="n">
        <x:v>4579</x:v>
      </x:c>
      <x:c r="B4582" s="22" t="e">
        <x:f>HYPERLINK("https://cdn.shopify.com/s/files/1/0918/6066/4603/files/O1CN01W5i0A31CPwLJMv9s8__2213196780074-0-cib.jpg?v=1777014403","Open")</x:f>
        <x:v>HYPERLINK is not implemented. linkLocation=https://cdn.shopify.com/s/files/1/0918/6066/4603/files/O1CN01W5i0A31CPwLJMv9s8__2213196780074-0-cib.jpg?v=1777014403, friendlyName=Open</x:v>
      </x:c>
      <x:c r="C4582" s="24" t="e">
        <x:f>HYPERLINK("https://365nails.com/products/365nails-pink-opulence-cat-eye-blush-gradient-with-crystal-embellishments-handmade-almond-nails","365nails: ""Pink Opulence"" – Cat-Eye Blush Gradient with Crystal Embellishments Handmade Almond Nails")</x:f>
        <x:v>HYPERLINK is not implemented. linkLocation=https://365nails.com/products/365nails-pink-opulence-cat-eye-blush-gradient-with-crystal-embellishments-handmade-almond-nails, friendlyName=365nails: "Pink Opulence" – Cat-Eye Blush Gradient with Crystal Embellishments Handmade Almond Nails</x:v>
      </x:c>
      <x:c r="D4582" s="18" t="str">
        <x:v>Color: Extra small size xs / Small s / Medium m / Large l; Specification type: 2747 - medium oval (12 fingers)</x:v>
      </x:c>
      <x:c r="E4582" s="25" t="str">
        <x:v>$3.49</x:v>
      </x:c>
      <x:c r="F4582" s="19" t="str">
        <x:v>1</x:v>
      </x:c>
    </x:row>
    <x:row r="4583" ht="93" customHeight="1">
      <x:c r="A4583" s="19" t="n">
        <x:v>4580</x:v>
      </x:c>
      <x:c r="B4583" s="22" t="e">
        <x:f>HYPERLINK("https://cdn.shopify.com/s/files/1/0918/6066/4603/files/O1CN01zo8nhg1v7IxkzBT2w__2218399446125-0-cib.jpg?v=1763632278","Open")</x:f>
        <x:v>HYPERLINK is not implemented. linkLocation=https://cdn.shopify.com/s/files/1/0918/6066/4603/files/O1CN01zo8nhg1v7IxkzBT2w__2218399446125-0-cib.jpg?v=1763632278, friendlyName=Open</x:v>
      </x:c>
      <x:c r="C4583" s="24" t="e">
        <x:f>HYPERLINK("https://365nails.com/products/christmas-series-nail-art-sticker-flat-belt-adhesive-christmas-snowman-elk-nail-sticker-ornament-3d","Christmas Series Nail Art Sticker Flat Belt Adhesive Christmas Snowman Elk Nail Sticker Ornament 3D")</x:f>
        <x:v>HYPERLINK is not implemented. linkLocation=https://365nails.com/products/christmas-series-nail-art-sticker-flat-belt-adhesive-christmas-snowman-elk-nail-sticker-ornament-3d, friendlyName=Christmas Series Nail Art Sticker Flat Belt Adhesive Christmas Snowman Elk Nail Sticker Ornament 3D</x:v>
      </x:c>
      <x:c r="D4583" s="18" t="str">
        <x:v>Specification type: 3D-1001 / 3D-1002 / 3D-1003 / 3D-1004 / 3D-1005 / 3D-1006 / 3D-1007 / 3D-1008</x:v>
      </x:c>
      <x:c r="E4583" s="25" t="str">
        <x:v>$0.50</x:v>
      </x:c>
      <x:c r="F4583" s="19" t="str">
        <x:v>1</x:v>
      </x:c>
    </x:row>
    <x:row r="4584" ht="93" customHeight="1">
      <x:c r="A4584" s="19" t="n">
        <x:v>4581</x:v>
      </x:c>
      <x:c r="B4584" s="22" t="e">
        <x:f>HYPERLINK("https://cdn.shopify.com/s/files/1/0918/6066/4603/files/O1CN01n7SPJ31v7IyWwDE5C__2218399446125-0-cib.jpg?v=1763632132","Open")</x:f>
        <x:v>HYPERLINK is not implemented. linkLocation=https://cdn.shopify.com/s/files/1/0918/6066/4603/files/O1CN01n7SPJ31v7IyWwDE5C__2218399446125-0-cib.jpg?v=1763632132, friendlyName=Open</x:v>
      </x:c>
      <x:c r="C4584" s="24" t="e">
        <x:f>HYPERLINK("https://365nails.com/products/christmas-atmosphere-nail-art-sticker-5d-relief-three-dimensional-santa-claus-elk-nail-sticker-jewelry-hg-model","Christmas atmosphere nail art sticker 5D relief three-dimensional Santa Claus Elk nail sticker jewelry HG model")</x:f>
        <x:v>HYPERLINK is not implemented. linkLocation=https://365nails.com/products/christmas-atmosphere-nail-art-sticker-5d-relief-three-dimensional-santa-claus-elk-nail-sticker-jewelry-hg-model, friendlyName=Christmas atmosphere nail art sticker 5D relief three-dimensional Santa Claus Elk nail sticker jewelry HG model</x:v>
      </x:c>
      <x:c r="D4584" s="18" t="str">
        <x:v>Specification type: HG-5D020 / HG-5D022 / HG-5D023 / HG-5D356</x:v>
      </x:c>
      <x:c r="E4584" s="25" t="str">
        <x:v>$0.50</x:v>
      </x:c>
      <x:c r="F4584" s="19" t="str">
        <x:v>1</x:v>
      </x:c>
    </x:row>
    <x:row r="4585" ht="93" customHeight="1">
      <x:c r="A4585" s="19" t="n">
        <x:v>4582</x:v>
      </x:c>
      <x:c r="B4585" s="22" t="e">
        <x:f>HYPERLINK("https://cdn.shopify.com/s/files/1/0918/6066/4603/files/8c0b67e7381b1939192627a065c9aacd.png?v=1761206852","Open")</x:f>
        <x:v>HYPERLINK is not implemented. linkLocation=https://cdn.shopify.com/s/files/1/0918/6066/4603/files/8c0b67e7381b1939192627a065c9aacd.png?v=1761206852, friendlyName=Open</x:v>
      </x:c>
      <x:c r="C4585" s="24" t="e">
        <x:f>HYPERLINK("https://365nails.com/products/custom-press-on-nail-packaging-boxes-with-plastic-inner-tray-moq-1-000","Custom Press-On Nail Packaging Boxes with Plastic Inner Tray (MOQ 1,000)")</x:f>
        <x:v>HYPERLINK is not implemented. linkLocation=https://365nails.com/products/custom-press-on-nail-packaging-boxes-with-plastic-inner-tray-moq-1-000, friendlyName=Custom Press-On Nail Packaging Boxes with Plastic Inner Tray (MOQ 1,000)</x:v>
      </x:c>
      <x:c r="D4585" s="18" t="str">
        <x:v>Size: 1000pcs / Contact Customer Service</x:v>
      </x:c>
      <x:c r="E4585" s="25" t="str">
        <x:v>$100.00–$400.00</x:v>
      </x:c>
      <x:c r="F4585" s="19" t="str">
        <x:v>1</x:v>
      </x:c>
    </x:row>
    <x:row r="4586" ht="93" customHeight="1">
      <x:c r="A4586" s="19" t="n">
        <x:v>4583</x:v>
      </x:c>
      <x:c r="B4586" s="22" t="e">
        <x:f>HYPERLINK("https://cdn.shopify.com/s/files/1/0918/6066/4603/files/O1CN01aqDcEs2214varMQFv__2219480337059-0-cib.jpg?v=1774069804","Open")</x:f>
        <x:v>HYPERLINK is not implemented. linkLocation=https://cdn.shopify.com/s/files/1/0918/6066/4603/files/O1CN01aqDcEs2214varMQFv__2219480337059-0-cib.jpg?v=1774069804, friendlyName=Open</x:v>
      </x:c>
      <x:c r="C4586" s="24" t="e">
        <x:f>HYPERLINK("https://365nails.com/products/365nails-christmas-gingerbread-wonderland-handmade-cute-short-oval-press-on-nails","365Nails: ""Christmas Gingerbread Wonderland"" – Handmade Cute Short Oval Press On Nails")</x:f>
        <x:v>HYPERLINK is not implemented. linkLocation=https://365nails.com/products/365nails-christmas-gingerbread-wonderland-handmade-cute-short-oval-press-on-nails, friendlyName=365Nails: "Christmas Gingerbread Wonderland" – Handmade Cute Short Oval Press On Nails</x:v>
      </x:c>
      <x:c r="D4586" s="18" t="str">
        <x:v>Color: H9258 cat's eye christmas flower; Color classification: Xs (about 2 years old) / S (3-4 years old) / M (5-7 years old) / L (8-11 years old)</x:v>
      </x:c>
      <x:c r="E4586" s="25" t="str">
        <x:v>$2.99</x:v>
      </x:c>
      <x:c r="F4586" s="19" t="str">
        <x:v>3</x:v>
      </x:c>
    </x:row>
    <x:row r="4587" ht="93" customHeight="1">
      <x:c r="A4587" s="19" t="n">
        <x:v>4584</x:v>
      </x:c>
      <x:c r="B4587" s="22" t="e">
        <x:f>HYPERLINK("https://cdn.shopify.com/s/files/1/0918/6066/4603/files/7995758e04f7b1185994db1a59bdf654.jpg?v=1778244683","Open")</x:f>
        <x:v>HYPERLINK is not implemented. linkLocation=https://cdn.shopify.com/s/files/1/0918/6066/4603/files/7995758e04f7b1185994db1a59bdf654.jpg?v=1778244683, friendlyName=Open</x:v>
      </x:c>
      <x:c r="C4587" s="24" t="e">
        <x:f>HYPERLINK("https://365nails.com/products/365nails-emerald-garden-3d-floral-rhinestone-handmade-almond-nails","365nails: ""Emerald Garden"" – 3D Floral &amp; Rhinestone Handmade Almond Nails")</x:f>
        <x:v>HYPERLINK is not implemented. linkLocation=https://365nails.com/products/365nails-emerald-garden-3d-floral-rhinestone-handmade-almond-nails, friendlyName=365nails: "Emerald Garden" – 3D Floral &amp; Rhinestone Handmade Almond Nails</x:v>
      </x:c>
      <x:c r="D4587" s="18" t="str">
        <x:v>Size: XS / S / M / L</x:v>
      </x:c>
      <x:c r="E4587" s="25" t="str">
        <x:v>$3.99</x:v>
      </x:c>
      <x:c r="F4587" s="19" t="str">
        <x:v>5</x:v>
      </x:c>
    </x:row>
    <x:row r="4588" ht="93" customHeight="1">
      <x:c r="A4588" s="19" t="n">
        <x:v>4585</x:v>
      </x:c>
      <x:c r="B4588" s="22" t="e">
        <x:f>HYPERLINK("https://cdn.shopify.com/s/files/1/0918/6066/4603/files/O1CN01kGWOZu1v7J06wZAHy__2218399446125-0-cib.jpg?v=1763631941","Open")</x:f>
        <x:v>HYPERLINK is not implemented. linkLocation=https://cdn.shopify.com/s/files/1/0918/6066/4603/files/O1CN01kGWOZu1v7J06wZAHy__2218399446125-0-cib.jpg?v=1763631941, friendlyName=Open</x:v>
      </x:c>
      <x:c r="C4588" s="24" t="e">
        <x:f>HYPERLINK("https://365nails.com/products/cute-christmas-snowman-nail-art-sticker-5d-embossed-three-dimensional-santa-claus-elk-nail-sticker-ornament-ca","Cute Christmas Snowman Nail Art Sticker 5D Embossed Three-dimensional Santa Claus Elk Nail Sticker Ornament CA")</x:f>
        <x:v>HYPERLINK is not implemented. linkLocation=https://365nails.com/products/cute-christmas-snowman-nail-art-sticker-5d-embossed-three-dimensional-santa-claus-elk-nail-sticker-ornament-ca, friendlyName=Cute Christmas Snowman Nail Art Sticker 5D Embossed Three-dimensional Santa Claus Elk Nail Sticker Ornament CA</x:v>
      </x:c>
      <x:c r="D4588" s="18" t="str">
        <x:v>Specification type: CA-6980 / CA-6982 / CA-6983 / CA-6984 / CA-6985 / CA-6986</x:v>
      </x:c>
      <x:c r="E4588" s="25" t="str">
        <x:v>$0.30</x:v>
      </x:c>
      <x:c r="F4588" s="19" t="str">
        <x:v>1</x:v>
      </x:c>
    </x:row>
    <x:row r="4589" ht="93" customHeight="1">
      <x:c r="A4589" s="19" t="n">
        <x:v>4586</x:v>
      </x:c>
      <x:c r="B4589" s="22" t="e">
        <x:f>HYPERLINK("https://cdn.shopify.com/s/files/1/0918/6066/4603/files/O1CN01thhpdf1v7IyfulxTU__2218399446125-0-cib.jpg?v=1763631759","Open")</x:f>
        <x:v>HYPERLINK is not implemented. linkLocation=https://cdn.shopify.com/s/files/1/0918/6066/4603/files/O1CN01thhpdf1v7IyfulxTU__2218399446125-0-cib.jpg?v=1763631759, friendlyName=Open</x:v>
      </x:c>
      <x:c r="C4589" s="24" t="e">
        <x:f>HYPERLINK("https://365nails.com/products/christmas-themed-nail-art-sticker-5d-embossed-three-dimensional-santa-elk-nail-sticker-ornament-ca","Christmas Themed Nail Art Sticker 5D Embossed Three-dimensional Santa Elk Nail Sticker Ornament CA")</x:f>
        <x:v>HYPERLINK is not implemented. linkLocation=https://365nails.com/products/christmas-themed-nail-art-sticker-5d-embossed-three-dimensional-santa-elk-nail-sticker-ornament-ca, friendlyName=Christmas Themed Nail Art Sticker 5D Embossed Three-dimensional Santa Elk Nail Sticker Ornament CA</x:v>
      </x:c>
      <x:c r="D4589" s="18" t="str">
        <x:v>Specification type: CA-6938 / CA-6939 / CA-6940 / CA-6941 / CA-6968 / CA-6971</x:v>
      </x:c>
      <x:c r="E4589" s="25" t="str">
        <x:v>$0.70</x:v>
      </x:c>
      <x:c r="F4589" s="19" t="str">
        <x:v>1</x:v>
      </x:c>
    </x:row>
    <x:row r="4590" ht="93" customHeight="1">
      <x:c r="A4590" s="19" t="n">
        <x:v>4587</x:v>
      </x:c>
      <x:c r="B4590" s="22" t="e">
        <x:f>HYPERLINK("https://cdn.shopify.com/s/files/1/0918/6066/4603/files/08cab8af37938398dcdd701541e00f31.jpg?v=1776154179","Open")</x:f>
        <x:v>HYPERLINK is not implemented. linkLocation=https://cdn.shopify.com/s/files/1/0918/6066/4603/files/08cab8af37938398dcdd701541e00f31.jpg?v=1776154179, friendlyName=Open</x:v>
      </x:c>
      <x:c r="C4590" s="24" t="e">
        <x:f>HYPERLINK("https://365nails.com/products/365nails-bunny-love-3d-rabbit-heart-handmade-short-square-nails","365nails: ""Bunny Love"" – 3D Rabbit &amp; Heart Handmade Short Square Nails")</x:f>
        <x:v>HYPERLINK is not implemented. linkLocation=https://365nails.com/products/365nails-bunny-love-3d-rabbit-heart-handmade-short-square-nails, friendlyName=365nails: "Bunny Love" – 3D Rabbit &amp; Heart Handmade Short Square Nails</x:v>
      </x:c>
      <x:c r="D4590" s="18" t="str">
        <x:v>Size: XS / S / M / L</x:v>
      </x:c>
      <x:c r="E4590" s="25" t="str">
        <x:v>$1.99</x:v>
      </x:c>
      <x:c r="F4590" s="19" t="str">
        <x:v>3</x:v>
      </x:c>
    </x:row>
    <x:row r="4591" ht="93" customHeight="1">
      <x:c r="A4591" s="19" t="n">
        <x:v>4588</x:v>
      </x:c>
      <x:c r="B4591" s="22" t="e">
        <x:f>HYPERLINK("https://cdn.shopify.com/s/files/1/0918/6066/4603/files/2e54aaea42c85d795d656c55aee16848.jpg?v=1776417613","Open")</x:f>
        <x:v>HYPERLINK is not implemented. linkLocation=https://cdn.shopify.com/s/files/1/0918/6066/4603/files/2e54aaea42c85d795d656c55aee16848.jpg?v=1776417613, friendlyName=Open</x:v>
      </x:c>
      <x:c r="C4591" s="24" t="e">
        <x:f>HYPERLINK("https://365nails.com/products/365nails-lilac-garden-3d-floral-handmade-medium-coffin-nails","365nails: ""Lilac Garden"" – 3D Floral Handmade Medium Coffin Nails")</x:f>
        <x:v>HYPERLINK is not implemented. linkLocation=https://365nails.com/products/365nails-lilac-garden-3d-floral-handmade-medium-coffin-nails, friendlyName=365nails: "Lilac Garden" – 3D Floral Handmade Medium Coffin Nails</x:v>
      </x:c>
      <x:c r="D4591" s="18" t="str">
        <x:v>Size: XS / S / M / L</x:v>
      </x:c>
      <x:c r="E4591" s="25" t="str">
        <x:v>$3.99</x:v>
      </x:c>
      <x:c r="F4591" s="19" t="str">
        <x:v>5</x:v>
      </x:c>
    </x:row>
    <x:row r="4592" ht="93" customHeight="1">
      <x:c r="A4592" s="19" t="n">
        <x:v>4589</x:v>
      </x:c>
      <x:c r="B4592" s="22" t="e">
        <x:f>HYPERLINK("https://cdn.shopify.com/s/files/1/0918/6066/4603/files/e6d4e15a2933b7d790d91fbefc5801f8.jpg?v=1776325484","Open")</x:f>
        <x:v>HYPERLINK is not implemented. linkLocation=https://cdn.shopify.com/s/files/1/0918/6066/4603/files/e6d4e15a2933b7d790d91fbefc5801f8.jpg?v=1776325484, friendlyName=Open</x:v>
      </x:c>
      <x:c r="C4592" s="24" t="e">
        <x:f>HYPERLINK("https://365nails.com/products/365nails-pastel-dreamland-3d-character-short-square-nails","365nails: ""Pastel Dreamland"" – 3D Character Short Square Nails")</x:f>
        <x:v>HYPERLINK is not implemented. linkLocation=https://365nails.com/products/365nails-pastel-dreamland-3d-character-short-square-nails, friendlyName=365nails: "Pastel Dreamland" – 3D Character Short Square Nails</x:v>
      </x:c>
      <x:c r="D4592" s="18" t="str">
        <x:v>Size: XS / S / M / L</x:v>
      </x:c>
      <x:c r="E4592" s="25" t="str">
        <x:v>$3.99</x:v>
      </x:c>
      <x:c r="F4592" s="19" t="str">
        <x:v>5</x:v>
      </x:c>
    </x:row>
    <x:row r="4593" ht="93" customHeight="1">
      <x:c r="A4593" s="19" t="n">
        <x:v>4590</x:v>
      </x:c>
      <x:c r="B4593" s="22" t="e">
        <x:f>HYPERLINK("https://cdn.shopify.com/s/files/1/0918/6066/4603/files/O1CN01W0P3bo2MQzeiNIoQd__2219089449823-0-cib.jpg?v=1774178728","Open")</x:f>
        <x:v>HYPERLINK is not implemented. linkLocation=https://cdn.shopify.com/s/files/1/0918/6066/4603/files/O1CN01W0P3bo2MQzeiNIoQd__2219089449823-0-cib.jpg?v=1774178728, friendlyName=Open</x:v>
      </x:c>
      <x:c r="C4593" s="24" t="e">
        <x:f>HYPERLINK("https://365nails.com/products/spring-bloom-jasmine-whisper-almond-shape-handmade-press-on-nails","Spring Bloom: ""Jasmine Whisper"" – Almond Shape Handmade Press On Nails")</x:f>
        <x:v>HYPERLINK is not implemented. linkLocation=https://365nails.com/products/spring-bloom-jasmine-whisper-almond-shape-handmade-press-on-nails, friendlyName=Spring Bloom: "Jasmine Whisper" – Almond Shape Handmade Press On Nails</x:v>
      </x:c>
      <x:c r="D4593" s="18" t="str">
        <x:v>Color: D396; Color classification: X s / S / M / L</x:v>
      </x:c>
      <x:c r="E4593" s="25" t="str">
        <x:v>$3.49</x:v>
      </x:c>
      <x:c r="F4593" s="19" t="str">
        <x:v>1</x:v>
      </x:c>
    </x:row>
    <x:row r="4594" ht="93" customHeight="1">
      <x:c r="A4594" s="19" t="n">
        <x:v>4591</x:v>
      </x:c>
      <x:c r="B4594" s="22" t="e">
        <x:f>HYPERLINK("https://cdn.shopify.com/s/files/1/0918/6066/4603/files/53ac9badc7d786cc605b4de7384a7759.jpg?v=1776321853","Open")</x:f>
        <x:v>HYPERLINK is not implemented. linkLocation=https://cdn.shopify.com/s/files/1/0918/6066/4603/files/53ac9badc7d786cc605b4de7384a7759.jpg?v=1776321853, friendlyName=Open</x:v>
      </x:c>
      <x:c r="C4594" s="24" t="e">
        <x:f>HYPERLINK("https://365nails.com/products/365nails-sweet-treats-3d-cartoon-character-short-square-nails","365nails: ""Sweet Treats"" – 3D Cartoon Character Short Square Nails")</x:f>
        <x:v>HYPERLINK is not implemented. linkLocation=https://365nails.com/products/365nails-sweet-treats-3d-cartoon-character-short-square-nails, friendlyName=365nails: "Sweet Treats" – 3D Cartoon Character Short Square Nails</x:v>
      </x:c>
      <x:c r="D4594" s="18" t="str">
        <x:v>Size: XS / S / M / L</x:v>
      </x:c>
      <x:c r="E4594" s="25" t="str">
        <x:v>$3.99</x:v>
      </x:c>
      <x:c r="F4594" s="19" t="str">
        <x:v>5</x:v>
      </x:c>
    </x:row>
    <x:row r="4595" ht="93" customHeight="1">
      <x:c r="A4595" s="19" t="n">
        <x:v>4592</x:v>
      </x:c>
      <x:c r="B4595" s="22" t="e">
        <x:f>HYPERLINK("https://cdn.shopify.com/s/files/1/0918/6066/4603/files/f4410d8af3c1a52e14ce4579dd2bccb5.jpg?v=1776326302","Open")</x:f>
        <x:v>HYPERLINK is not implemented. linkLocation=https://cdn.shopify.com/s/files/1/0918/6066/4603/files/f4410d8af3c1a52e14ce4579dd2bccb5.jpg?v=1776326302, friendlyName=Open</x:v>
      </x:c>
      <x:c r="C4595" s="24" t="e">
        <x:f>HYPERLINK("https://365nails.com/products/365nails-teddy-bear-picnic-3d-character-pastry-handmade-short-square-nails","365nails: ""Teddy Bear Picnic"" – 3D Character &amp; Pastry Handmade Short Square Nails")</x:f>
        <x:v>HYPERLINK is not implemented. linkLocation=https://365nails.com/products/365nails-teddy-bear-picnic-3d-character-pastry-handmade-short-square-nails, friendlyName=365nails: "Teddy Bear Picnic" – 3D Character &amp; Pastry Handmade Short Square Nails</x:v>
      </x:c>
      <x:c r="D4595" s="18" t="str">
        <x:v>Size: XS / S / M / L</x:v>
      </x:c>
      <x:c r="E4595" s="25" t="str">
        <x:v>$3.99</x:v>
      </x:c>
      <x:c r="F4595" s="19" t="str">
        <x:v>5</x:v>
      </x:c>
    </x:row>
    <x:row r="4596" ht="93" customHeight="1">
      <x:c r="A4596" s="19" t="n">
        <x:v>4593</x:v>
      </x:c>
      <x:c r="B4596" s="22" t="e">
        <x:f>HYPERLINK("https://cdn.shopify.com/s/files/1/0918/6066/4603/files/ad1ad5ec2a79317d6fccbd863157a31d.jpg?v=1776173047","Open")</x:f>
        <x:v>HYPERLINK is not implemented. linkLocation=https://cdn.shopify.com/s/files/1/0918/6066/4603/files/ad1ad5ec2a79317d6fccbd863157a31d.jpg?v=1776173047, friendlyName=Open</x:v>
      </x:c>
      <x:c r="C4596" s="24" t="e">
        <x:f>HYPERLINK("https://365nails.com/products/365nails-spooky-cuties-3d-halloween-character-handmade-short-square-nails","365nails: ""Spooky Cuties"" – 3D Halloween Character Handmade Short Square Nails")</x:f>
        <x:v>HYPERLINK is not implemented. linkLocation=https://365nails.com/products/365nails-spooky-cuties-3d-halloween-character-handmade-short-square-nails, friendlyName=365nails: "Spooky Cuties" – 3D Halloween Character Handmade Short Square Nails</x:v>
      </x:c>
      <x:c r="D4596" s="18" t="str">
        <x:v>Size: XS / S / M / L</x:v>
      </x:c>
      <x:c r="E4596" s="25" t="str">
        <x:v>$1.99</x:v>
      </x:c>
      <x:c r="F4596" s="19" t="str">
        <x:v>3</x:v>
      </x:c>
    </x:row>
    <x:row r="4597" ht="93" customHeight="1">
      <x:c r="A4597" s="19" t="n">
        <x:v>4594</x:v>
      </x:c>
      <x:c r="B4597" s="22" t="e">
        <x:f>HYPERLINK("https://cdn.shopify.com/s/files/1/0918/6066/4603/files/0bc30e5da74d0677dd2d3c2894443b08.jpg?v=1775908562","Open")</x:f>
        <x:v>HYPERLINK is not implemented. linkLocation=https://cdn.shopify.com/s/files/1/0918/6066/4603/files/0bc30e5da74d0677dd2d3c2894443b08.jpg?v=1775908562, friendlyName=Open</x:v>
      </x:c>
      <x:c r="C4597" s="24" t="e">
        <x:f>HYPERLINK("https://365nails.com/products/365nails-pink-blossom-whisper-3d-floral-handmade-almond-nails","365nails: ""Pink Blossom Whisper"" – 3D Floral Handmade Almond Nails")</x:f>
        <x:v>HYPERLINK is not implemented. linkLocation=https://365nails.com/products/365nails-pink-blossom-whisper-3d-floral-handmade-almond-nails, friendlyName=365nails: "Pink Blossom Whisper" – 3D Floral Handmade Almond Nails</x:v>
      </x:c>
      <x:c r="D4597" s="18" t="str">
        <x:v>Size: XS / S / M / L</x:v>
      </x:c>
      <x:c r="E4597" s="25" t="str">
        <x:v>$3.99</x:v>
      </x:c>
      <x:c r="F4597" s="19" t="str">
        <x:v>5</x:v>
      </x:c>
    </x:row>
    <x:row r="4598" ht="93" customHeight="1">
      <x:c r="A4598" s="19" t="n">
        <x:v>4595</x:v>
      </x:c>
      <x:c r="B4598" s="22" t="e">
        <x:f>HYPERLINK("https://cdn.shopify.com/s/files/1/0918/6066/4603/files/397877439e6262816a3070bef5536a7b.jpg?v=1775909002","Open")</x:f>
        <x:v>HYPERLINK is not implemented. linkLocation=https://cdn.shopify.com/s/files/1/0918/6066/4603/files/397877439e6262816a3070bef5536a7b.jpg?v=1775909002, friendlyName=Open</x:v>
      </x:c>
      <x:c r="C4598" s="24" t="e">
        <x:f>HYPERLINK("https://365nails.com/products/365nails-wild-heart-3d-charms-handmade-stiletto-nails","365nails: ""Wild Heart"" – 3D Charms Handmade Stiletto Nails")</x:f>
        <x:v>HYPERLINK is not implemented. linkLocation=https://365nails.com/products/365nails-wild-heart-3d-charms-handmade-stiletto-nails, friendlyName=365nails: "Wild Heart" – 3D Charms Handmade Stiletto Nails</x:v>
      </x:c>
      <x:c r="D4598" s="18" t="str">
        <x:v>Size: XS / S / M / L</x:v>
      </x:c>
      <x:c r="E4598" s="25" t="str">
        <x:v>$3.99</x:v>
      </x:c>
      <x:c r="F4598" s="19" t="str">
        <x:v>5</x:v>
      </x:c>
    </x:row>
    <x:row r="4599" ht="93" customHeight="1">
      <x:c r="A4599" s="19" t="n">
        <x:v>4596</x:v>
      </x:c>
      <x:c r="B4599" s="22" t="e">
        <x:f>HYPERLINK("https://cdn.shopify.com/s/files/1/0918/6066/4603/files/b79c672546693861ac0c4629e4a742b6.jpg?v=1776152267","Open")</x:f>
        <x:v>HYPERLINK is not implemented. linkLocation=https://cdn.shopify.com/s/files/1/0918/6066/4603/files/b79c672546693861ac0c4629e4a742b6.jpg?v=1776152267, friendlyName=Open</x:v>
      </x:c>
      <x:c r="C4599" s="24" t="e">
        <x:f>HYPERLINK("https://365nails.com/products/365nails-gothic-kawaii-dream-3d-character-bow-handmade-short-square-nails","365nails: ""Gothic Kawaii Dream"" – 3D Character &amp; Bow Handmade Short Square Nails")</x:f>
        <x:v>HYPERLINK is not implemented. linkLocation=https://365nails.com/products/365nails-gothic-kawaii-dream-3d-character-bow-handmade-short-square-nails, friendlyName=365nails: "Gothic Kawaii Dream" – 3D Character &amp; Bow Handmade Short Square Nails</x:v>
      </x:c>
      <x:c r="D4599" s="18" t="str">
        <x:v>Size: XS / S / M / L</x:v>
      </x:c>
      <x:c r="E4599" s="25" t="str">
        <x:v>$1.99</x:v>
      </x:c>
      <x:c r="F4599" s="19" t="str">
        <x:v>3</x:v>
      </x:c>
    </x:row>
    <x:row r="4600" ht="93" customHeight="1">
      <x:c r="A4600" s="19" t="n">
        <x:v>4597</x:v>
      </x:c>
      <x:c r="B4600" s="22" t="e">
        <x:f>HYPERLINK("https://cdn.shopify.com/s/files/1/0918/6066/4603/files/O1CN01WF6scF1CPwPg1L0K4__2213196780074-0-cib.jpg?v=1776851372","Open")</x:f>
        <x:v>HYPERLINK is not implemented. linkLocation=https://cdn.shopify.com/s/files/1/0918/6066/4603/files/O1CN01WF6scF1CPwPg1L0K4__2213196780074-0-cib.jpg?v=1776851372, friendlyName=Open</x:v>
      </x:c>
      <x:c r="C4600" s="24" t="e">
        <x:f>HYPERLINK("https://365nails.com/products/365nails-crimson-blaze-full-coverage-red-rhinestone-handmade-short-square-nails","365nails: ""Crimson Blaze"" – Full-Coverage Red Rhinestone Handmade Short Square Nails")</x:f>
        <x:v>HYPERLINK is not implemented. linkLocation=https://365nails.com/products/365nails-crimson-blaze-full-coverage-red-rhinestone-handmade-short-square-nails, friendlyName=365nails: "Crimson Blaze" – Full-Coverage Red Rhinestone Handmade Short Square Nails</x:v>
      </x:c>
      <x:c r="D4600" s="18" t="str">
        <x:v>Color: 1034-duckbill armor; Color classification: Extra small size xs / Small s / Medium m / Large l</x:v>
      </x:c>
      <x:c r="E4600" s="25" t="str">
        <x:v>$3.99</x:v>
      </x:c>
      <x:c r="F4600" s="19" t="str">
        <x:v>1</x:v>
      </x:c>
    </x:row>
    <x:row r="4601" ht="93" customHeight="1">
      <x:c r="A4601" s="19" t="n">
        <x:v>4598</x:v>
      </x:c>
      <x:c r="B4601" s="22" t="e">
        <x:f>HYPERLINK("https://cdn.shopify.com/s/files/1/0918/6066/4603/files/O1CN01t89l6B2MQzejaRVK4__2219089449823-0-cib.jpg?v=1774178720","Open")</x:f>
        <x:v>HYPERLINK is not implemented. linkLocation=https://cdn.shopify.com/s/files/1/0918/6066/4603/files/O1CN01t89l6B2MQzejaRVK4__2219089449823-0-cib.jpg?v=1774178720, friendlyName=Open</x:v>
      </x:c>
      <x:c r="C4601" s="24" t="e">
        <x:f>HYPERLINK("https://365nails.com/products/warm-breeze-sunset-bloom-almond-shape-handmade-press-on-nails","Warm Breeze: ""Sunset Bloom"" – Almond Shape Handmade Press On Nails")</x:f>
        <x:v>HYPERLINK is not implemented. linkLocation=https://365nails.com/products/warm-breeze-sunset-bloom-almond-shape-handmade-press-on-nails, friendlyName=Warm Breeze: "Sunset Bloom" – Almond Shape Handmade Press On Nails</x:v>
      </x:c>
      <x:c r="D4601" s="18" t="str">
        <x:v>Color: D399; Color classification: X s / S / M / L</x:v>
      </x:c>
      <x:c r="E4601" s="25" t="str">
        <x:v>$3.49</x:v>
      </x:c>
      <x:c r="F4601" s="19" t="str">
        <x:v>1</x:v>
      </x:c>
    </x:row>
    <x:row r="4602" ht="93" customHeight="1">
      <x:c r="A4602" s="19" t="n">
        <x:v>4599</x:v>
      </x:c>
      <x:c r="B4602" s="22" t="e">
        <x:f>HYPERLINK("https://cdn.shopify.com/s/files/1/0918/6066/4603/files/O1CN01vvAaY01CPwNLJKWA4__2213196780074-0-cib_a78f700a-62cd-4a19-97d2-d1e611a889ae.jpg?v=1774860365","Open")</x:f>
        <x:v>HYPERLINK is not implemented. linkLocation=https://cdn.shopify.com/s/files/1/0918/6066/4603/files/O1CN01vvAaY01CPwNLJKWA4__2213196780074-0-cib_a78f700a-62cd-4a19-97d2-d1e611a889ae.jpg?v=1774860365, friendlyName=Open</x:v>
      </x:c>
      <x:c r="C4602" s="24" t="e">
        <x:f>HYPERLINK("https://365nails.com/products/365nails-moonlit-whisper-3d-crystal-pearl-handmade-stiletto-nails","365nails: ""Moonlit Whisper"" – 3D Crystal &amp; Pearl Handmade Stiletto Nails")</x:f>
        <x:v>HYPERLINK is not implemented. linkLocation=https://365nails.com/products/365nails-moonlit-whisper-3d-crystal-pearl-handmade-stiletto-nails, friendlyName=365nails: "Moonlit Whisper" – 3D Crystal &amp; Pearl Handmade Stiletto Nails</x:v>
      </x:c>
      <x:c r="D4602" s="18" t="str">
        <x:v>Color: 2865 - fine point tip / 332 - medium oval; Color classification: Xs / S / M / L</x:v>
      </x:c>
      <x:c r="E4602" s="25" t="str">
        <x:v>$3.49</x:v>
      </x:c>
      <x:c r="F4602" s="19" t="str">
        <x:v>1</x:v>
      </x:c>
    </x:row>
    <x:row r="4603" ht="93" customHeight="1">
      <x:c r="A4603" s="19" t="n">
        <x:v>4600</x:v>
      </x:c>
      <x:c r="B4603" s="22" t="e">
        <x:f>HYPERLINK("https://cdn.shopify.com/s/files/1/0918/6066/4603/files/2317c3b63cecb7c3a342574ed97b3458.jpg?v=1776149453","Open")</x:f>
        <x:v>HYPERLINK is not implemented. linkLocation=https://cdn.shopify.com/s/files/1/0918/6066/4603/files/2317c3b63cecb7c3a342574ed97b3458.jpg?v=1776149453, friendlyName=Open</x:v>
      </x:c>
      <x:c r="C4603" s="24" t="e">
        <x:f>HYPERLINK("https://365nails.com/products/365nails-hello-kitty-candy-3d-character-sculpture-handmade-short-square-nails","365nails: ""Hello Kitty Candy"" – 3D Character Sculpture Handmade Short Square Nails")</x:f>
        <x:v>HYPERLINK is not implemented. linkLocation=https://365nails.com/products/365nails-hello-kitty-candy-3d-character-sculpture-handmade-short-square-nails, friendlyName=365nails: "Hello Kitty Candy" – 3D Character Sculpture Handmade Short Square Nails</x:v>
      </x:c>
      <x:c r="D4603" s="18" t="str">
        <x:v>Size: XS / S / M / L</x:v>
      </x:c>
      <x:c r="E4603" s="25" t="str">
        <x:v>$1.99</x:v>
      </x:c>
      <x:c r="F4603" s="19" t="str">
        <x:v>3</x:v>
      </x:c>
    </x:row>
    <x:row r="4604" ht="93" customHeight="1">
      <x:c r="A4604" s="19" t="n">
        <x:v>4601</x:v>
      </x:c>
      <x:c r="B4604" s="22" t="e">
        <x:f>HYPERLINK("https://cdn.shopify.com/s/files/1/0918/6066/4603/files/O1CN01y0vIm72214w6Rlt05__2219480337059-0-cib.jpg?v=1774068170","Open")</x:f>
        <x:v>HYPERLINK is not implemented. linkLocation=https://cdn.shopify.com/s/files/1/0918/6066/4603/files/O1CN01y0vIm72214w6Rlt05__2219480337059-0-cib.jpg?v=1774068170, friendlyName=Open</x:v>
      </x:c>
      <x:c r="C4604" s="24" t="e">
        <x:f>HYPERLINK("https://365nails.com/products/365nails-christmas-sweet-feast-handmade-cute-short-oval-press-on-nails-with-santa-reindeer-design","365Nails: ""Christmas Sweet Feast"" – Handmade Cute Short Oval Press On Nails With Santa &amp; Reindeer Design")</x:f>
        <x:v>HYPERLINK is not implemented. linkLocation=https://365nails.com/products/365nails-christmas-sweet-feast-handmade-cute-short-oval-press-on-nails-with-santa-reindeer-design, friendlyName=365Nails: "Christmas Sweet Feast" – Handmade Cute Short Oval Press On Nails With Santa &amp; Reindeer Design</x:v>
      </x:c>
      <x:c r="D4604" s="18" t="str">
        <x:v>Color: Christmas gift; Color classification: Xs (about 2 years old) / S (3-4 years old) / M (5-7 years old) / L (8-11 years old)</x:v>
      </x:c>
      <x:c r="E4604" s="25" t="str">
        <x:v>$2.99</x:v>
      </x:c>
      <x:c r="F4604" s="19" t="str">
        <x:v>3</x:v>
      </x:c>
    </x:row>
    <x:row r="4605" ht="93" customHeight="1">
      <x:c r="A4605" s="19" t="n">
        <x:v>4602</x:v>
      </x:c>
      <x:c r="B4605" s="22" t="e">
        <x:f>HYPERLINK("https://cdn.shopify.com/s/files/1/0918/6066/4603/files/2b5b6a3346d5445e1ec7946d1defe4d5.jpg?v=1776153381","Open")</x:f>
        <x:v>HYPERLINK is not implemented. linkLocation=https://cdn.shopify.com/s/files/1/0918/6066/4603/files/2b5b6a3346d5445e1ec7946d1defe4d5.jpg?v=1776153381, friendlyName=Open</x:v>
      </x:c>
      <x:c r="C4605" s="24" t="e">
        <x:f>HYPERLINK("https://365nails.com/products/365nails-little-monster-party-3d-character-handmade-short-square-nails","365nails: ""Little Monster Party"" – 3D Character Handmade Short Square Nails")</x:f>
        <x:v>HYPERLINK is not implemented. linkLocation=https://365nails.com/products/365nails-little-monster-party-3d-character-handmade-short-square-nails, friendlyName=365nails: "Little Monster Party" – 3D Character Handmade Short Square Nails</x:v>
      </x:c>
      <x:c r="D4605" s="18" t="str">
        <x:v>Size: XS / S / M / L</x:v>
      </x:c>
      <x:c r="E4605" s="25" t="str">
        <x:v>$1.99</x:v>
      </x:c>
      <x:c r="F4605" s="19" t="str">
        <x:v>3</x:v>
      </x:c>
    </x:row>
    <x:row r="4606" ht="93" customHeight="1">
      <x:c r="A4606" s="19" t="n">
        <x:v>4603</x:v>
      </x:c>
      <x:c r="B4606" s="22" t="e">
        <x:f>HYPERLINK("https://cdn.shopify.com/s/files/1/0918/6066/4603/files/O1CN01r4YPqp2214sK98d7x__2219480337059-0-cib.jpg?v=1774068066","Open")</x:f>
        <x:v>HYPERLINK is not implemented. linkLocation=https://cdn.shopify.com/s/files/1/0918/6066/4603/files/O1CN01r4YPqp2214sK98d7x__2219480337059-0-cib.jpg?v=1774068066, friendlyName=Open</x:v>
      </x:c>
      <x:c r="C4606" s="24" t="e">
        <x:f>HYPERLINK("https://365nails.com/products/365nails-mermaid-ocean-dream-handmade-cute-short-oval-press-on-nails-with-little-mermaid-seashell-design","365Nails: ""Mermaid Ocean Dream"" – Handmade Cute Short Oval Press On Nails With Little Mermaid &amp; Seashell Design")</x:f>
        <x:v>HYPERLINK is not implemented. linkLocation=https://365nails.com/products/365nails-mermaid-ocean-dream-handmade-cute-short-oval-press-on-nails-with-little-mermaid-seashell-design, friendlyName=365Nails: "Mermaid Ocean Dream" – Handmade Cute Short Oval Press On Nails With Little Mermaid &amp; Seashell Design</x:v>
      </x:c>
      <x:c r="D4606" s="18" t="str">
        <x:v>Color: Mermaid princess; Color classification: Xs (about 2 years old) / S (3-4 years old) / M (5-7 years old) / L (8-11 years old)</x:v>
      </x:c>
      <x:c r="E4606" s="25" t="str">
        <x:v>$2.99</x:v>
      </x:c>
      <x:c r="F4606" s="19" t="str">
        <x:v>3</x:v>
      </x:c>
    </x:row>
    <x:row r="4607" ht="93" customHeight="1">
      <x:c r="A4607" s="19" t="n">
        <x:v>4604</x:v>
      </x:c>
      <x:c r="B4607" s="22" t="e">
        <x:f>HYPERLINK("https://cdn.shopify.com/s/files/1/0918/6066/4603/files/O1CN01xA6nSW247bgGD7xSy__2209064737344-0-cib_6dd4cedb-434a-4986-ae6b-a85ebfa65f64.jpg?v=1772707729","Open")</x:f>
        <x:v>HYPERLINK is not implemented. linkLocation=https://cdn.shopify.com/s/files/1/0918/6066/4603/files/O1CN01xA6nSW247bgGD7xSy__2209064737344-0-cib_6dd4cedb-434a-4986-ae6b-a85ebfa65f64.jpg?v=1772707729, friendlyName=Open</x:v>
      </x:c>
      <x:c r="C4607" s="24" t="e">
        <x:f>HYPERLINK("https://365nails.com/products/365nails-120pcs-no-file-french-nail-tips-6-shape-nail-extensions","365nails: ""120pcs No-File French Nail Tips"" – 6-Shape Nail Extensions")</x:f>
        <x:v>HYPERLINK is not implemented. linkLocation=https://365nails.com/products/365nails-120pcs-no-file-french-nail-tips-6-shape-nail-extensions, friendlyName=365nails: "120pcs No-File French Nail Tips" – 6-Shape Nail Extensions</x:v>
      </x:c>
      <x:c r="D4607" s="18" t="str">
        <x:v>Color: 192-white french-120 pieces / 192-black french-120 pieces / 193-white french-120 pieces / 193-black french-120 pieces / 194-white french-120 pieces / 194-black french-120 pieces / 197-white french-120 pieces / 197-black french-120 pieces / 405-black french-120 pieces / 411-white french-120 pieces / 411-black french-120 pieces</x:v>
      </x:c>
      <x:c r="E4607" s="25" t="str">
        <x:v>$1.18–$1.72</x:v>
      </x:c>
      <x:c r="F4607" s="19" t="str">
        <x:v>3</x:v>
      </x:c>
    </x:row>
    <x:row r="4608" ht="93" customHeight="1">
      <x:c r="A4608" s="19" t="n">
        <x:v>4605</x:v>
      </x:c>
      <x:c r="B4608" s="22" t="e">
        <x:f>HYPERLINK("https://cdn.shopify.com/s/files/1/0918/6066/4603/files/06fcbe995d0346408e02ae60775eaa5b.jpg?v=1776158913","Open")</x:f>
        <x:v>HYPERLINK is not implemented. linkLocation=https://cdn.shopify.com/s/files/1/0918/6066/4603/files/06fcbe995d0346408e02ae60775eaa5b.jpg?v=1776158913, friendlyName=Open</x:v>
      </x:c>
      <x:c r="C4608" s="24" t="e">
        <x:f>HYPERLINK("https://365nails.com/products/365nails-blue-candy-cloud-3d-cute-handmade-short-square-nails","365nails: ""Blue Candy Cloud"" – 3D Cute Handmade Short Square Nails")</x:f>
        <x:v>HYPERLINK is not implemented. linkLocation=https://365nails.com/products/365nails-blue-candy-cloud-3d-cute-handmade-short-square-nails, friendlyName=365nails: "Blue Candy Cloud" – 3D Cute Handmade Short Square Nails</x:v>
      </x:c>
      <x:c r="D4608" s="18" t="str">
        <x:v>Size: XS / S / M / L</x:v>
      </x:c>
      <x:c r="E4608" s="25" t="str">
        <x:v>$1.99</x:v>
      </x:c>
      <x:c r="F4608" s="19" t="str">
        <x:v>3</x:v>
      </x:c>
    </x:row>
    <x:row r="4609" ht="93" customHeight="1">
      <x:c r="A4609" s="19" t="n">
        <x:v>4606</x:v>
      </x:c>
      <x:c r="B4609" s="22" t="e">
        <x:f>HYPERLINK("https://cdn.shopify.com/s/files/1/0918/6066/4603/files/O1CN01wnzDqU2214sbmUSVS__2219480337059-0-cib.jpg?v=1774070126","Open")</x:f>
        <x:v>HYPERLINK is not implemented. linkLocation=https://cdn.shopify.com/s/files/1/0918/6066/4603/files/O1CN01wnzDqU2214sbmUSVS__2219480337059-0-cib.jpg?v=1774070126, friendlyName=Open</x:v>
      </x:c>
      <x:c r="C4609" s="24" t="e">
        <x:f>HYPERLINK("https://365nails.com/products/365nails-kuromi-dark-purple-fantasy-handmade-cute-short-oval-press-on-nails-with-kuromi-bow-design","365Nails: ""Kuromi Dark Purple Fantasy"" – Handmade Cute Short Oval Press On Nails With Kuromi &amp; Bow Design")</x:f>
        <x:v>HYPERLINK is not implemented. linkLocation=https://365nails.com/products/365nails-kuromi-dark-purple-fantasy-handmade-cute-short-oval-press-on-nails-with-kuromi-bow-design, friendlyName=365Nails: "Kuromi Dark Purple Fantasy" – Handmade Cute Short Oval Press On Nails With Kuromi &amp; Bow Design</x:v>
      </x:c>
      <x:c r="D4609" s="18" t="str">
        <x:v>Color: Diamond kuromi; Color classification: Xs (about 2 years old) / S (3-4 years old) / M (5-7 years old) / L (8-11 years old)</x:v>
      </x:c>
      <x:c r="E4609" s="25" t="str">
        <x:v>$2.99</x:v>
      </x:c>
      <x:c r="F4609" s="19" t="str">
        <x:v>3</x:v>
      </x:c>
    </x:row>
    <x:row r="4610" ht="93" customHeight="1">
      <x:c r="A4610" s="19" t="n">
        <x:v>4607</x:v>
      </x:c>
      <x:c r="B4610" s="22" t="e">
        <x:f>HYPERLINK("https://cdn.shopify.com/s/files/1/0918/6066/4603/files/6e577fad4b543d58389df5c6383089d5.jpg?v=1776325889","Open")</x:f>
        <x:v>HYPERLINK is not implemented. linkLocation=https://cdn.shopify.com/s/files/1/0918/6066/4603/files/6e577fad4b543d58389df5c6383089d5.jpg?v=1776325889, friendlyName=Open</x:v>
      </x:c>
      <x:c r="C4610" s="24" t="e">
        <x:f>HYPERLINK("https://365nails.com/products/365nails-puddings-party-3d-cartoon-character-handmade-short-square-nails","365nails: ""Pudding's Party"" – 3D Cartoon Character Handmade Short Square Nails")</x:f>
        <x:v>HYPERLINK is not implemented. linkLocation=https://365nails.com/products/365nails-puddings-party-3d-cartoon-character-handmade-short-square-nails, friendlyName=365nails: "Pudding's Party" – 3D Cartoon Character Handmade Short Square Nails</x:v>
      </x:c>
      <x:c r="D4610" s="18" t="str">
        <x:v>Size: XS / S / M / L</x:v>
      </x:c>
      <x:c r="E4610" s="25" t="str">
        <x:v>$3.99</x:v>
      </x:c>
      <x:c r="F4610" s="19" t="str">
        <x:v>5</x:v>
      </x:c>
    </x:row>
    <x:row r="4611" ht="93" customHeight="1">
      <x:c r="A4611" s="19" t="n">
        <x:v>4608</x:v>
      </x:c>
      <x:c r="B4611" s="22" t="e">
        <x:f>HYPERLINK("https://cdn.shopify.com/s/files/1/0918/6066/4603/files/7dee3b51a4580ddf2e55246a5981a51d.jpg?v=1776325645","Open")</x:f>
        <x:v>HYPERLINK is not implemented. linkLocation=https://cdn.shopify.com/s/files/1/0918/6066/4603/files/7dee3b51a4580ddf2e55246a5981a51d.jpg?v=1776325645, friendlyName=Open</x:v>
      </x:c>
      <x:c r="C4611" s="24" t="e">
        <x:f>HYPERLINK("https://365nails.com/products/365nails-pink-sugar-dream-3d-bear-bow-handmade-short-square-nails","365nails: ""Pink Sugar Dream"" – 3D Bear &amp; Bow Handmade Short Square Nails")</x:f>
        <x:v>HYPERLINK is not implemented. linkLocation=https://365nails.com/products/365nails-pink-sugar-dream-3d-bear-bow-handmade-short-square-nails, friendlyName=365nails: "Pink Sugar Dream" – 3D Bear &amp; Bow Handmade Short Square Nails</x:v>
      </x:c>
      <x:c r="D4611" s="18" t="str">
        <x:v>Size: XS / S / M / L</x:v>
      </x:c>
      <x:c r="E4611" s="25" t="str">
        <x:v>$3.99</x:v>
      </x:c>
      <x:c r="F4611" s="19" t="str">
        <x:v>5</x:v>
      </x:c>
    </x:row>
    <x:row r="4612" ht="93" customHeight="1">
      <x:c r="A4612" s="19" t="n">
        <x:v>4609</x:v>
      </x:c>
      <x:c r="B4612" s="22" t="e">
        <x:f>HYPERLINK("https://cdn.shopify.com/s/files/1/0918/6066/4603/files/f2eb33af7318864cbd91346600bef83e.jpg?v=1776324086","Open")</x:f>
        <x:v>HYPERLINK is not implemented. linkLocation=https://cdn.shopify.com/s/files/1/0918/6066/4603/files/f2eb33af7318864cbd91346600bef83e.jpg?v=1776324086, friendlyName=Open</x:v>
      </x:c>
      <x:c r="C4612" s="24" t="e">
        <x:f>HYPERLINK("https://365nails.com/products/365nails-penguins-icy-playground-3d-character-short-square-nails","365nails: ""Penguin's Icy Playground"" – 3D Character Short Square Nails")</x:f>
        <x:v>HYPERLINK is not implemented. linkLocation=https://365nails.com/products/365nails-penguins-icy-playground-3d-character-short-square-nails, friendlyName=365nails: "Penguin's Icy Playground" – 3D Character Short Square Nails</x:v>
      </x:c>
      <x:c r="D4612" s="18" t="str">
        <x:v>Size: XS / S / M / L</x:v>
      </x:c>
      <x:c r="E4612" s="25" t="str">
        <x:v>$3.99</x:v>
      </x:c>
      <x:c r="F4612" s="19" t="str">
        <x:v>5</x:v>
      </x:c>
    </x:row>
    <x:row r="4613" ht="93" customHeight="1">
      <x:c r="A4613" s="19" t="n">
        <x:v>4610</x:v>
      </x:c>
      <x:c r="B4613" s="22" t="e">
        <x:f>HYPERLINK("https://cdn.shopify.com/s/files/1/0918/6066/4603/files/O1CN018MwmWf22SYiJapliu__2219370087119-0-cib.jpg?v=1772373469","Open")</x:f>
        <x:v>HYPERLINK is not implemented. linkLocation=https://cdn.shopify.com/s/files/1/0918/6066/4603/files/O1CN018MwmWf22SYiJapliu__2219370087119-0-cib.jpg?v=1772373469, friendlyName=Open</x:v>
      </x:c>
      <x:c r="C4613" s="24" t="e">
        <x:f>HYPERLINK("https://365nails.com/products/gothic-fantasy-collection-vampires-kiss-long-almond-press-on-nails","Gothic Fantasy Collection: ""Vampire's Kiss"" – Long Almond Press-On Nails")</x:f>
        <x:v>HYPERLINK is not implemented. linkLocation=https://365nails.com/products/gothic-fantasy-collection-vampires-kiss-long-almond-press-on-nails, friendlyName=Gothic Fantasy Collection: "Vampire's Kiss" – Long Almond Press-On Nails</x:v>
      </x:c>
      <x:c r="D4613" s="18" t="str">
        <x:v>Color: L / M / S</x:v>
      </x:c>
      <x:c r="E4613" s="25" t="str">
        <x:v>$5.94</x:v>
      </x:c>
      <x:c r="F4613" s="19" t="str">
        <x:v>1</x:v>
      </x:c>
    </x:row>
    <x:row r="4614" ht="93" customHeight="1">
      <x:c r="A4614" s="19" t="n">
        <x:v>4611</x:v>
      </x:c>
      <x:c r="B4614" s="22" t="e">
        <x:f>HYPERLINK("https://cdn.shopify.com/s/files/1/0918/6066/4603/files/db58f1242cc9f0d69d2ef518e62aaf50.jpg?v=1776326048","Open")</x:f>
        <x:v>HYPERLINK is not implemented. linkLocation=https://cdn.shopify.com/s/files/1/0918/6066/4603/files/db58f1242cc9f0d69d2ef518e62aaf50.jpg?v=1776326048, friendlyName=Open</x:v>
      </x:c>
      <x:c r="C4614" s="24" t="e">
        <x:f>HYPERLINK("https://365nails.com/products/365nails-sweet-treats-party-3d-character-pastry-handmade-short-square-nails","365nails: ""Sweet Treats Party"" – 3D Character &amp; Pastry Handmade Short Square Nails")</x:f>
        <x:v>HYPERLINK is not implemented. linkLocation=https://365nails.com/products/365nails-sweet-treats-party-3d-character-pastry-handmade-short-square-nails, friendlyName=365nails: "Sweet Treats Party" – 3D Character &amp; Pastry Handmade Short Square Nails</x:v>
      </x:c>
      <x:c r="D4614" s="18" t="str">
        <x:v>Size: XS / S / M / L</x:v>
      </x:c>
      <x:c r="E4614" s="25" t="str">
        <x:v>$3.99</x:v>
      </x:c>
      <x:c r="F4614" s="19" t="str">
        <x:v>5</x:v>
      </x:c>
    </x:row>
    <x:row r="4615" ht="93" customHeight="1">
      <x:c r="A4615" s="19" t="n">
        <x:v>4612</x:v>
      </x:c>
      <x:c r="B4615" s="22" t="e">
        <x:f>HYPERLINK("https://cdn.shopify.com/s/files/1/0918/6066/4603/files/016b64473cc4eac8deaea09e680c82c1.jpg?v=1775911092","Open")</x:f>
        <x:v>HYPERLINK is not implemented. linkLocation=https://cdn.shopify.com/s/files/1/0918/6066/4603/files/016b64473cc4eac8deaea09e680c82c1.jpg?v=1775911092, friendlyName=Open</x:v>
      </x:c>
      <x:c r="C4615" s="24" t="e">
        <x:f>HYPERLINK("https://365nails.com/products/365nails-tropical-bloom-3d-floral-handmade-coffin-nails-1","365nails: ""Tropical Bloom"" – 3D Floral Handmade Coffin Nails")</x:f>
        <x:v>HYPERLINK is not implemented. linkLocation=https://365nails.com/products/365nails-tropical-bloom-3d-floral-handmade-coffin-nails-1, friendlyName=365nails: "Tropical Bloom" – 3D Floral Handmade Coffin Nails</x:v>
      </x:c>
      <x:c r="D4615" s="18" t="str">
        <x:v>Size: XS / S / M / L</x:v>
      </x:c>
      <x:c r="E4615" s="25" t="str">
        <x:v>$3.99</x:v>
      </x:c>
      <x:c r="F4615" s="19" t="str">
        <x:v>5</x:v>
      </x:c>
    </x:row>
    <x:row r="4616" ht="93" customHeight="1">
      <x:c r="A4616" s="19" t="n">
        <x:v>4613</x:v>
      </x:c>
      <x:c r="B4616" s="22" t="e">
        <x:f>HYPERLINK("https://cdn.shopify.com/s/files/1/0918/6066/4603/files/23444da0bc6682afa03e8d2adb41d3b8.jpg?v=1755244651","Open")</x:f>
        <x:v>HYPERLINK is not implemented. linkLocation=https://cdn.shopify.com/s/files/1/0918/6066/4603/files/23444da0bc6682afa03e8d2adb41d3b8.jpg?v=1755244651, friendlyName=Open</x:v>
      </x:c>
      <x:c r="C4616" s="24" t="e">
        <x:f>HYPERLINK("https://365nails.com/products/nail-tips-nail-plate-c-arc-full-sticker-ballet-nail-300-pieces-trapezoidal-extended-fake-nail-patch-transparent-seamless-patch-manicure","Nail Tips Nail plate C arc full sticker Ballet nail 300 pieces Trapezoidal extended fake nail patch Transparent seamless patch manicure (MOQ=3)")</x:f>
        <x:v>HYPERLINK is not implemented. linkLocation=https://365nails.com/products/nail-tips-nail-plate-c-arc-full-sticker-ballet-nail-300-pieces-trapezoidal-extended-fake-nail-patch-transparent-seamless-patch-manicure, friendlyName=Nail Tips Nail plate C arc full sticker Ballet nail 300 pieces Trapezoidal extended fake nail patch Transparent seamless patch manicure (MOQ=3)</x:v>
      </x:c>
      <x:c r="D4616" s="18" t="str">
        <x:v>Color: 300 Pieces Box - Traceless Transparent Color / 360 piece bag - seamless transparent color; Quantity: 3pcs</x:v>
      </x:c>
      <x:c r="E4616" s="25" t="str">
        <x:v>$6.24–$6.51</x:v>
      </x:c>
      <x:c r="F4616" s="19" t="str">
        <x:v>1</x:v>
      </x:c>
    </x:row>
    <x:row r="4617" ht="93" customHeight="1">
      <x:c r="A4617" s="19" t="n">
        <x:v>4614</x:v>
      </x:c>
      <x:c r="B4617" s="22" t="e">
        <x:f>HYPERLINK("https://cdn.shopify.com/s/files/1/0918/6066/4603/files/19f7695c29f479e9db9bb16bee02c0e6.jpg?v=1776158756","Open")</x:f>
        <x:v>HYPERLINK is not implemented. linkLocation=https://cdn.shopify.com/s/files/1/0918/6066/4603/files/19f7695c29f479e9db9bb16bee02c0e6.jpg?v=1776158756, friendlyName=Open</x:v>
      </x:c>
      <x:c r="C4617" s="24" t="e">
        <x:f>HYPERLINK("https://365nails.com/products/365nails-little-buddies-3d-cartoon-face-handmade-short-square-nails","365nails: ""Little Buddies"" – 3D Cartoon Face Handmade Short Square Nails")</x:f>
        <x:v>HYPERLINK is not implemented. linkLocation=https://365nails.com/products/365nails-little-buddies-3d-cartoon-face-handmade-short-square-nails, friendlyName=365nails: "Little Buddies" – 3D Cartoon Face Handmade Short Square Nails</x:v>
      </x:c>
      <x:c r="D4617" s="18" t="str">
        <x:v>Size: XS / S / M / L</x:v>
      </x:c>
      <x:c r="E4617" s="25" t="str">
        <x:v>$1.99</x:v>
      </x:c>
      <x:c r="F4617" s="19" t="str">
        <x:v>3</x:v>
      </x:c>
    </x:row>
    <x:row r="4618" ht="93" customHeight="1">
      <x:c r="A4618" s="19" t="n">
        <x:v>4615</x:v>
      </x:c>
      <x:c r="B4618" s="22" t="e">
        <x:f>HYPERLINK("https://cdn.shopify.com/s/files/1/0918/6066/4603/files/003c16d64d496ae1189c3d37fc739393.jpg?v=1775912645","Open")</x:f>
        <x:v>HYPERLINK is not implemented. linkLocation=https://cdn.shopify.com/s/files/1/0918/6066/4603/files/003c16d64d496ae1189c3d37fc739393.jpg?v=1775912645, friendlyName=Open</x:v>
      </x:c>
      <x:c r="C4618" s="24" t="e">
        <x:f>HYPERLINK("https://365nails.com/products/365nails-blush-blossom-3d-floral-handmade-almond-nails","365nails: ""Blush Blossom"" – 3D Floral Handmade Almond Nails")</x:f>
        <x:v>HYPERLINK is not implemented. linkLocation=https://365nails.com/products/365nails-blush-blossom-3d-floral-handmade-almond-nails, friendlyName=365nails: "Blush Blossom" – 3D Floral Handmade Almond Nails</x:v>
      </x:c>
      <x:c r="D4618" s="18" t="str">
        <x:v>Size: XS / S / M / L</x:v>
      </x:c>
      <x:c r="E4618" s="25" t="str">
        <x:v>$3.99</x:v>
      </x:c>
      <x:c r="F4618" s="19" t="str">
        <x:v>5</x:v>
      </x:c>
    </x:row>
    <x:row r="4619" ht="93" customHeight="1">
      <x:c r="A4619" s="19" t="n">
        <x:v>4616</x:v>
      </x:c>
      <x:c r="B4619" s="22" t="e">
        <x:f>HYPERLINK("https://cdn.shopify.com/s/files/1/0918/6066/4603/files/O1CN01mDZHmA2214wWdGdXk__2219480337059-0-cib.jpg?v=1773831691","Open")</x:f>
        <x:v>HYPERLINK is not implemented. linkLocation=https://cdn.shopify.com/s/files/1/0918/6066/4603/files/O1CN01mDZHmA2214wWdGdXk__2219480337059-0-cib.jpg?v=1773831691, friendlyName=Open</x:v>
      </x:c>
      <x:c r="C4619" s="24" t="e">
        <x:f>HYPERLINK("https://365nails.com/products/%E6%96%B0%E5%B9%B4%E6%8B%BC%E8%89%B2%E9%86%92%E7%8B%AE%E5%84%BF%E7%AB%A5%E7%A9%BF%E6%88%B4%E7%94%B2%E5%8D%A1%E9%80%9A%E5%8F%AF%E7%88%B1%E5%B0%8F%E6%9C%8B%E5%8F%8B%E6%89%8B%E5%B7%A5%E7%BE%8E%E7%94%B2%E5%9B%BD%E6%BD%AE%E6%8C%87%E7%94%B2%E8%B4%B45-10%E5%B2%81","365Nails: ""Auspicious Lion Dance"" – Handmade Cute Short Oval Press On Nails With Chinese Lion Dance Design")</x:f>
        <x:v>HYPERLINK is not implemented. linkLocation=https://365nails.com/products/%E6%96%B0%E5%B9%B4%E6%8B%BC%E8%89%B2%E9%86%92%E7%8B%AE%E5%84%BF%E7%AB%A5%E7%A9%BF%E6%88%B4%E7%94%B2%E5%8D%A1%E9%80%9A%E5%8F%AF%E7%88%B1%E5%B0%8F%E6%9C%8B%E5%8F%8B%E6%89%8B%E5%B7%A5%E7%BE%8E%E7%94%B2%E5%9B%BD%E6%BD%AE%E6%8C%87%E7%94%B2%E8%B4%B45-10%E5%B2%81, friendlyName=365Nails: "Auspicious Lion Dance" – Handmade Cute Short Oval Press On Nails With Chinese Lion Dance Design</x:v>
      </x:c>
      <x:c r="D4619" s="18" t="str">
        <x:v>Color: Four color lion dance; Color classification: Xs (about 2 years old) / S (3-4 years old) / M (5-7 years old) / L (8-11 years old)</x:v>
      </x:c>
      <x:c r="E4619" s="25" t="str">
        <x:v>$2.99</x:v>
      </x:c>
      <x:c r="F4619" s="19" t="str">
        <x:v>3</x:v>
      </x:c>
    </x:row>
    <x:row r="4620" ht="93" customHeight="1">
      <x:c r="A4620" s="19" t="n">
        <x:v>4617</x:v>
      </x:c>
      <x:c r="B4620" s="22" t="e">
        <x:f>HYPERLINK("https://cdn.shopify.com/s/files/1/0918/6066/4603/files/58662508207c1c8ca6694344c631ec31.jpg?v=1776157994","Open")</x:f>
        <x:v>HYPERLINK is not implemented. linkLocation=https://cdn.shopify.com/s/files/1/0918/6066/4603/files/58662508207c1c8ca6694344c631ec31.jpg?v=1776157994, friendlyName=Open</x:v>
      </x:c>
      <x:c r="C4620" s="24" t="e">
        <x:f>HYPERLINK("https://365nails.com/products/365nails-midnight-meow-3d-cat-face-paw-handmade-short-square-nails","365nails: ""Midnight Meow"" – 3D Cat Face &amp; Paw Handmade Short Square Nails")</x:f>
        <x:v>HYPERLINK is not implemented. linkLocation=https://365nails.com/products/365nails-midnight-meow-3d-cat-face-paw-handmade-short-square-nails, friendlyName=365nails: "Midnight Meow" – 3D Cat Face &amp; Paw Handmade Short Square Nails</x:v>
      </x:c>
      <x:c r="D4620" s="18" t="str">
        <x:v>Size: XS / S / M / L</x:v>
      </x:c>
      <x:c r="E4620" s="25" t="str">
        <x:v>$1.99</x:v>
      </x:c>
      <x:c r="F4620" s="19" t="str">
        <x:v>1</x:v>
      </x:c>
    </x:row>
    <x:row r="4621" ht="93" customHeight="1">
      <x:c r="A4621" s="19" t="n">
        <x:v>4618</x:v>
      </x:c>
      <x:c r="B4621" s="22" t="e">
        <x:f>HYPERLINK("https://cdn.shopify.com/s/files/1/0918/6066/4603/files/O1CN01eedp0t27ZUlnV448k__2220024697811-0-cib.jpg?v=1775113826","Open")</x:f>
        <x:v>HYPERLINK is not implemented. linkLocation=https://cdn.shopify.com/s/files/1/0918/6066/4603/files/O1CN01eedp0t27ZUlnV448k__2220024697811-0-cib.jpg?v=1775113826, friendlyName=Open</x:v>
      </x:c>
      <x:c r="C4621" s="24" t="e">
        <x:f>HYPERLINK("https://365nails.com/products/365nails-tropical-breeze-3d-hibiscus-butterfly-handmade-medium-almond-nails","365nails: ""Tropical Breeze"" – 3D Hibiscus &amp; Butterfly Handmade Medium Almond Nails")</x:f>
        <x:v>HYPERLINK is not implemented. linkLocation=https://365nails.com/products/365nails-tropical-breeze-3d-hibiscus-butterfly-handmade-medium-almond-nails, friendlyName=365nails: "Tropical Breeze" – 3D Hibiscus &amp; Butterfly Handmade Medium Almond Nails</x:v>
      </x:c>
      <x:c r="D4621" s="18" t="str">
        <x:v>Color: Short almond; Color classification: Xs / S / M / L</x:v>
      </x:c>
      <x:c r="E4621" s="25" t="str">
        <x:v>$4.99</x:v>
      </x:c>
      <x:c r="F4621" s="19" t="str">
        <x:v>3</x:v>
      </x:c>
    </x:row>
    <x:row r="4622" ht="93" customHeight="1">
      <x:c r="A4622" s="19" t="n">
        <x:v>4619</x:v>
      </x:c>
      <x:c r="B4622" s="22" t="e">
        <x:f>HYPERLINK("https://cdn.shopify.com/s/files/1/0918/6066/4603/files/f014827201d2159b644bb42110206d3e.jpg?v=1775910509","Open")</x:f>
        <x:v>HYPERLINK is not implemented. linkLocation=https://cdn.shopify.com/s/files/1/0918/6066/4603/files/f014827201d2159b644bb42110206d3e.jpg?v=1775910509, friendlyName=Open</x:v>
      </x:c>
      <x:c r="C4622" s="24" t="e">
        <x:f>HYPERLINK("https://365nails.com/products/365nails-candy-garden-3d-floral-handmade-almond-nails-1","365nails: ""Candy Garden"" – 3D Floral Handmade Almond Nails")</x:f>
        <x:v>HYPERLINK is not implemented. linkLocation=https://365nails.com/products/365nails-candy-garden-3d-floral-handmade-almond-nails-1, friendlyName=365nails: "Candy Garden" – 3D Floral Handmade Almond Nails</x:v>
      </x:c>
      <x:c r="D4622" s="18" t="str">
        <x:v>Size: XS / S / M / L</x:v>
      </x:c>
      <x:c r="E4622" s="25" t="str">
        <x:v>$3.99</x:v>
      </x:c>
      <x:c r="F4622" s="19" t="str">
        <x:v>5</x:v>
      </x:c>
    </x:row>
    <x:row r="4623" ht="93" customHeight="1">
      <x:c r="A4623" s="19" t="n">
        <x:v>4620</x:v>
      </x:c>
      <x:c r="B4623" s="22" t="e">
        <x:f>HYPERLINK("https://cdn.shopify.com/s/files/1/0918/6066/4603/files/O1CN01zTjN8X2214wRFrqMY__2219480337059-0-cib.jpg?v=1774068015","Open")</x:f>
        <x:v>HYPERLINK is not implemented. linkLocation=https://cdn.shopify.com/s/files/1/0918/6066/4603/files/O1CN01zTjN8X2214wRFrqMY__2219480337059-0-cib.jpg?v=1774068015, friendlyName=Open</x:v>
      </x:c>
      <x:c r="C4623" s="24" t="e">
        <x:f>HYPERLINK("https://365nails.com/products/365nails-auspicious-lion-dance-handmade-cute-short-oval-press-on-nails-with-chinese-lion-dance-design","365Nails: ""Auspicious Lion Dance"" – Handmade Cute Short Oval Press On Nails With Chinese Lion Dance Design")</x:f>
        <x:v>HYPERLINK is not implemented. linkLocation=https://365nails.com/products/365nails-auspicious-lion-dance-handmade-cute-short-oval-press-on-nails-with-chinese-lion-dance-design, friendlyName=365Nails: "Auspicious Lion Dance" – Handmade Cute Short Oval Press On Nails With Chinese Lion Dance Design</x:v>
      </x:c>
      <x:c r="D4623" s="18" t="str">
        <x:v>Color: Lion awakening stickers; Color classification: Xs (about 2 years old) / S (3-4 years old) / M (5-7 years old) / L (8-11 years old)</x:v>
      </x:c>
      <x:c r="E4623" s="25" t="str">
        <x:v>$2.99</x:v>
      </x:c>
      <x:c r="F4623" s="19" t="str">
        <x:v>3</x:v>
      </x:c>
    </x:row>
    <x:row r="4624" ht="93" customHeight="1">
      <x:c r="A4624" s="19" t="n">
        <x:v>4621</x:v>
      </x:c>
      <x:c r="B4624" s="22" t="e">
        <x:f>HYPERLINK("https://cdn.shopify.com/s/files/1/0918/6066/4603/files/O1CN01t86u9d247bfWTFV7V__2209064737344-0-cib_7ce35047-a2f4-4c1f-9105-f5a0c755a11f.jpg?v=1772707704","Open")</x:f>
        <x:v>HYPERLINK is not implemented. linkLocation=https://cdn.shopify.com/s/files/1/0918/6066/4603/files/O1CN01t86u9d247bfWTFV7V__2209064737344-0-cib_7ce35047-a2f4-4c1f-9105-f5a0c755a11f.jpg?v=1772707704, friendlyName=Open</x:v>
      </x:c>
      <x:c r="C4624" s="24" t="e">
        <x:f>HYPERLINK("https://365nails.com/products/365nails-no-file-matte-nail-tips-with-guide-lines-multi-shape-nail-extensions-ys-251-to-ys-255","365nails: ""No-File Matte Nail Tips with Guide Lines"" – Multi-Shape Nail Extensions (YS-251 to YS-255)")</x:f>
        <x:v>HYPERLINK is not implemented. linkLocation=https://365nails.com/products/365nails-no-file-matte-nail-tips-with-guide-lines-multi-shape-nail-extensions-ys-251-to-ys-255, friendlyName=365nails: "No-File Matte Nail Tips with Guide Lines" – Multi-Shape Nail Extensions (YS-251 to YS-255)</x:v>
      </x:c>
      <x:c r="D4624" s="18" t="str">
        <x:v>Color: 251-long ladder-500 pieces/box / 253-ladder type armor-500 pieces/box / 254-short water droplets-500 pieces/box / 255-water drop type-500 pieces/box</x:v>
      </x:c>
      <x:c r="E4624" s="25" t="str">
        <x:v>$2.14</x:v>
      </x:c>
      <x:c r="F4624" s="19" t="str">
        <x:v>3</x:v>
      </x:c>
    </x:row>
    <x:row r="4625" ht="93" customHeight="1">
      <x:c r="A4625" s="19" t="n">
        <x:v>4622</x:v>
      </x:c>
      <x:c r="B4625" s="22" t="e">
        <x:f>HYPERLINK("https://cdn.shopify.com/s/files/1/0918/6066/4603/files/O1CN01SFbvjL2NGHn6P2oUH__4234819935-0-cib_f0efde65-2bbe-4260-b3b2-1116052cf7da.jpg?v=1761291224","Open")</x:f>
        <x:v>HYPERLINK is not implemented. linkLocation=https://cdn.shopify.com/s/files/1/0918/6066/4603/files/O1CN01SFbvjL2NGHn6P2oUH__4234819935-0-cib_f0efde65-2bbe-4260-b3b2-1116052cf7da.jpg?v=1761291224, friendlyName=Open</x:v>
      </x:c>
      <x:c r="C4625" s="24" t="e">
        <x:f>HYPERLINK("https://365nails.com/products/nail-art-wearing-nail-nude-nail-sticker-nail-art-piece-finished-product-wearing-nail-piece-fake-nail-simple-nail-piece-nail-piece","Nail art wearing nail nude nail sticker nail art piece finished product wearing nail piece fake nail simple nail piece nail piece")</x:f>
        <x:v>HYPERLINK is not implemented. linkLocation=https://365nails.com/products/nail-art-wearing-nail-nude-nail-sticker-nail-art-piece-finished-product-wearing-nail-piece-fake-nail-simple-nail-piece-nail-piece, friendlyName=Nail art wearing nail nude nail sticker nail art piece finished product wearing nail piece fake nail simple nail piece nail piece</x:v>
      </x:c>
      <x:c r="D4625" s="18" t="str">
        <x:v>Color: JP2371</x:v>
      </x:c>
      <x:c r="E4625" s="25" t="str">
        <x:v>$1.01</x:v>
      </x:c>
      <x:c r="F4625" s="19" t="str">
        <x:v>1</x:v>
      </x:c>
    </x:row>
    <x:row r="4626" ht="93" customHeight="1">
      <x:c r="A4626" s="19" t="n">
        <x:v>4623</x:v>
      </x:c>
      <x:c r="B4626" s="22" t="e">
        <x:f>HYPERLINK("https://cdn.shopify.com/s/files/1/0918/6066/4603/files/bfb54509db0d045d8643cea6384c11e5.jpg?v=1776158274","Open")</x:f>
        <x:v>HYPERLINK is not implemented. linkLocation=https://cdn.shopify.com/s/files/1/0918/6066/4603/files/bfb54509db0d045d8643cea6384c11e5.jpg?v=1776158274, friendlyName=Open</x:v>
      </x:c>
      <x:c r="C4626" s="24" t="e">
        <x:f>HYPERLINK("https://365nails.com/products/365nails-panda-playdate-3d-paw-cherry-handmade-short-square-nails","365nails: ""Panda Playdate"" – 3D Paw &amp; Cherry Handmade Short Square Nails")</x:f>
        <x:v>HYPERLINK is not implemented. linkLocation=https://365nails.com/products/365nails-panda-playdate-3d-paw-cherry-handmade-short-square-nails, friendlyName=365nails: "Panda Playdate" – 3D Paw &amp; Cherry Handmade Short Square Nails</x:v>
      </x:c>
      <x:c r="D4626" s="18" t="str">
        <x:v>Size: XS / S / M / L</x:v>
      </x:c>
      <x:c r="E4626" s="25" t="str">
        <x:v>$1.99</x:v>
      </x:c>
      <x:c r="F4626" s="19" t="str">
        <x:v>3</x:v>
      </x:c>
    </x:row>
    <x:row r="4627" ht="93" customHeight="1">
      <x:c r="A4627" s="19" t="n">
        <x:v>4624</x:v>
      </x:c>
      <x:c r="B4627" s="22" t="e">
        <x:f>HYPERLINK("https://cdn.shopify.com/s/files/1/0918/6066/4603/files/O1CN015kiU7S2214tVPp7tj__2219480337059-0-cib_70202da9-74d9-4764-b49c-8c08a32df14a.jpg?v=1773831630","Open")</x:f>
        <x:v>HYPERLINK is not implemented. linkLocation=https://cdn.shopify.com/s/files/1/0918/6066/4603/files/O1CN015kiU7S2214tVPp7tj__2219480337059-0-cib_70202da9-74d9-4764-b49c-8c08a32df14a.jpg?v=1773831630, friendlyName=Open</x:v>
      </x:c>
      <x:c r="C4627" s="24" t="e">
        <x:f>HYPERLINK("https://365nails.com/products/%E5%84%BF%E7%AB%A5%E6%89%8B%E5%B7%A5%E7%A9%BF%E6%88%B4%E7%94%B2-%E5%B0%8F%E6%9C%8B%E5%8F%8B%E6%8C%87%E7%94%B2%E8%B4%B4%E7%89%87-%E7%BD%91%E7%BA%A2%E7%88%86%E6%AC%BE%E6%8B%89%E5%B8%83%E5%B8%83labubu%E5%B0%8F%E7%B2%BE%E7%81%B5%E7%BE%8E%E7%94%B2","365Nails: ""Labubu Carnival"" – Handmade Cute Short Oval Press On Nails With Labubu &amp; Friends Character Design")</x:f>
        <x:v>HYPERLINK is not implemented. linkLocation=https://365nails.com/products/%E5%84%BF%E7%AB%A5%E6%89%8B%E5%B7%A5%E7%A9%BF%E6%88%B4%E7%94%B2-%E5%B0%8F%E6%9C%8B%E5%8F%8B%E6%8C%87%E7%94%B2%E8%B4%B4%E7%89%87-%E7%BD%91%E7%BA%A2%E7%88%86%E6%AC%BE%E6%8B%89%E5%B8%83%E5%B8%83labubu%E5%B0%8F%E7%B2%BE%E7%81%B5%E7%BE%8E%E7%94%B2, friendlyName=365Nails: "Labubu Carnival" – Handmade Cute Short Oval Press On Nails With Labubu &amp; Friends Character Design</x:v>
      </x:c>
      <x:c r="D4627" s="18" t="str">
        <x:v>Color: Labubu family; Color classification: Xs (about 2 years old) / S (3-4 years old) / M (5-7 years old) / L (5-7 years old)</x:v>
      </x:c>
      <x:c r="E4627" s="25" t="str">
        <x:v>$2.99</x:v>
      </x:c>
      <x:c r="F4627" s="19" t="str">
        <x:v>1</x:v>
      </x:c>
    </x:row>
    <x:row r="4628" ht="93" customHeight="1">
      <x:c r="A4628" s="19" t="n">
        <x:v>4625</x:v>
      </x:c>
      <x:c r="B4628" s="22" t="e">
        <x:f>HYPERLINK("https://cdn.shopify.com/s/files/1/0918/6066/4603/files/217b2f3fbee98aa6dcc36677f804873f.jpg?v=1776158677","Open")</x:f>
        <x:v>HYPERLINK is not implemented. linkLocation=https://cdn.shopify.com/s/files/1/0918/6066/4603/files/217b2f3fbee98aa6dcc36677f804873f.jpg?v=1776158677, friendlyName=Open</x:v>
      </x:c>
      <x:c r="C4628" s="24" t="e">
        <x:f>HYPERLINK("https://365nails.com/products/365nails-sweet-treats-3d-candy-fruit-handmade-short-square-nails","365nails: ""Sweet Treats"" – 3D Candy &amp; Fruit Handmade Short Square Nails")</x:f>
        <x:v>HYPERLINK is not implemented. linkLocation=https://365nails.com/products/365nails-sweet-treats-3d-candy-fruit-handmade-short-square-nails, friendlyName=365nails: "Sweet Treats" – 3D Candy &amp; Fruit Handmade Short Square Nails</x:v>
      </x:c>
      <x:c r="D4628" s="18" t="str">
        <x:v>Size: XS / S / M / L</x:v>
      </x:c>
      <x:c r="E4628" s="25" t="str">
        <x:v>$1.99</x:v>
      </x:c>
      <x:c r="F4628" s="19" t="str">
        <x:v>3</x:v>
      </x:c>
    </x:row>
    <x:row r="4629" ht="93" customHeight="1">
      <x:c r="A4629" s="19" t="n">
        <x:v>4626</x:v>
      </x:c>
      <x:c r="B4629" s="22" t="e">
        <x:f>HYPERLINK("https://cdn.shopify.com/s/files/1/0918/6066/4603/files/722445e7674ee8aaef1e1a26d8bf7eac.jpg?v=1776325957","Open")</x:f>
        <x:v>HYPERLINK is not implemented. linkLocation=https://cdn.shopify.com/s/files/1/0918/6066/4603/files/722445e7674ee8aaef1e1a26d8bf7eac.jpg?v=1776325957, friendlyName=Open</x:v>
      </x:c>
      <x:c r="C4629" s="24" t="e">
        <x:f>HYPERLINK("https://365nails.com/products/365nails-cartoon-carnival-3d-character-handmade-short-square-nails","365nails: ""Cartoon Carnival"" – 3D Character Handmade Short Square Nails")</x:f>
        <x:v>HYPERLINK is not implemented. linkLocation=https://365nails.com/products/365nails-cartoon-carnival-3d-character-handmade-short-square-nails, friendlyName=365nails: "Cartoon Carnival" – 3D Character Handmade Short Square Nails</x:v>
      </x:c>
      <x:c r="D4629" s="18" t="str">
        <x:v>Size: XS / S / M / L</x:v>
      </x:c>
      <x:c r="E4629" s="25" t="str">
        <x:v>$3.99</x:v>
      </x:c>
      <x:c r="F4629" s="19" t="str">
        <x:v>5</x:v>
      </x:c>
    </x:row>
    <x:row r="4630" ht="93" customHeight="1">
      <x:c r="A4630" s="19" t="n">
        <x:v>4627</x:v>
      </x:c>
      <x:c r="B4630" s="22" t="e">
        <x:f>HYPERLINK("https://cdn.shopify.com/s/files/1/0918/6066/4603/files/a96ddf92df446919e216c43248e94ff2.jpg?v=1776332524","Open")</x:f>
        <x:v>HYPERLINK is not implemented. linkLocation=https://cdn.shopify.com/s/files/1/0918/6066/4603/files/a96ddf92df446919e216c43248e94ff2.jpg?v=1776332524, friendlyName=Open</x:v>
      </x:c>
      <x:c r="C4630" s="24" t="e">
        <x:f>HYPERLINK("https://365nails.com/products/365nails-midnight-bloom-3d-floral-handmade-long-stiletto-nails","365nails: ""Midnight Bloom"" – 3D Floral Handmade Long Stiletto Nails")</x:f>
        <x:v>HYPERLINK is not implemented. linkLocation=https://365nails.com/products/365nails-midnight-bloom-3d-floral-handmade-long-stiletto-nails, friendlyName=365nails: "Midnight Bloom" – 3D Floral Handmade Long Stiletto Nails</x:v>
      </x:c>
      <x:c r="D4630" s="18" t="str">
        <x:v>Size: XS / S / M / L</x:v>
      </x:c>
      <x:c r="E4630" s="25" t="str">
        <x:v>$3.99</x:v>
      </x:c>
      <x:c r="F4630" s="19" t="str">
        <x:v>5</x:v>
      </x:c>
    </x:row>
    <x:row r="4631" ht="93" customHeight="1">
      <x:c r="A4631" s="19" t="n">
        <x:v>4628</x:v>
      </x:c>
      <x:c r="B4631" s="22" t="e">
        <x:f>HYPERLINK("https://cdn.shopify.com/s/files/1/0918/6066/4603/files/b72c99401c86968bdb65ce32dad0dfa8.jpg?v=1775911779","Open")</x:f>
        <x:v>HYPERLINK is not implemented. linkLocation=https://cdn.shopify.com/s/files/1/0918/6066/4603/files/b72c99401c86968bdb65ce32dad0dfa8.jpg?v=1775911779, friendlyName=Open</x:v>
      </x:c>
      <x:c r="C4631" s="24" t="e">
        <x:f>HYPERLINK("https://365nails.com/products/365nails-midnight-bloom-3d-floral-handmade-stiletto-nails-4","365nails: ""Midnight Bloom"" – 3D Floral Handmade Stiletto Nails")</x:f>
        <x:v>HYPERLINK is not implemented. linkLocation=https://365nails.com/products/365nails-midnight-bloom-3d-floral-handmade-stiletto-nails-4, friendlyName=365nails: "Midnight Bloom" – 3D Floral Handmade Stiletto Nails</x:v>
      </x:c>
      <x:c r="D4631" s="18" t="str">
        <x:v>Size: XS / S / M / L</x:v>
      </x:c>
      <x:c r="E4631" s="25" t="str">
        <x:v>$3.99</x:v>
      </x:c>
      <x:c r="F4631" s="19" t="str">
        <x:v>5</x:v>
      </x:c>
    </x:row>
    <x:row r="4632" ht="93" customHeight="1">
      <x:c r="A4632" s="19" t="n">
        <x:v>4629</x:v>
      </x:c>
      <x:c r="B4632" s="22" t="e">
        <x:f>HYPERLINK("https://cdn.shopify.com/s/files/1/0918/6066/4603/files/O1CN01CngGGh1CPwMfyOouP__2213196780074-0-cib.jpg?v=1777014619","Open")</x:f>
        <x:v>HYPERLINK is not implemented. linkLocation=https://cdn.shopify.com/s/files/1/0918/6066/4603/files/O1CN01CngGGh1CPwMfyOouP__2213196780074-0-cib.jpg?v=1777014619, friendlyName=Open</x:v>
      </x:c>
      <x:c r="C4632" s="24" t="e">
        <x:f>HYPERLINK("https://365nails.com/products/365nails-celestial-cascade-3d-gem-pearl-embellished-cat-eye-handmade-almond-nails","365nails: ""Celestial Cascade"" – 3D Gem &amp; Pearl Embellished Cat-Eye Handmade Almond Nails")</x:f>
        <x:v>HYPERLINK is not implemented. linkLocation=https://365nails.com/products/365nails-celestial-cascade-3d-gem-pearl-embellished-cat-eye-handmade-almond-nails, friendlyName=365nails: "Celestial Cascade" – 3D Gem &amp; Pearl Embellished Cat-Eye Handmade Almond Nails</x:v>
      </x:c>
      <x:c r="D4632" s="18" t="str">
        <x:v>Color: 369-long oval; Color classification: Xs / S / M / L</x:v>
      </x:c>
      <x:c r="E4632" s="25" t="str">
        <x:v>$3.49</x:v>
      </x:c>
      <x:c r="F4632" s="19" t="str">
        <x:v>1</x:v>
      </x:c>
    </x:row>
    <x:row r="4633" ht="93" customHeight="1">
      <x:c r="A4633" s="19" t="n">
        <x:v>4630</x:v>
      </x:c>
      <x:c r="B4633" s="22" t="e">
        <x:f>HYPERLINK("https://cdn.shopify.com/s/files/1/0918/6066/4603/files/O1CN01iioD9P1CPwLbPaDmV__2213196780074-0-cib.jpg?v=1776851224","Open")</x:f>
        <x:v>HYPERLINK is not implemented. linkLocation=https://cdn.shopify.com/s/files/1/0918/6066/4603/files/O1CN01iioD9P1CPwLbPaDmV__2213196780074-0-cib.jpg?v=1776851224, friendlyName=Open</x:v>
      </x:c>
      <x:c r="C4633" s="24" t="e">
        <x:f>HYPERLINK("https://365nails.com/products/365nails-celestial-tears-iridescent-crystal-heart-charm-handmade-long-almond-nails","365nails: ""Celestial Tears"" – Iridescent Crystal &amp; Heart Charm Handmade Long Almond Nails")</x:f>
        <x:v>HYPERLINK is not implemented. linkLocation=https://365nails.com/products/365nails-celestial-tears-iridescent-crystal-heart-charm-handmade-long-almond-nails, friendlyName=365nails: "Celestial Tears" – Iridescent Crystal &amp; Heart Charm Handmade Long Almond Nails</x:v>
      </x:c>
      <x:c r="D4633" s="18" t="str">
        <x:v>Color: 720 - fine pointed tip; Color classification: Extra small size xs / Small s / Medium m / Large l</x:v>
      </x:c>
      <x:c r="E4633" s="25" t="str">
        <x:v>$3.99</x:v>
      </x:c>
      <x:c r="F4633" s="19" t="str">
        <x:v>1</x:v>
      </x:c>
    </x:row>
    <x:row r="4634" ht="93" customHeight="1">
      <x:c r="A4634" s="19" t="n">
        <x:v>4631</x:v>
      </x:c>
      <x:c r="B4634" s="22" t="e">
        <x:f>HYPERLINK("https://cdn.shopify.com/s/files/1/0918/6066/4603/files/O1CN01Ly1OrE1CPwJvyaNO9__2213196780074-0-cib.jpg?v=1777017128","Open")</x:f>
        <x:v>HYPERLINK is not implemented. linkLocation=https://cdn.shopify.com/s/files/1/0918/6066/4603/files/O1CN01Ly1OrE1CPwJvyaNO9__2213196780074-0-cib.jpg?v=1777017128, friendlyName=Open</x:v>
      </x:c>
      <x:c r="C4634" s="24" t="e">
        <x:f>HYPERLINK("https://365nails.com/products/365nails-vintage-bloom-hand-painted-floral-french-tip-handmade-almond-nails","365nails: ""Vintage Bloom"" – Hand-Painted Floral French Tip Handmade Almond Nails")</x:f>
        <x:v>HYPERLINK is not implemented. linkLocation=https://365nails.com/products/365nails-vintage-bloom-hand-painted-floral-french-tip-handmade-almond-nails, friendlyName=365nails: "Vintage Bloom" – Hand-Painted Floral French Tip Handmade Almond Nails</x:v>
      </x:c>
      <x:c r="D4634" s="18" t="str">
        <x:v>Color: Extra small size xs / Small s / Medium m / Large l; Specification type: 2548 long water drop / 2546 short ladder</x:v>
      </x:c>
      <x:c r="E4634" s="25" t="str">
        <x:v>$3.49</x:v>
      </x:c>
      <x:c r="F4634" s="19" t="str">
        <x:v>1</x:v>
      </x:c>
    </x:row>
    <x:row r="4635" ht="93" customHeight="1">
      <x:c r="A4635" s="19" t="n">
        <x:v>4632</x:v>
      </x:c>
      <x:c r="B4635" s="22" t="e">
        <x:f>HYPERLINK("https://cdn.shopify.com/s/files/1/0918/6066/4603/files/f1964412664a53d4a1e68bfbb013e806.jpg?v=1775912474","Open")</x:f>
        <x:v>HYPERLINK is not implemented. linkLocation=https://cdn.shopify.com/s/files/1/0918/6066/4603/files/f1964412664a53d4a1e68bfbb013e806.jpg?v=1775912474, friendlyName=Open</x:v>
      </x:c>
      <x:c r="C4635" s="24" t="e">
        <x:f>HYPERLINK("https://365nails.com/products/365nails-tropical-dream-3d-floral-handmade-stiletto-nails","365nails: ""Tropical Dream"" – 3D Floral Handmade Stiletto Nails")</x:f>
        <x:v>HYPERLINK is not implemented. linkLocation=https://365nails.com/products/365nails-tropical-dream-3d-floral-handmade-stiletto-nails, friendlyName=365nails: "Tropical Dream" – 3D Floral Handmade Stiletto Nails</x:v>
      </x:c>
      <x:c r="D4635" s="18" t="str">
        <x:v>Size: XS / S / M / L</x:v>
      </x:c>
      <x:c r="E4635" s="25" t="str">
        <x:v>$3.99</x:v>
      </x:c>
      <x:c r="F4635" s="19" t="str">
        <x:v>5</x:v>
      </x:c>
    </x:row>
    <x:row r="4636" ht="93" customHeight="1">
      <x:c r="A4636" s="19" t="n">
        <x:v>4633</x:v>
      </x:c>
      <x:c r="B4636" s="22" t="e">
        <x:f>HYPERLINK("https://cdn.shopify.com/s/files/1/0918/6066/4603/files/O1CN01M55nTj2MQzexU7PX2__2219089449823-0-cib.jpg?v=1774452842","Open")</x:f>
        <x:v>HYPERLINK is not implemented. linkLocation=https://cdn.shopify.com/s/files/1/0918/6066/4603/files/O1CN01M55nTj2MQzexU7PX2__2219089449823-0-cib.jpg?v=1774452842, friendlyName=Open</x:v>
      </x:c>
      <x:c r="C4636" s="24" t="e">
        <x:f>HYPERLINK("https://365nails.com/products/pink-romance-cherry-blossom-glow-short-almond-handmade-press-on-nails","Pink Romance: ""Cherry Blossom Glow"" – Short Almond Handmade Press-On Nails")</x:f>
        <x:v>HYPERLINK is not implemented. linkLocation=https://365nails.com/products/pink-romance-cherry-blossom-glow-short-almond-handmade-press-on-nails, friendlyName=Pink Romance: "Cherry Blossom Glow" – Short Almond Handmade Press-On Nails</x:v>
      </x:c>
      <x:c r="D4636" s="18" t="str">
        <x:v>Color: Q394; Color classification: X s / S / M / L</x:v>
      </x:c>
      <x:c r="E4636" s="25" t="str">
        <x:v>$3.49</x:v>
      </x:c>
      <x:c r="F4636" s="19" t="str">
        <x:v>1</x:v>
      </x:c>
    </x:row>
    <x:row r="4637" ht="93" customHeight="1">
      <x:c r="A4637" s="19" t="n">
        <x:v>4634</x:v>
      </x:c>
      <x:c r="B4637" s="22" t="e">
        <x:f>HYPERLINK("https://cdn.shopify.com/s/files/1/0918/6066/4603/files/3d76b9b070dbaa5f380471ea61d28811.jpg?v=1776417678","Open")</x:f>
        <x:v>HYPERLINK is not implemented. linkLocation=https://cdn.shopify.com/s/files/1/0918/6066/4603/files/3d76b9b070dbaa5f380471ea61d28811.jpg?v=1776417678, friendlyName=Open</x:v>
      </x:c>
      <x:c r="C4637" s="24" t="e">
        <x:f>HYPERLINK("https://365nails.com/products/365nails-candy-blossom-3d-floral-handmade-medium-almond-nails","365nails: ""Candy Blossom"" – 3D Floral Handmade Medium Almond Nails")</x:f>
        <x:v>HYPERLINK is not implemented. linkLocation=https://365nails.com/products/365nails-candy-blossom-3d-floral-handmade-medium-almond-nails, friendlyName=365nails: "Candy Blossom" – 3D Floral Handmade Medium Almond Nails</x:v>
      </x:c>
      <x:c r="D4637" s="18" t="str">
        <x:v>Size: XS / S / M / L</x:v>
      </x:c>
      <x:c r="E4637" s="25" t="str">
        <x:v>$3.99</x:v>
      </x:c>
      <x:c r="F4637" s="19" t="str">
        <x:v>5</x:v>
      </x:c>
    </x:row>
    <x:row r="4638" ht="93" customHeight="1">
      <x:c r="A4638" s="19" t="n">
        <x:v>4635</x:v>
      </x:c>
      <x:c r="B4638" s="22" t="e">
        <x:f>HYPERLINK("https://cdn.shopify.com/s/files/1/0918/6066/4603/files/c4ec0068bc64de8369e1e678efc8f32a.jpg?v=1776158841","Open")</x:f>
        <x:v>HYPERLINK is not implemented. linkLocation=https://cdn.shopify.com/s/files/1/0918/6066/4603/files/c4ec0068bc64de8369e1e678efc8f32a.jpg?v=1776158841, friendlyName=Open</x:v>
      </x:c>
      <x:c r="C4638" s="24" t="e">
        <x:f>HYPERLINK("https://365nails.com/products/365nails-tulip-garden-3d-floral-plaid-handmade-short-square-nails","365nails: ""Tulip Garden"" – 3D Floral &amp; Plaid Handmade Short Square Nails")</x:f>
        <x:v>HYPERLINK is not implemented. linkLocation=https://365nails.com/products/365nails-tulip-garden-3d-floral-plaid-handmade-short-square-nails, friendlyName=365nails: "Tulip Garden" – 3D Floral &amp; Plaid Handmade Short Square Nails</x:v>
      </x:c>
      <x:c r="D4638" s="18" t="str">
        <x:v>Size: XS / S / M / L</x:v>
      </x:c>
      <x:c r="E4638" s="25" t="str">
        <x:v>$1.99</x:v>
      </x:c>
      <x:c r="F4638" s="19" t="str">
        <x:v>3</x:v>
      </x:c>
    </x:row>
    <x:row r="4639" ht="93" customHeight="1">
      <x:c r="A4639" s="19" t="n">
        <x:v>4636</x:v>
      </x:c>
      <x:c r="B4639" s="22" t="e">
        <x:f>HYPERLINK("https://cdn.shopify.com/s/files/1/0918/6066/4603/files/0c224aeebd15f5e9b9b856567d085205.jpg?v=1776158078","Open")</x:f>
        <x:v>HYPERLINK is not implemented. linkLocation=https://cdn.shopify.com/s/files/1/0918/6066/4603/files/0c224aeebd15f5e9b9b856567d085205.jpg?v=1776158078, friendlyName=Open</x:v>
      </x:c>
      <x:c r="C4639" s="24" t="e">
        <x:f>HYPERLINK("https://365nails.com/products/365nails-blue-velvet-heart-cat-eye-3d-heart-handmade-short-square-nails","365nails: ""Blue Velvet Heart"" – Cat Eye &amp; 3D Heart Handmade Short Square Nails")</x:f>
        <x:v>HYPERLINK is not implemented. linkLocation=https://365nails.com/products/365nails-blue-velvet-heart-cat-eye-3d-heart-handmade-short-square-nails, friendlyName=365nails: "Blue Velvet Heart" – Cat Eye &amp; 3D Heart Handmade Short Square Nails</x:v>
      </x:c>
      <x:c r="D4639" s="18" t="str">
        <x:v>Size: XS / S / M / L</x:v>
      </x:c>
      <x:c r="E4639" s="25" t="str">
        <x:v>$1.99</x:v>
      </x:c>
      <x:c r="F4639" s="19" t="str">
        <x:v>3</x:v>
      </x:c>
    </x:row>
    <x:row r="4640" ht="93" customHeight="1">
      <x:c r="A4640" s="19" t="n">
        <x:v>4637</x:v>
      </x:c>
      <x:c r="B4640" s="22" t="e">
        <x:f>HYPERLINK("https://cdn.shopify.com/s/files/1/0918/6066/4603/files/fe3ed0e1754a11fc328b93c9a1b8440f.jpg?v=1776159268","Open")</x:f>
        <x:v>HYPERLINK is not implemented. linkLocation=https://cdn.shopify.com/s/files/1/0918/6066/4603/files/fe3ed0e1754a11fc328b93c9a1b8440f.jpg?v=1776159268, friendlyName=Open</x:v>
      </x:c>
      <x:c r="C4640" s="24" t="e">
        <x:f>HYPERLINK("https://365nails.com/products/365nails-cherry-dew-3d-fruit-hand-painted-handmade-short-square-nails","365nails: ""Cherry Dew"" – 3D Fruit Hand-Painted Handmade Short Square Nails")</x:f>
        <x:v>HYPERLINK is not implemented. linkLocation=https://365nails.com/products/365nails-cherry-dew-3d-fruit-hand-painted-handmade-short-square-nails, friendlyName=365nails: "Cherry Dew" – 3D Fruit Hand-Painted Handmade Short Square Nails</x:v>
      </x:c>
      <x:c r="D4640" s="18" t="str">
        <x:v>Size: XS / S / M / L</x:v>
      </x:c>
      <x:c r="E4640" s="25" t="str">
        <x:v>$1.99</x:v>
      </x:c>
      <x:c r="F4640" s="19" t="str">
        <x:v>3</x:v>
      </x:c>
    </x:row>
    <x:row r="4641" ht="93" customHeight="1">
      <x:c r="A4641" s="19" t="n">
        <x:v>4638</x:v>
      </x:c>
      <x:c r="B4641" s="22" t="e">
        <x:f>HYPERLINK("https://cdn.shopify.com/s/files/1/0918/6066/4603/files/14423558023_2037667256_43db1b44-ab67-4228-af11-303c8811ac56.jpg?v=1776155460","Open")</x:f>
        <x:v>HYPERLINK is not implemented. linkLocation=https://cdn.shopify.com/s/files/1/0918/6066/4603/files/14423558023_2037667256_43db1b44-ab67-4228-af11-303c8811ac56.jpg?v=1776155460, friendlyName=Open</x:v>
      </x:c>
      <x:c r="C4641" s="24" t="e">
        <x:f>HYPERLINK("https://365nails.com/products/365nails-misty-lavender-3d-butterfly-glitter-handmade-medium-almond-nails","365nails: ""Misty Lavender"" – 3D Butterfly Glitter Handmade Medium Almond Nails")</x:f>
        <x:v>HYPERLINK is not implemented. linkLocation=https://365nails.com/products/365nails-misty-lavender-3d-butterfly-glitter-handmade-medium-almond-nails, friendlyName=365nails: "Misty Lavender" – 3D Butterfly Glitter Handmade Medium Almond Nails</x:v>
      </x:c>
      <x:c r="D4641" s="18" t="str">
        <x:v>Color: Jp744 [glue type] / Jp744 [including wearing tool kit]</x:v>
      </x:c>
      <x:c r="E4641" s="25" t="str">
        <x:v>$1.99</x:v>
      </x:c>
      <x:c r="F4641" s="19" t="str">
        <x:v>1</x:v>
      </x:c>
    </x:row>
    <x:row r="4642" ht="93" customHeight="1">
      <x:c r="A4642" s="19" t="n">
        <x:v>4639</x:v>
      </x:c>
      <x:c r="B4642" s="22" t="e">
        <x:f>HYPERLINK("https://cdn.shopify.com/s/files/1/0918/6066/4603/files/d4ddaf949b664756bfd6fdc4eb8b2537.jpg?v=1775905967","Open")</x:f>
        <x:v>HYPERLINK is not implemented. linkLocation=https://cdn.shopify.com/s/files/1/0918/6066/4603/files/d4ddaf949b664756bfd6fdc4eb8b2537.jpg?v=1775905967, friendlyName=Open</x:v>
      </x:c>
      <x:c r="C4642" s="24" t="e">
        <x:f>HYPERLINK("https://365nails.com/products/365nails-prismatic-wings-hand-painted-butterfly-art-handmade-coffin-nails","365nails: ""Prismatic Wings"" – Hand-Painted Butterfly Art Handmade Coffin Nails")</x:f>
        <x:v>HYPERLINK is not implemented. linkLocation=https://365nails.com/products/365nails-prismatic-wings-hand-painted-butterfly-art-handmade-coffin-nails, friendlyName=365nails: "Prismatic Wings" – Hand-Painted Butterfly Art Handmade Coffin Nails</x:v>
      </x:c>
      <x:c r="D4642" s="18" t="str">
        <x:v>Size: XS / S / M / L</x:v>
      </x:c>
      <x:c r="E4642" s="25" t="str">
        <x:v>$3.99</x:v>
      </x:c>
      <x:c r="F4642" s="19" t="str">
        <x:v>5</x:v>
      </x:c>
    </x:row>
    <x:row r="4643" ht="93" customHeight="1">
      <x:c r="A4643" s="19" t="n">
        <x:v>4640</x:v>
      </x:c>
      <x:c r="B4643" s="22" t="e">
        <x:f>HYPERLINK("https://cdn.shopify.com/s/files/1/0918/6066/4603/files/0b85493b2b2f00d3325c34d5831f9182.jpg?v=1775911225","Open")</x:f>
        <x:v>HYPERLINK is not implemented. linkLocation=https://cdn.shopify.com/s/files/1/0918/6066/4603/files/0b85493b2b2f00d3325c34d5831f9182.jpg?v=1775911225, friendlyName=Open</x:v>
      </x:c>
      <x:c r="C4643" s="24" t="e">
        <x:f>HYPERLINK("https://365nails.com/products/365nails-oriental-blossom-3d-floral-handmade-stiletto-nails","365nails: ""Oriental Blossom"" – 3D Floral Handmade Stiletto Nails")</x:f>
        <x:v>HYPERLINK is not implemented. linkLocation=https://365nails.com/products/365nails-oriental-blossom-3d-floral-handmade-stiletto-nails, friendlyName=365nails: "Oriental Blossom" – 3D Floral Handmade Stiletto Nails</x:v>
      </x:c>
      <x:c r="D4643" s="18" t="str">
        <x:v>Size: XS / S / M / L</x:v>
      </x:c>
      <x:c r="E4643" s="25" t="str">
        <x:v>$3.99</x:v>
      </x:c>
      <x:c r="F4643" s="19" t="str">
        <x:v>5</x:v>
      </x:c>
    </x:row>
    <x:row r="4644" ht="93" customHeight="1">
      <x:c r="A4644" s="19" t="n">
        <x:v>4641</x:v>
      </x:c>
      <x:c r="B4644" s="22" t="e">
        <x:f>HYPERLINK("https://cdn.shopify.com/s/files/1/0918/6066/4603/files/O1CN01rhvC681CPwFlAeKIR__2213196780074-0-cib.jpg?v=1776853121","Open")</x:f>
        <x:v>HYPERLINK is not implemented. linkLocation=https://cdn.shopify.com/s/files/1/0918/6066/4603/files/O1CN01rhvC681CPwFlAeKIR__2213196780074-0-cib.jpg?v=1776853121, friendlyName=Open</x:v>
      </x:c>
      <x:c r="C4644" s="24" t="e">
        <x:f>HYPERLINK("https://365nails.com/products/365nails-celestial-whisper-3d-bow-iridescent-handmade-coffin-nails","365nails: ""Celestial Whisper"" – 3D Bow &amp; Iridescent Handmade Coffin Nails")</x:f>
        <x:v>HYPERLINK is not implemented. linkLocation=https://365nails.com/products/365nails-celestial-whisper-3d-bow-iridescent-handmade-coffin-nails, friendlyName=365nails: "Celestial Whisper" – 3D Bow &amp; Iridescent Handmade Coffin Nails</x:v>
      </x:c>
      <x:c r="D4644" s="18" t="str">
        <x:v>Color: 1533 short ladder / 1540 middle ladder; Color classification: Extra small size xs / Small s / Medium m / Large l</x:v>
      </x:c>
      <x:c r="E4644" s="25" t="str">
        <x:v>$3.99</x:v>
      </x:c>
      <x:c r="F4644" s="19" t="str">
        <x:v>1</x:v>
      </x:c>
    </x:row>
    <x:row r="4645" ht="93" customHeight="1">
      <x:c r="A4645" s="19" t="n">
        <x:v>4642</x:v>
      </x:c>
      <x:c r="B4645" s="22" t="e">
        <x:f>HYPERLINK("https://cdn.shopify.com/s/files/1/0918/6066/4603/files/O1CN01lVYqXJ247beejNgXW__2209064737344-0-cib.jpg?v=1755238729","Open")</x:f>
        <x:v>HYPERLINK is not implemented. linkLocation=https://cdn.shopify.com/s/files/1/0918/6066/4603/files/O1CN01lVYqXJ247beejNgXW__2209064737344-0-cib.jpg?v=1755238729, friendlyName=Open</x:v>
      </x:c>
      <x:c r="C4645" s="24" t="e">
        <x:f>HYPERLINK("https://365nails.com/products/nail-tips-new-nail-plate-matte-trapezoidal-half-sticker-30-pieces-the-whole-full-number-is-free-of-carving-and-grinding-seamless-nail-plate-fake-nail-wholesale","Nail Tips New Matte Trapezoidal Half-Sticker Nail Plates, Seamless No Carving or Grinding, 30 Pieces Wholesale (MOQ=50)")</x:f>
        <x:v>HYPERLINK is not implemented. linkLocation=https://365nails.com/products/nail-tips-new-nail-plate-matte-trapezoidal-half-sticker-30-pieces-the-whole-full-number-is-free-of-carving-and-grinding-seamless-nail-plate-fake-nail-wholesale, friendlyName=Nail Tips New Matte Trapezoidal Half-Sticker Nail Plates, Seamless No Carving or Grinding, 30 Pieces Wholesale (MOQ=50)</x:v>
      </x:c>
      <x:c r="D4645" s="18" t="str">
        <x:v>Color: 414-Shallow sticker short ladder-30 pieces/piece / 415-Shallow sticker ladder-30 pieces/piece; Quantity: 50pcs</x:v>
      </x:c>
      <x:c r="E4645" s="25" t="str">
        <x:v>$6.00</x:v>
      </x:c>
      <x:c r="F4645" s="19" t="str">
        <x:v>1</x:v>
      </x:c>
    </x:row>
    <x:row r="4646" ht="93" customHeight="1">
      <x:c r="A4646" s="19" t="n">
        <x:v>4643</x:v>
      </x:c>
      <x:c r="B4646" s="22" t="e">
        <x:f>HYPERLINK("https://cdn.shopify.com/s/files/1/0918/6066/4603/files/O1CN01L56wrh1CPwOg9soIq__2213196780074-0-cib.jpg?v=1776850663","Open")</x:f>
        <x:v>HYPERLINK is not implemented. linkLocation=https://cdn.shopify.com/s/files/1/0918/6066/4603/files/O1CN01L56wrh1CPwOg9soIq__2213196780074-0-cib.jpg?v=1776850663, friendlyName=Open</x:v>
      </x:c>
      <x:c r="C4646" s="24" t="e">
        <x:f>HYPERLINK("https://365nails.com/products/365nails-azure-reverie-3d-butterfly-cat-eye-glitter-handmade-long-almond-nails","365nails: ""Azure Reverie"" – 3D Butterfly &amp; Cat-Eye Glitter Handmade Long Almond Nails")</x:f>
        <x:v>HYPERLINK is not implemented. linkLocation=https://365nails.com/products/365nails-azure-reverie-3d-butterfly-cat-eye-glitter-handmade-long-almond-nails, friendlyName=365nails: "Azure Reverie" – 3D Butterfly &amp; Cat-Eye Glitter Handmade Long Almond Nails</x:v>
      </x:c>
      <x:c r="D4646" s="18" t="str">
        <x:v>Color: 3074-new china / 3076 - medium oval / 3078-long oval; Color classification: Xs / S / M / L</x:v>
      </x:c>
      <x:c r="E4646" s="25" t="str">
        <x:v>$3.49</x:v>
      </x:c>
      <x:c r="F4646" s="19" t="str">
        <x:v>1</x:v>
      </x:c>
    </x:row>
    <x:row r="4647" ht="93" customHeight="1">
      <x:c r="A4647" s="19" t="n">
        <x:v>4644</x:v>
      </x:c>
      <x:c r="B4647" s="22" t="e">
        <x:f>HYPERLINK("https://cdn.shopify.com/s/files/1/0918/6066/4603/files/O1CN017qomMD1CPwFbrJkRg__2213196780074-0-cib.jpg?v=1776853036","Open")</x:f>
        <x:v>HYPERLINK is not implemented. linkLocation=https://cdn.shopify.com/s/files/1/0918/6066/4603/files/O1CN017qomMD1CPwFbrJkRg__2213196780074-0-cib.jpg?v=1776853036, friendlyName=Open</x:v>
      </x:c>
      <x:c r="C4647" s="24" t="e">
        <x:f>HYPERLINK("https://365nails.com/products/365nails-midnight-stardust-3d-crystal-polka-dot-handmade-coffin-nails","365nails: ""Midnight Stardust"" – 3D Crystal &amp; Polka Dot Handmade Coffin Nails")</x:f>
        <x:v>HYPERLINK is not implemented. linkLocation=https://365nails.com/products/365nails-midnight-stardust-3d-crystal-polka-dot-handmade-coffin-nails, friendlyName=365nails: "Midnight Stardust" – 3D Crystal &amp; Polka Dot Handmade Coffin Nails</x:v>
      </x:c>
      <x:c r="D4647" s="18" t="str">
        <x:v>Color: 1476 middle ladder; Color classification: Extra small size xs / Small s / Medium m / Large l</x:v>
      </x:c>
      <x:c r="E4647" s="25" t="str">
        <x:v>$3.49</x:v>
      </x:c>
      <x:c r="F4647" s="19" t="str">
        <x:v>1</x:v>
      </x:c>
    </x:row>
    <x:row r="4648" ht="93" customHeight="1">
      <x:c r="A4648" s="19" t="n">
        <x:v>4645</x:v>
      </x:c>
      <x:c r="B4648" s="22" t="e">
        <x:f>HYPERLINK("https://cdn.shopify.com/s/files/1/0918/6066/4603/files/6cbb543e7c38c1ad605349d01ce08df8.jpg?v=1775909082","Open")</x:f>
        <x:v>HYPERLINK is not implemented. linkLocation=https://cdn.shopify.com/s/files/1/0918/6066/4603/files/6cbb543e7c38c1ad605349d01ce08df8.jpg?v=1775909082, friendlyName=Open</x:v>
      </x:c>
      <x:c r="C4648" s="24" t="e">
        <x:f>HYPERLINK("https://365nails.com/products/365nails-crimson-velvet-heart-3d-bow-handmade-almond-nails","365nails: ""Crimson Velvet Heart"" – 3D Bow Handmade Almond Nails")</x:f>
        <x:v>HYPERLINK is not implemented. linkLocation=https://365nails.com/products/365nails-crimson-velvet-heart-3d-bow-handmade-almond-nails, friendlyName=365nails: "Crimson Velvet Heart" – 3D Bow Handmade Almond Nails</x:v>
      </x:c>
      <x:c r="D4648" s="18" t="str">
        <x:v>Size: XS / S / M / L</x:v>
      </x:c>
      <x:c r="E4648" s="25" t="str">
        <x:v>$3.99</x:v>
      </x:c>
      <x:c r="F4648" s="19" t="str">
        <x:v>5</x:v>
      </x:c>
    </x:row>
    <x:row r="4649" ht="93" customHeight="1">
      <x:c r="A4649" s="19" t="n">
        <x:v>4646</x:v>
      </x:c>
      <x:c r="B4649" s="22" t="e">
        <x:f>HYPERLINK("https://cdn.shopify.com/s/files/1/0918/6066/4603/files/O1CN01q8nHq32214thxVOCW__2219480337059-0-cib_8397032d-0c62-4d7b-a166-8d5944f4a504.jpg?v=1774068117","Open")</x:f>
        <x:v>HYPERLINK is not implemented. linkLocation=https://cdn.shopify.com/s/files/1/0918/6066/4603/files/O1CN01q8nHq32214thxVOCW__2219480337059-0-cib_8397032d-0c62-4d7b-a166-8d5944f4a504.jpg?v=1774068117, friendlyName=Open</x:v>
      </x:c>
      <x:c r="C4649" s="24" t="e">
        <x:f>HYPERLINK("https://365nails.com/products/365nails-strawberry-hello-kitty-wonderland-handmade-cute-short-oval-press-on-nails-with-hello-kitty-strawberry-design","365Nails: ""Strawberry Hello Kitty Wonderland"" – Handmade Cute Short Oval Press On Nails With Hello Kitty &amp; Strawberry Design")</x:f>
        <x:v>HYPERLINK is not implemented. linkLocation=https://365nails.com/products/365nails-strawberry-hello-kitty-wonderland-handmade-cute-short-oval-press-on-nails-with-hello-kitty-strawberry-design, friendlyName=365Nails: "Strawberry Hello Kitty Wonderland" – Handmade Cute Short Oval Press On Nails With Hello Kitty &amp; Strawberry Design</x:v>
      </x:c>
      <x:c r="D4649" s="18" t="str">
        <x:v>Color: Kt cat strawberry; Color classification: Xs (about 2 years old) / S (3-4 years old) / M (5-7 years old) / L (8-11 years old)</x:v>
      </x:c>
      <x:c r="E4649" s="25" t="str">
        <x:v>$2.99</x:v>
      </x:c>
      <x:c r="F4649" s="19" t="str">
        <x:v>3</x:v>
      </x:c>
    </x:row>
    <x:row r="4650" ht="93" customHeight="1">
      <x:c r="A4650" s="19" t="n">
        <x:v>4647</x:v>
      </x:c>
      <x:c r="B4650" s="22" t="e">
        <x:f>HYPERLINK("https://cdn.shopify.com/s/files/1/0918/6066/4603/files/0d9b8d905d88a297acd85780db855bf9.jpg?v=1776410402","Open")</x:f>
        <x:v>HYPERLINK is not implemented. linkLocation=https://cdn.shopify.com/s/files/1/0918/6066/4603/files/0d9b8d905d88a297acd85780db855bf9.jpg?v=1776410402, friendlyName=Open</x:v>
      </x:c>
      <x:c r="C4650" s="24" t="e">
        <x:f>HYPERLINK("https://365nails.com/products/365nails-dark-fantasy-3d-gothic-figure-handmade-coffin-nails","365nails: ""Dark Fantasy"" – 3D Gothic Figure Handmade Coffin Nails-5.5cm")</x:f>
        <x:v>HYPERLINK is not implemented. linkLocation=https://365nails.com/products/365nails-dark-fantasy-3d-gothic-figure-handmade-coffin-nails, friendlyName=365nails: "Dark Fantasy" – 3D Gothic Figure Handmade Coffin Nails-5.5cm</x:v>
      </x:c>
      <x:c r="D4650" s="18" t="str">
        <x:v>Size: XS / S / M / L</x:v>
      </x:c>
      <x:c r="E4650" s="25" t="str">
        <x:v>$7.99</x:v>
      </x:c>
      <x:c r="F4650" s="19" t="str">
        <x:v>10</x:v>
      </x:c>
    </x:row>
    <x:row r="4651" ht="93" customHeight="1">
      <x:c r="A4651" s="19" t="n">
        <x:v>4648</x:v>
      </x:c>
      <x:c r="B4651" s="22" t="e">
        <x:f>HYPERLINK("https://cdn.shopify.com/s/files/1/0918/6066/4603/files/8b426ba6cc3cd7de5ba27ef78ef68250.jpg?v=1776416478","Open")</x:f>
        <x:v>HYPERLINK is not implemented. linkLocation=https://cdn.shopify.com/s/files/1/0918/6066/4603/files/8b426ba6cc3cd7de5ba27ef78ef68250.jpg?v=1776416478, friendlyName=Open</x:v>
      </x:c>
      <x:c r="C4651" s="24" t="e">
        <x:f>HYPERLINK("https://365nails.com/products/365nails-pastel-garden-3d-floral-handmade-short-almond-nails","365nails: ""Pastel Garden"" – 3D Floral Handmade Short Almond Nails")</x:f>
        <x:v>HYPERLINK is not implemented. linkLocation=https://365nails.com/products/365nails-pastel-garden-3d-floral-handmade-short-almond-nails, friendlyName=365nails: "Pastel Garden" – 3D Floral Handmade Short Almond Nails</x:v>
      </x:c>
      <x:c r="D4651" s="18" t="str">
        <x:v>Size: XS / S / M / L</x:v>
      </x:c>
      <x:c r="E4651" s="25" t="str">
        <x:v>$2.99</x:v>
      </x:c>
      <x:c r="F4651" s="19" t="str">
        <x:v>5</x:v>
      </x:c>
    </x:row>
    <x:row r="4652" ht="93" customHeight="1">
      <x:c r="A4652" s="19" t="n">
        <x:v>4649</x:v>
      </x:c>
      <x:c r="B4652" s="22" t="e">
        <x:f>HYPERLINK("https://cdn.shopify.com/s/files/1/0918/6066/4603/files/O1CN01BVO7fi2MQzeenLrif__2219089449823-0-cib.jpg?v=1774178694","Open")</x:f>
        <x:v>HYPERLINK is not implemented. linkLocation=https://cdn.shopify.com/s/files/1/0918/6066/4603/files/O1CN01BVO7fi2MQzeenLrif__2219089449823-0-cib.jpg?v=1774178694, friendlyName=Open</x:v>
      </x:c>
      <x:c r="C4652" s="24" t="e">
        <x:f>HYPERLINK("https://365nails.com/products/rainbow-fantasy-vivid-floral-echo-almond-shape-3d-handmade-press-on-nails","Rainbow Fantasy: ""Vivid Floral Echo"" – Almond Shape 3D Handmade Press On Nails")</x:f>
        <x:v>HYPERLINK is not implemented. linkLocation=https://365nails.com/products/rainbow-fantasy-vivid-floral-echo-almond-shape-3d-handmade-press-on-nails, friendlyName=Rainbow Fantasy: "Vivid Floral Echo" – Almond Shape 3D Handmade Press On Nails</x:v>
      </x:c>
      <x:c r="D4652" s="18" t="str">
        <x:v>Color: D570; Color classification: X s / S / M / L</x:v>
      </x:c>
      <x:c r="E4652" s="25" t="str">
        <x:v>$3.49</x:v>
      </x:c>
      <x:c r="F4652" s="19" t="str">
        <x:v>1</x:v>
      </x:c>
    </x:row>
    <x:row r="4653" ht="93" customHeight="1">
      <x:c r="A4653" s="19" t="n">
        <x:v>4650</x:v>
      </x:c>
      <x:c r="B4653" s="22" t="e">
        <x:f>HYPERLINK("https://cdn.shopify.com/s/files/1/0918/6066/4603/files/492994fc6d575c9eb23746561af1cdcc.jpg?v=1776323568","Open")</x:f>
        <x:v>HYPERLINK is not implemented. linkLocation=https://cdn.shopify.com/s/files/1/0918/6066/4603/files/492994fc6d575c9eb23746561af1cdcc.jpg?v=1776323568, friendlyName=Open</x:v>
      </x:c>
      <x:c r="C4653" s="24" t="e">
        <x:f>HYPERLINK("https://365nails.com/products/365nails-festive-friends-3d-cartoon-animal-short-square-nails","365nails: ""Festive Friends"" – 3D Cartoon Animal Short Square Nails")</x:f>
        <x:v>HYPERLINK is not implemented. linkLocation=https://365nails.com/products/365nails-festive-friends-3d-cartoon-animal-short-square-nails, friendlyName=365nails: "Festive Friends" – 3D Cartoon Animal Short Square Nails</x:v>
      </x:c>
      <x:c r="D4653" s="18" t="str">
        <x:v>Size: XS / S / M / L</x:v>
      </x:c>
      <x:c r="E4653" s="25" t="str">
        <x:v>$3.99</x:v>
      </x:c>
      <x:c r="F4653" s="19" t="str">
        <x:v>5</x:v>
      </x:c>
    </x:row>
    <x:row r="4654" ht="93" customHeight="1">
      <x:c r="A4654" s="19" t="n">
        <x:v>4651</x:v>
      </x:c>
      <x:c r="B4654" s="22" t="e">
        <x:f>HYPERLINK("https://cdn.shopify.com/s/files/1/0918/6066/4603/files/5afba58bfd47055575eef1a1d4f5d394.jpg?v=1773903508","Open")</x:f>
        <x:v>HYPERLINK is not implemented. linkLocation=https://cdn.shopify.com/s/files/1/0918/6066/4603/files/5afba58bfd47055575eef1a1d4f5d394.jpg?v=1773903508, friendlyName=Open</x:v>
      </x:c>
      <x:c r="C4654" s="24" t="e">
        <x:f>HYPERLINK("https://365nails.com/products/365nails-magic-crystal-spike-handmade-press-on-nails-gothic-punk-retro-dark-style","365Nails: ""Magic Crystal Spike"" – handmade press-on nails (Gothic Punk/Retro Dark Style)")</x:f>
        <x:v>HYPERLINK is not implemented. linkLocation=https://365nails.com/products/365nails-magic-crystal-spike-handmade-press-on-nails-gothic-punk-retro-dark-style, friendlyName=365Nails: "Magic Crystal Spike" – handmade press-on nails (Gothic Punk/Retro Dark Style)</x:v>
      </x:c>
      <x:c r="D4654" s="18" t="str">
        <x:v>Size: XS / S / M / L</x:v>
      </x:c>
      <x:c r="E4654" s="25" t="str">
        <x:v>$3.99</x:v>
      </x:c>
      <x:c r="F4654" s="19" t="str">
        <x:v>5</x:v>
      </x:c>
    </x:row>
    <x:row r="4655" ht="93" customHeight="1">
      <x:c r="A4655" s="19" t="n">
        <x:v>4652</x:v>
      </x:c>
      <x:c r="B4655" s="22" t="e">
        <x:f>HYPERLINK("https://cdn.shopify.com/s/files/1/0918/6066/4603/files/2b446888557719adea82a4b69503ef56.jpg?v=1776158170","Open")</x:f>
        <x:v>HYPERLINK is not implemented. linkLocation=https://cdn.shopify.com/s/files/1/0918/6066/4603/files/2b446888557719adea82a4b69503ef56.jpg?v=1776158170, friendlyName=Open</x:v>
      </x:c>
      <x:c r="C4655" s="24" t="e">
        <x:f>HYPERLINK("https://365nails.com/products/365nails-sweet-heart-candy-3d-lollipop-bow-handmade-short-square-nails","365nails: ""Sweet Heart Candy"" – 3D Lollipop &amp; Bow Handmade Short Square Nails")</x:f>
        <x:v>HYPERLINK is not implemented. linkLocation=https://365nails.com/products/365nails-sweet-heart-candy-3d-lollipop-bow-handmade-short-square-nails, friendlyName=365nails: "Sweet Heart Candy" – 3D Lollipop &amp; Bow Handmade Short Square Nails</x:v>
      </x:c>
      <x:c r="D4655" s="18" t="str">
        <x:v>Size: XS / S / M / L</x:v>
      </x:c>
      <x:c r="E4655" s="25" t="str">
        <x:v>$1.99</x:v>
      </x:c>
      <x:c r="F4655" s="19" t="str">
        <x:v>3</x:v>
      </x:c>
    </x:row>
    <x:row r="4656" ht="93" customHeight="1">
      <x:c r="A4656" s="19" t="n">
        <x:v>4653</x:v>
      </x:c>
      <x:c r="B4656" s="22" t="e">
        <x:f>HYPERLINK("https://cdn.shopify.com/s/files/1/0918/6066/4603/files/14237542446_2037667256_4c0c0014-94b6-40ee-8279-e47b2e447517.jpg?v=1776155342","Open")</x:f>
        <x:v>HYPERLINK is not implemented. linkLocation=https://cdn.shopify.com/s/files/1/0918/6066/4603/files/14237542446_2037667256_4c0c0014-94b6-40ee-8279-e47b2e447517.jpg?v=1776155342, friendlyName=Open</x:v>
      </x:c>
      <x:c r="C4656" s="24" t="e">
        <x:f>HYPERLINK("https://365nails.com/products/365nails-crimson-velvet-night-3d-moon-star-handmade-medium-almond-nails","365nails: ""Crimson Velvet Night"" – 3D Moon &amp; Star Handmade Medium Almond Nails")</x:f>
        <x:v>HYPERLINK is not implemented. linkLocation=https://365nails.com/products/365nails-crimson-velvet-night-3d-moon-star-handmade-medium-almond-nails, friendlyName=365nails: "Crimson Velvet Night" – 3D Moon &amp; Star Handmade Medium Almond Nails</x:v>
      </x:c>
      <x:c r="D4656" s="18" t="str">
        <x:v>Color: Jp726 [glue type] / Jp726 [wearable style]</x:v>
      </x:c>
      <x:c r="E4656" s="25" t="str">
        <x:v>$1.49</x:v>
      </x:c>
      <x:c r="F4656" s="19" t="str">
        <x:v>1</x:v>
      </x:c>
    </x:row>
    <x:row r="4657" ht="93" customHeight="1">
      <x:c r="A4657" s="19" t="n">
        <x:v>4654</x:v>
      </x:c>
      <x:c r="B4657" s="22" t="e">
        <x:f>HYPERLINK("https://cdn.shopify.com/s/files/1/0918/6066/4603/files/O1CN01mDnrU6247bUmf1z4Z__2209064737344-0-cib_d09cb597-a71b-4a50-8a0d-20eb3bdd89ab.jpg?v=1772707691","Open")</x:f>
        <x:v>HYPERLINK is not implemented. linkLocation=https://cdn.shopify.com/s/files/1/0918/6066/4603/files/O1CN01mDnrU6247bUmf1z4Z__2209064737344-0-cib_d09cb597-a71b-4a50-8a0d-20eb3bdd89ab.jpg?v=1772707691, friendlyName=Open</x:v>
      </x:c>
      <x:c r="C4657" s="24" t="e">
        <x:f>HYPERLINK("https://365nails.com/products/365nails-ultra-thin-clear-nail-tips-multi-shape-pre-bonded-nail-extensions","365nails: ""Ultra-Thin Clear Nail Tips"" – Multi-Shape Pre-bonded Nail Extensions")</x:f>
        <x:v>HYPERLINK is not implemented. linkLocation=https://365nails.com/products/365nails-ultra-thin-clear-nail-tips-multi-shape-pre-bonded-nail-extensions, friendlyName=365nails: "Ultra-Thin Clear Nail Tips" – Multi-Shape Pre-bonded Nail Extensions</x:v>
      </x:c>
      <x:c r="D4657" s="18" t="str">
        <x:v>Color: 191~405 mixed pack, 1 piece each, 15 pieces in total (samples)</x:v>
      </x:c>
      <x:c r="E4657" s="25" t="str">
        <x:v>$2.25</x:v>
      </x:c>
      <x:c r="F4657" s="19" t="str">
        <x:v>3</x:v>
      </x:c>
    </x:row>
    <x:row r="4658" ht="93" customHeight="1">
      <x:c r="A4658" s="19" t="n">
        <x:v>4655</x:v>
      </x:c>
      <x:c r="B4658" s="22" t="e">
        <x:f>HYPERLINK("https://cdn.shopify.com/s/files/1/0918/6066/4603/files/2656c3aa00b4ec403774ad7e48152cce.jpg?v=1772707657","Open")</x:f>
        <x:v>HYPERLINK is not implemented. linkLocation=https://cdn.shopify.com/s/files/1/0918/6066/4603/files/2656c3aa00b4ec403774ad7e48152cce.jpg?v=1772707657, friendlyName=Open</x:v>
      </x:c>
      <x:c r="C4658" s="24" t="e">
        <x:f>HYPERLINK("https://365nails.com/products/365nails-easy-apply-toenail-tips-short-square-toenail-tips-with-handle","365nails: ""Easy-Apply Toenail Tips"" – Short Square Toenail Tips with Handle")</x:f>
        <x:v>HYPERLINK is not implemented. linkLocation=https://365nails.com/products/365nails-easy-apply-toenail-tips-short-square-toenail-tips-with-handle, friendlyName=365nails: "Easy-Apply Toenail Tips" – Short Square Toenail Tips with Handle</x:v>
      </x:c>
      <x:c r="D4658" s="18" t="str">
        <x:v>Color classification: 34-natural color 600 pieces in bag / 34-transparent color 600 pieces in bag / 406-frosted toenails-8 bags</x:v>
      </x:c>
      <x:c r="E4658" s="25" t="str">
        <x:v>$1.02–$1.46</x:v>
      </x:c>
      <x:c r="F4658" s="19" t="str">
        <x:v>3</x:v>
      </x:c>
    </x:row>
    <x:row r="4659" ht="93" customHeight="1">
      <x:c r="A4659" s="19" t="n">
        <x:v>4656</x:v>
      </x:c>
      <x:c r="B4659" s="22" t="e">
        <x:f>HYPERLINK("https://cdn.shopify.com/s/files/1/0918/6066/4603/files/a1957f0fea09cdde24fb27d523621a25.jpg?v=1775912805","Open")</x:f>
        <x:v>HYPERLINK is not implemented. linkLocation=https://cdn.shopify.com/s/files/1/0918/6066/4603/files/a1957f0fea09cdde24fb27d523621a25.jpg?v=1775912805, friendlyName=Open</x:v>
      </x:c>
      <x:c r="C4659" s="24" t="e">
        <x:f>HYPERLINK("https://365nails.com/products/365nails-lemon-chiffon-3d-floral-handmade-almond-nails","365nails: ""Lemon Chiffon"" – 3D Floral Handmade Almond Nails")</x:f>
        <x:v>HYPERLINK is not implemented. linkLocation=https://365nails.com/products/365nails-lemon-chiffon-3d-floral-handmade-almond-nails, friendlyName=365nails: "Lemon Chiffon" – 3D Floral Handmade Almond Nails</x:v>
      </x:c>
      <x:c r="D4659" s="18" t="str">
        <x:v>Size: XS / S / M / L</x:v>
      </x:c>
      <x:c r="E4659" s="25" t="str">
        <x:v>$3.99</x:v>
      </x:c>
      <x:c r="F4659" s="19" t="str">
        <x:v>5</x:v>
      </x:c>
    </x:row>
    <x:row r="4660" ht="93" customHeight="1">
      <x:c r="A4660" s="19" t="n">
        <x:v>4657</x:v>
      </x:c>
      <x:c r="B4660" s="22" t="e">
        <x:f>HYPERLINK("https://cdn.shopify.com/s/files/1/0918/6066/4603/files/0a1e5cf974c525a858ab83f398129c00.jpg?v=1775911472","Open")</x:f>
        <x:v>HYPERLINK is not implemented. linkLocation=https://cdn.shopify.com/s/files/1/0918/6066/4603/files/0a1e5cf974c525a858ab83f398129c00.jpg?v=1775911472, friendlyName=Open</x:v>
      </x:c>
      <x:c r="C4660" s="24" t="e">
        <x:f>HYPERLINK("https://365nails.com/products/365nails-spring-awakening-3d-floral-handmade-stiletto-nails","365nails: ""Spring Awakening"" – 3D Floral Handmade Stiletto Nails")</x:f>
        <x:v>HYPERLINK is not implemented. linkLocation=https://365nails.com/products/365nails-spring-awakening-3d-floral-handmade-stiletto-nails, friendlyName=365nails: "Spring Awakening" – 3D Floral Handmade Stiletto Nails</x:v>
      </x:c>
      <x:c r="D4660" s="18" t="str">
        <x:v>Size: XS / S / M / L</x:v>
      </x:c>
      <x:c r="E4660" s="25" t="str">
        <x:v>$3.99</x:v>
      </x:c>
      <x:c r="F4660" s="19" t="str">
        <x:v>5</x:v>
      </x:c>
    </x:row>
    <x:row r="4661" ht="93" customHeight="1">
      <x:c r="A4661" s="19" t="n">
        <x:v>4658</x:v>
      </x:c>
      <x:c r="B4661" s="22" t="e">
        <x:f>HYPERLINK("https://cdn.shopify.com/s/files/1/0918/6066/4603/files/O1CN01Rae03J1CPwM9qm3mj__2213196780074-0-cib_61ddaf6d-8fb6-447c-b6f8-b9610eeb6d68.jpg?v=1776853913","Open")</x:f>
        <x:v>HYPERLINK is not implemented. linkLocation=https://cdn.shopify.com/s/files/1/0918/6066/4603/files/O1CN01Rae03J1CPwM9qm3mj__2213196780074-0-cib_61ddaf6d-8fb6-447c-b6f8-b9610eeb6d68.jpg?v=1776853913, friendlyName=Open</x:v>
      </x:c>
      <x:c r="C4661" s="24" t="e">
        <x:f>HYPERLINK("https://365nails.com/products/365nails-sweethearts-whisper-3d-heart-french-tip-handmade-almond-nails","365nails: ""Sweetheart's Whisper"" – 3D Heart French Tip Handmade Almond Nails")</x:f>
        <x:v>HYPERLINK is not implemented. linkLocation=https://365nails.com/products/365nails-sweethearts-whisper-3d-heart-french-tip-handmade-almond-nails, friendlyName=365nails: "Sweetheart's Whisper" – 3D Heart French Tip Handmade Almond Nails</x:v>
      </x:c>
      <x:c r="D4661" s="18" t="str">
        <x:v>Color: 1196 - medium oval; Color classification: Xs / S / M / L</x:v>
      </x:c>
      <x:c r="E4661" s="25" t="str">
        <x:v>$2.99</x:v>
      </x:c>
      <x:c r="F4661" s="19" t="str">
        <x:v>1</x:v>
      </x:c>
    </x:row>
    <x:row r="4662" ht="93" customHeight="1">
      <x:c r="A4662" s="19" t="n">
        <x:v>4659</x:v>
      </x:c>
      <x:c r="B4662" s="22" t="e">
        <x:f>HYPERLINK("https://cdn.shopify.com/s/files/1/0918/6066/4603/files/6bc6938f6dd41e4f19ef1ccf3984d76d.jpg?v=1776151806","Open")</x:f>
        <x:v>HYPERLINK is not implemented. linkLocation=https://cdn.shopify.com/s/files/1/0918/6066/4603/files/6bc6938f6dd41e4f19ef1ccf3984d76d.jpg?v=1776151806, friendlyName=Open</x:v>
      </x:c>
      <x:c r="C4662" s="24" t="e">
        <x:f>HYPERLINK("https://365nails.com/products/365nails-blueberry-bow-dream-3d-bow-character-handmade-short-square-nails","365nails: ""Blueberry Bow Dream"" – 3D Bow &amp; Character Handmade Short Square Nails")</x:f>
        <x:v>HYPERLINK is not implemented. linkLocation=https://365nails.com/products/365nails-blueberry-bow-dream-3d-bow-character-handmade-short-square-nails, friendlyName=365nails: "Blueberry Bow Dream" – 3D Bow &amp; Character Handmade Short Square Nails</x:v>
      </x:c>
      <x:c r="D4662" s="18" t="str">
        <x:v>Size: XS / S / M / L</x:v>
      </x:c>
      <x:c r="E4662" s="25" t="str">
        <x:v>$1.99</x:v>
      </x:c>
      <x:c r="F4662" s="19" t="str">
        <x:v>3</x:v>
      </x:c>
    </x:row>
    <x:row r="4663" ht="93" customHeight="1">
      <x:c r="A4663" s="19" t="n">
        <x:v>4660</x:v>
      </x:c>
      <x:c r="B4663" s="22" t="e">
        <x:f>HYPERLINK("https://cdn.shopify.com/s/files/1/0918/6066/4603/files/5b099084a2385247b0babb1aa9be806e.jpg?v=1776416841","Open")</x:f>
        <x:v>HYPERLINK is not implemented. linkLocation=https://cdn.shopify.com/s/files/1/0918/6066/4603/files/5b099084a2385247b0babb1aa9be806e.jpg?v=1776416841, friendlyName=Open</x:v>
      </x:c>
      <x:c r="C4663" s="24" t="e">
        <x:f>HYPERLINK("https://365nails.com/products/365nails-soft-bloom-3d-floral-handmade-medium-almond-nails","365nails: ""Soft Bloom"" – 3D Floral Handmade Medium Almond Nails")</x:f>
        <x:v>HYPERLINK is not implemented. linkLocation=https://365nails.com/products/365nails-soft-bloom-3d-floral-handmade-medium-almond-nails, friendlyName=365nails: "Soft Bloom" – 3D Floral Handmade Medium Almond Nails</x:v>
      </x:c>
      <x:c r="D4663" s="18" t="str">
        <x:v>Size: XS / S / M / L</x:v>
      </x:c>
      <x:c r="E4663" s="25" t="str">
        <x:v>$3.99</x:v>
      </x:c>
      <x:c r="F4663" s="19" t="str">
        <x:v>5</x:v>
      </x:c>
    </x:row>
    <x:row r="4664" ht="93" customHeight="1">
      <x:c r="A4664" s="19" t="n">
        <x:v>4661</x:v>
      </x:c>
      <x:c r="B4664" s="22" t="e">
        <x:f>HYPERLINK("https://cdn.shopify.com/s/files/1/0918/6066/4603/files/127ed11204aaa66f6736bd4fcd197937.jpg?v=1776325569","Open")</x:f>
        <x:v>HYPERLINK is not implemented. linkLocation=https://cdn.shopify.com/s/files/1/0918/6066/4603/files/127ed11204aaa66f6736bd4fcd197937.jpg?v=1776325569, friendlyName=Open</x:v>
      </x:c>
      <x:c r="C4664" s="24" t="e">
        <x:f>HYPERLINK("https://365nails.com/products/365nails-sweet-mornings-3d-character-short-square-nails","365nails: ""Sweet Mornings"" – 3D Character Short Square Nails")</x:f>
        <x:v>HYPERLINK is not implemented. linkLocation=https://365nails.com/products/365nails-sweet-mornings-3d-character-short-square-nails, friendlyName=365nails: "Sweet Mornings" – 3D Character Short Square Nails</x:v>
      </x:c>
      <x:c r="D4664" s="18" t="str">
        <x:v>Size: XS / S / M / L</x:v>
      </x:c>
      <x:c r="E4664" s="25" t="str">
        <x:v>$3.99</x:v>
      </x:c>
      <x:c r="F4664" s="19" t="str">
        <x:v>5</x:v>
      </x:c>
    </x:row>
    <x:row r="4665" ht="93" customHeight="1">
      <x:c r="A4665" s="19" t="n">
        <x:v>4662</x:v>
      </x:c>
      <x:c r="B4665" s="22" t="e">
        <x:f>HYPERLINK("https://cdn.shopify.com/s/files/1/0918/6066/4603/files/3d8c67a9403eedcb098f1859207df28e.jpg?v=1772707798","Open")</x:f>
        <x:v>HYPERLINK is not implemented. linkLocation=https://cdn.shopify.com/s/files/1/0918/6066/4603/files/3d8c67a9403eedcb098f1859207df28e.jpg?v=1772707798, friendlyName=Open</x:v>
      </x:c>
      <x:c r="C4665" s="24" t="e">
        <x:f>HYPERLINK("https://365nails.com/products/365nails-240pcs-matte-full-cover-nail-tips-6-shapes-ultra-thin-seamless-press-on-nail-set","365nails 240PCS Matte Full-Cover Nail Tips | 6 Shapes Ultra-Thin Seamless Press-On Nail Set")</x:f>
        <x:v>HYPERLINK is not implemented. linkLocation=https://365nails.com/products/365nails-240pcs-matte-full-cover-nail-tips-6-shapes-ultra-thin-seamless-press-on-nail-set, friendlyName=365nails 240PCS Matte Full-Cover Nail Tips | 6 Shapes Ultra-Thin Seamless Press-On Nail Set</x:v>
      </x:c>
      <x:c r="D4665" s="18" t="str">
        <x:v>Color: 191 short oval 240 pieces / 191 short oval 240-piece refill pack / 192 trapezoid 240 pieces / 192 trapezoid 240-piece refill pack / 193 short trapezoid 240 pieces / 193 short trapezoid 240-piece refill pack / 194 medium almond 240 slices / 194 medium almonds 240 pieces - refill pack / 195 short round 240 pieces / 196 square armor 240 pieces / 197 short square circle-240 pieces / 198 long almonds-240 pieces / 199 japanese style fat oval-240 pieces / 199-2 japanese short fat oval-240 pieces / 401 ultra-short ladder - fully frosted - 240 pieces / 401 ultra-short nail tips - semi-matte - 240 pieces / 402 new short ladder - semi-matte - 240 pieces / 403 new short square circle-240 pieces / 404 short ballet-240 pieces / 405 short almond-240 pieces / 409 long oval-240 pieces; Color classification: Pp plastic box / Bagged</x:v>
      </x:c>
      <x:c r="E4665" s="25" t="str">
        <x:v>$0.78–$1.02</x:v>
      </x:c>
      <x:c r="F4665" s="19" t="str">
        <x:v>3</x:v>
      </x:c>
    </x:row>
    <x:row r="4666" ht="93" customHeight="1">
      <x:c r="A4666" s="19" t="n">
        <x:v>4663</x:v>
      </x:c>
      <x:c r="B4666" s="22" t="e">
        <x:f>HYPERLINK("https://cdn.shopify.com/s/files/1/0918/6066/4603/files/O1CN01B3ftOs1CPwHlHu0BK__2213196780074-0-cib.jpg?v=1776516796","Open")</x:f>
        <x:v>HYPERLINK is not implemented. linkLocation=https://cdn.shopify.com/s/files/1/0918/6066/4603/files/O1CN01B3ftOs1CPwHlHu0BK__2213196780074-0-cib.jpg?v=1776516796, friendlyName=Open</x:v>
      </x:c>
      <x:c r="C4666" s="24" t="e">
        <x:f>HYPERLINK("https://365nails.com/products/365nails-ice-lily-3d-floral-gradient-handmade-stiletto-nails","365nails: ""Ice Lily"" – 3D Floral Gradient Handmade Stiletto Nails")</x:f>
        <x:v>HYPERLINK is not implemented. linkLocation=https://365nails.com/products/365nails-ice-lily-3d-floral-gradient-handmade-stiletto-nails, friendlyName=365nails: "Ice Lily" – 3D Floral Gradient Handmade Stiletto Nails</x:v>
      </x:c>
      <x:c r="D4666" s="18" t="str">
        <x:v>Color: 1993-long water drop; Color classification: Extra small size xs / Small s / Medium m / Large l</x:v>
      </x:c>
      <x:c r="E4666" s="25" t="str">
        <x:v>$3.99</x:v>
      </x:c>
      <x:c r="F4666" s="19" t="str">
        <x:v>1</x:v>
      </x:c>
    </x:row>
    <x:row r="4667" ht="93" customHeight="1">
      <x:c r="A4667" s="19" t="n">
        <x:v>4664</x:v>
      </x:c>
      <x:c r="B4667" s="22" t="e">
        <x:f>HYPERLINK("https://cdn.shopify.com/s/files/1/0918/6066/4603/files/O1CN016tizUd2NGHuzAA3h7__4234819935-0-cib_c9d3ce1d-412f-44a2-919e-be9c35ee91fa.jpg?v=1761288297","Open")</x:f>
        <x:v>HYPERLINK is not implemented. linkLocation=https://cdn.shopify.com/s/files/1/0918/6066/4603/files/O1CN016tizUd2NGHuzAA3h7__4234819935-0-cib_c9d3ce1d-412f-44a2-919e-be9c35ee91fa.jpg?v=1761288297, friendlyName=Open</x:v>
      </x:c>
      <x:c r="C4667" s="24" t="e">
        <x:f>HYPERLINK("https://365nails.com/products/french-color-polka-dot-nail-art-false-nail-short-almond-wearable-nail-piece-wholesale-of-european-and-american-foreign-trade-wearable-nail-piece","French Color Polka Dot Nail Art False Nail Short Almond Wearable Nail Piece Wholesale of European and American Foreign Trade Wearable Nail Piece")</x:f>
        <x:v>HYPERLINK is not implemented. linkLocation=https://365nails.com/products/french-color-polka-dot-nail-art-false-nail-short-almond-wearable-nail-piece-wholesale-of-european-and-american-foreign-trade-wearable-nail-piece, friendlyName=French Color Polka Dot Nail Art False Nail Short Almond Wearable Nail Piece Wholesale of European and American Foreign Trade Wearable Nail Piece</x:v>
      </x:c>
      <x:c r="D4667" s="18" t="str">
        <x:v>color: GD15</x:v>
      </x:c>
      <x:c r="E4667" s="25" t="str">
        <x:v>$1.41</x:v>
      </x:c>
      <x:c r="F4667" s="19" t="str">
        <x:v>1</x:v>
      </x:c>
    </x:row>
    <x:row r="4668" ht="93" customHeight="1">
      <x:c r="A4668" s="19" t="n">
        <x:v>4665</x:v>
      </x:c>
      <x:c r="B4668" s="22" t="e">
        <x:f>HYPERLINK("https://cdn.shopify.com/s/files/1/0918/6066/4603/files/4362162c6aa88c34532bed78db6b56c7.jpg?v=1775912571","Open")</x:f>
        <x:v>HYPERLINK is not implemented. linkLocation=https://cdn.shopify.com/s/files/1/0918/6066/4603/files/4362162c6aa88c34532bed78db6b56c7.jpg?v=1775912571, friendlyName=Open</x:v>
      </x:c>
      <x:c r="C4668" s="24" t="e">
        <x:f>HYPERLINK("https://365nails.com/products/365nails-ethereal-bloom-3d-floral-handmade-stiletto-nails","365nails: ""Ethereal Bloom"" – 3D Floral Handmade Stiletto Nails")</x:f>
        <x:v>HYPERLINK is not implemented. linkLocation=https://365nails.com/products/365nails-ethereal-bloom-3d-floral-handmade-stiletto-nails, friendlyName=365nails: "Ethereal Bloom" – 3D Floral Handmade Stiletto Nails</x:v>
      </x:c>
      <x:c r="D4668" s="18" t="str">
        <x:v>Size: XS / S / M / L</x:v>
      </x:c>
      <x:c r="E4668" s="25" t="str">
        <x:v>$3.99</x:v>
      </x:c>
      <x:c r="F4668" s="19" t="str">
        <x:v>5</x:v>
      </x:c>
    </x:row>
    <x:row r="4669" ht="93" customHeight="1">
      <x:c r="A4669" s="19" t="n">
        <x:v>4666</x:v>
      </x:c>
      <x:c r="B4669" s="22" t="e">
        <x:f>HYPERLINK("https://cdn.shopify.com/s/files/1/0918/6066/4603/files/26551c6d5702b6be535800799ae08124.jpg?v=1776416604","Open")</x:f>
        <x:v>HYPERLINK is not implemented. linkLocation=https://cdn.shopify.com/s/files/1/0918/6066/4603/files/26551c6d5702b6be535800799ae08124.jpg?v=1776416604, friendlyName=Open</x:v>
      </x:c>
      <x:c r="C4669" s="24" t="e">
        <x:f>HYPERLINK("https://365nails.com/products/365nails-rose-gold-petals-3d-floral-handmade-short-almond-nails","365nails: ""Rose Gold Petals"" – 3D Floral Handmade Short Almond Nails")</x:f>
        <x:v>HYPERLINK is not implemented. linkLocation=https://365nails.com/products/365nails-rose-gold-petals-3d-floral-handmade-short-almond-nails, friendlyName=365nails: "Rose Gold Petals" – 3D Floral Handmade Short Almond Nails</x:v>
      </x:c>
      <x:c r="D4669" s="18" t="str">
        <x:v>Size: XS / S / M / L</x:v>
      </x:c>
      <x:c r="E4669" s="25" t="str">
        <x:v>$2.99</x:v>
      </x:c>
      <x:c r="F4669" s="19" t="str">
        <x:v>5</x:v>
      </x:c>
    </x:row>
    <x:row r="4670" ht="93" customHeight="1">
      <x:c r="A4670" s="19" t="n">
        <x:v>4667</x:v>
      </x:c>
      <x:c r="B4670" s="22" t="e">
        <x:f>HYPERLINK("https://cdn.shopify.com/s/files/1/0918/6066/4603/files/f4e4fe02f5c6399abd8112ab266a6a4c.jpg?v=1776154246","Open")</x:f>
        <x:v>HYPERLINK is not implemented. linkLocation=https://cdn.shopify.com/s/files/1/0918/6066/4603/files/f4e4fe02f5c6399abd8112ab266a6a4c.jpg?v=1776154246, friendlyName=Open</x:v>
      </x:c>
      <x:c r="C4670" s="24" t="e">
        <x:f>HYPERLINK("https://365nails.com/products/365nails-pastel-prism-3d-iridescent-glitter-handmade-short-square-nails","365nails: ""Pastel Prism"" – 3D Iridescent &amp; Glitter Handmade Short Square Nails")</x:f>
        <x:v>HYPERLINK is not implemented. linkLocation=https://365nails.com/products/365nails-pastel-prism-3d-iridescent-glitter-handmade-short-square-nails, friendlyName=365nails: "Pastel Prism" – 3D Iridescent &amp; Glitter Handmade Short Square Nails</x:v>
      </x:c>
      <x:c r="D4670" s="18" t="str">
        <x:v>Size: XS / S / M / L</x:v>
      </x:c>
      <x:c r="E4670" s="25" t="str">
        <x:v>$1.99</x:v>
      </x:c>
      <x:c r="F4670" s="19" t="str">
        <x:v>3</x:v>
      </x:c>
    </x:row>
    <x:row r="4671" ht="93" customHeight="1">
      <x:c r="A4671" s="19" t="n">
        <x:v>4668</x:v>
      </x:c>
      <x:c r="B4671" s="22" t="e">
        <x:f>HYPERLINK("https://cdn.shopify.com/s/files/1/0918/6066/4603/files/72c84b51f19ccfee361e51c5acddbb39.jpg?v=1776149673","Open")</x:f>
        <x:v>HYPERLINK is not implemented. linkLocation=https://cdn.shopify.com/s/files/1/0918/6066/4603/files/72c84b51f19ccfee361e51c5acddbb39.jpg?v=1776149673, friendlyName=Open</x:v>
      </x:c>
      <x:c r="C4671" s="24" t="e">
        <x:f>HYPERLINK("https://365nails.com/products/365nails-galactic-dreams-3d-crystal-glitter-handmade-short-square-nails","365nails: ""Galactic Dreams"" – 3D Crystal &amp; Glitter Handmade Short Square Nails")</x:f>
        <x:v>HYPERLINK is not implemented. linkLocation=https://365nails.com/products/365nails-galactic-dreams-3d-crystal-glitter-handmade-short-square-nails, friendlyName=365nails: "Galactic Dreams" – 3D Crystal &amp; Glitter Handmade Short Square Nails</x:v>
      </x:c>
      <x:c r="D4671" s="18" t="str">
        <x:v>Size: XS / S / M / L</x:v>
      </x:c>
      <x:c r="E4671" s="25" t="str">
        <x:v>$1.99</x:v>
      </x:c>
      <x:c r="F4671" s="19" t="str">
        <x:v>3</x:v>
      </x:c>
    </x:row>
    <x:row r="4672" ht="93" customHeight="1">
      <x:c r="A4672" s="19" t="n">
        <x:v>4669</x:v>
      </x:c>
      <x:c r="B4672" s="22" t="e">
        <x:f>HYPERLINK("https://cdn.shopify.com/s/files/1/0918/6066/4603/files/b99f6e0ebf4babedb8a12ee4927f52e2.jpg?v=1775913088","Open")</x:f>
        <x:v>HYPERLINK is not implemented. linkLocation=https://cdn.shopify.com/s/files/1/0918/6066/4603/files/b99f6e0ebf4babedb8a12ee4927f52e2.jpg?v=1775913088, friendlyName=Open</x:v>
      </x:c>
      <x:c r="C4672" s="24" t="e">
        <x:f>HYPERLINK("https://365nails.com/products/365nails-orchid-mirage-3d-floral-handmade-stiletto-nails","365nails: ""Orchid Mirage"" – 3D Floral Handmade Stiletto Nails")</x:f>
        <x:v>HYPERLINK is not implemented. linkLocation=https://365nails.com/products/365nails-orchid-mirage-3d-floral-handmade-stiletto-nails, friendlyName=365nails: "Orchid Mirage" – 3D Floral Handmade Stiletto Nails</x:v>
      </x:c>
      <x:c r="D4672" s="18" t="str">
        <x:v>Size: XS / S / M / L</x:v>
      </x:c>
      <x:c r="E4672" s="25" t="str">
        <x:v>$3.99</x:v>
      </x:c>
      <x:c r="F4672" s="19" t="str">
        <x:v>5</x:v>
      </x:c>
    </x:row>
    <x:row r="4673" ht="93" customHeight="1">
      <x:c r="A4673" s="19" t="n">
        <x:v>4670</x:v>
      </x:c>
      <x:c r="B4673" s="22" t="e">
        <x:f>HYPERLINK("https://cdn.shopify.com/s/files/1/0918/6066/4603/files/9e37fdad9de707c54a2ad73bf00efafd.jpg?v=1776324464","Open")</x:f>
        <x:v>HYPERLINK is not implemented. linkLocation=https://cdn.shopify.com/s/files/1/0918/6066/4603/files/9e37fdad9de707c54a2ad73bf00efafd.jpg?v=1776324464, friendlyName=Open</x:v>
      </x:c>
      <x:c r="C4673" s="24" t="e">
        <x:f>HYPERLINK("https://365nails.com/products/365nails-retro-toon-carnival-3d-cartoon-short-square-nails","365nails: ""Retro Toon Carnival"" – 3D Cartoon Short Square Nails")</x:f>
        <x:v>HYPERLINK is not implemented. linkLocation=https://365nails.com/products/365nails-retro-toon-carnival-3d-cartoon-short-square-nails, friendlyName=365nails: "Retro Toon Carnival" – 3D Cartoon Short Square Nails</x:v>
      </x:c>
      <x:c r="D4673" s="18" t="str">
        <x:v>Size: XS / S / M / L</x:v>
      </x:c>
      <x:c r="E4673" s="25" t="str">
        <x:v>$3.99</x:v>
      </x:c>
      <x:c r="F4673" s="19" t="str">
        <x:v>5</x:v>
      </x:c>
    </x:row>
    <x:row r="4674" ht="93" customHeight="1">
      <x:c r="A4674" s="19" t="n">
        <x:v>4671</x:v>
      </x:c>
      <x:c r="B4674" s="22" t="e">
        <x:f>HYPERLINK("https://cdn.shopify.com/s/files/1/0918/6066/4603/files/ceb088b46cbd7d39253f712a7df2f035.jpg?v=1776410652","Open")</x:f>
        <x:v>HYPERLINK is not implemented. linkLocation=https://cdn.shopify.com/s/files/1/0918/6066/4603/files/ceb088b46cbd7d39253f712a7df2f035.jpg?v=1776410652, friendlyName=Open</x:v>
      </x:c>
      <x:c r="C4674" s="24" t="e">
        <x:f>HYPERLINK("https://365nails.com/products/365nails-gothic-noir-3d-character-art-handmade-coffin-nails","365nails: ""Gothic Noir"" – 3D Character Art Handmade Coffin Nails-5.5cm")</x:f>
        <x:v>HYPERLINK is not implemented. linkLocation=https://365nails.com/products/365nails-gothic-noir-3d-character-art-handmade-coffin-nails, friendlyName=365nails: "Gothic Noir" – 3D Character Art Handmade Coffin Nails-5.5cm</x:v>
      </x:c>
      <x:c r="D4674" s="18" t="str">
        <x:v>Size: XS / S / M / L</x:v>
      </x:c>
      <x:c r="E4674" s="25" t="str">
        <x:v>$7.99</x:v>
      </x:c>
      <x:c r="F4674" s="19" t="str">
        <x:v>10</x:v>
      </x:c>
    </x:row>
    <x:row r="4675" ht="93" customHeight="1">
      <x:c r="A4675" s="19" t="n">
        <x:v>4672</x:v>
      </x:c>
      <x:c r="B4675" s="22" t="e">
        <x:f>HYPERLINK("https://cdn.shopify.com/s/files/1/0918/6066/4603/files/379e99a04239ed7cbe5348c440df9b2d.jpg?v=1776151741","Open")</x:f>
        <x:v>HYPERLINK is not implemented. linkLocation=https://cdn.shopify.com/s/files/1/0918/6066/4603/files/379e99a04239ed7cbe5348c440df9b2d.jpg?v=1776151741, friendlyName=Open</x:v>
      </x:c>
      <x:c r="C4675" s="24" t="e">
        <x:f>HYPERLINK("https://365nails.com/products/365nails-candy-pop-joy-3d-character-pastel-plaid-handmade-short-square-nails","365nails: ""Candy Pop Joy"" – 3D Character &amp; Pastel Plaid Handmade Short Square Nails")</x:f>
        <x:v>HYPERLINK is not implemented. linkLocation=https://365nails.com/products/365nails-candy-pop-joy-3d-character-pastel-plaid-handmade-short-square-nails, friendlyName=365nails: "Candy Pop Joy" – 3D Character &amp; Pastel Plaid Handmade Short Square Nails</x:v>
      </x:c>
      <x:c r="D4675" s="18" t="str">
        <x:v>Size: XS / S / M / L</x:v>
      </x:c>
      <x:c r="E4675" s="25" t="str">
        <x:v>$1.99</x:v>
      </x:c>
      <x:c r="F4675" s="19" t="str">
        <x:v>3</x:v>
      </x:c>
    </x:row>
    <x:row r="4676" ht="93" customHeight="1">
      <x:c r="A4676" s="19" t="n">
        <x:v>4673</x:v>
      </x:c>
      <x:c r="B4676" s="22" t="e">
        <x:f>HYPERLINK("https://cdn.shopify.com/s/files/1/0918/6066/4603/files/O1CN01LHGzVS2MQzesFOaLT__2219089449823-0-cib.jpg?v=1774178737","Open")</x:f>
        <x:v>HYPERLINK is not implemented. linkLocation=https://cdn.shopify.com/s/files/1/0918/6066/4603/files/O1CN01LHGzVS2MQzesFOaLT__2219089449823-0-cib.jpg?v=1774178737, friendlyName=Open</x:v>
      </x:c>
      <x:c r="C4676" s="24" t="e">
        <x:f>HYPERLINK("https://365nails.com/products/candy-dream-pink-galaxy-duck-bill-shape-handmade-press-on-nails","Candy Dream: ""Pink Galaxy"" – Duck Bill Shape Handmade Press On Nails")</x:f>
        <x:v>HYPERLINK is not implemented. linkLocation=https://365nails.com/products/candy-dream-pink-galaxy-duck-bill-shape-handmade-press-on-nails, friendlyName=Candy Dream: "Pink Galaxy" – Duck Bill Shape Handmade Press On Nails</x:v>
      </x:c>
      <x:c r="D4676" s="18" t="str">
        <x:v>Color: L230; Color classification: X s / S / M / L</x:v>
      </x:c>
      <x:c r="E4676" s="25" t="str">
        <x:v>$4.99</x:v>
      </x:c>
      <x:c r="F4676" s="19" t="str">
        <x:v>1</x:v>
      </x:c>
    </x:row>
    <x:row r="4677" ht="93" customHeight="1">
      <x:c r="A4677" s="19" t="n">
        <x:v>4674</x:v>
      </x:c>
      <x:c r="B4677" s="22" t="e">
        <x:f>HYPERLINK("https://cdn.shopify.com/s/files/1/0918/6066/4603/files/O1CN01jTS9eT1CPwKn9c5dl__2213196780074-0-cib.jpg?v=1777017218","Open")</x:f>
        <x:v>HYPERLINK is not implemented. linkLocation=https://cdn.shopify.com/s/files/1/0918/6066/4603/files/O1CN01jTS9eT1CPwKn9c5dl__2213196780074-0-cib.jpg?v=1777017218, friendlyName=Open</x:v>
      </x:c>
      <x:c r="C4677" s="24" t="e">
        <x:f>HYPERLINK("https://365nails.com/products/365nails-gilded-butterfly-3d-butterfly-charm-gold-glitter-handmade-coffin-nails","365nails: ""Gilded Butterfly"" – 3D Butterfly Charm &amp; Gold Glitter Handmade Coffin Nails")</x:f>
        <x:v>HYPERLINK is not implemented. linkLocation=https://365nails.com/products/365nails-gilded-butterfly-3d-butterfly-charm-gold-glitter-handmade-coffin-nails, friendlyName=365nails: "Gilded Butterfly" – 3D Butterfly Charm &amp; Gold Glitter Handmade Coffin Nails</x:v>
      </x:c>
      <x:c r="D4677" s="18" t="str">
        <x:v>Color: Extra small size xs / Small s / Medium m / Large l; Specification type: 2801-short oval / 2803-middle ladder / 2799-short ladder</x:v>
      </x:c>
      <x:c r="E4677" s="25" t="str">
        <x:v>$3.99</x:v>
      </x:c>
      <x:c r="F4677" s="19" t="str">
        <x:v>1</x:v>
      </x:c>
    </x:row>
    <x:row r="4678" ht="93" customHeight="1">
      <x:c r="A4678" s="19" t="n">
        <x:v>4675</x:v>
      </x:c>
      <x:c r="B4678" s="22" t="e">
        <x:f>HYPERLINK("https://cdn.shopify.com/s/files/1/0918/6066/4603/files/22bfd5d9ce1cd4595402fe8cd5a4e091.jpg?v=1776413935","Open")</x:f>
        <x:v>HYPERLINK is not implemented. linkLocation=https://cdn.shopify.com/s/files/1/0918/6066/4603/files/22bfd5d9ce1cd4595402fe8cd5a4e091.jpg?v=1776413935, friendlyName=Open</x:v>
      </x:c>
      <x:c r="C4678" s="24" t="e">
        <x:f>HYPERLINK("https://365nails.com/products/365nails-dark-fantasy-3d-character-handmade-coffin-nails","365nails: ""Dark Fantasy"" – 3D Character Handmade Coffin Nails-5.5cm")</x:f>
        <x:v>HYPERLINK is not implemented. linkLocation=https://365nails.com/products/365nails-dark-fantasy-3d-character-handmade-coffin-nails, friendlyName=365nails: "Dark Fantasy" – 3D Character Handmade Coffin Nails-5.5cm</x:v>
      </x:c>
      <x:c r="D4678" s="18" t="str">
        <x:v>Size: XS / S / M / L</x:v>
      </x:c>
      <x:c r="E4678" s="25" t="str">
        <x:v>$7.99</x:v>
      </x:c>
      <x:c r="F4678" s="19" t="str">
        <x:v>10</x:v>
      </x:c>
    </x:row>
    <x:row r="4679" ht="93" customHeight="1">
      <x:c r="A4679" s="19" t="n">
        <x:v>4676</x:v>
      </x:c>
      <x:c r="B4679" s="22" t="e">
        <x:f>HYPERLINK("https://cdn.shopify.com/s/files/1/0918/6066/4603/files/93f9dd8b45f39e959f95ad4ced54baeb.jpg?v=1776158348","Open")</x:f>
        <x:v>HYPERLINK is not implemented. linkLocation=https://cdn.shopify.com/s/files/1/0918/6066/4603/files/93f9dd8b45f39e959f95ad4ced54baeb.jpg?v=1776158348, friendlyName=Open</x:v>
      </x:c>
      <x:c r="C4679" s="24" t="e">
        <x:f>HYPERLINK("https://365nails.com/products/365nails-cartoon-magic-3d-mickey-mouse-bow-handmade-short-square-nails","365nails: ""Cartoon Magic"" – 3D Mickey Mouse &amp; Bow Handmade Short Square Nails")</x:f>
        <x:v>HYPERLINK is not implemented. linkLocation=https://365nails.com/products/365nails-cartoon-magic-3d-mickey-mouse-bow-handmade-short-square-nails, friendlyName=365nails: "Cartoon Magic" – 3D Mickey Mouse &amp; Bow Handmade Short Square Nails</x:v>
      </x:c>
      <x:c r="D4679" s="18" t="str">
        <x:v>Size: XS / S / M / L</x:v>
      </x:c>
      <x:c r="E4679" s="25" t="str">
        <x:v>$1.99</x:v>
      </x:c>
      <x:c r="F4679" s="19" t="str">
        <x:v>3</x:v>
      </x:c>
    </x:row>
    <x:row r="4680" ht="93" customHeight="1">
      <x:c r="A4680" s="19" t="n">
        <x:v>4677</x:v>
      </x:c>
      <x:c r="B4680" s="22" t="e">
        <x:f>HYPERLINK("https://cdn.shopify.com/s/files/1/0918/6066/4603/files/74c55c82cdd4b0caf0b1be868920ac10.jpg?v=1776150287","Open")</x:f>
        <x:v>HYPERLINK is not implemented. linkLocation=https://cdn.shopify.com/s/files/1/0918/6066/4603/files/74c55c82cdd4b0caf0b1be868920ac10.jpg?v=1776150287, friendlyName=Open</x:v>
      </x:c>
      <x:c r="C4680" s="24" t="e">
        <x:f>HYPERLINK("https://365nails.com/products/365nails-velvet-ribbon-romance-3d-bow-heart-handmade-short-square-nails","365nails: ""Velvet Ribbon Romance"" – 3D Bow &amp; Heart Handmade Short Square Nails")</x:f>
        <x:v>HYPERLINK is not implemented. linkLocation=https://365nails.com/products/365nails-velvet-ribbon-romance-3d-bow-heart-handmade-short-square-nails, friendlyName=365nails: "Velvet Ribbon Romance" – 3D Bow &amp; Heart Handmade Short Square Nails</x:v>
      </x:c>
      <x:c r="D4680" s="18" t="str">
        <x:v>Size: XS / S / M / L</x:v>
      </x:c>
      <x:c r="E4680" s="25" t="str">
        <x:v>$1.99</x:v>
      </x:c>
      <x:c r="F4680" s="19" t="str">
        <x:v>3</x:v>
      </x:c>
    </x:row>
    <x:row r="4681" ht="93" customHeight="1">
      <x:c r="A4681" s="19" t="n">
        <x:v>4678</x:v>
      </x:c>
      <x:c r="B4681" s="22" t="e">
        <x:f>HYPERLINK("https://cdn.shopify.com/s/files/1/0918/6066/4603/files/66ca5ee8cdc8878e4a8ae6b402f0d79d.jpg?v=1775911886","Open")</x:f>
        <x:v>HYPERLINK is not implemented. linkLocation=https://cdn.shopify.com/s/files/1/0918/6066/4603/files/66ca5ee8cdc8878e4a8ae6b402f0d79d.jpg?v=1775911886, friendlyName=Open</x:v>
      </x:c>
      <x:c r="C4681" s="24" t="e">
        <x:f>HYPERLINK("https://365nails.com/products/365nails-coquette-crush-3d-bow-handmade-coffin-nails","365nails: ""Coquette Crush"" – 3D Bow Handmade Coffin Nails")</x:f>
        <x:v>HYPERLINK is not implemented. linkLocation=https://365nails.com/products/365nails-coquette-crush-3d-bow-handmade-coffin-nails, friendlyName=365nails: "Coquette Crush" – 3D Bow Handmade Coffin Nails</x:v>
      </x:c>
      <x:c r="D4681" s="18" t="str">
        <x:v>Size: XS / S / M / L</x:v>
      </x:c>
      <x:c r="E4681" s="25" t="str">
        <x:v>$3.99</x:v>
      </x:c>
      <x:c r="F4681" s="19" t="str">
        <x:v>5</x:v>
      </x:c>
    </x:row>
    <x:row r="4682" ht="93" customHeight="1">
      <x:c r="A4682" s="19" t="n">
        <x:v>4679</x:v>
      </x:c>
      <x:c r="B4682" s="22" t="e">
        <x:f>HYPERLINK("https://cdn.shopify.com/s/files/1/0918/6066/4603/files/39756a1bef9c8aa7f85b2cf586f5d7ca.jpg?v=1776151983","Open")</x:f>
        <x:v>HYPERLINK is not implemented. linkLocation=https://cdn.shopify.com/s/files/1/0918/6066/4603/files/39756a1bef9c8aa7f85b2cf586f5d7ca.jpg?v=1776151983, friendlyName=Open</x:v>
      </x:c>
      <x:c r="C4682" s="24" t="e">
        <x:f>HYPERLINK("https://365nails.com/products/365nails-ruby-heart-plaid-3d-bow-hand-painted-short-square-nails","365nails: ""Ruby Heart Plaid"" – 3D Bow &amp; Hand-Painted Short Square Nails")</x:f>
        <x:v>HYPERLINK is not implemented. linkLocation=https://365nails.com/products/365nails-ruby-heart-plaid-3d-bow-hand-painted-short-square-nails, friendlyName=365nails: "Ruby Heart Plaid" – 3D Bow &amp; Hand-Painted Short Square Nails</x:v>
      </x:c>
      <x:c r="D4682" s="18" t="str">
        <x:v>Size: XS / S / M / L</x:v>
      </x:c>
      <x:c r="E4682" s="25" t="str">
        <x:v>$1.99</x:v>
      </x:c>
      <x:c r="F4682" s="19" t="str">
        <x:v>3</x:v>
      </x:c>
    </x:row>
    <x:row r="4683" ht="93" customHeight="1">
      <x:c r="A4683" s="19" t="n">
        <x:v>4680</x:v>
      </x:c>
      <x:c r="B4683" s="22" t="e">
        <x:f>HYPERLINK("https://cdn.shopify.com/s/files/1/0918/6066/4603/files/8e3e93777b4c5eee1d9e8bf999bfcfd8.jpg?v=1776416053","Open")</x:f>
        <x:v>HYPERLINK is not implemented. linkLocation=https://cdn.shopify.com/s/files/1/0918/6066/4603/files/8e3e93777b4c5eee1d9e8bf999bfcfd8.jpg?v=1776416053, friendlyName=Open</x:v>
      </x:c>
      <x:c r="C4683" s="24" t="e">
        <x:f>HYPERLINK("https://365nails.com/products/365nails-azure-blossom-3d-floral-handmade-medium-almond-nails","365nails: ""Azure Blossom"" – 3D Floral Handmade Medium Almond Nails")</x:f>
        <x:v>HYPERLINK is not implemented. linkLocation=https://365nails.com/products/365nails-azure-blossom-3d-floral-handmade-medium-almond-nails, friendlyName=365nails: "Azure Blossom" – 3D Floral Handmade Medium Almond Nails</x:v>
      </x:c>
      <x:c r="D4683" s="18" t="str">
        <x:v>Size: XS / S / M / L</x:v>
      </x:c>
      <x:c r="E4683" s="25" t="str">
        <x:v>$2.99</x:v>
      </x:c>
      <x:c r="F4683" s="19" t="str">
        <x:v>5</x:v>
      </x:c>
    </x:row>
    <x:row r="4684" ht="93" customHeight="1">
      <x:c r="A4684" s="19" t="n">
        <x:v>4681</x:v>
      </x:c>
      <x:c r="B4684" s="22" t="e">
        <x:f>HYPERLINK("https://cdn.shopify.com/s/files/1/0918/6066/4603/files/O1CN01V9Qugt1rlpJl0X6jS__2215158925672-0-cib_0f166a3c-aa07-4f93-8080-7f1b445e4614.jpg?v=1772513777","Open")</x:f>
        <x:v>HYPERLINK is not implemented. linkLocation=https://cdn.shopify.com/s/files/1/0918/6066/4603/files/O1CN01V9Qugt1rlpJl0X6jS__2215158925672-0-cib_0f166a3c-aa07-4f93-8080-7f1b445e4614.jpg?v=1772513777, friendlyName=Open</x:v>
      </x:c>
      <x:c r="C4684" s="24" t="e">
        <x:f>HYPERLINK("https://365nails.com/products/365nails-avant-garde-pink-hologram-long-coffin-pink-gradient-black-line-art-press-on-nails-24pcs","365nails: ""Pink Mist Silver"" – Long Coffin Handmade Press-On Nails")</x:f>
        <x:v>HYPERLINK is not implemented. linkLocation=https://365nails.com/products/365nails-avant-garde-pink-hologram-long-coffin-pink-gradient-black-line-art-press-on-nails-24pcs, friendlyName=365nails: "Pink Mist Silver" – Long Coffin Handmade Press-On Nails</x:v>
      </x:c>
      <x:c r="D4684" s="18" t="str">
        <x:v>Color: Middle t; Color classification: X s / S / M / L</x:v>
      </x:c>
      <x:c r="E4684" s="25" t="str">
        <x:v>$4.99</x:v>
      </x:c>
      <x:c r="F4684" s="19" t="str">
        <x:v>3</x:v>
      </x:c>
    </x:row>
    <x:row r="4685" ht="93" customHeight="1">
      <x:c r="A4685" s="19" t="n">
        <x:v>4682</x:v>
      </x:c>
      <x:c r="B4685" s="22" t="e">
        <x:f>HYPERLINK("https://cdn.shopify.com/s/files/1/0918/6066/4603/files/4f0e7a98d2ac53e50ef84a4ba8433c81.jpg?v=1775913028","Open")</x:f>
        <x:v>HYPERLINK is not implemented. linkLocation=https://cdn.shopify.com/s/files/1/0918/6066/4603/files/4f0e7a98d2ac53e50ef84a4ba8433c81.jpg?v=1775913028, friendlyName=Open</x:v>
      </x:c>
      <x:c r="C4685" s="24" t="e">
        <x:f>HYPERLINK("https://365nails.com/products/365nails-azure-breeze-3d-floral-handmade-square-nails","365nails: ""Azure Breeze"" – 3D Floral Handmade Square Nails")</x:f>
        <x:v>HYPERLINK is not implemented. linkLocation=https://365nails.com/products/365nails-azure-breeze-3d-floral-handmade-square-nails, friendlyName=365nails: "Azure Breeze" – 3D Floral Handmade Square Nails</x:v>
      </x:c>
      <x:c r="D4685" s="18" t="str">
        <x:v>Size: XS / S / M / L</x:v>
      </x:c>
      <x:c r="E4685" s="25" t="str">
        <x:v>$3.99</x:v>
      </x:c>
      <x:c r="F4685" s="19" t="str">
        <x:v>5</x:v>
      </x:c>
    </x:row>
    <x:row r="4686" ht="93" customHeight="1">
      <x:c r="A4686" s="19" t="n">
        <x:v>4683</x:v>
      </x:c>
      <x:c r="B4686" s="22" t="e">
        <x:f>HYPERLINK("https://cdn.shopify.com/s/files/1/0918/6066/4603/files/O1CN0186CauN1CPwM0aRDG4__2213196780074-0-cib_e7218e82-5915-421a-b185-c4de52f69be3.jpg?v=1776848951","Open")</x:f>
        <x:v>HYPERLINK is not implemented. linkLocation=https://cdn.shopify.com/s/files/1/0918/6066/4603/files/O1CN0186CauN1CPwM0aRDG4__2213196780074-0-cib_e7218e82-5915-421a-b185-c4de52f69be3.jpg?v=1776848951, friendlyName=Open</x:v>
      </x:c>
      <x:c r="C4686" s="24" t="e">
        <x:f>HYPERLINK("https://365nails.com/products/365nails-strawberry-summer-3d-floral-plaid-handmade-medium-almond-nails","365nails: ""Strawberry Summer"" – 3D Floral &amp; Plaid Handmade Medium Almond Nails")</x:f>
        <x:v>HYPERLINK is not implemented. linkLocation=https://365nails.com/products/365nails-strawberry-summer-3d-floral-plaid-handmade-medium-almond-nails, friendlyName=365nails: "Strawberry Summer" – 3D Floral &amp; Plaid Handmade Medium Almond Nails</x:v>
      </x:c>
      <x:c r="D4686" s="18" t="str">
        <x:v>Color: 565-long almond; Color classification: Xs / S / M / L</x:v>
      </x:c>
      <x:c r="E4686" s="25" t="str">
        <x:v>$4.49</x:v>
      </x:c>
      <x:c r="F4686" s="19" t="str">
        <x:v>1</x:v>
      </x:c>
    </x:row>
    <x:row r="4687" ht="93" customHeight="1">
      <x:c r="A4687" s="19" t="n">
        <x:v>4684</x:v>
      </x:c>
      <x:c r="B4687" s="22" t="e">
        <x:f>HYPERLINK("https://cdn.shopify.com/s/files/1/0918/6066/4603/files/cced969e0c67ee76234c86a4de30cc22.jpg?v=1776416414","Open")</x:f>
        <x:v>HYPERLINK is not implemented. linkLocation=https://cdn.shopify.com/s/files/1/0918/6066/4603/files/cced969e0c67ee76234c86a4de30cc22.jpg?v=1776416414, friendlyName=Open</x:v>
      </x:c>
      <x:c r="C4687" s="24" t="e">
        <x:f>HYPERLINK("https://365nails.com/products/365nails-lilac-whisper-3d-floral-handmade-short-almond-nails","365nails: ""Lilac Whisper"" – 3D Floral Handmade Short Almond Nails")</x:f>
        <x:v>HYPERLINK is not implemented. linkLocation=https://365nails.com/products/365nails-lilac-whisper-3d-floral-handmade-short-almond-nails, friendlyName=365nails: "Lilac Whisper" – 3D Floral Handmade Short Almond Nails</x:v>
      </x:c>
      <x:c r="D4687" s="18" t="str">
        <x:v>Size: XS / S / M / L</x:v>
      </x:c>
      <x:c r="E4687" s="25" t="str">
        <x:v>$2.99</x:v>
      </x:c>
      <x:c r="F4687" s="19" t="str">
        <x:v>5</x:v>
      </x:c>
    </x:row>
    <x:row r="4688" ht="93" customHeight="1">
      <x:c r="A4688" s="19" t="n">
        <x:v>4685</x:v>
      </x:c>
      <x:c r="B4688" s="22" t="e">
        <x:f>HYPERLINK("https://cdn.shopify.com/s/files/1/0918/6066/4603/files/O1CN01dQwRPu1rlpJO9g2pM__2215158925672-0-cib_bee45488-7bbf-4e88-98b0-9f76af472e1e.jpg?v=1772513748","Open")</x:f>
        <x:v>HYPERLINK is not implemented. linkLocation=https://cdn.shopify.com/s/files/1/0918/6066/4603/files/O1CN01dQwRPu1rlpJO9g2pM__2215158925672-0-cib_bee45488-7bbf-4e88-98b0-9f76af472e1e.jpg?v=1772513748, friendlyName=Open</x:v>
      </x:c>
      <x:c r="C4688" s="24" t="e">
        <x:f>HYPERLINK("https://365nails.com/products/365nails-avant-garde-saturn-noir-long-coffin-saturn-cross-embellished-press-on-nails-24pcs","365nails: ""Dark Orbit"" – Long Coffin Handmade Press-On Nails")</x:f>
        <x:v>HYPERLINK is not implemented. linkLocation=https://365nails.com/products/365nails-avant-garde-saturn-noir-long-coffin-saturn-cross-embellished-press-on-nails-24pcs, friendlyName=365nails: "Dark Orbit" – Long Coffin Handmade Press-On Nails</x:v>
      </x:c>
      <x:c r="D4688" s="18" t="str">
        <x:v>Color: Middle t; Color classification: X s / S / M / L</x:v>
      </x:c>
      <x:c r="E4688" s="25" t="str">
        <x:v>$3.49</x:v>
      </x:c>
      <x:c r="F4688" s="19" t="str">
        <x:v>3</x:v>
      </x:c>
    </x:row>
    <x:row r="4689" ht="93" customHeight="1">
      <x:c r="A4689" s="19" t="n">
        <x:v>4686</x:v>
      </x:c>
      <x:c r="B4689" s="22" t="e">
        <x:f>HYPERLINK("https://cdn.shopify.com/s/files/1/0918/6066/4603/files/O1CN01d0ffBD1CPwPp5T9BP__2213196780074-0-cib.jpg?v=1777016585","Open")</x:f>
        <x:v>HYPERLINK is not implemented. linkLocation=https://cdn.shopify.com/s/files/1/0918/6066/4603/files/O1CN01d0ffBD1CPwPp5T9BP__2213196780074-0-cib.jpg?v=1777016585, friendlyName=Open</x:v>
      </x:c>
      <x:c r="C4689" s="24" t="e">
        <x:f>HYPERLINK("https://365nails.com/products/365nails-gothic-crucifix-3d-metal-cross-bloody-heart-handmade-stiletto-nails","365nails: ""Gothic Crucifix"" – 3D Metal Cross &amp; Bloody Heart Handmade Stiletto Nails")</x:f>
        <x:v>HYPERLINK is not implemented. linkLocation=https://365nails.com/products/365nails-gothic-crucifix-3d-metal-cross-bloody-heart-handmade-stiletto-nails, friendlyName=365nails: "Gothic Crucifix" – 3D Metal Cross &amp; Bloody Heart Handmade Stiletto Nails</x:v>
      </x:c>
      <x:c r="D4689" s="18" t="str">
        <x:v>Color: 102-fine dog tip; Color classification: Extra small size xs / Small s / Medium m / Large l</x:v>
      </x:c>
      <x:c r="E4689" s="25" t="str">
        <x:v>$4.49</x:v>
      </x:c>
      <x:c r="F4689" s="19" t="str">
        <x:v>1</x:v>
      </x:c>
    </x:row>
    <x:row r="4690" ht="93" customHeight="1">
      <x:c r="A4690" s="19" t="n">
        <x:v>4687</x:v>
      </x:c>
      <x:c r="B4690" s="22" t="e">
        <x:f>HYPERLINK("https://cdn.shopify.com/s/files/1/0918/6066/4603/files/711f001d73a586ea176799b09468fd5e.jpg?v=1776411119","Open")</x:f>
        <x:v>HYPERLINK is not implemented. linkLocation=https://cdn.shopify.com/s/files/1/0918/6066/4603/files/711f001d73a586ea176799b09468fd5e.jpg?v=1776411119, friendlyName=Open</x:v>
      </x:c>
      <x:c r="C4690" s="24" t="e">
        <x:f>HYPERLINK("https://365nails.com/products/365nails-crimson-geisha-3d-character-art-handmade-coffin-nails","365nails: ""Crimson Geisha"" – 3D Character Art Handmade Coffin Nails-5.5cm")</x:f>
        <x:v>HYPERLINK is not implemented. linkLocation=https://365nails.com/products/365nails-crimson-geisha-3d-character-art-handmade-coffin-nails, friendlyName=365nails: "Crimson Geisha" – 3D Character Art Handmade Coffin Nails-5.5cm</x:v>
      </x:c>
      <x:c r="D4690" s="18" t="str">
        <x:v>Size: XS / S / M / L</x:v>
      </x:c>
      <x:c r="E4690" s="25" t="str">
        <x:v>$7.99</x:v>
      </x:c>
      <x:c r="F4690" s="19" t="str">
        <x:v>10</x:v>
      </x:c>
    </x:row>
    <x:row r="4691" ht="93" customHeight="1">
      <x:c r="A4691" s="19" t="n">
        <x:v>4688</x:v>
      </x:c>
      <x:c r="B4691" s="22" t="e">
        <x:f>HYPERLINK("https://cdn.shopify.com/s/files/1/0918/6066/4603/files/35e8e19f441403936fcac006b1c91f8c.jpg?v=1776154069","Open")</x:f>
        <x:v>HYPERLINK is not implemented. linkLocation=https://cdn.shopify.com/s/files/1/0918/6066/4603/files/35e8e19f441403936fcac006b1c91f8c.jpg?v=1776154069, friendlyName=Open</x:v>
      </x:c>
      <x:c r="C4691" s="24" t="e">
        <x:f>HYPERLINK("https://365nails.com/products/365nails-kawaii-pet-pals-3d-animal-face-handmade-short-square-nails","365nails: ""Kawaii Pet Pals"" – 3D Animal Face Handmade Short Square Nails")</x:f>
        <x:v>HYPERLINK is not implemented. linkLocation=https://365nails.com/products/365nails-kawaii-pet-pals-3d-animal-face-handmade-short-square-nails, friendlyName=365nails: "Kawaii Pet Pals" – 3D Animal Face Handmade Short Square Nails</x:v>
      </x:c>
      <x:c r="D4691" s="18" t="str">
        <x:v>Size: XS / S / M / L</x:v>
      </x:c>
      <x:c r="E4691" s="25" t="str">
        <x:v>$1.99</x:v>
      </x:c>
      <x:c r="F4691" s="19" t="str">
        <x:v>3</x:v>
      </x:c>
    </x:row>
    <x:row r="4692" ht="93" customHeight="1">
      <x:c r="A4692" s="19" t="n">
        <x:v>4689</x:v>
      </x:c>
      <x:c r="B4692" s="22" t="e">
        <x:f>HYPERLINK("https://cdn.shopify.com/s/files/1/0918/6066/4603/files/07cfb2419e6997c9d204be0bd5473c05.jpg?v=1776323340","Open")</x:f>
        <x:v>HYPERLINK is not implemented. linkLocation=https://cdn.shopify.com/s/files/1/0918/6066/4603/files/07cfb2419e6997c9d204be0bd5473c05.jpg?v=1776323340, friendlyName=Open</x:v>
      </x:c>
      <x:c r="C4692" s="24" t="e">
        <x:f>HYPERLINK("https://365nails.com/products/365nails-starry-whispers-3d-pastel-bear-short-square-nails","365nails: ""Starry Whispers"" – 3D Pastel Bear Short Square Nails")</x:f>
        <x:v>HYPERLINK is not implemented. linkLocation=https://365nails.com/products/365nails-starry-whispers-3d-pastel-bear-short-square-nails, friendlyName=365nails: "Starry Whispers" – 3D Pastel Bear Short Square Nails</x:v>
      </x:c>
      <x:c r="D4692" s="18" t="str">
        <x:v>Size: XS / S / M / L</x:v>
      </x:c>
      <x:c r="E4692" s="25" t="str">
        <x:v>$3.99</x:v>
      </x:c>
      <x:c r="F4692" s="19" t="str">
        <x:v>5</x:v>
      </x:c>
    </x:row>
    <x:row r="4693" ht="93" customHeight="1">
      <x:c r="A4693" s="19" t="n">
        <x:v>4690</x:v>
      </x:c>
      <x:c r="B4693" s="22" t="e">
        <x:f>HYPERLINK("https://cdn.shopify.com/s/files/1/0918/6066/4603/files/O1CN017x2jcp1rlpJi3L6Sb__2215158925672-0-cib_080bd819-2537-4e70-8d15-0fd6cd64e398.jpg?v=1772513774","Open")</x:f>
        <x:v>HYPERLINK is not implemented. linkLocation=https://cdn.shopify.com/s/files/1/0918/6066/4603/files/O1CN017x2jcp1rlpJi3L6Sb__2215158925672-0-cib_080bd819-2537-4e70-8d15-0fd6cd64e398.jpg?v=1772513774, friendlyName=Open</x:v>
      </x:c>
      <x:c r="C4693" s="24" t="e">
        <x:f>HYPERLINK("https://365nails.com/products/365nails-avant-garde-monochrome-eclipse-long-coffin-3d-sculpture-silver-line-art-press-on-nails-24pcs","365nails: ""Cyber Dark Star"" – Long Coffin Handmade Press-On Nails")</x:f>
        <x:v>HYPERLINK is not implemented. linkLocation=https://365nails.com/products/365nails-avant-garde-monochrome-eclipse-long-coffin-3d-sculpture-silver-line-art-press-on-nails-24pcs, friendlyName=365nails: "Cyber Dark Star" – Long Coffin Handmade Press-On Nails</x:v>
      </x:c>
      <x:c r="D4693" s="18" t="str">
        <x:v>Color: Middle t; Color classification: X s / S / M / L</x:v>
      </x:c>
      <x:c r="E4693" s="25" t="str">
        <x:v>$4.99</x:v>
      </x:c>
      <x:c r="F4693" s="19" t="str">
        <x:v>3</x:v>
      </x:c>
    </x:row>
    <x:row r="4694" ht="93" customHeight="1">
      <x:c r="A4694" s="19" t="n">
        <x:v>4691</x:v>
      </x:c>
      <x:c r="B4694" s="22" t="e">
        <x:f>HYPERLINK("https://cdn.shopify.com/s/files/1/0918/6066/4603/files/7c66b7f3660fd87c6640da9e865feb79.jpg?v=1776417102","Open")</x:f>
        <x:v>HYPERLINK is not implemented. linkLocation=https://cdn.shopify.com/s/files/1/0918/6066/4603/files/7c66b7f3660fd87c6640da9e865feb79.jpg?v=1776417102, friendlyName=Open</x:v>
      </x:c>
      <x:c r="C4694" s="24" t="e">
        <x:f>HYPERLINK("https://365nails.com/products/365nails-peach-blossom-dew-3d-floral-handmade-medium-almond-nails","365nails: ""Peach Blossom Dew"" – 3D Floral Handmade Medium Almond Nails")</x:f>
        <x:v>HYPERLINK is not implemented. linkLocation=https://365nails.com/products/365nails-peach-blossom-dew-3d-floral-handmade-medium-almond-nails, friendlyName=365nails: "Peach Blossom Dew" – 3D Floral Handmade Medium Almond Nails</x:v>
      </x:c>
      <x:c r="D4694" s="18" t="str">
        <x:v>Size: XS / S / M / L</x:v>
      </x:c>
      <x:c r="E4694" s="25" t="str">
        <x:v>$3.99</x:v>
      </x:c>
      <x:c r="F4694" s="19" t="str">
        <x:v>5</x:v>
      </x:c>
    </x:row>
    <x:row r="4695" ht="93" customHeight="1">
      <x:c r="A4695" s="19" t="n">
        <x:v>4692</x:v>
      </x:c>
      <x:c r="B4695" s="22" t="e">
        <x:f>HYPERLINK("https://cdn.shopify.com/s/files/1/0918/6066/4603/files/O1CN01jY8gpm1CPwJOtUKe2__2213196780074-0-cib_39e6d566-82b4-4182-9ffc-7db9d69eb9b4.jpg?v=1774605249","Open")</x:f>
        <x:v>HYPERLINK is not implemented. linkLocation=https://cdn.shopify.com/s/files/1/0918/6066/4603/files/O1CN01jY8gpm1CPwJOtUKe2__2213196780074-0-cib_39e6d566-82b4-4182-9ffc-7db9d69eb9b4.jpg?v=1774605249, friendlyName=Open</x:v>
      </x:c>
      <x:c r="C4695" s="24" t="e">
        <x:f>HYPERLINK("https://365nails.com/products/365nails-pink-zebra-fantasy-3d-charm-striped-stiletto-nails","365nails: ""Pink Zebra Fantasy"" – 3D Charm &amp; Striped Stiletto Nails")</x:f>
        <x:v>HYPERLINK is not implemented. linkLocation=https://365nails.com/products/365nails-pink-zebra-fantasy-3d-charm-striped-stiletto-nails, friendlyName=365nails: "Pink Zebra Fantasy" – 3D Charm &amp; Striped Stiletto Nails</x:v>
      </x:c>
      <x:c r="D4695" s="18" t="str">
        <x:v>Color: Extra small size xs / Small s / Medium m / Large l; Specification type: 95-extra long ladder</x:v>
      </x:c>
      <x:c r="E4695" s="25" t="str">
        <x:v>$3.99</x:v>
      </x:c>
      <x:c r="F4695" s="19" t="str">
        <x:v>1</x:v>
      </x:c>
    </x:row>
    <x:row r="4696" ht="93" customHeight="1">
      <x:c r="A4696" s="19" t="n">
        <x:v>4693</x:v>
      </x:c>
      <x:c r="B4696" s="22" t="e">
        <x:f>HYPERLINK("https://cdn.shopify.com/s/files/1/0918/6066/4603/files/2865a5779b1f438390899c294f641373.jpg?v=1776413725","Open")</x:f>
        <x:v>HYPERLINK is not implemented. linkLocation=https://cdn.shopify.com/s/files/1/0918/6066/4603/files/2865a5779b1f438390899c294f641373.jpg?v=1776413725, friendlyName=Open</x:v>
      </x:c>
      <x:c r="C4696" s="24" t="e">
        <x:f>HYPERLINK("https://365nails.com/products/365nails-crimson-noir-3d-dark-art-handmade-coffin-nails","365nails: ""Crimson Noir"" – 3D Dark Art Handmade Coffin Nails-5.5cm")</x:f>
        <x:v>HYPERLINK is not implemented. linkLocation=https://365nails.com/products/365nails-crimson-noir-3d-dark-art-handmade-coffin-nails, friendlyName=365nails: "Crimson Noir" – 3D Dark Art Handmade Coffin Nails-5.5cm</x:v>
      </x:c>
      <x:c r="D4696" s="18" t="str">
        <x:v>Size: XS / S / M / L</x:v>
      </x:c>
      <x:c r="E4696" s="25" t="str">
        <x:v>$7.99</x:v>
      </x:c>
      <x:c r="F4696" s="19" t="str">
        <x:v>10</x:v>
      </x:c>
    </x:row>
    <x:row r="4697" ht="93" customHeight="1">
      <x:c r="A4697" s="19" t="n">
        <x:v>4694</x:v>
      </x:c>
      <x:c r="B4697" s="22" t="e">
        <x:f>HYPERLINK("https://cdn.shopify.com/s/files/1/0918/6066/4603/files/1db6f3520944ed8675c5522659572639.jpg?v=1776150006","Open")</x:f>
        <x:v>HYPERLINK is not implemented. linkLocation=https://cdn.shopify.com/s/files/1/0918/6066/4603/files/1db6f3520944ed8675c5522659572639.jpg?v=1776150006, friendlyName=Open</x:v>
      </x:c>
      <x:c r="C4697" s="24" t="e">
        <x:f>HYPERLINK("https://365nails.com/products/365nails-hello-kittys-cozy-cabin-3d-character-plaid-handmade-short-square-nails","365nails: ""Hello Kitty's Cozy Cabin"" – 3D Character &amp; Plaid Handmade Short Square Nails")</x:f>
        <x:v>HYPERLINK is not implemented. linkLocation=https://365nails.com/products/365nails-hello-kittys-cozy-cabin-3d-character-plaid-handmade-short-square-nails, friendlyName=365nails: "Hello Kitty's Cozy Cabin" – 3D Character &amp; Plaid Handmade Short Square Nails</x:v>
      </x:c>
      <x:c r="D4697" s="18" t="str">
        <x:v>Size: XS / S / M / L</x:v>
      </x:c>
      <x:c r="E4697" s="25" t="str">
        <x:v>$1.99</x:v>
      </x:c>
      <x:c r="F4697" s="19" t="str">
        <x:v>3</x:v>
      </x:c>
    </x:row>
    <x:row r="4698" ht="93" customHeight="1">
      <x:c r="A4698" s="19" t="n">
        <x:v>4695</x:v>
      </x:c>
      <x:c r="B4698" s="22" t="e">
        <x:f>HYPERLINK("https://cdn.shopify.com/s/files/1/0918/6066/4603/files/43ad37967ca2550dc90d27605140336a.jpg?v=1775912411","Open")</x:f>
        <x:v>HYPERLINK is not implemented. linkLocation=https://cdn.shopify.com/s/files/1/0918/6066/4603/files/43ad37967ca2550dc90d27605140336a.jpg?v=1775912411, friendlyName=Open</x:v>
      </x:c>
      <x:c r="C4698" s="24" t="e">
        <x:f>HYPERLINK("https://365nails.com/products/365nails-emerald-whimsy-3d-floral-handmade-stiletto-nails","365nails: ""Emerald Whimsy"" – 3D Floral Handmade Stiletto Nails")</x:f>
        <x:v>HYPERLINK is not implemented. linkLocation=https://365nails.com/products/365nails-emerald-whimsy-3d-floral-handmade-stiletto-nails, friendlyName=365nails: "Emerald Whimsy" – 3D Floral Handmade Stiletto Nails</x:v>
      </x:c>
      <x:c r="D4698" s="18" t="str">
        <x:v>Size: XS / S / M / L</x:v>
      </x:c>
      <x:c r="E4698" s="25" t="str">
        <x:v>$3.99</x:v>
      </x:c>
      <x:c r="F4698" s="19" t="str">
        <x:v>5</x:v>
      </x:c>
    </x:row>
    <x:row r="4699" ht="93" customHeight="1">
      <x:c r="A4699" s="19" t="n">
        <x:v>4696</x:v>
      </x:c>
      <x:c r="B4699" s="22" t="e">
        <x:f>HYPERLINK("https://cdn.shopify.com/s/files/1/0918/6066/4603/files/07fed5b5ad9cba47d2654232ac2489d2.jpg?v=1776154443","Open")</x:f>
        <x:v>HYPERLINK is not implemented. linkLocation=https://cdn.shopify.com/s/files/1/0918/6066/4603/files/07fed5b5ad9cba47d2654232ac2489d2.jpg?v=1776154443, friendlyName=Open</x:v>
      </x:c>
      <x:c r="C4699" s="24" t="e">
        <x:f>HYPERLINK("https://365nails.com/products/365nails-festive-joy-3d-gift-candy-handmade-short-square-nails","365nails: ""Festive Joy"" – 3D Gift &amp; Candy Handmade Short Square Nails")</x:f>
        <x:v>HYPERLINK is not implemented. linkLocation=https://365nails.com/products/365nails-festive-joy-3d-gift-candy-handmade-short-square-nails, friendlyName=365nails: "Festive Joy" – 3D Gift &amp; Candy Handmade Short Square Nails</x:v>
      </x:c>
      <x:c r="D4699" s="18" t="str">
        <x:v>Size: XS / S / M / L</x:v>
      </x:c>
      <x:c r="E4699" s="25" t="str">
        <x:v>$1.99</x:v>
      </x:c>
      <x:c r="F4699" s="19" t="str">
        <x:v>3</x:v>
      </x:c>
    </x:row>
    <x:row r="4700" ht="93" customHeight="1">
      <x:c r="A4700" s="19" t="n">
        <x:v>4697</x:v>
      </x:c>
      <x:c r="B4700" s="22" t="e">
        <x:f>HYPERLINK("https://cdn.shopify.com/s/files/1/0918/6066/4603/files/f35724f088f13a1ea3e5d1c714f72c12_d0f2044c-9056-45c7-b796-b5de66e3295f.jpg?v=1765352397","Open")</x:f>
        <x:v>HYPERLINK is not implemented. linkLocation=https://cdn.shopify.com/s/files/1/0918/6066/4603/files/f35724f088f13a1ea3e5d1c714f72c12_d0f2044c-9056-45c7-b796-b5de66e3295f.jpg?v=1765352397, friendlyName=Open</x:v>
      </x:c>
      <x:c r="C4700" s="24" t="e">
        <x:f>HYPERLINK("https://365nails.com/products/twilight-dune-press-on-nails-cool-brown-shimmer-stiletto-starry-glitter-sparkling-series","Twilight Dune Press On Nails Cool Brown Shimmer Stiletto| Starry Glitter · Sparkling Series")</x:f>
        <x:v>HYPERLINK is not implemented. linkLocation=https://365nails.com/products/twilight-dune-press-on-nails-cool-brown-shimmer-stiletto-starry-glitter-sparkling-series, friendlyName=Twilight Dune Press On Nails Cool Brown Shimmer Stiletto| Starry Glitter · Sparkling Series</x:v>
      </x:c>
      <x:c r="D4700" s="18" t="str">
        <x:v>shape: almond / square; Size: XS / S / M / L; Length: 45mm / 30mm</x:v>
      </x:c>
      <x:c r="E4700" s="25" t="str">
        <x:v>$9.00</x:v>
      </x:c>
      <x:c r="F4700" s="19" t="str">
        <x:v>1</x:v>
      </x:c>
    </x:row>
    <x:row r="4701" ht="93" customHeight="1">
      <x:c r="A4701" s="19" t="n">
        <x:v>4698</x:v>
      </x:c>
      <x:c r="B4701" s="22" t="e">
        <x:f>HYPERLINK("https://cdn.shopify.com/s/files/1/0918/6066/4603/files/1b8fcc0df09d45b655147204685c5d2a.jpg?v=1775912735","Open")</x:f>
        <x:v>HYPERLINK is not implemented. linkLocation=https://cdn.shopify.com/s/files/1/0918/6066/4603/files/1b8fcc0df09d45b655147204685c5d2a.jpg?v=1775912735, friendlyName=Open</x:v>
      </x:c>
      <x:c r="C4701" s="24" t="e">
        <x:f>HYPERLINK("https://365nails.com/products/365nails-jungle-rhythm-3d-floral-handmade-almond-nails","365nails: ""Jungle Rhythm"" – 3D Floral Handmade Almond Nails")</x:f>
        <x:v>HYPERLINK is not implemented. linkLocation=https://365nails.com/products/365nails-jungle-rhythm-3d-floral-handmade-almond-nails, friendlyName=365nails: "Jungle Rhythm" – 3D Floral Handmade Almond Nails</x:v>
      </x:c>
      <x:c r="D4701" s="18" t="str">
        <x:v>Size: XS / S / M / L</x:v>
      </x:c>
      <x:c r="E4701" s="25" t="str">
        <x:v>$3.99</x:v>
      </x:c>
      <x:c r="F4701" s="19" t="str">
        <x:v>5</x:v>
      </x:c>
    </x:row>
    <x:row r="4702" ht="93" customHeight="1">
      <x:c r="A4702" s="19" t="n">
        <x:v>4699</x:v>
      </x:c>
      <x:c r="B4702" s="22" t="e">
        <x:f>HYPERLINK("https://cdn.shopify.com/s/files/1/0918/6066/4603/files/21e9cfcabd1f309fd6057f8ab8fb3d65.jpg?v=1778245019","Open")</x:f>
        <x:v>HYPERLINK is not implemented. linkLocation=https://cdn.shopify.com/s/files/1/0918/6066/4603/files/21e9cfcabd1f309fd6057f8ab8fb3d65.jpg?v=1778245019, friendlyName=Open</x:v>
      </x:c>
      <x:c r="C4702" s="24" t="e">
        <x:f>HYPERLINK("https://365nails.com/products/365nails-starlight-pink-rhinestone-chain-handmade-coffin-nails","365nails: ""Starlight Pink"" – Rhinestone Chain Handmade Coffin Nails")</x:f>
        <x:v>HYPERLINK is not implemented. linkLocation=https://365nails.com/products/365nails-starlight-pink-rhinestone-chain-handmade-coffin-nails, friendlyName=365nails: "Starlight Pink" – Rhinestone Chain Handmade Coffin Nails</x:v>
      </x:c>
      <x:c r="D4702" s="18" t="str">
        <x:v>Size: XS / S / M / L</x:v>
      </x:c>
      <x:c r="E4702" s="25" t="str">
        <x:v>$3.99</x:v>
      </x:c>
      <x:c r="F4702" s="19" t="str">
        <x:v>5</x:v>
      </x:c>
    </x:row>
    <x:row r="4703" ht="93" customHeight="1">
      <x:c r="A4703" s="19" t="n">
        <x:v>4700</x:v>
      </x:c>
      <x:c r="B4703" s="22" t="e">
        <x:f>HYPERLINK("https://cdn.shopify.com/s/files/1/0918/6066/4603/files/3f68ffd1e8073815b58dbefd64748d7a.jpg?v=1776416317","Open")</x:f>
        <x:v>HYPERLINK is not implemented. linkLocation=https://cdn.shopify.com/s/files/1/0918/6066/4603/files/3f68ffd1e8073815b58dbefd64748d7a.jpg?v=1776416317, friendlyName=Open</x:v>
      </x:c>
      <x:c r="C4703" s="24" t="e">
        <x:f>HYPERLINK("https://365nails.com/products/365nails-amber-lace-3d-floral-handmade-medium-almond-nails","365nails: ""Amber Lace"" – 3D Floral Handmade Medium Almond Nails")</x:f>
        <x:v>HYPERLINK is not implemented. linkLocation=https://365nails.com/products/365nails-amber-lace-3d-floral-handmade-medium-almond-nails, friendlyName=365nails: "Amber Lace" – 3D Floral Handmade Medium Almond Nails</x:v>
      </x:c>
      <x:c r="D4703" s="18" t="str">
        <x:v>Size: XS / S / M / L</x:v>
      </x:c>
      <x:c r="E4703" s="25" t="str">
        <x:v>$2.99</x:v>
      </x:c>
      <x:c r="F4703" s="19" t="str">
        <x:v>5</x:v>
      </x:c>
    </x:row>
    <x:row r="4704" ht="93" customHeight="1">
      <x:c r="A4704" s="19" t="n">
        <x:v>4701</x:v>
      </x:c>
      <x:c r="B4704" s="22" t="e">
        <x:f>HYPERLINK("https://cdn.shopify.com/s/files/1/0918/6066/4603/files/O1CN01k0QPIw1rlpJvMoVmF__2215158925672-0-cib_e852d691-14b4-450c-b250-61dfaba6ba52.jpg?v=1772513806","Open")</x:f>
        <x:v>HYPERLINK is not implemented. linkLocation=https://cdn.shopify.com/s/files/1/0918/6066/4603/files/O1CN01k0QPIw1rlpJvMoVmF__2215158925672-0-cib_e852d691-14b4-450c-b250-61dfaba6ba52.jpg?v=1772513806, friendlyName=Open</x:v>
      </x:c>
      <x:c r="C4704" s="24" t="e">
        <x:f>HYPERLINK("https://365nails.com/products/365nails-avant-garde-pastel-galaxy-long-coffin-iridescent-gemstone-star-press-on-nails-24pcs","365nails: ""Star Moon Fairy Tale"" – Long Coffin Handmade Press-On Nails")</x:f>
        <x:v>HYPERLINK is not implemented. linkLocation=https://365nails.com/products/365nails-avant-garde-pastel-galaxy-long-coffin-iridescent-gemstone-star-press-on-nails-24pcs, friendlyName=365nails: "Star Moon Fairy Tale" – Long Coffin Handmade Press-On Nails</x:v>
      </x:c>
      <x:c r="D4704" s="18" t="str">
        <x:v>Color: Middle t; Color classification: X s / S / M / L</x:v>
      </x:c>
      <x:c r="E4704" s="25" t="str">
        <x:v>$3.49</x:v>
      </x:c>
      <x:c r="F4704" s="19" t="str">
        <x:v>3</x:v>
      </x:c>
    </x:row>
    <x:row r="4705" ht="93" customHeight="1">
      <x:c r="A4705" s="19" t="n">
        <x:v>4702</x:v>
      </x:c>
      <x:c r="B4705" s="22" t="e">
        <x:f>HYPERLINK("https://cdn.shopify.com/s/files/1/0918/6066/4603/files/O1CN01NsZ3zR1v7IzaWwTSz__2218399446125-0-cib.jpg?v=1763632360","Open")</x:f>
        <x:v>HYPERLINK is not implemented. linkLocation=https://cdn.shopify.com/s/files/1/0918/6066/4603/files/O1CN01NsZ3zR1v7IzaWwTSz__2218399446125-0-cib.jpg?v=1763632360, friendlyName=Open</x:v>
      </x:c>
      <x:c r="C4705" s="24" t="e">
        <x:f>HYPERLINK("https://365nails.com/products/winter-christmas-snowflake-nail-art-sticker-5d-embossed-three-dimensional-white-hollow-snowflake-nail-sticker-ornament-ca","Winter Christmas Snowflake Nail Art Sticker 5D Embossed Three-dimensional White Hollow Snowflake Nail Sticker Ornament CA")</x:f>
        <x:v>HYPERLINK is not implemented. linkLocation=https://365nails.com/products/winter-christmas-snowflake-nail-art-sticker-5d-embossed-three-dimensional-white-hollow-snowflake-nail-sticker-ornament-ca, friendlyName=Winter Christmas Snowflake Nail Art Sticker 5D Embossed Three-dimensional White Hollow Snowflake Nail Sticker Ornament CA</x:v>
      </x:c>
      <x:c r="D4705" s="18" t="str">
        <x:v>Specification type: CA-6271 / CA-6272 / CA-6273 / CA-6274 / CA-6275 / CA-6276 / CA-6277</x:v>
      </x:c>
      <x:c r="E4705" s="25" t="str">
        <x:v>$0.70</x:v>
      </x:c>
      <x:c r="F4705" s="19" t="str">
        <x:v>1</x:v>
      </x:c>
    </x:row>
    <x:row r="4706" ht="93" customHeight="1">
      <x:c r="A4706" s="19" t="n">
        <x:v>4703</x:v>
      </x:c>
      <x:c r="B4706" s="22" t="e">
        <x:f>HYPERLINK("https://cdn.shopify.com/s/files/1/0918/6066/4603/files/f9fcb6c95f8fcd7998406cdff26e78e5.jpg?v=1776153471","Open")</x:f>
        <x:v>HYPERLINK is not implemented. linkLocation=https://cdn.shopify.com/s/files/1/0918/6066/4603/files/f9fcb6c95f8fcd7998406cdff26e78e5.jpg?v=1776153471, friendlyName=Open</x:v>
      </x:c>
      <x:c r="C4706" s="24" t="e">
        <x:f>HYPERLINK("https://365nails.com/products/365nails-sweet-donut-delight-3d-cherry-donut-handmade-short-square-nails","365nails: ""Sweet Donut Delight"" – 3D Cherry &amp; Donut Handmade Short Square Nails")</x:f>
        <x:v>HYPERLINK is not implemented. linkLocation=https://365nails.com/products/365nails-sweet-donut-delight-3d-cherry-donut-handmade-short-square-nails, friendlyName=365nails: "Sweet Donut Delight" – 3D Cherry &amp; Donut Handmade Short Square Nails</x:v>
      </x:c>
      <x:c r="D4706" s="18" t="str">
        <x:v>Size: XS / S / M / L</x:v>
      </x:c>
      <x:c r="E4706" s="25" t="str">
        <x:v>$1.99</x:v>
      </x:c>
      <x:c r="F4706" s="19" t="str">
        <x:v>3</x:v>
      </x:c>
    </x:row>
    <x:row r="4707" ht="93" customHeight="1">
      <x:c r="A4707" s="19" t="n">
        <x:v>4704</x:v>
      </x:c>
      <x:c r="B4707" s="22" t="e">
        <x:f>HYPERLINK("https://cdn.shopify.com/s/files/1/0918/6066/4603/files/O1CN01LY0ybW1v7J0IjThYt__2218399446125-0-cib.jpg?v=1763632237","Open")</x:f>
        <x:v>HYPERLINK is not implemented. linkLocation=https://cdn.shopify.com/s/files/1/0918/6066/4603/files/O1CN01LY0ybW1v7J0IjThYt__2218399446125-0-cib.jpg?v=1763632237, friendlyName=Open</x:v>
      </x:c>
      <x:c r="C4707" s="24" t="e">
        <x:f>HYPERLINK("https://365nails.com/products/crystal-diamond-christmas-tree-nail-art-sticker-5d-embossed-three-dimensional-gold-bead-christmas-tree-diy-nail-sticker-ornament-tl","Crystal Diamond Christmas Tree Nail Art Sticker 5D Embossed Three-dimensional Gold Bead Christmas Tree DIY Nail Sticker Ornament TL")</x:f>
        <x:v>HYPERLINK is not implemented. linkLocation=https://365nails.com/products/crystal-diamond-christmas-tree-nail-art-sticker-5d-embossed-three-dimensional-gold-bead-christmas-tree-diy-nail-sticker-ornament-tl, friendlyName=Crystal Diamond Christmas Tree Nail Art Sticker 5D Embossed Three-dimensional Gold Bead Christmas Tree DIY Nail Sticker Ornament TL</x:v>
      </x:c>
      <x:c r="D4707" s="18" t="str">
        <x:v>Specification type: TL-048 crystal diamond / TL-049 crystal diamond / TL-050 crystal diamond / TL-053 Gold Beads</x:v>
      </x:c>
      <x:c r="E4707" s="25" t="str">
        <x:v>$0.70</x:v>
      </x:c>
      <x:c r="F4707" s="19" t="str">
        <x:v>1</x:v>
      </x:c>
    </x:row>
    <x:row r="4708" ht="93" customHeight="1">
      <x:c r="A4708" s="19" t="n">
        <x:v>4705</x:v>
      </x:c>
      <x:c r="B4708" s="22" t="e">
        <x:f>HYPERLINK("https://cdn.shopify.com/s/files/1/0918/6066/4603/files/474da6ea770dc2a3681cd3e7562725d8.png?v=1755268861","Open")</x:f>
        <x:v>HYPERLINK is not implemented. linkLocation=https://cdn.shopify.com/s/files/1/0918/6066/4603/files/474da6ea770dc2a3681cd3e7562725d8.png?v=1755268861, friendlyName=Open</x:v>
      </x:c>
      <x:c r="C4708" s="24" t="e">
        <x:f>HYPERLINK("https://365nails.com/products/nail-tips-new-short-round-nail-piece-bagged-short-full-sticker-transparent-fake-nail-manicure-hand-worn-nail-short-square-round-nail-piece","Clear Round Press On Nail Tip Set (MOQ=3)")</x:f>
        <x:v>HYPERLINK is not implemented. linkLocation=https://365nails.com/products/nail-tips-new-short-round-nail-piece-bagged-short-full-sticker-transparent-fake-nail-manicure-hand-worn-nail-short-square-round-nail-piece, friendlyName=Clear Round Press On Nail Tip Set (MOQ=3)</x:v>
      </x:c>
      <x:c r="D4708" s="18" t="str">
        <x:v>Color: Transparent color - 600 pieces in a bag / Natural color - 600 pieces in a bag / Porcelain White - 600 Piece Bag; Quantity: 3pcs</x:v>
      </x:c>
      <x:c r="E4708" s="25" t="str">
        <x:v>$3.81</x:v>
      </x:c>
      <x:c r="F4708" s="19" t="str">
        <x:v>1</x:v>
      </x:c>
    </x:row>
    <x:row r="4709" ht="93" customHeight="1">
      <x:c r="A4709" s="19" t="n">
        <x:v>4706</x:v>
      </x:c>
      <x:c r="B4709" s="22" t="e">
        <x:f>HYPERLINK("https://cdn.shopify.com/s/files/1/0918/6066/4603/files/fbd20814c746b7e8d5a8d94fefb430f4.jpg?v=1776417553","Open")</x:f>
        <x:v>HYPERLINK is not implemented. linkLocation=https://cdn.shopify.com/s/files/1/0918/6066/4603/files/fbd20814c746b7e8d5a8d94fefb430f4.jpg?v=1776417553, friendlyName=Open</x:v>
      </x:c>
      <x:c r="C4709" s="24" t="e">
        <x:f>HYPERLINK("https://365nails.com/products/365nails-cherry-blossom-dream-3d-floral-handmade-medium-almond-nails","365nails: ""Cherry Blossom Dream"" – 3D Floral Handmade Medium Almond Nails")</x:f>
        <x:v>HYPERLINK is not implemented. linkLocation=https://365nails.com/products/365nails-cherry-blossom-dream-3d-floral-handmade-medium-almond-nails, friendlyName=365nails: "Cherry Blossom Dream" – 3D Floral Handmade Medium Almond Nails</x:v>
      </x:c>
      <x:c r="D4709" s="18" t="str">
        <x:v>Size: XS / S / M / L</x:v>
      </x:c>
      <x:c r="E4709" s="25" t="str">
        <x:v>$3.99</x:v>
      </x:c>
      <x:c r="F4709" s="19" t="str">
        <x:v>5</x:v>
      </x:c>
    </x:row>
    <x:row r="4710" ht="93" customHeight="1">
      <x:c r="A4710" s="19" t="n">
        <x:v>4707</x:v>
      </x:c>
      <x:c r="B4710" s="22" t="e">
        <x:f>HYPERLINK("https://cdn.shopify.com/s/files/1/0918/6066/4603/files/fcbe8df1259156ac4ee08a00d851d180.jpg?v=1776413813","Open")</x:f>
        <x:v>HYPERLINK is not implemented. linkLocation=https://cdn.shopify.com/s/files/1/0918/6066/4603/files/fcbe8df1259156ac4ee08a00d851d180.jpg?v=1776413813, friendlyName=Open</x:v>
      </x:c>
      <x:c r="C4710" s="24" t="e">
        <x:f>HYPERLINK("https://365nails.com/products/365nails-gothic-muse-3d-dark-art-handmade-coffin-nails","365nails: ""Gothic Muse"" – 3D Dark Art Handmade Coffin Nails-5.5cm")</x:f>
        <x:v>HYPERLINK is not implemented. linkLocation=https://365nails.com/products/365nails-gothic-muse-3d-dark-art-handmade-coffin-nails, friendlyName=365nails: "Gothic Muse" – 3D Dark Art Handmade Coffin Nails-5.5cm</x:v>
      </x:c>
      <x:c r="D4710" s="18" t="str">
        <x:v>Size: XS / S / M / L</x:v>
      </x:c>
      <x:c r="E4710" s="25" t="str">
        <x:v>$7.99</x:v>
      </x:c>
      <x:c r="F4710" s="19" t="str">
        <x:v>10</x:v>
      </x:c>
    </x:row>
    <x:row r="4711" ht="93" customHeight="1">
      <x:c r="A4711" s="19" t="n">
        <x:v>4708</x:v>
      </x:c>
      <x:c r="B4711" s="22" t="e">
        <x:f>HYPERLINK("https://cdn.shopify.com/s/files/1/0918/6066/4603/files/137726f6b985b22692826a8cb45cea01.jpg?v=1776159025","Open")</x:f>
        <x:v>HYPERLINK is not implemented. linkLocation=https://cdn.shopify.com/s/files/1/0918/6066/4603/files/137726f6b985b22692826a8cb45cea01.jpg?v=1776159025, friendlyName=Open</x:v>
      </x:c>
      <x:c r="C4711" s="24" t="e">
        <x:f>HYPERLINK("https://365nails.com/products/365nails-sacred-heart-3d-gothic-y2k-handmade-short-square-nails","365nails: ""Sacred Heart"" – 3D Gothic Y2K Handmade Short Square Nails")</x:f>
        <x:v>HYPERLINK is not implemented. linkLocation=https://365nails.com/products/365nails-sacred-heart-3d-gothic-y2k-handmade-short-square-nails, friendlyName=365nails: "Sacred Heart" – 3D Gothic Y2K Handmade Short Square Nails</x:v>
      </x:c>
      <x:c r="D4711" s="18" t="str">
        <x:v>Size: XS / S / M / L</x:v>
      </x:c>
      <x:c r="E4711" s="25" t="str">
        <x:v>$1.99</x:v>
      </x:c>
      <x:c r="F4711" s="19" t="str">
        <x:v>3</x:v>
      </x:c>
    </x:row>
    <x:row r="4712" ht="93" customHeight="1">
      <x:c r="A4712" s="19" t="n">
        <x:v>4709</x:v>
      </x:c>
      <x:c r="B4712" s="22" t="e">
        <x:f>HYPERLINK("https://cdn.shopify.com/s/files/1/0918/6066/4603/files/9a47b7bf26e4eba2703212f9b85099c3.jpg?v=1776153772","Open")</x:f>
        <x:v>HYPERLINK is not implemented. linkLocation=https://cdn.shopify.com/s/files/1/0918/6066/4603/files/9a47b7bf26e4eba2703212f9b85099c3.jpg?v=1776153772, friendlyName=Open</x:v>
      </x:c>
      <x:c r="C4712" s="24" t="e">
        <x:f>HYPERLINK("https://365nails.com/products/365nails-sweet-pink-piggy-3d-animal-candy-handmade-short-square-nails","365nails: ""Sweet Pink Piggy"" – 3D Animal &amp; Candy Handmade Short Square Nails")</x:f>
        <x:v>HYPERLINK is not implemented. linkLocation=https://365nails.com/products/365nails-sweet-pink-piggy-3d-animal-candy-handmade-short-square-nails, friendlyName=365nails: "Sweet Pink Piggy" – 3D Animal &amp; Candy Handmade Short Square Nails</x:v>
      </x:c>
      <x:c r="D4712" s="18" t="str">
        <x:v>Size: XS / S / M / L</x:v>
      </x:c>
      <x:c r="E4712" s="25" t="str">
        <x:v>$1.99</x:v>
      </x:c>
      <x:c r="F4712" s="19" t="str">
        <x:v>3</x:v>
      </x:c>
    </x:row>
    <x:row r="4713" ht="93" customHeight="1">
      <x:c r="A4713" s="19" t="n">
        <x:v>4710</x:v>
      </x:c>
      <x:c r="B4713" s="22" t="e">
        <x:f>HYPERLINK("https://cdn.shopify.com/s/files/1/0918/6066/4603/files/7b72e8ed6117aba20e66b6373f1a5528.jpg?v=1775911603","Open")</x:f>
        <x:v>HYPERLINK is not implemented. linkLocation=https://cdn.shopify.com/s/files/1/0918/6066/4603/files/7b72e8ed6117aba20e66b6373f1a5528.jpg?v=1775911603, friendlyName=Open</x:v>
      </x:c>
      <x:c r="C4713" s="24" t="e">
        <x:f>HYPERLINK("https://365nails.com/products/365nails-aegean-dream-3d-floral-handmade-coffin-nails","365nails: ""Aegean Dream"" – 3D Floral Handmade Coffin Nails")</x:f>
        <x:v>HYPERLINK is not implemented. linkLocation=https://365nails.com/products/365nails-aegean-dream-3d-floral-handmade-coffin-nails, friendlyName=365nails: "Aegean Dream" – 3D Floral Handmade Coffin Nails</x:v>
      </x:c>
      <x:c r="D4713" s="18" t="str">
        <x:v>Size: XS / S / M / L</x:v>
      </x:c>
      <x:c r="E4713" s="25" t="str">
        <x:v>$3.99</x:v>
      </x:c>
      <x:c r="F4713" s="19" t="str">
        <x:v>5</x:v>
      </x:c>
    </x:row>
    <x:row r="4714" ht="93" customHeight="1">
      <x:c r="A4714" s="19" t="n">
        <x:v>4711</x:v>
      </x:c>
      <x:c r="B4714" s="22" t="e">
        <x:f>HYPERLINK("https://cdn.shopify.com/s/files/1/0918/6066/4603/files/fa97636ad7ac01ef3487394ac24aa2f3.jpg?v=1765436323","Open")</x:f>
        <x:v>HYPERLINK is not implemented. linkLocation=https://cdn.shopify.com/s/files/1/0918/6066/4603/files/fa97636ad7ac01ef3487394ac24aa2f3.jpg?v=1765436323, friendlyName=Open</x:v>
      </x:c>
      <x:c r="C4714" s="24" t="e">
        <x:f>HYPERLINK("https://365nails.com/products/midnight-studded-press-on-nails-grey-silver-stiletto-with-black-studs-starry-glitter-sparkling-series","Midnight Studded Press On Nails｜Grey Silver Stiletto with Black Studs | Crystal Armor Series")</x:f>
        <x:v>HYPERLINK is not implemented. linkLocation=https://365nails.com/products/midnight-studded-press-on-nails-grey-silver-stiletto-with-black-studs-starry-glitter-sparkling-series, friendlyName=Midnight Studded Press On Nails｜Grey Silver Stiletto with Black Studs | Crystal Armor Series</x:v>
      </x:c>
      <x:c r="D4714" s="18" t="str">
        <x:v>shape: almond / square; Size: XS / S / M / L; length: 45mm / 30mm</x:v>
      </x:c>
      <x:c r="E4714" s="25" t="str">
        <x:v>$19.00</x:v>
      </x:c>
      <x:c r="F4714" s="19" t="str">
        <x:v>1</x:v>
      </x:c>
    </x:row>
    <x:row r="4715" ht="93" customHeight="1">
      <x:c r="A4715" s="19" t="n">
        <x:v>4712</x:v>
      </x:c>
      <x:c r="B4715" s="22" t="e">
        <x:f>HYPERLINK("https://cdn.shopify.com/s/files/1/0918/6066/4603/files/4d4e6ec2e701a6bfb2185dd528d02e02.png?v=1755269656","Open")</x:f>
        <x:v>HYPERLINK is not implemented. linkLocation=https://cdn.shopify.com/s/files/1/0918/6066/4603/files/4d4e6ec2e701a6bfb2185dd528d02e02.png?v=1755269656, friendlyName=Open</x:v>
      </x:c>
      <x:c r="C4715" s="24" t="e">
        <x:f>HYPERLINK("https://365nails.com/products/nail-tips-nail-mold-kit-crystal-quick-extension-paper-free-tray-288-pieces-mixed-scale-nail-tool-nail-film-kit","Nail Tips nail mold kit crystal quick extension paper-free tray 288 pieces mixed scale nail tool nail film kit (MOQ=3)")</x:f>
        <x:v>HYPERLINK is not implemented. linkLocation=https://365nails.com/products/nail-tips-nail-mold-kit-crystal-quick-extension-paper-free-tray-288-pieces-mixed-scale-nail-tool-nail-film-kit, friendlyName=Nail Tips nail mold kit crystal quick extension paper-free tray 288 pieces mixed scale nail tool nail film kit (MOQ=3)</x:v>
      </x:c>
      <x:c r="D4715" s="18" t="str">
        <x:v>Color: Nail mold set * 288 pieces; Quantity: 3pcs</x:v>
      </x:c>
      <x:c r="E4715" s="25" t="str">
        <x:v>$4.89</x:v>
      </x:c>
      <x:c r="F4715" s="19" t="str">
        <x:v>1</x:v>
      </x:c>
    </x:row>
    <x:row r="4716" ht="93" customHeight="1">
      <x:c r="A4716" s="19" t="n">
        <x:v>4713</x:v>
      </x:c>
      <x:c r="B4716" s="22" t="e">
        <x:f>HYPERLINK("https://cdn.shopify.com/s/files/1/0918/6066/4603/files/cbcd56a0b70aa7896eec8f6b5aa3558a.jpg?v=1776325316","Open")</x:f>
        <x:v>HYPERLINK is not implemented. linkLocation=https://cdn.shopify.com/s/files/1/0918/6066/4603/files/cbcd56a0b70aa7896eec8f6b5aa3558a.jpg?v=1776325316, friendlyName=Open</x:v>
      </x:c>
      <x:c r="C4716" s="24" t="e">
        <x:f>HYPERLINK("https://365nails.com/products/365nails-whimsical-garden-party-3d-character-short-square-nails","365nails: ""Whimsical Garden Party"" – 3D Character Short Square Nails")</x:f>
        <x:v>HYPERLINK is not implemented. linkLocation=https://365nails.com/products/365nails-whimsical-garden-party-3d-character-short-square-nails, friendlyName=365nails: "Whimsical Garden Party" – 3D Character Short Square Nails</x:v>
      </x:c>
      <x:c r="D4716" s="18" t="str">
        <x:v>Size: XS / S / M / L</x:v>
      </x:c>
      <x:c r="E4716" s="25" t="str">
        <x:v>$3.99</x:v>
      </x:c>
      <x:c r="F4716" s="19" t="str">
        <x:v>5</x:v>
      </x:c>
    </x:row>
    <x:row r="4717" ht="93" customHeight="1">
      <x:c r="A4717" s="19" t="n">
        <x:v>4714</x:v>
      </x:c>
      <x:c r="B4717" s="22" t="e">
        <x:f>HYPERLINK("https://cdn.shopify.com/s/files/1/0918/6066/4603/files/O1CN01ReIg1D1rlpJLAhg2R__2215158925672-0-cib_1a05e9a6-9085-4d3b-9586-338a23071c24.jpg?v=1772513743","Open")</x:f>
        <x:v>HYPERLINK is not implemented. linkLocation=https://cdn.shopify.com/s/files/1/0918/6066/4603/files/O1CN01ReIg1D1rlpJLAhg2R__2215158925672-0-cib_1a05e9a6-9085-4d3b-9586-338a23071c24.jpg?v=1772513743, friendlyName=Open</x:v>
      </x:c>
      <x:c r="C4717" s="24" t="e">
        <x:f>HYPERLINK("https://365nails.com/products/365nails-gothic-baroque-noir-long-coffin-3d-sculpture-marble-press-on-nails-24pcs","365nails: ""Gothic Angel"" – Long Coffin Handmade Press-On Nails")</x:f>
        <x:v>HYPERLINK is not implemented. linkLocation=https://365nails.com/products/365nails-gothic-baroque-noir-long-coffin-3d-sculpture-marble-press-on-nails-24pcs, friendlyName=365nails: "Gothic Angel" – Long Coffin Handmade Press-On Nails</x:v>
      </x:c>
      <x:c r="D4717" s="18" t="str">
        <x:v>Color: Middle t; Color classification: X s / S / M / L</x:v>
      </x:c>
      <x:c r="E4717" s="25" t="str">
        <x:v>$3.49</x:v>
      </x:c>
      <x:c r="F4717" s="19" t="str">
        <x:v>3</x:v>
      </x:c>
    </x:row>
    <x:row r="4718" ht="93" customHeight="1">
      <x:c r="A4718" s="19" t="n">
        <x:v>4715</x:v>
      </x:c>
      <x:c r="B4718" s="22" t="e">
        <x:f>HYPERLINK("https://cdn.shopify.com/s/files/1/0918/6066/4603/files/47b7d8447d615511b5b08f785165a8df.jpg?v=1776417487","Open")</x:f>
        <x:v>HYPERLINK is not implemented. linkLocation=https://cdn.shopify.com/s/files/1/0918/6066/4603/files/47b7d8447d615511b5b08f785165a8df.jpg?v=1776417487, friendlyName=Open</x:v>
      </x:c>
      <x:c r="C4718" s="24" t="e">
        <x:f>HYPERLINK("https://365nails.com/products/365nails-lilac-whisper-3d-floral-handmade-medium-almond-nails","365nails: ""Lilac Whisper"" – 3D Floral Handmade Medium Almond Nails")</x:f>
        <x:v>HYPERLINK is not implemented. linkLocation=https://365nails.com/products/365nails-lilac-whisper-3d-floral-handmade-medium-almond-nails, friendlyName=365nails: "Lilac Whisper" – 3D Floral Handmade Medium Almond Nails</x:v>
      </x:c>
      <x:c r="D4718" s="18" t="str">
        <x:v>Size: XS / S / M / L</x:v>
      </x:c>
      <x:c r="E4718" s="25" t="str">
        <x:v>$3.99</x:v>
      </x:c>
      <x:c r="F4718" s="19" t="str">
        <x:v>5</x:v>
      </x:c>
    </x:row>
    <x:row r="4719" ht="93" customHeight="1">
      <x:c r="A4719" s="19" t="n">
        <x:v>4716</x:v>
      </x:c>
      <x:c r="B4719" s="22" t="e">
        <x:f>HYPERLINK("https://cdn.shopify.com/s/files/1/0918/6066/4603/files/21316249d7519bd05ce6720e42f7be60.jpg?v=1776412274","Open")</x:f>
        <x:v>HYPERLINK is not implemented. linkLocation=https://cdn.shopify.com/s/files/1/0918/6066/4603/files/21316249d7519bd05ce6720e42f7be60.jpg?v=1776412274, friendlyName=Open</x:v>
      </x:c>
      <x:c r="C4719" s="24" t="e">
        <x:f>HYPERLINK("https://365nails.com/products/365nails-blue-fantasy-3d-cartoon-art-handmade-coffin-nails","365nails: ""Blue Fantasy"" – 3D Cartoon Art Handmade Coffin Nails-5.5cm")</x:f>
        <x:v>HYPERLINK is not implemented. linkLocation=https://365nails.com/products/365nails-blue-fantasy-3d-cartoon-art-handmade-coffin-nails, friendlyName=365nails: "Blue Fantasy" – 3D Cartoon Art Handmade Coffin Nails-5.5cm</x:v>
      </x:c>
      <x:c r="D4719" s="18" t="str">
        <x:v>Size: XS / S / M / L</x:v>
      </x:c>
      <x:c r="E4719" s="25" t="str">
        <x:v>$7.99</x:v>
      </x:c>
      <x:c r="F4719" s="19" t="str">
        <x:v>10</x:v>
      </x:c>
    </x:row>
    <x:row r="4720" ht="93" customHeight="1">
      <x:c r="A4720" s="19" t="n">
        <x:v>4717</x:v>
      </x:c>
      <x:c r="B4720" s="22" t="e">
        <x:f>HYPERLINK("https://cdn.shopify.com/s/files/1/0918/6066/4603/files/O1CN011iFNrF1rlpKPH2nAZ__2215158925672-0-cib_50692dca-1990-45ff-94bb-645b235da109.jpg?v=1772513827","Open")</x:f>
        <x:v>HYPERLINK is not implemented. linkLocation=https://cdn.shopify.com/s/files/1/0918/6066/4603/files/O1CN011iFNrF1rlpKPH2nAZ__2215158925672-0-cib_50692dca-1990-45ff-94bb-645b235da109.jpg?v=1772513827, friendlyName=Open</x:v>
      </x:c>
      <x:c r="C4720" s="24" t="e">
        <x:f>HYPERLINK("https://365nails.com/products/365nails-avant-garde-celestial-ore-medium-square-metallic-gem-starburst-press-on-nails-24pcs","365nails: ""Starry Geode"" – Long Coffin Handmade Press-On Nails")</x:f>
        <x:v>HYPERLINK is not implemented. linkLocation=https://365nails.com/products/365nails-avant-garde-celestial-ore-medium-square-metallic-gem-starburst-press-on-nails-24pcs, friendlyName=365nails: "Starry Geode" – Long Coffin Handmade Press-On Nails</x:v>
      </x:c>
      <x:c r="D4720" s="18" t="str">
        <x:v>Color: Middle t; Color classification: X s / S / M / L</x:v>
      </x:c>
      <x:c r="E4720" s="25" t="str">
        <x:v>$3.49</x:v>
      </x:c>
      <x:c r="F4720" s="19" t="str">
        <x:v>3</x:v>
      </x:c>
    </x:row>
    <x:row r="4721" ht="93" customHeight="1">
      <x:c r="A4721" s="19" t="n">
        <x:v>4718</x:v>
      </x:c>
      <x:c r="B4721" s="22" t="e">
        <x:f>HYPERLINK("https://cdn.shopify.com/s/files/1/0918/6066/4603/files/821ab1be40aead8dd7b6f4a071644878.jpg?v=1765438273","Open")</x:f>
        <x:v>HYPERLINK is not implemented. linkLocation=https://cdn.shopify.com/s/files/1/0918/6066/4603/files/821ab1be40aead8dd7b6f4a071644878.jpg?v=1765438273, friendlyName=Open</x:v>
      </x:c>
      <x:c r="C4721" s="24" t="e">
        <x:f>HYPERLINK("https://365nails.com/products/caramel-mocha-crystal-press-on-nails-gold-brown-long-square-starry-glitter-sparkling-series","Caramel Mocha Crystal Press On Nails｜Gold Brown Long Square | Crystal Armor Series")</x:f>
        <x:v>HYPERLINK is not implemented. linkLocation=https://365nails.com/products/caramel-mocha-crystal-press-on-nails-gold-brown-long-square-starry-glitter-sparkling-series, friendlyName=Caramel Mocha Crystal Press On Nails｜Gold Brown Long Square | Crystal Armor Series</x:v>
      </x:c>
      <x:c r="D4721" s="18" t="str">
        <x:v>shape: square / almond; Size: XS / S / M / L; length: 45mm / 30mm</x:v>
      </x:c>
      <x:c r="E4721" s="25" t="str">
        <x:v>$19.00</x:v>
      </x:c>
      <x:c r="F4721" s="19" t="str">
        <x:v>1</x:v>
      </x:c>
    </x:row>
    <x:row r="4722" ht="93" customHeight="1">
      <x:c r="A4722" s="19" t="n">
        <x:v>4719</x:v>
      </x:c>
      <x:c r="B4722" s="22" t="e">
        <x:f>HYPERLINK("https://cdn.shopify.com/s/files/1/0918/6066/4603/files/b7f87359d312e5de6707f324ce07782d.jpg?v=1765438586","Open")</x:f>
        <x:v>HYPERLINK is not implemented. linkLocation=https://cdn.shopify.com/s/files/1/0918/6066/4603/files/b7f87359d312e5de6707f324ce07782d.jpg?v=1765438586, friendlyName=Open</x:v>
      </x:c>
      <x:c r="C4722" s="24" t="e">
        <x:f>HYPERLINK("https://365nails.com/products/midnight-starfall-press-on-nails-black-long-square-with-crystal-studs-starry-glitter-sparkling-series","Midnight Starfall Press On Nails｜Black Long Square with Crystal Studs | Crystal Armor Series")</x:f>
        <x:v>HYPERLINK is not implemented. linkLocation=https://365nails.com/products/midnight-starfall-press-on-nails-black-long-square-with-crystal-studs-starry-glitter-sparkling-series, friendlyName=Midnight Starfall Press On Nails｜Black Long Square with Crystal Studs | Crystal Armor Series</x:v>
      </x:c>
      <x:c r="D4722" s="18" t="str">
        <x:v>shape: square / almond; Size: XS / S / M / L; length: 45mm / 30mm</x:v>
      </x:c>
      <x:c r="E4722" s="25" t="str">
        <x:v>$19.00</x:v>
      </x:c>
      <x:c r="F4722" s="19" t="str">
        <x:v>1</x:v>
      </x:c>
    </x:row>
    <x:row r="4723" ht="93" customHeight="1">
      <x:c r="A4723" s="19" t="n">
        <x:v>4720</x:v>
      </x:c>
      <x:c r="B4723" s="22" t="e">
        <x:f>HYPERLINK("https://cdn.shopify.com/s/files/1/0918/6066/4603/files/il_794xN.7566609041_8c41.jpg?v=1767877446","Open")</x:f>
        <x:v>HYPERLINK is not implemented. linkLocation=https://cdn.shopify.com/s/files/1/0918/6066/4603/files/il_794xN.7566609041_8c41.jpg?v=1767877446, friendlyName=Open</x:v>
      </x:c>
      <x:c r="C4723" s="24" t="e">
        <x:f>HYPERLINK("https://365nails.com/products/purple-gothic-bat-nails-bat-window-vampire-castle-raven-art-handmade-galaxy-cathedral-archive-006-handartnails-coffin-box","Purple Gothic Bat Nails ""Bat Window"" | Handartnails")</x:f>
        <x:v>HYPERLINK is not implemented. linkLocation=https://365nails.com/products/purple-gothic-bat-nails-bat-window-vampire-castle-raven-art-handmade-galaxy-cathedral-archive-006-handartnails-coffin-box, friendlyName=Purple Gothic Bat Nails "Bat Window" | Handartnails</x:v>
      </x:c>
      <x:c r="D4723" s="18" t="str">
        <x:v>Size: XS / S / M / L</x:v>
      </x:c>
      <x:c r="E4723" s="25" t="str">
        <x:v>$149.00</x:v>
      </x:c>
      <x:c r="F4723" s="19" t="str">
        <x:v>1</x:v>
      </x:c>
    </x:row>
    <x:row r="4724" ht="93" customHeight="1">
      <x:c r="A4724" s="19" t="n">
        <x:v>4721</x:v>
      </x:c>
      <x:c r="B4724" s="22" t="e">
        <x:f>HYPERLINK("https://cdn.shopify.com/s/files/1/0918/6066/4603/files/0e73c43d19bad405f54a52a35e28c2e7.jpg?v=1776413998","Open")</x:f>
        <x:v>HYPERLINK is not implemented. linkLocation=https://cdn.shopify.com/s/files/1/0918/6066/4603/files/0e73c43d19bad405f54a52a35e28c2e7.jpg?v=1776413998, friendlyName=Open</x:v>
      </x:c>
      <x:c r="C4724" s="24" t="e">
        <x:f>HYPERLINK("https://365nails.com/products/365nails-autumn-drama-3d-plaid-character-handmade-coffin-nails","365nails: ""Autumn Drama"" – 3D Plaid Character Handmade Coffin Nails-5.5cm")</x:f>
        <x:v>HYPERLINK is not implemented. linkLocation=https://365nails.com/products/365nails-autumn-drama-3d-plaid-character-handmade-coffin-nails, friendlyName=365nails: "Autumn Drama" – 3D Plaid Character Handmade Coffin Nails-5.5cm</x:v>
      </x:c>
      <x:c r="D4724" s="18" t="str">
        <x:v>Size: XS / S / M / L</x:v>
      </x:c>
      <x:c r="E4724" s="25" t="str">
        <x:v>$7.99</x:v>
      </x:c>
      <x:c r="F4724" s="19" t="str">
        <x:v>10</x:v>
      </x:c>
    </x:row>
    <x:row r="4725" ht="93" customHeight="1">
      <x:c r="A4725" s="19" t="n">
        <x:v>4722</x:v>
      </x:c>
      <x:c r="B4725" s="22" t="e">
        <x:f>HYPERLINK("https://cdn.shopify.com/s/files/1/0918/6066/4603/files/bc335c99a2b70021767def178d6fe4f3.jpg?v=1776152159","Open")</x:f>
        <x:v>HYPERLINK is not implemented. linkLocation=https://cdn.shopify.com/s/files/1/0918/6066/4603/files/bc335c99a2b70021767def178d6fe4f3.jpg?v=1776152159, friendlyName=Open</x:v>
      </x:c>
      <x:c r="C4725" s="24" t="e">
        <x:f>HYPERLINK("https://365nails.com/products/365nails-playful-pals-3d-animal-character-handmade-short-square-nails","365nails: ""Playful Pals"" – 3D Animal Character Handmade Short Square Nails")</x:f>
        <x:v>HYPERLINK is not implemented. linkLocation=https://365nails.com/products/365nails-playful-pals-3d-animal-character-handmade-short-square-nails, friendlyName=365nails: "Playful Pals" – 3D Animal Character Handmade Short Square Nails</x:v>
      </x:c>
      <x:c r="D4725" s="18" t="str">
        <x:v>Size: XS / S / M / L</x:v>
      </x:c>
      <x:c r="E4725" s="25" t="str">
        <x:v>$1.99</x:v>
      </x:c>
      <x:c r="F4725" s="19" t="str">
        <x:v>3</x:v>
      </x:c>
    </x:row>
    <x:row r="4726" ht="93" customHeight="1">
      <x:c r="A4726" s="19" t="n">
        <x:v>4723</x:v>
      </x:c>
      <x:c r="B4726" s="22" t="e">
        <x:f>HYPERLINK("https://cdn.shopify.com/s/files/1/0918/6066/4603/files/6911dba3ef8d39e3670a4d7e44b3a4fd.jpg?v=1755242678","Open")</x:f>
        <x:v>HYPERLINK is not implemented. linkLocation=https://cdn.shopify.com/s/files/1/0918/6066/4603/files/6911dba3ef8d39e3670a4d7e44b3a4fd.jpg?v=1755242678, friendlyName=Open</x:v>
      </x:c>
      <x:c r="C4726" s="24" t="e">
        <x:f>HYPERLINK("https://365nails.com/products/nail-tips-exclusive-for-seamless-press-on-nails-extension-nail-piece-french-transparent-nail-fake-nail-patch-finished-nail-art-120-pieces","Nail Tips exclusive for seamless press on nails extension nail piece French transparent nail fake nail patch finished nail art 120 pieces (MOQ=3)")</x:f>
        <x:v>HYPERLINK is not implemented. linkLocation=https://365nails.com/products/nail-tips-exclusive-for-seamless-press-on-nails-extension-nail-piece-french-transparent-nail-fake-nail-patch-finished-nail-art-120-pieces, friendlyName=Nail Tips exclusive for seamless press on nails extension nail piece French transparent nail fake nail patch finished nail art 120 pieces (MOQ=3)</x:v>
      </x:c>
      <x:c r="D4726" s="18" t="str">
        <x:v>Color: YS-431 * 120 piece bag / YS-432 * 120 piece bag / YS-434 * 120 piece bag / YS-437 * 120 piece bag / YS-438 * 120 piece bag; Quantity: 3pcs</x:v>
      </x:c>
      <x:c r="E4726" s="25" t="str">
        <x:v>$3.75</x:v>
      </x:c>
      <x:c r="F4726" s="19" t="str">
        <x:v>1</x:v>
      </x:c>
    </x:row>
    <x:row r="4727" ht="93" customHeight="1">
      <x:c r="A4727" s="19" t="n">
        <x:v>4724</x:v>
      </x:c>
      <x:c r="B4727" s="22" t="e">
        <x:f>HYPERLINK("https://cdn.shopify.com/s/files/1/0918/6066/4603/files/O1CN011qUPSz1CPwRJC8eIV__2213196780074-0-cib.jpg?v=1776414518","Open")</x:f>
        <x:v>HYPERLINK is not implemented. linkLocation=https://cdn.shopify.com/s/files/1/0918/6066/4603/files/O1CN011qUPSz1CPwRJC8eIV__2213196780074-0-cib.jpg?v=1776414518, friendlyName=Open</x:v>
      </x:c>
      <x:c r="C4727" s="24" t="e">
        <x:f>HYPERLINK("https://365nails.com/products/365nails-gilded-sanctity-3d-cross-floral-handmade-coffin-nails","365nails: ""Gilded Sanctity"" – 3D Cross &amp; Floral Handmade Coffin Nails")</x:f>
        <x:v>HYPERLINK is not implemented. linkLocation=https://365nails.com/products/365nails-gilded-sanctity-3d-cross-floral-handmade-coffin-nails, friendlyName=365nails: "Gilded Sanctity" – 3D Cross &amp; Floral Handmade Coffin Nails</x:v>
      </x:c>
      <x:c r="D4727" s="18" t="str">
        <x:v>Color: K3-short duckbill; Color classification: Extra small size xs / Small s / Medium m / Large l</x:v>
      </x:c>
      <x:c r="E4727" s="25" t="str">
        <x:v>$4.99</x:v>
      </x:c>
      <x:c r="F4727" s="19" t="str">
        <x:v>1</x:v>
      </x:c>
    </x:row>
    <x:row r="4728" ht="93" customHeight="1">
      <x:c r="A4728" s="19" t="n">
        <x:v>4725</x:v>
      </x:c>
      <x:c r="B4728" s="22" t="e">
        <x:f>HYPERLINK("https://cdn.shopify.com/s/files/1/0918/6066/4603/files/b8f27f224e2f75ba82a08a7945088359.jpg?v=1776413352","Open")</x:f>
        <x:v>HYPERLINK is not implemented. linkLocation=https://cdn.shopify.com/s/files/1/0918/6066/4603/files/b8f27f224e2f75ba82a08a7945088359.jpg?v=1776413352, friendlyName=Open</x:v>
      </x:c>
      <x:c r="C4728" s="24" t="e">
        <x:f>HYPERLINK("https://365nails.com/products/365nails-midnight-symphony-3d-character-art-handmade-coffin-nails","365nails: ""Midnight Symphony"" – 3D Character Art Handmade Coffin Nails-5.5cm")</x:f>
        <x:v>HYPERLINK is not implemented. linkLocation=https://365nails.com/products/365nails-midnight-symphony-3d-character-art-handmade-coffin-nails, friendlyName=365nails: "Midnight Symphony" – 3D Character Art Handmade Coffin Nails-5.5cm</x:v>
      </x:c>
      <x:c r="D4728" s="18" t="str">
        <x:v>Size: XS / S / M / L</x:v>
      </x:c>
      <x:c r="E4728" s="25" t="str">
        <x:v>$7.99</x:v>
      </x:c>
      <x:c r="F4728" s="19" t="str">
        <x:v>10</x:v>
      </x:c>
    </x:row>
    <x:row r="4729" ht="93" customHeight="1">
      <x:c r="A4729" s="19" t="n">
        <x:v>4726</x:v>
      </x:c>
      <x:c r="B4729" s="22" t="e">
        <x:f>HYPERLINK("https://cdn.shopify.com/s/files/1/0918/6066/4603/files/08ab0c5a3188845675a08c44cee57fea.jpg?v=1776416787","Open")</x:f>
        <x:v>HYPERLINK is not implemented. linkLocation=https://cdn.shopify.com/s/files/1/0918/6066/4603/files/08ab0c5a3188845675a08c44cee57fea.jpg?v=1776416787, friendlyName=Open</x:v>
      </x:c>
      <x:c r="C4729" s="24" t="e">
        <x:f>HYPERLINK("https://365nails.com/products/365nails-chocolate-garden-3d-floral-handmade-medium-almond-nails","365nails: ""Chocolate Garden"" – 3D Floral Handmade Medium Almond Nails")</x:f>
        <x:v>HYPERLINK is not implemented. linkLocation=https://365nails.com/products/365nails-chocolate-garden-3d-floral-handmade-medium-almond-nails, friendlyName=365nails: "Chocolate Garden" – 3D Floral Handmade Medium Almond Nails</x:v>
      </x:c>
      <x:c r="D4729" s="18" t="str">
        <x:v>Size: XS / S / M / L</x:v>
      </x:c>
      <x:c r="E4729" s="25" t="str">
        <x:v>$3.99</x:v>
      </x:c>
      <x:c r="F4729" s="19" t="str">
        <x:v>5</x:v>
      </x:c>
    </x:row>
    <x:row r="4730" ht="93" customHeight="1">
      <x:c r="A4730" s="19" t="n">
        <x:v>4727</x:v>
      </x:c>
      <x:c r="B4730" s="22" t="e">
        <x:f>HYPERLINK("https://cdn.shopify.com/s/files/1/0918/6066/4603/files/c05b5fbc1da14056abef9ec6742e743d.jpg?v=1776413560","Open")</x:f>
        <x:v>HYPERLINK is not implemented. linkLocation=https://cdn.shopify.com/s/files/1/0918/6066/4603/files/c05b5fbc1da14056abef9ec6742e743d.jpg?v=1776413560, friendlyName=Open</x:v>
      </x:c>
      <x:c r="C4730" s="24" t="e">
        <x:f>HYPERLINK("https://365nails.com/products/365nails-wild-rose-3d-leopard-print-handmade-coffin-nails","365nails: ""Wild Rose"" – 3D Leopard Print Handmade Coffin Nails-5.5cm")</x:f>
        <x:v>HYPERLINK is not implemented. linkLocation=https://365nails.com/products/365nails-wild-rose-3d-leopard-print-handmade-coffin-nails, friendlyName=365nails: "Wild Rose" – 3D Leopard Print Handmade Coffin Nails-5.5cm</x:v>
      </x:c>
      <x:c r="D4730" s="18" t="str">
        <x:v>Size: XS / S / M / L</x:v>
      </x:c>
      <x:c r="E4730" s="25" t="str">
        <x:v>$7.99</x:v>
      </x:c>
      <x:c r="F4730" s="19" t="str">
        <x:v>10</x:v>
      </x:c>
    </x:row>
    <x:row r="4731" ht="93" customHeight="1">
      <x:c r="A4731" s="19" t="n">
        <x:v>4728</x:v>
      </x:c>
      <x:c r="B4731" s="22" t="e">
        <x:f>HYPERLINK("https://cdn.shopify.com/s/files/1/0918/6066/4603/files/6edce67d6179452045fde36045f1af9e.jpg?v=1776414090","Open")</x:f>
        <x:v>HYPERLINK is not implemented. linkLocation=https://cdn.shopify.com/s/files/1/0918/6066/4603/files/6edce67d6179452045fde36045f1af9e.jpg?v=1776414090, friendlyName=Open</x:v>
      </x:c>
      <x:c r="C4731" s="24" t="e">
        <x:f>HYPERLINK("https://365nails.com/products/365nails-blue-enchantment-3d-character-handmade-coffin-nails","365nails: ""Blue Enchantment"" – 3D Character Handmade Coffin Nails-5.5cm")</x:f>
        <x:v>HYPERLINK is not implemented. linkLocation=https://365nails.com/products/365nails-blue-enchantment-3d-character-handmade-coffin-nails, friendlyName=365nails: "Blue Enchantment" – 3D Character Handmade Coffin Nails-5.5cm</x:v>
      </x:c>
      <x:c r="D4731" s="18" t="str">
        <x:v>Size: XS / S / M / L</x:v>
      </x:c>
      <x:c r="E4731" s="25" t="str">
        <x:v>$7.99</x:v>
      </x:c>
      <x:c r="F4731" s="19" t="str">
        <x:v>10</x:v>
      </x:c>
    </x:row>
    <x:row r="4732" ht="93" customHeight="1">
      <x:c r="A4732" s="19" t="n">
        <x:v>4729</x:v>
      </x:c>
      <x:c r="B4732" s="22" t="e">
        <x:f>HYPERLINK("https://cdn.shopify.com/s/files/1/0918/6066/4603/files/O1CN01MMkpBo1rlpKNt5ZE3__2215158925672-0-cib_d5e2673d-aa3d-4f8c-9a6c-7ded8d1810f6.jpg?v=1772513835","Open")</x:f>
        <x:v>HYPERLINK is not implemented. linkLocation=https://cdn.shopify.com/s/files/1/0918/6066/4603/files/O1CN01MMkpBo1rlpKNt5ZE3__2215158925672-0-cib_d5e2673d-aa3d-4f8c-9a6c-7ded8d1810f6.jpg?v=1772513835, friendlyName=Open</x:v>
      </x:c>
      <x:c r="C4732" s="24" t="e">
        <x:f>HYPERLINK("https://365nails.com/products/365nails-avant-garde-reptilian-sovereign-long-coffin-3d-dragon-eye-silver-sculpture-press-on-nails-24pcs","365nails: ""Cyber Green Eye"" – Long Stiletto Handmade Press-On Nails")</x:f>
        <x:v>HYPERLINK is not implemented. linkLocation=https://365nails.com/products/365nails-avant-garde-reptilian-sovereign-long-coffin-3d-dragon-eye-silver-sculpture-press-on-nails-24pcs, friendlyName=365nails: "Cyber Green Eye" – Long Stiletto Handmade Press-On Nails</x:v>
      </x:c>
      <x:c r="D4732" s="18" t="str">
        <x:v>Color: Long tip; Color classification: X s / S / M / L</x:v>
      </x:c>
      <x:c r="E4732" s="25" t="str">
        <x:v>$6.49</x:v>
      </x:c>
      <x:c r="F4732" s="19" t="str">
        <x:v>3</x:v>
      </x:c>
    </x:row>
    <x:row r="4733" ht="93" customHeight="1">
      <x:c r="A4733" s="19" t="n">
        <x:v>4730</x:v>
      </x:c>
      <x:c r="B4733" s="22" t="e">
        <x:f>HYPERLINK("https://cdn.shopify.com/s/files/1/0918/6066/4603/files/O1CN01Z3GwXj1rlpIMGx56A__2215158925672-0-cib_56c06e4a-3ea0-4588-9828-d571c369eaf8.jpg?v=1772513726","Open")</x:f>
        <x:v>HYPERLINK is not implemented. linkLocation=https://cdn.shopify.com/s/files/1/0918/6066/4603/files/O1CN01Z3GwXj1rlpIMGx56A__2215158925672-0-cib_56c06e4a-3ea0-4588-9828-d571c369eaf8.jpg?v=1772513726, friendlyName=Open</x:v>
      </x:c>
      <x:c r="C4733" s="24" t="e">
        <x:f>HYPERLINK("https://365nails.com/products/365nails-opulence-stellar-frost-medium-ballerina-silver-foil-crystal-press-on-nails-24pcs","365nails: ""Twilight Frost"" – Long Square Handmade Press-On Nails")</x:f>
        <x:v>HYPERLINK is not implemented. linkLocation=https://365nails.com/products/365nails-opulence-stellar-frost-medium-ballerina-silver-foil-crystal-press-on-nails-24pcs, friendlyName=365nails: "Twilight Frost" – Long Square Handmade Press-On Nails</x:v>
      </x:c>
      <x:c r="D4733" s="18" t="str">
        <x:v>Color: Middle t; Color classification: X s / S / M / L</x:v>
      </x:c>
      <x:c r="E4733" s="25" t="str">
        <x:v>$2.49</x:v>
      </x:c>
      <x:c r="F4733" s="19" t="str">
        <x:v>3</x:v>
      </x:c>
    </x:row>
    <x:row r="4734" ht="93" customHeight="1">
      <x:c r="A4734" s="19" t="n">
        <x:v>4731</x:v>
      </x:c>
      <x:c r="B4734" s="22" t="e">
        <x:f>HYPERLINK("https://cdn.shopify.com/s/files/1/0918/6066/4603/files/il_794xN.7518653256_jxpi_55bac47a-b4f6-48b4-99f6-684e4933ecb1.jpg?v=1767877448","Open")</x:f>
        <x:v>HYPERLINK is not implemented. linkLocation=https://cdn.shopify.com/s/files/1/0918/6066/4603/files/il_794xN.7518653256_jxpi_55bac47a-b4f6-48b4-99f6-684e4933ecb1.jpg?v=1767877448, friendlyName=Open</x:v>
      </x:c>
      <x:c r="C4734" s="24" t="e">
        <x:f>HYPERLINK("https://365nails.com/products/bloody-cherry-gothic-doll-nails-blood-stain-creepy-cute-coquette-3d-melted-wax-lace-archive-010-handartnails-coffin-box","Bloody Cherry Gothic Doll Nails ""Blood Stain"" | Handartnails")</x:f>
        <x:v>HYPERLINK is not implemented. linkLocation=https://365nails.com/products/bloody-cherry-gothic-doll-nails-blood-stain-creepy-cute-coquette-3d-melted-wax-lace-archive-010-handartnails-coffin-box, friendlyName=Bloody Cherry Gothic Doll Nails "Blood Stain" | Handartnails</x:v>
      </x:c>
      <x:c r="D4734" s="18" t="str">
        <x:v>Size: XS / S / M / L</x:v>
      </x:c>
      <x:c r="E4734" s="25" t="str">
        <x:v>$199.00</x:v>
      </x:c>
      <x:c r="F4734" s="19" t="str">
        <x:v>1</x:v>
      </x:c>
    </x:row>
    <x:row r="4735" ht="93" customHeight="1">
      <x:c r="A4735" s="19" t="n">
        <x:v>4732</x:v>
      </x:c>
      <x:c r="B4735" s="22" t="e">
        <x:f>HYPERLINK("https://cdn.shopify.com/s/files/1/0918/6066/4603/files/O1CN01BUVqYp1v7IyehISbL__2218399446125-0-cib.jpg?v=1763623233","Open")</x:f>
        <x:v>HYPERLINK is not implemented. linkLocation=https://cdn.shopify.com/s/files/1/0918/6066/4603/files/O1CN01BUVqYp1v7IyehISbL__2218399446125-0-cib.jpg?v=1763623233, friendlyName=Open</x:v>
      </x:c>
      <x:c r="C4735" s="24" t="e">
        <x:f>HYPERLINK("https://365nails.com/products/christmas-atmosphere-nail-art-sticker-5d-embossed-three-dimensional-santa-elk-nail-sticker-ornament-ca","Christmas Atmosphere Nail Art Sticker 5D Embossed Three-dimensional Santa Elk Nail Sticker Ornament CA")</x:f>
        <x:v>HYPERLINK is not implemented. linkLocation=https://365nails.com/products/christmas-atmosphere-nail-art-sticker-5d-embossed-three-dimensional-santa-elk-nail-sticker-ornament-ca, friendlyName=Christmas Atmosphere Nail Art Sticker 5D Embossed Three-dimensional Santa Elk Nail Sticker Ornament CA</x:v>
      </x:c>
      <x:c r="D4735" s="18" t="str">
        <x:v>Specification type: CA-6893 / CA-6933 / CA-6934 / CA-6935 / CA-6936 / CA-6937</x:v>
      </x:c>
      <x:c r="E4735" s="25" t="str">
        <x:v>$0.30</x:v>
      </x:c>
      <x:c r="F4735" s="19" t="str">
        <x:v>1</x:v>
      </x:c>
    </x:row>
    <x:row r="4736" ht="93" customHeight="1">
      <x:c r="A4736" s="19" t="n">
        <x:v>4733</x:v>
      </x:c>
      <x:c r="B4736" s="22" t="e">
        <x:f>HYPERLINK("https://cdn.shopify.com/s/files/1/0918/6066/4603/files/3afadd0a1fc5226410d64253b95fb0b4.jpg?v=1776416240","Open")</x:f>
        <x:v>HYPERLINK is not implemented. linkLocation=https://cdn.shopify.com/s/files/1/0918/6066/4603/files/3afadd0a1fc5226410d64253b95fb0b4.jpg?v=1776416240, friendlyName=Open</x:v>
      </x:c>
      <x:c r="C4736" s="24" t="e">
        <x:f>HYPERLINK("https://365nails.com/products/365nails-jade-garden-3d-floral-handmade-long-coffin-nails","365nails: ""Jade Garden"" – 3D Floral Handmade Long Coffin Nails")</x:f>
        <x:v>HYPERLINK is not implemented. linkLocation=https://365nails.com/products/365nails-jade-garden-3d-floral-handmade-long-coffin-nails, friendlyName=365nails: "Jade Garden" – 3D Floral Handmade Long Coffin Nails</x:v>
      </x:c>
      <x:c r="D4736" s="18" t="str">
        <x:v>Size: XS / S / M / L</x:v>
      </x:c>
      <x:c r="E4736" s="25" t="str">
        <x:v>$2.99</x:v>
      </x:c>
      <x:c r="F4736" s="19" t="str">
        <x:v>5</x:v>
      </x:c>
    </x:row>
    <x:row r="4737" ht="93" customHeight="1">
      <x:c r="A4737" s="19" t="n">
        <x:v>4734</x:v>
      </x:c>
      <x:c r="B4737" s="22" t="e">
        <x:f>HYPERLINK("https://cdn.shopify.com/s/files/1/0918/6066/4603/files/O1CN01nu1LSr1v7IzeiD6Fd__2218399446125-0-cib.jpg?v=1763624224","Open")</x:f>
        <x:v>HYPERLINK is not implemented. linkLocation=https://cdn.shopify.com/s/files/1/0918/6066/4603/files/O1CN01nu1LSr1v7IzeiD6Fd__2218399446125-0-cib.jpg?v=1763624224, friendlyName=Open</x:v>
      </x:c>
      <x:c r="C4737" s="24" t="e">
        <x:f>HYPERLINK("https://365nails.com/products/bronzing-christmas-tree-nail-art-sticker-5d-embossed-three-dimensional-snowflake-christmas-ball-diy-nail-sticker-ornament-tj","Bronzing Christmas Tree Nail Art Sticker 5D Embossed Three-dimensional Snowflake Christmas Ball DIY Nail Sticker Ornament TJ")</x:f>
        <x:v>HYPERLINK is not implemented. linkLocation=https://365nails.com/products/bronzing-christmas-tree-nail-art-sticker-5d-embossed-three-dimensional-snowflake-christmas-ball-diy-nail-sticker-ornament-tj, friendlyName=Bronzing Christmas Tree Nail Art Sticker 5D Embossed Three-dimensional Snowflake Christmas Ball DIY Nail Sticker Ornament TJ</x:v>
      </x:c>
      <x:c r="D4737" s="18" t="str">
        <x:v>Specification type: TJ-239</x:v>
      </x:c>
      <x:c r="E4737" s="25" t="str">
        <x:v>$0.30</x:v>
      </x:c>
      <x:c r="F4737" s="19" t="str">
        <x:v>1</x:v>
      </x:c>
    </x:row>
    <x:row r="4738" ht="93" customHeight="1">
      <x:c r="A4738" s="19" t="n">
        <x:v>4735</x:v>
      </x:c>
      <x:c r="B4738" s="22" t="e">
        <x:f>HYPERLINK("https://cdn.shopify.com/s/files/1/0918/6066/4603/files/8b4f9bd71d0fd07a4cb72845639fda3a.jpg?v=1776417373","Open")</x:f>
        <x:v>HYPERLINK is not implemented. linkLocation=https://cdn.shopify.com/s/files/1/0918/6066/4603/files/8b4f9bd71d0fd07a4cb72845639fda3a.jpg?v=1776417373, friendlyName=Open</x:v>
      </x:c>
      <x:c r="C4738" s="24" t="e">
        <x:f>HYPERLINK("https://365nails.com/products/365nails-midnight-violet-3d-floral-handmade-medium-coffin-nails","365nails: ""Midnight Violet"" – 3D Floral Handmade Medium Coffin Nails")</x:f>
        <x:v>HYPERLINK is not implemented. linkLocation=https://365nails.com/products/365nails-midnight-violet-3d-floral-handmade-medium-coffin-nails, friendlyName=365nails: "Midnight Violet" – 3D Floral Handmade Medium Coffin Nails</x:v>
      </x:c>
      <x:c r="D4738" s="18" t="str">
        <x:v>Size: XS / S / M / L</x:v>
      </x:c>
      <x:c r="E4738" s="25" t="str">
        <x:v>$3.99</x:v>
      </x:c>
      <x:c r="F4738" s="19" t="str">
        <x:v>5</x:v>
      </x:c>
    </x:row>
    <x:row r="4739" ht="93" customHeight="1">
      <x:c r="A4739" s="19" t="n">
        <x:v>4736</x:v>
      </x:c>
      <x:c r="B4739" s="22" t="e">
        <x:f>HYPERLINK("https://cdn.shopify.com/s/files/1/0918/6066/4603/files/3a246730a85b8e87d7b91aa6a497cf33.jpg?v=1776417307","Open")</x:f>
        <x:v>HYPERLINK is not implemented. linkLocation=https://cdn.shopify.com/s/files/1/0918/6066/4603/files/3a246730a85b8e87d7b91aa6a497cf33.jpg?v=1776417307, friendlyName=Open</x:v>
      </x:c>
      <x:c r="C4739" s="24" t="e">
        <x:f>HYPERLINK("https://365nails.com/products/365nails-golden-hour-garden-3d-floral-handmade-medium-almond-nails","365nails: ""Golden Hour Garden"" – 3D Floral Handmade Medium Almond Nails")</x:f>
        <x:v>HYPERLINK is not implemented. linkLocation=https://365nails.com/products/365nails-golden-hour-garden-3d-floral-handmade-medium-almond-nails, friendlyName=365nails: "Golden Hour Garden" – 3D Floral Handmade Medium Almond Nails</x:v>
      </x:c>
      <x:c r="D4739" s="18" t="str">
        <x:v>Size: XS / S / M / L</x:v>
      </x:c>
      <x:c r="E4739" s="25" t="str">
        <x:v>$3.99</x:v>
      </x:c>
      <x:c r="F4739" s="19" t="str">
        <x:v>5</x:v>
      </x:c>
    </x:row>
    <x:row r="4740" ht="93" customHeight="1">
      <x:c r="A4740" s="19" t="n">
        <x:v>4737</x:v>
      </x:c>
      <x:c r="B4740" s="22" t="e">
        <x:f>HYPERLINK("https://cdn.shopify.com/s/files/1/0918/6066/4603/files/faca8d04299791bfb8830ea39b55a90a.jpg?v=1755243250","Open")</x:f>
        <x:v>HYPERLINK is not implemented. linkLocation=https://cdn.shopify.com/s/files/1/0918/6066/4603/files/faca8d04299791bfb8830ea39b55a90a.jpg?v=1755243250, friendlyName=Open</x:v>
      </x:c>
      <x:c r="C4740" s="24" t="e">
        <x:f>HYPERLINK("https://365nails.com/products/nail-tips-hot-selling-french-press-on-nails-seamless-short-almond-manicure-tablets-pre-made-fingernails-removable-120-pieces","Nail Tips Hot-selling French press on nails seamless short almond manicure tablets, pre-made fingernails removable 120 pieces (MOQ=3)")</x:f>
        <x:v>HYPERLINK is not implemented. linkLocation=https://365nails.com/products/nail-tips-hot-selling-french-press-on-nails-seamless-short-almond-manicure-tablets-pre-made-fingernails-removable-120-pieces, friendlyName=Nail Tips Hot-selling French press on nails seamless short almond manicure tablets, pre-made fingernails removable 120 pieces (MOQ=3)</x:v>
      </x:c>
      <x:c r="D4740" s="18" t="str">
        <x:v>Color: 405-C2-1 (120 tablets) / 405-C2-2 (120 tablets) / 405-C2-3 (120 tablets) / 405-C2-4 (120 tablets) / 405-C2-5 (120 tablets); Quantity: 3pcs</x:v>
      </x:c>
      <x:c r="E4740" s="25" t="str">
        <x:v>$3.00</x:v>
      </x:c>
      <x:c r="F4740" s="19" t="str">
        <x:v>1</x:v>
      </x:c>
    </x:row>
    <x:row r="4741" ht="93" customHeight="1">
      <x:c r="A4741" s="19" t="n">
        <x:v>4738</x:v>
      </x:c>
      <x:c r="B4741" s="22" t="e">
        <x:f>HYPERLINK("https://cdn.shopify.com/s/files/1/0918/6066/4603/files/2e631d73f7f695904b5bed94949384b0.jpg?v=1776413498","Open")</x:f>
        <x:v>HYPERLINK is not implemented. linkLocation=https://cdn.shopify.com/s/files/1/0918/6066/4603/files/2e631d73f7f695904b5bed94949384b0.jpg?v=1776413498, friendlyName=Open</x:v>
      </x:c>
      <x:c r="C4741" s="24" t="e">
        <x:f>HYPERLINK("https://365nails.com/products/365nails-violet-reverie-3d-floral-character-handmade-coffin-nails","365nails: ""Violet Reverie"" – 3D Floral Character Handmade Coffin Nails-5.5cm")</x:f>
        <x:v>HYPERLINK is not implemented. linkLocation=https://365nails.com/products/365nails-violet-reverie-3d-floral-character-handmade-coffin-nails, friendlyName=365nails: "Violet Reverie" – 3D Floral Character Handmade Coffin Nails-5.5cm</x:v>
      </x:c>
      <x:c r="D4741" s="18" t="str">
        <x:v>Size: XS / S / M / L</x:v>
      </x:c>
      <x:c r="E4741" s="25" t="str">
        <x:v>$7.99</x:v>
      </x:c>
      <x:c r="F4741" s="19" t="str">
        <x:v>10</x:v>
      </x:c>
    </x:row>
    <x:row r="4742" ht="93" customHeight="1">
      <x:c r="A4742" s="19" t="n">
        <x:v>4739</x:v>
      </x:c>
      <x:c r="B4742" s="22" t="e">
        <x:f>HYPERLINK("https://cdn.shopify.com/s/files/1/0918/6066/4603/files/979ce7ef2b57ef3bc405a022fcac00f0.jpg?v=1776325820","Open")</x:f>
        <x:v>HYPERLINK is not implemented. linkLocation=https://cdn.shopify.com/s/files/1/0918/6066/4603/files/979ce7ef2b57ef3bc405a022fcac00f0.jpg?v=1776325820, friendlyName=Open</x:v>
      </x:c>
      <x:c r="C4742" s="24" t="e">
        <x:f>HYPERLINK("https://365nails.com/products/365nails-pink-leopard-kitty-3d-cartoon-character-handmade-short-square-nails","365nails: ""Pink Leopard Kitty"" – 3D Cartoon Character Handmade Short Square Nails")</x:f>
        <x:v>HYPERLINK is not implemented. linkLocation=https://365nails.com/products/365nails-pink-leopard-kitty-3d-cartoon-character-handmade-short-square-nails, friendlyName=365nails: "Pink Leopard Kitty" – 3D Cartoon Character Handmade Short Square Nails</x:v>
      </x:c>
      <x:c r="D4742" s="18" t="str">
        <x:v>Size: XS / S / M / L</x:v>
      </x:c>
      <x:c r="E4742" s="25" t="str">
        <x:v>$3.99</x:v>
      </x:c>
      <x:c r="F4742" s="19" t="str">
        <x:v>5</x:v>
      </x:c>
    </x:row>
    <x:row r="4743" ht="93" customHeight="1">
      <x:c r="A4743" s="19" t="n">
        <x:v>4740</x:v>
      </x:c>
      <x:c r="B4743" s="22" t="e">
        <x:f>HYPERLINK("https://cdn.shopify.com/s/files/1/0918/6066/4603/files/il_794xN.7566635579_q4u9_8bb3e8cc-ed7a-4ef8-96e7-dcc64d0b83e2.jpg?v=1767877440","Open")</x:f>
        <x:v>HYPERLINK is not implemented. linkLocation=https://cdn.shopify.com/s/files/1/0918/6066/4603/files/il_794xN.7566635579_q4u9_8bb3e8cc-ed7a-4ef8-96e7-dcc64d0b83e2.jpg?v=1767877440, friendlyName=Open</x:v>
      </x:c>
      <x:c r="C4743" s="24" t="e">
        <x:f>HYPERLINK("https://365nails.com/products/burnt-lace-gothic-nails-ember-bride-witch-trial-scorch-art-flash-reflective-thermal-map-archive-004-handartnails-coffin-box","Burnt Lace Gothic Nails ""Ember Bride"" | Handartnails")</x:f>
        <x:v>HYPERLINK is not implemented. linkLocation=https://365nails.com/products/burnt-lace-gothic-nails-ember-bride-witch-trial-scorch-art-flash-reflective-thermal-map-archive-004-handartnails-coffin-box, friendlyName=Burnt Lace Gothic Nails "Ember Bride" | Handartnails</x:v>
      </x:c>
      <x:c r="D4743" s="18" t="str">
        <x:v>Shape: Almond / Square; Size: XS / S / M / L</x:v>
      </x:c>
      <x:c r="E4743" s="25" t="str">
        <x:v>$99.00</x:v>
      </x:c>
      <x:c r="F4743" s="19" t="str">
        <x:v>1</x:v>
      </x:c>
    </x:row>
    <x:row r="4744" ht="93" customHeight="1">
      <x:c r="A4744" s="19" t="n">
        <x:v>4741</x:v>
      </x:c>
      <x:c r="B4744" s="22" t="e">
        <x:f>HYPERLINK("https://cdn.shopify.com/s/files/1/0918/6066/4603/files/O1CN01m6jrWg1CPwPzngVJ1__2213196780074-0-cib.jpg?v=1776852549","Open")</x:f>
        <x:v>HYPERLINK is not implemented. linkLocation=https://cdn.shopify.com/s/files/1/0918/6066/4603/files/O1CN01m6jrWg1CPwPzngVJ1__2213196780074-0-cib.jpg?v=1776852549, friendlyName=Open</x:v>
      </x:c>
      <x:c r="C4744" s="24" t="e">
        <x:f>HYPERLINK("https://365nails.com/products/365nails-timeless-opulence-3d-watch-heart-handmade-short-almond-nails","365nails: ""Timeless Opulence"" – 3D Watch &amp; Heart Handmade Short Almond Nails")</x:f>
        <x:v>HYPERLINK is not implemented. linkLocation=https://365nails.com/products/365nails-timeless-opulence-3d-watch-heart-handmade-short-almond-nails, friendlyName=365nails: "Timeless Opulence" – 3D Watch &amp; Heart Handmade Short Almond Nails</x:v>
      </x:c>
      <x:c r="D4744" s="18" t="str">
        <x:v>Color: 3384-super short ladder / 3386 - medium apricot kernels; Color classification: Extra small size xs / Small s / Medium m / Large l</x:v>
      </x:c>
      <x:c r="E4744" s="25" t="str">
        <x:v>$3.49</x:v>
      </x:c>
      <x:c r="F4744" s="19" t="str">
        <x:v>1</x:v>
      </x:c>
    </x:row>
    <x:row r="4745" ht="93" customHeight="1">
      <x:c r="A4745" s="19" t="n">
        <x:v>4742</x:v>
      </x:c>
      <x:c r="B4745" s="22" t="e">
        <x:f>HYPERLINK("https://cdn.shopify.com/s/files/1/0918/6066/4603/files/il_794xN.7566525683_4oj9.jpg?v=1767877457","Open")</x:f>
        <x:v>HYPERLINK is not implemented. linkLocation=https://cdn.shopify.com/s/files/1/0918/6066/4603/files/il_794xN.7566525683_4oj9.jpg?v=1767877457, friendlyName=Open</x:v>
      </x:c>
      <x:c r="C4745" s="24" t="e">
        <x:f>HYPERLINK("https://365nails.com/products/dark-rococo-human-church-press-on-nails-archive-001-antique-baroque-pattern-with-hidden-neon-shift-handmade-textured-handartnails","Dark Rococo ""Human Church"" Press on Nails | Handartnails")</x:f>
        <x:v>HYPERLINK is not implemented. linkLocation=https://365nails.com/products/dark-rococo-human-church-press-on-nails-archive-001-antique-baroque-pattern-with-hidden-neon-shift-handmade-textured-handartnails, friendlyName=Dark Rococo "Human Church" Press on Nails | Handartnails</x:v>
      </x:c>
      <x:c r="D4745" s="18" t="str">
        <x:v>Size: XS / S / M / L</x:v>
      </x:c>
      <x:c r="E4745" s="25" t="str">
        <x:v>$149.00</x:v>
      </x:c>
      <x:c r="F4745" s="19" t="str">
        <x:v>1</x:v>
      </x:c>
    </x:row>
    <x:row r="4746" ht="93" customHeight="1">
      <x:c r="A4746" s="19" t="n">
        <x:v>4743</x:v>
      </x:c>
      <x:c r="B4746" s="22" t="e">
        <x:f>HYPERLINK("https://cdn.shopify.com/s/files/1/0918/6066/4603/files/5c8dd562cda81595fe1b72f7fd7e9e35.jpg?v=1776413194","Open")</x:f>
        <x:v>HYPERLINK is not implemented. linkLocation=https://cdn.shopify.com/s/files/1/0918/6066/4603/files/5c8dd562cda81595fe1b72f7fd7e9e35.jpg?v=1776413194, friendlyName=Open</x:v>
      </x:c>
      <x:c r="C4746" s="24" t="e">
        <x:f>HYPERLINK("https://365nails.com/products/365nails-sweet-dream-3d-figure-art-handmade-coffin-nails","365nails: ""Sweet Dream"" – 3D Figure Art Handmade Coffin Nails-5.5cm")</x:f>
        <x:v>HYPERLINK is not implemented. linkLocation=https://365nails.com/products/365nails-sweet-dream-3d-figure-art-handmade-coffin-nails, friendlyName=365nails: "Sweet Dream" – 3D Figure Art Handmade Coffin Nails-5.5cm</x:v>
      </x:c>
      <x:c r="D4746" s="18" t="str">
        <x:v>Size: XS / S / M / L</x:v>
      </x:c>
      <x:c r="E4746" s="25" t="str">
        <x:v>$7.99</x:v>
      </x:c>
      <x:c r="F4746" s="19" t="str">
        <x:v>10</x:v>
      </x:c>
    </x:row>
    <x:row r="4747" ht="93" customHeight="1">
      <x:c r="A4747" s="19" t="n">
        <x:v>4744</x:v>
      </x:c>
      <x:c r="B4747" s="22" t="e">
        <x:f>HYPERLINK("https://cdn.shopify.com/s/files/1/0918/6066/4603/files/il_794xN.7518616234_1vh2.jpg?v=1767877454","Open")</x:f>
        <x:v>HYPERLINK is not implemented. linkLocation=https://cdn.shopify.com/s/files/1/0918/6066/4603/files/il_794xN.7518616234_1vh2.jpg?v=1767877454, friendlyName=Open</x:v>
      </x:c>
      <x:c r="C4747" s="24" t="e">
        <x:f>HYPERLINK("https://365nails.com/products/gothic-cosmic-press-on-nails-dark-day-era-blood-cross-stigmata-art-handmade-long-stiletto-archive-002-handartnails-coffin-box","Gothic Cosmic Press on Nails ""Dark Day Era"" | Handartnails")</x:f>
        <x:v>HYPERLINK is not implemented. linkLocation=https://365nails.com/products/gothic-cosmic-press-on-nails-dark-day-era-blood-cross-stigmata-art-handmade-long-stiletto-archive-002-handartnails-coffin-box, friendlyName=Gothic Cosmic Press on Nails "Dark Day Era" | Handartnails</x:v>
      </x:c>
      <x:c r="D4747" s="18" t="str">
        <x:v>Size: XS / S / M / L</x:v>
      </x:c>
      <x:c r="E4747" s="25" t="str">
        <x:v>$149.00</x:v>
      </x:c>
      <x:c r="F4747" s="19" t="str">
        <x:v>1</x:v>
      </x:c>
    </x:row>
    <x:row r="4748" ht="93" customHeight="1">
      <x:c r="A4748" s="19" t="n">
        <x:v>4745</x:v>
      </x:c>
      <x:c r="B4748" s="22" t="e">
        <x:f>HYPERLINK("https://cdn.shopify.com/s/files/1/0918/6066/4603/files/O1CN01GfJPdC1CPwJgSd7r8__2213196780074-0-cib.jpg?v=1776853644","Open")</x:f>
        <x:v>HYPERLINK is not implemented. linkLocation=https://cdn.shopify.com/s/files/1/0918/6066/4603/files/O1CN01GfJPdC1CPwJgSd7r8__2213196780074-0-cib.jpg?v=1776853644, friendlyName=Open</x:v>
      </x:c>
      <x:c r="C4748" s="24" t="e">
        <x:f>HYPERLINK("https://365nails.com/products/365nails-ethereal-bloom-iridescent-french-tip-crystal-handmade-almond-nails","365nails: ""Ethereal Bloom"" – Iridescent French Tip &amp; Crystal Handmade Almond Nails")</x:f>
        <x:v>HYPERLINK is not implemented. linkLocation=https://365nails.com/products/365nails-ethereal-bloom-iridescent-french-tip-crystal-handmade-almond-nails, friendlyName=365nails: "Ethereal Bloom" – Iridescent French Tip &amp; Crystal Handmade Almond Nails</x:v>
      </x:c>
      <x:c r="D4748" s="18" t="str">
        <x:v>Color: Extra small size xs / Small s / Medium m / Large l; Specification type: 2523 short ladder</x:v>
      </x:c>
      <x:c r="E4748" s="25" t="str">
        <x:v>$3.49</x:v>
      </x:c>
      <x:c r="F4748" s="19" t="str">
        <x:v>1</x:v>
      </x:c>
    </x:row>
    <x:row r="4749" ht="93" customHeight="1">
      <x:c r="A4749" s="19" t="n">
        <x:v>4746</x:v>
      </x:c>
      <x:c r="B4749" s="22" t="e">
        <x:f>HYPERLINK("https://cdn.shopify.com/s/files/1/0918/6066/4603/files/3e572e2449720f5d8ecc1e2bf7f11493.jpg?v=1776417244","Open")</x:f>
        <x:v>HYPERLINK is not implemented. linkLocation=https://cdn.shopify.com/s/files/1/0918/6066/4603/files/3e572e2449720f5d8ecc1e2bf7f11493.jpg?v=1776417244, friendlyName=Open</x:v>
      </x:c>
      <x:c r="C4749" s="24" t="e">
        <x:f>HYPERLINK("https://365nails.com/products/365nails-vanilla-bloom-3d-floral-handmade-medium-coffin-nails","365nails: ""Vanilla Bloom"" – 3D Floral Handmade Medium Coffin Nails")</x:f>
        <x:v>HYPERLINK is not implemented. linkLocation=https://365nails.com/products/365nails-vanilla-bloom-3d-floral-handmade-medium-coffin-nails, friendlyName=365nails: "Vanilla Bloom" – 3D Floral Handmade Medium Coffin Nails</x:v>
      </x:c>
      <x:c r="D4749" s="18" t="str">
        <x:v>Size: XS / S / M / L</x:v>
      </x:c>
      <x:c r="E4749" s="25" t="str">
        <x:v>$3.99</x:v>
      </x:c>
      <x:c r="F4749" s="19" t="str">
        <x:v>5</x:v>
      </x:c>
    </x:row>
    <x:row r="4750" ht="93" customHeight="1">
      <x:c r="A4750" s="19" t="n">
        <x:v>4747</x:v>
      </x:c>
      <x:c r="B4750" s="22" t="e">
        <x:f>HYPERLINK("https://cdn.shopify.com/s/files/1/0918/6066/4603/files/add93afa9061bf949df03a7effe4259f.jpg?v=1776325748","Open")</x:f>
        <x:v>HYPERLINK is not implemented. linkLocation=https://cdn.shopify.com/s/files/1/0918/6066/4603/files/add93afa9061bf949df03a7effe4259f.jpg?v=1776325748, friendlyName=Open</x:v>
      </x:c>
      <x:c r="C4750" s="24" t="e">
        <x:f>HYPERLINK("https://365nails.com/products/365nails-little-friends-picnic-3d-cartoon-short-square-nails","365nails: ""Little Friends Picnic"" – 3D Cartoon Short Square Nails")</x:f>
        <x:v>HYPERLINK is not implemented. linkLocation=https://365nails.com/products/365nails-little-friends-picnic-3d-cartoon-short-square-nails, friendlyName=365nails: "Little Friends Picnic" – 3D Cartoon Short Square Nails</x:v>
      </x:c>
      <x:c r="D4750" s="18" t="str">
        <x:v>Size: XS / S / M / L</x:v>
      </x:c>
      <x:c r="E4750" s="25" t="str">
        <x:v>$3.99</x:v>
      </x:c>
      <x:c r="F4750" s="19" t="str">
        <x:v>5</x:v>
      </x:c>
    </x:row>
    <x:row r="4751" ht="93" customHeight="1">
      <x:c r="A4751" s="19" t="n">
        <x:v>4748</x:v>
      </x:c>
      <x:c r="B4751" s="22" t="e">
        <x:f>HYPERLINK("https://cdn.shopify.com/s/files/1/0918/6066/4603/files/il_794xN.7518754318_2p5w.jpg?v=1767877432","Open")</x:f>
        <x:v>HYPERLINK is not implemented. linkLocation=https://cdn.shopify.com/s/files/1/0918/6066/4603/files/il_794xN.7518754318_2p5w.jpg?v=1767877432, friendlyName=Open</x:v>
      </x:c>
      <x:c r="C4751" s="24" t="e">
        <x:f>HYPERLINK("https://365nails.com/products/lucifer-fallen-angel-nails-paradise-lost-realistic-3d-eye-art-pink-gore-aesthetic-religious-creepy-cute-archive-012-coffin-box","Lucifer Fallen Angel Nails ""Paradise Lost"" | Handartnails")</x:f>
        <x:v>HYPERLINK is not implemented. linkLocation=https://365nails.com/products/lucifer-fallen-angel-nails-paradise-lost-realistic-3d-eye-art-pink-gore-aesthetic-religious-creepy-cute-archive-012-coffin-box, friendlyName=Lucifer Fallen Angel Nails "Paradise Lost" | Handartnails</x:v>
      </x:c>
      <x:c r="D4751" s="18" t="str">
        <x:v>Size: XS / S / M / L</x:v>
      </x:c>
      <x:c r="E4751" s="25" t="str">
        <x:v>$149.00</x:v>
      </x:c>
      <x:c r="F4751" s="19" t="str">
        <x:v>1</x:v>
      </x:c>
    </x:row>
    <x:row r="4752" ht="93" customHeight="1">
      <x:c r="A4752" s="19" t="n">
        <x:v>4749</x:v>
      </x:c>
      <x:c r="B4752" s="22" t="e">
        <x:f>HYPERLINK("https://cdn.shopify.com/s/files/1/0918/6066/4603/files/c835e908acc425a0c5b6b42aeec1d125.jpg?v=1776413082","Open")</x:f>
        <x:v>HYPERLINK is not implemented. linkLocation=https://cdn.shopify.com/s/files/1/0918/6066/4603/files/c835e908acc425a0c5b6b42aeec1d125.jpg?v=1776413082, friendlyName=Open</x:v>
      </x:c>
      <x:c r="C4752" s="24" t="e">
        <x:f>HYPERLINK("https://365nails.com/products/365nails-sweet-symphony-3d-floral-character-handmade-coffin-nails","365nails: ""Sweet Symphony"" – 3D Floral &amp; Character Handmade Coffin Nails-5.5cm")</x:f>
        <x:v>HYPERLINK is not implemented. linkLocation=https://365nails.com/products/365nails-sweet-symphony-3d-floral-character-handmade-coffin-nails, friendlyName=365nails: "Sweet Symphony" – 3D Floral &amp; Character Handmade Coffin Nails-5.5cm</x:v>
      </x:c>
      <x:c r="D4752" s="18" t="str">
        <x:v>Size: XS / S / M / L</x:v>
      </x:c>
      <x:c r="E4752" s="25" t="str">
        <x:v>$7.99</x:v>
      </x:c>
      <x:c r="F4752" s="19" t="str">
        <x:v>10</x:v>
      </x:c>
    </x:row>
    <x:row r="4753" ht="93" customHeight="1">
      <x:c r="A4753" s="19" t="n">
        <x:v>4750</x:v>
      </x:c>
      <x:c r="B4753" s="22" t="e">
        <x:f>HYPERLINK("https://cdn.shopify.com/s/files/1/0918/6066/4603/files/09d2578f97fc7b4886503a9f38a79306.jpg?v=1776413006","Open")</x:f>
        <x:v>HYPERLINK is not implemented. linkLocation=https://cdn.shopify.com/s/files/1/0918/6066/4603/files/09d2578f97fc7b4886503a9f38a79306.jpg?v=1776413006, friendlyName=Open</x:v>
      </x:c>
      <x:c r="C4753" s="24" t="e">
        <x:f>HYPERLINK("https://365nails.com/products/365nails-kitty-carnival-3d-character-art-handmade-coffin-nails","365nails: ""Kitty Carnival"" – 3D Character Art Handmade Coffin Nails-5.5cm")</x:f>
        <x:v>HYPERLINK is not implemented. linkLocation=https://365nails.com/products/365nails-kitty-carnival-3d-character-art-handmade-coffin-nails, friendlyName=365nails: "Kitty Carnival" – 3D Character Art Handmade Coffin Nails-5.5cm</x:v>
      </x:c>
      <x:c r="D4753" s="18" t="str">
        <x:v>Size: XS / S / M / L</x:v>
      </x:c>
      <x:c r="E4753" s="25" t="str">
        <x:v>$7.99</x:v>
      </x:c>
      <x:c r="F4753" s="19" t="str">
        <x:v>10</x:v>
      </x:c>
    </x:row>
    <x:row r="4754" ht="93" customHeight="1">
      <x:c r="A4754" s="19" t="n">
        <x:v>4751</x:v>
      </x:c>
      <x:c r="B4754" s="22" t="e">
        <x:f>HYPERLINK("https://cdn.shopify.com/s/files/1/0918/6066/4603/files/il_794xN.7518553072_en6v_189e4d53-a43a-4023-806b-ea0922f6ce66.jpg?v=1767877459","Open")</x:f>
        <x:v>HYPERLINK is not implemented. linkLocation=https://cdn.shopify.com/s/files/1/0918/6066/4603/files/il_794xN.7518553072_en6v_189e4d53-a43a-4023-806b-ea0922f6ce66.jpg?v=1767877459, friendlyName=Open</x:v>
      </x:c>
      <x:c r="C4754" s="24" t="e">
        <x:f>HYPERLINK("https://365nails.com/products/satan-lost-paradise-press-on-nails-archive-013-gothic-lucifer-fallen-angel-art-luxury-handmade-3d-black-red-nails-handartnails","Satan ""Lost Paradise"" Press on Nails | Handartnails")</x:f>
        <x:v>HYPERLINK is not implemented. linkLocation=https://365nails.com/products/satan-lost-paradise-press-on-nails-archive-013-gothic-lucifer-fallen-angel-art-luxury-handmade-3d-black-red-nails-handartnails, friendlyName=Satan "Lost Paradise" Press on Nails | Handartnails</x:v>
      </x:c>
      <x:c r="D4754" s="18" t="str">
        <x:v>Size: XS / S / M / L</x:v>
      </x:c>
      <x:c r="E4754" s="25" t="str">
        <x:v>$149.00</x:v>
      </x:c>
      <x:c r="F4754" s="19" t="str">
        <x:v>1</x:v>
      </x:c>
    </x:row>
    <x:row r="4755" ht="93" customHeight="1">
      <x:c r="A4755" s="19" t="n">
        <x:v>4752</x:v>
      </x:c>
      <x:c r="B4755" s="22" t="e">
        <x:f>HYPERLINK("https://cdn.shopify.com/s/files/1/0918/6066/4603/files/il_794xN.7566570629_lwux.jpg?v=1767877451","Open")</x:f>
        <x:v>HYPERLINK is not implemented. linkLocation=https://cdn.shopify.com/s/files/1/0918/6066/4603/files/il_794xN.7566570629_lwux.jpg?v=1767877451, friendlyName=Open</x:v>
      </x:c>
      <x:c r="C4755" s="24" t="e">
        <x:f>HYPERLINK("https://365nails.com/products/burnt-lace-gothic-bride-nails-ember-bride-witch-trial-scorch-art-handmade-distressed-texture-archive-004-handartnails-coffin-box","Burnt Lace Gothic Bride Nails ""Ember Bride"" |  Handartnails")</x:f>
        <x:v>HYPERLINK is not implemented. linkLocation=https://365nails.com/products/burnt-lace-gothic-bride-nails-ember-bride-witch-trial-scorch-art-handmade-distressed-texture-archive-004-handartnails-coffin-box, friendlyName=Burnt Lace Gothic Bride Nails "Ember Bride" |  Handartnails</x:v>
      </x:c>
      <x:c r="D4755" s="18" t="str">
        <x:v>Size: XS / S / M / L</x:v>
      </x:c>
      <x:c r="E4755" s="25" t="str">
        <x:v>$99.00</x:v>
      </x:c>
      <x:c r="F4755" s="19" t="str">
        <x:v>1</x:v>
      </x:c>
    </x:row>
    <x:row r="4756" ht="93" customHeight="1">
      <x:c r="A4756" s="19" t="n">
        <x:v>4753</x:v>
      </x:c>
      <x:c r="B4756" s="22" t="e">
        <x:f>HYPERLINK("https://cdn.shopify.com/s/files/1/0918/6066/4603/files/c73cd0c6a0fa004c70559931f98e3f70.jpg?v=1776417808","Open")</x:f>
        <x:v>HYPERLINK is not implemented. linkLocation=https://cdn.shopify.com/s/files/1/0918/6066/4603/files/c73cd0c6a0fa004c70559931f98e3f70.jpg?v=1776417808, friendlyName=Open</x:v>
      </x:c>
      <x:c r="C4756" s="24" t="e">
        <x:f>HYPERLINK("https://365nails.com/products/365nails-ethereal-garden-3d-floral-handmade-medium-almond-nails","365nails: ""Ethereal Garden"" – 3D Floral Handmade Medium Almond Nails")</x:f>
        <x:v>HYPERLINK is not implemented. linkLocation=https://365nails.com/products/365nails-ethereal-garden-3d-floral-handmade-medium-almond-nails, friendlyName=365nails: "Ethereal Garden" – 3D Floral Handmade Medium Almond Nails</x:v>
      </x:c>
      <x:c r="D4756" s="18" t="str">
        <x:v>Size: XS / S / M / L</x:v>
      </x:c>
      <x:c r="E4756" s="25" t="str">
        <x:v>$3.99</x:v>
      </x:c>
      <x:c r="F4756" s="19" t="str">
        <x:v>5</x:v>
      </x:c>
    </x:row>
    <x:row r="4757" ht="93" customHeight="1">
      <x:c r="A4757" s="19" t="n">
        <x:v>4754</x:v>
      </x:c>
      <x:c r="B4757" s="22" t="e">
        <x:f>HYPERLINK("https://cdn.shopify.com/s/files/1/0918/6066/4603/files/O1CN01fZ8noE1v7J0JAGX3X__2218399446125-0-cib.jpg?v=1763632343","Open")</x:f>
        <x:v>HYPERLINK is not implemented. linkLocation=https://cdn.shopify.com/s/files/1/0918/6066/4603/files/O1CN01fZ8noE1v7J0JAGX3X__2218399446125-0-cib.jpg?v=1763632343, friendlyName=Open</x:v>
      </x:c>
      <x:c r="C4757" s="24" t="e">
        <x:f>HYPERLINK("https://365nails.com/products/internet-celebrity-winter-christmas-ball-nail-sticker-5d-relief-white-hollow-christmas-ball-nail-sticker-jewelry-tj-model","Internet celebrity winter christmas ball nail sticker 5d relief white hollow christmas ball nail sticker jewelry TJ model")</x:f>
        <x:v>HYPERLINK is not implemented. linkLocation=https://365nails.com/products/internet-celebrity-winter-christmas-ball-nail-sticker-5d-relief-white-hollow-christmas-ball-nail-sticker-jewelry-tj-model, friendlyName=Internet celebrity winter christmas ball nail sticker 5d relief white hollow christmas ball nail sticker jewelry TJ model</x:v>
      </x:c>
      <x:c r="D4757" s="18" t="str">
        <x:v>Specification type: TJ-040 / TJ-041 / TJ-042 / TJ-043 / TJ-048</x:v>
      </x:c>
      <x:c r="E4757" s="25" t="str">
        <x:v>$0.70</x:v>
      </x:c>
      <x:c r="F4757" s="19" t="str">
        <x:v>1</x:v>
      </x:c>
    </x:row>
    <x:row r="4758" ht="93" customHeight="1">
      <x:c r="A4758" s="19" t="n">
        <x:v>4755</x:v>
      </x:c>
      <x:c r="B4758" s="22" t="e">
        <x:f>HYPERLINK("https://cdn.shopify.com/s/files/1/0918/6066/4603/files/ac9d580219b0b4f6173172cecd557baf.jpg?v=1776413427","Open")</x:f>
        <x:v>HYPERLINK is not implemented. linkLocation=https://cdn.shopify.com/s/files/1/0918/6066/4603/files/ac9d580219b0b4f6173172cecd557baf.jpg?v=1776413427, friendlyName=Open</x:v>
      </x:c>
      <x:c r="C4758" s="24" t="e">
        <x:f>HYPERLINK("https://365nails.com/products/365nails-enchanted-garden-3d-character-art-handmade-coffin-nails","365nails: ""Enchanted Garden"" – 3D Character Art Handmade Coffin Nails-5.5cm")</x:f>
        <x:v>HYPERLINK is not implemented. linkLocation=https://365nails.com/products/365nails-enchanted-garden-3d-character-art-handmade-coffin-nails, friendlyName=365nails: "Enchanted Garden" – 3D Character Art Handmade Coffin Nails-5.5cm</x:v>
      </x:c>
      <x:c r="D4758" s="18" t="str">
        <x:v>Size: XS / S / M / L</x:v>
      </x:c>
      <x:c r="E4758" s="25" t="str">
        <x:v>$7.99</x:v>
      </x:c>
      <x:c r="F4758" s="19" t="str">
        <x:v>10</x:v>
      </x:c>
    </x:row>
    <x:row r="4759" ht="93" customHeight="1">
      <x:c r="A4759" s="19" t="n">
        <x:v>4756</x:v>
      </x:c>
      <x:c r="B4759" s="22" t="e">
        <x:f>HYPERLINK("https://cdn.shopify.com/s/files/1/0918/6066/4603/files/d16cf4377668ce7ff745e7bc09284b5f.jpg?v=1755239172","Open")</x:f>
        <x:v>HYPERLINK is not implemented. linkLocation=https://cdn.shopify.com/s/files/1/0918/6066/4603/files/d16cf4377668ce7ff745e7bc09284b5f.jpg?v=1755239172, friendlyName=Open</x:v>
      </x:c>
      <x:c r="C4759" s="24" t="e">
        <x:f>HYPERLINK("https://365nails.com/products/nail-tips-amazon-popular-nail-piece-no-c-extended-water-pipe-nail-patch-504-pieces-boxed-transparent-semi-sticker-xxxl-fake-nails","Nail Tips Amazon popular nail piece NO C extended water pipe nail patch 504 pieces boxed transparent semi-sticker XXXL fake nails (MOQ=3)")</x:f>
        <x:v>HYPERLINK is not implemented. linkLocation=https://365nails.com/products/nail-tips-amazon-popular-nail-piece-no-c-extended-water-pipe-nail-patch-504-pieces-boxed-transparent-semi-sticker-xxxl-fake-nails, friendlyName=Nail Tips Amazon popular nail piece NO C extended water pipe nail patch 504 pieces boxed transparent semi-sticker XXXL fake nails (MOQ=3)</x:v>
      </x:c>
      <x:c r="D4759" s="18" t="str">
        <x:v>Color classification: Transparent color - 504 pieces in a bag / Natural color - 504 pieces in a bag / Transparent color - 360 pieces in a box / Natural Color - 360 Pieces Boxed; Quantity: 3pcs</x:v>
      </x:c>
      <x:c r="E4759" s="25" t="str">
        <x:v>$5.70–$6.78</x:v>
      </x:c>
      <x:c r="F4759" s="19" t="str">
        <x:v>1</x:v>
      </x:c>
    </x:row>
    <x:row r="4760" ht="93" customHeight="1">
      <x:c r="A4760" s="19" t="n">
        <x:v>4757</x:v>
      </x:c>
      <x:c r="B4760" s="22" t="e">
        <x:f>HYPERLINK("https://cdn.shopify.com/s/files/1/0918/6066/4603/files/O1CN01KM0oHP1v7J0IG6hld__2218399446125-0-cib.jpg?v=1763632155","Open")</x:f>
        <x:v>HYPERLINK is not implemented. linkLocation=https://cdn.shopify.com/s/files/1/0918/6066/4603/files/O1CN01KM0oHP1v7J0IG6hld__2218399446125-0-cib.jpg?v=1763632155, friendlyName=Open</x:v>
      </x:c>
      <x:c r="C4760" s="24" t="e">
        <x:f>HYPERLINK("https://365nails.com/products/original-christmas-element-nail-art-sticker-5d-relief-three-dimensional-happy-christmas-diy-nail-sticker-jewelry-hg-model","Original Christmas element nail art sticker 5D relief three-dimensional happy Christmas DIY nail sticker jewelry HG model")</x:f>
        <x:v>HYPERLINK is not implemented. linkLocation=https://365nails.com/products/original-christmas-element-nail-art-sticker-5d-relief-three-dimensional-happy-christmas-diy-nail-sticker-jewelry-hg-model, friendlyName=Original Christmas element nail art sticker 5D relief three-dimensional happy Christmas DIY nail sticker jewelry HG model</x:v>
      </x:c>
      <x:c r="D4760" s="18" t="str">
        <x:v>Specification type: HG-5D511 / HG-5D512 / HG-5D514 / HG-5D515 / HG-5D516</x:v>
      </x:c>
      <x:c r="E4760" s="25" t="str">
        <x:v>$0.50</x:v>
      </x:c>
      <x:c r="F4760" s="19" t="str">
        <x:v>1</x:v>
      </x:c>
    </x:row>
    <x:row r="4761" ht="93" customHeight="1">
      <x:c r="A4761" s="19" t="n">
        <x:v>4758</x:v>
      </x:c>
      <x:c r="B4761" s="22" t="e">
        <x:f>HYPERLINK("https://cdn.shopify.com/s/files/1/0918/6066/4603/files/O1CN012rtbAd1v7J02o8BQ0__2218399446125-0-cib.jpg?v=1763631990","Open")</x:f>
        <x:v>HYPERLINK is not implemented. linkLocation=https://cdn.shopify.com/s/files/1/0918/6066/4603/files/O1CN012rtbAd1v7J02o8BQ0__2218399446125-0-cib.jpg?v=1763631990, friendlyName=Open</x:v>
      </x:c>
      <x:c r="C4761" s="24" t="e">
        <x:f>HYPERLINK("https://365nails.com/products/original-christmas-nail-sticker-5d-relief-three-dimensional-happy-christmas-atmosphere-elements-diy-nail-sticker-hg-model","Original Christmas nail sticker 5D relief three-dimensional happy Christmas atmosphere elements DIY nail sticker HG model")</x:f>
        <x:v>HYPERLINK is not implemented. linkLocation=https://365nails.com/products/original-christmas-nail-sticker-5d-relief-three-dimensional-happy-christmas-atmosphere-elements-diy-nail-sticker-hg-model, friendlyName=Original Christmas nail sticker 5D relief three-dimensional happy Christmas atmosphere elements DIY nail sticker HG model</x:v>
      </x:c>
      <x:c r="D4761" s="18" t="str">
        <x:v>Specification type: HG-5D519 / HG-5D520 / HG-5D521 / HG-5D522 / HG-5D523 / HG-5D524</x:v>
      </x:c>
      <x:c r="E4761" s="25" t="str">
        <x:v>$0.30</x:v>
      </x:c>
      <x:c r="F4761" s="19" t="str">
        <x:v>1</x:v>
      </x:c>
    </x:row>
    <x:row r="4762" ht="93" customHeight="1">
      <x:c r="A4762" s="19" t="n">
        <x:v>4759</x:v>
      </x:c>
      <x:c r="B4762" s="22" t="e">
        <x:f>HYPERLINK("https://cdn.shopify.com/s/files/1/0918/6066/4603/files/a66e801482225d2a4b7f93e503f24023.jpg?v=1776412906","Open")</x:f>
        <x:v>HYPERLINK is not implemented. linkLocation=https://cdn.shopify.com/s/files/1/0918/6066/4603/files/a66e801482225d2a4b7f93e503f24023.jpg?v=1776412906, friendlyName=Open</x:v>
      </x:c>
      <x:c r="C4762" s="24" t="e">
        <x:f>HYPERLINK("https://365nails.com/products/365nails-celestial-majesty-3d-ornate-art-handmade-coffin-nails","365nails: ""Celestial Majesty"" – 3D Ornate Art Handmade Coffin Nails-5.5cm")</x:f>
        <x:v>HYPERLINK is not implemented. linkLocation=https://365nails.com/products/365nails-celestial-majesty-3d-ornate-art-handmade-coffin-nails, friendlyName=365nails: "Celestial Majesty" – 3D Ornate Art Handmade Coffin Nails-5.5cm</x:v>
      </x:c>
      <x:c r="D4762" s="18" t="str">
        <x:v>Size: XS / S / M / L</x:v>
      </x:c>
      <x:c r="E4762" s="25" t="str">
        <x:v>$7.99</x:v>
      </x:c>
      <x:c r="F4762" s="19" t="str">
        <x:v>10</x:v>
      </x:c>
    </x:row>
    <x:row r="4763" ht="93" customHeight="1">
      <x:c r="A4763" s="19" t="n">
        <x:v>4760</x:v>
      </x:c>
      <x:c r="B4763" s="22" t="e">
        <x:f>HYPERLINK("https://cdn.shopify.com/s/files/1/0918/6066/4603/files/il_794xN.7566671467_o9ge.jpg?v=1767877437","Open")</x:f>
        <x:v>HYPERLINK is not implemented. linkLocation=https://cdn.shopify.com/s/files/1/0918/6066/4603/files/il_794xN.7566671467_o9ge.jpg?v=1767877437, friendlyName=Open</x:v>
      </x:c>
      <x:c r="C4763" s="24" t="e">
        <x:f>HYPERLINK("https://365nails.com/products/mossy-gothic-nails-doomsday-rust-real-dried-flower-skeleton-art-goblincore-grunge-archive-008-handartnails-coffin-box","Mossy Gothic Nails ""Doomsday Rust"" | Handartnails")</x:f>
        <x:v>HYPERLINK is not implemented. linkLocation=https://365nails.com/products/mossy-gothic-nails-doomsday-rust-real-dried-flower-skeleton-art-goblincore-grunge-archive-008-handartnails-coffin-box, friendlyName=Mossy Gothic Nails "Doomsday Rust" | Handartnails</x:v>
      </x:c>
      <x:c r="D4763" s="18" t="str">
        <x:v>Size: XS / S / M / L</x:v>
      </x:c>
      <x:c r="E4763" s="25" t="str">
        <x:v>$149.00</x:v>
      </x:c>
      <x:c r="F4763" s="19" t="str">
        <x:v>1</x:v>
      </x:c>
    </x:row>
    <x:row r="4764" ht="93" customHeight="1">
      <x:c r="A4764" s="19" t="n">
        <x:v>4761</x:v>
      </x:c>
      <x:c r="B4764" s="22" t="e">
        <x:f>HYPERLINK("https://cdn.shopify.com/s/files/1/0918/6066/4603/files/il_794xN.7566727571_q3wh_1fba9b92-62bf-472a-89d1-592dc87a5dab.jpg?v=1767877435","Open")</x:f>
        <x:v>HYPERLINK is not implemented. linkLocation=https://cdn.shopify.com/s/files/1/0918/6066/4603/files/il_794xN.7566727571_q3wh_1fba9b92-62bf-472a-89d1-592dc87a5dab.jpg?v=1767877435, friendlyName=Open</x:v>
      </x:c>
      <x:c r="C4764" s="24" t="e">
        <x:f>HYPERLINK("https://365nails.com/products/cyberpunk-flesh-nails-virtual-body-bio-digital-bruise-art-chrome-implant-y2k-archive-009-handartnails-coffin-box","Cyberpunk Flesh Nails ""Virtual Body"" |  Handartnails")</x:f>
        <x:v>HYPERLINK is not implemented. linkLocation=https://365nails.com/products/cyberpunk-flesh-nails-virtual-body-bio-digital-bruise-art-chrome-implant-y2k-archive-009-handartnails-coffin-box, friendlyName=Cyberpunk Flesh Nails "Virtual Body" |  Handartnails</x:v>
      </x:c>
      <x:c r="D4764" s="18" t="str">
        <x:v>Size: XS / S / M / L</x:v>
      </x:c>
      <x:c r="E4764" s="25" t="str">
        <x:v>$149.00</x:v>
      </x:c>
      <x:c r="F4764" s="19" t="str">
        <x:v>1</x:v>
      </x:c>
    </x:row>
    <x:row r="4765" ht="93" customHeight="1">
      <x:c r="A4765" s="19" t="n">
        <x:v>4762</x:v>
      </x:c>
      <x:c r="B4765" s="22" t="e">
        <x:f>HYPERLINK("https://cdn.shopify.com/s/files/1/0918/6066/4603/files/8980875fd8564bd7fcb2c99281a6d81c.jpg?v=1776417172","Open")</x:f>
        <x:v>HYPERLINK is not implemented. linkLocation=https://cdn.shopify.com/s/files/1/0918/6066/4603/files/8980875fd8564bd7fcb2c99281a6d81c.jpg?v=1776417172, friendlyName=Open</x:v>
      </x:c>
      <x:c r="C4765" s="24" t="e">
        <x:f>HYPERLINK("https://365nails.com/products/365nails-midnight-orchid-3d-floral-handmade-medium-coffin-nails","365nails: ""Midnight Orchid"" – 3D Floral Handmade Medium Coffin Nails")</x:f>
        <x:v>HYPERLINK is not implemented. linkLocation=https://365nails.com/products/365nails-midnight-orchid-3d-floral-handmade-medium-coffin-nails, friendlyName=365nails: "Midnight Orchid" – 3D Floral Handmade Medium Coffin Nails</x:v>
      </x:c>
      <x:c r="D4765" s="18" t="str">
        <x:v>Size: XS / S / M / L</x:v>
      </x:c>
      <x:c r="E4765" s="25" t="str">
        <x:v>$3.99</x:v>
      </x:c>
      <x:c r="F4765" s="19" t="str">
        <x:v>5</x:v>
      </x:c>
    </x:row>
    <x:row r="4766" ht="93" customHeight="1">
      <x:c r="A4766" s="19" t="n">
        <x:v>4763</x:v>
      </x:c>
      <x:c r="B4766" s="22" t="e">
        <x:f>HYPERLINK("https://cdn.shopify.com/s/files/1/0918/6066/4603/files/O1CN01rG15dQ1rlpKBkJT52__2215158925672-0-cib_3421b026-93eb-40dc-8a90-64e7fe2fa12f.jpg?v=1772513809","Open")</x:f>
        <x:v>HYPERLINK is not implemented. linkLocation=https://cdn.shopify.com/s/files/1/0918/6066/4603/files/O1CN01rG15dQ1rlpKBkJT52__2215158925672-0-cib_3421b026-93eb-40dc-8a90-64e7fe2fa12f.jpg?v=1772513809, friendlyName=Open</x:v>
      </x:c>
      <x:c r="C4766" s="24" t="e">
        <x:f>HYPERLINK("https://365nails.com/products/365nails-whimsy-kawaii-critters-short-square-3d-cartoon-character-press-on-nails-24pcs","365nails: ""Quirky Sprites"" – Short Round Handmade Press-On Nails")</x:f>
        <x:v>HYPERLINK is not implemented. linkLocation=https://365nails.com/products/365nails-whimsy-kawaii-critters-short-square-3d-cartoon-character-press-on-nails-24pcs, friendlyName=365nails: "Quirky Sprites" – Short Round Handmade Press-On Nails</x:v>
      </x:c>
      <x:c r="D4766" s="18" t="str">
        <x:v>Color: Short round; Color classification: X s / S / M / L</x:v>
      </x:c>
      <x:c r="E4766" s="25" t="str">
        <x:v>$3.99</x:v>
      </x:c>
      <x:c r="F4766" s="19" t="str">
        <x:v>3</x:v>
      </x:c>
    </x:row>
    <x:row r="4767" ht="93" customHeight="1">
      <x:c r="A4767" s="19" t="n">
        <x:v>4764</x:v>
      </x:c>
      <x:c r="B4767" s="22" t="e">
        <x:f>HYPERLINK("https://cdn.shopify.com/s/files/1/0918/6066/4603/files/b7ca515e59979b7b3b3dff8c1fbbf232_16ecd980-8b41-4b85-b4d7-60ad277f2d49.jpg?v=1755228497","Open")</x:f>
        <x:v>HYPERLINK is not implemented. linkLocation=https://cdn.shopify.com/s/files/1/0918/6066/4603/files/b7ca515e59979b7b3b3dff8c1fbbf232_16ecd980-8b41-4b85-b4d7-60ad277f2d49.jpg?v=1755228497, friendlyName=Open</x:v>
      </x:c>
      <x:c r="C4767" s="24" t="e">
        <x:f>HYPERLINK("https://365nails.com/products/nail-tips-nail-art-extension-nail-mold-120-pieces-boxed-no-paper-holder-no-trace-oval-with-scale-line-rapid-phototherapy-nail-film-wholesale","Nail Art Extension Nail Mold, Paperless Trace-Free Oval with Scale, Quick Phototherapy Nail Film, 120 Pieces Boxed (MOQ=3)")</x:f>
        <x:v>HYPERLINK is not implemented. linkLocation=https://365nails.com/products/nail-tips-nail-art-extension-nail-mold-120-pieces-boxed-no-paper-holder-no-trace-oval-with-scale-line-rapid-phototherapy-nail-film-wholesale, friendlyName=Nail Art Extension Nail Mold, Paperless Trace-Free Oval with Scale, Quick Phototherapy Nail Film, 120 Pieces Boxed (MOQ=3)</x:v>
      </x:c>
      <x:c r="D4767" s="18" t="str">
        <x:v>Color: JM-38 * 120 tablets; Quantity: 3pcs</x:v>
      </x:c>
      <x:c r="E4767" s="25" t="str">
        <x:v>$4.38</x:v>
      </x:c>
      <x:c r="F4767" s="19" t="str">
        <x:v>1</x:v>
      </x:c>
    </x:row>
    <x:row r="4768" ht="93" customHeight="1">
      <x:c r="A4768" s="19" t="n">
        <x:v>4765</x:v>
      </x:c>
      <x:c r="B4768" s="22" t="e">
        <x:f>HYPERLINK("https://cdn.shopify.com/s/files/1/0918/6066/4603/files/O1CN017m21wE1v7J0J9YsQo__2218399446125-0-cib.jpg?v=1763627565","Open")</x:f>
        <x:v>HYPERLINK is not implemented. linkLocation=https://cdn.shopify.com/s/files/1/0918/6066/4603/files/O1CN017m21wE1v7J0J9YsQo__2218399446125-0-cib.jpg?v=1763627565, friendlyName=Open</x:v>
      </x:c>
      <x:c r="C4768" s="24" t="e">
        <x:f>HYPERLINK("https://365nails.com/products/aurora-christmas-ball-nail-sticker-5d-embossed-three-dimensional-shell-light-christmas-atmosphere-diy-nail-sticker-sa","Aurora Christmas Ball Nail Sticker 5D Embossed Three-dimensional Shell Light Christmas Atmosphere DIY Nail Sticker SA")</x:f>
        <x:v>HYPERLINK is not implemented. linkLocation=https://365nails.com/products/aurora-christmas-ball-nail-sticker-5d-embossed-three-dimensional-shell-light-christmas-atmosphere-diy-nail-sticker-sa, friendlyName=Aurora Christmas Ball Nail Sticker 5D Embossed Three-dimensional Shell Light Christmas Atmosphere DIY Nail Sticker SA</x:v>
      </x:c>
      <x:c r="D4768" s="18" t="str">
        <x:v>Specification type: SA-027 / SA-028 / SA-029 / SA-037 / SA-038</x:v>
      </x:c>
      <x:c r="E4768" s="25" t="str">
        <x:v>$0.70</x:v>
      </x:c>
      <x:c r="F4768" s="19" t="str">
        <x:v>1</x:v>
      </x:c>
    </x:row>
    <x:row r="4769" ht="93" customHeight="1">
      <x:c r="A4769" s="19" t="n">
        <x:v>4766</x:v>
      </x:c>
      <x:c r="B4769" s="22" t="e">
        <x:f>HYPERLINK("https://cdn.shopify.com/s/files/1/0918/6066/4603/files/O1CN01HsfwmI1v7Izk30skp__2218399446125-0-cib.jpg?v=1763623511","Open")</x:f>
        <x:v>HYPERLINK is not implemented. linkLocation=https://cdn.shopify.com/s/files/1/0918/6066/4603/files/O1CN01HsfwmI1v7Izk30skp__2218399446125-0-cib.jpg?v=1763623511, friendlyName=Open</x:v>
      </x:c>
      <x:c r="C4769" s="24" t="e">
        <x:f>HYPERLINK("https://365nails.com/products/christmas-themed-nail-art-sticker-5d-relief-three-dimensional-cute-snowman-diy-christmas-nail-sticker-jewelry-yl","Christmas themed nail art sticker 5D relief three-dimensional cute snowman DIY Christmas nail sticker jewelry YL")</x:f>
        <x:v>HYPERLINK is not implemented. linkLocation=https://365nails.com/products/christmas-themed-nail-art-sticker-5d-relief-three-dimensional-cute-snowman-diy-christmas-nail-sticker-jewelry-yl, friendlyName=Christmas themed nail art sticker 5D relief three-dimensional cute snowman DIY Christmas nail sticker jewelry YL</x:v>
      </x:c>
      <x:c r="D4769" s="18" t="str">
        <x:v>Specification type: YL-1109 / YL-1110 / YL-1111 / YL-1112 / YL-1113 / YL-1114</x:v>
      </x:c>
      <x:c r="E4769" s="25" t="str">
        <x:v>$0.30</x:v>
      </x:c>
      <x:c r="F4769" s="19" t="str">
        <x:v>1</x:v>
      </x:c>
    </x:row>
    <x:row r="4770" ht="93" customHeight="1">
      <x:c r="A4770" s="19" t="n">
        <x:v>4767</x:v>
      </x:c>
      <x:c r="B4770" s="22" t="e">
        <x:f>HYPERLINK("https://cdn.shopify.com/s/files/1/0918/6066/4603/files/94c09288be530283a4a64902f54817e9.jpg?v=1776415020","Open")</x:f>
        <x:v>HYPERLINK is not implemented. linkLocation=https://cdn.shopify.com/s/files/1/0918/6066/4603/files/94c09288be530283a4a64902f54817e9.jpg?v=1776415020, friendlyName=Open</x:v>
      </x:c>
      <x:c r="C4770" s="24" t="e">
        <x:f>HYPERLINK("https://365nails.com/products/365nails-amber-bloom-3d-floral-woven-texture-handmade-short-square-nails","365nails: ""Amber Bloom"" – 3D Floral &amp; Woven Texture Handmade Short Square Nails")</x:f>
        <x:v>HYPERLINK is not implemented. linkLocation=https://365nails.com/products/365nails-amber-bloom-3d-floral-woven-texture-handmade-short-square-nails, friendlyName=365nails: "Amber Bloom" – 3D Floral &amp; Woven Texture Handmade Short Square Nails</x:v>
      </x:c>
      <x:c r="D4770" s="18" t="str">
        <x:v>Size: XS / S / M / L</x:v>
      </x:c>
      <x:c r="E4770" s="25" t="str">
        <x:v>$2.49</x:v>
      </x:c>
      <x:c r="F4770" s="19" t="str">
        <x:v>5</x:v>
      </x:c>
    </x:row>
    <x:row r="4771" ht="93" customHeight="1">
      <x:c r="A4771" s="19" t="n">
        <x:v>4768</x:v>
      </x:c>
      <x:c r="B4771" s="22" t="e">
        <x:f>HYPERLINK("https://cdn.shopify.com/s/files/1/0918/6066/4603/files/7c20d8f1cf3ad7af6830e9e43553c33b.jpg?v=1755242047","Open")</x:f>
        <x:v>HYPERLINK is not implemented. linkLocation=https://cdn.shopify.com/s/files/1/0918/6066/4603/files/7c20d8f1cf3ad7af6830e9e43553c33b.jpg?v=1755242047, friendlyName=Open</x:v>
      </x:c>
      <x:c r="C4771" s="24" t="e">
        <x:f>HYPERLINK("https://365nails.com/products/nail-tips-semi-matte-nail-piece-short-square-seamless-cut-free-press-on-nails-piece-short-transparent-full-patch-manicure-fake-nail","Nail Tips Semi-matte nail piece, short square, seamless, cut-free press on nails piece, short transparent full patch, manicure fake nail (MOQ=3)")</x:f>
        <x:v>HYPERLINK is not implemented. linkLocation=https://365nails.com/products/nail-tips-semi-matte-nail-piece-short-square-seamless-cut-free-press-on-nails-piece-short-transparent-full-patch-manicure-fake-nail, friendlyName=Nail Tips Semi-matte nail piece, short square, seamless, cut-free press on nails piece, short transparent full patch, manicure fake nail (MOQ=3)</x:v>
      </x:c>
      <x:c r="D4771" s="18" t="str">
        <x:v>Color: YS-170 * 120 pieces/bag; Quantity: 3pcs</x:v>
      </x:c>
      <x:c r="E4771" s="25" t="str">
        <x:v>$3.51</x:v>
      </x:c>
      <x:c r="F4771" s="19" t="str">
        <x:v>1</x:v>
      </x:c>
    </x:row>
    <x:row r="4772" ht="93" customHeight="1">
      <x:c r="A4772" s="19" t="n">
        <x:v>4769</x:v>
      </x:c>
      <x:c r="B4772" s="22" t="e">
        <x:f>HYPERLINK("https://cdn.shopify.com/s/files/1/0918/6066/4603/files/68a1e682c8a00c5d0e270b77bf05db96.jpg?v=1755243176","Open")</x:f>
        <x:v>HYPERLINK is not implemented. linkLocation=https://cdn.shopify.com/s/files/1/0918/6066/4603/files/68a1e682c8a00c5d0e270b77bf05db96.jpg?v=1755243176, friendlyName=Open</x:v>
      </x:c>
      <x:c r="C4772" s="24" t="e">
        <x:f>HYPERLINK("https://365nails.com/products/nail-tips-nail-piece-transparent-full-sticker-half-sand-240-pieces-boxed-light-and-seamless-nail-art-trapezoidal-free-matte-patch-fake-nail","Nail Tips Nail piece transparent full sticker half sand 240 pieces boxed, light and seamless nail art trapezoidal free matte patch fake nail (MOQ=3)")</x:f>
        <x:v>HYPERLINK is not implemented. linkLocation=https://365nails.com/products/nail-tips-nail-piece-transparent-full-sticker-half-sand-240-pieces-boxed-light-and-seamless-nail-art-trapezoidal-free-matte-patch-fake-nail, friendlyName=Nail Tips Nail piece transparent full sticker half sand 240 pieces boxed, light and seamless nail art trapezoidal free matte patch fake nail (MOQ=3)</x:v>
      </x:c>
      <x:c r="D4772" s="18" t="str">
        <x:v>Color: 106-Keystone-240 Boxed / 107-Ballet-240 Box / 108-Long Oval-240 Boxed / 109-Almond-240 Boxed / 110-Long Water Drop-240 Box; Quantity: 3pcs</x:v>
      </x:c>
      <x:c r="E4772" s="25" t="str">
        <x:v>$3.00</x:v>
      </x:c>
      <x:c r="F4772" s="19" t="str">
        <x:v>1</x:v>
      </x:c>
    </x:row>
    <x:row r="4773" ht="93" customHeight="1">
      <x:c r="A4773" s="19" t="n">
        <x:v>4770</x:v>
      </x:c>
      <x:c r="B4773" s="22" t="e">
        <x:f>HYPERLINK("https://cdn.shopify.com/s/files/1/0918/6066/4603/files/tufan_2F652fe756-c601-11f0-a58d-00163e1bb989.jpg?v=1763636994","Open")</x:f>
        <x:v>HYPERLINK is not implemented. linkLocation=https://cdn.shopify.com/s/files/1/0918/6066/4603/files/tufan_2F652fe756-c601-11f0-a58d-00163e1bb989.jpg?v=1763636994, friendlyName=Open</x:v>
      </x:c>
      <x:c r="C4773" s="24" t="e">
        <x:f>HYPERLINK("https://365nails.com/products/happy-christmas-nail-art-sticker-5d-embossed-three-dimensional-snowman-santa-diy-nail-sticker-ornament-hg","Happy Christmas Nail Art Sticker 5D Embossed Three-dimensional Snowman Santa DIY Nail Sticker Ornament HG")</x:f>
        <x:v>HYPERLINK is not implemented. linkLocation=https://365nails.com/products/happy-christmas-nail-art-sticker-5d-embossed-three-dimensional-snowman-santa-diy-nail-sticker-ornament-hg, friendlyName=Happy Christmas Nail Art Sticker 5D Embossed Three-dimensional Snowman Santa DIY Nail Sticker Ornament HG</x:v>
      </x:c>
      <x:c r="D4773" s="18" t="str">
        <x:v>Specification type: HG-5D067 / HG-5D068 / HG-5D069 / HG-5D070 / HG-5D363 / HG-5D375</x:v>
      </x:c>
      <x:c r="E4773" s="25" t="str">
        <x:v>$0.30</x:v>
      </x:c>
      <x:c r="F4773" s="19" t="str">
        <x:v>1</x:v>
      </x:c>
    </x:row>
    <x:row r="4774" ht="93" customHeight="1">
      <x:c r="A4774" s="19" t="n">
        <x:v>4771</x:v>
      </x:c>
      <x:c r="B4774" s="22" t="e">
        <x:f>HYPERLINK("https://cdn.shopify.com/s/files/1/0918/6066/4603/files/il_794xN.7566622399_kege.jpg?v=1767877443","Open")</x:f>
        <x:v>HYPERLINK is not implemented. linkLocation=https://cdn.shopify.com/s/files/1/0918/6066/4603/files/il_794xN.7566622399_kege.jpg?v=1767877443, friendlyName=Open</x:v>
      </x:c>
      <x:c r="C4774" s="24" t="e">
        <x:f>HYPERLINK("https://365nails.com/products/thermal-gothic-nails-eclipse-era-000-lucifer-scale-texture-color-changing-reveal-art-handmade-dark-grunge-archive-000-coffin-box","Thermal Gothic Nails ""Eclipse Era 000""  | Handartnails")</x:f>
        <x:v>HYPERLINK is not implemented. linkLocation=https://365nails.com/products/thermal-gothic-nails-eclipse-era-000-lucifer-scale-texture-color-changing-reveal-art-handmade-dark-grunge-archive-000-coffin-box, friendlyName=Thermal Gothic Nails "Eclipse Era 000"  | Handartnails</x:v>
      </x:c>
      <x:c r="D4774" s="18" t="str">
        <x:v>Size: XS / S / M / L</x:v>
      </x:c>
      <x:c r="E4774" s="25" t="str">
        <x:v>$149.00</x:v>
      </x:c>
      <x:c r="F4774" s="19" t="str">
        <x:v>1</x:v>
      </x:c>
    </x:row>
    <x:row r="4775" ht="93" customHeight="1">
      <x:c r="A4775" s="19" t="n">
        <x:v>4772</x:v>
      </x:c>
      <x:c r="B4775" s="22" t="e">
        <x:f>HYPERLINK("https://cdn.shopify.com/s/files/1/0918/6066/4603/files/fcd34d59dd82d02546065cb65ec7c1d6.jpg?v=1755245888","Open")</x:f>
        <x:v>HYPERLINK is not implemented. linkLocation=https://cdn.shopify.com/s/files/1/0918/6066/4603/files/fcd34d59dd82d02546065cb65ec7c1d6.jpg?v=1755245888, friendlyName=Open</x:v>
      </x:c>
      <x:c r="C4775" s="24" t="e">
        <x:f>HYPERLINK("https://365nails.com/products/nail-tips-nail-matte-cut-free-grinding-semi-sticker-long-240-pieces-boxed-transparent-water-pipe-nail-patch-fake-nail-wholesale","Nail Tips Nail matte, cut-free grinding, semi-sticker, long 240 pieces, boxed transparent water pipe nail patch, fake nail wholesale (MOQ=3)")</x:f>
        <x:v>HYPERLINK is not implemented. linkLocation=https://365nails.com/products/nail-tips-nail-matte-cut-free-grinding-semi-sticker-long-240-pieces-boxed-transparent-water-pipe-nail-patch-fake-nail-wholesale, friendlyName=Nail Tips Nail matte, cut-free grinding, semi-sticker, long 240 pieces, boxed transparent water pipe nail patch, fake nail wholesale (MOQ=3)</x:v>
      </x:c>
      <x:c r="D4775" s="18" t="str">
        <x:v>Color: YS-292 * 240 pieces / YS-293 * 240 pieces / YS-294 * 240 pieces; Quantity: 3pcs</x:v>
      </x:c>
      <x:c r="E4775" s="25" t="str">
        <x:v>$4.65</x:v>
      </x:c>
      <x:c r="F4775" s="19" t="str">
        <x:v>1</x:v>
      </x:c>
    </x:row>
    <x:row r="4776" ht="93" customHeight="1">
      <x:c r="A4776" s="19" t="n">
        <x:v>4773</x:v>
      </x:c>
      <x:c r="B4776" s="22" t="e">
        <x:f>HYPERLINK("https://cdn.shopify.com/s/files/1/0918/6066/4603/files/O1CN01aBdGNe1v7J0Nak30K__2218399446125-0-cib.jpg?v=1763623172","Open")</x:f>
        <x:v>HYPERLINK is not implemented. linkLocation=https://cdn.shopify.com/s/files/1/0918/6066/4603/files/O1CN01aBdGNe1v7J0Nak30K__2218399446125-0-cib.jpg?v=1763623172, friendlyName=Open</x:v>
      </x:c>
      <x:c r="C4776" s="24" t="e">
        <x:f>HYPERLINK("https://365nails.com/products/winter-laser-snowflake-nail-art-sticker-5d-embossed-aurora-christmas-snowflake-diy-nail-sticker-ornament-sl","Winter Laser Snowflake Nail Art Sticker 5D Embossed Aurora Christmas Snowflake DIY Nail Sticker Ornament SL")</x:f>
        <x:v>HYPERLINK is not implemented. linkLocation=https://365nails.com/products/winter-laser-snowflake-nail-art-sticker-5d-embossed-aurora-christmas-snowflake-diy-nail-sticker-ornament-sl, friendlyName=Winter Laser Snowflake Nail Art Sticker 5D Embossed Aurora Christmas Snowflake DIY Nail Sticker Ornament SL</x:v>
      </x:c>
      <x:c r="D4776" s="18" t="str">
        <x:v>Specification type: SL-1126AA</x:v>
      </x:c>
      <x:c r="E4776" s="25" t="str">
        <x:v>$0.70</x:v>
      </x:c>
      <x:c r="F4776" s="19" t="str">
        <x:v>Contact us</x:v>
      </x:c>
    </x:row>
    <x:row r="4777" ht="93" customHeight="1">
      <x:c r="A4777" s="19" t="n">
        <x:v>4774</x:v>
      </x:c>
      <x:c r="B4777" s="22" t="e">
        <x:f>HYPERLINK("https://cdn.shopify.com/s/files/1/0918/6066/4603/files/O1CN019npa6O1v7IximIyZM__2218399446125-0-cib.jpg?v=1763632206","Open")</x:f>
        <x:v>HYPERLINK is not implemented. linkLocation=https://cdn.shopify.com/s/files/1/0918/6066/4603/files/O1CN019npa6O1v7IximIyZM__2218399446125-0-cib.jpg?v=1763632206, friendlyName=Open</x:v>
      </x:c>
      <x:c r="C4777" s="24" t="e">
        <x:f>HYPERLINK("https://365nails.com/products/crystal-diamond-hot-silver-snowflake-nail-art-sticker-5d-embossed-three-dimensional-hot-stamping-snowflake-diy-nail-sticker-jewelry-tl","Crystal Diamond Hot Silver Snowflake Nail Art Sticker 5D Embossed Three-dimensional Hot Stamping Snowflake DIY Nail Sticker Jewelry TL")</x:f>
        <x:v>HYPERLINK is not implemented. linkLocation=https://365nails.com/products/crystal-diamond-hot-silver-snowflake-nail-art-sticker-5d-embossed-three-dimensional-hot-stamping-snowflake-diy-nail-sticker-jewelry-tl, friendlyName=Crystal Diamond Hot Silver Snowflake Nail Art Sticker 5D Embossed Three-dimensional Hot Stamping Snowflake DIY Nail Sticker Jewelry TL</x:v>
      </x:c>
      <x:c r="D4777" s="18" t="str">
        <x:v>Specification type: TL-027 crystal diamond / TL-028 crystal diamond / TL-029 crystal diamond</x:v>
      </x:c>
      <x:c r="E4777" s="25" t="str">
        <x:v>$0.70</x:v>
      </x:c>
      <x:c r="F4777" s="19" t="str">
        <x:v>1</x:v>
      </x:c>
    </x:row>
    <x:row r="4778" ht="93" customHeight="1">
      <x:c r="A4778" s="19" t="n">
        <x:v>4775</x:v>
      </x:c>
      <x:c r="B4778" s="22" t="e">
        <x:f>HYPERLINK("https://cdn.shopify.com/s/files/1/0918/6066/4603/files/O1CN01Kk1PUT1v7Iv8L2niq__2218399446125-0-cib.jpg?v=1763632179","Open")</x:f>
        <x:v>HYPERLINK is not implemented. linkLocation=https://cdn.shopify.com/s/files/1/0918/6066/4603/files/O1CN01Kk1PUT1v7Iv8L2niq__2218399446125-0-cib.jpg?v=1763632179, friendlyName=Open</x:v>
      </x:c>
      <x:c r="C4778" s="24" t="e">
        <x:f>HYPERLINK("https://365nails.com/products/winter-christmas-tree-nail-art-sticker-5d-embossed-three-dimensional-adhesive-christmas-ornament-nail-sticker-sl","Winter Christmas Tree Nail Art Sticker 5D Embossed Three-dimensional Adhesive Christmas Ornament Nail Sticker SL")</x:f>
        <x:v>HYPERLINK is not implemented. linkLocation=https://365nails.com/products/winter-christmas-tree-nail-art-sticker-5d-embossed-three-dimensional-adhesive-christmas-ornament-nail-sticker-sl, friendlyName=Winter Christmas Tree Nail Art Sticker 5D Embossed Three-dimensional Adhesive Christmas Ornament Nail Sticker SL</x:v>
      </x:c>
      <x:c r="D4778" s="18" t="str">
        <x:v>Specification type: SL-1001 / SL-1002 / SL-1003 / SL-1004 / SL-1008 / SL-1022</x:v>
      </x:c>
      <x:c r="E4778" s="25" t="str">
        <x:v>$0.50</x:v>
      </x:c>
      <x:c r="F4778" s="19" t="str">
        <x:v>1</x:v>
      </x:c>
    </x:row>
    <x:row r="4779" ht="93" customHeight="1">
      <x:c r="A4779" s="19" t="n">
        <x:v>4776</x:v>
      </x:c>
      <x:c r="B4779" s="22" t="e">
        <x:f>HYPERLINK("https://cdn.shopify.com/s/files/1/0918/6066/4603/files/O1CN01LiK2mV1v7J0HXBV3K__2218399446125-0-cib.jpg?v=1763631826","Open")</x:f>
        <x:v>HYPERLINK is not implemented. linkLocation=https://cdn.shopify.com/s/files/1/0918/6066/4603/files/O1CN01LiK2mV1v7J0HXBV3K__2218399446125-0-cib.jpg?v=1763631826, friendlyName=Open</x:v>
      </x:c>
      <x:c r="C4779" s="24" t="e">
        <x:f>HYPERLINK("https://365nails.com/products/christmas-series-nail-sticker-flat-belt-adhesive-christmas-snowman-elk-nail-art-sticker-ornament-dh","Christmas Series Nail Sticker Flat Belt Adhesive Christmas Snowman Elk Nail Art Sticker Ornament DH")</x:f>
        <x:v>HYPERLINK is not implemented. linkLocation=https://365nails.com/products/christmas-series-nail-sticker-flat-belt-adhesive-christmas-snowman-elk-nail-art-sticker-ornament-dh, friendlyName=Christmas Series Nail Sticker Flat Belt Adhesive Christmas Snowman Elk Nail Art Sticker Ornament DH</x:v>
      </x:c>
      <x:c r="D4779" s="18" t="str">
        <x:v>Specification type: DH-981 Gold / DH-981 Silver / DH-982 Gold / DH-982 Silver / DH-983 Gold / DH-983 Silver / DH-984 / DH-985 / DH-986</x:v>
      </x:c>
      <x:c r="E4779" s="25" t="str">
        <x:v>$0.50</x:v>
      </x:c>
      <x:c r="F4779" s="19" t="str">
        <x:v>1</x:v>
      </x:c>
    </x:row>
    <x:row r="4780" ht="93" customHeight="1">
      <x:c r="A4780" s="19" t="n">
        <x:v>4777</x:v>
      </x:c>
      <x:c r="B4780" s="22" t="e">
        <x:f>HYPERLINK("https://cdn.shopify.com/s/files/1/0918/6066/4603/files/O1CN019AhMm5247ba0KPqbA__2209064737344-0-cib.jpg?v=1755242312","Open")</x:f>
        <x:v>HYPERLINK is not implemented. linkLocation=https://cdn.shopify.com/s/files/1/0918/6066/4603/files/O1CN019AhMm5247ba0KPqbA__2209064737344-0-cib.jpg?v=1755242312, friendlyName=Open</x:v>
      </x:c>
      <x:c r="C4780" s="24" t="e">
        <x:f>HYPERLINK("https://365nails.com/products/nail-tips-no-engraving-and-no-marks-press-on-nails-pads-new-280-pcs-supplement-size-matte-box-press-on-nails-pads-for-fake-nails","Nail Tips No engraving and no marks, press on nails pads, new 280 pcs, supplement size, matte box, press on nails pads for fake nails (MOQ=3)")</x:f>
        <x:v>HYPERLINK is not implemented. linkLocation=https://365nails.com/products/nail-tips-no-engraving-and-no-marks-press-on-nails-pads-new-280-pcs-supplement-size-matte-box-press-on-nails-pads-for-fake-nails, friendlyName=Nail Tips No engraving and no marks, press on nails pads, new 280 pcs, supplement size, matte box, press on nails pads for fake nails (MOQ=3)</x:v>
      </x:c>
      <x:c r="D4780" s="18" t="str">
        <x:v>Color: S size - trapezoidal - 280 pieces boxed / M size - trapezoidal - 280 pieces boxed / S size - short ladder - 280 boxed / M size - short ladder - 280 boxed; Quantity: 3pcs</x:v>
      </x:c>
      <x:c r="E4780" s="25" t="str">
        <x:v>$4.89</x:v>
      </x:c>
      <x:c r="F4780" s="19" t="str">
        <x:v>1</x:v>
      </x:c>
    </x:row>
    <x:row r="4781" ht="93" customHeight="1">
      <x:c r="A4781" s="19" t="n">
        <x:v>4778</x:v>
      </x:c>
      <x:c r="B4781" s="22" t="e">
        <x:f>HYPERLINK("https://cdn.shopify.com/s/files/1/0918/6066/4603/files/O1CN01vGfhAl27ZUlDQyloA__2220024697811-0-cib.jpg?v=1776332562","Open")</x:f>
        <x:v>HYPERLINK is not implemented. linkLocation=https://cdn.shopify.com/s/files/1/0918/6066/4603/files/O1CN01vGfhAl27ZUlDQyloA__2220024697811-0-cib.jpg?v=1776332562, friendlyName=Open</x:v>
      </x:c>
      <x:c r="C4781" s="24" t="e">
        <x:f>HYPERLINK("https://365nails.com/products/365nails-blue-lagoon-3d-shell-handmade-long-stiletto-nails","365nails: ""Blue Lagoon"" – 3D Shell Handmade Long Stiletto Nails")</x:f>
        <x:v>HYPERLINK is not implemented. linkLocation=https://365nails.com/products/365nails-blue-lagoon-3d-shell-handmade-long-stiletto-nails, friendlyName=365nails: "Blue Lagoon" – 3D Shell Handmade Long Stiletto Nails</x:v>
      </x:c>
      <x:c r="D4781" s="18" t="str">
        <x:v>Color: Long t; Color classification: Xs / S / M / L</x:v>
      </x:c>
      <x:c r="E4781" s="25" t="str">
        <x:v>$4.49</x:v>
      </x:c>
      <x:c r="F4781" s="19" t="str">
        <x:v>3</x:v>
      </x:c>
    </x:row>
    <x:row r="4782" ht="93" customHeight="1">
      <x:c r="A4782" s="19" t="n">
        <x:v>4779</x:v>
      </x:c>
      <x:c r="B4782" s="22" t="e">
        <x:f>HYPERLINK("https://cdn.shopify.com/s/files/1/0918/6066/4603/files/il_794xN.7518477502_pdr3_8e22eee9-c853-41c7-bb58-bce65793583a.jpg?v=1767877462","Open")</x:f>
        <x:v>HYPERLINK is not implemented. linkLocation=https://cdn.shopify.com/s/files/1/0918/6066/4603/files/il_794xN.7518477502_pdr3_8e22eee9-c853-41c7-bb58-bce65793583a.jpg?v=1767877462, friendlyName=Open</x:v>
      </x:c>
      <x:c r="C4782" s="24" t="e">
        <x:f>HYPERLINK("https://365nails.com/products/gothic-blood-red-skull-press-on-nails-luxury-handmade-3d-dark-art-comes-with-coffin-box-handartnails","Gothic Blood Red Skull Press on Nails | Handartnails")</x:f>
        <x:v>HYPERLINK is not implemented. linkLocation=https://365nails.com/products/gothic-blood-red-skull-press-on-nails-luxury-handmade-3d-dark-art-comes-with-coffin-box-handartnails, friendlyName=Gothic Blood Red Skull Press on Nails | Handartnails</x:v>
      </x:c>
      <x:c r="D4782" s="18" t="str">
        <x:v>Size: XS / s / m / L</x:v>
      </x:c>
      <x:c r="E4782" s="25" t="str">
        <x:v>$199.00</x:v>
      </x:c>
      <x:c r="F4782" s="19" t="str">
        <x:v>1</x:v>
      </x:c>
    </x:row>
    <x:row r="4783" ht="93" customHeight="1">
      <x:c r="A4783" s="19" t="n">
        <x:v>4780</x:v>
      </x:c>
      <x:c r="B4783" s="22" t="e">
        <x:f>HYPERLINK("https://cdn.shopify.com/s/files/1/0918/6066/4603/files/O1CN01vbMQhr2NGI1V8UcBX__4234819935-0-cib.jpg?v=1768905918","Open")</x:f>
        <x:v>HYPERLINK is not implemented. linkLocation=https://cdn.shopify.com/s/files/1/0918/6066/4603/files/O1CN01vbMQhr2NGI1V8UcBX__4234819935-0-cib.jpg?v=1768905918, friendlyName=Open</x:v>
      </x:c>
      <x:c r="C4783" s="24" t="e">
        <x:f>HYPERLINK("https://365nails.com/products/minimalist-nude-pink-cat-eye-press-on-nails-short-stiletto-shape","Minimalist nude pink cat eye press-on nails - short stiletto shape")</x:f>
        <x:v>HYPERLINK is not implemented. linkLocation=https://365nails.com/products/minimalist-nude-pink-cat-eye-press-on-nails-short-stiletto-shape, friendlyName=Minimalist nude pink cat eye press-on nails - short stiletto shape</x:v>
      </x:c>
      <x:c r="D4783" s="18" t="str">
        <x:v>Color: Jp 4205</x:v>
      </x:c>
      <x:c r="E4783" s="25" t="str">
        <x:v>$1.11</x:v>
      </x:c>
      <x:c r="F4783" s="19" t="str">
        <x:v>1</x:v>
      </x:c>
    </x:row>
    <x:row r="4784" ht="93" customHeight="1">
      <x:c r="A4784" s="19" t="n">
        <x:v>4781</x:v>
      </x:c>
      <x:c r="B4784" s="22" t="e">
        <x:f>HYPERLINK("https://cdn.shopify.com/s/files/1/0918/6066/4603/files/O1CN01dZmw4t2NGI1vEHmTq__4234819935-0-cib.jpg?v=1768905908","Open")</x:f>
        <x:v>HYPERLINK is not implemented. linkLocation=https://cdn.shopify.com/s/files/1/0918/6066/4603/files/O1CN01dZmw4t2NGI1vEHmTq__4234819935-0-cib.jpg?v=1768905908, friendlyName=Open</x:v>
      </x:c>
      <x:c r="C4784" s="24" t="e">
        <x:f>HYPERLINK("https://365nails.com/products/simple-french-purple-toenail-tips-short-square-shape","Simple french purple toenail tips - short square shape")</x:f>
        <x:v>HYPERLINK is not implemented. linkLocation=https://365nails.com/products/simple-french-purple-toenail-tips-short-square-shape, friendlyName=Simple french purple toenail tips - short square shape</x:v>
      </x:c>
      <x:c r="D4784" s="18" t="str">
        <x:v>Color: Jp 4251</x:v>
      </x:c>
      <x:c r="E4784" s="25" t="str">
        <x:v>$1.32</x:v>
      </x:c>
      <x:c r="F4784" s="19" t="str">
        <x:v>1</x:v>
      </x:c>
    </x:row>
    <x:row r="4785" ht="93" customHeight="1">
      <x:c r="A4785" s="19" t="n">
        <x:v>4782</x:v>
      </x:c>
      <x:c r="B4785" s="22" t="e">
        <x:f>HYPERLINK("https://cdn.shopify.com/s/files/1/0918/6066/4603/files/O1CN01lpCe6i2NGI1sRoQyr__4234819935-0-cib.jpg?v=1768905906","Open")</x:f>
        <x:v>HYPERLINK is not implemented. linkLocation=https://cdn.shopify.com/s/files/1/0918/6066/4603/files/O1CN01lpCe6i2NGI1sRoQyr__4234819935-0-cib.jpg?v=1768905906, friendlyName=Open</x:v>
      </x:c>
      <x:c r="C4785" s="24" t="e">
        <x:f>HYPERLINK("https://365nails.com/products/coated-flash-nude-color-pure-color-toenails-toenails-toenails","Coated flash nude color pure color toenails toenails toenails")</x:f>
        <x:v>HYPERLINK is not implemented. linkLocation=https://365nails.com/products/coated-flash-nude-color-pure-color-toenails-toenails-toenails, friendlyName=Coated flash nude color pure color toenails toenails toenails</x:v>
      </x:c>
      <x:c r="D4785" s="18" t="str">
        <x:v>Color: Jp 4241</x:v>
      </x:c>
      <x:c r="E4785" s="25" t="str">
        <x:v>$1.11</x:v>
      </x:c>
      <x:c r="F4785" s="19" t="str">
        <x:v>1</x:v>
      </x:c>
    </x:row>
    <x:row r="4786" ht="93" customHeight="1">
      <x:c r="A4786" s="19" t="n">
        <x:v>4783</x:v>
      </x:c>
      <x:c r="B4786" s="22" t="e">
        <x:f>HYPERLINK("https://cdn.shopify.com/s/files/1/0918/6066/4603/files/O1CN01JBbFSl1v7IzHKWN9O__2218399446125-0-cib.jpg?v=1763623430","Open")</x:f>
        <x:v>HYPERLINK is not implemented. linkLocation=https://cdn.shopify.com/s/files/1/0918/6066/4603/files/O1CN01JBbFSl1v7IzHKWN9O__2218399446125-0-cib.jpg?v=1763623430, friendlyName=Open</x:v>
      </x:c>
      <x:c r="C4786" s="24" t="e">
        <x:f>HYPERLINK("https://365nails.com/products/christmas-series-nail-art-sticker-5d-relief-three-dimensional-cute-snowman-diy-christmas-nail-sticker-jewelry-yl","Christmas series nail art sticker 5D relief three-dimensional cute snowman DIY Christmas nail sticker jewelry YL")</x:f>
        <x:v>HYPERLINK is not implemented. linkLocation=https://365nails.com/products/christmas-series-nail-art-sticker-5d-relief-three-dimensional-cute-snowman-diy-christmas-nail-sticker-jewelry-yl, friendlyName=Christmas series nail art sticker 5D relief three-dimensional cute snowman DIY Christmas nail sticker jewelry YL</x:v>
      </x:c>
      <x:c r="D4786" s="18" t="str">
        <x:v>Specification type: YL-1115 / YL-1116 / YL-1117 / YL-1118 / YL-1119 / YL-1120</x:v>
      </x:c>
      <x:c r="E4786" s="25" t="str">
        <x:v>$0.70</x:v>
      </x:c>
      <x:c r="F4786" s="19" t="str">
        <x:v>1</x:v>
      </x:c>
    </x:row>
    <x:row r="4787" ht="93" customHeight="1">
      <x:c r="A4787" s="19" t="n">
        <x:v>4784</x:v>
      </x:c>
      <x:c r="B4787" s="22" t="e">
        <x:f>HYPERLINK("https://cdn.shopify.com/s/files/1/0918/6066/4603/files/O1CN013l4MUk2NGI1takBTZ__4234819935-0-cib.jpg?v=1768905955","Open")</x:f>
        <x:v>HYPERLINK is not implemented. linkLocation=https://cdn.shopify.com/s/files/1/0918/6066/4603/files/O1CN013l4MUk2NGI1takBTZ__4234819935-0-cib.jpg?v=1768905955, friendlyName=Open</x:v>
      </x:c>
      <x:c r="C4787" s="24" t="e">
        <x:f>HYPERLINK("https://365nails.com/products/nude-pink-pure-color-foot-manicure-wearable-nails-coated-with-sparkling-foot-nail-pieces-short-square-nails-foot-nail-pieces","Nude pink pure color foot manicure wearable nails coated with sparkling foot nail pieces short square nails foot nail pieces")</x:f>
        <x:v>HYPERLINK is not implemented. linkLocation=https://365nails.com/products/nude-pink-pure-color-foot-manicure-wearable-nails-coated-with-sparkling-foot-nail-pieces-short-square-nails-foot-nail-pieces, friendlyName=Nude pink pure color foot manicure wearable nails coated with sparkling foot nail pieces short square nails foot nail pieces</x:v>
      </x:c>
      <x:c r="D4787" s="18" t="str">
        <x:v>Color: Jp 4244</x:v>
      </x:c>
      <x:c r="E4787" s="25" t="str">
        <x:v>$1.11</x:v>
      </x:c>
      <x:c r="F4787" s="19" t="str">
        <x:v>1</x:v>
      </x:c>
    </x:row>
    <x:row r="4788" ht="93" customHeight="1">
      <x:c r="A4788" s="19" t="n">
        <x:v>4785</x:v>
      </x:c>
      <x:c r="B4788" s="22" t="e">
        <x:f>HYPERLINK("https://cdn.shopify.com/s/files/1/0918/6066/4603/files/O1CN01el0Qft2NGI1yPUmaf__4234819935-0-cib.jpg?v=1768905899","Open")</x:f>
        <x:v>HYPERLINK is not implemented. linkLocation=https://cdn.shopify.com/s/files/1/0918/6066/4603/files/O1CN01el0Qft2NGI1yPUmaf__4234819935-0-cib.jpg?v=1768905899, friendlyName=Open</x:v>
      </x:c>
      <x:c r="C4788" s="24" t="e">
        <x:f>HYPERLINK("https://365nails.com/products/french-style-toenail-tips-fully-embellished-with-sparkling-rhinestones-and-pearls-for-a-dazzling-short-toe-manicure","French-style toenail tips, fully embellished with sparkling rhinestones and pearls, for a dazzling, short-toe manicure")</x:f>
        <x:v>HYPERLINK is not implemented. linkLocation=https://365nails.com/products/french-style-toenail-tips-fully-embellished-with-sparkling-rhinestones-and-pearls-for-a-dazzling-short-toe-manicure, friendlyName=French-style toenail tips, fully embellished with sparkling rhinestones and pearls, for a dazzling, short-toe manicure</x:v>
      </x:c>
      <x:c r="D4788" s="18" t="str">
        <x:v>Color: Jp 4252</x:v>
      </x:c>
      <x:c r="E4788" s="25" t="str">
        <x:v>$1.60</x:v>
      </x:c>
      <x:c r="F4788" s="19" t="str">
        <x:v>1</x:v>
      </x:c>
    </x:row>
    <x:row r="4789" ht="93" customHeight="1">
      <x:c r="A4789" s="19" t="n">
        <x:v>4786</x:v>
      </x:c>
      <x:c r="B4789" s="22" t="e">
        <x:f>HYPERLINK("https://cdn.shopify.com/s/files/1/0918/6066/4603/files/O1CN012OEVUx1v7J0JAOhqj__2218399446125-0-cib.jpg?v=1763623165","Open")</x:f>
        <x:v>HYPERLINK is not implemented. linkLocation=https://cdn.shopify.com/s/files/1/0918/6066/4603/files/O1CN012OEVUx1v7J0JAOhqj__2218399446125-0-cib.jpg?v=1763623165, friendlyName=Open</x:v>
      </x:c>
      <x:c r="C4789" s="24" t="e">
        <x:f>HYPERLINK("https://365nails.com/products/cute-christmas-snowman-nail-art-sticker-flat-adhesive-christmas-snowman-little-penguin-diy-nail-sticker-dh","Cute Christmas Snowman Nail Art Sticker Flat Adhesive Christmas Snowman Little Penguin DIY Nail Sticker DH")</x:f>
        <x:v>HYPERLINK is not implemented. linkLocation=https://365nails.com/products/cute-christmas-snowman-nail-art-sticker-flat-adhesive-christmas-snowman-little-penguin-diy-nail-sticker-dh, friendlyName=Cute Christmas Snowman Nail Art Sticker Flat Adhesive Christmas Snowman Little Penguin DIY Nail Sticker DH</x:v>
      </x:c>
      <x:c r="D4789" s="18" t="str">
        <x:v>Specification type: DH-987 Gold / DH-987 Silver / DH-988 / DH-989</x:v>
      </x:c>
      <x:c r="E4789" s="25" t="str">
        <x:v>$0.50</x:v>
      </x:c>
      <x:c r="F4789" s="19" t="str">
        <x:v>Contact us</x:v>
      </x:c>
    </x:row>
    <x:row r="4790" ht="93" customHeight="1">
      <x:c r="A4790" s="19" t="n">
        <x:v>4787</x:v>
      </x:c>
      <x:c r="B4790" s="22" t="e">
        <x:f>HYPERLINK("https://cdn.shopify.com/s/files/1/0918/6066/4603/files/b602ca3180251a6f58cc08cb2a4a590a.jpg?v=1755244229","Open")</x:f>
        <x:v>HYPERLINK is not implemented. linkLocation=https://cdn.shopify.com/s/files/1/0918/6066/4603/files/b602ca3180251a6f58cc08cb2a4a590a.jpg?v=1755244229, friendlyName=Open</x:v>
      </x:c>
      <x:c r="C4790" s="24" t="e">
        <x:f>HYPERLINK("https://365nails.com/products/nail-tips-exclusive-for-amazon-hot-selling-french-press-on-nails-art-patch-oil-injection-removable-fake-nail-piece-120-pieces","Nail Tips Exclusive for Amazon hot-selling French press on nails art patch oil injection removable fake nail piece 120 pieces (MOQ=3)")</x:f>
        <x:v>HYPERLINK is not implemented. linkLocation=https://365nails.com/products/nail-tips-exclusive-for-amazon-hot-selling-french-press-on-nails-art-patch-oil-injection-removable-fake-nail-piece-120-pieces, friendlyName=Nail Tips Exclusive for Amazon hot-selling French press on nails art patch oil injection removable fake nail piece 120 pieces (MOQ=3)</x:v>
      </x:c>
      <x:c r="D4790" s="18" t="str">
        <x:v>Color: YS-422-01 * 120 piece box / YS-422-02 * 120 piece box / YS-422-03 * 120 piece box / YS-422-04 * 120 piece box / YS-422-05 * 120 piece box / YS-422-06 * 120 piece box / YS-422-01 * 120 piece bag / YS-422-02 * 120 piece bag / YS-422-03 * 120 piece bag / YS-422-04 * 120 piece bag / YS-422-05 * 120 piece bag / YS-422-06 * 120 piece bag; Quantity: 3pcs</x:v>
      </x:c>
      <x:c r="E4790" s="25" t="str">
        <x:v>$6.36–$6.78</x:v>
      </x:c>
      <x:c r="F4790" s="19" t="str">
        <x:v>1</x:v>
      </x:c>
    </x:row>
    <x:row r="4791" ht="93" customHeight="1">
      <x:c r="A4791" s="19" t="n">
        <x:v>4788</x:v>
      </x:c>
      <x:c r="B4791" s="22" t="e">
        <x:f>HYPERLINK("https://cdn.shopify.com/s/files/1/0918/6066/4603/files/448bb49200c4736f54077673fb500c7c.jpg?v=1755242613","Open")</x:f>
        <x:v>HYPERLINK is not implemented. linkLocation=https://cdn.shopify.com/s/files/1/0918/6066/4603/files/448bb49200c4736f54077673fb500c7c.jpg?v=1755242613, friendlyName=Open</x:v>
      </x:c>
      <x:c r="C4791" s="24" t="e">
        <x:f>HYPERLINK("https://365nails.com/products/nail-tips-french-press-on-nails-and-toenail-simple-and-versatile-removable-prefabricated-manicure-advanced-sense-fake-nail-piece-wholesale","French press on nails and toenail simple and versatile removable prefabricated manicure advanced sense fake nail piece wholesale")</x:f>
        <x:v>HYPERLINK is not implemented. linkLocation=https://365nails.com/products/nail-tips-french-press-on-nails-and-toenail-simple-and-versatile-removable-prefabricated-manicure-advanced-sense-fake-nail-piece-wholesale, friendlyName=French press on nails and toenail simple and versatile removable prefabricated manicure advanced sense fake nail piece wholesale</x:v>
      </x:c>
      <x:c r="D4791" s="18" t="str">
        <x:v>Color: YS-406z</x:v>
      </x:c>
      <x:c r="E4791" s="25" t="str">
        <x:v>$1.09</x:v>
      </x:c>
      <x:c r="F4791" s="19" t="str">
        <x:v>1</x:v>
      </x:c>
    </x:row>
    <x:row r="4792" ht="93" customHeight="1">
      <x:c r="A4792" s="19" t="n">
        <x:v>4789</x:v>
      </x:c>
      <x:c r="B4792" s="22" t="e">
        <x:f>HYPERLINK("https://cdn.shopify.com/s/files/1/0918/6066/4603/files/O1CN015WfqT51v7J0IntOzz__2218399446125-0-cib.jpg?v=1763632380","Open")</x:f>
        <x:v>HYPERLINK is not implemented. linkLocation=https://cdn.shopify.com/s/files/1/0918/6066/4603/files/O1CN015WfqT51v7J0IntOzz__2218399446125-0-cib.jpg?v=1763632380, friendlyName=Open</x:v>
      </x:c>
      <x:c r="C4792" s="24" t="e">
        <x:f>HYPERLINK("https://365nails.com/products/bronzing-glitter-christmas-nail-art-sticker-flat-adhesive-snowman-christmas-diy-nail-sticker-jewelry-dh","Bronzing glitter christmas nail art sticker flat adhesive snowman christmas DIY nail sticker jewelry DH")</x:f>
        <x:v>HYPERLINK is not implemented. linkLocation=https://365nails.com/products/bronzing-glitter-christmas-nail-art-sticker-flat-adhesive-snowman-christmas-diy-nail-sticker-jewelry-dh, friendlyName=Bronzing glitter christmas nail art sticker flat adhesive snowman christmas DIY nail sticker jewelry DH</x:v>
      </x:c>
      <x:c r="D4792" s="18" t="str">
        <x:v>Specification type: DH-1002 / DH-1003 / DH-1004 / DH-1005 / DH-1006 / DH-1007 / DH-1008 / DH-1009 / DH-1010</x:v>
      </x:c>
      <x:c r="E4792" s="25" t="str">
        <x:v>$0.30</x:v>
      </x:c>
      <x:c r="F4792" s="19" t="str">
        <x:v>1</x:v>
      </x:c>
    </x:row>
    <x:row r="4793" ht="93" customHeight="1">
      <x:c r="A4793" s="19" t="n">
        <x:v>4790</x:v>
      </x:c>
      <x:c r="B4793" s="22" t="e">
        <x:f>HYPERLINK("https://cdn.shopify.com/s/files/1/0918/6066/4603/files/O1CN013xuX0N1v7J0IeB6Xa__2218399446125-0-cib.jpg?v=1763632261","Open")</x:f>
        <x:v>HYPERLINK is not implemented. linkLocation=https://cdn.shopify.com/s/files/1/0918/6066/4603/files/O1CN013xuX0N1v7J0IeB6Xa__2218399446125-0-cib.jpg?v=1763632261, friendlyName=Open</x:v>
      </x:c>
      <x:c r="C4793" s="24" t="e">
        <x:f>HYPERLINK("https://365nails.com/products/original-christmas-nail-art-sticker-5d-embossed-three-dimensional-happy-christmas-elements-diy-nail-sticker-ornament-hg","Original Christmas Nail Art Sticker 5D Embossed Three-dimensional Happy Christmas Elements DIY Nail Sticker Ornament HG")</x:f>
        <x:v>HYPERLINK is not implemented. linkLocation=https://365nails.com/products/original-christmas-nail-art-sticker-5d-embossed-three-dimensional-happy-christmas-elements-diy-nail-sticker-ornament-hg, friendlyName=Original Christmas Nail Art Sticker 5D Embossed Three-dimensional Happy Christmas Elements DIY Nail Sticker Ornament HG</x:v>
      </x:c>
      <x:c r="D4793" s="18" t="str">
        <x:v>Specification type: HG-5D505 / HG-5D506 / HG-5D507 / HG-5D508 / HG-5D509 / HG-5D510</x:v>
      </x:c>
      <x:c r="E4793" s="25" t="str">
        <x:v>$0.50</x:v>
      </x:c>
      <x:c r="F4793" s="19" t="str">
        <x:v>1</x:v>
      </x:c>
    </x:row>
    <x:row r="4794" ht="93" customHeight="1">
      <x:c r="A4794" s="19" t="n">
        <x:v>4791</x:v>
      </x:c>
      <x:c r="B4794" s="22" t="e">
        <x:f>HYPERLINK("https://cdn.shopify.com/s/files/1/0918/6066/4603/files/O1CN014JqG4P1v7IxkYlQQh__2218399446125-0-cib.jpg?v=1763631850","Open")</x:f>
        <x:v>HYPERLINK is not implemented. linkLocation=https://cdn.shopify.com/s/files/1/0918/6066/4603/files/O1CN014JqG4P1v7IxkYlQQh__2218399446125-0-cib.jpg?v=1763631850, friendlyName=Open</x:v>
      </x:c>
      <x:c r="C4794" s="24" t="e">
        <x:f>HYPERLINK("https://365nails.com/products/cross-border-laser-snowflake-nail-art-sticker-flat-hot-silver-christmas-hollow-snowflake-nail-sticker-ornament-dh635","Cross-border Laser Snowflake Nail Art Sticker Flat Hot Silver Christmas Hollow Snowflake Nail Sticker Ornament DH635")</x:f>
        <x:v>HYPERLINK is not implemented. linkLocation=https://365nails.com/products/cross-border-laser-snowflake-nail-art-sticker-flat-hot-silver-christmas-hollow-snowflake-nail-sticker-ornament-dh635, friendlyName=Cross-border Laser Snowflake Nail Art Sticker Flat Hot Silver Christmas Hollow Snowflake Nail Sticker Ornament DH635</x:v>
      </x:c>
      <x:c r="D4794" s="18" t="str">
        <x:v>Specification type: DH-635 Black / DH-635 White / DH-635 Gold / DH-635 Silver / DH-635 Laser</x:v>
      </x:c>
      <x:c r="E4794" s="25" t="str">
        <x:v>$0.50</x:v>
      </x:c>
      <x:c r="F4794" s="19" t="str">
        <x:v>1</x:v>
      </x:c>
    </x:row>
    <x:row r="4795" ht="93" customHeight="1">
      <x:c r="A4795" s="19" t="n">
        <x:v>4792</x:v>
      </x:c>
      <x:c r="B4795" s="22" t="e">
        <x:f>HYPERLINK("https://cdn.shopify.com/s/files/1/0918/6066/4603/files/O1CN01h9X1y11v7J06tvGWX__2218399446125-0-cib_0a00300d-c359-4966-8ff4-6458621462e2.jpg?v=1763622765","Open")</x:f>
        <x:v>HYPERLINK is not implemented. linkLocation=https://cdn.shopify.com/s/files/1/0918/6066/4603/files/O1CN01h9X1y11v7J06tvGWX__2218399446125-0-cib_0a00300d-c359-4966-8ff4-6458621462e2.jpg?v=1763622765, friendlyName=Open</x:v>
      </x:c>
      <x:c r="C4795" s="24" t="e">
        <x:f>HYPERLINK("https://365nails.com/products/christmas-series-nail-art-sticker-5d-relief-three-dimensional-snowman-christmas-tree-diy-nail-sticker-jewelry-ca-model","Christmas series nail art sticker 5D relief three-dimensional snowman Christmas tree DIY nail sticker jewelry CA model")</x:f>
        <x:v>HYPERLINK is not implemented. linkLocation=https://365nails.com/products/christmas-series-nail-art-sticker-5d-relief-three-dimensional-snowman-christmas-tree-diy-nail-sticker-jewelry-ca-model, friendlyName=Christmas series nail art sticker 5D relief three-dimensional snowman Christmas tree DIY nail sticker jewelry CA model</x:v>
      </x:c>
      <x:c r="D4795" s="18" t="str">
        <x:v>Specification type: CA-6996 / CA-6997 / CA-6998 / CA-6999 / CA-7001 / CA-7002</x:v>
      </x:c>
      <x:c r="E4795" s="25" t="str">
        <x:v>$0.70</x:v>
      </x:c>
      <x:c r="F4795" s="19" t="str">
        <x:v>30</x:v>
      </x:c>
    </x:row>
    <x:row r="4796" ht="93" customHeight="1">
      <x:c r="A4796" s="19" t="n">
        <x:v>4793</x:v>
      </x:c>
      <x:c r="B4796" s="22" t="e">
        <x:f>HYPERLINK("https://cdn.shopify.com/s/files/1/0918/6066/4603/files/O1CN01Zh7faj1v7IzjDYn2O__2218399446125-0-cib.jpg?v=1763623634","Open")</x:f>
        <x:v>HYPERLINK is not implemented. linkLocation=https://cdn.shopify.com/s/files/1/0918/6066/4603/files/O1CN01Zh7faj1v7IzjDYn2O__2218399446125-0-cib.jpg?v=1763623634, friendlyName=Open</x:v>
      </x:c>
      <x:c r="C4796" s="24" t="e">
        <x:f>HYPERLINK("https://365nails.com/products/happy-christmas-nail-art-sticker-5d-embossed-three-dimensional-snowman-christmas-bear-diy-nail-sticker-ornament-tj","Happy Christmas Nail Art Sticker 5D Embossed Three-dimensional Snowman Christmas Bear DIY Nail Sticker Ornament TJ")</x:f>
        <x:v>HYPERLINK is not implemented. linkLocation=https://365nails.com/products/happy-christmas-nail-art-sticker-5d-embossed-three-dimensional-snowman-christmas-bear-diy-nail-sticker-ornament-tj, friendlyName=Happy Christmas Nail Art Sticker 5D Embossed Three-dimensional Snowman Christmas Bear DIY Nail Sticker Ornament TJ</x:v>
      </x:c>
      <x:c r="D4796" s="18" t="str">
        <x:v>Specification type: TJ-247 / TJ-248 / TJ-250 / TJ-256</x:v>
      </x:c>
      <x:c r="E4796" s="25" t="str">
        <x:v>$0.70</x:v>
      </x:c>
      <x:c r="F4796" s="19" t="str">
        <x:v>1</x:v>
      </x:c>
    </x:row>
    <x:row r="4797" ht="93" customHeight="1">
      <x:c r="A4797" s="19" t="n">
        <x:v>4794</x:v>
      </x:c>
      <x:c r="B4797" s="22" t="e">
        <x:f>HYPERLINK("https://cdn.shopify.com/s/files/1/0918/6066/4603/files/O1CN01sy3fUU1v7J0Vv9sDh__2218399446125-0-cib.jpg?v=1763623355","Open")</x:f>
        <x:v>HYPERLINK is not implemented. linkLocation=https://cdn.shopify.com/s/files/1/0918/6066/4603/files/O1CN01sy3fUU1v7J0Vv9sDh__2218399446125-0-cib.jpg?v=1763623355, friendlyName=Open</x:v>
      </x:c>
      <x:c r="C4797" s="24" t="e">
        <x:f>HYPERLINK("https://365nails.com/products/original-snowflake-unicorn-nail-art-sticker-5d-embossed-three-dimensional-christmas-pony-diy-nail-sticker-ornament-aa","Original Snowflake Unicorn Nail Art Sticker 5D Embossed Three-dimensional Christmas Pony DIY Nail Sticker Ornament AA")</x:f>
        <x:v>HYPERLINK is not implemented. linkLocation=https://365nails.com/products/original-snowflake-unicorn-nail-art-sticker-5d-embossed-three-dimensional-christmas-pony-diy-nail-sticker-ornament-aa, friendlyName=Original Snowflake Unicorn Nail Art Sticker 5D Embossed Three-dimensional Christmas Pony DIY Nail Sticker Ornament AA</x:v>
      </x:c>
      <x:c r="D4797" s="18" t="str">
        <x:v>Specification type: AA-7316 / AA-7317</x:v>
      </x:c>
      <x:c r="E4797" s="25" t="str">
        <x:v>$0.30</x:v>
      </x:c>
      <x:c r="F4797" s="19" t="str">
        <x:v>1</x:v>
      </x:c>
    </x:row>
    <x:row r="4798" ht="93" customHeight="1">
      <x:c r="A4798" s="19" t="n">
        <x:v>4795</x:v>
      </x:c>
      <x:c r="B4798" s="22" t="e">
        <x:f>HYPERLINK("https://cdn.shopify.com/s/files/1/0918/6066/4603/files/O1CN01DYKIQd1v7J0WawkHw__2218399446125-0-cib.jpg?v=1763623313","Open")</x:f>
        <x:v>HYPERLINK is not implemented. linkLocation=https://cdn.shopify.com/s/files/1/0918/6066/4603/files/O1CN01DYKIQd1v7J0WawkHw__2218399446125-0-cib.jpg?v=1763623313, friendlyName=Open</x:v>
      </x:c>
      <x:c r="C4798" s="24" t="e">
        <x:f>HYPERLINK("https://365nails.com/products/original-snowflake-unicorn-nail-art-sticker-5d-embossed-three-dimensional-christmas-pony-diy-nail-sticker-ornament-hg","Original Snowflake Unicorn Nail Art Sticker 5D Embossed Three-dimensional Christmas Pony DIY Nail Sticker Ornament HG")</x:f>
        <x:v>HYPERLINK is not implemented. linkLocation=https://365nails.com/products/original-snowflake-unicorn-nail-art-sticker-5d-embossed-three-dimensional-christmas-pony-diy-nail-sticker-ornament-hg, friendlyName=Original Snowflake Unicorn Nail Art Sticker 5D Embossed Three-dimensional Christmas Pony DIY Nail Sticker Ornament HG</x:v>
      </x:c>
      <x:c r="D4798" s="18" t="str">
        <x:v>Specification type: HG-5D546 / HG-5D547</x:v>
      </x:c>
      <x:c r="E4798" s="25" t="str">
        <x:v>$0.30</x:v>
      </x:c>
      <x:c r="F4798" s="19" t="str">
        <x:v>1</x:v>
      </x:c>
    </x:row>
    <x:row r="4799" ht="93" customHeight="1">
      <x:c r="A4799" s="19" t="n">
        <x:v>4796</x:v>
      </x:c>
      <x:c r="B4799" s="22" t="e">
        <x:f>HYPERLINK("https://cdn.shopify.com/s/files/1/0918/6066/4603/files/O1CN01wuDF3C1KPUwgZP62H__2210900211156-0-cib.jpg?v=1763779926","Open")</x:f>
        <x:v>HYPERLINK is not implemented. linkLocation=https://cdn.shopify.com/s/files/1/0918/6066/4603/files/O1CN01wuDF3C1KPUwgZP62H__2210900211156-0-cib.jpg?v=1763779926, friendlyName=Open</x:v>
      </x:c>
      <x:c r="C4799" s="24" t="e">
        <x:f>HYPERLINK("https://365nails.com/products/new-creative-three-dimensional-greeting-card-christmas-gingerbread-house-ornament-holiday-greeting-card","New creative three-dimensional greeting card Christmas gingerbread house ornament holiday greeting card")</x:f>
        <x:v>HYPERLINK is not implemented. linkLocation=https://365nails.com/products/new-creative-three-dimensional-greeting-card-christmas-gingerbread-house-ornament-holiday-greeting-card, friendlyName=New creative three-dimensional greeting card Christmas gingerbread house ornament holiday greeting card</x:v>
      </x:c>
      <x:c r="D4799" s="18" t="str">
        <x:v>Size: Christmas Gingerbread House / Christmas wreath / Christmas tree / Christmas flying deer cart / Santa Claus and Trees / Christmas train / Christmas pickup truck / Santa house / Christmas red English / Christmas blue English / Christmas green English / Christmas cute baby / Christmas dance deer cart / Christmas car tree</x:v>
      </x:c>
      <x:c r="E4799" s="25" t="str">
        <x:v>$0.83–$2.77</x:v>
      </x:c>
      <x:c r="F4799" s="19" t="str">
        <x:v>1</x:v>
      </x:c>
    </x:row>
    <x:row r="4800" ht="93" customHeight="1">
      <x:c r="A4800" s="19" t="n">
        <x:v>4797</x:v>
      </x:c>
      <x:c r="B4800" s="22" t="e">
        <x:f>HYPERLINK("https://cdn.shopify.com/s/files/1/0918/6066/4603/files/O1CN01KEQM5F1v7J03U9wM8__2218399446125-0-cib.jpg?v=1763623177","Open")</x:f>
        <x:v>HYPERLINK is not implemented. linkLocation=https://cdn.shopify.com/s/files/1/0918/6066/4603/files/O1CN01KEQM5F1v7J03U9wM8__2218399446125-0-cib.jpg?v=1763623177, friendlyName=Open</x:v>
      </x:c>
      <x:c r="C4800" s="24" t="e">
        <x:f>HYPERLINK("https://365nails.com/products/winter-laser-snowflake-nail-art-sticker-5d-embossed-three-dimensional-hot-silver-snowflake-diy-nail-sticker-jewelry-sl","Winter Laser Snowflake Nail Art Sticker 5D Embossed Three-dimensional Hot Silver Snowflake DIY Nail Sticker Jewelry SL")</x:f>
        <x:v>HYPERLINK is not implemented. linkLocation=https://365nails.com/products/winter-laser-snowflake-nail-art-sticker-5d-embossed-three-dimensional-hot-silver-snowflake-diy-nail-sticker-jewelry-sl, friendlyName=Winter Laser Snowflake Nail Art Sticker 5D Embossed Three-dimensional Hot Silver Snowflake DIY Nail Sticker Jewelry SL</x:v>
      </x:c>
      <x:c r="D4800" s="18" t="str">
        <x:v>Specification type: SL-1354A laser / SL-1354A Silver</x:v>
      </x:c>
      <x:c r="E4800" s="25" t="str">
        <x:v>$0.30</x:v>
      </x:c>
      <x:c r="F4800" s="19" t="str">
        <x:v>Contact us</x:v>
      </x:c>
    </x:row>
    <x:row r="4801" ht="93" customHeight="1">
      <x:c r="A4801" s="19" t="n">
        <x:v>4798</x:v>
      </x:c>
      <x:c r="B4801" s="22" t="e">
        <x:f>HYPERLINK("https://cdn.shopify.com/s/files/1/0918/6066/4603/files/O1CN01nVFqNw1v7Ix3ypV6C__2218399446125-0-cib.jpg?v=1763631795","Open")</x:f>
        <x:v>HYPERLINK is not implemented. linkLocation=https://cdn.shopify.com/s/files/1/0918/6066/4603/files/O1CN01nVFqNw1v7Ix3ypV6C__2218399446125-0-cib.jpg?v=1763631795, friendlyName=Open</x:v>
      </x:c>
      <x:c r="C4801" s="24" t="e">
        <x:f>HYPERLINK("https://365nails.com/products/winter-christmas-snowflake-nail-art-sticker-5d-embossed-three-dimensional-white-hollow-snowflake-nail-sticker-ornament-yl","Winter Christmas Snowflake Nail Art Sticker 5D Embossed Three-dimensional White Hollow Snowflake Nail Sticker Ornament YL")</x:f>
        <x:v>HYPERLINK is not implemented. linkLocation=https://365nails.com/products/winter-christmas-snowflake-nail-art-sticker-5d-embossed-three-dimensional-white-hollow-snowflake-nail-sticker-ornament-yl, friendlyName=Winter Christmas Snowflake Nail Art Sticker 5D Embossed Three-dimensional White Hollow Snowflake Nail Sticker Ornament YL</x:v>
      </x:c>
      <x:c r="D4801" s="18" t="str">
        <x:v>Specification type: YL-1122 / YL-1123 / YL-1124 / YL-1125 / YL-1126 / YL-1127 / YL-1128 / YL-1129 / YL-1130 / YL-1131 / YL-1132</x:v>
      </x:c>
      <x:c r="E4801" s="25" t="str">
        <x:v>$0.70</x:v>
      </x:c>
      <x:c r="F4801" s="19" t="str">
        <x:v>1</x:v>
      </x:c>
    </x:row>
    <x:row r="4802" ht="93" customHeight="1">
      <x:c r="A4802" s="19" t="n">
        <x:v>4799</x:v>
      </x:c>
      <x:c r="B4802" s="22" t="e">
        <x:f>HYPERLINK("https://cdn.shopify.com/s/files/1/0918/6066/4603/files/O1CN01tL5qnj1v7J02Cr8CO__2218399446125-0-cib.jpg?v=1763623266","Open")</x:f>
        <x:v>HYPERLINK is not implemented. linkLocation=https://cdn.shopify.com/s/files/1/0918/6066/4603/files/O1CN01tL5qnj1v7J02Cr8CO__2218399446125-0-cib.jpg?v=1763623266, friendlyName=Open</x:v>
      </x:c>
      <x:c r="C4802" s="24" t="e">
        <x:f>HYPERLINK("https://365nails.com/products/original-christmas-tree-manicure-sticker-5d-relief-three-dimensional-happy-christmas-elements-diy-nail-sticker-hg-model","Original Christmas tree manicure sticker 5D relief three-dimensional happy Christmas elements DIY nail sticker HG model")</x:f>
        <x:v>HYPERLINK is not implemented. linkLocation=https://365nails.com/products/original-christmas-tree-manicure-sticker-5d-relief-three-dimensional-happy-christmas-elements-diy-nail-sticker-hg-model, friendlyName=Original Christmas tree manicure sticker 5D relief three-dimensional happy Christmas elements DIY nail sticker HG model</x:v>
      </x:c>
      <x:c r="D4802" s="18" t="str">
        <x:v>Specification type: HG-5D525 / HG-5D526 / HG-5D527 / HG-5D528</x:v>
      </x:c>
      <x:c r="E4802" s="25" t="str">
        <x:v>$0.30</x:v>
      </x:c>
      <x:c r="F4802" s="19" t="str">
        <x:v>1</x:v>
      </x:c>
    </x:row>
    <x:row r="4803" ht="93" customHeight="1">
      <x:c r="A4803" s="19" t="n">
        <x:v>4800</x:v>
      </x:c>
      <x:c r="B4803" s="22" t="e">
        <x:f>HYPERLINK("https://cdn.shopify.com/s/files/1/0918/6066/4603/files/O1CN01pX4kKR2214w5RcWM9__2219480337059-0-cib.jpg?v=1773320884","Open")</x:f>
        <x:v>HYPERLINK is not implemented. linkLocation=https://cdn.shopify.com/s/files/1/0918/6066/4603/files/O1CN01pX4kKR2214w5RcWM9__2219480337059-0-cib.jpg?v=1773320884, friendlyName=Open</x:v>
      </x:c>
      <x:c r="C4803" s="24" t="e">
        <x:f>HYPERLINK("https://365nails.com/products/365nails-sweet-pink-bunny-short-round-handmade-kids-press-on-nails","365nails: ""sweet pink bunny"" – short round handmade kids press-on nails")</x:f>
        <x:v>HYPERLINK is not implemented. linkLocation=https://365nails.com/products/365nails-sweet-pink-bunny-short-round-handmade-kids-press-on-nails, friendlyName=365nails: "sweet pink bunny" – short round handmade kids press-on nails</x:v>
      </x:c>
      <x:c r="D4803" s="18" t="str">
        <x:v>Color: New melody camellia; Color classification: Xs (about 2 years old) / S (3-4 years old) / M (5-7 years old) / L (8-11 years old)</x:v>
      </x:c>
      <x:c r="E4803" s="25" t="str">
        <x:v>$2.99</x:v>
      </x:c>
      <x:c r="F4803" s="19" t="str">
        <x:v>3</x:v>
      </x:c>
    </x:row>
    <x:row r="4804" ht="93" customHeight="1">
      <x:c r="A4804" s="19" t="n">
        <x:v>4801</x:v>
      </x:c>
      <x:c r="B4804" s="22" t="e">
        <x:f>HYPERLINK("https://cdn.shopify.com/s/files/1/0918/6066/4603/files/O1CN01ZYeOOO1v7J0WY8VVY__2218399446125-0-cib.jpg?v=1763623461","Open")</x:f>
        <x:v>HYPERLINK is not implemented. linkLocation=https://cdn.shopify.com/s/files/1/0918/6066/4603/files/O1CN01ZYeOOO1v7J0WY8VVY__2218399446125-0-cib.jpg?v=1763623461, friendlyName=Open</x:v>
      </x:c>
      <x:c r="C4804" s="24" t="e">
        <x:f>HYPERLINK("https://365nails.com/products/original-christmas-snowman-manicure-sticker-5d-relief-three-dimensional-colored-christmas-tree-diy-nail-sticker-jewelry-aa","Original Christmas snowman manicure sticker 5D relief three-dimensional colored Christmas tree DIY nail sticker jewelry AA")</x:f>
        <x:v>HYPERLINK is not implemented. linkLocation=https://365nails.com/products/original-christmas-snowman-manicure-sticker-5d-relief-three-dimensional-colored-christmas-tree-diy-nail-sticker-jewelry-aa, friendlyName=Original Christmas snowman manicure sticker 5D relief three-dimensional colored Christmas tree DIY nail sticker jewelry AA</x:v>
      </x:c>
      <x:c r="D4804" s="18" t="str">
        <x:v>Specification type: AA-7318 / AA-7319 / AA-7320 / AA-7321</x:v>
      </x:c>
      <x:c r="E4804" s="25" t="str">
        <x:v>$0.30</x:v>
      </x:c>
      <x:c r="F4804" s="19" t="str">
        <x:v>1</x:v>
      </x:c>
    </x:row>
    <x:row r="4805" ht="93" customHeight="1">
      <x:c r="A4805" s="19" t="n">
        <x:v>4802</x:v>
      </x:c>
      <x:c r="B4805" s="22" t="e">
        <x:f>HYPERLINK("https://cdn.shopify.com/s/files/1/0918/6066/4603/files/542616d94138c9139c52d8a674e1e8d8_092ca1d1-3f32-43d7-a4d7-9d6a45502fd1.jpg?v=1755225764","Open")</x:f>
        <x:v>HYPERLINK is not implemented. linkLocation=https://cdn.shopify.com/s/files/1/0918/6066/4603/files/542616d94138c9139c52d8a674e1e8d8_092ca1d1-3f32-43d7-a4d7-9d6a45502fd1.jpg?v=1755225764, friendlyName=Open</x:v>
      </x:c>
      <x:c r="C4805" s="24" t="e">
        <x:f>HYPERLINK("https://365nails.com/products/nail-tips-eagle-claw-nail-mold-nail-extension-quick-extension-phototherapy-nail-paper-free-tray-140-pieces-boxed-transparent-crystal-nail-film-1","Eagle Claw Nail Tips Extension Mold, Quick Phototherapy Nail Forms, 140-Piece Transparent Crystal Films (MOQ=3)")</x:f>
        <x:v>HYPERLINK is not implemented. linkLocation=https://365nails.com/products/nail-tips-eagle-claw-nail-mold-nail-extension-quick-extension-phototherapy-nail-paper-free-tray-140-pieces-boxed-transparent-crystal-nail-film-1, friendlyName=Eagle Claw Nail Tips Extension Mold, Quick Phototherapy Nail Forms, 140-Piece Transparent Crystal Films (MOQ=3)</x:v>
      </x:c>
      <x:c r="D4805" s="18" t="str">
        <x:v>Color: JM-40 * 140 piece box / JM-51 * 120 piece box / JM-52 * 140 piece box; Quantity: 3pcs</x:v>
      </x:c>
      <x:c r="E4805" s="25" t="str">
        <x:v>$4.50</x:v>
      </x:c>
      <x:c r="F4805" s="19" t="str">
        <x:v>1</x:v>
      </x:c>
    </x:row>
    <x:row r="4806" ht="93" customHeight="1">
      <x:c r="A4806" s="19" t="n">
        <x:v>4803</x:v>
      </x:c>
      <x:c r="B4806" s="22" t="e">
        <x:f>HYPERLINK("https://cdn.shopify.com/s/files/1/0918/6066/4603/files/O1CN01jCefGk1v7J0W74tNG__2218399446125-0-cib.jpg?v=1763623394","Open")</x:f>
        <x:v>HYPERLINK is not implemented. linkLocation=https://cdn.shopify.com/s/files/1/0918/6066/4603/files/O1CN01jCefGk1v7J0W74tNG__2218399446125-0-cib.jpg?v=1763623394, friendlyName=Open</x:v>
      </x:c>
      <x:c r="C4806" s="24" t="e">
        <x:f>HYPERLINK("https://365nails.com/products/original-christmas-snowman-manicure-sticker-5d-relief-three-dimensional-colored-christmas-tree-diy-nail-sticker-jewelry-hg-model","Original Christmas snowman manicure sticker 5D relief three-dimensional colored Christmas tree DIY nail sticker jewelry HG model")</x:f>
        <x:v>HYPERLINK is not implemented. linkLocation=https://365nails.com/products/original-christmas-snowman-manicure-sticker-5d-relief-three-dimensional-colored-christmas-tree-diy-nail-sticker-jewelry-hg-model, friendlyName=Original Christmas snowman manicure sticker 5D relief three-dimensional colored Christmas tree DIY nail sticker jewelry HG model</x:v>
      </x:c>
      <x:c r="D4806" s="18" t="str">
        <x:v>Specification type: HG-5D548 / HG-5D549 / HG-5D550 / HG-5D551</x:v>
      </x:c>
      <x:c r="E4806" s="25" t="str">
        <x:v>$0.30</x:v>
      </x:c>
      <x:c r="F4806" s="19" t="str">
        <x:v>1</x:v>
      </x:c>
    </x:row>
    <x:row r="4807" ht="93" customHeight="1">
      <x:c r="A4807" s="19" t="n">
        <x:v>4804</x:v>
      </x:c>
      <x:c r="B4807" s="22" t="e">
        <x:f>HYPERLINK("https://cdn.shopify.com/s/files/1/0918/6066/4603/files/O1CN01Tk9okT1v7J0JLEp0m__2218399446125-0-cib.jpg?v=1763623204","Open")</x:f>
        <x:v>HYPERLINK is not implemented. linkLocation=https://cdn.shopify.com/s/files/1/0918/6066/4603/files/O1CN01Tk9okT1v7J0JLEp0m__2218399446125-0-cib.jpg?v=1763623204, friendlyName=Open</x:v>
      </x:c>
      <x:c r="C4807" s="24" t="e">
        <x:f>HYPERLINK("https://365nails.com/products/original-christmas-tree-nail-art-sticker-5d-embossed-three-dimensional-happy-christmas-elements-diy-nail-sticker-aa","Original Christmas Tree Nail Art Sticker 5D Embossed Three-dimensional Happy Christmas Elements DIY Nail Sticker AA")</x:f>
        <x:v>HYPERLINK is not implemented. linkLocation=https://365nails.com/products/original-christmas-tree-nail-art-sticker-5d-embossed-three-dimensional-happy-christmas-elements-diy-nail-sticker-aa, friendlyName=Original Christmas Tree Nail Art Sticker 5D Embossed Three-dimensional Happy Christmas Elements DIY Nail Sticker AA</x:v>
      </x:c>
      <x:c r="D4807" s="18" t="str">
        <x:v>Specification type: AA-7292 / AA-7296 / AA-7297 / AA-7298</x:v>
      </x:c>
      <x:c r="E4807" s="25" t="str">
        <x:v>$0.30</x:v>
      </x:c>
      <x:c r="F4807" s="19" t="str">
        <x:v>1</x:v>
      </x:c>
    </x:row>
    <x:row r="4808" ht="93" customHeight="1">
      <x:c r="A4808" s="19" t="n">
        <x:v>4805</x:v>
      </x:c>
      <x:c r="B4808" s="22" t="e">
        <x:f>HYPERLINK("https://cdn.shopify.com/s/files/1/0918/6066/4603/files/04cd0be4f172ad04235ff0c0a7c96c8b.jpg?v=1771410038","Open")</x:f>
        <x:v>HYPERLINK is not implemented. linkLocation=https://cdn.shopify.com/s/files/1/0918/6066/4603/files/04cd0be4f172ad04235ff0c0a7c96c8b.jpg?v=1771410038, friendlyName=Open</x:v>
      </x:c>
      <x:c r="C4808" s="24" t="e">
        <x:f>HYPERLINK("https://365nails.com/products/mystic-nebula-flow-ethereal-ink-series","Ethereal Ink: ""Mystic Nebula Flow"" – Lilac, Berry &amp; Sage Mixed Marble with 3D Ripple &amp; Cat Eye Almond Nails")</x:f>
        <x:v>HYPERLINK is not implemented. linkLocation=https://365nails.com/products/mystic-nebula-flow-ethereal-ink-series, friendlyName=Ethereal Ink: "Mystic Nebula Flow" – Lilac, Berry &amp; Sage Mixed Marble with 3D Ripple &amp; Cat Eye Almond Nails</x:v>
      </x:c>
      <x:c r="D4808" s="18" t="str">
        <x:v>Size: XS / S / M / L</x:v>
      </x:c>
      <x:c r="E4808" s="25" t="str">
        <x:v>$3.99</x:v>
      </x:c>
      <x:c r="F4808" s="19" t="str">
        <x:v>30</x:v>
      </x:c>
    </x:row>
    <x:row r="4809" ht="93" customHeight="1">
      <x:c r="A4809" s="19" t="n">
        <x:v>4806</x:v>
      </x:c>
      <x:c r="B4809" s="22" t="e">
        <x:f>HYPERLINK("https://cdn.shopify.com/s/files/1/0918/6066/4603/files/O1CN01WKxwYX1v7Izg4KtkR__2218399446125-0-cib.jpg?v=1763623737","Open")</x:f>
        <x:v>HYPERLINK is not implemented. linkLocation=https://cdn.shopify.com/s/files/1/0918/6066/4603/files/O1CN01WKxwYX1v7Izg4KtkR__2218399446125-0-cib.jpg?v=1763623737, friendlyName=Open</x:v>
      </x:c>
      <x:c r="C4809" s="24" t="e">
        <x:f>HYPERLINK("https://365nails.com/products/original-christmas-element-nail-art-sticker-5d-relief-three-dimensional-happy-christmas-diy-nail-sticker-jewelry-aa","Original Christmas element nail art sticker 5D relief three-dimensional happy Christmas DIY nail sticker jewelry AA")</x:f>
        <x:v>HYPERLINK is not implemented. linkLocation=https://365nails.com/products/original-christmas-element-nail-art-sticker-5d-relief-three-dimensional-happy-christmas-diy-nail-sticker-jewelry-aa, friendlyName=Original Christmas element nail art sticker 5D relief three-dimensional happy Christmas DIY nail sticker jewelry AA</x:v>
      </x:c>
      <x:c r="D4809" s="18" t="str">
        <x:v>Specification type: AA-7282 / AA-7283 / AA-7285 / AA-7286 / AA-7287</x:v>
      </x:c>
      <x:c r="E4809" s="25" t="str">
        <x:v>$0.70</x:v>
      </x:c>
      <x:c r="F4809" s="19" t="str">
        <x:v>1</x:v>
      </x:c>
    </x:row>
    <x:row r="4810" ht="93" customHeight="1">
      <x:c r="A4810" s="19" t="n">
        <x:v>4807</x:v>
      </x:c>
      <x:c r="B4810" s="22" t="e">
        <x:f>HYPERLINK("https://cdn.shopify.com/s/files/1/0918/6066/4603/files/566e948fb1a2665b31c149af7dcf8d80_4d86517c-ec30-4532-b652-811665b352b2.jpg?v=1755229374","Open")</x:f>
        <x:v>HYPERLINK is not implemented. linkLocation=https://cdn.shopify.com/s/files/1/0918/6066/4603/files/566e948fb1a2665b31c149af7dcf8d80_4d86517c-ec30-4532-b652-811665b352b2.jpg?v=1755229374, friendlyName=Open</x:v>
      </x:c>
      <x:c r="C4810" s="24" t="e">
        <x:f>HYPERLINK("https://365nails.com/products/nail-tips-120-transparent-crystal-nail-molds-boxed-with-graduated-crystal-extension-nail-molds-rapid-phototherapy-extension-nail-molds","Transparent Crystal Nail Extension Molds with Graduated Scale, Rapid Phototherapy Nail Forms, 120 Pieces Boxed (MOQ=3)")</x:f>
        <x:v>HYPERLINK is not implemented. linkLocation=https://365nails.com/products/nail-tips-120-transparent-crystal-nail-molds-boxed-with-graduated-crystal-extension-nail-molds-rapid-phototherapy-extension-nail-molds, friendlyName=Transparent Crystal Nail Extension Molds with Graduated Scale, Rapid Phototherapy Nail Forms, 120 Pieces Boxed (MOQ=3)</x:v>
      </x:c>
      <x:c r="D4810" s="18" t="str">
        <x:v>Color: JM-1 / JM-2 / JM-3 / JM-4 / JM-5 / JM-6 / JM-7 / JM-8 / JM-9 / JM-10 / JM-11 / JM-13 / JM-14 / JM-15 / JM-16 / JM-17 / JM-18 / JM-19 / JM-20 / JM-22 / JM-23 / JM-24 / JM-25 / JM-26 / JM-31 stereo / JM-32 stereo / JM-36; Quantity: 3pcs</x:v>
      </x:c>
      <x:c r="E4810" s="25" t="str">
        <x:v>$2.04</x:v>
      </x:c>
      <x:c r="F4810" s="19" t="str">
        <x:v>1</x:v>
      </x:c>
    </x:row>
    <x:row r="4811" ht="93" customHeight="1">
      <x:c r="A4811" s="19" t="n">
        <x:v>4808</x:v>
      </x:c>
      <x:c r="B4811" s="22" t="e">
        <x:f>HYPERLINK("https://cdn.shopify.com/s/files/1/0918/6066/4603/files/O1CN01Xjbm5E2214wHYdrzj__2219480337059-0-cib.jpg?v=1773321052","Open")</x:f>
        <x:v>HYPERLINK is not implemented. linkLocation=https://cdn.shopify.com/s/files/1/0918/6066/4603/files/O1CN01Xjbm5E2214wHYdrzj__2219480337059-0-cib.jpg?v=1773321052, friendlyName=Open</x:v>
      </x:c>
      <x:c r="C4811" s="24" t="e">
        <x:f>HYPERLINK("https://365nails.com/products/365nails-pink-lucky-lion-dance-short-round-handmade-kids-press-on-nails","365nails: ""pink lucky lion dance"" – short round handmade kids press-on nails")</x:f>
        <x:v>HYPERLINK is not implemented. linkLocation=https://365nails.com/products/365nails-pink-lucky-lion-dance-short-round-handmade-kids-press-on-nails, friendlyName=365nails: "pink lucky lion dance" – short round handmade kids press-on nails</x:v>
      </x:c>
      <x:c r="D4811" s="18" t="str">
        <x:v>Color: 51292 streamer awakening lion; Color classification: Xs (about 2 years old) / S (3-4 years old) / M (5-7 years old) / L (8-11 years old)</x:v>
      </x:c>
      <x:c r="E4811" s="25" t="str">
        <x:v>$2.99</x:v>
      </x:c>
      <x:c r="F4811" s="19" t="str">
        <x:v>3</x:v>
      </x:c>
    </x:row>
    <x:row r="4812" ht="93" customHeight="1">
      <x:c r="A4812" s="19" t="n">
        <x:v>4809</x:v>
      </x:c>
      <x:c r="B4812" s="22" t="e">
        <x:f>HYPERLINK("https://cdn.shopify.com/s/files/1/0918/6066/4603/files/O1CN01PsWYlW1CPwJzXb5HN__2213196780074-0-cib.jpg?v=1774605346","Open")</x:f>
        <x:v>HYPERLINK is not implemented. linkLocation=https://cdn.shopify.com/s/files/1/0918/6066/4603/files/O1CN01PsWYlW1CPwJzXb5HN__2213196780074-0-cib.jpg?v=1774605346, friendlyName=Open</x:v>
      </x:c>
      <x:c r="C4812" s="24" t="e">
        <x:f>HYPERLINK("https://365nails.com/products/365nails-sweet-kawaii-dream-3d-fruit-star-stiletto-nails","365nails: ""Sweet Kawaii Dream"" – 3D Fruit &amp; Star Stiletto Nails")</x:f>
        <x:v>HYPERLINK is not implemented. linkLocation=https://365nails.com/products/365nails-sweet-kawaii-dream-3d-fruit-star-stiletto-nails, friendlyName=365nails: "Sweet Kawaii Dream" – 3D Fruit &amp; Star Stiletto Nails</x:v>
      </x:c>
      <x:c r="D4812" s="18" t="str">
        <x:v>Color: Extra small size xs / Small s / Medium m / Large l; Specification type: 2552-almond a</x:v>
      </x:c>
      <x:c r="E4812" s="25" t="str">
        <x:v>$3.99</x:v>
      </x:c>
      <x:c r="F4812" s="19" t="str">
        <x:v>1</x:v>
      </x:c>
    </x:row>
    <x:row r="4813" ht="93" customHeight="1">
      <x:c r="A4813" s="19" t="n">
        <x:v>4810</x:v>
      </x:c>
      <x:c r="B4813" s="22" t="e">
        <x:f>HYPERLINK("https://cdn.shopify.com/s/files/1/0918/6066/4603/files/O1CN01KOIvHL1rlpKbW78eD__2215158925672-0-cib_52e41946-090f-4358-8aab-e196eebf33cb.jpg?v=1772513849","Open")</x:f>
        <x:v>HYPERLINK is not implemented. linkLocation=https://cdn.shopify.com/s/files/1/0918/6066/4603/files/O1CN01KOIvHL1rlpKbW78eD__2215158925672-0-cib_52e41946-090f-4358-8aab-e196eebf33cb.jpg?v=1772513849, friendlyName=Open</x:v>
      </x:c>
      <x:c r="C4813" s="24" t="e">
        <x:f>HYPERLINK("https://365nails.com/products/365nails-whimsy-pastel-dreamscape-short-square-iridescent-gem-3d-accent-press-on-nails-24pcs","365nails: ""Magical Girl Moonlight"" – Short Coffin Handmade Press-On Nails")</x:f>
        <x:v>HYPERLINK is not implemented. linkLocation=https://365nails.com/products/365nails-whimsy-pastel-dreamscape-short-square-iridescent-gem-3d-accent-press-on-nails-24pcs, friendlyName=365nails: "Magical Girl Moonlight" – Short Coffin Handmade Press-On Nails</x:v>
      </x:c>
      <x:c r="D4813" s="18" t="str">
        <x:v>Color: Ultra short t; Color classification: X s / S / M / L</x:v>
      </x:c>
      <x:c r="E4813" s="25" t="str">
        <x:v>$3.49</x:v>
      </x:c>
      <x:c r="F4813" s="19" t="str">
        <x:v>3</x:v>
      </x:c>
    </x:row>
    <x:row r="4814" ht="93" customHeight="1">
      <x:c r="A4814" s="19" t="n">
        <x:v>4811</x:v>
      </x:c>
      <x:c r="B4814" s="22" t="e">
        <x:f>HYPERLINK("https://cdn.shopify.com/s/files/1/0918/6066/4603/files/d6dc4c9a7529692b74ad83dc02777d4d.jpg?v=1771464982","Open")</x:f>
        <x:v>HYPERLINK is not implemented. linkLocation=https://cdn.shopify.com/s/files/1/0918/6066/4603/files/d6dc4c9a7529692b74ad83dc02777d4d.jpg?v=1771464982, friendlyName=Open</x:v>
      </x:c>
      <x:c r="C4814" s="24" t="e">
        <x:f>HYPERLINK("https://365nails.com/products/juicy-fruit-punch-summer-collection","Sculpted Flora: ""Juicy Fruit Punch"" – 3D Cherries, Citrus Slices &amp; Blueberries Mix-Match Stiletto Nails")</x:f>
        <x:v>HYPERLINK is not implemented. linkLocation=https://365nails.com/products/juicy-fruit-punch-summer-collection, friendlyName=Sculpted Flora: "Juicy Fruit Punch" – 3D Cherries, Citrus Slices &amp; Blueberries Mix-Match Stiletto Nails</x:v>
      </x:c>
      <x:c r="D4814" s="18" t="str">
        <x:v>Size: XS / S / M / L</x:v>
      </x:c>
      <x:c r="E4814" s="25" t="str">
        <x:v>$3.99</x:v>
      </x:c>
      <x:c r="F4814" s="19" t="str">
        <x:v>5</x:v>
      </x:c>
    </x:row>
    <x:row r="4815" ht="93" customHeight="1">
      <x:c r="A4815" s="19" t="n">
        <x:v>4812</x:v>
      </x:c>
      <x:c r="B4815" s="22" t="e">
        <x:f>HYPERLINK("https://cdn.shopify.com/s/files/1/0918/6066/4603/files/tufan_2Fe6390aa4-ca10-11f0-a119-00163e1f816f.jpg?v=1764083874","Open")</x:f>
        <x:v>HYPERLINK is not implemented. linkLocation=https://cdn.shopify.com/s/files/1/0918/6066/4603/files/tufan_2Fe6390aa4-ca10-11f0-a119-00163e1f816f.jpg?v=1764083874, friendlyName=Open</x:v>
      </x:c>
      <x:c r="C4815" s="24" t="e">
        <x:f>HYPERLINK("https://365nails.com/products/classic-red-radiance-short-nail-set","Classic Red Radiance Short Nail Set")</x:f>
        <x:v>HYPERLINK is not implemented. linkLocation=https://365nails.com/products/classic-red-radiance-short-nail-set, friendlyName=Classic Red Radiance Short Nail Set</x:v>
      </x:c>
      <x:c r="D4815" s="18" t="str">
        <x:v>Color: S225 / S248 / S281 / S294 / S89</x:v>
      </x:c>
      <x:c r="E4815" s="25" t="str">
        <x:v>$1.18</x:v>
      </x:c>
      <x:c r="F4815" s="19" t="str">
        <x:v>1</x:v>
      </x:c>
    </x:row>
    <x:row r="4816" ht="93" customHeight="1">
      <x:c r="A4816" s="19" t="n">
        <x:v>4813</x:v>
      </x:c>
      <x:c r="B4816" s="22" t="e">
        <x:f>HYPERLINK("https://cdn.shopify.com/s/files/1/0918/6066/4603/files/O1CN01pk1TQO1rlpaJR2xnw__2215158925672-0-cib.jpg?v=1763106279","Open")</x:f>
        <x:v>HYPERLINK is not implemented. linkLocation=https://cdn.shopify.com/s/files/1/0918/6066/4603/files/O1CN01pk1TQO1rlpaJR2xnw__2215158925672-0-cib.jpg?v=1763106279, friendlyName=Open</x:v>
      </x:c>
      <x:c r="C4816" s="24" t="e">
        <x:f>HYPERLINK("https://365nails.com/products/mint-blossom-chic-series-press-on-nails","Mint Blossom Chic Series Press-On Nails")</x:f>
        <x:v>HYPERLINK is not implemented. linkLocation=https://365nails.com/products/mint-blossom-chic-series-press-on-nails, friendlyName=Mint Blossom Chic Series Press-On Nails</x:v>
      </x:c>
      <x:c r="D4816" s="18" t="str">
        <x:v>Size: S / M</x:v>
      </x:c>
      <x:c r="E4816" s="25" t="str">
        <x:v>$3.49</x:v>
      </x:c>
      <x:c r="F4816" s="19" t="str">
        <x:v>30</x:v>
      </x:c>
    </x:row>
    <x:row r="4817" ht="93" customHeight="1">
      <x:c r="A4817" s="19" t="n">
        <x:v>4814</x:v>
      </x:c>
      <x:c r="B4817" s="22" t="e">
        <x:f>HYPERLINK("https://cdn.shopify.com/s/files/1/0918/6066/4603/files/O1CN01y5AD6e1rlpXTLzi1o__2215158925672-0-cib.jpg?v=1754378181","Open")</x:f>
        <x:v>HYPERLINK is not implemented. linkLocation=https://cdn.shopify.com/s/files/1/0918/6066/4603/files/O1CN01y5AD6e1rlpXTLzi1o__2215158925672-0-cib.jpg?v=1754378181, friendlyName=Open</x:v>
      </x:c>
      <x:c r="C4817" s="24" t="e">
        <x:f>HYPERLINK("https://365nails.com/products/duck-bill-nail-sweet-french-engraved-nail-art-ice-transparent-pure-desire-high-sense-handmade-press-on-nails-wholesale-365nails","Sweet Petal Duckbill Series Press-On Nails")</x:f>
        <x:v>HYPERLINK is not implemented. linkLocation=https://365nails.com/products/duck-bill-nail-sweet-french-engraved-nail-art-ice-transparent-pure-desire-high-sense-handmade-press-on-nails-wholesale-365nails, friendlyName=Sweet Petal Duckbill Series Press-On Nails</x:v>
      </x:c>
      <x:c r="D4817" s="18" t="str">
        <x:v>Color: short bill; Color classification: S / M / L</x:v>
      </x:c>
      <x:c r="E4817" s="25" t="str">
        <x:v>$4.49</x:v>
      </x:c>
      <x:c r="F4817" s="19" t="str">
        <x:v>30</x:v>
      </x:c>
    </x:row>
    <x:row r="4818" ht="93" customHeight="1">
      <x:c r="A4818" s="19" t="n">
        <x:v>4815</x:v>
      </x:c>
      <x:c r="B4818" s="22" t="e">
        <x:f>HYPERLINK("https://cdn.shopify.com/s/files/1/0918/6066/4603/files/47fa146bc193b77499ce635454a2acbe_c26c4b60-dda8-4764-9d7a-e43aa40cea0d.jpg?v=1771251240","Open")</x:f>
        <x:v>HYPERLINK is not implemented. linkLocation=https://cdn.shopify.com/s/files/1/0918/6066/4603/files/47fa146bc193b77499ce635454a2acbe_c26c4b60-dda8-4764-9d7a-e43aa40cea0d.jpg?v=1771251240, friendlyName=Open</x:v>
      </x:c>
      <x:c r="C4818" s="24" t="e">
        <x:f>HYPERLINK("https://365nails.com/products/amber-python-from-the-gilded-serpent-collection","Luxury Logo The Gilded Serpent: ""Amber Python"" – Chocolate Brown &amp; Black with Gold Sequin Glitter Handmade Press-On Nails")</x:f>
        <x:v>HYPERLINK is not implemented. linkLocation=https://365nails.com/products/amber-python-from-the-gilded-serpent-collection, friendlyName=Luxury Logo The Gilded Serpent: "Amber Python" – Chocolate Brown &amp; Black with Gold Sequin Glitter Handmade Press-On Nails</x:v>
      </x:c>
      <x:c r="D4818" s="18" t="str">
        <x:v>Size: XS / S / M / L; Color: short / medium</x:v>
      </x:c>
      <x:c r="E4818" s="25" t="str">
        <x:v>$6.99</x:v>
      </x:c>
      <x:c r="F4818" s="19" t="str">
        <x:v>5</x:v>
      </x:c>
    </x:row>
    <x:row r="4819" ht="93" customHeight="1">
      <x:c r="A4819" s="19" t="n">
        <x:v>4816</x:v>
      </x:c>
      <x:c r="B4819" s="22" t="e">
        <x:f>HYPERLINK("https://cdn.shopify.com/s/files/1/0918/6066/4603/files/1143e4de67a9b54f4727ae40b5cc16d6_22557f69-69e0-4f64-b21f-d58166641cb5.jpg?v=1771248685","Open")</x:f>
        <x:v>HYPERLINK is not implemented. linkLocation=https://cdn.shopify.com/s/files/1/0918/6066/4603/files/1143e4de67a9b54f4727ae40b5cc16d6_22557f69-69e0-4f64-b21f-d58166641cb5.jpg?v=1771248685, friendlyName=Open</x:v>
      </x:c>
      <x:c r="C4819" s="24" t="e">
        <x:f>HYPERLINK("https://365nails.com/products/emerald-python-from-the-gilded-serpent-collection","Luxury Logo The Gilded Serpent: ""Emerald Python"" – Dark Green Cat Eye &amp; Gold Scale Handmade Press-On Nails with 3D Snake Charm")</x:f>
        <x:v>HYPERLINK is not implemented. linkLocation=https://365nails.com/products/emerald-python-from-the-gilded-serpent-collection, friendlyName=Luxury Logo The Gilded Serpent: "Emerald Python" – Dark Green Cat Eye &amp; Gold Scale Handmade Press-On Nails with 3D Snake Charm</x:v>
      </x:c>
      <x:c r="D4819" s="18" t="str">
        <x:v>Size: XS / S / M / L</x:v>
      </x:c>
      <x:c r="E4819" s="25" t="str">
        <x:v>$6.99</x:v>
      </x:c>
      <x:c r="F4819" s="19" t="str">
        <x:v>5</x:v>
      </x:c>
    </x:row>
    <x:row r="4820" ht="93" customHeight="1">
      <x:c r="A4820" s="19" t="n">
        <x:v>4817</x:v>
      </x:c>
      <x:c r="B4820" s="22" t="e">
        <x:f>HYPERLINK("https://cdn.shopify.com/s/files/1/0918/6066/4603/files/606bd411c6fb4bc3ee9f624b02d5932a_05c6f973-0ef4-46ae-a90f-3a169b2b85c1.jpg?v=1771251410","Open")</x:f>
        <x:v>HYPERLINK is not implemented. linkLocation=https://cdn.shopify.com/s/files/1/0918/6066/4603/files/606bd411c6fb4bc3ee9f624b02d5932a_05c6f973-0ef4-46ae-a90f-3a169b2b85c1.jpg?v=1771251410, friendlyName=Open</x:v>
      </x:c>
      <x:c r="C4820" s="24" t="e">
        <x:f>HYPERLINK("https://365nails.com/products/ruby-viper-from-the-gilded-serpent-collection","Luxury Logo The Gilded Serpent: ""Ruby Viper"" – Deep Red Cat Eye &amp; Black Crackle Handmade Press-On Nails with Vintage Gemstone")</x:f>
        <x:v>HYPERLINK is not implemented. linkLocation=https://365nails.com/products/ruby-viper-from-the-gilded-serpent-collection, friendlyName=Luxury Logo The Gilded Serpent: "Ruby Viper" – Deep Red Cat Eye &amp; Black Crackle Handmade Press-On Nails with Vintage Gemstone</x:v>
      </x:c>
      <x:c r="D4820" s="18" t="str">
        <x:v>Size: XS / S / M / L</x:v>
      </x:c>
      <x:c r="E4820" s="25" t="str">
        <x:v>$6.99</x:v>
      </x:c>
      <x:c r="F4820" s="19" t="str">
        <x:v>5</x:v>
      </x:c>
    </x:row>
    <x:row r="4821" ht="93" customHeight="1">
      <x:c r="A4821" s="19" t="n">
        <x:v>4818</x:v>
      </x:c>
      <x:c r="B4821" s="22" t="e">
        <x:f>HYPERLINK("https://cdn.shopify.com/s/files/1/0918/6066/4603/files/0013eef0df6b233dc7d3ecdc887df6fa.jpg?v=1771249997","Open")</x:f>
        <x:v>HYPERLINK is not implemented. linkLocation=https://cdn.shopify.com/s/files/1/0918/6066/4603/files/0013eef0df6b233dc7d3ecdc887df6fa.jpg?v=1771249997, friendlyName=Open</x:v>
      </x:c>
      <x:c r="C4821" s="24" t="e">
        <x:f>HYPERLINK("https://365nails.com/products/midnight-viper-from-the-gilded-serpent-collection","Luxury Logo The Gilded Serpent: ""Midnight Viper"" – Dark Navy Blue &amp; Silver Metallic 3D Snake Scale Handmade Press-On Nails")</x:f>
        <x:v>HYPERLINK is not implemented. linkLocation=https://365nails.com/products/midnight-viper-from-the-gilded-serpent-collection, friendlyName=Luxury Logo The Gilded Serpent: "Midnight Viper" – Dark Navy Blue &amp; Silver Metallic 3D Snake Scale Handmade Press-On Nails</x:v>
      </x:c>
      <x:c r="D4821" s="18" t="str">
        <x:v>Size: XS / S / M / L; Color: short / medium / Almond</x:v>
      </x:c>
      <x:c r="E4821" s="25" t="str">
        <x:v>$6.99</x:v>
      </x:c>
      <x:c r="F4821" s="19" t="str">
        <x:v>5</x:v>
      </x:c>
    </x:row>
    <x:row r="4822" ht="93" customHeight="1">
      <x:c r="A4822" s="19" t="n">
        <x:v>4819</x:v>
      </x:c>
      <x:c r="B4822" s="22" t="e">
        <x:f>HYPERLINK("https://cdn.shopify.com/s/files/1/0918/6066/4603/files/2e02a28a491468d0a8712ef1274af9e0.jpg?v=1771248806","Open")</x:f>
        <x:v>HYPERLINK is not implemented. linkLocation=https://cdn.shopify.com/s/files/1/0918/6066/4603/files/2e02a28a491468d0a8712ef1274af9e0.jpg?v=1771248806, friendlyName=Open</x:v>
      </x:c>
      <x:c r="C4822" s="24" t="e">
        <x:f>HYPERLINK("https://365nails.com/products/the-gilded-serpent-blush-python","Luxury Logo The Gilded Serpent: ""Blush Python"" – Nude Pink Handmade Press-On Nails with Gold Scales &amp; Vintage Gem Accent")</x:f>
        <x:v>HYPERLINK is not implemented. linkLocation=https://365nails.com/products/the-gilded-serpent-blush-python, friendlyName=Luxury Logo The Gilded Serpent: "Blush Python" – Nude Pink Handmade Press-On Nails with Gold Scales &amp; Vintage Gem Accent</x:v>
      </x:c>
      <x:c r="D4822" s="18" t="str">
        <x:v>Size: XS / S / M / L</x:v>
      </x:c>
      <x:c r="E4822" s="25" t="str">
        <x:v>$6.99</x:v>
      </x:c>
      <x:c r="F4822" s="19" t="str">
        <x:v>5</x:v>
      </x:c>
    </x:row>
    <x:row r="4823" ht="93" customHeight="1">
      <x:c r="A4823" s="19" t="n">
        <x:v>4820</x:v>
      </x:c>
      <x:c r="B4823" s="22" t="e">
        <x:f>HYPERLINK("https://cdn.shopify.com/s/files/1/0918/6066/4603/files/8b4039ec0667c3368f26a4f5dc2d7909_5c1a7442-63f0-4a5a-a4b4-3ff703931f39.jpg?v=1771251365","Open")</x:f>
        <x:v>HYPERLINK is not implemented. linkLocation=https://cdn.shopify.com/s/files/1/0918/6066/4603/files/8b4039ec0667c3368f26a4f5dc2d7909_5c1a7442-63f0-4a5a-a4b4-3ff703931f39.jpg?v=1771251365, friendlyName=Open</x:v>
      </x:c>
      <x:c r="C4823" s="24" t="e">
        <x:f>HYPERLINK("https://365nails.com/products/mocha-python-from-the-gilded-serpent-collection","Luxury Logo The Gilded Serpent: ""Mocha Python"" – Warm Brown Cat Eye &amp; Bronze Textured Handmade Press-On Nails with Honeycomb Scales")</x:f>
        <x:v>HYPERLINK is not implemented. linkLocation=https://365nails.com/products/mocha-python-from-the-gilded-serpent-collection, friendlyName=Luxury Logo The Gilded Serpent: "Mocha Python" – Warm Brown Cat Eye &amp; Bronze Textured Handmade Press-On Nails with Honeycomb Scales</x:v>
      </x:c>
      <x:c r="D4823" s="18" t="str">
        <x:v>Size: XS / S / M / L</x:v>
      </x:c>
      <x:c r="E4823" s="25" t="str">
        <x:v>$6.99</x:v>
      </x:c>
      <x:c r="F4823" s="19" t="str">
        <x:v>5</x:v>
      </x:c>
    </x:row>
    <x:row r="4824" ht="93" customHeight="1">
      <x:c r="A4824" s="19" t="n">
        <x:v>4821</x:v>
      </x:c>
      <x:c r="B4824" s="22" t="e">
        <x:f>HYPERLINK("https://cdn.shopify.com/s/files/1/0918/6066/4603/files/eebf4e927f756a49ecbc6b46b907d0fe_2f6f6e42-1cb4-402f-8c8f-42e7d5d71bf0.jpg?v=1755246282","Open")</x:f>
        <x:v>HYPERLINK is not implemented. linkLocation=https://cdn.shopify.com/s/files/1/0918/6066/4603/files/eebf4e927f756a49ecbc6b46b907d0fe_2f6f6e42-1cb4-402f-8c8f-42e7d5d71bf0.jpg?v=1755246282, friendlyName=Open</x:v>
      </x:c>
      <x:c r="C4824" s="24" t="e">
        <x:f>HYPERLINK("https://365nails.com/products/nail-tips-long-press-on-nails-french-versatile-patch-nail-art-removable-prefabricated-fake-nail-press-on-nails-piece","Long press on nails, French versatile patch nail art removable prefabricated fake nail press on nails piece (MOQ=3)")</x:f>
        <x:v>HYPERLINK is not implemented. linkLocation=https://365nails.com/products/nail-tips-long-press-on-nails-french-versatile-patch-nail-art-removable-prefabricated-fake-nail-press-on-nails-piece, friendlyName=Long press on nails, French versatile patch nail art removable prefabricated fake nail press on nails piece (MOQ=3)</x:v>
      </x:c>
      <x:c r="D4824" s="18" t="str">
        <x:v>Color: YS-168Z-01 / YS-168Z-02 / YS-168Z-03 / YS-168Z-04 / YS-168Z-05 / YS-168Z-06 / YS-168Z-07 / YS-168Z-08 / YS-168Z-09 / YS-168Z-10 / YS-168Z-11 / YS-168Z-12 / YS-168Z-13 / YS-168Z-14 / YS-168Z-15 / YS-168Z-16 / YS-168Z-17 / YS-168Z-18 / YS-168Z-19 / YS-168Z-20 / YS-168Z-21 / YS-168Z-22 / YS-168Z-23 / YS-168Z-24 / YS-168Z-25 / YS-168Z-26 / YS-168Z-27 / YS-168Z-28 / YS-168Z-29 / YS-168Z-30 / YS-168Z-31 / YS-168Z-32 / YS-168Z-33 / YS-168Z-34 / YS-168Z-35 / YS-168Z-36 / YS-168Z-37 / YS-168Z-38 / YS-168Z-39 / YS-168Z-40 / YS-168Z-41 / YS-168Z-42 / YS-168Z-43 / YS-168Z-44 / YS-168Z-45 / YS-168Z-46 / YS-168Z-47 / YS-168Z-48 / YS-168Z-49 / YS-168Z-50 / YS-168Z-51; Quantity: 3pcs</x:v>
      </x:c>
      <x:c r="E4824" s="25" t="str">
        <x:v>$3.78</x:v>
      </x:c>
      <x:c r="F4824" s="19" t="str">
        <x:v>1</x:v>
      </x:c>
    </x:row>
    <x:row r="4825" ht="93" customHeight="1">
      <x:c r="A4825" s="19" t="n">
        <x:v>4822</x:v>
      </x:c>
      <x:c r="B4825" s="22" t="e">
        <x:f>HYPERLINK("https://cdn.shopify.com/s/files/1/0918/6066/4603/files/1ee8cd13aa134a7015e66c5e2a9eb1b2_50b76ef3-5d7c-4076-8371-8892cd92a6a8.jpg?v=1771248206","Open")</x:f>
        <x:v>HYPERLINK is not implemented. linkLocation=https://cdn.shopify.com/s/files/1/0918/6066/4603/files/1ee8cd13aa134a7015e66c5e2a9eb1b2_50b76ef3-5d7c-4076-8371-8892cd92a6a8.jpg?v=1771248206, friendlyName=Open</x:v>
      </x:c>
      <x:c r="C4825" s="24" t="e">
        <x:f>HYPERLINK("https://365nails.com/products/silver-viper-from-the-gilded-serpent-collection","Luxury Logo The Gilded Serpent: ""Silver Viper"" – Black &amp; Silver Gothic Snake Press-On Nails with 3D Bow &amp; Shell Accents")</x:f>
        <x:v>HYPERLINK is not implemented. linkLocation=https://365nails.com/products/silver-viper-from-the-gilded-serpent-collection, friendlyName=Luxury Logo The Gilded Serpent: "Silver Viper" – Black &amp; Silver Gothic Snake Press-On Nails with 3D Bow &amp; Shell Accents</x:v>
      </x:c>
      <x:c r="D4825" s="18" t="str">
        <x:v>Size: XS / S / M / L</x:v>
      </x:c>
      <x:c r="E4825" s="25" t="str">
        <x:v>$6.99</x:v>
      </x:c>
      <x:c r="F4825" s="19" t="str">
        <x:v>5</x:v>
      </x:c>
    </x:row>
    <x:row r="4826" ht="93" customHeight="1">
      <x:c r="A4826" s="19" t="n">
        <x:v>4823</x:v>
      </x:c>
      <x:c r="B4826" s="22" t="e">
        <x:f>HYPERLINK("https://cdn.shopify.com/s/files/1/0918/6066/4603/files/deb370f7f106f2774832f4729aa4395a.jpg?v=1771251380","Open")</x:f>
        <x:v>HYPERLINK is not implemented. linkLocation=https://cdn.shopify.com/s/files/1/0918/6066/4603/files/deb370f7f106f2774832f4729aa4395a.jpg?v=1771251380, friendlyName=Open</x:v>
      </x:c>
      <x:c r="C4826" s="24" t="e">
        <x:f>HYPERLINK("https://365nails.com/products/jade-empress-from-the-gilded-serpent-collection","Luxury Logo The Gilded Serpent: ""Jade Empress"" – Dark Teal &amp; Gold Chinoiserie Press-On Nails with Vintage Floral Relief &amp; Kanji Art")</x:f>
        <x:v>HYPERLINK is not implemented. linkLocation=https://365nails.com/products/jade-empress-from-the-gilded-serpent-collection, friendlyName=Luxury Logo The Gilded Serpent: "Jade Empress" – Dark Teal &amp; Gold Chinoiserie Press-On Nails with Vintage Floral Relief &amp; Kanji Art</x:v>
      </x:c>
      <x:c r="D4826" s="18" t="str">
        <x:v>Size: XS / S / M / L</x:v>
      </x:c>
      <x:c r="E4826" s="25" t="str">
        <x:v>$6.99</x:v>
      </x:c>
      <x:c r="F4826" s="19" t="str">
        <x:v>5</x:v>
      </x:c>
    </x:row>
    <x:row r="4827" ht="93" customHeight="1">
      <x:c r="A4827" s="19" t="n">
        <x:v>4824</x:v>
      </x:c>
      <x:c r="B4827" s="22" t="e">
        <x:f>HYPERLINK("https://cdn.shopify.com/s/files/1/0918/6066/4603/files/782539e7806e39d14bf2e9e41936df9a_38e52901-f447-4c93-8524-53c5c65ae2a3.jpg?v=1771251393","Open")</x:f>
        <x:v>HYPERLINK is not implemented. linkLocation=https://cdn.shopify.com/s/files/1/0918/6066/4603/files/782539e7806e39d14bf2e9e41936df9a_38e52901-f447-4c93-8524-53c5c65ae2a3.jpg?v=1771251393, friendlyName=Open</x:v>
      </x:c>
      <x:c r="C4827" s="24" t="e">
        <x:f>HYPERLINK("https://365nails.com/products/mauve-serpent-from-the-gilded-serpent-collection","Luxury Logo The Gilded Serpent: ""Mauve Serpent"" – Dusty Pink Cat Eye &amp; Glitter Scale Handmade Press-On Nails with Crystal Curve")</x:f>
        <x:v>HYPERLINK is not implemented. linkLocation=https://365nails.com/products/mauve-serpent-from-the-gilded-serpent-collection, friendlyName=Luxury Logo The Gilded Serpent: "Mauve Serpent" – Dusty Pink Cat Eye &amp; Glitter Scale Handmade Press-On Nails with Crystal Curve</x:v>
      </x:c>
      <x:c r="D4827" s="18" t="str">
        <x:v>Size: XS / S / M / L</x:v>
      </x:c>
      <x:c r="E4827" s="25" t="str">
        <x:v>$6.99</x:v>
      </x:c>
      <x:c r="F4827" s="19" t="str">
        <x:v>5</x:v>
      </x:c>
    </x:row>
    <x:row r="4828" ht="93" customHeight="1">
      <x:c r="A4828" s="19" t="n">
        <x:v>4825</x:v>
      </x:c>
      <x:c r="B4828" s="22" t="e">
        <x:f>HYPERLINK("https://cdn.shopify.com/s/files/1/0918/6066/4603/files/tufan_2Fa6b3cfaa-ca7d-11f0-a289-00163e15d921.jpg?v=1764130476","Open")</x:f>
        <x:v>HYPERLINK is not implemented. linkLocation=https://cdn.shopify.com/s/files/1/0918/6066/4603/files/tufan_2Fa6b3cfaa-ca7d-11f0-a289-00163e15d921.jpg?v=1764130476, friendlyName=Open</x:v>
      </x:c>
      <x:c r="C4828" s="24" t="e">
        <x:f>HYPERLINK("https://365nails.com/products/french-flame-tip-short-almond-nail-set","French Flame Tip Short Almond Nail Set")</x:f>
        <x:v>HYPERLINK is not implemented. linkLocation=https://365nails.com/products/french-flame-tip-short-almond-nail-set, friendlyName=French Flame Tip Short Almond Nail Set</x:v>
      </x:c>
      <x:c r="D4828" s="18" t="str">
        <x:v>Color: A064-B018 red purple / A064-B022 Champagne Gold / A064-B023 Red</x:v>
      </x:c>
      <x:c r="E4828" s="25" t="str">
        <x:v>$1.08</x:v>
      </x:c>
      <x:c r="F4828" s="19" t="str">
        <x:v>1</x:v>
      </x:c>
    </x:row>
    <x:row r="4829" ht="93" customHeight="1">
      <x:c r="A4829" s="19" t="n">
        <x:v>4826</x:v>
      </x:c>
      <x:c r="B4829" s="22" t="e">
        <x:f>HYPERLINK("https://cdn.shopify.com/s/files/1/0918/6066/4603/files/894f97ee8edde47475378ad10f8a9ea4.jpg?v=1771249084","Open")</x:f>
        <x:v>HYPERLINK is not implemented. linkLocation=https://cdn.shopify.com/s/files/1/0918/6066/4603/files/894f97ee8edde47475378ad10f8a9ea4.jpg?v=1771249084, friendlyName=Open</x:v>
      </x:c>
      <x:c r="C4829" s="24" t="e">
        <x:f>HYPERLINK("https://365nails.com/products/crimson-monarch-from-the-gilded-serpent-collection","Luxury Logo The Gilded Serpent: ""Crimson Monarch"" – Wine Red &amp; Champagne Gold Textured Press-On Nails with Baroque Cross Charm")</x:f>
        <x:v>HYPERLINK is not implemented. linkLocation=https://365nails.com/products/crimson-monarch-from-the-gilded-serpent-collection, friendlyName=Luxury Logo The Gilded Serpent: "Crimson Monarch" – Wine Red &amp; Champagne Gold Textured Press-On Nails with Baroque Cross Charm</x:v>
      </x:c>
      <x:c r="D4829" s="18" t="str">
        <x:v>Size: XS / S / M / L</x:v>
      </x:c>
      <x:c r="E4829" s="25" t="str">
        <x:v>$6.99</x:v>
      </x:c>
      <x:c r="F4829" s="19" t="str">
        <x:v>5</x:v>
      </x:c>
    </x:row>
    <x:row r="4830" ht="93" customHeight="1">
      <x:c r="A4830" s="19" t="n">
        <x:v>4827</x:v>
      </x:c>
      <x:c r="B4830" s="22" t="e">
        <x:f>HYPERLINK("https://cdn.shopify.com/s/files/1/0918/6066/4603/files/288f1410056e40de03d6409116b802a1_f6c9bef5-e1b9-4853-865a-2b2989c0e6f8.jpg?v=1771251123","Open")</x:f>
        <x:v>HYPERLINK is not implemented. linkLocation=https://cdn.shopify.com/s/files/1/0918/6066/4603/files/288f1410056e40de03d6409116b802a1_f6c9bef5-e1b9-4853-865a-2b2989c0e6f8.jpg?v=1771251123, friendlyName=Open</x:v>
      </x:c>
      <x:c r="C4830" s="24" t="e">
        <x:f>HYPERLINK("https://365nails.com/products/bronze-wasteland-from-the-gilded-serpent-collection","Luxury Logo The Gilded Serpent: ""Bronze Wasteland"" – Metallic Rose Gold &amp; Brown Steampunk Handmade Press-On Nails with Vintage Gem")</x:f>
        <x:v>HYPERLINK is not implemented. linkLocation=https://365nails.com/products/bronze-wasteland-from-the-gilded-serpent-collection, friendlyName=Luxury Logo The Gilded Serpent: "Bronze Wasteland" – Metallic Rose Gold &amp; Brown Steampunk Handmade Press-On Nails with Vintage Gem</x:v>
      </x:c>
      <x:c r="D4830" s="18" t="str">
        <x:v>Size: XS / S / M / L; Color: coffin / almond</x:v>
      </x:c>
      <x:c r="E4830" s="25" t="str">
        <x:v>$6.99</x:v>
      </x:c>
      <x:c r="F4830" s="19" t="str">
        <x:v>5</x:v>
      </x:c>
    </x:row>
    <x:row r="4831" ht="93" customHeight="1">
      <x:c r="A4831" s="19" t="n">
        <x:v>4828</x:v>
      </x:c>
      <x:c r="B4831" s="22" t="e">
        <x:f>HYPERLINK("https://cdn.shopify.com/s/files/1/0918/6066/4603/files/cf5c4157a17dd4e536abba41efdf68ce_1d3cf003-2481-4f0e-9663-1e3b72627e05.jpg?v=1771251487","Open")</x:f>
        <x:v>HYPERLINK is not implemented. linkLocation=https://cdn.shopify.com/s/files/1/0918/6066/4603/files/cf5c4157a17dd4e536abba41efdf68ce_1d3cf003-2481-4f0e-9663-1e3b72627e05.jpg?v=1771251487, friendlyName=Open</x:v>
      </x:c>
      <x:c r="C4831" s="24" t="e">
        <x:f>HYPERLINK("https://365nails.com/products/galaxy-python-from-the-gilded-serpent-collection","Luxury Logo The Gilded Serpent: ""Galaxy Python"" – Aurora Purple-Blue Cat Eye &amp; Silver Metallic Textured Handmade Press-On Nails")</x:f>
        <x:v>HYPERLINK is not implemented. linkLocation=https://365nails.com/products/galaxy-python-from-the-gilded-serpent-collection, friendlyName=Luxury Logo The Gilded Serpent: "Galaxy Python" – Aurora Purple-Blue Cat Eye &amp; Silver Metallic Textured Handmade Press-On Nails</x:v>
      </x:c>
      <x:c r="D4831" s="18" t="str">
        <x:v>Size: XS / S / M / L; Color: short / medium</x:v>
      </x:c>
      <x:c r="E4831" s="25" t="str">
        <x:v>$6.99</x:v>
      </x:c>
      <x:c r="F4831" s="19" t="str">
        <x:v>5</x:v>
      </x:c>
    </x:row>
    <x:row r="4832" ht="93" customHeight="1">
      <x:c r="A4832" s="19" t="n">
        <x:v>4829</x:v>
      </x:c>
      <x:c r="B4832" s="22" t="e">
        <x:f>HYPERLINK("https://cdn.shopify.com/s/files/1/0918/6066/4603/files/9fecd3cb171542c68d79351440805b36_ba9523bd-2140-4bef-a9a7-e9c78171af97.jpg?v=1771251099","Open")</x:f>
        <x:v>HYPERLINK is not implemented. linkLocation=https://cdn.shopify.com/s/files/1/0918/6066/4603/files/9fecd3cb171542c68d79351440805b36_ba9523bd-2140-4bef-a9a7-e9c78171af97.jpg?v=1771251099, friendlyName=Open</x:v>
      </x:c>
      <x:c r="C4832" s="24" t="e">
        <x:f>HYPERLINK("https://365nails.com/products/vintage-champagne-from-the-gilded-serpent-collection","Luxury Logo The Gilded Serpent: ""Vintage Champagne"" – Rose Gold Mirror &amp; Sheer Mocha Nails with Antique Gem &amp; Snake Scales")</x:f>
        <x:v>HYPERLINK is not implemented. linkLocation=https://365nails.com/products/vintage-champagne-from-the-gilded-serpent-collection, friendlyName=Luxury Logo The Gilded Serpent: "Vintage Champagne" – Rose Gold Mirror &amp; Sheer Mocha Nails with Antique Gem &amp; Snake Scales</x:v>
      </x:c>
      <x:c r="D4832" s="18" t="str">
        <x:v>Size: XS / S / M / L; Color: coffin / almond</x:v>
      </x:c>
      <x:c r="E4832" s="25" t="str">
        <x:v>$6.99</x:v>
      </x:c>
      <x:c r="F4832" s="19" t="str">
        <x:v>5</x:v>
      </x:c>
    </x:row>
    <x:row r="4833" ht="93" customHeight="1">
      <x:c r="A4833" s="19" t="n">
        <x:v>4830</x:v>
      </x:c>
      <x:c r="B4833" s="22" t="e">
        <x:f>HYPERLINK("https://cdn.shopify.com/s/files/1/0918/6066/4603/files/f0d31b5896dff38b3c123ae38a2a0e69.jpg?v=1771251031","Open")</x:f>
        <x:v>HYPERLINK is not implemented. linkLocation=https://cdn.shopify.com/s/files/1/0918/6066/4603/files/f0d31b5896dff38b3c123ae38a2a0e69.jpg?v=1771251031, friendlyName=Open</x:v>
      </x:c>
      <x:c r="C4833" s="24" t="e">
        <x:f>HYPERLINK("https://365nails.com/products/emerald-mamba-from-the-gilded-serpent-collection","Luxury Logo The Gilded Serpent: ""Emerald Mamba"" – Deep Green Cat Eye &amp; Champagne Honeycomb Handmade Press-On Nails with Crystal Starburst")</x:f>
        <x:v>HYPERLINK is not implemented. linkLocation=https://365nails.com/products/emerald-mamba-from-the-gilded-serpent-collection, friendlyName=Luxury Logo The Gilded Serpent: "Emerald Mamba" – Deep Green Cat Eye &amp; Champagne Honeycomb Handmade Press-On Nails with Crystal Starburst</x:v>
      </x:c>
      <x:c r="D4833" s="18" t="str">
        <x:v>Size: XS / S / M / L; Color: short / medium</x:v>
      </x:c>
      <x:c r="E4833" s="25" t="str">
        <x:v>$6.99</x:v>
      </x:c>
      <x:c r="F4833" s="19" t="str">
        <x:v>5</x:v>
      </x:c>
    </x:row>
    <x:row r="4834" ht="93" customHeight="1">
      <x:c r="A4834" s="19" t="n">
        <x:v>4831</x:v>
      </x:c>
      <x:c r="B4834" s="22" t="e">
        <x:f>HYPERLINK("https://cdn.shopify.com/s/files/1/0918/6066/4603/files/O1CN01bLo5DG1HlWxguK4hA__2545140798-0-cib.jpg?v=1773065245","Open")</x:f>
        <x:v>HYPERLINK is not implemented. linkLocation=https://cdn.shopify.com/s/files/1/0918/6066/4603/files/O1CN01bLo5DG1HlWxguK4hA__2545140798-0-cib.jpg?v=1773065245, friendlyName=Open</x:v>
      </x:c>
      <x:c r="C4834" s="24" t="e">
        <x:f>HYPERLINK("https://365nails.com/products/1-1","1")</x:f>
        <x:v>HYPERLINK is not implemented. linkLocation=https://365nails.com/products/1-1, friendlyName=1</x:v>
      </x:c>
      <x:c r="D4834" s="18" t="str">
        <x:v>Specification type: Ms483-shell light / Ms575-shell light / Ms533-shell light / Ms553-crystal diamond / To4807-crystal diamond / To4808-crystal diamond / Ms753-jelly / Ms764-jelly / To4289-new hot stamping / Ms546-crystal diamond / Ms717 laser-jelly / To3888-shell light / Ms600-jelly / Ms543-jelly</x:v>
      </x:c>
      <x:c r="E4834" s="25" t="str">
        <x:v>$1.91</x:v>
      </x:c>
      <x:c r="F4834" s="19" t="str">
        <x:v>1</x:v>
      </x:c>
    </x:row>
    <x:row r="4835" ht="93" customHeight="1">
      <x:c r="A4835" s="19" t="n">
        <x:v>4832</x:v>
      </x:c>
      <x:c r="B4835" s="22" t="e">
        <x:f>HYPERLINK("https://cdn.shopify.com/s/files/1/0918/6066/4603/files/O1CN019nmarc1KPUvzyy1m5__2210900211156-0-cib.jpg?v=1763780119","Open")</x:f>
        <x:v>HYPERLINK is not implemented. linkLocation=https://cdn.shopify.com/s/files/1/0918/6066/4603/files/O1CN019nmarc1KPUvzyy1m5__2210900211156-0-cib.jpg?v=1763780119, friendlyName=Open</x:v>
      </x:c>
      <x:c r="C4835" s="24" t="e">
        <x:f>HYPERLINK("https://365nails.com/products/3d-three-dimensional-christmas-card-creative-christmas-eve-gift-blessing-christmas-envelope-custom-bronzing","3D three-dimensional Christmas card creative Christmas Eve gift blessing Christmas envelope custom bronzing")</x:f>
        <x:v>HYPERLINK is not implemented. linkLocation=https://365nails.com/products/3d-three-dimensional-christmas-card-creative-christmas-eve-gift-blessing-christmas-envelope-custom-bronzing, friendlyName=3D three-dimensional Christmas card creative Christmas Eve gift blessing Christmas envelope custom bronzing</x:v>
      </x:c>
      <x:c r="D4835" s="18" t="str">
        <x:v>Size: Christmas red English / Christmas blue English / Christmas green English / Christmas cute baby / Christmas tree / Christmas train / Christmas pickup truck / Santa house / Christmas flying deer cart / Santa Claus and Trees / Christmas wreath / Christmas Gingerbread House / Christmas dance deer cart red / Christmas dance deer cart green / Christmas car tree</x:v>
      </x:c>
      <x:c r="E4835" s="25" t="str">
        <x:v>$0.83–$2.77</x:v>
      </x:c>
      <x:c r="F4835" s="19" t="str">
        <x:v>1</x:v>
      </x:c>
    </x:row>
    <x:row r="4836" ht="93" customHeight="1">
      <x:c r="A4836" s="19" t="n">
        <x:v>4833</x:v>
      </x:c>
      <x:c r="B4836" s="22" t="e">
        <x:f>HYPERLINK("https://cdn.shopify.com/s/files/1/0918/6066/4603/files/O1CN01k1ivOo1v7Izlzpjpr__2218399446125-0-cib.jpg?v=1763623534","Open")</x:f>
        <x:v>HYPERLINK is not implemented. linkLocation=https://cdn.shopify.com/s/files/1/0918/6066/4603/files/O1CN01k1ivOo1v7Izlzpjpr__2218399446125-0-cib.jpg?v=1763623534, friendlyName=Open</x:v>
      </x:c>
      <x:c r="C4836" s="24" t="e">
        <x:f>HYPERLINK("https://365nails.com/products/original-christmas-nail-art-sticker-5d-embossed-three-dimensional-happy-christmas-elements-diy-nail-sticker-ornament-aa","Original Christmas Nail Art Sticker 5D Embossed Three-dimensional Happy Christmas Elements DIY Nail Sticker Ornament AA")</x:f>
        <x:v>HYPERLINK is not implemented. linkLocation=https://365nails.com/products/original-christmas-nail-art-sticker-5d-embossed-three-dimensional-happy-christmas-elements-diy-nail-sticker-ornament-aa, friendlyName=Original Christmas Nail Art Sticker 5D Embossed Three-dimensional Happy Christmas Elements DIY Nail Sticker Ornament AA</x:v>
      </x:c>
      <x:c r="D4836" s="18" t="str">
        <x:v>Specification type: AA-7276 / AA-7277 / AA-7278 / AA-7279 / AA-7280 / AA-7281</x:v>
      </x:c>
      <x:c r="E4836" s="25" t="str">
        <x:v>$0.70</x:v>
      </x:c>
      <x:c r="F4836" s="19" t="str">
        <x:v>1</x:v>
      </x:c>
    </x:row>
    <x:row r="4837" ht="93" customHeight="1">
      <x:c r="A4837" s="19" t="n">
        <x:v>4834</x:v>
      </x:c>
      <x:c r="B4837" s="22" t="e">
        <x:f>HYPERLINK("https://cdn.shopify.com/s/files/1/0918/6066/4603/files/6923faeb4dfad0681e1995d47f0e55d1.jpg?v=1771402925","Open")</x:f>
        <x:v>HYPERLINK is not implemented. linkLocation=https://cdn.shopify.com/s/files/1/0918/6066/4603/files/6923faeb4dfad0681e1995d47f0e55d1.jpg?v=1771402925, friendlyName=Open</x:v>
      </x:c>
      <x:c r="C4837" s="24" t="e">
        <x:f>HYPERLINK("https://365nails.com/products/peach-blossom-mist-ethereal-ink-series","Ethereal Ink: ""Peach Blossom Mist"" – Soft Pink &amp; Dusty Cyan Ombre with Silver Cat Eye &amp; Gold Line Almond Nails")</x:f>
        <x:v>HYPERLINK is not implemented. linkLocation=https://365nails.com/products/peach-blossom-mist-ethereal-ink-series, friendlyName=Ethereal Ink: "Peach Blossom Mist" – Soft Pink &amp; Dusty Cyan Ombre with Silver Cat Eye &amp; Gold Line Almond Nails</x:v>
      </x:c>
      <x:c r="D4837" s="18" t="str">
        <x:v>Size: XS / S / M / L</x:v>
      </x:c>
      <x:c r="E4837" s="25" t="str">
        <x:v>$3.99</x:v>
      </x:c>
      <x:c r="F4837" s="19" t="str">
        <x:v>30</x:v>
      </x:c>
    </x:row>
    <x:row r="4838" ht="93" customHeight="1">
      <x:c r="A4838" s="19" t="n">
        <x:v>4835</x:v>
      </x:c>
      <x:c r="B4838" s="22" t="e">
        <x:f>HYPERLINK("https://cdn.shopify.com/s/files/1/0918/6066/4603/files/63eae9496e008abf0f1746cea8c4b47c.jpg?v=1755248392","Open")</x:f>
        <x:v>HYPERLINK is not implemented. linkLocation=https://cdn.shopify.com/s/files/1/0918/6066/4603/files/63eae9496e008abf0f1746cea8c4b47c.jpg?v=1755248392, friendlyName=Open</x:v>
      </x:c>
      <x:c r="C4838" s="24" t="e">
        <x:f>HYPERLINK("https://365nails.com/products/nail-tips-long-semi-sticker-nail-pieces-500-pieces-boxed-light-and-extended-french-nail-pieces-transparent-color-xxl-water-pipe-nail-pieces","Nail Tips long semi-sticker nail pieces 500 pieces, boxed light and extended French nail pieces, transparent color XXL water pipe nail pieces (MOQ=20)")</x:f>
        <x:v>HYPERLINK is not implemented. linkLocation=https://365nails.com/products/nail-tips-long-semi-sticker-nail-pieces-500-pieces-boxed-light-and-extended-french-nail-pieces-transparent-color-xxl-water-pipe-nail-pieces, friendlyName=Nail Tips long semi-sticker nail pieces 500 pieces, boxed light and extended French nail pieces, transparent color XXL water pipe nail pieces (MOQ=20)</x:v>
      </x:c>
      <x:c r="D4838" s="18" t="str">
        <x:v>Color classification: 500 ordinary natural color PP bags / 500 ordinary transparent PP bags / 400 ordinary natural color PS box / 400 ordinary transparent color PS box; Quantity: 20pcs</x:v>
      </x:c>
      <x:c r="E4838" s="25" t="str">
        <x:v>$39.80</x:v>
      </x:c>
      <x:c r="F4838" s="19" t="str">
        <x:v>1</x:v>
      </x:c>
    </x:row>
    <x:row r="4839" ht="93" customHeight="1">
      <x:c r="A4839" s="19" t="n">
        <x:v>4836</x:v>
      </x:c>
      <x:c r="B4839" s="22" t="e">
        <x:f>HYPERLINK("https://cdn.shopify.com/s/files/1/0918/6066/4603/files/97ac3ea2118756257197e50121a155b7.jpg?v=1771402754","Open")</x:f>
        <x:v>HYPERLINK is not implemented. linkLocation=https://cdn.shopify.com/s/files/1/0918/6066/4603/files/97ac3ea2118756257197e50121a155b7.jpg?v=1771402754, friendlyName=Open</x:v>
      </x:c>
      <x:c r="C4839" s="24" t="e">
        <x:f>HYPERLINK("https://365nails.com/products/cyan-landscape-ethereal-ink-series","Ethereal Ink: ""Cyan Landscape"" – Teal Blue Cat Eye &amp; Amber Brown Marble with Gold Foil Oval Nails")</x:f>
        <x:v>HYPERLINK is not implemented. linkLocation=https://365nails.com/products/cyan-landscape-ethereal-ink-series, friendlyName=Ethereal Ink: "Cyan Landscape" – Teal Blue Cat Eye &amp; Amber Brown Marble with Gold Foil Oval Nails</x:v>
      </x:c>
      <x:c r="D4839" s="18" t="str">
        <x:v>Size: XS / S / M / L</x:v>
      </x:c>
      <x:c r="E4839" s="25" t="str">
        <x:v>$3.99</x:v>
      </x:c>
      <x:c r="F4839" s="19" t="str">
        <x:v>30</x:v>
      </x:c>
    </x:row>
    <x:row r="4840" ht="93" customHeight="1">
      <x:c r="A4840" s="19" t="n">
        <x:v>4837</x:v>
      </x:c>
      <x:c r="B4840" s="22" t="e">
        <x:f>HYPERLINK("https://cdn.shopify.com/s/files/1/0918/6066/4603/files/O1CN01q6GVVG1JOkfSb4Yuk__933261019-0-cib.jpg?v=1763880724","Open")</x:f>
        <x:v>HYPERLINK is not implemented. linkLocation=https://cdn.shopify.com/s/files/1/0918/6066/4603/files/O1CN01q6GVVG1JOkfSb4Yuk__933261019-0-cib.jpg?v=1763880724, friendlyName=Open</x:v>
      </x:c>
      <x:c r="C4840" s="24" t="e">
        <x:f>HYPERLINK("https://365nails.com/products/kids-press-on-nails-24-pieces-glue-free-nail-stickers-little-girl-princess-nail-stickers","Kids press-on nails 24 pieces glue-free nail stickers little girl princess nail stickers")</x:f>
        <x:v>HYPERLINK is not implemented. linkLocation=https://365nails.com/products/kids-press-on-nails-24-pieces-glue-free-nail-stickers-little-girl-princess-nail-stickers, friendlyName=Kids press-on nails 24 pieces glue-free nail stickers little girl princess nail stickers</x:v>
      </x:c>
      <x:c r="D4840" s="18" t="str">
        <x:v>color: 40-CM174; quanlity: 3pcs</x:v>
      </x:c>
      <x:c r="E4840" s="25" t="str">
        <x:v>$5.00</x:v>
      </x:c>
      <x:c r="F4840" s="19" t="str">
        <x:v>1</x:v>
      </x:c>
    </x:row>
    <x:row r="4841" ht="93" customHeight="1">
      <x:c r="A4841" s="19" t="n">
        <x:v>4838</x:v>
      </x:c>
      <x:c r="B4841" s="22" t="e">
        <x:f>HYPERLINK("https://cdn.shopify.com/s/files/1/0918/6066/4603/files/tufan_2F185a088c-c839-11f0-94f1-00163e112a0d.jpg?v=1763880870","Open")</x:f>
        <x:v>HYPERLINK is not implemented. linkLocation=https://cdn.shopify.com/s/files/1/0918/6066/4603/files/tufan_2F185a088c-c839-11f0-94f1-00163e112a0d.jpg?v=1763880870, friendlyName=Open</x:v>
      </x:c>
      <x:c r="C4841" s="24" t="e">
        <x:f>HYPERLINK("https://365nails.com/products/kids-press-on-nails-24-short-square-manicure-patches-3-12-years-old","Kids press-on nails 24 short square manicure patches 3-12 years old")</x:f>
        <x:v>HYPERLINK is not implemented. linkLocation=https://365nails.com/products/kids-press-on-nails-24-short-square-manicure-patches-3-12-years-old, friendlyName=Kids press-on nails 24 short square manicure patches 3-12 years old</x:v>
      </x:c>
      <x:c r="D4841" s="18" t="str">
        <x:v>color: ZX37-40-CM83 / ZX37-40-CM86 / ZX37-40-CM93 / ZX37-40-CM142 / ZX37-40-CM144 / ZX37-40-CM145 / ZX37-40-CM147 / ZX37-40-CM149 / ZX37-40-CM151 / ZX37-40-VSCM01 / ZX37-40-VSCM02 / ZX37-40-VSCM03 / ZX37-40-VSCM04; quanlity: 3pcs</x:v>
      </x:c>
      <x:c r="E4841" s="25" t="str">
        <x:v>$5.00</x:v>
      </x:c>
      <x:c r="F4841" s="19" t="str">
        <x:v>1</x:v>
      </x:c>
    </x:row>
    <x:row r="4842" ht="93" customHeight="1">
      <x:c r="A4842" s="19" t="n">
        <x:v>4839</x:v>
      </x:c>
      <x:c r="B4842" s="22" t="e">
        <x:f>HYPERLINK("https://cdn.shopify.com/s/files/1/0918/6066/4603/files/tufan_2F1f0d2170-c837-11f0-87ed-00163e1989f2.jpg?v=1763880183","Open")</x:f>
        <x:v>HYPERLINK is not implemented. linkLocation=https://cdn.shopify.com/s/files/1/0918/6066/4603/files/tufan_2F1f0d2170-c837-11f0-87ed-00163e1989f2.jpg?v=1763880183, friendlyName=Open</x:v>
      </x:c>
      <x:c r="C4842" s="24" t="e">
        <x:f>HYPERLINK("https://365nails.com/products/kids-press-on-nails-handmade-nail-high-viscosity-childrens-handmade-products-are-safe-and-tested","Kids press-on nails Handmade nail high viscosity children's handmade products are safe and tested")</x:f>
        <x:v>HYPERLINK is not implemented. linkLocation=https://365nails.com/products/kids-press-on-nails-handmade-nail-high-viscosity-childrens-handmade-products-are-safe-and-tested, friendlyName=Kids press-on nails Handmade nail high viscosity children's handmade products are safe and tested</x:v>
      </x:c>
      <x:c r="D4842" s="18" t="str">
        <x:v>Color: 40-HK001 / 40-CM38 / 40-CM42 / 40-CM43 / 40-C48 / 40-CM27 / 40-CM07 / 40-CM67 / 40-CM68 / 40-CM73 / 40-CM75 / 40-CM76 / 40-CM130 / 40-CM138 / 4D001 / 4D003 / 4D004 / 4D005 / 4D006 / 4D007 / 4D008 / 4D009 / 4D010 / 4D011 / 4D012 / 4D013 / 4D014 / 4D015 / 4D016 / 4D017 / 4D018 / 4D019 / 4D020 / 4D021 / 4D022 / 4D023 / 4D024; quanlity: 3pcs</x:v>
      </x:c>
      <x:c r="E4842" s="25" t="str">
        <x:v>$5.00</x:v>
      </x:c>
      <x:c r="F4842" s="19" t="str">
        <x:v>1</x:v>
      </x:c>
    </x:row>
    <x:row r="4843" ht="93" customHeight="1">
      <x:c r="A4843" s="19" t="n">
        <x:v>4840</x:v>
      </x:c>
      <x:c r="B4843" s="22" t="e">
        <x:f>HYPERLINK("https://cdn.shopify.com/s/files/1/0918/6066/4603/files/O1CN01ZfgHPa1JOkfUR9eKg__933261019-0-cib.jpg?v=1763879765","Open")</x:f>
        <x:v>HYPERLINK is not implemented. linkLocation=https://cdn.shopify.com/s/files/1/0918/6066/4603/files/O1CN01ZfgHPa1JOkfUR9eKg__933261019-0-cib.jpg?v=1763879765, friendlyName=Open</x:v>
      </x:c>
      <x:c r="C4843" s="24" t="e">
        <x:f>HYPERLINK("https://365nails.com/products/kids-press-on-nails-red-polka-dot-love-glue-free-24-pieces-white-french-nude-spot","Kids press-on nails Red polka dot love glue-free 24 pieces white French nude spot")</x:f>
        <x:v>HYPERLINK is not implemented. linkLocation=https://365nails.com/products/kids-press-on-nails-red-polka-dot-love-glue-free-24-pieces-white-french-nude-spot, friendlyName=Kids press-on nails Red polka dot love glue-free 24 pieces white French nude spot</x:v>
      </x:c>
      <x:c r="D4843" s="18" t="str">
        <x:v>color: 40-CM166; quanlity: 3pcs</x:v>
      </x:c>
      <x:c r="E4843" s="25" t="str">
        <x:v>$5.00</x:v>
      </x:c>
      <x:c r="F4843" s="19" t="str">
        <x:v>1</x:v>
      </x:c>
    </x:row>
    <x:row r="4844" ht="93" customHeight="1">
      <x:c r="A4844" s="19" t="n">
        <x:v>4841</x:v>
      </x:c>
      <x:c r="B4844" s="22" t="e">
        <x:f>HYPERLINK("https://cdn.shopify.com/s/files/1/0918/6066/4603/files/O1CN01oZesdb1JOkfRqHvPA__933261019-0-cib.jpg?v=1763880633","Open")</x:f>
        <x:v>HYPERLINK is not implemented. linkLocation=https://cdn.shopify.com/s/files/1/0918/6066/4603/files/O1CN01oZesdb1JOkfRqHvPA__933261019-0-cib.jpg?v=1763880633, friendlyName=Open</x:v>
      </x:c>
      <x:c r="C4844" s="24" t="e">
        <x:f>HYPERLINK("https://365nails.com/products/kids-press-on-nails-pointed-almond-gradual-change-glitter-powder-little-girl-princess-manicure-sticker-24-pieces","Kids press-on nails Pointed almond gradual change glitter powder little girl princess manicure sticker 24 pieces")</x:f>
        <x:v>HYPERLINK is not implemented. linkLocation=https://365nails.com/products/kids-press-on-nails-pointed-almond-gradual-change-glitter-powder-little-girl-princess-manicure-sticker-24-pieces, friendlyName=Kids press-on nails Pointed almond gradual change glitter powder little girl princess manicure sticker 24 pieces</x:v>
      </x:c>
      <x:c r="D4844" s="18" t="str">
        <x:v>color: 95-C008; quanlity: 3pcs</x:v>
      </x:c>
      <x:c r="E4844" s="25" t="str">
        <x:v>$5.00</x:v>
      </x:c>
      <x:c r="F4844" s="19" t="str">
        <x:v>1</x:v>
      </x:c>
    </x:row>
    <x:row r="4845" ht="93" customHeight="1">
      <x:c r="A4845" s="19" t="n">
        <x:v>4842</x:v>
      </x:c>
      <x:c r="B4845" s="22" t="e">
        <x:f>HYPERLINK("https://cdn.shopify.com/s/files/1/0918/6066/4603/files/tufan_2Ffcb1141e-c837-11f0-8778-00163e1b4130.jpg?v=1763880357","Open")</x:f>
        <x:v>HYPERLINK is not implemented. linkLocation=https://cdn.shopify.com/s/files/1/0918/6066/4603/files/tufan_2Ffcb1141e-c837-11f0-8778-00163e1b4130.jpg?v=1763880357, friendlyName=Open</x:v>
      </x:c>
      <x:c r="C4845" s="24" t="e">
        <x:f>HYPERLINK("https://365nails.com/products/kids-press-on-nails-pointed-head-round-head-almond-cartoon-with-drill-24-pieces-with-jelly-glue","Kids press-on nails Pointed head round head almond cartoon with drill 24 pieces with jelly glue")</x:f>
        <x:v>HYPERLINK is not implemented. linkLocation=https://365nails.com/products/kids-press-on-nails-pointed-head-round-head-almond-cartoon-with-drill-24-pieces-with-jelly-glue, friendlyName=Kids press-on nails Pointed head round head almond cartoon with drill 24 pieces with jelly glue</x:v>
      </x:c>
      <x:c r="D4845" s="18" t="str">
        <x:v>color: ZX71-95-B001 / ZX71-95-B002 / ZX71-95-B003 / ZX71-95-B004 / ZX71-95-B005 / ZX71-95-B006 / ZX71-95-B007 / ZX71-95-B008 / ZX71-95-B009 / ZX71-95-B010 / ZX71-95-B012 / ZX71-95-B013 / ZX71-95-B014 / ZX71-95-B015 / ZX71-95-B017 / ZX71-95-B020 / ZX71-95-B023 / ZX71-95-B024; quanlity: 3pcs</x:v>
      </x:c>
      <x:c r="E4845" s="25" t="str">
        <x:v>$5.00</x:v>
      </x:c>
      <x:c r="F4845" s="19" t="str">
        <x:v>1</x:v>
      </x:c>
    </x:row>
    <x:row r="4846" ht="93" customHeight="1">
      <x:c r="A4846" s="19" t="n">
        <x:v>4843</x:v>
      </x:c>
      <x:c r="B4846" s="22" t="e">
        <x:f>HYPERLINK("https://cdn.shopify.com/s/files/1/0918/6066/4603/files/O1CN01PufIAZ1JOkfgflFOa__933261019-0-cib.jpg?v=1763879867","Open")</x:f>
        <x:v>HYPERLINK is not implemented. linkLocation=https://cdn.shopify.com/s/files/1/0918/6066/4603/files/O1CN01PufIAZ1JOkfgflFOa__933261019-0-cib.jpg?v=1763879867, friendlyName=Open</x:v>
      </x:c>
      <x:c r="C4846" s="24" t="e">
        <x:f>HYPERLINK("https://365nails.com/products/kids-press-on-nails-bring-your-own-nail-patch-pointed-almonds-24-pieces-finished-blue-kitten-cartoon","Kids press-on nails Bring your own nail patch, pointed almonds 24 pieces, finished blue kitten cartoon")</x:f>
        <x:v>HYPERLINK is not implemented. linkLocation=https://365nails.com/products/kids-press-on-nails-bring-your-own-nail-patch-pointed-almonds-24-pieces-finished-blue-kitten-cartoon, friendlyName=Kids press-on nails Bring your own nail patch, pointed almonds 24 pieces, finished blue kitten cartoon</x:v>
      </x:c>
      <x:c r="D4846" s="18" t="str">
        <x:v>color: 95-CM06; quanlity: 3pcs</x:v>
      </x:c>
      <x:c r="E4846" s="25" t="str">
        <x:v>$5.00</x:v>
      </x:c>
      <x:c r="F4846" s="19" t="str">
        <x:v>1</x:v>
      </x:c>
    </x:row>
    <x:row r="4847" ht="93" customHeight="1">
      <x:c r="A4847" s="19" t="n">
        <x:v>4844</x:v>
      </x:c>
      <x:c r="B4847" s="22" t="e">
        <x:f>HYPERLINK("https://cdn.shopify.com/s/files/1/0918/6066/4603/files/O1CN01TnfziK1JOkfTCLa8i__933261019-0-cib.jpg?v=1763879915","Open")</x:f>
        <x:v>HYPERLINK is not implemented. linkLocation=https://cdn.shopify.com/s/files/1/0918/6066/4603/files/O1CN01TnfziK1JOkfTCLa8i__933261019-0-cib.jpg?v=1763879915, friendlyName=Open</x:v>
      </x:c>
      <x:c r="C4847" s="24" t="e">
        <x:f>HYPERLINK("https://365nails.com/products/kids-press-on-nails-self-adhesive-smudge-gradual-change-symphony-24-pieces-square-head-wholesale-spot","Kids press-on nails Self-adhesive smudge gradual change Symphony 24 pieces square head wholesale spot")</x:f>
        <x:v>HYPERLINK is not implemented. linkLocation=https://365nails.com/products/kids-press-on-nails-self-adhesive-smudge-gradual-change-symphony-24-pieces-square-head-wholesale-spot, friendlyName=Kids press-on nails Self-adhesive smudge gradual change Symphony 24 pieces square head wholesale spot</x:v>
      </x:c>
      <x:c r="D4847" s="18" t="str">
        <x:v>color: 40-CM169; quanlity: 3pcs</x:v>
      </x:c>
      <x:c r="E4847" s="25" t="str">
        <x:v>$5.00</x:v>
      </x:c>
      <x:c r="F4847" s="19" t="str">
        <x:v>1</x:v>
      </x:c>
    </x:row>
    <x:row r="4848" ht="93" customHeight="1">
      <x:c r="A4848" s="19" t="n">
        <x:v>4845</x:v>
      </x:c>
      <x:c r="B4848" s="22" t="e">
        <x:f>HYPERLINK("https://cdn.shopify.com/s/files/1/0918/6066/4603/files/O1CN01rgcIau1JOkfWDbNpY__933261019-0-cib.jpg?v=1763879821","Open")</x:f>
        <x:v>HYPERLINK is not implemented. linkLocation=https://cdn.shopify.com/s/files/1/0918/6066/4603/files/O1CN01rgcIau1JOkfWDbNpY__933261019-0-cib.jpg?v=1763879821, friendlyName=Open</x:v>
      </x:c>
      <x:c r="C4848" s="24" t="e">
        <x:f>HYPERLINK("https://365nails.com/products/kids-press-on-nails-almond-nail-non-toxic-washable-nail-art-gradual-change-red-24-pieces","Kids press-on nails Almond nail non-toxic washable nail art gradual change red 24 pieces")</x:f>
        <x:v>HYPERLINK is not implemented. linkLocation=https://365nails.com/products/kids-press-on-nails-almond-nail-non-toxic-washable-nail-art-gradual-change-red-24-pieces, friendlyName=Kids press-on nails Almond nail non-toxic washable nail art gradual change red 24 pieces</x:v>
      </x:c>
      <x:c r="D4848" s="18" t="str">
        <x:v>color: 95-CM19; quanlity: 3pcs</x:v>
      </x:c>
      <x:c r="E4848" s="25" t="str">
        <x:v>$5.00</x:v>
      </x:c>
      <x:c r="F4848" s="19" t="str">
        <x:v>1</x:v>
      </x:c>
    </x:row>
    <x:row r="4849" ht="93" customHeight="1">
      <x:c r="A4849" s="19" t="n">
        <x:v>4846</x:v>
      </x:c>
      <x:c r="B4849" s="22" t="e">
        <x:f>HYPERLINK("https://cdn.shopify.com/s/files/1/0918/6066/4603/files/O1CN01OaPEl41JOkfcNkegJ__933261019-0-cib.jpg?v=1763879490","Open")</x:f>
        <x:v>HYPERLINK is not implemented. linkLocation=https://cdn.shopify.com/s/files/1/0918/6066/4603/files/O1CN01OaPEl41JOkfcNkegJ__933261019-0-cib.jpg?v=1763879490, friendlyName=Open</x:v>
      </x:c>
      <x:c r="C4849" s="24" t="e">
        <x:f>HYPERLINK("https://365nails.com/products/kids-press-on-nails-cartoon-mushroom-bear-self-adhesive-nail-art-pointed-almond-nail-24-pieces-hot-sale","Kids press-on nails Cartoon Mushroom Bear Self-Adhesive Nail Art Pointed Almond Nail 24 Pieces Hot Sale")</x:f>
        <x:v>HYPERLINK is not implemented. linkLocation=https://365nails.com/products/kids-press-on-nails-cartoon-mushroom-bear-self-adhesive-nail-art-pointed-almond-nail-24-pieces-hot-sale, friendlyName=Kids press-on nails Cartoon Mushroom Bear Self-Adhesive Nail Art Pointed Almond Nail 24 Pieces Hot Sale</x:v>
      </x:c>
      <x:c r="D4849" s="18" t="str">
        <x:v>color: 95-CM02; quanlity: 3pcs</x:v>
      </x:c>
      <x:c r="E4849" s="25" t="str">
        <x:v>$5.00</x:v>
      </x:c>
      <x:c r="F4849" s="19" t="str">
        <x:v>1</x:v>
      </x:c>
    </x:row>
    <x:row r="4850" ht="93" customHeight="1">
      <x:c r="A4850" s="19" t="n">
        <x:v>4847</x:v>
      </x:c>
      <x:c r="B4850" s="22" t="e">
        <x:f>HYPERLINK("https://cdn.shopify.com/s/files/1/0918/6066/4603/files/tufan_2F5e6c2e52-c836-11f0-b315-00163e1f09e9.jpg?v=1763879706","Open")</x:f>
        <x:v>HYPERLINK is not implemented. linkLocation=https://cdn.shopify.com/s/files/1/0918/6066/4603/files/tufan_2F5e6c2e52-c836-11f0-b315-00163e1f09e9.jpg?v=1763879706, friendlyName=Open</x:v>
      </x:c>
      <x:c r="C4850" s="24" t="e">
        <x:f>HYPERLINK("https://365nails.com/products/kids-press-on-nails-comes-with-nail-patch-pointed-almond-24-pieces-finished-product","Kids press-on nails Comes with nail patch pointed almond 24 pieces finished product")</x:f>
        <x:v>HYPERLINK is not implemented. linkLocation=https://365nails.com/products/kids-press-on-nails-comes-with-nail-patch-pointed-almond-24-pieces-finished-product, friendlyName=Kids press-on nails Comes with nail patch pointed almond 24 pieces finished product</x:v>
      </x:c>
      <x:c r="D4850" s="18" t="str">
        <x:v>Color: 95-CM02 / 95-CM03 / 95-CM04 / 95-CM05 / 95-CM06 / 95-CM07 / 95-CM08 / 95-CM09 / 95-CM10 / 95-CM11 / 95-CM12 / 95-CM13 / 95-CM14 / 95-CM15 / 95-CM16 / 95-CM18 / 95-C003 / 95-C006 / 40-CM33 / 40-CM38 / 40-CM42 / 40-CM43 / 40-CM67 / 40-CM68 / 40-CM70 / 40-CM73 / 40-CM130 / 40-HK001 / 40-CM164 / 40-CM165 / 40-CM166 / 40-CM169 / 40-CM172 / 40-CM174 / 40-CM176 / 40-C054 / 95-C008 / 95-CM19; quanlity: 3pcs</x:v>
      </x:c>
      <x:c r="E4850" s="25" t="str">
        <x:v>$5.00</x:v>
      </x:c>
      <x:c r="F4850" s="19" t="str">
        <x:v>1</x:v>
      </x:c>
    </x:row>
    <x:row r="4851" ht="93" customHeight="1">
      <x:c r="A4851" s="19" t="n">
        <x:v>4848</x:v>
      </x:c>
      <x:c r="B4851" s="22" t="e">
        <x:f>HYPERLINK("https://cdn.shopify.com/s/files/1/0918/6066/4603/files/O1CN01F4PvTm1JOkhIrCm6h__933261019-0-cib.jpg?v=1763878964","Open")</x:f>
        <x:v>HYPERLINK is not implemented. linkLocation=https://cdn.shopify.com/s/files/1/0918/6066/4603/files/O1CN01F4PvTm1JOkhIrCm6h__933261019-0-cib.jpg?v=1763878964, friendlyName=Open</x:v>
      </x:c>
      <x:c r="C4851" s="24" t="e">
        <x:f>HYPERLINK("https://365nails.com/products/kids-press-on-nails-24-nails-cute-special-childrens-decoration-show-3-6-years-old","Kids press-on nails 24 nails cute special children's decoration show 3-6 years old")</x:f>
        <x:v>HYPERLINK is not implemented. linkLocation=https://365nails.com/products/kids-press-on-nails-24-nails-cute-special-childrens-decoration-show-3-6-years-old, friendlyName=Kids press-on nails 24 nails cute special children's decoration show 3-6 years old</x:v>
      </x:c>
      <x:c r="D4851" s="18" t="str">
        <x:v>Color: A036-CM30 / A036-CM32 / A036-CM34 / ZX66-06 / ZX66-08 / ZX67-19 / ZX67-21 / ZX67-22 / ZX68-25 / ZX68-28 / ZX68-CM32 / ZX66-CM39 / ZX66-CM40 / ZX66-CM47 / ZX66-CM48 / ZX66-CM49 / ZX66-CM52 / ZX66-CM60; quanlity: 3pcs</x:v>
      </x:c>
      <x:c r="E4851" s="25" t="str">
        <x:v>$5.00</x:v>
      </x:c>
      <x:c r="F4851" s="19" t="str">
        <x:v>1</x:v>
      </x:c>
    </x:row>
    <x:row r="4852" ht="93" customHeight="1">
      <x:c r="A4852" s="19" t="n">
        <x:v>4849</x:v>
      </x:c>
      <x:c r="B4852" s="22" t="e">
        <x:f>HYPERLINK("https://cdn.shopify.com/s/files/1/0918/6066/4603/files/O1CN013SXG6P1JOkfggTv90__933261019-0-cib.jpg?v=1763879592","Open")</x:f>
        <x:v>HYPERLINK is not implemented. linkLocation=https://cdn.shopify.com/s/files/1/0918/6066/4603/files/O1CN013SXG6P1JOkfggTv90__933261019-0-cib.jpg?v=1763879592, friendlyName=Open</x:v>
      </x:c>
      <x:c r="C4852" s="24" t="e">
        <x:f>HYPERLINK("https://365nails.com/products/kids-press-on-nails-zhuangmeitang-finished-product-wholesale-spot-children-5-12-years-old","Kids press-on nails Zhuangmeitang finished product wholesale spot children 5-12 years old")</x:f>
        <x:v>HYPERLINK is not implemented. linkLocation=https://365nails.com/products/kids-press-on-nails-zhuangmeitang-finished-product-wholesale-spot-children-5-12-years-old, friendlyName=Kids press-on nails Zhuangmeitang finished product wholesale spot children 5-12 years old</x:v>
      </x:c>
      <x:c r="D4852" s="18" t="str">
        <x:v>color: 95-C006; quanlity: 3pcs</x:v>
      </x:c>
      <x:c r="E4852" s="25" t="str">
        <x:v>$5.00</x:v>
      </x:c>
      <x:c r="F4852" s="19" t="str">
        <x:v>1</x:v>
      </x:c>
    </x:row>
    <x:row r="4853" ht="93" customHeight="1">
      <x:c r="A4853" s="19" t="n">
        <x:v>4850</x:v>
      </x:c>
      <x:c r="B4853" s="22" t="e">
        <x:f>HYPERLINK("https://cdn.shopify.com/s/files/1/0918/6066/4603/files/O1CN016SFCwE1JOkfejtdV3__933261019-0-cib.jpg?v=1763879163","Open")</x:f>
        <x:v>HYPERLINK is not implemented. linkLocation=https://cdn.shopify.com/s/files/1/0918/6066/4603/files/O1CN016SFCwE1JOkfejtdV3__933261019-0-cib.jpg?v=1763879163, friendlyName=Open</x:v>
      </x:c>
      <x:c r="C4853" s="24" t="e">
        <x:f>HYPERLINK("https://365nails.com/products/kids-press-on-nails-cute-cartoon-smiley-face-flower-glue-free-direct-sticker-nail-piece","Kids press-on nails Cute cartoon smiley face flower glue-free direct sticker nail piece")</x:f>
        <x:v>HYPERLINK is not implemented. linkLocation=https://365nails.com/products/kids-press-on-nails-cute-cartoon-smiley-face-flower-glue-free-direct-sticker-nail-piece, friendlyName=Kids press-on nails Cute cartoon smiley face flower glue-free direct sticker nail piece</x:v>
      </x:c>
      <x:c r="D4853" s="18" t="str">
        <x:v>color: 95-CM04; quanlity: 3pcs</x:v>
      </x:c>
      <x:c r="E4853" s="25" t="str">
        <x:v>$5.00</x:v>
      </x:c>
      <x:c r="F4853" s="19" t="str">
        <x:v>1</x:v>
      </x:c>
    </x:row>
    <x:row r="4854" ht="93" customHeight="1">
      <x:c r="A4854" s="19" t="n">
        <x:v>4851</x:v>
      </x:c>
      <x:c r="B4854" s="22" t="e">
        <x:f>HYPERLINK("https://cdn.shopify.com/s/files/1/0918/6066/4603/files/O1CN01MxQwLq1JOkfgeK3I5__933261019-0-cib.jpg?v=1763879327","Open")</x:f>
        <x:v>HYPERLINK is not implemented. linkLocation=https://cdn.shopify.com/s/files/1/0918/6066/4603/files/O1CN01MxQwLq1JOkfgeK3I5__933261019-0-cib.jpg?v=1763879327, friendlyName=Open</x:v>
      </x:c>
      <x:c r="C4854" s="24" t="e">
        <x:f>HYPERLINK("https://365nails.com/products/kids-press-on-nails-green-safe-and-environmentally-friendly-glue-free-patches-24-pieces-average-size","Kids press-on nails Green, safe and environmentally friendly glue-free patches 24 pieces average size")</x:f>
        <x:v>HYPERLINK is not implemented. linkLocation=https://365nails.com/products/kids-press-on-nails-green-safe-and-environmentally-friendly-glue-free-patches-24-pieces-average-size, friendlyName=Kids press-on nails Green, safe and environmentally friendly glue-free patches 24 pieces average size</x:v>
      </x:c>
      <x:c r="D4854" s="18" t="str">
        <x:v>color: 95-C003; quanlity: 3pcs</x:v>
      </x:c>
      <x:c r="E4854" s="25" t="str">
        <x:v>$5.00</x:v>
      </x:c>
      <x:c r="F4854" s="19" t="str">
        <x:v>1</x:v>
      </x:c>
    </x:row>
    <x:row r="4855" ht="93" customHeight="1">
      <x:c r="A4855" s="19" t="n">
        <x:v>4852</x:v>
      </x:c>
      <x:c r="B4855" s="22" t="e">
        <x:f>HYPERLINK("https://cdn.shopify.com/s/files/1/0918/6066/4603/files/tufan_2Fbba5fa24-c833-11f0-a2e3-00163e1f09e9.jpg?v=1763878523","Open")</x:f>
        <x:v>HYPERLINK is not implemented. linkLocation=https://cdn.shopify.com/s/files/1/0918/6066/4603/files/tufan_2Fbba5fa24-c833-11f0-a2e3-00163e1f09e9.jpg?v=1763878523, friendlyName=Open</x:v>
      </x:c>
      <x:c r="C4855" s="24" t="e">
        <x:f>HYPERLINK("https://365nails.com/products/kids-press-on-nails-bring-your-own-little-girl-stage-performance-high-end-30-pieces-average-size-5-15-years-old-finished-product-wholesale","Kids press-on nails Bring your own little girl, stage performance, high-end 30 pieces, average size 5-15 years old, finished product wholesale")</x:f>
        <x:v>HYPERLINK is not implemented. linkLocation=https://365nails.com/products/kids-press-on-nails-bring-your-own-little-girl-stage-performance-high-end-30-pieces-average-size-5-15-years-old-finished-product-wholesale, friendlyName=Kids press-on nails Bring your own little girl, stage performance, high-end 30 pieces, average size 5-15 years old, finished product wholesale</x:v>
      </x:c>
      <x:c r="D4855" s="18" t="str">
        <x:v>Color: 73-48006 / 73-48007 / 73-48008 / 73-48009 / 73-48010 / 73-48011 / 73-48012 / 73-48013 / 73-48014 / 73-48015 / 73-48016 / 73-48017 / 73-48018 / 73-48019 / 73-48020 / 73-48022 / 73-48023 / 73-48024 / 73-48025 / 73-58001 / 73-58002 / 73-58003 / 73-58005 / 73-58006 / 73-58007 / 73-58008 / 73-58010 / 73-58011 / 73-58012 / 40-VSCM029 / 40-VSCM038 / Hanging hole (no need to place an order); Quanlity: 3pcs</x:v>
      </x:c>
      <x:c r="E4855" s="25" t="str">
        <x:v>$6.00</x:v>
      </x:c>
      <x:c r="F4855" s="19" t="str">
        <x:v>1</x:v>
      </x:c>
    </x:row>
    <x:row r="4856" ht="93" customHeight="1">
      <x:c r="A4856" s="19" t="n">
        <x:v>4853</x:v>
      </x:c>
      <x:c r="B4856" s="22" t="e">
        <x:f>HYPERLINK("https://cdn.shopify.com/s/files/1/0918/6066/4603/files/O1CN01ccpI0I1JOkfXyaxnq__933261019-0-cib_a4bf1ace-956b-4474-aa55-e4599c67dd3c.jpg?v=1763878540","Open")</x:f>
        <x:v>HYPERLINK is not implemented. linkLocation=https://cdn.shopify.com/s/files/1/0918/6066/4603/files/O1CN01ccpI0I1JOkfXyaxnq__933261019-0-cib_a4bf1ace-956b-4474-aa55-e4599c67dd3c.jpg?v=1763878540, friendlyName=Open</x:v>
      </x:c>
      <x:c r="C4856" s="24" t="e">
        <x:f>HYPERLINK("https://365nails.com/products/kids-press-on-nails-new-french-aurora-short-square-dizziness-dye-pink-average-size-in-stock","Kids press-on nails New French Aurora short square dizziness dye pink average size in stock")</x:f>
        <x:v>HYPERLINK is not implemented. linkLocation=https://365nails.com/products/kids-press-on-nails-new-french-aurora-short-square-dizziness-dye-pink-average-size-in-stock, friendlyName=Kids press-on nails New French Aurora short square dizziness dye pink average size in stock</x:v>
      </x:c>
      <x:c r="D4856" s="18" t="str">
        <x:v>Color: 40-C054; Quanlity: 3pcs</x:v>
      </x:c>
      <x:c r="E4856" s="25" t="str">
        <x:v>$5.00</x:v>
      </x:c>
      <x:c r="F4856" s="19" t="str">
        <x:v>1</x:v>
      </x:c>
    </x:row>
    <x:row r="4857" ht="93" customHeight="1">
      <x:c r="A4857" s="19" t="n">
        <x:v>4854</x:v>
      </x:c>
      <x:c r="B4857" s="22" t="e">
        <x:f>HYPERLINK("https://cdn.shopify.com/s/files/1/0918/6066/4603/files/a81d11c4f898115bac5122d2f87dccb4.jpg?v=1771295014","Open")</x:f>
        <x:v>HYPERLINK is not implemented. linkLocation=https://cdn.shopify.com/s/files/1/0918/6066/4603/files/a81d11c4f898115bac5122d2f87dccb4.jpg?v=1771295014, friendlyName=Open</x:v>
      </x:c>
      <x:c r="C4857" s="24" t="e">
        <x:f>HYPERLINK("https://365nails.com/products/meow-cherry-cartoon-dopamine-collection","Cartoon &amp; Dopamine: ""Meow &amp; Cherry"" – Black Cat Graffiti, Retro Plaid &amp; Sweet Cherry Short Nails")</x:f>
        <x:v>HYPERLINK is not implemented. linkLocation=https://365nails.com/products/meow-cherry-cartoon-dopamine-collection, friendlyName=Cartoon &amp; Dopamine: "Meow &amp; Cherry" – Black Cat Graffiti, Retro Plaid &amp; Sweet Cherry Short Nails</x:v>
      </x:c>
      <x:c r="D4857" s="18" t="str">
        <x:v>Size: XS / S / M / L</x:v>
      </x:c>
      <x:c r="E4857" s="25" t="str">
        <x:v>$3.99</x:v>
      </x:c>
      <x:c r="F4857" s="19" t="str">
        <x:v>5</x:v>
      </x:c>
    </x:row>
    <x:row r="4858" ht="93" customHeight="1">
      <x:c r="A4858" s="19" t="n">
        <x:v>4855</x:v>
      </x:c>
      <x:c r="B4858" s="22" t="e">
        <x:f>HYPERLINK("https://cdn.shopify.com/s/files/1/0918/6066/4603/files/O1CN01geDDu81JOkfWrozwX__933261019-0-cib.jpg?v=1763879033","Open")</x:f>
        <x:v>HYPERLINK is not implemented. linkLocation=https://cdn.shopify.com/s/files/1/0918/6066/4603/files/O1CN01geDDu81JOkfWrozwX__933261019-0-cib.jpg?v=1763879033, friendlyName=Open</x:v>
      </x:c>
      <x:c r="C4858" s="24" t="e">
        <x:f>HYPERLINK("https://365nails.com/products/kids-press-on-nails-24-pieces-of-almond-armor-cute-cartoon-small-floral-super-glitter-wearable-3-12","Kids press-on nails 24 pieces of almond armor cute cartoon small floral super glitter wearable 3-12")</x:f>
        <x:v>HYPERLINK is not implemented. linkLocation=https://365nails.com/products/kids-press-on-nails-24-pieces-of-almond-armor-cute-cartoon-small-floral-super-glitter-wearable-3-12, friendlyName=Kids press-on nails 24 pieces of almond armor cute cartoon small floral super glitter wearable 3-12</x:v>
      </x:c>
      <x:c r="D4858" s="18" t="str">
        <x:v>color: 95-CM01; quanlity: 3pcs</x:v>
      </x:c>
      <x:c r="E4858" s="25" t="str">
        <x:v>$5.00</x:v>
      </x:c>
      <x:c r="F4858" s="19" t="str">
        <x:v>1</x:v>
      </x:c>
    </x:row>
    <x:row r="4859" ht="93" customHeight="1">
      <x:c r="A4859" s="19" t="n">
        <x:v>4856</x:v>
      </x:c>
      <x:c r="B4859" s="22" t="e">
        <x:f>HYPERLINK("https://cdn.shopify.com/s/files/1/0918/6066/4603/files/O1CN01ZjrvG41JOkfUH1hSF__933261019-0-cib.jpg?v=1763878708","Open")</x:f>
        <x:v>HYPERLINK is not implemented. linkLocation=https://cdn.shopify.com/s/files/1/0918/6066/4603/files/O1CN01ZjrvG41JOkfUH1hSF__933261019-0-cib.jpg?v=1763878708, friendlyName=Open</x:v>
      </x:c>
      <x:c r="C4859" s="24" t="e">
        <x:f>HYPERLINK("https://365nails.com/products/kids-press-on-nails-fireworks-washable-manicure-square-head-glittering-gold-powder-24-pieces","Kids press-on nails Fireworks washable manicure square head glittering gold powder 24 pieces")</x:f>
        <x:v>HYPERLINK is not implemented. linkLocation=https://365nails.com/products/kids-press-on-nails-fireworks-washable-manicure-square-head-glittering-gold-powder-24-pieces, friendlyName=Kids press-on nails Fireworks washable manicure square head glittering gold powder 24 pieces</x:v>
      </x:c>
      <x:c r="D4859" s="18" t="str">
        <x:v>color: 40-CM176; quanlity: 3pcs</x:v>
      </x:c>
      <x:c r="E4859" s="25" t="str">
        <x:v>$5.00</x:v>
      </x:c>
      <x:c r="F4859" s="19" t="str">
        <x:v>1</x:v>
      </x:c>
    </x:row>
    <x:row r="4860" ht="93" customHeight="1">
      <x:c r="A4860" s="19" t="n">
        <x:v>4857</x:v>
      </x:c>
      <x:c r="B4860" s="22" t="e">
        <x:f>HYPERLINK("https://cdn.shopify.com/s/files/1/0918/6066/4603/files/O1CN011zUGLM1JOkfTECOt1__933261019-0-cib_c1b6bcb8-c886-47e2-8c75-670b8ae52982.jpg?v=1763878584","Open")</x:f>
        <x:v>HYPERLINK is not implemented. linkLocation=https://cdn.shopify.com/s/files/1/0918/6066/4603/files/O1CN011zUGLM1JOkfTECOt1__933261019-0-cib_c1b6bcb8-c886-47e2-8c75-670b8ae52982.jpg?v=1763878584, friendlyName=Open</x:v>
      </x:c>
      <x:c r="C4860" s="24" t="e">
        <x:f>HYPERLINK("https://365nails.com/products/kids-press-on-nails-nail-sheet-french-golden-light-24-pieces-environmental-protection-test","Kids press-on nails Nail sheet French golden light 24 pieces environmental protection test")</x:f>
        <x:v>HYPERLINK is not implemented. linkLocation=https://365nails.com/products/kids-press-on-nails-nail-sheet-french-golden-light-24-pieces-environmental-protection-test, friendlyName=Kids press-on nails Nail sheet French golden light 24 pieces environmental protection test</x:v>
      </x:c>
      <x:c r="D4860" s="18" t="str">
        <x:v>Color: 40-CM165; Quanlity: 3pcs</x:v>
      </x:c>
      <x:c r="E4860" s="25" t="str">
        <x:v>$5.00</x:v>
      </x:c>
      <x:c r="F4860" s="19" t="str">
        <x:v>1</x:v>
      </x:c>
    </x:row>
    <x:row r="4861" ht="93" customHeight="1">
      <x:c r="A4861" s="19" t="n">
        <x:v>4858</x:v>
      </x:c>
      <x:c r="B4861" s="22" t="e">
        <x:f>HYPERLINK("https://cdn.shopify.com/s/files/1/0918/6066/4603/files/O1CN01a2bcMU1JOkffswCFc__933261019-0-cib.jpg?v=1763878601","Open")</x:f>
        <x:v>HYPERLINK is not implemented. linkLocation=https://cdn.shopify.com/s/files/1/0918/6066/4603/files/O1CN01a2bcMU1JOkffswCFc__933261019-0-cib.jpg?v=1763878601, friendlyName=Open</x:v>
      </x:c>
      <x:c r="C4861" s="24" t="e">
        <x:f>HYPERLINK("https://365nails.com/products/kids-press-on-nails-color-safety-and-environmental-protection-patch-glossy-phosphorescent-nail","Kids press-on nails Color safety and environmental protection patch Glossy phosphorescent nail")</x:f>
        <x:v>HYPERLINK is not implemented. linkLocation=https://365nails.com/products/kids-press-on-nails-color-safety-and-environmental-protection-patch-glossy-phosphorescent-nail, friendlyName=Kids press-on nails Color safety and environmental protection patch Glossy phosphorescent nail</x:v>
      </x:c>
      <x:c r="D4861" s="18" t="str">
        <x:v>Color: 95-CM16; Quanlity: 3pcs</x:v>
      </x:c>
      <x:c r="E4861" s="25" t="str">
        <x:v>$5.00</x:v>
      </x:c>
      <x:c r="F4861" s="19" t="str">
        <x:v>1</x:v>
      </x:c>
    </x:row>
    <x:row r="4862" ht="93" customHeight="1">
      <x:c r="A4862" s="19" t="n">
        <x:v>4859</x:v>
      </x:c>
      <x:c r="B4862" s="22" t="e">
        <x:f>HYPERLINK("https://cdn.shopify.com/s/files/1/0918/6066/4603/files/O1CN01Jn5heY1JOkfM9QP5J__933261019-0-cib.jpg?v=1763878378","Open")</x:f>
        <x:v>HYPERLINK is not implemented. linkLocation=https://cdn.shopify.com/s/files/1/0918/6066/4603/files/O1CN01Jn5heY1JOkfM9QP5J__933261019-0-cib.jpg?v=1763878378, friendlyName=Open</x:v>
      </x:c>
      <x:c r="C4862" s="24" t="e">
        <x:f>HYPERLINK("https://365nails.com/products/kids-press-on-nails-christmas-square-head-manicure-christmas-decoration-24-pieces","Kids press-on nails Christmas square head manicure Christmas decoration 24 pieces")</x:f>
        <x:v>HYPERLINK is not implemented. linkLocation=https://365nails.com/products/kids-press-on-nails-christmas-square-head-manicure-christmas-decoration-24-pieces, friendlyName=Kids press-on nails Christmas square head manicure Christmas decoration 24 pieces</x:v>
      </x:c>
      <x:c r="D4862" s="18" t="str">
        <x:v>Color: ZX37-40-VSCM01 / ZX37-40-VSCM02 / ZX37-40-VSCM03 / ZX37-40-VSCM04 / A085-40-CM73; Quanlity: 3pcs</x:v>
      </x:c>
      <x:c r="E4862" s="25" t="str">
        <x:v>$5.00</x:v>
      </x:c>
      <x:c r="F4862" s="19" t="str">
        <x:v>1</x:v>
      </x:c>
    </x:row>
    <x:row r="4863" ht="93" customHeight="1">
      <x:c r="A4863" s="19" t="n">
        <x:v>4860</x:v>
      </x:c>
      <x:c r="B4863" s="22" t="e">
        <x:f>HYPERLINK("https://cdn.shopify.com/s/files/1/0918/6066/4603/files/O1CN01gwALhY1JOkfdaKAUe__933261019-0-cib.jpg?v=1763878406","Open")</x:f>
        <x:v>HYPERLINK is not implemented. linkLocation=https://cdn.shopify.com/s/files/1/0918/6066/4603/files/O1CN01gwALhY1JOkfdaKAUe__933261019-0-cib.jpg?v=1763878406, friendlyName=Open</x:v>
      </x:c>
      <x:c r="C4863" s="24" t="e">
        <x:f>HYPERLINK("https://365nails.com/products/kids-press-on-nails-moon-bear-phosphorescent-plating-is-safe-and-environmentally-friendly","Kids press-on nails Moon bear phosphorescent plating is safe and environmentally friendly")</x:f>
        <x:v>HYPERLINK is not implemented. linkLocation=https://365nails.com/products/kids-press-on-nails-moon-bear-phosphorescent-plating-is-safe-and-environmentally-friendly, friendlyName=Kids press-on nails Moon bear phosphorescent plating is safe and environmentally friendly</x:v>
      </x:c>
      <x:c r="D4863" s="18" t="str">
        <x:v>Color: 95-CM05; Quanlity: 3pcs</x:v>
      </x:c>
      <x:c r="E4863" s="25" t="str">
        <x:v>$5.00</x:v>
      </x:c>
      <x:c r="F4863" s="19" t="str">
        <x:v>1</x:v>
      </x:c>
    </x:row>
    <x:row r="4864" ht="93" customHeight="1">
      <x:c r="A4864" s="19" t="n">
        <x:v>4861</x:v>
      </x:c>
      <x:c r="B4864" s="22" t="e">
        <x:f>HYPERLINK("https://cdn.shopify.com/s/files/1/0918/6066/4603/files/O1CN01ZOsDfH1JOkekOshFL__933261019-0-cib.jpg?v=1763880678","Open")</x:f>
        <x:v>HYPERLINK is not implemented. linkLocation=https://cdn.shopify.com/s/files/1/0918/6066/4603/files/O1CN01ZOsDfH1JOkekOshFL__933261019-0-cib.jpg?v=1763880678, friendlyName=Open</x:v>
      </x:c>
      <x:c r="C4864" s="24" t="e">
        <x:f>HYPERLINK("https://365nails.com/products/kids-press-on-nails-cute-cartoon-strawberry-lollipop-red-glitter-powder-24-pieces-almond-tip-childrens-nail-patch","Kids press-on nails Cute Cartoon Strawberry Lollipop Red Glitter Powder 24 Pieces Almond Tip Children's Nail Patch")</x:f>
        <x:v>HYPERLINK is not implemented. linkLocation=https://365nails.com/products/kids-press-on-nails-cute-cartoon-strawberry-lollipop-red-glitter-powder-24-pieces-almond-tip-childrens-nail-patch, friendlyName=Kids press-on nails Cute Cartoon Strawberry Lollipop Red Glitter Powder 24 Pieces Almond Tip Children's Nail Patch</x:v>
      </x:c>
      <x:c r="D4864" s="18" t="str">
        <x:v>color: A087-0095-CM10; quanlity: 3pcs</x:v>
      </x:c>
      <x:c r="E4864" s="25" t="str">
        <x:v>$5.00</x:v>
      </x:c>
      <x:c r="F4864" s="19" t="str">
        <x:v>1</x:v>
      </x:c>
    </x:row>
    <x:row r="4865" ht="93" customHeight="1">
      <x:c r="A4865" s="19" t="n">
        <x:v>4862</x:v>
      </x:c>
      <x:c r="B4865" s="22" t="e">
        <x:f>HYPERLINK("https://cdn.shopify.com/s/files/1/0918/6066/4603/files/O1CN01mQvZjh1JOkeknGgnN__933261019-0-cib.jpg?v=1763879439","Open")</x:f>
        <x:v>HYPERLINK is not implemented. linkLocation=https://cdn.shopify.com/s/files/1/0918/6066/4603/files/O1CN01mQvZjh1JOkeknGgnN__933261019-0-cib.jpg?v=1763879439, friendlyName=Open</x:v>
      </x:c>
      <x:c r="C4865" s="24" t="e">
        <x:f>HYPERLINK("https://365nails.com/products/kids-press-on-nails-cartoon-3-12-years-old-nail-patch-finished-easter-bunny-phosphorescent","Kids press-on nails Cartoon 3-12 years old nail patch finished Easter bunny phosphorescent")</x:f>
        <x:v>HYPERLINK is not implemented. linkLocation=https://365nails.com/products/kids-press-on-nails-cartoon-3-12-years-old-nail-patch-finished-easter-bunny-phosphorescent, friendlyName=Kids press-on nails Cartoon 3-12 years old nail patch finished Easter bunny phosphorescent</x:v>
      </x:c>
      <x:c r="D4865" s="18" t="str">
        <x:v>color: A085-0095-CM15; quanlity: 3pcs</x:v>
      </x:c>
      <x:c r="E4865" s="25" t="str">
        <x:v>$5.00</x:v>
      </x:c>
      <x:c r="F4865" s="19" t="str">
        <x:v>1</x:v>
      </x:c>
    </x:row>
    <x:row r="4866" ht="93" customHeight="1">
      <x:c r="A4866" s="19" t="n">
        <x:v>4863</x:v>
      </x:c>
      <x:c r="B4866" s="22" t="e">
        <x:f>HYPERLINK("https://cdn.shopify.com/s/files/1/0918/6066/4603/files/O1CN01sRT1dC1JOkenQOaJy__933261019-0-cib.jpg?v=1763880582","Open")</x:f>
        <x:v>HYPERLINK is not implemented. linkLocation=https://cdn.shopify.com/s/files/1/0918/6066/4603/files/O1CN01sRT1dC1JOkenQOaJy__933261019-0-cib.jpg?v=1763880582, friendlyName=Open</x:v>
      </x:c>
      <x:c r="C4866" s="24" t="e">
        <x:f>HYPERLINK("https://365nails.com/products/kids-press-on-nails-pointed-almond-nail-stickers-cartoon-golden-flowers-24-pieces-detected","Kids press-on nails Pointed almond nail stickers Cartoon golden flowers 24 pieces Detected")</x:f>
        <x:v>HYPERLINK is not implemented. linkLocation=https://365nails.com/products/kids-press-on-nails-pointed-almond-nail-stickers-cartoon-golden-flowers-24-pieces-detected, friendlyName=Kids press-on nails Pointed almond nail stickers Cartoon golden flowers 24 pieces Detected</x:v>
      </x:c>
      <x:c r="D4866" s="18" t="str">
        <x:v>color: A088-0095-CM07; quanlity: 3pcs</x:v>
      </x:c>
      <x:c r="E4866" s="25" t="str">
        <x:v>$5.00</x:v>
      </x:c>
      <x:c r="F4866" s="19" t="str">
        <x:v>1</x:v>
      </x:c>
    </x:row>
    <x:row r="4867" ht="93" customHeight="1">
      <x:c r="A4867" s="19" t="n">
        <x:v>4864</x:v>
      </x:c>
      <x:c r="B4867" s="22" t="e">
        <x:f>HYPERLINK("https://cdn.shopify.com/s/files/1/0918/6066/4603/files/tufan_2F542f1466-c838-11f0-a2b9-00163e198bc2.jpg?v=1763880503","Open")</x:f>
        <x:v>HYPERLINK is not implemented. linkLocation=https://cdn.shopify.com/s/files/1/0918/6066/4603/files/tufan_2F542f1466-c838-11f0-a2b9-00163e198bc2.jpg?v=1763880503, friendlyName=Open</x:v>
      </x:c>
      <x:c r="C4867" s="24" t="e">
        <x:f>HYPERLINK("https://365nails.com/products/kids-press-on-nails-12-nail-patch-cartoons-can-be-sold-safe-and-tested","Kids press-on nails 12 nail patch cartoons can be sold, safe and tested.")</x:f>
        <x:v>HYPERLINK is not implemented. linkLocation=https://365nails.com/products/kids-press-on-nails-12-nail-patch-cartoons-can-be-sold-safe-and-tested, friendlyName=Kids press-on nails 12 nail patch cartoons can be sold, safe and tested.</x:v>
      </x:c>
      <x:c r="D4867" s="18" t="str">
        <x:v>color: ZX59-CM110 / ZX59-CM114 / ZX59-CM117 / ZX59-CM118 / ZX59-CM122 / ZX59-CM125 / ZX60-CM105 / ZX60-CM106 / ZX60-CM112 / ZX60-CM119 / ZX60-CM121 / ZX60-CM126 / ZX61-CM108 / ZX61-CM113 / ZX61-CM115 / ZX61-CM116 / ZX61-CM123 / ZX61-CM124 / ZX62-CM104 / ZX62-CM107 / ZX62-CM109 / ZX62-CM111 / ZX62-CM120 / ZX62-CM127; quanlity: 3pcs</x:v>
      </x:c>
      <x:c r="E4867" s="25" t="str">
        <x:v>$5.00</x:v>
      </x:c>
      <x:c r="F4867" s="19" t="str">
        <x:v>1</x:v>
      </x:c>
    </x:row>
    <x:row r="4868" ht="93" customHeight="1">
      <x:c r="A4868" s="19" t="n">
        <x:v>4865</x:v>
      </x:c>
      <x:c r="B4868" s="22" t="e">
        <x:f>HYPERLINK("https://cdn.shopify.com/s/files/1/0918/6066/4603/files/O1CN01klK2261JOkejPycwc__933261019-0-cib.jpg?v=1763880255","Open")</x:f>
        <x:v>HYPERLINK is not implemented. linkLocation=https://cdn.shopify.com/s/files/1/0918/6066/4603/files/O1CN01klK2261JOkejPycwc__933261019-0-cib.jpg?v=1763880255, friendlyName=Open</x:v>
      </x:c>
      <x:c r="C4868" s="24" t="e">
        <x:f>HYPERLINK("https://365nails.com/products/kids-press-on-nails-smudge-gradual-change-phosphorescent-patch","Kids press-on nails Smudge gradual change phosphorescent patch")</x:f>
        <x:v>HYPERLINK is not implemented. linkLocation=https://365nails.com/products/kids-press-on-nails-smudge-gradual-change-phosphorescent-patch, friendlyName=Kids press-on nails Smudge gradual change phosphorescent patch</x:v>
      </x:c>
      <x:c r="D4868" s="18" t="str">
        <x:v>color: A085-0095-CM13; quanlity: 3pcs</x:v>
      </x:c>
      <x:c r="E4868" s="25" t="str">
        <x:v>$5.00</x:v>
      </x:c>
      <x:c r="F4868" s="19" t="str">
        <x:v>1</x:v>
      </x:c>
    </x:row>
    <x:row r="4869" ht="93" customHeight="1">
      <x:c r="A4869" s="19" t="n">
        <x:v>4866</x:v>
      </x:c>
      <x:c r="B4869" s="22" t="e">
        <x:f>HYPERLINK("https://cdn.shopify.com/s/files/1/0918/6066/4603/files/O1CN01ZgkJdo1JOkelmX26Q__933261019-0-cib_1e2006bb-a4c8-4e3a-9c06-e661e299b346.jpg?v=1763878354","Open")</x:f>
        <x:v>HYPERLINK is not implemented. linkLocation=https://cdn.shopify.com/s/files/1/0918/6066/4603/files/O1CN01ZgkJdo1JOkelmX26Q__933261019-0-cib_1e2006bb-a4c8-4e3a-9c06-e661e299b346.jpg?v=1763878354, friendlyName=Open</x:v>
      </x:c>
      <x:c r="C4869" s="24" t="e">
        <x:f>HYPERLINK("https://365nails.com/products/kids-press-on-nails-mermaid-shell-phosphorescent-pointed-almond-nail-child-24-pieces","Kids press-on nails Mermaid shell phosphorescent pointed almond nail child 24 pieces")</x:f>
        <x:v>HYPERLINK is not implemented. linkLocation=https://365nails.com/products/kids-press-on-nails-mermaid-shell-phosphorescent-pointed-almond-nail-child-24-pieces, friendlyName=Kids press-on nails Mermaid shell phosphorescent pointed almond nail child 24 pieces</x:v>
      </x:c>
      <x:c r="D4869" s="18" t="str">
        <x:v>Color: A088-0095-CM12; Quanlity: 3pcs</x:v>
      </x:c>
      <x:c r="E4869" s="25" t="str">
        <x:v>$5.00</x:v>
      </x:c>
      <x:c r="F4869" s="19" t="str">
        <x:v>1</x:v>
      </x:c>
    </x:row>
    <x:row r="4870" ht="93" customHeight="1">
      <x:c r="A4870" s="19" t="n">
        <x:v>4867</x:v>
      </x:c>
      <x:c r="B4870" s="22" t="e">
        <x:f>HYPERLINK("https://cdn.shopify.com/s/files/1/0918/6066/4603/files/O1CN01sDltrq1JOkeeeA3Gr__933261019-0-cib.jpg?v=1763879386","Open")</x:f>
        <x:v>HYPERLINK is not implemented. linkLocation=https://cdn.shopify.com/s/files/1/0918/6066/4603/files/O1CN01sDltrq1JOkeeeA3Gr__933261019-0-cib.jpg?v=1763879386, friendlyName=Open</x:v>
      </x:c>
      <x:c r="C4870" s="24" t="e">
        <x:f>HYPERLINK("https://365nails.com/products/kids-press-on-nails-summer-cartoon-phosphorescent-strawberry-24-slices","Kids press-on nails Summer Cartoon Phosphorescent Strawberry 24 Slices (MOQ=3)")</x:f>
        <x:v>HYPERLINK is not implemented. linkLocation=https://365nails.com/products/kids-press-on-nails-summer-cartoon-phosphorescent-strawberry-24-slices, friendlyName=Kids press-on nails Summer Cartoon Phosphorescent Strawberry 24 Slices (MOQ=3)</x:v>
      </x:c>
      <x:c r="D4870" s="18" t="str">
        <x:v>Color: A087-0095-CM11; quanlity: 3pcs</x:v>
      </x:c>
      <x:c r="E4870" s="25" t="str">
        <x:v>$5.00</x:v>
      </x:c>
      <x:c r="F4870" s="19" t="str">
        <x:v>1</x:v>
      </x:c>
    </x:row>
    <x:row r="4871" ht="93" customHeight="1">
      <x:c r="A4871" s="19" t="n">
        <x:v>4868</x:v>
      </x:c>
      <x:c r="B4871" s="22" t="e">
        <x:f>HYPERLINK("https://cdn.shopify.com/s/files/1/0918/6066/4603/files/O1CN015loWek1JOkem8XOvz__933261019-0-cib_10548b4c-907e-4aa4-a3e4-ef8601063957.jpg?v=1763878556","Open")</x:f>
        <x:v>HYPERLINK is not implemented. linkLocation=https://cdn.shopify.com/s/files/1/0918/6066/4603/files/O1CN015loWek1JOkem8XOvz__933261019-0-cib_10548b4c-907e-4aa4-a3e4-ef8601063957.jpg?v=1763878556, friendlyName=Open</x:v>
      </x:c>
      <x:c r="C4871" s="24" t="e">
        <x:f>HYPERLINK("https://365nails.com/products/kids-press-on-nails-24-pieces-of-finished-nail-art-patch-silver-flower-safe-and-environmentally-friendly","Kids press-on nails 24 pieces of finished nail art patch, silver flower, safe and environmentally friendly")</x:f>
        <x:v>HYPERLINK is not implemented. linkLocation=https://365nails.com/products/kids-press-on-nails-24-pieces-of-finished-nail-art-patch-silver-flower-safe-and-environmentally-friendly, friendlyName=Kids press-on nails 24 pieces of finished nail art patch, silver flower, safe and environmentally friendly</x:v>
      </x:c>
      <x:c r="D4871" s="18" t="str">
        <x:v>Color: A086-0095-CM03; Quanlity: 3pcs</x:v>
      </x:c>
      <x:c r="E4871" s="25" t="str">
        <x:v>$5.00</x:v>
      </x:c>
      <x:c r="F4871" s="19" t="str">
        <x:v>1</x:v>
      </x:c>
    </x:row>
    <x:row r="4872" ht="93" customHeight="1">
      <x:c r="A4872" s="19" t="n">
        <x:v>4869</x:v>
      </x:c>
      <x:c r="B4872" s="22" t="e">
        <x:f>HYPERLINK("https://cdn.shopify.com/s/files/1/0918/6066/4603/files/O1CN01VMBU7r1JOkekiQbea__933261019-0-cib.jpg?v=1763879257","Open")</x:f>
        <x:v>HYPERLINK is not implemented. linkLocation=https://cdn.shopify.com/s/files/1/0918/6066/4603/files/O1CN01VMBU7r1JOkekiQbea__933261019-0-cib.jpg?v=1763879257, friendlyName=Open</x:v>
      </x:c>
      <x:c r="C4872" s="24" t="e">
        <x:f>HYPERLINK("https://365nails.com/products/kids-press-on-nails-rose-red-pointed-almonds-are-suitable-in-small-packages","Kids press-on nails Rose red pointed almonds are suitable in small packages.")</x:f>
        <x:v>HYPERLINK is not implemented. linkLocation=https://365nails.com/products/kids-press-on-nails-rose-red-pointed-almonds-are-suitable-in-small-packages, friendlyName=Kids press-on nails Rose red pointed almonds are suitable in small packages.</x:v>
      </x:c>
      <x:c r="D4872" s="18" t="str">
        <x:v>color: A085-0095-CM08; quanlity: 3pcs</x:v>
      </x:c>
      <x:c r="E4872" s="25" t="str">
        <x:v>$5.00</x:v>
      </x:c>
      <x:c r="F4872" s="19" t="str">
        <x:v>1</x:v>
      </x:c>
    </x:row>
    <x:row r="4873" ht="93" customHeight="1">
      <x:c r="A4873" s="19" t="n">
        <x:v>4870</x:v>
      </x:c>
      <x:c r="B4873" s="22" t="e">
        <x:f>HYPERLINK("https://cdn.shopify.com/s/files/1/0918/6066/4603/files/65f2f56e6fc0591614cf21174c81d973.jpg?v=1771403008","Open")</x:f>
        <x:v>HYPERLINK is not implemented. linkLocation=https://cdn.shopify.com/s/files/1/0918/6066/4603/files/65f2f56e6fc0591614cf21174c81d973.jpg?v=1771403008, friendlyName=Open</x:v>
      </x:c>
      <x:c r="C4873" s="24" t="e">
        <x:f>HYPERLINK("https://365nails.com/products/coastal-amber-ethereal-ink-series","Ethereal Ink: ""Coastal Amber"" – Icy Blue &amp; Caramel Sand Marble with Gold Flakes &amp; Ink Smudge Almond Nails")</x:f>
        <x:v>HYPERLINK is not implemented. linkLocation=https://365nails.com/products/coastal-amber-ethereal-ink-series, friendlyName=Ethereal Ink: "Coastal Amber" – Icy Blue &amp; Caramel Sand Marble with Gold Flakes &amp; Ink Smudge Almond Nails</x:v>
      </x:c>
      <x:c r="D4873" s="18" t="str">
        <x:v>Size: XS / S / M / L</x:v>
      </x:c>
      <x:c r="E4873" s="25" t="str">
        <x:v>$3.99</x:v>
      </x:c>
      <x:c r="F4873" s="19" t="str">
        <x:v>30</x:v>
      </x:c>
    </x:row>
    <x:row r="4874" ht="93" customHeight="1">
      <x:c r="A4874" s="19" t="n">
        <x:v>4871</x:v>
      </x:c>
      <x:c r="B4874" s="22" t="e">
        <x:f>HYPERLINK("https://cdn.shopify.com/s/files/1/0918/6066/4603/files/ea85e18f5f2cdbc57fe1541f86c9fc65_b981f412-8364-436f-84b7-e8969d64d38a.jpg?v=1771294782","Open")</x:f>
        <x:v>HYPERLINK is not implemented. linkLocation=https://cdn.shopify.com/s/files/1/0918/6066/4603/files/ea85e18f5f2cdbc57fe1541f86c9fc65_b981f412-8364-436f-84b7-e8969d64d38a.jpg?v=1771294782, friendlyName=Open</x:v>
      </x:c>
      <x:c r="C4874" s="24" t="e">
        <x:f>HYPERLINK("https://365nails.com/products/curious-eyes-cartoon-dopamine-collection","Cartoon &amp; Dopamine: ""Curious Eyes"" – 3D Googly Eyes, Colorful Speckles &amp; Solid Black Short Nails")</x:f>
        <x:v>HYPERLINK is not implemented. linkLocation=https://365nails.com/products/curious-eyes-cartoon-dopamine-collection, friendlyName=Cartoon &amp; Dopamine: "Curious Eyes" – 3D Googly Eyes, Colorful Speckles &amp; Solid Black Short Nails</x:v>
      </x:c>
      <x:c r="D4874" s="18" t="str">
        <x:v>Size: XS / S / M / L</x:v>
      </x:c>
      <x:c r="E4874" s="25" t="str">
        <x:v>$3.99</x:v>
      </x:c>
      <x:c r="F4874" s="19" t="str">
        <x:v>5</x:v>
      </x:c>
    </x:row>
    <x:row r="4875" ht="93" customHeight="1">
      <x:c r="A4875" s="19" t="n">
        <x:v>4872</x:v>
      </x:c>
      <x:c r="B4875" s="22" t="e">
        <x:f>HYPERLINK("https://cdn.shopify.com/s/files/1/0918/6066/4603/files/31d2d26d79158485c7a984978e7de529.jpg?v=1771294178","Open")</x:f>
        <x:v>HYPERLINK is not implemented. linkLocation=https://cdn.shopify.com/s/files/1/0918/6066/4603/files/31d2d26d79158485c7a984978e7de529.jpg?v=1771294178, friendlyName=Open</x:v>
      </x:c>
      <x:c r="C4875" s="24" t="e">
        <x:f>HYPERLINK("https://365nails.com/products/party-pups-cartoon-dopamine-collection","Cartoon &amp; Dopamine: ""Party Pups"" – Happy New Year Dog, Bone Bowl &amp; Silver Star Graffiti Short Nails")</x:f>
        <x:v>HYPERLINK is not implemented. linkLocation=https://365nails.com/products/party-pups-cartoon-dopamine-collection, friendlyName=Cartoon &amp; Dopamine: "Party Pups" – Happy New Year Dog, Bone Bowl &amp; Silver Star Graffiti Short Nails</x:v>
      </x:c>
      <x:c r="D4875" s="18" t="str">
        <x:v>Size: XS / S / M / L</x:v>
      </x:c>
      <x:c r="E4875" s="25" t="str">
        <x:v>$3.99</x:v>
      </x:c>
      <x:c r="F4875" s="19" t="str">
        <x:v>5</x:v>
      </x:c>
    </x:row>
    <x:row r="4876" ht="93" customHeight="1">
      <x:c r="A4876" s="19" t="n">
        <x:v>4873</x:v>
      </x:c>
      <x:c r="B4876" s="22" t="e">
        <x:f>HYPERLINK("https://cdn.shopify.com/s/files/1/0918/6066/4603/files/d6c53bbf6b079c56535debb8eb10dd33.jpg?v=1771310183","Open")</x:f>
        <x:v>HYPERLINK is not implemented. linkLocation=https://cdn.shopify.com/s/files/1/0918/6066/4603/files/d6c53bbf6b079c56535debb8eb10dd33.jpg?v=1771310183, friendlyName=Open</x:v>
      </x:c>
      <x:c r="C4876" s="24" t="e">
        <x:f>HYPERLINK("https://365nails.com/products/morning-bakery-cartoon-dopamine-collection","Cartoon &amp; Dopamine: ""Morning Bakery"" – 3D Cookie &amp; Bread, Coffee Cup &amp; Hand-Drawn Chef Doodles Short Nails")</x:f>
        <x:v>HYPERLINK is not implemented. linkLocation=https://365nails.com/products/morning-bakery-cartoon-dopamine-collection, friendlyName=Cartoon &amp; Dopamine: "Morning Bakery" – 3D Cookie &amp; Bread, Coffee Cup &amp; Hand-Drawn Chef Doodles Short Nails</x:v>
      </x:c>
      <x:c r="D4876" s="18" t="str">
        <x:v>Size: XS / S / M / L</x:v>
      </x:c>
      <x:c r="E4876" s="25" t="str">
        <x:v>$3.99</x:v>
      </x:c>
      <x:c r="F4876" s="19" t="str">
        <x:v>5</x:v>
      </x:c>
    </x:row>
    <x:row r="4877" ht="93" customHeight="1">
      <x:c r="A4877" s="19" t="n">
        <x:v>4874</x:v>
      </x:c>
      <x:c r="B4877" s="22" t="e">
        <x:f>HYPERLINK("https://cdn.shopify.com/s/files/1/0918/6066/4603/files/956db2cfb568851dda080372cf58ad49.jpg?v=1771293611","Open")</x:f>
        <x:v>HYPERLINK is not implemented. linkLocation=https://cdn.shopify.com/s/files/1/0918/6066/4603/files/956db2cfb568851dda080372cf58ad49.jpg?v=1771293611, friendlyName=Open</x:v>
      </x:c>
      <x:c r="C4877" s="24" t="e">
        <x:f>HYPERLINK("https://365nails.com/products/black-cat-latte-cartoon-dopamine-collection","Cartoon &amp; Dopamine: ""Black Cat Latte"" – 3D Black Cat, Coffee Bear &amp; Teal Plaid Short Nails")</x:f>
        <x:v>HYPERLINK is not implemented. linkLocation=https://365nails.com/products/black-cat-latte-cartoon-dopamine-collection, friendlyName=Cartoon &amp; Dopamine: "Black Cat Latte" – 3D Black Cat, Coffee Bear &amp; Teal Plaid Short Nails</x:v>
      </x:c>
      <x:c r="D4877" s="18" t="str">
        <x:v>Size: XS / S / M / L</x:v>
      </x:c>
      <x:c r="E4877" s="25" t="str">
        <x:v>$3.99</x:v>
      </x:c>
      <x:c r="F4877" s="19" t="str">
        <x:v>5</x:v>
      </x:c>
    </x:row>
    <x:row r="4878" ht="93" customHeight="1">
      <x:c r="A4878" s="19" t="n">
        <x:v>4875</x:v>
      </x:c>
      <x:c r="B4878" s="22" t="e">
        <x:f>HYPERLINK("https://cdn.shopify.com/s/files/1/0918/6066/4603/files/c342b2c240d84f2f417cadf4e2e1b823.jpg?v=1771293235","Open")</x:f>
        <x:v>HYPERLINK is not implemented. linkLocation=https://cdn.shopify.com/s/files/1/0918/6066/4603/files/c342b2c240d84f2f417cadf4e2e1b823.jpg?v=1771293235, friendlyName=Open</x:v>
      </x:c>
      <x:c r="C4878" s="24" t="e">
        <x:f>HYPERLINK("https://365nails.com/products/confetti-pop-cartoon-dopamine-collection","Cartoon &amp; Dopamine: ""Confetti Pop"" – Colorful Polka Dot Mix &amp; Match Short Square Nails")</x:f>
        <x:v>HYPERLINK is not implemented. linkLocation=https://365nails.com/products/confetti-pop-cartoon-dopamine-collection, friendlyName=Cartoon &amp; Dopamine: "Confetti Pop" – Colorful Polka Dot Mix &amp; Match Short Square Nails</x:v>
      </x:c>
      <x:c r="D4878" s="18" t="str">
        <x:v>Size: XS / S / M / L</x:v>
      </x:c>
      <x:c r="E4878" s="25" t="str">
        <x:v>$3.99</x:v>
      </x:c>
      <x:c r="F4878" s="19" t="str">
        <x:v>5</x:v>
      </x:c>
    </x:row>
    <x:row r="4879" ht="93" customHeight="1">
      <x:c r="A4879" s="19" t="n">
        <x:v>4876</x:v>
      </x:c>
      <x:c r="B4879" s="22" t="e">
        <x:f>HYPERLINK("https://cdn.shopify.com/s/files/1/0918/6066/4603/files/9d794919622c89428c7519f15c438ff0.jpg?v=1771294394","Open")</x:f>
        <x:v>HYPERLINK is not implemented. linkLocation=https://cdn.shopify.com/s/files/1/0918/6066/4603/files/9d794919622c89428c7519f15c438ff0.jpg?v=1771294394, friendlyName=Open</x:v>
      </x:c>
      <x:c r="C4879" s="24" t="e">
        <x:f>HYPERLINK("https://365nails.com/products/baby-bunny-cartoon-dopamine-collection","Cartoon &amp; Dopamine: ""Baby Bunny"" – 3D Rabbit, Cherry Cupcake, Black Bow &amp; Silver Glitter Short Nails")</x:f>
        <x:v>HYPERLINK is not implemented. linkLocation=https://365nails.com/products/baby-bunny-cartoon-dopamine-collection, friendlyName=Cartoon &amp; Dopamine: "Baby Bunny" – 3D Rabbit, Cherry Cupcake, Black Bow &amp; Silver Glitter Short Nails</x:v>
      </x:c>
      <x:c r="D4879" s="18" t="str">
        <x:v>Size: XS / S / M / L</x:v>
      </x:c>
      <x:c r="E4879" s="25" t="str">
        <x:v>$3.99</x:v>
      </x:c>
      <x:c r="F4879" s="19" t="str">
        <x:v>5</x:v>
      </x:c>
    </x:row>
    <x:row r="4880" ht="93" customHeight="1">
      <x:c r="A4880" s="19" t="n">
        <x:v>4877</x:v>
      </x:c>
      <x:c r="B4880" s="22" t="e">
        <x:f>HYPERLINK("https://cdn.shopify.com/s/files/1/0918/6066/4603/files/0e1f0c915ffe4a2d023b5453b23990e5.jpg?v=1771293903","Open")</x:f>
        <x:v>HYPERLINK is not implemented. linkLocation=https://cdn.shopify.com/s/files/1/0918/6066/4603/files/0e1f0c915ffe4a2d023b5453b23990e5.jpg?v=1771293903, friendlyName=Open</x:v>
      </x:c>
      <x:c r="C4880" s="24" t="e">
        <x:f>HYPERLINK("https://365nails.com/products/starry-night-cat-cartoon-dopamine-collection","Cartoon &amp; Dopamine: ""Starry Night Cat"" – Black Cat, Cherry &amp; Silver Star Y2K Short Nails")</x:f>
        <x:v>HYPERLINK is not implemented. linkLocation=https://365nails.com/products/starry-night-cat-cartoon-dopamine-collection, friendlyName=Cartoon &amp; Dopamine: "Starry Night Cat" – Black Cat, Cherry &amp; Silver Star Y2K Short Nails</x:v>
      </x:c>
      <x:c r="D4880" s="18" t="str">
        <x:v>Size: XS / S / M / L</x:v>
      </x:c>
      <x:c r="E4880" s="25" t="str">
        <x:v>$3.99</x:v>
      </x:c>
      <x:c r="F4880" s="19" t="str">
        <x:v>5</x:v>
      </x:c>
    </x:row>
    <x:row r="4881" ht="93" customHeight="1">
      <x:c r="A4881" s="19" t="n">
        <x:v>4878</x:v>
      </x:c>
      <x:c r="B4881" s="22" t="e">
        <x:f>HYPERLINK("https://cdn.shopify.com/s/files/1/0918/6066/4603/files/66a707cdc8918d2a859edb99e587062a.jpg?v=1771294503","Open")</x:f>
        <x:v>HYPERLINK is not implemented. linkLocation=https://cdn.shopify.com/s/files/1/0918/6066/4603/files/66a707cdc8918d2a859edb99e587062a.jpg?v=1771294503, friendlyName=Open</x:v>
      </x:c>
      <x:c r="C4881" s="24" t="e">
        <x:f>HYPERLINK("https://365nails.com/products/sweet-piano-blush-cartoon-dopamine-collection","Cartoon &amp; Dopamine: ""Sweet Piano Blush"" – Hand-Painted Pink Sheep, Black Bow &amp; Aura Blush Short Nails")</x:f>
        <x:v>HYPERLINK is not implemented. linkLocation=https://365nails.com/products/sweet-piano-blush-cartoon-dopamine-collection, friendlyName=Cartoon &amp; Dopamine: "Sweet Piano Blush" – Hand-Painted Pink Sheep, Black Bow &amp; Aura Blush Short Nails</x:v>
      </x:c>
      <x:c r="D4881" s="18" t="str">
        <x:v>Size: XS / S / M / L</x:v>
      </x:c>
      <x:c r="E4881" s="25" t="str">
        <x:v>$3.99</x:v>
      </x:c>
      <x:c r="F4881" s="19" t="str">
        <x:v>5</x:v>
      </x:c>
    </x:row>
    <x:row r="4882" ht="93" customHeight="1">
      <x:c r="A4882" s="19" t="n">
        <x:v>4879</x:v>
      </x:c>
      <x:c r="B4882" s="22" t="e">
        <x:f>HYPERLINK("https://cdn.shopify.com/s/files/1/0918/6066/4603/files/8387e45a8a5378cbd407e393f48b2e44.jpg?v=1771293701","Open")</x:f>
        <x:v>HYPERLINK is not implemented. linkLocation=https://cdn.shopify.com/s/files/1/0918/6066/4603/files/8387e45a8a5378cbd407e393f48b2e44.jpg?v=1771293701, friendlyName=Open</x:v>
      </x:c>
      <x:c r="C4882" s="24" t="e">
        <x:f>HYPERLINK("https://365nails.com/products/birthday-party-cats-cartoon-dopamine-collection","Cartoon &amp; Dopamine: ""Birthday Party Cats"" – 3D Party Hat Cats, Hand-Drawn Cherry &amp; Red Plaid Short Nails")</x:f>
        <x:v>HYPERLINK is not implemented. linkLocation=https://365nails.com/products/birthday-party-cats-cartoon-dopamine-collection, friendlyName=Cartoon &amp; Dopamine: "Birthday Party Cats" – 3D Party Hat Cats, Hand-Drawn Cherry &amp; Red Plaid Short Nails</x:v>
      </x:c>
      <x:c r="D4882" s="18" t="str">
        <x:v>Size: XS / S / M / L</x:v>
      </x:c>
      <x:c r="E4882" s="25" t="str">
        <x:v>$3.99</x:v>
      </x:c>
      <x:c r="F4882" s="19" t="str">
        <x:v>5</x:v>
      </x:c>
    </x:row>
    <x:row r="4883" ht="93" customHeight="1">
      <x:c r="A4883" s="19" t="n">
        <x:v>4880</x:v>
      </x:c>
      <x:c r="B4883" s="22" t="e">
        <x:f>HYPERLINK("https://cdn.shopify.com/s/files/1/0918/6066/4603/files/f40c70f744f597424205986abb8ad464.jpg?v=1771293353","Open")</x:f>
        <x:v>HYPERLINK is not implemented. linkLocation=https://cdn.shopify.com/s/files/1/0918/6066/4603/files/f40c70f744f597424205986abb8ad464.jpg?v=1771293353, friendlyName=Open</x:v>
      </x:c>
      <x:c r="C4883" s="24" t="e">
        <x:f>HYPERLINK("https://365nails.com/products/cocoa-cookie-party-cartoon-dopamine-collection","Cartoon &amp; Dopamine: ""Cocoa Cookie Party"" – 3D M&amp;M's, Chocolate Drip &amp; Cow Print Short Nails")</x:f>
        <x:v>HYPERLINK is not implemented. linkLocation=https://365nails.com/products/cocoa-cookie-party-cartoon-dopamine-collection, friendlyName=Cartoon &amp; Dopamine: "Cocoa Cookie Party" – 3D M&amp;M's, Chocolate Drip &amp; Cow Print Short Nails</x:v>
      </x:c>
      <x:c r="D4883" s="18" t="str">
        <x:v>Size: XS / S / M / L</x:v>
      </x:c>
      <x:c r="E4883" s="25" t="str">
        <x:v>$3.99</x:v>
      </x:c>
      <x:c r="F4883" s="19" t="str">
        <x:v>5</x:v>
      </x:c>
    </x:row>
    <x:row r="4884" ht="93" customHeight="1">
      <x:c r="A4884" s="19" t="n">
        <x:v>4881</x:v>
      </x:c>
      <x:c r="B4884" s="22" t="e">
        <x:f>HYPERLINK("https://cdn.shopify.com/s/files/1/0918/6066/4603/files/282d7fa5dac4a04f2623b714dd44eb07.jpg?v=1771295717","Open")</x:f>
        <x:v>HYPERLINK is not implemented. linkLocation=https://cdn.shopify.com/s/files/1/0918/6066/4603/files/282d7fa5dac4a04f2623b714dd44eb07.jpg?v=1771295717, friendlyName=Open</x:v>
      </x:c>
      <x:c r="C4884" s="24" t="e">
        <x:f>HYPERLINK("https://365nails.com/products/twinkle-apple-cartoon-dopamine-collection","Cartoon &amp; Dopamine: ""Twinkle Apple"" – Star Boy, Red Apple, Graffiti Text &amp; Primary Colors Short Nails")</x:f>
        <x:v>HYPERLINK is not implemented. linkLocation=https://365nails.com/products/twinkle-apple-cartoon-dopamine-collection, friendlyName=Cartoon &amp; Dopamine: "Twinkle Apple" – Star Boy, Red Apple, Graffiti Text &amp; Primary Colors Short Nails</x:v>
      </x:c>
      <x:c r="D4884" s="18" t="str">
        <x:v>Size: XS / S / M / L</x:v>
      </x:c>
      <x:c r="E4884" s="25" t="str">
        <x:v>$3.99</x:v>
      </x:c>
      <x:c r="F4884" s="19" t="str">
        <x:v>5</x:v>
      </x:c>
    </x:row>
    <x:row r="4885" ht="93" customHeight="1">
      <x:c r="A4885" s="19" t="n">
        <x:v>4882</x:v>
      </x:c>
      <x:c r="B4885" s="22" t="e">
        <x:f>HYPERLINK("https://cdn.shopify.com/s/files/1/0918/6066/4603/files/211af268e6d21d7621449de7bfe8b49a.jpg?v=1771294288","Open")</x:f>
        <x:v>HYPERLINK is not implemented. linkLocation=https://cdn.shopify.com/s/files/1/0918/6066/4603/files/211af268e6d21d7621449de7bfe8b49a.jpg?v=1771294288, friendlyName=Open</x:v>
      </x:c>
      <x:c r="C4885" s="24" t="e">
        <x:f>HYPERLINK("https://365nails.com/products/slinky-dog-fun-cartoon-dopamine-collection","Cartoon &amp; Dopamine: ""Slinky Dog Fun"" – 3-Part Dachshund, Bone Bowl &amp; Headphones Graffiti Short Nails")</x:f>
        <x:v>HYPERLINK is not implemented. linkLocation=https://365nails.com/products/slinky-dog-fun-cartoon-dopamine-collection, friendlyName=Cartoon &amp; Dopamine: "Slinky Dog Fun" – 3-Part Dachshund, Bone Bowl &amp; Headphones Graffiti Short Nails</x:v>
      </x:c>
      <x:c r="D4885" s="18" t="str">
        <x:v>Size: XS / S / M / L</x:v>
      </x:c>
      <x:c r="E4885" s="25" t="str">
        <x:v>$3.99</x:v>
      </x:c>
      <x:c r="F4885" s="19" t="str">
        <x:v>5</x:v>
      </x:c>
    </x:row>
    <x:row r="4886" ht="93" customHeight="1">
      <x:c r="A4886" s="19" t="n">
        <x:v>4883</x:v>
      </x:c>
      <x:c r="B4886" s="22" t="e">
        <x:f>HYPERLINK("https://cdn.shopify.com/s/files/1/0918/6066/4603/files/e239ae04c39488743f7b1b96ce5b2592.jpg?v=1771294050","Open")</x:f>
        <x:v>HYPERLINK is not implemented. linkLocation=https://cdn.shopify.com/s/files/1/0918/6066/4603/files/e239ae04c39488743f7b1b96ce5b2592.jpg?v=1771294050, friendlyName=Open</x:v>
      </x:c>
      <x:c r="C4886" s="24" t="e">
        <x:f>HYPERLINK("https://365nails.com/products/lilac-cream-cherry-cartoon-dopamine-collection","Cartoon &amp; Dopamine: ""Lilac Cream Cherry"" – Hand-Painted Purple Cherry &amp; Taro Milk Short Nails")</x:f>
        <x:v>HYPERLINK is not implemented. linkLocation=https://365nails.com/products/lilac-cream-cherry-cartoon-dopamine-collection, friendlyName=Cartoon &amp; Dopamine: "Lilac Cream Cherry" – Hand-Painted Purple Cherry &amp; Taro Milk Short Nails</x:v>
      </x:c>
      <x:c r="D4886" s="18" t="str">
        <x:v>Size: XS / S / M / L</x:v>
      </x:c>
      <x:c r="E4886" s="25" t="str">
        <x:v>$3.99</x:v>
      </x:c>
      <x:c r="F4886" s="19" t="str">
        <x:v>5</x:v>
      </x:c>
    </x:row>
    <x:row r="4887" ht="93" customHeight="1">
      <x:c r="A4887" s="19" t="n">
        <x:v>4884</x:v>
      </x:c>
      <x:c r="B4887" s="22" t="e">
        <x:f>HYPERLINK("https://cdn.shopify.com/s/files/1/0918/6066/4603/files/7d8dc1070dc326882797e58f70fb0b1a.jpg?v=1771292979","Open")</x:f>
        <x:v>HYPERLINK is not implemented. linkLocation=https://cdn.shopify.com/s/files/1/0918/6066/4603/files/7d8dc1070dc326882797e58f70fb0b1a.jpg?v=1771292979, friendlyName=Open</x:v>
      </x:c>
      <x:c r="C4887" s="24" t="e">
        <x:f>HYPERLINK("https://365nails.com/products/sweetheart-cherry-cartoon-dopamine-collection","Cartoon &amp; Dopamine: ""Sweetheart Cherry"" – 3D Juicy Cherry, Bows &amp; Hand-Drawn Graffiti Short Nails")</x:f>
        <x:v>HYPERLINK is not implemented. linkLocation=https://365nails.com/products/sweetheart-cherry-cartoon-dopamine-collection, friendlyName=Cartoon &amp; Dopamine: "Sweetheart Cherry" – 3D Juicy Cherry, Bows &amp; Hand-Drawn Graffiti Short Nails</x:v>
      </x:c>
      <x:c r="D4887" s="18" t="str">
        <x:v>Size: XS / S / M / L</x:v>
      </x:c>
      <x:c r="E4887" s="25" t="str">
        <x:v>$3.99</x:v>
      </x:c>
      <x:c r="F4887" s="19" t="str">
        <x:v>5</x:v>
      </x:c>
    </x:row>
    <x:row r="4888" ht="93" customHeight="1">
      <x:c r="A4888" s="19" t="n">
        <x:v>4885</x:v>
      </x:c>
      <x:c r="B4888" s="22" t="e">
        <x:f>HYPERLINK("https://cdn.shopify.com/s/files/1/0918/6066/4603/files/b7c587de10e45910e56417b083da990f.jpg?v=1771296053","Open")</x:f>
        <x:v>HYPERLINK is not implemented. linkLocation=https://cdn.shopify.com/s/files/1/0918/6066/4603/files/b7c587de10e45910e56417b083da990f.jpg?v=1771296053, friendlyName=Open</x:v>
      </x:c>
      <x:c r="C4888" s="24" t="e">
        <x:f>HYPERLINK("https://365nails.com/products/noot-noot-cartoon-dopamine-collection","Cartoon &amp; Dopamine: ""Noot Noot!"" – Pingu &amp; Friends, Retro Checkerboard, Stripes &amp; Graffiti Short Nails")</x:f>
        <x:v>HYPERLINK is not implemented. linkLocation=https://365nails.com/products/noot-noot-cartoon-dopamine-collection, friendlyName=Cartoon &amp; Dopamine: "Noot Noot!" – Pingu &amp; Friends, Retro Checkerboard, Stripes &amp; Graffiti Short Nails</x:v>
      </x:c>
      <x:c r="D4888" s="18" t="str">
        <x:v>Size: XS / S / M / L</x:v>
      </x:c>
      <x:c r="E4888" s="25" t="str">
        <x:v>$3.99</x:v>
      </x:c>
      <x:c r="F4888" s="19" t="str">
        <x:v>5</x:v>
      </x:c>
    </x:row>
    <x:row r="4889" ht="93" customHeight="1">
      <x:c r="A4889" s="19" t="n">
        <x:v>4886</x:v>
      </x:c>
      <x:c r="B4889" s="22" t="e">
        <x:f>HYPERLINK("https://cdn.shopify.com/s/files/1/0918/6066/4603/files/63439b62359699483dcc2d03927c596e.jpg?v=1771295832","Open")</x:f>
        <x:v>HYPERLINK is not implemented. linkLocation=https://cdn.shopify.com/s/files/1/0918/6066/4603/files/63439b62359699483dcc2d03927c596e.jpg?v=1771295832, friendlyName=Open</x:v>
      </x:c>
      <x:c r="C4889" s="24" t="e">
        <x:f>HYPERLINK("https://365nails.com/products/cozy-winter-friends-cartoon-dopamine-collection","Cartoon &amp; Dopamine: ""Cozy Winter Friends"" – 3D Hello Kitty Apple, Snowman, Red Mittens &amp; Buttons Short Nails")</x:f>
        <x:v>HYPERLINK is not implemented. linkLocation=https://365nails.com/products/cozy-winter-friends-cartoon-dopamine-collection, friendlyName=Cartoon &amp; Dopamine: "Cozy Winter Friends" – 3D Hello Kitty Apple, Snowman, Red Mittens &amp; Buttons Short Nails</x:v>
      </x:c>
      <x:c r="D4889" s="18" t="str">
        <x:v>Size: XS / S / M / L</x:v>
      </x:c>
      <x:c r="E4889" s="25" t="str">
        <x:v>$3.99</x:v>
      </x:c>
      <x:c r="F4889" s="19" t="str">
        <x:v>5</x:v>
      </x:c>
    </x:row>
    <x:row r="4890" ht="93" customHeight="1">
      <x:c r="A4890" s="19" t="n">
        <x:v>4887</x:v>
      </x:c>
      <x:c r="B4890" s="22" t="e">
        <x:f>HYPERLINK("https://cdn.shopify.com/s/files/1/0918/6066/4603/files/6f6dfb8f495c1bd1839f2ad3d15520c5.jpg?v=1771295931","Open")</x:f>
        <x:v>HYPERLINK is not implemented. linkLocation=https://cdn.shopify.com/s/files/1/0918/6066/4603/files/6f6dfb8f495c1bd1839f2ad3d15520c5.jpg?v=1771295931, friendlyName=Open</x:v>
      </x:c>
      <x:c r="C4890" s="24" t="e">
        <x:f>HYPERLINK("https://365nails.com/products/happy-little-blobs-cartoon-dopamine-collection","Cartoon &amp; Dopamine: ""Happy Little Blobs"" – 3D Colorful Monster Eyes, Star Doodles &amp; Shimmer Base Short Nails")</x:f>
        <x:v>HYPERLINK is not implemented. linkLocation=https://365nails.com/products/happy-little-blobs-cartoon-dopamine-collection, friendlyName=Cartoon &amp; Dopamine: "Happy Little Blobs" – 3D Colorful Monster Eyes, Star Doodles &amp; Shimmer Base Short Nails</x:v>
      </x:c>
      <x:c r="D4890" s="18" t="str">
        <x:v>Size: XS / S / M / L</x:v>
      </x:c>
      <x:c r="E4890" s="25" t="str">
        <x:v>$3.99</x:v>
      </x:c>
      <x:c r="F4890" s="19" t="str">
        <x:v>5</x:v>
      </x:c>
    </x:row>
    <x:row r="4891" ht="93" customHeight="1">
      <x:c r="A4891" s="19" t="n">
        <x:v>4888</x:v>
      </x:c>
      <x:c r="B4891" s="22" t="e">
        <x:f>HYPERLINK("https://cdn.shopify.com/s/files/1/0918/6066/4603/files/e1c215de0488f4f11b560a644b775bab.jpg?v=1771403275","Open")</x:f>
        <x:v>HYPERLINK is not implemented. linkLocation=https://cdn.shopify.com/s/files/1/0918/6066/4603/files/e1c215de0488f4f11b560a644b775bab.jpg?v=1771403275, friendlyName=Open</x:v>
      </x:c>
      <x:c r="C4891" s="24" t="e">
        <x:f>HYPERLINK("https://365nails.com/products/crimson-amber-ethereal-ink-series","Ethereal Ink: ""Crimson Amber"" – Berry Red Cat Eye &amp; Milky Amber Marble with Gold Foil &amp; Liquid Metal Almond Nails")</x:f>
        <x:v>HYPERLINK is not implemented. linkLocation=https://365nails.com/products/crimson-amber-ethereal-ink-series, friendlyName=Ethereal Ink: "Crimson Amber" – Berry Red Cat Eye &amp; Milky Amber Marble with Gold Foil &amp; Liquid Metal Almond Nails</x:v>
      </x:c>
      <x:c r="D4891" s="18" t="str">
        <x:v>Size: XS / S / M / L</x:v>
      </x:c>
      <x:c r="E4891" s="25" t="str">
        <x:v>$3.99</x:v>
      </x:c>
      <x:c r="F4891" s="19" t="str">
        <x:v>30</x:v>
      </x:c>
    </x:row>
    <x:row r="4892" ht="93" customHeight="1">
      <x:c r="A4892" s="19" t="n">
        <x:v>4889</x:v>
      </x:c>
      <x:c r="B4892" s="22" t="e">
        <x:f>HYPERLINK("https://cdn.shopify.com/s/files/1/0918/6066/4603/files/fe58874e9649126b13cd6fc1fa0639c4.jpg?v=1771300217","Open")</x:f>
        <x:v>HYPERLINK is not implemented. linkLocation=https://cdn.shopify.com/s/files/1/0918/6066/4603/files/fe58874e9649126b13cd6fc1fa0639c4.jpg?v=1771300217, friendlyName=Open</x:v>
      </x:c>
      <x:c r="C4892" s="24" t="e">
        <x:f>HYPERLINK("https://365nails.com/products/retro-pop-dots-cartoon-dopamine-collection","Cartoon &amp; Dopamine: ""Retro Pop Dots"" – Wine Red, Yellow &amp; Black Contrast Polka Dot Art Short Nails")</x:f>
        <x:v>HYPERLINK is not implemented. linkLocation=https://365nails.com/products/retro-pop-dots-cartoon-dopamine-collection, friendlyName=Cartoon &amp; Dopamine: "Retro Pop Dots" – Wine Red, Yellow &amp; Black Contrast Polka Dot Art Short Nails</x:v>
      </x:c>
      <x:c r="D4892" s="18" t="str">
        <x:v>Size: XS / S / M / L</x:v>
      </x:c>
      <x:c r="E4892" s="25" t="str">
        <x:v>$3.99</x:v>
      </x:c>
      <x:c r="F4892" s="19" t="str">
        <x:v>5</x:v>
      </x:c>
    </x:row>
    <x:row r="4893" ht="93" customHeight="1">
      <x:c r="A4893" s="19" t="n">
        <x:v>4890</x:v>
      </x:c>
      <x:c r="B4893" s="22" t="e">
        <x:f>HYPERLINK("https://cdn.shopify.com/s/files/1/0918/6066/4603/files/7fd9a88b0620ca24fe9fd840f4682cae.jpg?v=1771295552","Open")</x:f>
        <x:v>HYPERLINK is not implemented. linkLocation=https://cdn.shopify.com/s/files/1/0918/6066/4603/files/7fd9a88b0620ca24fe9fd840f4682cae.jpg?v=1771295552, friendlyName=Open</x:v>
      </x:c>
      <x:c r="C4893" s="24" t="e">
        <x:f>HYPERLINK("https://365nails.com/products/strawberry-picnic-cartoon-dopamine-collection","Cartoon &amp; Dopamine: ""Strawberry Picnic"" – Black Cat, Strawberry Milk, 3D Flower &amp; Butterfly Short Nails")</x:f>
        <x:v>HYPERLINK is not implemented. linkLocation=https://365nails.com/products/strawberry-picnic-cartoon-dopamine-collection, friendlyName=Cartoon &amp; Dopamine: "Strawberry Picnic" – Black Cat, Strawberry Milk, 3D Flower &amp; Butterfly Short Nails</x:v>
      </x:c>
      <x:c r="D4893" s="18" t="str">
        <x:v>Size: XS / S / M / L</x:v>
      </x:c>
      <x:c r="E4893" s="25" t="str">
        <x:v>$3.99</x:v>
      </x:c>
      <x:c r="F4893" s="19" t="str">
        <x:v>5</x:v>
      </x:c>
    </x:row>
    <x:row r="4894" ht="93" customHeight="1">
      <x:c r="A4894" s="19" t="n">
        <x:v>4891</x:v>
      </x:c>
      <x:c r="B4894" s="22" t="e">
        <x:f>HYPERLINK("https://cdn.shopify.com/s/files/1/0918/6066/4603/files/e65d59580fe24dfe9b70980379b8667f.jpg?v=1771282557","Open")</x:f>
        <x:v>HYPERLINK is not implemented. linkLocation=https://cdn.shopify.com/s/files/1/0918/6066/4603/files/e65d59580fe24dfe9b70980379b8667f.jpg?v=1771282557, friendlyName=Open</x:v>
      </x:c>
      <x:c r="C4894" s="24" t="e">
        <x:f>HYPERLINK("https://365nails.com/products/pharaohs-treasure-artist-series-exclusive","Artist Series: ""Pharaoh's Treasure"" – Antique Gold &amp; Turquoise Gemstone Heavy Texture Handmade Nails")</x:f>
        <x:v>HYPERLINK is not implemented. linkLocation=https://365nails.com/products/pharaohs-treasure-artist-series-exclusive, friendlyName=Artist Series: "Pharaoh's Treasure" – Antique Gold &amp; Turquoise Gemstone Heavy Texture Handmade Nails</x:v>
      </x:c>
      <x:c r="D4894" s="18" t="str">
        <x:v>Size: XS / S / M / L</x:v>
      </x:c>
      <x:c r="E4894" s="25" t="str">
        <x:v>$49.00</x:v>
      </x:c>
      <x:c r="F4894" s="19" t="str">
        <x:v>1</x:v>
      </x:c>
    </x:row>
    <x:row r="4895" ht="93" customHeight="1">
      <x:c r="A4895" s="19" t="n">
        <x:v>4892</x:v>
      </x:c>
      <x:c r="B4895" s="22" t="e">
        <x:f>HYPERLINK("https://cdn.shopify.com/s/files/1/0918/6066/4603/files/3acc3364f3f5e5a6d819ff28b188a31f.jpg?v=1771404268","Open")</x:f>
        <x:v>HYPERLINK is not implemented. linkLocation=https://cdn.shopify.com/s/files/1/0918/6066/4603/files/3acc3364f3f5e5a6d819ff28b188a31f.jpg?v=1771404268, friendlyName=Open</x:v>
      </x:c>
      <x:c r="C4895" s="24" t="e">
        <x:f>HYPERLINK("https://365nails.com/products/azure-frost-ethereal-ink-series","Ethereal Ink: ""Azure Frost"" – Baby Blue Gradient &amp; Cloud Marble with Silver Lines &amp; Glitter Almond Nails")</x:f>
        <x:v>HYPERLINK is not implemented. linkLocation=https://365nails.com/products/azure-frost-ethereal-ink-series, friendlyName=Ethereal Ink: "Azure Frost" – Baby Blue Gradient &amp; Cloud Marble with Silver Lines &amp; Glitter Almond Nails</x:v>
      </x:c>
      <x:c r="D4895" s="18" t="str">
        <x:v>Size: XS / S / M / L</x:v>
      </x:c>
      <x:c r="E4895" s="25" t="str">
        <x:v>$3.99</x:v>
      </x:c>
      <x:c r="F4895" s="19" t="str">
        <x:v>30</x:v>
      </x:c>
    </x:row>
    <x:row r="4896" ht="93" customHeight="1">
      <x:c r="A4896" s="19" t="n">
        <x:v>4893</x:v>
      </x:c>
      <x:c r="B4896" s="22" t="e">
        <x:f>HYPERLINK("https://cdn.shopify.com/s/files/1/0918/6066/4603/files/74efb0989403b650d1ec41a539cd87f6.jpg?v=1770276417","Open")</x:f>
        <x:v>HYPERLINK is not implemented. linkLocation=https://cdn.shopify.com/s/files/1/0918/6066/4603/files/74efb0989403b650d1ec41a539cd87f6.jpg?v=1770276417, friendlyName=Open</x:v>
      </x:c>
      <x:c r="C4896" s="24" t="e">
        <x:f>HYPERLINK("https://365nails.com/products/handmade-3d-crystal-flower-pink-blush-press-on-nails","Handmade 3D Crystal Flower &amp; Pink Blush Press-on Nails")</x:f>
        <x:v>HYPERLINK is not implemented. linkLocation=https://365nails.com/products/handmade-3d-crystal-flower-pink-blush-press-on-nails, friendlyName=Handmade 3D Crystal Flower &amp; Pink Blush Press-on Nails</x:v>
      </x:c>
      <x:c r="D4896" s="18" t="str">
        <x:v>Size: XS / S / M / L</x:v>
      </x:c>
      <x:c r="E4896" s="25" t="str">
        <x:v>$3.99</x:v>
      </x:c>
      <x:c r="F4896" s="19" t="str">
        <x:v>5</x:v>
      </x:c>
    </x:row>
    <x:row r="4897" ht="93" customHeight="1">
      <x:c r="A4897" s="19" t="n">
        <x:v>4894</x:v>
      </x:c>
      <x:c r="B4897" s="22" t="e">
        <x:f>HYPERLINK("https://cdn.shopify.com/s/files/1/0918/6066/4603/files/5c0d380320422aa0b9def122888ef1f1.jpg?v=1770276398","Open")</x:f>
        <x:v>HYPERLINK is not implemented. linkLocation=https://cdn.shopify.com/s/files/1/0918/6066/4603/files/5c0d380320422aa0b9def122888ef1f1.jpg?v=1770276398, friendlyName=Open</x:v>
      </x:c>
      <x:c r="C4897" s="24" t="e">
        <x:f>HYPERLINK("https://365nails.com/products/handmade-botanical-garden-3d-floral-press-on-nails-dark-green-pink-stiletto-dewdrops-vines-10pcs-set","Handmade Botanical Garden 3D Floral Press-on Nails | Dark Green &amp; Pink Stiletto | Dewdrops &amp; Vines")</x:f>
        <x:v>HYPERLINK is not implemented. linkLocation=https://365nails.com/products/handmade-botanical-garden-3d-floral-press-on-nails-dark-green-pink-stiletto-dewdrops-vines-10pcs-set, friendlyName=Handmade Botanical Garden 3D Floral Press-on Nails | Dark Green &amp; Pink Stiletto | Dewdrops &amp; Vines</x:v>
      </x:c>
      <x:c r="D4897" s="18" t="str">
        <x:v>Size: XS / S / M / L</x:v>
      </x:c>
      <x:c r="E4897" s="25" t="str">
        <x:v>$4.99</x:v>
      </x:c>
      <x:c r="F4897" s="19" t="str">
        <x:v>5</x:v>
      </x:c>
    </x:row>
    <x:row r="4898" ht="93" customHeight="1">
      <x:c r="A4898" s="19" t="n">
        <x:v>4895</x:v>
      </x:c>
      <x:c r="B4898" s="22" t="e">
        <x:f>HYPERLINK("https://cdn.shopify.com/s/files/1/0918/6066/4603/files/b96491afbe0d52593c130fe2977eb907.jpg?v=1771403179","Open")</x:f>
        <x:v>HYPERLINK is not implemented. linkLocation=https://cdn.shopify.com/s/files/1/0918/6066/4603/files/b96491afbe0d52593c130fe2977eb907.jpg?v=1771403179, friendlyName=Open</x:v>
      </x:c>
      <x:c r="C4898" s="24" t="e">
        <x:f>HYPERLINK("https://365nails.com/products/teal-mist-ethereal-ink-series","Ethereal Ink: ""Teal Mist"" – Deep Cyan &amp; White Cloud Marble with Blue Cat Eye &amp; Gold Tip Oval Nails")</x:f>
        <x:v>HYPERLINK is not implemented. linkLocation=https://365nails.com/products/teal-mist-ethereal-ink-series, friendlyName=Ethereal Ink: "Teal Mist" – Deep Cyan &amp; White Cloud Marble with Blue Cat Eye &amp; Gold Tip Oval Nails</x:v>
      </x:c>
      <x:c r="D4898" s="18" t="str">
        <x:v>Size: XS / S / M / L</x:v>
      </x:c>
      <x:c r="E4898" s="25" t="str">
        <x:v>$3.99</x:v>
      </x:c>
      <x:c r="F4898" s="19" t="str">
        <x:v>30</x:v>
      </x:c>
    </x:row>
    <x:row r="4899" ht="93" customHeight="1">
      <x:c r="A4899" s="19" t="n">
        <x:v>4896</x:v>
      </x:c>
      <x:c r="B4899" s="22" t="e">
        <x:f>HYPERLINK("https://cdn.shopify.com/s/files/1/0918/6066/4603/files/6de78bab1dc505f6cfc810a9b8e8a615.jpg?v=1771403091","Open")</x:f>
        <x:v>HYPERLINK is not implemented. linkLocation=https://cdn.shopify.com/s/files/1/0918/6066/4603/files/6de78bab1dc505f6cfc810a9b8e8a615.jpg?v=1771403091, friendlyName=Open</x:v>
      </x:c>
      <x:c r="C4899" s="24" t="e">
        <x:f>HYPERLINK("https://365nails.com/products/spring-garden-ethereal-ink-series","Ethereal Ink: ""Spring Garden"" – Rose Pink &amp; Sage Green Marble with Pink Cat Eye &amp; Gold Foil Oval Nails")</x:f>
        <x:v>HYPERLINK is not implemented. linkLocation=https://365nails.com/products/spring-garden-ethereal-ink-series, friendlyName=Ethereal Ink: "Spring Garden" – Rose Pink &amp; Sage Green Marble with Pink Cat Eye &amp; Gold Foil Oval Nails</x:v>
      </x:c>
      <x:c r="D4899" s="18" t="str">
        <x:v>Size: XS / S / M / L</x:v>
      </x:c>
      <x:c r="E4899" s="25" t="str">
        <x:v>$3.99</x:v>
      </x:c>
      <x:c r="F4899" s="19" t="str">
        <x:v>30</x:v>
      </x:c>
    </x:row>
    <x:row r="4900" ht="93" customHeight="1">
      <x:c r="A4900" s="19" t="n">
        <x:v>4897</x:v>
      </x:c>
      <x:c r="B4900" s="22" t="e">
        <x:f>HYPERLINK("https://cdn.shopify.com/s/files/1/0918/6066/4603/files/44b69ffc5165b8c1e2d4d0c34b8ac5a9_9d59e04f-33dd-483c-a2c7-55125aacf37a.jpg?v=1771286215","Open")</x:f>
        <x:v>HYPERLINK is not implemented. linkLocation=https://cdn.shopify.com/s/files/1/0918/6066/4603/files/44b69ffc5165b8c1e2d4d0c34b8ac5a9_9d59e04f-33dd-483c-a2c7-55125aacf37a.jpg?v=1771286215, friendlyName=Open</x:v>
      </x:c>
      <x:c r="C4900" s="24" t="e">
        <x:f>HYPERLINK("https://365nails.com/products/baroque-tea-party-artist-series-exclusive","Artist Series: ""Baroque Tea Party"" – 3D Sculpted Lady Portrait, Metallic Rabbit &amp; Vintage Pearl Chains Luxury Handmade Nails")</x:f>
        <x:v>HYPERLINK is not implemented. linkLocation=https://365nails.com/products/baroque-tea-party-artist-series-exclusive, friendlyName=Artist Series: "Baroque Tea Party" – 3D Sculpted Lady Portrait, Metallic Rabbit &amp; Vintage Pearl Chains Luxury Handmade Nails</x:v>
      </x:c>
      <x:c r="D4900" s="18" t="str">
        <x:v>Size: XS / S / M / L</x:v>
      </x:c>
      <x:c r="E4900" s="25" t="str">
        <x:v>$99.00</x:v>
      </x:c>
      <x:c r="F4900" s="19" t="str">
        <x:v>1</x:v>
      </x:c>
    </x:row>
    <x:row r="4901" ht="93" customHeight="1">
      <x:c r="A4901" s="19" t="n">
        <x:v>4898</x:v>
      </x:c>
      <x:c r="B4901" s="22" t="e">
        <x:f>HYPERLINK("https://cdn.shopify.com/s/files/1/0918/6066/4603/files/46bcb500929b9f3470b28c629a1c534d.jpg?v=1770276405","Open")</x:f>
        <x:v>HYPERLINK is not implemented. linkLocation=https://cdn.shopify.com/s/files/1/0918/6066/4603/files/46bcb500929b9f3470b28c629a1c534d.jpg?v=1770276405, friendlyName=Open</x:v>
      </x:c>
      <x:c r="C4901" s="24" t="e">
        <x:f>HYPERLINK("https://365nails.com/products/handmade-wild-chic-3d-floral-press-on-nails-leopard-french-ink-smudge","Handmade Wild Chic 3D Floral Press-on Nails | Leopard French &amp; Ink Smudge")</x:f>
        <x:v>HYPERLINK is not implemented. linkLocation=https://365nails.com/products/handmade-wild-chic-3d-floral-press-on-nails-leopard-french-ink-smudge, friendlyName=Handmade Wild Chic 3D Floral Press-on Nails | Leopard French &amp; Ink Smudge</x:v>
      </x:c>
      <x:c r="D4901" s="18" t="str">
        <x:v>Size: XS / S / M / L</x:v>
      </x:c>
      <x:c r="E4901" s="25" t="str">
        <x:v>$3.49</x:v>
      </x:c>
      <x:c r="F4901" s="19" t="str">
        <x:v>5</x:v>
      </x:c>
    </x:row>
    <x:row r="4902" ht="93" customHeight="1">
      <x:c r="A4902" s="19" t="n">
        <x:v>4899</x:v>
      </x:c>
      <x:c r="B4902" s="22" t="e">
        <x:f>HYPERLINK("https://cdn.shopify.com/s/files/1/0918/6066/4603/files/002319770ff221b328bf2bbcf5aefdb0.jpg?v=1770276413","Open")</x:f>
        <x:v>HYPERLINK is not implemented. linkLocation=https://cdn.shopify.com/s/files/1/0918/6066/4603/files/002319770ff221b328bf2bbcf5aefdb0.jpg?v=1770276413, friendlyName=Open</x:v>
      </x:c>
      <x:c r="C4902" s="24" t="e">
        <x:f>HYPERLINK("https://365nails.com/products/handmade-tropical-y2k-3d-flower-press-on-nails-mixed-color-stiletto-retro-floral-dewdrops","Handmade Tropical Y2K 3D Flower Press-on Nails | Mixed Color Stiletto | Retro Floral &amp; Dewdrops")</x:f>
        <x:v>HYPERLINK is not implemented. linkLocation=https://365nails.com/products/handmade-tropical-y2k-3d-flower-press-on-nails-mixed-color-stiletto-retro-floral-dewdrops, friendlyName=Handmade Tropical Y2K 3D Flower Press-on Nails | Mixed Color Stiletto | Retro Floral &amp; Dewdrops</x:v>
      </x:c>
      <x:c r="D4902" s="18" t="str">
        <x:v>Size: XS / S / M / L</x:v>
      </x:c>
      <x:c r="E4902" s="25" t="str">
        <x:v>$4.99</x:v>
      </x:c>
      <x:c r="F4902" s="19" t="str">
        <x:v>5</x:v>
      </x:c>
    </x:row>
    <x:row r="4903" ht="93" customHeight="1">
      <x:c r="A4903" s="19" t="n">
        <x:v>4900</x:v>
      </x:c>
      <x:c r="B4903" s="22" t="e">
        <x:f>HYPERLINK("https://cdn.shopify.com/s/files/1/0918/6066/4603/files/a108c255ce962b1bb565b003e3aa70df.jpg?v=1770276402","Open")</x:f>
        <x:v>HYPERLINK is not implemented. linkLocation=https://cdn.shopify.com/s/files/1/0918/6066/4603/files/a108c255ce962b1bb565b003e3aa70df.jpg?v=1770276402, friendlyName=Open</x:v>
      </x:c>
      <x:c r="C4903" s="24" t="e">
        <x:f>HYPERLINK("https://365nails.com/products/handmade-pastel-yellow-3d-floral-butterfly-press-on-nails-milky-swirls-pearls-long-stiletto-10pcs-set","Handmade Pastel Yellow 3D Floral &amp; Butterfly Press-on Nails | Milky Swirls &amp; Pearls | Long Stiletto")</x:f>
        <x:v>HYPERLINK is not implemented. linkLocation=https://365nails.com/products/handmade-pastel-yellow-3d-floral-butterfly-press-on-nails-milky-swirls-pearls-long-stiletto-10pcs-set, friendlyName=Handmade Pastel Yellow 3D Floral &amp; Butterfly Press-on Nails | Milky Swirls &amp; Pearls | Long Stiletto</x:v>
      </x:c>
      <x:c r="D4903" s="18" t="str">
        <x:v>Size: XS / S / M / L</x:v>
      </x:c>
      <x:c r="E4903" s="25" t="str">
        <x:v>$3.99</x:v>
      </x:c>
      <x:c r="F4903" s="19" t="str">
        <x:v>5</x:v>
      </x:c>
    </x:row>
    <x:row r="4904" ht="93" customHeight="1">
      <x:c r="A4904" s="19" t="n">
        <x:v>4901</x:v>
      </x:c>
      <x:c r="B4904" s="22" t="e">
        <x:f>HYPERLINK("https://cdn.shopify.com/s/files/1/0918/6066/4603/files/74d31897f735b717a29cc9f82cd24171.jpg?v=1770276409","Open")</x:f>
        <x:v>HYPERLINK is not implemented. linkLocation=https://cdn.shopify.com/s/files/1/0918/6066/4603/files/74d31897f735b717a29cc9f82cd24171.jpg?v=1770276409, friendlyName=Open</x:v>
      </x:c>
      <x:c r="C4904" s="24" t="e">
        <x:f>HYPERLINK("https://365nails.com/products/handmade-avant-garde-3d-floral-press-on-nails-black-mint-green-stiletto-abstract-lines-water-droplets","Handmade Avant-Garde 3D Floral Press-on Nails | Black &amp; Mint Green Stiletto | Abstract Lines &amp; Water Droplets")</x:f>
        <x:v>HYPERLINK is not implemented. linkLocation=https://365nails.com/products/handmade-avant-garde-3d-floral-press-on-nails-black-mint-green-stiletto-abstract-lines-water-droplets, friendlyName=Handmade Avant-Garde 3D Floral Press-on Nails | Black &amp; Mint Green Stiletto | Abstract Lines &amp; Water Droplets</x:v>
      </x:c>
      <x:c r="D4904" s="18" t="str">
        <x:v>Size: XS / S / M / L</x:v>
      </x:c>
      <x:c r="E4904" s="25" t="str">
        <x:v>$4.49</x:v>
      </x:c>
      <x:c r="F4904" s="19" t="str">
        <x:v>5</x:v>
      </x:c>
    </x:row>
    <x:row r="4905" ht="93" customHeight="1">
      <x:c r="A4905" s="19" t="n">
        <x:v>4902</x:v>
      </x:c>
      <x:c r="B4905" s="22" t="e">
        <x:f>HYPERLINK("https://cdn.shopify.com/s/files/1/0918/6066/4603/files/08939038f910042c82bd4bf917829ae2.jpg?v=1771404196","Open")</x:f>
        <x:v>HYPERLINK is not implemented. linkLocation=https://cdn.shopify.com/s/files/1/0918/6066/4603/files/08939038f910042c82bd4bf917829ae2.jpg?v=1771404196, friendlyName=Open</x:v>
      </x:c>
      <x:c r="C4905" s="24" t="e">
        <x:f>HYPERLINK("https://365nails.com/products/violet-haze-ethereal-ink-series","Ethereal Ink: ""Violet Haze"" – Lilac Cat Eye &amp; Rust-Red Marble with Gold Foil &amp; Silver Chain Oval Nails")</x:f>
        <x:v>HYPERLINK is not implemented. linkLocation=https://365nails.com/products/violet-haze-ethereal-ink-series, friendlyName=Ethereal Ink: "Violet Haze" – Lilac Cat Eye &amp; Rust-Red Marble with Gold Foil &amp; Silver Chain Oval Nails</x:v>
      </x:c>
      <x:c r="D4905" s="18" t="str">
        <x:v>Size: XS / S / M / L</x:v>
      </x:c>
      <x:c r="E4905" s="25" t="str">
        <x:v>$3.99</x:v>
      </x:c>
      <x:c r="F4905" s="19" t="str">
        <x:v>30</x:v>
      </x:c>
    </x:row>
    <x:row r="4906" ht="93" customHeight="1">
      <x:c r="A4906" s="19" t="n">
        <x:v>4903</x:v>
      </x:c>
      <x:c r="B4906" s="22" t="e">
        <x:f>HYPERLINK("https://cdn.shopify.com/s/files/1/0918/6066/4603/files/O1CN019kULpL247bTFt2308__2209064737344-0-cib.jpg?v=1755245380","Open")</x:f>
        <x:v>HYPERLINK is not implemented. linkLocation=https://cdn.shopify.com/s/files/1/0918/6066/4603/files/O1CN019kULpL247bTFt2308__2209064737344-0-cib.jpg?v=1755245380, friendlyName=Open</x:v>
      </x:c>
      <x:c r="C4906" s="24" t="e">
        <x:f>HYPERLINK("https://365nails.com/products/nail-tips-semi-sticker-nail-pads-550-pieces-boxed-natural-color-french-press-on-nails-pads-light-and-thin-patches-fake-nail-pads-wholesale","Nail Tips Semi-sticker nail pads 550 pieces boxed natural color French press on nails pads light and thin patches fake nail pads wholesale (MOQ=3)")</x:f>
        <x:v>HYPERLINK is not implemented. linkLocation=https://365nails.com/products/nail-tips-semi-sticker-nail-pads-550-pieces-boxed-natural-color-french-press-on-nails-pads-light-and-thin-patches-fake-nail-pads-wholesale, friendlyName=Nail Tips Semi-sticker nail pads 550 pieces boxed natural color French press on nails pads light and thin patches fake nail pads wholesale (MOQ=3)</x:v>
      </x:c>
      <x:c r="D4906" s="18" t="str">
        <x:v>Color: 550 pieces natural color PP bag / 550 pieces transparent PP bag / 550 pieces natural color PP box / 550 pieces seamless transparent PP box; Quantity: 3pcs</x:v>
      </x:c>
      <x:c r="E4906" s="25" t="str">
        <x:v>$5.97–$6.51</x:v>
      </x:c>
      <x:c r="F4906" s="19" t="str">
        <x:v>1</x:v>
      </x:c>
    </x:row>
    <x:row r="4907" ht="93" customHeight="1">
      <x:c r="A4907" s="19" t="n">
        <x:v>4904</x:v>
      </x:c>
      <x:c r="B4907" s="22" t="e">
        <x:f>HYPERLINK("https://cdn.shopify.com/s/files/1/0918/6066/4603/files/52b5e6bf40326526a487c1c7b69c518e.jpg?v=1771301589","Open")</x:f>
        <x:v>HYPERLINK is not implemented. linkLocation=https://cdn.shopify.com/s/files/1/0918/6066/4603/files/52b5e6bf40326526a487c1c7b69c518e.jpg?v=1771301589, friendlyName=Open</x:v>
      </x:c>
      <x:c r="C4907" s="24" t="e">
        <x:f>HYPERLINK("https://365nails.com/products/matcha-amber-dusk-cartoon-dopamine-collection","Cartoon &amp; Dopamine: ""Matcha Amber Dusk"" – Green &amp; Brown Gradient Ombre with Silver Stars Short Nails")</x:f>
        <x:v>HYPERLINK is not implemented. linkLocation=https://365nails.com/products/matcha-amber-dusk-cartoon-dopamine-collection, friendlyName=Cartoon &amp; Dopamine: "Matcha Amber Dusk" – Green &amp; Brown Gradient Ombre with Silver Stars Short Nails</x:v>
      </x:c>
      <x:c r="D4907" s="18" t="str">
        <x:v>Size: XS / S / M / L</x:v>
      </x:c>
      <x:c r="E4907" s="25" t="str">
        <x:v>$3.99</x:v>
      </x:c>
      <x:c r="F4907" s="19" t="str">
        <x:v>5</x:v>
      </x:c>
    </x:row>
    <x:row r="4908" ht="93" customHeight="1">
      <x:c r="A4908" s="19" t="n">
        <x:v>4905</x:v>
      </x:c>
      <x:c r="B4908" s="22" t="e">
        <x:f>HYPERLINK("https://cdn.shopify.com/s/files/1/0918/6066/4603/files/958c32e559d553f190502b54caf8fa38.jpg?v=1770276380","Open")</x:f>
        <x:v>HYPERLINK is not implemented. linkLocation=https://cdn.shopify.com/s/files/1/0918/6066/4603/files/958c32e559d553f190502b54caf8fa38.jpg?v=1770276380, friendlyName=Open</x:v>
      </x:c>
      <x:c r="C4908" s="24" t="e">
        <x:f>HYPERLINK("https://365nails.com/products/handmade-tropical-y2k-3d-floral-press-on-nails-aura-starburst-ribbed-texture-short-stiletto-10pcs-set","Handmade Tropical Y2K 3D Floral Press-on Nails | Aura Starburst &amp; Ribbed Texture | Short Stiletto")</x:f>
        <x:v>HYPERLINK is not implemented. linkLocation=https://365nails.com/products/handmade-tropical-y2k-3d-floral-press-on-nails-aura-starburst-ribbed-texture-short-stiletto-10pcs-set, friendlyName=Handmade Tropical Y2K 3D Floral Press-on Nails | Aura Starburst &amp; Ribbed Texture | Short Stiletto</x:v>
      </x:c>
      <x:c r="D4908" s="18" t="str">
        <x:v>Size: XS / S / M / L</x:v>
      </x:c>
      <x:c r="E4908" s="25" t="str">
        <x:v>$4.99</x:v>
      </x:c>
      <x:c r="F4908" s="19" t="str">
        <x:v>5</x:v>
      </x:c>
    </x:row>
    <x:row r="4909" ht="93" customHeight="1">
      <x:c r="A4909" s="19" t="n">
        <x:v>4906</x:v>
      </x:c>
      <x:c r="B4909" s="22" t="e">
        <x:f>HYPERLINK("https://cdn.shopify.com/s/files/1/0918/6066/4603/files/fe70a489ee054551dea50e9d35c8ff07.jpg?v=1771403628","Open")</x:f>
        <x:v>HYPERLINK is not implemented. linkLocation=https://cdn.shopify.com/s/files/1/0918/6066/4603/files/fe70a489ee054551dea50e9d35c8ff07.jpg?v=1771403628, friendlyName=Open</x:v>
      </x:c>
      <x:c r="C4909" s="24" t="e">
        <x:f>HYPERLINK("https://365nails.com/products/twilight-lavender-ethereal-ink-series","Ethereal Ink: ""Twilight Lavender"" – Smoky Purple &amp; Rust Gradient with Silver Foil &amp; Metallic Line Oval Nails")</x:f>
        <x:v>HYPERLINK is not implemented. linkLocation=https://365nails.com/products/twilight-lavender-ethereal-ink-series, friendlyName=Ethereal Ink: "Twilight Lavender" – Smoky Purple &amp; Rust Gradient with Silver Foil &amp; Metallic Line Oval Nails</x:v>
      </x:c>
      <x:c r="D4909" s="18" t="str">
        <x:v>Size: XS / S / M / L</x:v>
      </x:c>
      <x:c r="E4909" s="25" t="str">
        <x:v>$3.99</x:v>
      </x:c>
      <x:c r="F4909" s="19" t="str">
        <x:v>30</x:v>
      </x:c>
    </x:row>
    <x:row r="4910" ht="93" customHeight="1">
      <x:c r="A4910" s="19" t="n">
        <x:v>4907</x:v>
      </x:c>
      <x:c r="B4910" s="22" t="e">
        <x:f>HYPERLINK("https://cdn.shopify.com/s/files/1/0918/6066/4603/files/abcd4d3a70f92b50e040e3fffd169bf0.jpg?v=1771301711","Open")</x:f>
        <x:v>HYPERLINK is not implemented. linkLocation=https://cdn.shopify.com/s/files/1/0918/6066/4603/files/abcd4d3a70f92b50e040e3fffd169bf0.jpg?v=1771301711, friendlyName=Open</x:v>
      </x:c>
      <x:c r="C4910" s="24" t="e">
        <x:f>HYPERLINK("https://365nails.com/products/chubby-panda-paws-cartoon-dopamine-collection","Cartoon &amp; Dopamine: ""Chubby Panda Paws"" – Hand-Painted Panda Face, Paw Prints &amp; Minimalist Black White Short Nails")</x:f>
        <x:v>HYPERLINK is not implemented. linkLocation=https://365nails.com/products/chubby-panda-paws-cartoon-dopamine-collection, friendlyName=Cartoon &amp; Dopamine: "Chubby Panda Paws" – Hand-Painted Panda Face, Paw Prints &amp; Minimalist Black White Short Nails</x:v>
      </x:c>
      <x:c r="D4910" s="18" t="str">
        <x:v>Size: XS / S / M / L</x:v>
      </x:c>
      <x:c r="E4910" s="25" t="str">
        <x:v>$3.99</x:v>
      </x:c>
      <x:c r="F4910" s="19" t="str">
        <x:v>5</x:v>
      </x:c>
    </x:row>
    <x:row r="4911" ht="93" customHeight="1">
      <x:c r="A4911" s="19" t="n">
        <x:v>4908</x:v>
      </x:c>
      <x:c r="B4911" s="22" t="e">
        <x:f>HYPERLINK("https://cdn.shopify.com/s/files/1/0918/6066/4603/files/457f5c81ab82daa868908f7d9538f523.jpg?v=1770276357","Open")</x:f>
        <x:v>HYPERLINK is not implemented. linkLocation=https://cdn.shopify.com/s/files/1/0918/6066/4603/files/457f5c81ab82daa868908f7d9538f523.jpg?v=1770276357, friendlyName=Open</x:v>
      </x:c>
      <x:c r="C4911" s="24" t="e">
        <x:f>HYPERLINK("https://365nails.com/products/handmade-enchanted-garden-3d-floral-press-on-nails-green-french-silver-butterfly-long-coffin-10pcs-set","Handmade ""Enchanted Garden"" 3D Floral Press-on Nails | Green French &amp; Silver Butterfly | Long Coffin")</x:f>
        <x:v>HYPERLINK is not implemented. linkLocation=https://365nails.com/products/handmade-enchanted-garden-3d-floral-press-on-nails-green-french-silver-butterfly-long-coffin-10pcs-set, friendlyName=Handmade "Enchanted Garden" 3D Floral Press-on Nails | Green French &amp; Silver Butterfly | Long Coffin</x:v>
      </x:c>
      <x:c r="D4911" s="18" t="str">
        <x:v>Size: XS / S / M / L</x:v>
      </x:c>
      <x:c r="E4911" s="25" t="str">
        <x:v>$5.99</x:v>
      </x:c>
      <x:c r="F4911" s="19" t="str">
        <x:v>5</x:v>
      </x:c>
    </x:row>
    <x:row r="4912" ht="93" customHeight="1">
      <x:c r="A4912" s="19" t="n">
        <x:v>4909</x:v>
      </x:c>
      <x:c r="B4912" s="22" t="e">
        <x:f>HYPERLINK("https://cdn.shopify.com/s/files/1/0918/6066/4603/files/063cb50aca9a33e585c3ef2c9f45f5e9.jpg?v=1771403553","Open")</x:f>
        <x:v>HYPERLINK is not implemented. linkLocation=https://cdn.shopify.com/s/files/1/0918/6066/4603/files/063cb50aca9a33e585c3ef2c9f45f5e9.jpg?v=1771403553, friendlyName=Open</x:v>
      </x:c>
      <x:c r="C4912" s="24" t="e">
        <x:f>HYPERLINK("https://365nails.com/products/cinnabar-ink-ethereal-ink-series","Ethereal Ink: ""Cinnabar Ink"" – Wine Red &amp; Milky Marble with Cyan Tint &amp; Gold Shimmer Almond Nails")</x:f>
        <x:v>HYPERLINK is not implemented. linkLocation=https://365nails.com/products/cinnabar-ink-ethereal-ink-series, friendlyName=Ethereal Ink: "Cinnabar Ink" – Wine Red &amp; Milky Marble with Cyan Tint &amp; Gold Shimmer Almond Nails</x:v>
      </x:c>
      <x:c r="D4912" s="18" t="str">
        <x:v>Size: XS / S / M / L</x:v>
      </x:c>
      <x:c r="E4912" s="25" t="str">
        <x:v>$3.99</x:v>
      </x:c>
      <x:c r="F4912" s="19" t="str">
        <x:v>30</x:v>
      </x:c>
    </x:row>
    <x:row r="4913" ht="93" customHeight="1">
      <x:c r="A4913" s="19" t="n">
        <x:v>4910</x:v>
      </x:c>
      <x:c r="B4913" s="22" t="e">
        <x:f>HYPERLINK("https://cdn.shopify.com/s/files/1/0918/6066/4603/files/2bcfb82b1c595527ed76f19fc6ce6eef.jpg?v=1770276395","Open")</x:f>
        <x:v>HYPERLINK is not implemented. linkLocation=https://cdn.shopify.com/s/files/1/0918/6066/4603/files/2bcfb82b1c595527ed76f19fc6ce6eef.jpg?v=1770276395, friendlyName=Open</x:v>
      </x:c>
      <x:c r="C4913" s="24" t="e">
        <x:f>HYPERLINK("https://365nails.com/products/handmade-eclectic-garden-3d-orchid-press-on-nails-pearl-chains-ribbed-texture-medium-almond-10pcs-set","Handmade Eclectic Garden 3D Orchid Press-on Nails | Pearl Chains &amp; Ribbed Texture | Medium Almond")</x:f>
        <x:v>HYPERLINK is not implemented. linkLocation=https://365nails.com/products/handmade-eclectic-garden-3d-orchid-press-on-nails-pearl-chains-ribbed-texture-medium-almond-10pcs-set, friendlyName=Handmade Eclectic Garden 3D Orchid Press-on Nails | Pearl Chains &amp; Ribbed Texture | Medium Almond</x:v>
      </x:c>
      <x:c r="D4913" s="18" t="str">
        <x:v>Size: XS / S / M / L</x:v>
      </x:c>
      <x:c r="E4913" s="25" t="str">
        <x:v>$4.49</x:v>
      </x:c>
      <x:c r="F4913" s="19" t="str">
        <x:v>5</x:v>
      </x:c>
    </x:row>
    <x:row r="4914" ht="93" customHeight="1">
      <x:c r="A4914" s="19" t="n">
        <x:v>4911</x:v>
      </x:c>
      <x:c r="B4914" s="22" t="e">
        <x:f>HYPERLINK("https://cdn.shopify.com/s/files/1/0918/6066/4603/files/772df9e727045669c2beeaf14ed23b53.jpg?v=1770276376","Open")</x:f>
        <x:v>HYPERLINK is not implemented. linkLocation=https://cdn.shopify.com/s/files/1/0918/6066/4603/files/772df9e727045669c2beeaf14ed23b53.jpg?v=1770276376, friendlyName=Open</x:v>
      </x:c>
      <x:c r="C4914" s="24" t="e">
        <x:f>HYPERLINK("https://365nails.com/products/handmade-tropical-ocean-breeze-3d-floral-press-on-nails-silver-bows-butterflies-long-coffin-10pcs-set","Handmade Tropical Ocean Breeze 3D Floral Press-on Nails | Silver Bows &amp; Butterflies | Long Coffin")</x:f>
        <x:v>HYPERLINK is not implemented. linkLocation=https://365nails.com/products/handmade-tropical-ocean-breeze-3d-floral-press-on-nails-silver-bows-butterflies-long-coffin-10pcs-set, friendlyName=Handmade Tropical Ocean Breeze 3D Floral Press-on Nails | Silver Bows &amp; Butterflies | Long Coffin</x:v>
      </x:c>
      <x:c r="D4914" s="18" t="str">
        <x:v>Size: XS / S / M / L</x:v>
      </x:c>
      <x:c r="E4914" s="25" t="str">
        <x:v>$5.99</x:v>
      </x:c>
      <x:c r="F4914" s="19" t="str">
        <x:v>5</x:v>
      </x:c>
    </x:row>
    <x:row r="4915" ht="93" customHeight="1">
      <x:c r="A4915" s="19" t="n">
        <x:v>4912</x:v>
      </x:c>
      <x:c r="B4915" s="22" t="e">
        <x:f>HYPERLINK("https://cdn.shopify.com/s/files/1/0918/6066/4603/files/258817e1bd60b7bee5ba1ae1746da0bb.jpg?v=1771300528","Open")</x:f>
        <x:v>HYPERLINK is not implemented. linkLocation=https://cdn.shopify.com/s/files/1/0918/6066/4603/files/258817e1bd60b7bee5ba1ae1746da0bb.jpg?v=1771300528, friendlyName=Open</x:v>
      </x:c>
      <x:c r="C4915" s="24" t="e">
        <x:f>HYPERLINK("https://365nails.com/products/cherry-kitty-swirl-cartoon-dopamine-collection","Cartoon &amp; Dopamine: ""Cherry Kitty Swirl"" – 3D Cat Ears, Bows, Plaid &amp; Silver Swirl Short Nails")</x:f>
        <x:v>HYPERLINK is not implemented. linkLocation=https://365nails.com/products/cherry-kitty-swirl-cartoon-dopamine-collection, friendlyName=Cartoon &amp; Dopamine: "Cherry Kitty Swirl" – 3D Cat Ears, Bows, Plaid &amp; Silver Swirl Short Nails</x:v>
      </x:c>
      <x:c r="D4915" s="18" t="str">
        <x:v>Size: XS / S / M / L</x:v>
      </x:c>
      <x:c r="E4915" s="25" t="str">
        <x:v>$3.99</x:v>
      </x:c>
      <x:c r="F4915" s="19" t="str">
        <x:v>5</x:v>
      </x:c>
    </x:row>
    <x:row r="4916" ht="93" customHeight="1">
      <x:c r="A4916" s="19" t="n">
        <x:v>4913</x:v>
      </x:c>
      <x:c r="B4916" s="22" t="e">
        <x:f>HYPERLINK("https://cdn.shopify.com/s/files/1/0918/6066/4603/files/bd120ba68364888a9c27cd54f6732922.jpg?v=1770276391","Open")</x:f>
        <x:v>HYPERLINK is not implemented. linkLocation=https://cdn.shopify.com/s/files/1/0918/6066/4603/files/bd120ba68364888a9c27cd54f6732922.jpg?v=1770276391, friendlyName=Open</x:v>
      </x:c>
      <x:c r="C4916" s="24" t="e">
        <x:f>HYPERLINK("https://365nails.com/products/handmade-watercolor-3d-floral-press-on-nails-short-square-dewdrops-polka-dots-10pcs-set","Handmade Watercolor 3D Floral Press-on Nails | Short Square | Dewdrops &amp; Polka Dots")</x:f>
        <x:v>HYPERLINK is not implemented. linkLocation=https://365nails.com/products/handmade-watercolor-3d-floral-press-on-nails-short-square-dewdrops-polka-dots-10pcs-set, friendlyName=Handmade Watercolor 3D Floral Press-on Nails | Short Square | Dewdrops &amp; Polka Dots</x:v>
      </x:c>
      <x:c r="D4916" s="18" t="str">
        <x:v>Size: XS / S / M / L</x:v>
      </x:c>
      <x:c r="E4916" s="25" t="str">
        <x:v>$3.99</x:v>
      </x:c>
      <x:c r="F4916" s="19" t="str">
        <x:v>5</x:v>
      </x:c>
    </x:row>
    <x:row r="4917" ht="93" customHeight="1">
      <x:c r="A4917" s="19" t="n">
        <x:v>4914</x:v>
      </x:c>
      <x:c r="B4917" s="22" t="e">
        <x:f>HYPERLINK("https://cdn.shopify.com/s/files/1/0918/6066/4603/files/c7df6e3c52f025389cb74d93cb2171cb.jpg?v=1770276387","Open")</x:f>
        <x:v>HYPERLINK is not implemented. linkLocation=https://cdn.shopify.com/s/files/1/0918/6066/4603/files/c7df6e3c52f025389cb74d93cb2171cb.jpg?v=1770276387, friendlyName=Open</x:v>
      </x:c>
      <x:c r="C4917" s="24" t="e">
        <x:f>HYPERLINK("https://365nails.com/products/handmade-whimsical-garden-3d-press-on-nails-butterfly-ladybug-short-almond-10pcs-set","Handmade Whimsical Garden 3D Press-on Nails | Butterfly &amp; Ladybug | Short Almond")</x:f>
        <x:v>HYPERLINK is not implemented. linkLocation=https://365nails.com/products/handmade-whimsical-garden-3d-press-on-nails-butterfly-ladybug-short-almond-10pcs-set, friendlyName=Handmade Whimsical Garden 3D Press-on Nails | Butterfly &amp; Ladybug | Short Almond</x:v>
      </x:c>
      <x:c r="D4917" s="18" t="str">
        <x:v>Size: XS / S / M / L</x:v>
      </x:c>
      <x:c r="E4917" s="25" t="str">
        <x:v>$4.49</x:v>
      </x:c>
      <x:c r="F4917" s="19" t="str">
        <x:v>5</x:v>
      </x:c>
    </x:row>
    <x:row r="4918" ht="93" customHeight="1">
      <x:c r="A4918" s="19" t="n">
        <x:v>4915</x:v>
      </x:c>
      <x:c r="B4918" s="22" t="e">
        <x:f>HYPERLINK("https://cdn.shopify.com/s/files/1/0918/6066/4603/files/O1CN01YwwscL2NGHsDHYP8W__4234819935-0-cib_849cf7d6-d536-4446-9c10-aac26ee9b052.jpg?v=1761290791","Open")</x:f>
        <x:v>HYPERLINK is not implemented. linkLocation=https://cdn.shopify.com/s/files/1/0918/6066/4603/files/O1CN01YwwscL2NGHsDHYP8W__4234819935-0-cib_849cf7d6-d536-4446-9c10-aac26ee9b052.jpg?v=1761290791, friendlyName=Open</x:v>
      </x:c>
      <x:c r="C4918" s="24" t="e">
        <x:f>HYPERLINK("https://365nails.com/products/factory-direct-sales-wearing-nail-yiwu-manicure-24-pieces-short-round-nail-piece-solid-color-simple-fake-nail-wholesale-1","Factory direct sales wearing nail Yiwu manicure 24 pieces short round nail piece solid color simple fake nail wholesale")</x:f>
        <x:v>HYPERLINK is not implemented. linkLocation=https://365nails.com/products/factory-direct-sales-wearing-nail-yiwu-manicure-24-pieces-short-round-nail-piece-solid-color-simple-fake-nail-wholesale-1, friendlyName=Factory direct sales wearing nail Yiwu manicure 24 pieces short round nail piece solid color simple fake nail wholesale</x:v>
      </x:c>
      <x:c r="D4918" s="18" t="str">
        <x:v>Color: JP3351 / JP3352 / JP3353 / JP3354 / JP3355 / JP3356 / JP3358 / JP3359 / JP3360</x:v>
      </x:c>
      <x:c r="E4918" s="25" t="str">
        <x:v>$0.96</x:v>
      </x:c>
      <x:c r="F4918" s="19" t="str">
        <x:v>1</x:v>
      </x:c>
    </x:row>
    <x:row r="4919" ht="93" customHeight="1">
      <x:c r="A4919" s="19" t="n">
        <x:v>4916</x:v>
      </x:c>
      <x:c r="B4919" s="22" t="e">
        <x:f>HYPERLINK("https://cdn.shopify.com/s/files/1/0918/6066/4603/files/8258886c3a54d93b1f5d43185183c275.jpg?v=1770276365","Open")</x:f>
        <x:v>HYPERLINK is not implemented. linkLocation=https://cdn.shopify.com/s/files/1/0918/6066/4603/files/8258886c3a54d93b1f5d43185183c275.jpg?v=1770276365, friendlyName=Open</x:v>
      </x:c>
      <x:c r="C4919" s="24" t="e">
        <x:f>HYPERLINK("https://365nails.com/products/handmade-tropical-sunset-3d-wire-flower-press-on-nails-airbrushed-gradient-abstract-art-long-coffin-10pcs-set","Handmade Tropical Sunset 3D Wire Flower Press-on Nails | Airbrushed Gradient &amp; Abstract Art | Long Coffin")</x:f>
        <x:v>HYPERLINK is not implemented. linkLocation=https://365nails.com/products/handmade-tropical-sunset-3d-wire-flower-press-on-nails-airbrushed-gradient-abstract-art-long-coffin-10pcs-set, friendlyName=Handmade Tropical Sunset 3D Wire Flower Press-on Nails | Airbrushed Gradient &amp; Abstract Art | Long Coffin</x:v>
      </x:c>
      <x:c r="D4919" s="18" t="str">
        <x:v>Size: XS / S / M / L</x:v>
      </x:c>
      <x:c r="E4919" s="25" t="str">
        <x:v>$4.99</x:v>
      </x:c>
      <x:c r="F4919" s="19" t="str">
        <x:v>5</x:v>
      </x:c>
    </x:row>
    <x:row r="4920" ht="93" customHeight="1">
      <x:c r="A4920" s="19" t="n">
        <x:v>4917</x:v>
      </x:c>
      <x:c r="B4920" s="22" t="e">
        <x:f>HYPERLINK("https://cdn.shopify.com/s/files/1/0918/6066/4603/files/ec0b19675b7476f3df77fbac978a8ad1.jpg?v=1771302039","Open")</x:f>
        <x:v>HYPERLINK is not implemented. linkLocation=https://cdn.shopify.com/s/files/1/0918/6066/4603/files/ec0b19675b7476f3df77fbac978a8ad1.jpg?v=1771302039, friendlyName=Open</x:v>
      </x:c>
      <x:c r="C4920" s="24" t="e">
        <x:f>HYPERLINK("https://365nails.com/products/electric-yellow-doodle-cat-cartoon-dopamine-collection","Cartoon &amp; Dopamine: ""Electric Yellow Doodle Cat"" – 3D Black Cat, Graffiti Stars, Plaid &amp; Button Short Nails")</x:f>
        <x:v>HYPERLINK is not implemented. linkLocation=https://365nails.com/products/electric-yellow-doodle-cat-cartoon-dopamine-collection, friendlyName=Cartoon &amp; Dopamine: "Electric Yellow Doodle Cat" – 3D Black Cat, Graffiti Stars, Plaid &amp; Button Short Nails</x:v>
      </x:c>
      <x:c r="D4920" s="18" t="str">
        <x:v>Size: XS / S / M / L</x:v>
      </x:c>
      <x:c r="E4920" s="25" t="str">
        <x:v>$3.99</x:v>
      </x:c>
      <x:c r="F4920" s="19" t="str">
        <x:v>5</x:v>
      </x:c>
    </x:row>
    <x:row r="4921" ht="93" customHeight="1">
      <x:c r="A4921" s="19" t="n">
        <x:v>4918</x:v>
      </x:c>
      <x:c r="B4921" s="22" t="e">
        <x:f>HYPERLINK("https://cdn.shopify.com/s/files/1/0918/6066/4603/files/1852c1736dcd74a183e94eb27254117c.jpg?v=1771300985","Open")</x:f>
        <x:v>HYPERLINK is not implemented. linkLocation=https://cdn.shopify.com/s/files/1/0918/6066/4603/files/1852c1736dcd74a183e94eb27254117c.jpg?v=1771300985, friendlyName=Open</x:v>
      </x:c>
      <x:c r="C4921" s="24" t="e">
        <x:f>HYPERLINK("https://365nails.com/products/pinky-doodle-cat-cartoon-dopamine-collection","Cartoon &amp; Dopamine: ""Pinky Doodle Cat"" – Hand-Drawn Black Cat, Ribbon Bows, Stars &amp; Stripes Short Nails")</x:f>
        <x:v>HYPERLINK is not implemented. linkLocation=https://365nails.com/products/pinky-doodle-cat-cartoon-dopamine-collection, friendlyName=Cartoon &amp; Dopamine: "Pinky Doodle Cat" – Hand-Drawn Black Cat, Ribbon Bows, Stars &amp; Stripes Short Nails</x:v>
      </x:c>
      <x:c r="D4921" s="18" t="str">
        <x:v>Size: XS / S / M / L</x:v>
      </x:c>
      <x:c r="E4921" s="25" t="str">
        <x:v>$3.99</x:v>
      </x:c>
      <x:c r="F4921" s="19" t="str">
        <x:v>5</x:v>
      </x:c>
    </x:row>
    <x:row r="4922" ht="93" customHeight="1">
      <x:c r="A4922" s="19" t="n">
        <x:v>4919</x:v>
      </x:c>
      <x:c r="B4922" s="22" t="e">
        <x:f>HYPERLINK("https://cdn.shopify.com/s/files/1/0918/6066/4603/files/f50d5b04963dbd18b8e83a139acdfb35.jpg?v=1771403705","Open")</x:f>
        <x:v>HYPERLINK is not implemented. linkLocation=https://cdn.shopify.com/s/files/1/0918/6066/4603/files/f50d5b04963dbd18b8e83a139acdfb35.jpg?v=1771403705, friendlyName=Open</x:v>
      </x:c>
      <x:c r="C4922" s="24" t="e">
        <x:f>HYPERLINK("https://365nails.com/products/autumn-mist-ethereal-ink-series","Ethereal Ink: ""Autumn Mist"" – Caramel Brown Cat Eye &amp; Grey-Blue Cloud Marble with Gold Foil Oval Nails")</x:f>
        <x:v>HYPERLINK is not implemented. linkLocation=https://365nails.com/products/autumn-mist-ethereal-ink-series, friendlyName=Ethereal Ink: "Autumn Mist" – Caramel Brown Cat Eye &amp; Grey-Blue Cloud Marble with Gold Foil Oval Nails</x:v>
      </x:c>
      <x:c r="D4922" s="18" t="str">
        <x:v>Size: XS / S / M / L</x:v>
      </x:c>
      <x:c r="E4922" s="25" t="str">
        <x:v>$3.99</x:v>
      </x:c>
      <x:c r="F4922" s="19" t="str">
        <x:v>30</x:v>
      </x:c>
    </x:row>
    <x:row r="4923" ht="93" customHeight="1">
      <x:c r="A4923" s="19" t="n">
        <x:v>4920</x:v>
      </x:c>
      <x:c r="B4923" s="22" t="e">
        <x:f>HYPERLINK("https://cdn.shopify.com/s/files/1/0918/6066/4603/files/3856ae668f06c4e1a47f8d6814a99d10_4e27d382-75cb-4e90-b49f-8189755f17f9.jpg?v=1771306775","Open")</x:f>
        <x:v>HYPERLINK is not implemented. linkLocation=https://cdn.shopify.com/s/files/1/0918/6066/4603/files/3856ae668f06c4e1a47f8d6814a99d10_4e27d382-75cb-4e90-b49f-8189755f17f9.jpg?v=1771306775, friendlyName=Open</x:v>
      </x:c>
      <x:c r="C4923" s="24" t="e">
        <x:f>HYPERLINK("https://365nails.com/products/amber-blue-ring-modern-chic-collection","Modern Chic: ""Amber &amp; Blue Ring"" – Tortoiseshell Marble, 3D Raised Ring, Creamy White &amp; Blue French Tip Short Nails")</x:f>
        <x:v>HYPERLINK is not implemented. linkLocation=https://365nails.com/products/amber-blue-ring-modern-chic-collection, friendlyName=Modern Chic: "Amber &amp; Blue Ring" – Tortoiseshell Marble, 3D Raised Ring, Creamy White &amp; Blue French Tip Short Nails</x:v>
      </x:c>
      <x:c r="D4923" s="18" t="str">
        <x:v>Size: XS / S / M / L</x:v>
      </x:c>
      <x:c r="E4923" s="25" t="str">
        <x:v>$3.99</x:v>
      </x:c>
      <x:c r="F4923" s="19" t="str">
        <x:v>5</x:v>
      </x:c>
    </x:row>
    <x:row r="4924" ht="93" customHeight="1">
      <x:c r="A4924" s="19" t="n">
        <x:v>4921</x:v>
      </x:c>
      <x:c r="B4924" s="22" t="e">
        <x:f>HYPERLINK("https://cdn.shopify.com/s/files/1/0918/6066/4603/files/381777fcfd0e576aabd0bc1ed8c8bdc4.jpg?v=1771301211","Open")</x:f>
        <x:v>HYPERLINK is not implemented. linkLocation=https://cdn.shopify.com/s/files/1/0918/6066/4603/files/381777fcfd0e576aabd0bc1ed8c8bdc4.jpg?v=1771301211, friendlyName=Open</x:v>
      </x:c>
      <x:c r="C4924" s="24" t="e">
        <x:f>HYPERLINK("https://365nails.com/products/kittys-island-adventure-cartoon-dopamine-collection","Cartoon &amp; Dopamine: ""Kitty's Island Adventure"" – 3D Apple Hood, Palm Tree &amp; Green Plaid Short Nails")</x:f>
        <x:v>HYPERLINK is not implemented. linkLocation=https://365nails.com/products/kittys-island-adventure-cartoon-dopamine-collection, friendlyName=Cartoon &amp; Dopamine: "Kitty's Island Adventure" – 3D Apple Hood, Palm Tree &amp; Green Plaid Short Nails</x:v>
      </x:c>
      <x:c r="D4924" s="18" t="str">
        <x:v>Size: XS / S / M / L</x:v>
      </x:c>
      <x:c r="E4924" s="25" t="str">
        <x:v>$3.99</x:v>
      </x:c>
      <x:c r="F4924" s="19" t="str">
        <x:v>5</x:v>
      </x:c>
    </x:row>
    <x:row r="4925" ht="93" customHeight="1">
      <x:c r="A4925" s="19" t="n">
        <x:v>4922</x:v>
      </x:c>
      <x:c r="B4925" s="22" t="e">
        <x:f>HYPERLINK("https://cdn.shopify.com/s/files/1/0918/6066/4603/files/2bf53f62570150ec1d35852150e3ddbd.jpg?v=1770276372","Open")</x:f>
        <x:v>HYPERLINK is not implemented. linkLocation=https://cdn.shopify.com/s/files/1/0918/6066/4603/files/2bf53f62570150ec1d35852150e3ddbd.jpg?v=1770276372, friendlyName=Open</x:v>
      </x:c>
      <x:c r="C4925" s="24" t="e">
        <x:f>HYPERLINK("https://365nails.com/products/handmade-midnight-bloom-3d-floral-press-on-nails-gradient-petals-pearls-short-stiletto-10pcs-set","Handmade ""Midnight Bloom"" 3D Floral Press-on Nails | Gradient Petals &amp; Pearls | Short Stiletto")</x:f>
        <x:v>HYPERLINK is not implemented. linkLocation=https://365nails.com/products/handmade-midnight-bloom-3d-floral-press-on-nails-gradient-petals-pearls-short-stiletto-10pcs-set, friendlyName=Handmade "Midnight Bloom" 3D Floral Press-on Nails | Gradient Petals &amp; Pearls | Short Stiletto</x:v>
      </x:c>
      <x:c r="D4925" s="18" t="str">
        <x:v>Size: XS / S / M / L</x:v>
      </x:c>
      <x:c r="E4925" s="25" t="str">
        <x:v>$5.99</x:v>
      </x:c>
      <x:c r="F4925" s="19" t="str">
        <x:v>5</x:v>
      </x:c>
    </x:row>
    <x:row r="4926" ht="93" customHeight="1">
      <x:c r="A4926" s="19" t="n">
        <x:v>4923</x:v>
      </x:c>
      <x:c r="B4926" s="22" t="e">
        <x:f>HYPERLINK("https://cdn.shopify.com/s/files/1/0918/6066/4603/files/b1c8be3d18d7d2f91769e370caf5f83e.jpg?v=1770276328","Open")</x:f>
        <x:v>HYPERLINK is not implemented. linkLocation=https://cdn.shopify.com/s/files/1/0918/6066/4603/files/b1c8be3d18d7d2f91769e370caf5f83e.jpg?v=1770276328, friendlyName=Open</x:v>
      </x:c>
      <x:c r="C4926" s="24" t="e">
        <x:f>HYPERLINK("https://365nails.com/products/handmade-tropical-garden-mixed-shape-3d-floral-press-on-nails-dew-drops-pearl-french-neon-pastel-10pcs-set","Handmade ""Tropical Garden"" Mixed Shape 3D Floral Press-on Nails | Dew Drops &amp; Pearl French | Neon &amp; Pastel")</x:f>
        <x:v>HYPERLINK is not implemented. linkLocation=https://365nails.com/products/handmade-tropical-garden-mixed-shape-3d-floral-press-on-nails-dew-drops-pearl-french-neon-pastel-10pcs-set, friendlyName=Handmade "Tropical Garden" Mixed Shape 3D Floral Press-on Nails | Dew Drops &amp; Pearl French | Neon &amp; Pastel</x:v>
      </x:c>
      <x:c r="D4926" s="18" t="str">
        <x:v>Size: XS / S / M / L</x:v>
      </x:c>
      <x:c r="E4926" s="25" t="str">
        <x:v>$4.99</x:v>
      </x:c>
      <x:c r="F4926" s="19" t="str">
        <x:v>5</x:v>
      </x:c>
    </x:row>
    <x:row r="4927" ht="93" customHeight="1">
      <x:c r="A4927" s="19" t="n">
        <x:v>4924</x:v>
      </x:c>
      <x:c r="B4927" s="22" t="e">
        <x:f>HYPERLINK("https://cdn.shopify.com/s/files/1/0918/6066/4603/files/8468a88e3265211fc1037c0f7f6957d8.jpg?v=1771303833","Open")</x:f>
        <x:v>HYPERLINK is not implemented. linkLocation=https://cdn.shopify.com/s/files/1/0918/6066/4603/files/8468a88e3265211fc1037c0f7f6957d8.jpg?v=1771303833, friendlyName=Open</x:v>
      </x:c>
      <x:c r="C4927" s="24" t="e">
        <x:f>HYPERLINK("https://365nails.com/products/happy-brown-star-cartoon-dopamine-collection","Cartoon &amp; Dopamine: ""Happy Brown Star"" – Hand-Painted Party Star Character, Retro Plaid &amp; Graffiti Text Short Nails")</x:f>
        <x:v>HYPERLINK is not implemented. linkLocation=https://365nails.com/products/happy-brown-star-cartoon-dopamine-collection, friendlyName=Cartoon &amp; Dopamine: "Happy Brown Star" – Hand-Painted Party Star Character, Retro Plaid &amp; Graffiti Text Short Nails</x:v>
      </x:c>
      <x:c r="D4927" s="18" t="str">
        <x:v>Size: XS / S / M / L</x:v>
      </x:c>
      <x:c r="E4927" s="25" t="str">
        <x:v>$3.99</x:v>
      </x:c>
      <x:c r="F4927" s="19" t="str">
        <x:v>5</x:v>
      </x:c>
    </x:row>
    <x:row r="4928" ht="93" customHeight="1">
      <x:c r="A4928" s="19" t="n">
        <x:v>4925</x:v>
      </x:c>
      <x:c r="B4928" s="22" t="e">
        <x:f>HYPERLINK("https://cdn.shopify.com/s/files/1/0918/6066/4603/files/1cbd55310c9dcf2d688bca3990671d20.jpg?v=1771303358","Open")</x:f>
        <x:v>HYPERLINK is not implemented. linkLocation=https://cdn.shopify.com/s/files/1/0918/6066/4603/files/1cbd55310c9dcf2d688bca3990671d20.jpg?v=1771303358, friendlyName=Open</x:v>
      </x:c>
      <x:c r="C4928" s="24" t="e">
        <x:f>HYPERLINK("https://365nails.com/products/happy-doodle-garden-cartoon-dopamine-collection","Cartoon &amp; Dopamine: ""Happy Doodle Garden"" – 3D Cherry, Yellow Flower, Black Cat &amp; Graffiti Text Short Nails")</x:f>
        <x:v>HYPERLINK is not implemented. linkLocation=https://365nails.com/products/happy-doodle-garden-cartoon-dopamine-collection, friendlyName=Cartoon &amp; Dopamine: "Happy Doodle Garden" – 3D Cherry, Yellow Flower, Black Cat &amp; Graffiti Text Short Nails</x:v>
      </x:c>
      <x:c r="D4928" s="18" t="str">
        <x:v>Size: XS / S / M / L</x:v>
      </x:c>
      <x:c r="E4928" s="25" t="str">
        <x:v>$3.99</x:v>
      </x:c>
      <x:c r="F4928" s="19" t="str">
        <x:v>5</x:v>
      </x:c>
    </x:row>
    <x:row r="4929" ht="93" customHeight="1">
      <x:c r="A4929" s="19" t="n">
        <x:v>4926</x:v>
      </x:c>
      <x:c r="B4929" s="22" t="e">
        <x:f>HYPERLINK("https://cdn.shopify.com/s/files/1/0918/6066/4603/files/0fc05aa4a461bb31e0e91a60a91bba8d.jpg?v=1771301068","Open")</x:f>
        <x:v>HYPERLINK is not implemented. linkLocation=https://cdn.shopify.com/s/files/1/0918/6066/4603/files/0fc05aa4a461bb31e0e91a60a91bba8d.jpg?v=1771301068, friendlyName=Open</x:v>
      </x:c>
      <x:c r="C4929" s="24" t="e">
        <x:f>HYPERLINK("https://365nails.com/products/juicy-apple-pop-cartoon-dopamine-collection","Cartoon &amp; Dopamine: ""Juicy Apple Pop"" – Colorful Polka Dots, Glitter &amp; Retro Fruit Art Short Nails")</x:f>
        <x:v>HYPERLINK is not implemented. linkLocation=https://365nails.com/products/juicy-apple-pop-cartoon-dopamine-collection, friendlyName=Cartoon &amp; Dopamine: "Juicy Apple Pop" – Colorful Polka Dots, Glitter &amp; Retro Fruit Art Short Nails</x:v>
      </x:c>
      <x:c r="D4929" s="18" t="str">
        <x:v>Size: XS / S / M / L</x:v>
      </x:c>
      <x:c r="E4929" s="25" t="str">
        <x:v>$3.99</x:v>
      </x:c>
      <x:c r="F4929" s="19" t="str">
        <x:v>5</x:v>
      </x:c>
    </x:row>
    <x:row r="4930" ht="93" customHeight="1">
      <x:c r="A4930" s="19" t="n">
        <x:v>4927</x:v>
      </x:c>
      <x:c r="B4930" s="22" t="e">
        <x:f>HYPERLINK("https://cdn.shopify.com/s/files/1/0918/6066/4603/files/8d95c2b1f48148be400a929b1c6ae6dd.jpg?v=1771403796","Open")</x:f>
        <x:v>HYPERLINK is not implemented. linkLocation=https://cdn.shopify.com/s/files/1/0918/6066/4603/files/8d95c2b1f48148be400a929b1c6ae6dd.jpg?v=1771403796, friendlyName=Open</x:v>
      </x:c>
      <x:c r="C4930" s="24" t="e">
        <x:f>HYPERLINK("https://365nails.com/products/lilac-haze-ethereal-ink-series","Ethereal Ink: ""Lilac Haze"" – Dusty Blue Cat Eye &amp; Plum Smoke Marble with Gold Foil Oval Nails")</x:f>
        <x:v>HYPERLINK is not implemented. linkLocation=https://365nails.com/products/lilac-haze-ethereal-ink-series, friendlyName=Ethereal Ink: "Lilac Haze" – Dusty Blue Cat Eye &amp; Plum Smoke Marble with Gold Foil Oval Nails</x:v>
      </x:c>
      <x:c r="D4930" s="18" t="str">
        <x:v>Size: XS / S / M / L</x:v>
      </x:c>
      <x:c r="E4930" s="25" t="str">
        <x:v>$3.99</x:v>
      </x:c>
      <x:c r="F4930" s="19" t="str">
        <x:v>30</x:v>
      </x:c>
    </x:row>
    <x:row r="4931" ht="93" customHeight="1">
      <x:c r="A4931" s="19" t="n">
        <x:v>4928</x:v>
      </x:c>
      <x:c r="B4931" s="22" t="e">
        <x:f>HYPERLINK("https://cdn.shopify.com/s/files/1/0918/6066/4603/files/faa79129c683666f19121f69fe53cb93.jpg?v=1770276350","Open")</x:f>
        <x:v>HYPERLINK is not implemented. linkLocation=https://cdn.shopify.com/s/files/1/0918/6066/4603/files/faa79129c683666f19121f69fe53cb93.jpg?v=1770276350, friendlyName=Open</x:v>
      </x:c>
      <x:c r="C4931" s="24" t="e">
        <x:f>HYPERLINK("https://365nails.com/products/handmade-tropical-rainforest-mixed-media-press-on-nails-exotic-3d-flowers-dew-drops-long-coffin-10pcs-set","Handmade ""Tropical Rainforest"" Mixed Media Press-on Nails | Exotic 3D Flowers &amp; Dew Drops | Long Coffin")</x:f>
        <x:v>HYPERLINK is not implemented. linkLocation=https://365nails.com/products/handmade-tropical-rainforest-mixed-media-press-on-nails-exotic-3d-flowers-dew-drops-long-coffin-10pcs-set, friendlyName=Handmade "Tropical Rainforest" Mixed Media Press-on Nails | Exotic 3D Flowers &amp; Dew Drops | Long Coffin</x:v>
      </x:c>
      <x:c r="D4931" s="18" t="str">
        <x:v>Size: XS / S / M / L</x:v>
      </x:c>
      <x:c r="E4931" s="25" t="str">
        <x:v>$5.99</x:v>
      </x:c>
      <x:c r="F4931" s="19" t="str">
        <x:v>5</x:v>
      </x:c>
    </x:row>
    <x:row r="4932" ht="93" customHeight="1">
      <x:c r="A4932" s="19" t="n">
        <x:v>4929</x:v>
      </x:c>
      <x:c r="B4932" s="22" t="e">
        <x:f>HYPERLINK("https://cdn.shopify.com/s/files/1/0918/6066/4603/files/bbbe038b2ae66f8be2bc2b81de303caa.jpg?v=1771406564","Open")</x:f>
        <x:v>HYPERLINK is not implemented. linkLocation=https://cdn.shopify.com/s/files/1/0918/6066/4603/files/bbbe038b2ae66f8be2bc2b81de303caa.jpg?v=1771406564, friendlyName=Open</x:v>
      </x:c>
      <x:c r="C4932" s="24" t="e">
        <x:f>HYPERLINK("https://365nails.com/products/rose-quartz-dream-ethereal-ink-series","Ethereal Ink: ""Rose Quartz Dream"" – Dusty Rose Cat Eye &amp; Cloud Marble with Gold Foil &amp; 3D Gold Edge Oval Nails")</x:f>
        <x:v>HYPERLINK is not implemented. linkLocation=https://365nails.com/products/rose-quartz-dream-ethereal-ink-series, friendlyName=Ethereal Ink: "Rose Quartz Dream" – Dusty Rose Cat Eye &amp; Cloud Marble with Gold Foil &amp; 3D Gold Edge Oval Nails</x:v>
      </x:c>
      <x:c r="D4932" s="18" t="str">
        <x:v>Size: XS / S / M / L</x:v>
      </x:c>
      <x:c r="E4932" s="25" t="str">
        <x:v>$3.99</x:v>
      </x:c>
      <x:c r="F4932" s="19" t="str">
        <x:v>30</x:v>
      </x:c>
    </x:row>
    <x:row r="4933" ht="93" customHeight="1">
      <x:c r="A4933" s="19" t="n">
        <x:v>4930</x:v>
      </x:c>
      <x:c r="B4933" s="22" t="e">
        <x:f>HYPERLINK("https://cdn.shopify.com/s/files/1/0918/6066/4603/files/d6906bdca650e5c5965ad53e05533006.jpg?v=1771406602","Open")</x:f>
        <x:v>HYPERLINK is not implemented. linkLocation=https://cdn.shopify.com/s/files/1/0918/6066/4603/files/d6906bdca650e5c5965ad53e05533006.jpg?v=1771406602, friendlyName=Open</x:v>
      </x:c>
      <x:c r="C4933" s="24" t="e">
        <x:f>HYPERLINK("https://365nails.com/products/gilded-berry-ethereal-ink-series","Ethereal Ink: ""Gilded Berry"" – Mauve Marble &amp; Beige Cat Eye with Shells &amp; Liquid Gold Metal Almond Nails")</x:f>
        <x:v>HYPERLINK is not implemented. linkLocation=https://365nails.com/products/gilded-berry-ethereal-ink-series, friendlyName=Ethereal Ink: "Gilded Berry" – Mauve Marble &amp; Beige Cat Eye with Shells &amp; Liquid Gold Metal Almond Nails</x:v>
      </x:c>
      <x:c r="D4933" s="18" t="str">
        <x:v>Size: XS / S / M / L</x:v>
      </x:c>
      <x:c r="E4933" s="25" t="str">
        <x:v>$3.99</x:v>
      </x:c>
      <x:c r="F4933" s="19" t="str">
        <x:v>30</x:v>
      </x:c>
    </x:row>
    <x:row r="4934" ht="93" customHeight="1">
      <x:c r="A4934" s="19" t="n">
        <x:v>4931</x:v>
      </x:c>
      <x:c r="B4934" s="22" t="e">
        <x:f>HYPERLINK("https://cdn.shopify.com/s/files/1/0918/6066/4603/files/168e23ed91006b78c020cdf3e9f373ff.jpg?v=1771302197","Open")</x:f>
        <x:v>HYPERLINK is not implemented. linkLocation=https://cdn.shopify.com/s/files/1/0918/6066/4603/files/168e23ed91006b78c020cdf3e9f373ff.jpg?v=1771302197, friendlyName=Open</x:v>
      </x:c>
      <x:c r="C4934" s="24" t="e">
        <x:f>HYPERLINK("https://365nails.com/products/punk-pink-kitty-cartoon-dopamine-collection","Cartoon &amp; Dopamine: ""Punk Pink Kitty"" – 3D Paw Pads, Melting Star, Graffiti Text &amp; Black Plaid Short Nails")</x:f>
        <x:v>HYPERLINK is not implemented. linkLocation=https://365nails.com/products/punk-pink-kitty-cartoon-dopamine-collection, friendlyName=Cartoon &amp; Dopamine: "Punk Pink Kitty" – 3D Paw Pads, Melting Star, Graffiti Text &amp; Black Plaid Short Nails</x:v>
      </x:c>
      <x:c r="D4934" s="18" t="str">
        <x:v>Size: XS / S / M / L</x:v>
      </x:c>
      <x:c r="E4934" s="25" t="str">
        <x:v>$3.99</x:v>
      </x:c>
      <x:c r="F4934" s="19" t="str">
        <x:v>5</x:v>
      </x:c>
    </x:row>
    <x:row r="4935" ht="93" customHeight="1">
      <x:c r="A4935" s="19" t="n">
        <x:v>4932</x:v>
      </x:c>
      <x:c r="B4935" s="22" t="e">
        <x:f>HYPERLINK("https://cdn.shopify.com/s/files/1/0918/6066/4603/files/1f2a9c6c4316678382b8d0f5b8e1f0b8.jpg?v=1771301844","Open")</x:f>
        <x:v>HYPERLINK is not implemented. linkLocation=https://cdn.shopify.com/s/files/1/0918/6066/4603/files/1f2a9c6c4316678382b8d0f5b8e1f0b8.jpg?v=1771301844, friendlyName=Open</x:v>
      </x:c>
      <x:c r="C4935" s="24" t="e">
        <x:f>HYPERLINK("https://365nails.com/products/cozy-caramel-cafe-cartoon-dopamine-collection","Cartoon &amp; Dopamine: ""Cozy Caramel Cafe"" – 3D Donut, Fried Egg, Mushroom &amp; Pudding Drip Short Nails")</x:f>
        <x:v>HYPERLINK is not implemented. linkLocation=https://365nails.com/products/cozy-caramel-cafe-cartoon-dopamine-collection, friendlyName=Cartoon &amp; Dopamine: "Cozy Caramel Cafe" – 3D Donut, Fried Egg, Mushroom &amp; Pudding Drip Short Nails</x:v>
      </x:c>
      <x:c r="D4935" s="18" t="str">
        <x:v>Size: XS / S / M / L</x:v>
      </x:c>
      <x:c r="E4935" s="25" t="str">
        <x:v>$3.99</x:v>
      </x:c>
      <x:c r="F4935" s="19" t="str">
        <x:v>5</x:v>
      </x:c>
    </x:row>
    <x:row r="4936" ht="93" customHeight="1">
      <x:c r="A4936" s="19" t="n">
        <x:v>4933</x:v>
      </x:c>
      <x:c r="B4936" s="22" t="e">
        <x:f>HYPERLINK("https://cdn.shopify.com/s/files/1/0918/6066/4603/files/effe45cf2ab7cb8fd8e0b07f7ab20849.jpg?v=1771303670","Open")</x:f>
        <x:v>HYPERLINK is not implemented. linkLocation=https://cdn.shopify.com/s/files/1/0918/6066/4603/files/effe45cf2ab7cb8fd8e0b07f7ab20849.jpg?v=1771303670, friendlyName=Open</x:v>
      </x:c>
      <x:c r="C4936" s="24" t="e">
        <x:f>HYPERLINK("https://365nails.com/products/chestnut-dalmatian-cartoon-dopamine-collection","Cartoon &amp; Dopamine: ""Chestnut Dalmatian"" – 3D Ghost, Caramel Chestnut, Dalmatian Spots &amp; Retro Stripes Short Nails")</x:f>
        <x:v>HYPERLINK is not implemented. linkLocation=https://365nails.com/products/chestnut-dalmatian-cartoon-dopamine-collection, friendlyName=Cartoon &amp; Dopamine: "Chestnut Dalmatian" – 3D Ghost, Caramel Chestnut, Dalmatian Spots &amp; Retro Stripes Short Nails</x:v>
      </x:c>
      <x:c r="D4936" s="18" t="str">
        <x:v>Size: XS / S / M / L</x:v>
      </x:c>
      <x:c r="E4936" s="25" t="str">
        <x:v>$3.99</x:v>
      </x:c>
      <x:c r="F4936" s="19" t="str">
        <x:v>5</x:v>
      </x:c>
    </x:row>
    <x:row r="4937" ht="93" customHeight="1">
      <x:c r="A4937" s="19" t="n">
        <x:v>4934</x:v>
      </x:c>
      <x:c r="B4937" s="22" t="e">
        <x:f>HYPERLINK("https://cdn.shopify.com/s/files/1/0918/6066/4603/files/2f24581147f2a39139ab4fd188041f62.jpg?v=1771302336","Open")</x:f>
        <x:v>HYPERLINK is not implemented. linkLocation=https://cdn.shopify.com/s/files/1/0918/6066/4603/files/2f24581147f2a39139ab4fd188041f62.jpg?v=1771302336, friendlyName=Open</x:v>
      </x:c>
      <x:c r="C4937" s="24" t="e">
        <x:f>HYPERLINK("https://365nails.com/products/whimsical-sketchbook-friends-cartoon-dopamine-collection","Cartoon &amp; Dopamine: ""Whimsical Sketchbook Friends"" – Hand-Painted Crocodile, Walking Star &amp; Doodle Characters Short Nails")</x:f>
        <x:v>HYPERLINK is not implemented. linkLocation=https://365nails.com/products/whimsical-sketchbook-friends-cartoon-dopamine-collection, friendlyName=Cartoon &amp; Dopamine: "Whimsical Sketchbook Friends" – Hand-Painted Crocodile, Walking Star &amp; Doodle Characters Short Nails</x:v>
      </x:c>
      <x:c r="D4937" s="18" t="str">
        <x:v>Size: XS / S / M / L</x:v>
      </x:c>
      <x:c r="E4937" s="25" t="str">
        <x:v>$3.99</x:v>
      </x:c>
      <x:c r="F4937" s="19" t="str">
        <x:v>5</x:v>
      </x:c>
    </x:row>
    <x:row r="4938" ht="93" customHeight="1">
      <x:c r="A4938" s="19" t="n">
        <x:v>4935</x:v>
      </x:c>
      <x:c r="B4938" s="22" t="e">
        <x:f>HYPERLINK("https://cdn.shopify.com/s/files/1/0918/6066/4603/files/a838b7eaf67527b2c4b85a764478318b.jpg?v=1771303105","Open")</x:f>
        <x:v>HYPERLINK is not implemented. linkLocation=https://cdn.shopify.com/s/files/1/0918/6066/4603/files/a838b7eaf67527b2c4b85a764478318b.jpg?v=1771303105, friendlyName=Open</x:v>
      </x:c>
      <x:c r="C4938" s="24" t="e">
        <x:f>HYPERLINK("https://365nails.com/products/sweet-cherry-kitty-cartoon-dopamine-collection","Cartoon &amp; Dopamine: ""Sweet Cherry Kitty"" – 3D Black Cat in Blue Hood, Hand-Painted Cherries, Bows &amp; Graffiti Short Nails")</x:f>
        <x:v>HYPERLINK is not implemented. linkLocation=https://365nails.com/products/sweet-cherry-kitty-cartoon-dopamine-collection, friendlyName=Cartoon &amp; Dopamine: "Sweet Cherry Kitty" – 3D Black Cat in Blue Hood, Hand-Painted Cherries, Bows &amp; Graffiti Short Nails</x:v>
      </x:c>
      <x:c r="D4938" s="18" t="str">
        <x:v>Size: XS / S / M / L</x:v>
      </x:c>
      <x:c r="E4938" s="25" t="str">
        <x:v>$3.99</x:v>
      </x:c>
      <x:c r="F4938" s="19" t="str">
        <x:v>5</x:v>
      </x:c>
    </x:row>
    <x:row r="4939" ht="93" customHeight="1">
      <x:c r="A4939" s="19" t="n">
        <x:v>4936</x:v>
      </x:c>
      <x:c r="B4939" s="22" t="e">
        <x:f>HYPERLINK("https://cdn.shopify.com/s/files/1/0918/6066/4603/files/O1CN01CHhGk31HlWziXeJI9__2545140798-0-cib_fae9e5af-f1dd-405b-aa48-c17b34ca1b1b.jpg?v=1775398951","Open")</x:f>
        <x:v>HYPERLINK is not implemented. linkLocation=https://cdn.shopify.com/s/files/1/0918/6066/4603/files/O1CN01CHhGk31HlWziXeJI9__2545140798-0-cib_fae9e5af-f1dd-405b-aa48-c17b34ca1b1b.jpg?v=1775398951, friendlyName=Open</x:v>
      </x:c>
      <x:c r="C4939" s="24" t="e">
        <x:f>HYPERLINK("https://365nails.com/products/365nails-white-lace-charm-delicate-nail-stickers","365nails: ""White Lace Charm"" – Delicate Nail Stickers")</x:f>
        <x:v>HYPERLINK is not implemented. linkLocation=https://365nails.com/products/365nails-white-lace-charm-delicate-nail-stickers, friendlyName=365nails: "White Lace Charm" – Delicate Nail Stickers</x:v>
      </x:c>
      <x:c r="D4939" s="18" t="str">
        <x:v>Specification type: Ms549-relief</x:v>
      </x:c>
      <x:c r="E4939" s="25" t="str">
        <x:v>$1.23</x:v>
      </x:c>
      <x:c r="F4939" s="19" t="str">
        <x:v>5</x:v>
      </x:c>
    </x:row>
    <x:row r="4940" ht="93" customHeight="1">
      <x:c r="A4940" s="19" t="n">
        <x:v>4937</x:v>
      </x:c>
      <x:c r="B4940" s="22" t="e">
        <x:f>HYPERLINK("https://cdn.shopify.com/s/files/1/0918/6066/4603/files/98b0cb250d0e231f7291ec6e4067469a.jpg?v=1771461862","Open")</x:f>
        <x:v>HYPERLINK is not implemented. linkLocation=https://cdn.shopify.com/s/files/1/0918/6066/4603/files/98b0cb250d0e231f7291ec6e4067469a.jpg?v=1771461862, friendlyName=Open</x:v>
      </x:c>
      <x:c r="C4940" s="24" t="e">
        <x:f>HYPERLINK("https://365nails.com/products/sculpted-flora-pistachio-garden-party-3d-pink-hibiscus-quilted-green-coffin-nails","Sculpted Flora: ""Pistachio Garden Party"" – 3D Pink Hibiscus &amp; Quilted Green Coffin Nails")</x:f>
        <x:v>HYPERLINK is not implemented. linkLocation=https://365nails.com/products/sculpted-flora-pistachio-garden-party-3d-pink-hibiscus-quilted-green-coffin-nails, friendlyName=Sculpted Flora: "Pistachio Garden Party" – 3D Pink Hibiscus &amp; Quilted Green Coffin Nails</x:v>
      </x:c>
      <x:c r="D4940" s="18" t="str">
        <x:v>Size: XS / S / M / L</x:v>
      </x:c>
      <x:c r="E4940" s="25" t="str">
        <x:v>$3.99</x:v>
      </x:c>
      <x:c r="F4940" s="19" t="str">
        <x:v>5</x:v>
      </x:c>
    </x:row>
    <x:row r="4941" ht="93" customHeight="1">
      <x:c r="A4941" s="19" t="n">
        <x:v>4938</x:v>
      </x:c>
      <x:c r="B4941" s="22" t="e">
        <x:f>HYPERLINK("https://cdn.shopify.com/s/files/1/0918/6066/4603/files/69a6adf69711310fb42233eb5887568a.jpg?v=1771303235","Open")</x:f>
        <x:v>HYPERLINK is not implemented. linkLocation=https://cdn.shopify.com/s/files/1/0918/6066/4603/files/69a6adf69711310fb42233eb5887568a.jpg?v=1771303235, friendlyName=Open</x:v>
      </x:c>
      <x:c r="C4941" s="24" t="e">
        <x:f>HYPERLINK("https://365nails.com/products/happy-bakery-morning-cartoon-dopamine-collection","Cartoon &amp; Dopamine: ""Happy Bakery Morning"" – 3D Cookie, Baguette, Donut &amp; Smiling Bread Short Nails")</x:f>
        <x:v>HYPERLINK is not implemented. linkLocation=https://365nails.com/products/happy-bakery-morning-cartoon-dopamine-collection, friendlyName=Cartoon &amp; Dopamine: "Happy Bakery Morning" – 3D Cookie, Baguette, Donut &amp; Smiling Bread Short Nails</x:v>
      </x:c>
      <x:c r="D4941" s="18" t="str">
        <x:v>Size: XS / S / M / L</x:v>
      </x:c>
      <x:c r="E4941" s="25" t="str">
        <x:v>$3.99</x:v>
      </x:c>
      <x:c r="F4941" s="19" t="str">
        <x:v>5</x:v>
      </x:c>
    </x:row>
    <x:row r="4942" ht="93" customHeight="1">
      <x:c r="A4942" s="19" t="n">
        <x:v>4939</x:v>
      </x:c>
      <x:c r="B4942" s="22" t="e">
        <x:f>HYPERLINK("https://cdn.shopify.com/s/files/1/0918/6066/4603/files/7720c850a458c2730151077a7ca2c8c5.jpg?v=1771465164","Open")</x:f>
        <x:v>HYPERLINK is not implemented. linkLocation=https://cdn.shopify.com/s/files/1/0918/6066/4603/files/7720c850a458c2730151077a7ca2c8c5.jpg?v=1771465164, friendlyName=Open</x:v>
      </x:c>
      <x:c r="C4942" s="24" t="e">
        <x:f>HYPERLINK("https://365nails.com/products/gothic-lace-veil-sculpted-flora-series","Sculpted Flora: ""Gothic Lace Veil"" – 3D Burgundy-Black Flower on Black &amp; Lace Ombre Square Nails")</x:f>
        <x:v>HYPERLINK is not implemented. linkLocation=https://365nails.com/products/gothic-lace-veil-sculpted-flora-series, friendlyName=Sculpted Flora: "Gothic Lace Veil" – 3D Burgundy-Black Flower on Black &amp; Lace Ombre Square Nails</x:v>
      </x:c>
      <x:c r="D4942" s="18" t="str">
        <x:v>Size: XS / S / M / L</x:v>
      </x:c>
      <x:c r="E4942" s="25" t="str">
        <x:v>$3.99</x:v>
      </x:c>
      <x:c r="F4942" s="19" t="str">
        <x:v>5</x:v>
      </x:c>
    </x:row>
    <x:row r="4943" ht="93" customHeight="1">
      <x:c r="A4943" s="19" t="n">
        <x:v>4940</x:v>
      </x:c>
      <x:c r="B4943" s="22" t="e">
        <x:f>HYPERLINK("https://cdn.shopify.com/s/files/1/0918/6066/4603/files/8ceaff5365797c9d129e61292faf6053.jpg?v=1771403869","Open")</x:f>
        <x:v>HYPERLINK is not implemented. linkLocation=https://cdn.shopify.com/s/files/1/0918/6066/4603/files/8ceaff5365797c9d129e61292faf6053.jpg?v=1771403869, friendlyName=Open</x:v>
      </x:c>
      <x:c r="C4943" s="24" t="e">
        <x:f>HYPERLINK("https://365nails.com/products/galaxy-mist-ethereal-ink-series","Ethereal Ink: ""Galaxy Mist"" – Grape Purple Gradient &amp; White Cat Eye with Glitter &amp; Silver Lines Oval Nails")</x:f>
        <x:v>HYPERLINK is not implemented. linkLocation=https://365nails.com/products/galaxy-mist-ethereal-ink-series, friendlyName=Ethereal Ink: "Galaxy Mist" – Grape Purple Gradient &amp; White Cat Eye with Glitter &amp; Silver Lines Oval Nails</x:v>
      </x:c>
      <x:c r="D4943" s="18" t="str">
        <x:v>Size: XS / S / M / L</x:v>
      </x:c>
      <x:c r="E4943" s="25" t="str">
        <x:v>$3.99</x:v>
      </x:c>
      <x:c r="F4943" s="19" t="str">
        <x:v>30</x:v>
      </x:c>
    </x:row>
    <x:row r="4944" ht="93" customHeight="1">
      <x:c r="A4944" s="19" t="n">
        <x:v>4941</x:v>
      </x:c>
      <x:c r="B4944" s="22" t="e">
        <x:f>HYPERLINK("https://cdn.shopify.com/s/files/1/0918/6066/4603/files/e0fc36c561fbcdc63d1fb8f36ae311fa.jpg?v=1771300318","Open")</x:f>
        <x:v>HYPERLINK is not implemented. linkLocation=https://cdn.shopify.com/s/files/1/0918/6066/4603/files/e0fc36c561fbcdc63d1fb8f36ae311fa.jpg?v=1771300318, friendlyName=Open</x:v>
      </x:c>
      <x:c r="C4944" s="24" t="e">
        <x:f>HYPERLINK("https://365nails.com/products/cozy-mocha-cafe-cartoon-dopamine-collection","Cartoon &amp; Dopamine: ""Cozy Mocha Cafe"" – 3D Cat Hoods, Coffee Beans, Buttons &amp; Plaid Short Nails")</x:f>
        <x:v>HYPERLINK is not implemented. linkLocation=https://365nails.com/products/cozy-mocha-cafe-cartoon-dopamine-collection, friendlyName=Cartoon &amp; Dopamine: "Cozy Mocha Cafe" – 3D Cat Hoods, Coffee Beans, Buttons &amp; Plaid Short Nails</x:v>
      </x:c>
      <x:c r="D4944" s="18" t="str">
        <x:v>Size: XS / S / M / L</x:v>
      </x:c>
      <x:c r="E4944" s="25" t="str">
        <x:v>$3.99</x:v>
      </x:c>
      <x:c r="F4944" s="19" t="str">
        <x:v>5</x:v>
      </x:c>
    </x:row>
    <x:row r="4945" ht="93" customHeight="1">
      <x:c r="A4945" s="19" t="n">
        <x:v>4942</x:v>
      </x:c>
      <x:c r="B4945" s="22" t="e">
        <x:f>HYPERLINK("https://cdn.shopify.com/s/files/1/0918/6066/4603/files/ffdc5025363e612c3d918126ea361ebc.jpg?v=1770276347","Open")</x:f>
        <x:v>HYPERLINK is not implemented. linkLocation=https://cdn.shopify.com/s/files/1/0918/6066/4603/files/ffdc5025363e612c3d918126ea361ebc.jpg?v=1770276347, friendlyName=Open</x:v>
      </x:c>
      <x:c r="C4945" s="24" t="e">
        <x:f>HYPERLINK("https://365nails.com/products/handmade-tropical-splash-3d-floral-press-on-nails-gradient-hibiscus-water-drops-long-coffin-10pcs-set","Handmade ""Tropical Splash"" 3D Floral Press-on Nails | Gradient Hibiscus &amp; Water Drops | Long Coffin")</x:f>
        <x:v>HYPERLINK is not implemented. linkLocation=https://365nails.com/products/handmade-tropical-splash-3d-floral-press-on-nails-gradient-hibiscus-water-drops-long-coffin-10pcs-set, friendlyName=Handmade "Tropical Splash" 3D Floral Press-on Nails | Gradient Hibiscus &amp; Water Drops | Long Coffin</x:v>
      </x:c>
      <x:c r="D4945" s="18" t="str">
        <x:v>Size: XS / S / M / L</x:v>
      </x:c>
      <x:c r="E4945" s="25" t="str">
        <x:v>$4.99</x:v>
      </x:c>
      <x:c r="F4945" s="19" t="str">
        <x:v>5</x:v>
      </x:c>
    </x:row>
    <x:row r="4946" ht="93" customHeight="1">
      <x:c r="A4946" s="19" t="n">
        <x:v>4943</x:v>
      </x:c>
      <x:c r="B4946" s="22" t="e">
        <x:f>HYPERLINK("https://cdn.shopify.com/s/files/1/0918/6066/4603/files/d75ed19cf02c19160b8b2059106fbb3a.jpg?v=1771406687","Open")</x:f>
        <x:v>HYPERLINK is not implemented. linkLocation=https://cdn.shopify.com/s/files/1/0918/6066/4603/files/d75ed19cf02c19160b8b2059106fbb3a.jpg?v=1771406687, friendlyName=Open</x:v>
      </x:c>
      <x:c r="C4946" s="24" t="e">
        <x:f>HYPERLINK("https://365nails.com/products/mauve-twilight-ethereal-ink-series","Ethereal Ink: ""Mauve Twilight"" – Dusty Grape Cat Eye &amp; Amber Ink Marble with Gold Shimmer Oval Nails")</x:f>
        <x:v>HYPERLINK is not implemented. linkLocation=https://365nails.com/products/mauve-twilight-ethereal-ink-series, friendlyName=Ethereal Ink: "Mauve Twilight" – Dusty Grape Cat Eye &amp; Amber Ink Marble with Gold Shimmer Oval Nails</x:v>
      </x:c>
      <x:c r="D4946" s="18" t="str">
        <x:v>Size: XS / S / M / L</x:v>
      </x:c>
      <x:c r="E4946" s="25" t="str">
        <x:v>$3.99</x:v>
      </x:c>
      <x:c r="F4946" s="19" t="str">
        <x:v>30</x:v>
      </x:c>
    </x:row>
    <x:row r="4947" ht="93" customHeight="1">
      <x:c r="A4947" s="19" t="n">
        <x:v>4944</x:v>
      </x:c>
      <x:c r="B4947" s="22" t="e">
        <x:f>HYPERLINK("https://cdn.shopify.com/s/files/1/0918/6066/4603/files/78819d6c81ce39232caed0c982d52e07.jpg?v=1771308769","Open")</x:f>
        <x:v>HYPERLINK is not implemented. linkLocation=https://cdn.shopify.com/s/files/1/0918/6066/4603/files/78819d6c81ce39232caed0c982d52e07.jpg?v=1771308769, friendlyName=Open</x:v>
      </x:c>
      <x:c r="C4947" s="24" t="e">
        <x:f>HYPERLINK("https://365nails.com/products/strawberry-cat-cafe-cartoon-dopamine-collection","Cartoon &amp; Dopamine: ""Strawberry Cat Cafe"" – 3D Calico Cat, Chocolate Cake, Orange Plaid &amp; Graffiti Text Short Nails")</x:f>
        <x:v>HYPERLINK is not implemented. linkLocation=https://365nails.com/products/strawberry-cat-cafe-cartoon-dopamine-collection, friendlyName=Cartoon &amp; Dopamine: "Strawberry Cat Cafe" – 3D Calico Cat, Chocolate Cake, Orange Plaid &amp; Graffiti Text Short Nails</x:v>
      </x:c>
      <x:c r="D4947" s="18" t="str">
        <x:v>Size: XS / S / M / L</x:v>
      </x:c>
      <x:c r="E4947" s="25" t="str">
        <x:v>$3.99</x:v>
      </x:c>
      <x:c r="F4947" s="19" t="str">
        <x:v>5</x:v>
      </x:c>
    </x:row>
    <x:row r="4948" ht="93" customHeight="1">
      <x:c r="A4948" s="19" t="n">
        <x:v>4945</x:v>
      </x:c>
      <x:c r="B4948" s="22" t="e">
        <x:f>HYPERLINK("https://cdn.shopify.com/s/files/1/0918/6066/4603/files/0f634c62448f2fd4e29b6dd5b53c5630.jpg?v=1771404036","Open")</x:f>
        <x:v>HYPERLINK is not implemented. linkLocation=https://cdn.shopify.com/s/files/1/0918/6066/4603/files/0f634c62448f2fd4e29b6dd5b53c5630.jpg?v=1771404036, friendlyName=Open</x:v>
      </x:c>
      <x:c r="C4948" s="24" t="e">
        <x:f>HYPERLINK("https://365nails.com/products/deep-sea-amber-ethereal-ink-series","Ethereal Ink: ""Deep Sea Amber"" – Deep Teal Cat Eye &amp; Amber Brown Marble with White Foam Oval Nails")</x:f>
        <x:v>HYPERLINK is not implemented. linkLocation=https://365nails.com/products/deep-sea-amber-ethereal-ink-series, friendlyName=Ethereal Ink: "Deep Sea Amber" – Deep Teal Cat Eye &amp; Amber Brown Marble with White Foam Oval Nails</x:v>
      </x:c>
      <x:c r="D4948" s="18" t="str">
        <x:v>Size: XS / S / M / L</x:v>
      </x:c>
      <x:c r="E4948" s="25" t="str">
        <x:v>$3.99</x:v>
      </x:c>
      <x:c r="F4948" s="19" t="str">
        <x:v>30</x:v>
      </x:c>
    </x:row>
    <x:row r="4949" ht="93" customHeight="1">
      <x:c r="A4949" s="19" t="n">
        <x:v>4946</x:v>
      </x:c>
      <x:c r="B4949" s="22" t="e">
        <x:f>HYPERLINK("https://cdn.shopify.com/s/files/1/0918/6066/4603/files/81900104656f6d57c194caf594887ae4.png?v=1755270318","Open")</x:f>
        <x:v>HYPERLINK is not implemented. linkLocation=https://cdn.shopify.com/s/files/1/0918/6066/4603/files/81900104656f6d57c194caf594887ae4.png?v=1755270318, friendlyName=Open</x:v>
      </x:c>
      <x:c r="C4949" s="24" t="e">
        <x:f>HYPERLINK("https://365nails.com/products/nail-tips-special-for-press-on-nails-rectangular-nail-pieces-removable-full-sticker-manicure-24-pieces-boxed-fake-nail-factory-wholesale","Special for press on nails rectangular full sticker manicure 24 pieces boxed (MOQ=3)")</x:f>
        <x:v>HYPERLINK is not implemented. linkLocation=https://365nails.com/products/nail-tips-special-for-press-on-nails-rectangular-nail-pieces-removable-full-sticker-manicure-24-pieces-boxed-fake-nail-factory-wholesale, friendlyName=Special for press on nails rectangular full sticker manicure 24 pieces boxed (MOQ=3)</x:v>
      </x:c>
      <x:c r="D4949" s="18" t="str">
        <x:v>Color: 173-001 / 173-002 / 173-003 / 173-004 / 173-005 / 173-006 / 173-007 / 173-008 / 173-009 / 173-010 / 173-011 / 173-012 / 173-013 / 173-014 / 173-015 / 173-016 / 173-017 / 173-018 / 173-019 / 173-020; quantity: 3pcs</x:v>
      </x:c>
      <x:c r="E4949" s="25" t="str">
        <x:v>$2.40</x:v>
      </x:c>
      <x:c r="F4949" s="19" t="str">
        <x:v>1</x:v>
      </x:c>
    </x:row>
    <x:row r="4950" ht="93" customHeight="1">
      <x:c r="A4950" s="19" t="n">
        <x:v>4947</x:v>
      </x:c>
      <x:c r="B4950" s="22" t="e">
        <x:f>HYPERLINK("https://cdn.shopify.com/s/files/1/0918/6066/4603/files/754733da58c670a1c270db82a6b4bc2d.jpg?v=1770276325","Open")</x:f>
        <x:v>HYPERLINK is not implemented. linkLocation=https://cdn.shopify.com/s/files/1/0918/6066/4603/files/754733da58c670a1c270db82a6b4bc2d.jpg?v=1770276325, friendlyName=Open</x:v>
      </x:c>
      <x:c r="C4950" s="24" t="e">
        <x:f>HYPERLINK("https://365nails.com/products/handmade-sunset-paradise-3d-floral-press-on-nails-ombre-rainbow-textured-leaf-french-long-coffin-10pcs-set","Handmade ""Sunset Paradise"" 3D Floral Press-on Nails | Ombré Rainbow &amp; Textured Leaf French | Long Coffin")</x:f>
        <x:v>HYPERLINK is not implemented. linkLocation=https://365nails.com/products/handmade-sunset-paradise-3d-floral-press-on-nails-ombre-rainbow-textured-leaf-french-long-coffin-10pcs-set, friendlyName=Handmade "Sunset Paradise" 3D Floral Press-on Nails | Ombré Rainbow &amp; Textured Leaf French | Long Coffin</x:v>
      </x:c>
      <x:c r="D4950" s="18" t="str">
        <x:v>Size: XS / S / M / L</x:v>
      </x:c>
      <x:c r="E4950" s="25" t="str">
        <x:v>$4.99</x:v>
      </x:c>
      <x:c r="F4950" s="19" t="str">
        <x:v>5</x:v>
      </x:c>
    </x:row>
    <x:row r="4951" ht="93" customHeight="1">
      <x:c r="A4951" s="19" t="n">
        <x:v>4948</x:v>
      </x:c>
      <x:c r="B4951" s="22" t="e">
        <x:f>HYPERLINK("https://cdn.shopify.com/s/files/1/0918/6066/4603/files/e09b7d7a267614b34fdd4bd8bdce62fb.jpg?v=1771301364","Open")</x:f>
        <x:v>HYPERLINK is not implemented. linkLocation=https://cdn.shopify.com/s/files/1/0918/6066/4603/files/e09b7d7a267614b34fdd4bd8bdce62fb.jpg?v=1771301364, friendlyName=Open</x:v>
      </x:c>
      <x:c r="C4951" s="24" t="e">
        <x:f>HYPERLINK("https://365nails.com/products/berry-silver-picnic-cartoon-dopamine-collection","Cartoon &amp; Dopamine: ""Berry Silver Picnic"" – 3D Cherry, Silver Polka Dots, Glitter &amp; Plaid Short Nails")</x:f>
        <x:v>HYPERLINK is not implemented. linkLocation=https://365nails.com/products/berry-silver-picnic-cartoon-dopamine-collection, friendlyName=Cartoon &amp; Dopamine: "Berry Silver Picnic" – 3D Cherry, Silver Polka Dots, Glitter &amp; Plaid Short Nails</x:v>
      </x:c>
      <x:c r="D4951" s="18" t="str">
        <x:v>Size: XS / S / M / L</x:v>
      </x:c>
      <x:c r="E4951" s="25" t="str">
        <x:v>$3.99</x:v>
      </x:c>
      <x:c r="F4951" s="19" t="str">
        <x:v>5</x:v>
      </x:c>
    </x:row>
    <x:row r="4952" ht="93" customHeight="1">
      <x:c r="A4952" s="19" t="n">
        <x:v>4949</x:v>
      </x:c>
      <x:c r="B4952" s="22" t="e">
        <x:f>HYPERLINK("https://cdn.shopify.com/s/files/1/0918/6066/4603/files/8d267d9f35e5d52f38c3f8280101bc15.jpg?v=1771300844","Open")</x:f>
        <x:v>HYPERLINK is not implemented. linkLocation=https://cdn.shopify.com/s/files/1/0918/6066/4603/files/8d267d9f35e5d52f38c3f8280101bc15.jpg?v=1771300844, friendlyName=Open</x:v>
      </x:c>
      <x:c r="C4952" s="24" t="e">
        <x:f>HYPERLINK("https://365nails.com/products/playful-black-cat-cartoon-dopamine-collection","Cartoon &amp; Dopamine: ""Playful Black Cat"" – 3D Sculpted Kitty, Polka Dots &amp; Hand-Drawn Graffiti Short Nails")</x:f>
        <x:v>HYPERLINK is not implemented. linkLocation=https://365nails.com/products/playful-black-cat-cartoon-dopamine-collection, friendlyName=Cartoon &amp; Dopamine: "Playful Black Cat" – 3D Sculpted Kitty, Polka Dots &amp; Hand-Drawn Graffiti Short Nails</x:v>
      </x:c>
      <x:c r="D4952" s="18" t="str">
        <x:v>Size: XS / S / M / L</x:v>
      </x:c>
      <x:c r="E4952" s="25" t="str">
        <x:v>$3.99</x:v>
      </x:c>
      <x:c r="F4952" s="19" t="str">
        <x:v>5</x:v>
      </x:c>
    </x:row>
    <x:row r="4953" ht="93" customHeight="1">
      <x:c r="A4953" s="19" t="n">
        <x:v>4950</x:v>
      </x:c>
      <x:c r="B4953" s="22" t="e">
        <x:f>HYPERLINK("https://cdn.shopify.com/s/files/1/0918/6066/4603/files/21e0b3b518bb099fd29e8dd4bad00416.jpg?v=1771309601","Open")</x:f>
        <x:v>HYPERLINK is not implemented. linkLocation=https://cdn.shopify.com/s/files/1/0918/6066/4603/files/21e0b3b518bb099fd29e8dd4bad00416.jpg?v=1771309601, friendlyName=Open</x:v>
      </x:c>
      <x:c r="C4953" s="24" t="e">
        <x:f>HYPERLINK("https://365nails.com/products/fresh-bakery-day-cartoon-dopamine-collection","Cartoon &amp; Dopamine: ""Fresh Bakery Day"" – 3D Croissant &amp; Melon Pan, Cute Bear, Butter Yellow &amp; Korean Graffiti Short Nails")</x:f>
        <x:v>HYPERLINK is not implemented. linkLocation=https://365nails.com/products/fresh-bakery-day-cartoon-dopamine-collection, friendlyName=Cartoon &amp; Dopamine: "Fresh Bakery Day" – 3D Croissant &amp; Melon Pan, Cute Bear, Butter Yellow &amp; Korean Graffiti Short Nails</x:v>
      </x:c>
      <x:c r="D4953" s="18" t="str">
        <x:v>Size: XS / S / M / L</x:v>
      </x:c>
      <x:c r="E4953" s="25" t="str">
        <x:v>$3.99</x:v>
      </x:c>
      <x:c r="F4953" s="19" t="str">
        <x:v>5</x:v>
      </x:c>
    </x:row>
    <x:row r="4954" ht="93" customHeight="1">
      <x:c r="A4954" s="19" t="n">
        <x:v>4951</x:v>
      </x:c>
      <x:c r="B4954" s="22" t="e">
        <x:f>HYPERLINK("https://cdn.shopify.com/s/files/1/0918/6066/4603/files/2f6a558ad0465a72642e650bdd44618f.jpg?v=1771294614","Open")</x:f>
        <x:v>HYPERLINK is not implemented. linkLocation=https://cdn.shopify.com/s/files/1/0918/6066/4603/files/2f6a558ad0465a72642e650bdd44618f.jpg?v=1771294614, friendlyName=Open</x:v>
      </x:c>
      <x:c r="C4954" s="24" t="e">
        <x:f>HYPERLINK("https://365nails.com/products/confetti-celebration-cartoon-dopamine-collection","Cartoon &amp; Dopamine: ""Confetti Celebration"" – Happy New Year Graffiti, Red Plaid, Cherry Bow &amp; Fireworks Short Nails")</x:f>
        <x:v>HYPERLINK is not implemented. linkLocation=https://365nails.com/products/confetti-celebration-cartoon-dopamine-collection, friendlyName=Cartoon &amp; Dopamine: "Confetti Celebration" – Happy New Year Graffiti, Red Plaid, Cherry Bow &amp; Fireworks Short Nails</x:v>
      </x:c>
      <x:c r="D4954" s="18" t="str">
        <x:v>Size: XS / S / M / L</x:v>
      </x:c>
      <x:c r="E4954" s="25" t="str">
        <x:v>$3.99</x:v>
      </x:c>
      <x:c r="F4954" s="19" t="str">
        <x:v>5</x:v>
      </x:c>
    </x:row>
    <x:row r="4955" ht="93" customHeight="1">
      <x:c r="A4955" s="19" t="n">
        <x:v>4952</x:v>
      </x:c>
      <x:c r="B4955" s="22" t="e">
        <x:f>HYPERLINK("https://cdn.shopify.com/s/files/1/0918/6066/4603/files/b81ca58fccc6253b72a558afdbe582c9.jpg?v=1770276354","Open")</x:f>
        <x:v>HYPERLINK is not implemented. linkLocation=https://cdn.shopify.com/s/files/1/0918/6066/4603/files/b81ca58fccc6253b72a558afdbe582c9.jpg?v=1770276354, friendlyName=Open</x:v>
      </x:c>
      <x:c r="C4955" s="24" t="e">
        <x:f>HYPERLINK("https://365nails.com/products/handmade-y2k-sweet-spicy-3d-floral-press-on-nails-hot-pink-black-airbrush-starburst-long-coffin-10pcs-set","Handmade Y2K ""Sweet &amp; Spicy"" 3D Floral Press-on Nails | Hot Pink &amp; Black Airbrush Starburst | Long Coffin")</x:f>
        <x:v>HYPERLINK is not implemented. linkLocation=https://365nails.com/products/handmade-y2k-sweet-spicy-3d-floral-press-on-nails-hot-pink-black-airbrush-starburst-long-coffin-10pcs-set, friendlyName=Handmade Y2K "Sweet &amp; Spicy" 3D Floral Press-on Nails | Hot Pink &amp; Black Airbrush Starburst | Long Coffin</x:v>
      </x:c>
      <x:c r="D4955" s="18" t="str">
        <x:v>Size: XS / S / M / L</x:v>
      </x:c>
      <x:c r="E4955" s="25" t="str">
        <x:v>$5.99</x:v>
      </x:c>
      <x:c r="F4955" s="19" t="str">
        <x:v>5</x:v>
      </x:c>
    </x:row>
    <x:row r="4956" ht="93" customHeight="1">
      <x:c r="A4956" s="19" t="n">
        <x:v>4953</x:v>
      </x:c>
      <x:c r="B4956" s="22" t="e">
        <x:f>HYPERLINK("https://cdn.shopify.com/s/files/1/0918/6066/4603/files/67f1102f40b77b0c24d0eb404426e558.jpg?v=1771462588","Open")</x:f>
        <x:v>HYPERLINK is not implemented. linkLocation=https://cdn.shopify.com/s/files/1/0918/6066/4603/files/67f1102f40b77b0c24d0eb404426e558.jpg?v=1771462588, friendlyName=Open</x:v>
      </x:c>
      <x:c r="C4956" s="24" t="e">
        <x:f>HYPERLINK("https://365nails.com/products/ice-blue-velvet-sculpted-flora-series","Sculpted Flora: ""Ice Blue Velvet"" – 3D Blue Flower &amp; Red-Blue Polka Dot French Stiletto Nails with Rhinestones")</x:f>
        <x:v>HYPERLINK is not implemented. linkLocation=https://365nails.com/products/ice-blue-velvet-sculpted-flora-series, friendlyName=Sculpted Flora: "Ice Blue Velvet" – 3D Blue Flower &amp; Red-Blue Polka Dot French Stiletto Nails with Rhinestones</x:v>
      </x:c>
      <x:c r="D4956" s="18" t="str">
        <x:v>Size: XS / S / M / L</x:v>
      </x:c>
      <x:c r="E4956" s="25" t="str">
        <x:v>$3.99</x:v>
      </x:c>
      <x:c r="F4956" s="19" t="str">
        <x:v>5</x:v>
      </x:c>
    </x:row>
    <x:row r="4957" ht="93" customHeight="1">
      <x:c r="A4957" s="19" t="n">
        <x:v>4954</x:v>
      </x:c>
      <x:c r="B4957" s="22" t="e">
        <x:f>HYPERLINK("https://cdn.shopify.com/s/files/1/0918/6066/4603/files/e87d79aea6295e51bba76da1addef33e.jpg?v=1771406831","Open")</x:f>
        <x:v>HYPERLINK is not implemented. linkLocation=https://cdn.shopify.com/s/files/1/0918/6066/4603/files/e87d79aea6295e51bba76da1addef33e.jpg?v=1771406831, friendlyName=Open</x:v>
      </x:c>
      <x:c r="C4957" s="24" t="e">
        <x:f>HYPERLINK("https://365nails.com/products/frostfire-ink-ethereal-ink-series","Ethereal Ink: ""Frostfire Ink"" – Blue-Grey Cat Eye &amp; Rust Red Marble with Silver Lines Almond Nails")</x:f>
        <x:v>HYPERLINK is not implemented. linkLocation=https://365nails.com/products/frostfire-ink-ethereal-ink-series, friendlyName=Ethereal Ink: "Frostfire Ink" – Blue-Grey Cat Eye &amp; Rust Red Marble with Silver Lines Almond Nails</x:v>
      </x:c>
      <x:c r="D4957" s="18" t="str">
        <x:v>Size: XS / S / M / L</x:v>
      </x:c>
      <x:c r="E4957" s="25" t="str">
        <x:v>$3.99</x:v>
      </x:c>
      <x:c r="F4957" s="19" t="str">
        <x:v>30</x:v>
      </x:c>
    </x:row>
    <x:row r="4958" ht="93" customHeight="1">
      <x:c r="A4958" s="19" t="n">
        <x:v>4955</x:v>
      </x:c>
      <x:c r="B4958" s="22" t="e">
        <x:f>HYPERLINK("https://cdn.shopify.com/s/files/1/0918/6066/4603/files/1e2c5b98a93e05144cfd5e331c991068.jpg?v=1771308845","Open")</x:f>
        <x:v>HYPERLINK is not implemented. linkLocation=https://cdn.shopify.com/s/files/1/0918/6066/4603/files/1e2c5b98a93e05144cfd5e331c991068.jpg?v=1771308845, friendlyName=Open</x:v>
      </x:c>
      <x:c r="C4958" s="24" t="e">
        <x:f>HYPERLINK("https://365nails.com/products/red-mushroom-tale-cartoon-dopamine-collection","Cartoon &amp; Dopamine: ""Red Mushroom Tale"" – 3D Mushroom Girl, Cherry Pattern, Burgundy Bow &amp; Creamy Forest Short Nails")</x:f>
        <x:v>HYPERLINK is not implemented. linkLocation=https://365nails.com/products/red-mushroom-tale-cartoon-dopamine-collection, friendlyName=Cartoon &amp; Dopamine: "Red Mushroom Tale" – 3D Mushroom Girl, Cherry Pattern, Burgundy Bow &amp; Creamy Forest Short Nails</x:v>
      </x:c>
      <x:c r="D4958" s="18" t="str">
        <x:v>Size: XS / S / M / L</x:v>
      </x:c>
      <x:c r="E4958" s="25" t="str">
        <x:v>$3.99</x:v>
      </x:c>
      <x:c r="F4958" s="19" t="str">
        <x:v>5</x:v>
      </x:c>
    </x:row>
    <x:row r="4959" ht="93" customHeight="1">
      <x:c r="A4959" s="19" t="n">
        <x:v>4956</x:v>
      </x:c>
      <x:c r="B4959" s="22" t="e">
        <x:f>HYPERLINK("https://cdn.shopify.com/s/files/1/0918/6066/4603/files/ce7829c9cac36ac996764f1e0374b508.jpg?v=1771309481","Open")</x:f>
        <x:v>HYPERLINK is not implemented. linkLocation=https://cdn.shopify.com/s/files/1/0918/6066/4603/files/ce7829c9cac36ac996764f1e0374b508.jpg?v=1771309481, friendlyName=Open</x:v>
      </x:c>
      <x:c r="C4959" s="24" t="e">
        <x:f>HYPERLINK("https://365nails.com/products/pastel-ice-cream-piggy-cartoon-dopamine-collection","Cartoon &amp; Dopamine: ""Pastel Ice Cream &amp; Piggy"" – 3D Blue Pig, Melting Scoops, Silver Plaid &amp; Fruit Graffiti Short Nails")</x:f>
        <x:v>HYPERLINK is not implemented. linkLocation=https://365nails.com/products/pastel-ice-cream-piggy-cartoon-dopamine-collection, friendlyName=Cartoon &amp; Dopamine: "Pastel Ice Cream &amp; Piggy" – 3D Blue Pig, Melting Scoops, Silver Plaid &amp; Fruit Graffiti Short Nails</x:v>
      </x:c>
      <x:c r="D4959" s="18" t="str">
        <x:v>Size: XS / S / M / L</x:v>
      </x:c>
      <x:c r="E4959" s="25" t="str">
        <x:v>$3.99</x:v>
      </x:c>
      <x:c r="F4959" s="19" t="str">
        <x:v>5</x:v>
      </x:c>
    </x:row>
    <x:row r="4960" ht="93" customHeight="1">
      <x:c r="A4960" s="19" t="n">
        <x:v>4957</x:v>
      </x:c>
      <x:c r="B4960" s="22" t="e">
        <x:f>HYPERLINK("https://cdn.shopify.com/s/files/1/0918/6066/4603/files/c5a38863ff10b67ff49280f47deed922.jpg?v=1771304188","Open")</x:f>
        <x:v>HYPERLINK is not implemented. linkLocation=https://cdn.shopify.com/s/files/1/0918/6066/4603/files/c5a38863ff10b67ff49280f47deed922.jpg?v=1771304188, friendlyName=Open</x:v>
      </x:c>
      <x:c r="C4960" s="24" t="e">
        <x:f>HYPERLINK("https://365nails.com/products/galaxy-bichon-party-cartoon-dopamine-collection","Cartoon &amp; Dopamine: ""Galaxy Bichon Party"" – Hand-Painted White Fluffy Dog, Pudding, Graffiti &amp; Black Glitter Short Nails")</x:f>
        <x:v>HYPERLINK is not implemented. linkLocation=https://365nails.com/products/galaxy-bichon-party-cartoon-dopamine-collection, friendlyName=Cartoon &amp; Dopamine: "Galaxy Bichon Party" – Hand-Painted White Fluffy Dog, Pudding, Graffiti &amp; Black Glitter Short Nails</x:v>
      </x:c>
      <x:c r="D4960" s="18" t="str">
        <x:v>Size: XS / S / M / L</x:v>
      </x:c>
      <x:c r="E4960" s="25" t="str">
        <x:v>$3.99</x:v>
      </x:c>
      <x:c r="F4960" s="19" t="str">
        <x:v>5</x:v>
      </x:c>
    </x:row>
    <x:row r="4961" ht="93" customHeight="1">
      <x:c r="A4961" s="19" t="n">
        <x:v>4958</x:v>
      </x:c>
      <x:c r="B4961" s="22" t="e">
        <x:f>HYPERLINK("https://cdn.shopify.com/s/files/1/0918/6066/4603/files/ef3c15462c53f295a2cc8bf25458d41f.jpg?v=1770276287","Open")</x:f>
        <x:v>HYPERLINK is not implemented. linkLocation=https://cdn.shopify.com/s/files/1/0918/6066/4603/files/ef3c15462c53f295a2cc8bf25458d41f.jpg?v=1770276287, friendlyName=Open</x:v>
      </x:c>
      <x:c r="C4961" s="24" t="e">
        <x:f>HYPERLINK("https://365nails.com/products/handmade-peony-blush-3d-floral-press-on-nails-pink-ombre-gold-swirls-almond-10pcs-set","Handmade ""Peony Blush"" 3D Floral Press-on Nails | Pink Ombre &amp; Gold Swirls | Almond")</x:f>
        <x:v>HYPERLINK is not implemented. linkLocation=https://365nails.com/products/handmade-peony-blush-3d-floral-press-on-nails-pink-ombre-gold-swirls-almond-10pcs-set, friendlyName=Handmade "Peony Blush" 3D Floral Press-on Nails | Pink Ombre &amp; Gold Swirls | Almond</x:v>
      </x:c>
      <x:c r="D4961" s="18" t="str">
        <x:v>Size: XS / S / M / L</x:v>
      </x:c>
      <x:c r="E4961" s="25" t="str">
        <x:v>$3.99</x:v>
      </x:c>
      <x:c r="F4961" s="19" t="str">
        <x:v>5</x:v>
      </x:c>
    </x:row>
    <x:row r="4962" ht="93" customHeight="1">
      <x:c r="A4962" s="19" t="n">
        <x:v>4959</x:v>
      </x:c>
      <x:c r="B4962" s="22" t="e">
        <x:f>HYPERLINK("https://cdn.shopify.com/s/files/1/0918/6066/4603/files/9bc728d62499c3f40a9f07be1829d65a.jpg?v=1770276361","Open")</x:f>
        <x:v>HYPERLINK is not implemented. linkLocation=https://cdn.shopify.com/s/files/1/0918/6066/4603/files/9bc728d62499c3f40a9f07be1829d65a.jpg?v=1770276361, friendlyName=Open</x:v>
      </x:c>
      <x:c r="C4962" s="24" t="e">
        <x:f>HYPERLINK("https://365nails.com/products/handmade-tropical-garden-3d-floral-press-on-nails-vibrant-hibiscus-vine-art-long-coffin-10pcs-set","Handmade ""Tropical Garden"" 3D Floral Press-on Nails | Vibrant Hibiscus &amp; Vine Art | Long Coffin")</x:f>
        <x:v>HYPERLINK is not implemented. linkLocation=https://365nails.com/products/handmade-tropical-garden-3d-floral-press-on-nails-vibrant-hibiscus-vine-art-long-coffin-10pcs-set, friendlyName=Handmade "Tropical Garden" 3D Floral Press-on Nails | Vibrant Hibiscus &amp; Vine Art | Long Coffin</x:v>
      </x:c>
      <x:c r="D4962" s="18" t="str">
        <x:v>Size: XS / S / M / L</x:v>
      </x:c>
      <x:c r="E4962" s="25" t="str">
        <x:v>$6.99</x:v>
      </x:c>
      <x:c r="F4962" s="19" t="str">
        <x:v>5</x:v>
      </x:c>
    </x:row>
    <x:row r="4963" ht="93" customHeight="1">
      <x:c r="A4963" s="19" t="n">
        <x:v>4960</x:v>
      </x:c>
      <x:c r="B4963" s="22" t="e">
        <x:f>HYPERLINK("https://cdn.shopify.com/s/files/1/0918/6066/4603/files/b9226736db856620a330e8632744ab3c.jpg?v=1770276343","Open")</x:f>
        <x:v>HYPERLINK is not implemented. linkLocation=https://cdn.shopify.com/s/files/1/0918/6066/4603/files/b9226736db856620a330e8632744ab3c.jpg?v=1770276343, friendlyName=Open</x:v>
      </x:c>
      <x:c r="C4963" s="24" t="e">
        <x:f>HYPERLINK("https://365nails.com/products/handmade-gothic-romance-3d-floral-press-on-nails-black-white-ink-art-with-burgundy-petals-long-stiletto-10pcs-set","Handmade ""Gothic Romance"" 3D Floral Press-on Nails | Black &amp; White Ink Art with Burgundy Petals | Long Stiletto")</x:f>
        <x:v>HYPERLINK is not implemented. linkLocation=https://365nails.com/products/handmade-gothic-romance-3d-floral-press-on-nails-black-white-ink-art-with-burgundy-petals-long-stiletto-10pcs-set, friendlyName=Handmade "Gothic Romance" 3D Floral Press-on Nails | Black &amp; White Ink Art with Burgundy Petals | Long Stiletto</x:v>
      </x:c>
      <x:c r="D4963" s="18" t="str">
        <x:v>Size: XS / S / M / L</x:v>
      </x:c>
      <x:c r="E4963" s="25" t="str">
        <x:v>$4.49</x:v>
      </x:c>
      <x:c r="F4963" s="19" t="str">
        <x:v>5</x:v>
      </x:c>
    </x:row>
    <x:row r="4964" ht="93" customHeight="1">
      <x:c r="A4964" s="19" t="n">
        <x:v>4961</x:v>
      </x:c>
      <x:c r="B4964" s="22" t="e">
        <x:f>HYPERLINK("https://cdn.shopify.com/s/files/1/0918/6066/4603/files/fe944d1cfbb52d1e64feeae5ad02a88b.jpg?v=1770276339","Open")</x:f>
        <x:v>HYPERLINK is not implemented. linkLocation=https://cdn.shopify.com/s/files/1/0918/6066/4603/files/fe944d1cfbb52d1e64feeae5ad02a88b.jpg?v=1770276339, friendlyName=Open</x:v>
      </x:c>
      <x:c r="C4964" s="24" t="e">
        <x:f>HYPERLINK("https://365nails.com/products/handmade-mocha-latte-3d-floral-press-on-nails-gold-glitter-textured-french-almond-10pcs-set","Handmade ""Mocha Latte"" 3D Floral Press-on Nails | Gold Glitter &amp; Textured French | Almond")</x:f>
        <x:v>HYPERLINK is not implemented. linkLocation=https://365nails.com/products/handmade-mocha-latte-3d-floral-press-on-nails-gold-glitter-textured-french-almond-10pcs-set, friendlyName=Handmade "Mocha Latte" 3D Floral Press-on Nails | Gold Glitter &amp; Textured French | Almond</x:v>
      </x:c>
      <x:c r="D4964" s="18" t="str">
        <x:v>Size: XS / S / M / L</x:v>
      </x:c>
      <x:c r="E4964" s="25" t="str">
        <x:v>$3.49</x:v>
      </x:c>
      <x:c r="F4964" s="19" t="str">
        <x:v>5</x:v>
      </x:c>
    </x:row>
    <x:row r="4965" ht="93" customHeight="1">
      <x:c r="A4965" s="19" t="n">
        <x:v>4962</x:v>
      </x:c>
      <x:c r="B4965" s="22" t="e">
        <x:f>HYPERLINK("https://cdn.shopify.com/s/files/1/0918/6066/4603/files/18390bfb72d6b35000128341bef87e52.jpg?v=1770276291","Open")</x:f>
        <x:v>HYPERLINK is not implemented. linkLocation=https://cdn.shopify.com/s/files/1/0918/6066/4603/files/18390bfb72d6b35000128341bef87e52.jpg?v=1770276291, friendlyName=Open</x:v>
      </x:c>
      <x:c r="C4965" s="24" t="e">
        <x:f>HYPERLINK("https://365nails.com/products/handmade-zebra-blue-flower-french-tip-press-on-nails-animal-print-polka-dots-short-almond-10pcs-set","Handmade ""Zebra &amp; Blue Flower"" French Tip Press-on Nails | Animal Print &amp; Polka Dots | Short Almond")</x:f>
        <x:v>HYPERLINK is not implemented. linkLocation=https://365nails.com/products/handmade-zebra-blue-flower-french-tip-press-on-nails-animal-print-polka-dots-short-almond-10pcs-set, friendlyName=Handmade "Zebra &amp; Blue Flower" French Tip Press-on Nails | Animal Print &amp; Polka Dots | Short Almond</x:v>
      </x:c>
      <x:c r="D4965" s="18" t="str">
        <x:v>Size: XS / S / M / L</x:v>
      </x:c>
      <x:c r="E4965" s="25" t="str">
        <x:v>$3.99</x:v>
      </x:c>
      <x:c r="F4965" s="19" t="str">
        <x:v>5</x:v>
      </x:c>
    </x:row>
    <x:row r="4966" ht="93" customHeight="1">
      <x:c r="A4966" s="19" t="n">
        <x:v>4963</x:v>
      </x:c>
      <x:c r="B4966" s="22" t="e">
        <x:f>HYPERLINK("https://cdn.shopify.com/s/files/1/0918/6066/4603/files/670d195782bff516ce56b7c070dcb9c6.jpg?v=1771404110","Open")</x:f>
        <x:v>HYPERLINK is not implemented. linkLocation=https://cdn.shopify.com/s/files/1/0918/6066/4603/files/670d195782bff516ce56b7c070dcb9c6.jpg?v=1771404110, friendlyName=Open</x:v>
      </x:c>
      <x:c r="C4966" s="24" t="e">
        <x:f>HYPERLINK("https://365nails.com/products/rosy-mist-ethereal-ink-series","Ethereal Ink: ""Rosy Mist"" – Dusty Mauve Pink Cat Eye &amp; White Cloud Marble with Gold Foil Oval Nails")</x:f>
        <x:v>HYPERLINK is not implemented. linkLocation=https://365nails.com/products/rosy-mist-ethereal-ink-series, friendlyName=Ethereal Ink: "Rosy Mist" – Dusty Mauve Pink Cat Eye &amp; White Cloud Marble with Gold Foil Oval Nails</x:v>
      </x:c>
      <x:c r="D4966" s="18" t="str">
        <x:v>Size: XS / S / M / L</x:v>
      </x:c>
      <x:c r="E4966" s="25" t="str">
        <x:v>$3.99</x:v>
      </x:c>
      <x:c r="F4966" s="19" t="str">
        <x:v>30</x:v>
      </x:c>
    </x:row>
    <x:row r="4967" ht="93" customHeight="1">
      <x:c r="A4967" s="19" t="n">
        <x:v>4964</x:v>
      </x:c>
      <x:c r="B4967" s="22" t="e">
        <x:f>HYPERLINK("https://cdn.shopify.com/s/files/1/0918/6066/4603/files/980c4ed6fd75f3af3df1e1b35224c282.jpg?v=1771403394","Open")</x:f>
        <x:v>HYPERLINK is not implemented. linkLocation=https://cdn.shopify.com/s/files/1/0918/6066/4603/files/980c4ed6fd75f3af3df1e1b35224c282.jpg?v=1771403394, friendlyName=Open</x:v>
      </x:c>
      <x:c r="C4967" s="24" t="e">
        <x:f>HYPERLINK("https://365nails.com/products/aurora-dream-ethereal-ink-series","Ethereal Ink: ""Aurora Dream"" – Lilac Purple &amp; Baby Blue Gradient with Aurora Foil &amp; Gold Wire Oval Nails")</x:f>
        <x:v>HYPERLINK is not implemented. linkLocation=https://365nails.com/products/aurora-dream-ethereal-ink-series, friendlyName=Ethereal Ink: "Aurora Dream" – Lilac Purple &amp; Baby Blue Gradient with Aurora Foil &amp; Gold Wire Oval Nails</x:v>
      </x:c>
      <x:c r="D4967" s="18" t="str">
        <x:v>Size: XS / S / M / L</x:v>
      </x:c>
      <x:c r="E4967" s="25" t="str">
        <x:v>$3.99</x:v>
      </x:c>
      <x:c r="F4967" s="19" t="str">
        <x:v>30</x:v>
      </x:c>
    </x:row>
    <x:row r="4968" ht="93" customHeight="1">
      <x:c r="A4968" s="19" t="n">
        <x:v>4965</x:v>
      </x:c>
      <x:c r="B4968" s="22" t="e">
        <x:f>HYPERLINK("https://cdn.shopify.com/s/files/1/0918/6066/4603/files/fb83a423ecf049e66ca330520be00d1b.jpg?v=1769414745","Open")</x:f>
        <x:v>HYPERLINK is not implemented. linkLocation=https://cdn.shopify.com/s/files/1/0918/6066/4603/files/fb83a423ecf049e66ca330520be00d1b.jpg?v=1769414745, friendlyName=Open</x:v>
      </x:c>
      <x:c r="C4968" s="24" t="e">
        <x:f>HYPERLINK("https://365nails.com/products/handmade-enchanted-forest-mixed-media-press-on-nails-3d-mushroom-butterfly-floral-long-coffin-10pcs-set","Handmade ""Enchanted Forest"" Mixed Media Press-on Nails | 3D Mushroom, Butterfly &amp; Floral | Long Coffin")</x:f>
        <x:v>HYPERLINK is not implemented. linkLocation=https://365nails.com/products/handmade-enchanted-forest-mixed-media-press-on-nails-3d-mushroom-butterfly-floral-long-coffin-10pcs-set, friendlyName=Handmade "Enchanted Forest" Mixed Media Press-on Nails | 3D Mushroom, Butterfly &amp; Floral | Long Coffin</x:v>
      </x:c>
      <x:c r="D4968" s="18" t="str">
        <x:v>Size: XS / S / M / L</x:v>
      </x:c>
      <x:c r="E4968" s="25" t="str">
        <x:v>$4.99</x:v>
      </x:c>
      <x:c r="F4968" s="19" t="str">
        <x:v>5</x:v>
      </x:c>
    </x:row>
    <x:row r="4969" ht="93" customHeight="1">
      <x:c r="A4969" s="19" t="n">
        <x:v>4966</x:v>
      </x:c>
      <x:c r="B4969" s="22" t="e">
        <x:f>HYPERLINK("https://cdn.shopify.com/s/files/1/0918/6066/4603/files/6b63f47a202fd01b898d52d2aa733001.jpg?v=1771303539","Open")</x:f>
        <x:v>HYPERLINK is not implemented. linkLocation=https://cdn.shopify.com/s/files/1/0918/6066/4603/files/6b63f47a202fd01b898d52d2aa733001.jpg?v=1771303539, friendlyName=Open</x:v>
      </x:c>
      <x:c r="C4969" s="24" t="e">
        <x:f>HYPERLINK("https://365nails.com/products/honey-pudding-kitty-cartoon-dopamine-collection","Cartoon &amp; Dopamine: ""Honey Pudding Kitty"" – 3D Yellow Cat, Blue Polka Dots, Emoticons &amp; Jelly Texture Short Nails")</x:f>
        <x:v>HYPERLINK is not implemented. linkLocation=https://365nails.com/products/honey-pudding-kitty-cartoon-dopamine-collection, friendlyName=Cartoon &amp; Dopamine: "Honey Pudding Kitty" – 3D Yellow Cat, Blue Polka Dots, Emoticons &amp; Jelly Texture Short Nails</x:v>
      </x:c>
      <x:c r="D4969" s="18" t="str">
        <x:v>Size: XS / S / M / L</x:v>
      </x:c>
      <x:c r="E4969" s="25" t="str">
        <x:v>$3.99</x:v>
      </x:c>
      <x:c r="F4969" s="19" t="str">
        <x:v>5</x:v>
      </x:c>
    </x:row>
    <x:row r="4970" ht="93" customHeight="1">
      <x:c r="A4970" s="19" t="n">
        <x:v>4967</x:v>
      </x:c>
      <x:c r="B4970" s="22" t="e">
        <x:f>HYPERLINK("https://cdn.shopify.com/s/files/1/0918/6066/4603/files/8e9c5a45f85b3627bf71c152ef1f5aec.jpg?v=1770276262","Open")</x:f>
        <x:v>HYPERLINK is not implemented. linkLocation=https://cdn.shopify.com/s/files/1/0918/6066/4603/files/8e9c5a45f85b3627bf71c152ef1f5aec.jpg?v=1770276262, friendlyName=Open</x:v>
      </x:c>
      <x:c r="C4970" s="24" t="e">
        <x:f>HYPERLINK("https://365nails.com/products/handmade-sweet-rebel-mixed-media-press-on-nails-3d-pink-floral-zebra-print-long-stiletto-10pcs-set","Handmade ""Sweet Rebel"" Mixed Media Press-on Nails | 3D Pink Floral &amp; Zebra Print | Long Stiletto")</x:f>
        <x:v>HYPERLINK is not implemented. linkLocation=https://365nails.com/products/handmade-sweet-rebel-mixed-media-press-on-nails-3d-pink-floral-zebra-print-long-stiletto-10pcs-set, friendlyName=Handmade "Sweet Rebel" Mixed Media Press-on Nails | 3D Pink Floral &amp; Zebra Print | Long Stiletto</x:v>
      </x:c>
      <x:c r="D4970" s="18" t="str">
        <x:v>Size: XS / S / M / L</x:v>
      </x:c>
      <x:c r="E4970" s="25" t="str">
        <x:v>$4.99</x:v>
      </x:c>
      <x:c r="F4970" s="19" t="str">
        <x:v>5</x:v>
      </x:c>
    </x:row>
    <x:row r="4971" ht="93" customHeight="1">
      <x:c r="A4971" s="19" t="n">
        <x:v>4968</x:v>
      </x:c>
      <x:c r="B4971" s="22" t="e">
        <x:f>HYPERLINK("https://cdn.shopify.com/s/files/1/0918/6066/4603/files/O1CN01XVIHxd1HlWkCL4fjg__2545140798-0-cib.jpg?v=1773554150","Open")</x:f>
        <x:v>HYPERLINK is not implemented. linkLocation=https://cdn.shopify.com/s/files/1/0918/6066/4603/files/O1CN01XVIHxd1HlWkCL4fjg__2545140798-0-cib.jpg?v=1773554150, friendlyName=Open</x:v>
      </x:c>
      <x:c r="C4971" s="24" t="e">
        <x:f>HYPERLINK("https://365nails.com/products/portable-nail-sticker-storage-album-60-sheet-transparent-sticker-collection-binder-for-nail-art-decals","Portable Nail Sticker Storage Album - 60-Sheet Transparent Sticker Collection Binder for Nail Art Decals")</x:f>
        <x:v>HYPERLINK is not implemented. linkLocation=https://365nails.com/products/portable-nail-sticker-storage-album-60-sheet-transparent-sticker-collection-binder-for-nail-art-decals, friendlyName=Portable Nail Sticker Storage Album - 60-Sheet Transparent Sticker Collection Binder for Nail Art Decals</x:v>
      </x:c>
      <x:c r="D4971" s="18" t="str">
        <x:v>Color classification: Frosted transparent color</x:v>
      </x:c>
      <x:c r="E4971" s="25" t="str">
        <x:v>$2.58</x:v>
      </x:c>
      <x:c r="F4971" s="19" t="str">
        <x:v>1</x:v>
      </x:c>
    </x:row>
    <x:row r="4972" ht="93" customHeight="1">
      <x:c r="A4972" s="19" t="n">
        <x:v>4969</x:v>
      </x:c>
      <x:c r="B4972" s="22" t="e">
        <x:f>HYPERLINK("https://cdn.shopify.com/s/files/1/0918/6066/4603/files/a14f8dc57e467168b90cbdb9cba82bf4.jpg?v=1770276310","Open")</x:f>
        <x:v>HYPERLINK is not implemented. linkLocation=https://cdn.shopify.com/s/files/1/0918/6066/4603/files/a14f8dc57e467168b90cbdb9cba82bf4.jpg?v=1770276310, friendlyName=Open</x:v>
      </x:c>
      <x:c r="C4972" s="24" t="e">
        <x:f>HYPERLINK("https://365nails.com/products/handmade-vintage-orchid-mixed-3d-floral-press-on-nails-speckled-petals-retro-colors-almond-10pcs-set","Handmade ""Vintage Orchid"" Mixed 3D Floral Press-on Nails | Speckled Petals &amp; Retro Colors | Almond")</x:f>
        <x:v>HYPERLINK is not implemented. linkLocation=https://365nails.com/products/handmade-vintage-orchid-mixed-3d-floral-press-on-nails-speckled-petals-retro-colors-almond-10pcs-set, friendlyName=Handmade "Vintage Orchid" Mixed 3D Floral Press-on Nails | Speckled Petals &amp; Retro Colors | Almond</x:v>
      </x:c>
      <x:c r="D4972" s="18" t="str">
        <x:v>Size: XS / S / M / L</x:v>
      </x:c>
      <x:c r="E4972" s="25" t="str">
        <x:v>$4.49</x:v>
      </x:c>
      <x:c r="F4972" s="19" t="str">
        <x:v>5</x:v>
      </x:c>
    </x:row>
    <x:row r="4973" ht="93" customHeight="1">
      <x:c r="A4973" s="19" t="n">
        <x:v>4970</x:v>
      </x:c>
      <x:c r="B4973" s="22" t="e">
        <x:f>HYPERLINK("https://cdn.shopify.com/s/files/1/0918/6066/4603/files/c556227c04b9b6797bfe5bca1c47f120.jpg?v=1770276331","Open")</x:f>
        <x:v>HYPERLINK is not implemented. linkLocation=https://cdn.shopify.com/s/files/1/0918/6066/4603/files/c556227c04b9b6797bfe5bca1c47f120.jpg?v=1770276331, friendlyName=Open</x:v>
      </x:c>
      <x:c r="C4973" s="24" t="e">
        <x:f>HYPERLINK("https://365nails.com/products/handmade-ocean-breeze-blue-white-3d-floral-press-on-nails-airbrush-gradient-textured-french-long-coffin-10pcs-set","Handmade ""Ocean Breeze"" Blue &amp; White 3D Floral Press-on Nails | Airbrush Gradient &amp; Textured French | Long Coffin")</x:f>
        <x:v>HYPERLINK is not implemented. linkLocation=https://365nails.com/products/handmade-ocean-breeze-blue-white-3d-floral-press-on-nails-airbrush-gradient-textured-french-long-coffin-10pcs-set, friendlyName=Handmade "Ocean Breeze" Blue &amp; White 3D Floral Press-on Nails | Airbrush Gradient &amp; Textured French | Long Coffin</x:v>
      </x:c>
      <x:c r="D4973" s="18" t="str">
        <x:v>Size: XS / S / M / L</x:v>
      </x:c>
      <x:c r="E4973" s="25" t="str">
        <x:v>$4.99</x:v>
      </x:c>
      <x:c r="F4973" s="19" t="str">
        <x:v>5</x:v>
      </x:c>
    </x:row>
    <x:row r="4974" ht="93" customHeight="1">
      <x:c r="A4974" s="19" t="n">
        <x:v>4971</x:v>
      </x:c>
      <x:c r="B4974" s="22" t="e">
        <x:f>HYPERLINK("https://cdn.shopify.com/s/files/1/0918/6066/4603/files/38107246a430f43b566c5f460348dbe1.jpg?v=1770276304","Open")</x:f>
        <x:v>HYPERLINK is not implemented. linkLocation=https://cdn.shopify.com/s/files/1/0918/6066/4603/files/38107246a430f43b566c5f460348dbe1.jpg?v=1770276304, friendlyName=Open</x:v>
      </x:c>
      <x:c r="C4974" s="24" t="e">
        <x:f>HYPERLINK("https://365nails.com/products/handmade-blueberry-porcelain-3d-floral-press-on-nails-textured-pleats-pearl-french-almond-10pcs-set","Handmade ""Blueberry Porcelain"" 3D Floral Press-on Nails | Textured Pleats &amp; Pearl French | Almond")</x:f>
        <x:v>HYPERLINK is not implemented. linkLocation=https://365nails.com/products/handmade-blueberry-porcelain-3d-floral-press-on-nails-textured-pleats-pearl-french-almond-10pcs-set, friendlyName=Handmade "Blueberry Porcelain" 3D Floral Press-on Nails | Textured Pleats &amp; Pearl French | Almond</x:v>
      </x:c>
      <x:c r="D4974" s="18" t="str">
        <x:v>Size: XS / S / M / L</x:v>
      </x:c>
      <x:c r="E4974" s="25" t="str">
        <x:v>$3.99</x:v>
      </x:c>
      <x:c r="F4974" s="19" t="str">
        <x:v>5</x:v>
      </x:c>
    </x:row>
    <x:row r="4975" ht="93" customHeight="1">
      <x:c r="A4975" s="19" t="n">
        <x:v>4972</x:v>
      </x:c>
      <x:c r="B4975" s="22" t="e">
        <x:f>HYPERLINK("https://cdn.shopify.com/s/files/1/0918/6066/4603/files/df06b9ed2abd8069372a5e053df273b1.jpg?v=1771462680","Open")</x:f>
        <x:v>HYPERLINK is not implemented. linkLocation=https://cdn.shopify.com/s/files/1/0918/6066/4603/files/df06b9ed2abd8069372a5e053df273b1.jpg?v=1771462680, friendlyName=Open</x:v>
      </x:c>
      <x:c r="C4975" s="24" t="e">
        <x:f>HYPERLINK("https://365nails.com/products/vintage-mint-amber-sculpted-flora-series","Sculpted Flora: ""Vintage Mint Amber"" – 3D Green &amp; Brown Ombre Flower with Aurora Shimmer Stiletto Nails")</x:f>
        <x:v>HYPERLINK is not implemented. linkLocation=https://365nails.com/products/vintage-mint-amber-sculpted-flora-series, friendlyName=Sculpted Flora: "Vintage Mint Amber" – 3D Green &amp; Brown Ombre Flower with Aurora Shimmer Stiletto Nails</x:v>
      </x:c>
      <x:c r="D4975" s="18" t="str">
        <x:v>Size: XS / S / M / L</x:v>
      </x:c>
      <x:c r="E4975" s="25" t="str">
        <x:v>$3.99</x:v>
      </x:c>
      <x:c r="F4975" s="19" t="str">
        <x:v>5</x:v>
      </x:c>
    </x:row>
    <x:row r="4976" ht="93" customHeight="1">
      <x:c r="A4976" s="19" t="n">
        <x:v>4973</x:v>
      </x:c>
      <x:c r="B4976" s="22" t="e">
        <x:f>HYPERLINK("https://cdn.shopify.com/s/files/1/0918/6066/4603/files/662f513886e6750fde09de29e8e623d3.jpg?v=1771309307","Open")</x:f>
        <x:v>HYPERLINK is not implemented. linkLocation=https://cdn.shopify.com/s/files/1/0918/6066/4603/files/662f513886e6750fde09de29e8e623d3.jpg?v=1771309307, friendlyName=Open</x:v>
      </x:c>
      <x:c r="C4976" s="24" t="e">
        <x:f>HYPERLINK("https://365nails.com/products/retro-pop-bunny-cartoon-dopamine-collection","Cartoon &amp; Dopamine: ""Retro Pop Bunny"" – 3D White Rabbit, Burgundy Polka Dots, Green Stripes &amp; Cool Star Short Nails")</x:f>
        <x:v>HYPERLINK is not implemented. linkLocation=https://365nails.com/products/retro-pop-bunny-cartoon-dopamine-collection, friendlyName=Cartoon &amp; Dopamine: "Retro Pop Bunny" – 3D White Rabbit, Burgundy Polka Dots, Green Stripes &amp; Cool Star Short Nails</x:v>
      </x:c>
      <x:c r="D4976" s="18" t="str">
        <x:v>Size: XS / S / M / L</x:v>
      </x:c>
      <x:c r="E4976" s="25" t="str">
        <x:v>$3.99</x:v>
      </x:c>
      <x:c r="F4976" s="19" t="str">
        <x:v>5</x:v>
      </x:c>
    </x:row>
    <x:row r="4977" ht="93" customHeight="1">
      <x:c r="A4977" s="19" t="n">
        <x:v>4974</x:v>
      </x:c>
      <x:c r="B4977" s="22" t="e">
        <x:f>HYPERLINK("https://cdn.shopify.com/s/files/1/0918/6066/4603/files/638b75dc2ed193c094beaf1d71792a91.jpg?v=1770276335","Open")</x:f>
        <x:v>HYPERLINK is not implemented. linkLocation=https://cdn.shopify.com/s/files/1/0918/6066/4603/files/638b75dc2ed193c094beaf1d71792a91.jpg?v=1770276335, friendlyName=Open</x:v>
      </x:c>
      <x:c r="C4977" s="24" t="e">
        <x:f>HYPERLINK("https://365nails.com/products/handmade-pastel-paradise-3d-floral-press-on-nails-mixed-tropical-blooms-water-drops-long-coffin-10pcs-set","Handmade ""Pastel Paradise"" 3D Floral Press-on Nails | Mixed Tropical Blooms &amp; Water Drops | Long Coffin")</x:f>
        <x:v>HYPERLINK is not implemented. linkLocation=https://365nails.com/products/handmade-pastel-paradise-3d-floral-press-on-nails-mixed-tropical-blooms-water-drops-long-coffin-10pcs-set, friendlyName=Handmade "Pastel Paradise" 3D Floral Press-on Nails | Mixed Tropical Blooms &amp; Water Drops | Long Coffin</x:v>
      </x:c>
      <x:c r="D4977" s="18" t="str">
        <x:v>Size: XS / S / M / L</x:v>
      </x:c>
      <x:c r="E4977" s="25" t="str">
        <x:v>$6.99</x:v>
      </x:c>
      <x:c r="F4977" s="19" t="str">
        <x:v>5</x:v>
      </x:c>
    </x:row>
    <x:row r="4978" ht="93" customHeight="1">
      <x:c r="A4978" s="19" t="n">
        <x:v>4975</x:v>
      </x:c>
      <x:c r="B4978" s="22" t="e">
        <x:f>HYPERLINK("https://cdn.shopify.com/s/files/1/0918/6066/4603/files/d8f388660f39b9f9d448876b2c3eba03.jpg?v=1770276317","Open")</x:f>
        <x:v>HYPERLINK is not implemented. linkLocation=https://cdn.shopify.com/s/files/1/0918/6066/4603/files/d8f388660f39b9f9d448876b2c3eba03.jpg?v=1770276317, friendlyName=Open</x:v>
      </x:c>
      <x:c r="C4978" s="24" t="e">
        <x:f>HYPERLINK("https://365nails.com/products/handmade-cyber-garden-mint-cobalt-blue-press-on-nails-abstract-lines-3d-bow-long-coffin-10pcs-set","Handmade ""Cyber Garden"" Mint &amp; Cobalt Blue Press-on Nails | Abstract Lines &amp; 3D Bow | Long Coffin")</x:f>
        <x:v>HYPERLINK is not implemented. linkLocation=https://365nails.com/products/handmade-cyber-garden-mint-cobalt-blue-press-on-nails-abstract-lines-3d-bow-long-coffin-10pcs-set, friendlyName=Handmade "Cyber Garden" Mint &amp; Cobalt Blue Press-on Nails | Abstract Lines &amp; 3D Bow | Long Coffin</x:v>
      </x:c>
      <x:c r="D4978" s="18" t="str">
        <x:v>Size: XS / S / M / L</x:v>
      </x:c>
      <x:c r="E4978" s="25" t="str">
        <x:v>$4.99</x:v>
      </x:c>
      <x:c r="F4978" s="19" t="str">
        <x:v>5</x:v>
      </x:c>
    </x:row>
    <x:row r="4979" ht="93" customHeight="1">
      <x:c r="A4979" s="19" t="n">
        <x:v>4976</x:v>
      </x:c>
      <x:c r="B4979" s="22" t="e">
        <x:f>HYPERLINK("https://cdn.shopify.com/s/files/1/0918/6066/4603/files/acea8b7c331b2d29cd31ef07e294ec8d.jpg?v=1771386926","Open")</x:f>
        <x:v>HYPERLINK is not implemented. linkLocation=https://cdn.shopify.com/s/files/1/0918/6066/4603/files/acea8b7c331b2d29cd31ef07e294ec8d.jpg?v=1771386926, friendlyName=Open</x:v>
      </x:c>
      <x:c r="C4979" s="24" t="e">
        <x:f>HYPERLINK("https://365nails.com/products/moonlight-armor-femme-fatale-collection","Femme Fatale: ""Moonlight Armor"" – Icy Blue Cat Eye Base with 3D Liquid Silver Chrome Tips &amp; Rhinestones Long Stiletto Nails")</x:f>
        <x:v>HYPERLINK is not implemented. linkLocation=https://365nails.com/products/moonlight-armor-femme-fatale-collection, friendlyName=Femme Fatale: "Moonlight Armor" – Icy Blue Cat Eye Base with 3D Liquid Silver Chrome Tips &amp; Rhinestones Long Stiletto Nails</x:v>
      </x:c>
      <x:c r="D4979" s="18" t="str">
        <x:v>Size: XS / S / M / L</x:v>
      </x:c>
      <x:c r="E4979" s="25" t="str">
        <x:v>$3.99</x:v>
      </x:c>
      <x:c r="F4979" s="19" t="str">
        <x:v>5</x:v>
      </x:c>
    </x:row>
    <x:row r="4980" ht="93" customHeight="1">
      <x:c r="A4980" s="19" t="n">
        <x:v>4977</x:v>
      </x:c>
      <x:c r="B4980" s="22" t="e">
        <x:f>HYPERLINK("https://cdn.shopify.com/s/files/1/0918/6066/4603/files/9d3b2713472569b24d43af112b0cfe1a.jpg?v=1770276268","Open")</x:f>
        <x:v>HYPERLINK is not implemented. linkLocation=https://cdn.shopify.com/s/files/1/0918/6066/4603/files/9d3b2713472569b24d43af112b0cfe1a.jpg?v=1770276268, friendlyName=Open</x:v>
      </x:c>
      <x:c r="C4980" s="24" t="e">
        <x:f>HYPERLINK("https://365nails.com/products/handmade-tropical-punch-mixed-media-press-on-nails-3d-hibiscus-lime-starburst-long-coffin-10pcs-set","Handmade ""Tropical Punch"" Mixed Media Press-on Nails | 3D Hibiscus &amp; Lime Starburst | Long Coffin")</x:f>
        <x:v>HYPERLINK is not implemented. linkLocation=https://365nails.com/products/handmade-tropical-punch-mixed-media-press-on-nails-3d-hibiscus-lime-starburst-long-coffin-10pcs-set, friendlyName=Handmade "Tropical Punch" Mixed Media Press-on Nails | 3D Hibiscus &amp; Lime Starburst | Long Coffin</x:v>
      </x:c>
      <x:c r="D4980" s="18" t="str">
        <x:v>Size: XS / S / M / L</x:v>
      </x:c>
      <x:c r="E4980" s="25" t="str">
        <x:v>$4.99</x:v>
      </x:c>
      <x:c r="F4980" s="19" t="str">
        <x:v>5</x:v>
      </x:c>
    </x:row>
    <x:row r="4981" ht="93" customHeight="1">
      <x:c r="A4981" s="19" t="n">
        <x:v>4978</x:v>
      </x:c>
      <x:c r="B4981" s="22" t="e">
        <x:f>HYPERLINK("https://cdn.shopify.com/s/files/1/0918/6066/4603/files/ccd1d8dc968410c9ce21bd2a78642c14.jpg?v=1771388197","Open")</x:f>
        <x:v>HYPERLINK is not implemented. linkLocation=https://cdn.shopify.com/s/files/1/0918/6066/4603/files/ccd1d8dc968410c9ce21bd2a78642c14.jpg?v=1771388197, friendlyName=Open</x:v>
      </x:c>
      <x:c r="C4981" s="24" t="e">
        <x:f>HYPERLINK("https://365nails.com/products/silver-mist-femme-fatale-collection","Femme Fatale: ""Silver Mist"" – Grey Cat Eye with Flash Glitter French Tips &amp; Crystal Bow Charm Long Stiletto Nails")</x:f>
        <x:v>HYPERLINK is not implemented. linkLocation=https://365nails.com/products/silver-mist-femme-fatale-collection, friendlyName=Femme Fatale: "Silver Mist" – Grey Cat Eye with Flash Glitter French Tips &amp; Crystal Bow Charm Long Stiletto Nails</x:v>
      </x:c>
      <x:c r="D4981" s="18" t="str">
        <x:v>Size: XS / S / M / L</x:v>
      </x:c>
      <x:c r="E4981" s="25" t="str">
        <x:v>$3.99</x:v>
      </x:c>
      <x:c r="F4981" s="19" t="str">
        <x:v>5</x:v>
      </x:c>
    </x:row>
    <x:row r="4982" ht="93" customHeight="1">
      <x:c r="A4982" s="19" t="n">
        <x:v>4979</x:v>
      </x:c>
      <x:c r="B4982" s="22" t="e">
        <x:f>HYPERLINK("https://cdn.shopify.com/s/files/1/0918/6066/4603/files/97c67ad3514512d79224e5b7b199c034_d181c17a-5cda-40f4-981c-8ee7ea78293b.jpg?v=1771310108","Open")</x:f>
        <x:v>HYPERLINK is not implemented. linkLocation=https://cdn.shopify.com/s/files/1/0918/6066/4603/files/97c67ad3514512d79224e5b7b199c034_d181c17a-5cda-40f4-981c-8ee7ea78293b.jpg?v=1771310108, friendlyName=Open</x:v>
      </x:c>
      <x:c r="C4982" s="24" t="e">
        <x:f>HYPERLINK("https://365nails.com/products/picnic-doodle-party-cartoon-dopamine-collection","Cartoon &amp; Dopamine: ""Picnic Doodle Party"" – 3D Bunny, Hand-Painted Cat, Cookie &amp; Colorful Graffiti Short Nails")</x:f>
        <x:v>HYPERLINK is not implemented. linkLocation=https://365nails.com/products/picnic-doodle-party-cartoon-dopamine-collection, friendlyName=Cartoon &amp; Dopamine: "Picnic Doodle Party" – 3D Bunny, Hand-Painted Cat, Cookie &amp; Colorful Graffiti Short Nails</x:v>
      </x:c>
      <x:c r="D4982" s="18" t="str">
        <x:v>Size: XS / S / M / L</x:v>
      </x:c>
      <x:c r="E4982" s="25" t="str">
        <x:v>$3.99</x:v>
      </x:c>
      <x:c r="F4982" s="19" t="str">
        <x:v>5</x:v>
      </x:c>
    </x:row>
    <x:row r="4983" ht="93" customHeight="1">
      <x:c r="A4983" s="19" t="n">
        <x:v>4980</x:v>
      </x:c>
      <x:c r="B4983" s="22" t="e">
        <x:f>HYPERLINK("https://cdn.shopify.com/s/files/1/0918/6066/4603/files/0fc5ec2ebbadbacbbf91ba42f7e183bd.jpg?v=1770276298","Open")</x:f>
        <x:v>HYPERLINK is not implemented. linkLocation=https://cdn.shopify.com/s/files/1/0918/6066/4603/files/0fc5ec2ebbadbacbbf91ba42f7e183bd.jpg?v=1770276298, friendlyName=Open</x:v>
      </x:c>
      <x:c r="C4983" s="24" t="e">
        <x:f>HYPERLINK("https://365nails.com/products/handmade-wild-safari-3d-floral-press-on-nails-animal-print-tropical-orange-long-stiletto-10pcs-set","Handmade ""Wild Safari"" 3D Floral Press-on Nails | Animal Print &amp; Tropical Orange | Long Stiletto")</x:f>
        <x:v>HYPERLINK is not implemented. linkLocation=https://365nails.com/products/handmade-wild-safari-3d-floral-press-on-nails-animal-print-tropical-orange-long-stiletto-10pcs-set, friendlyName=Handmade "Wild Safari" 3D Floral Press-on Nails | Animal Print &amp; Tropical Orange | Long Stiletto</x:v>
      </x:c>
      <x:c r="D4983" s="18" t="str">
        <x:v>Size: XS / S / M / L</x:v>
      </x:c>
      <x:c r="E4983" s="25" t="str">
        <x:v>$5.99</x:v>
      </x:c>
      <x:c r="F4983" s="19" t="str">
        <x:v>5</x:v>
      </x:c>
    </x:row>
    <x:row r="4984" ht="93" customHeight="1">
      <x:c r="A4984" s="19" t="n">
        <x:v>4981</x:v>
      </x:c>
      <x:c r="B4984" s="22" t="e">
        <x:f>HYPERLINK("https://cdn.shopify.com/s/files/1/0918/6066/4603/files/2f029cec015564947ff2a55549588224.jpg?v=1770276285","Open")</x:f>
        <x:v>HYPERLINK is not implemented. linkLocation=https://cdn.shopify.com/s/files/1/0918/6066/4603/files/2f029cec015564947ff2a55549588224.jpg?v=1770276285, friendlyName=Open</x:v>
      </x:c>
      <x:c r="C4984" s="24" t="e">
        <x:f>HYPERLINK("https://365nails.com/products/handmade-pastel-paradise-3d-floral-press-on-nails-mermaid-chrome-textured-swirls-almond-10pcs-set","Handmade ""Pastel Paradise"" 3D Floral Press-on Nails | Mermaid Chrome &amp; Textured Swirls | Almond")</x:f>
        <x:v>HYPERLINK is not implemented. linkLocation=https://365nails.com/products/handmade-pastel-paradise-3d-floral-press-on-nails-mermaid-chrome-textured-swirls-almond-10pcs-set, friendlyName=Handmade "Pastel Paradise" 3D Floral Press-on Nails | Mermaid Chrome &amp; Textured Swirls | Almond</x:v>
      </x:c>
      <x:c r="D4984" s="18" t="str">
        <x:v>Size: XS / S / M / L</x:v>
      </x:c>
      <x:c r="E4984" s="25" t="str">
        <x:v>$4.49</x:v>
      </x:c>
      <x:c r="F4984" s="19" t="str">
        <x:v>5</x:v>
      </x:c>
    </x:row>
    <x:row r="4985" ht="93" customHeight="1">
      <x:c r="A4985" s="19" t="n">
        <x:v>4982</x:v>
      </x:c>
      <x:c r="B4985" s="22" t="e">
        <x:f>HYPERLINK("https://cdn.shopify.com/s/files/1/0918/6066/4603/files/12823dbcfd3acc284619a5ffb4ae093c.jpg?v=1770276321","Open")</x:f>
        <x:v>HYPERLINK is not implemented. linkLocation=https://cdn.shopify.com/s/files/1/0918/6066/4603/files/12823dbcfd3acc284619a5ffb4ae093c.jpg?v=1770276321, friendlyName=Open</x:v>
      </x:c>
      <x:c r="C4985" s="24" t="e">
        <x:f>HYPERLINK("https://365nails.com/products/handmade-pastel-dreamscape-3d-floral-press-on-nails-gradient-hibiscus-pearl-accents-almond-10pcs-set","Handmade ""Pastel Dreamscape"" 3D Floral Press-on Nails | Gradient Hibiscus &amp; Pearl Accents | Almond")</x:f>
        <x:v>HYPERLINK is not implemented. linkLocation=https://365nails.com/products/handmade-pastel-dreamscape-3d-floral-press-on-nails-gradient-hibiscus-pearl-accents-almond-10pcs-set, friendlyName=Handmade "Pastel Dreamscape" 3D Floral Press-on Nails | Gradient Hibiscus &amp; Pearl Accents | Almond</x:v>
      </x:c>
      <x:c r="D4985" s="18" t="str">
        <x:v>Size: XS / S / M / L</x:v>
      </x:c>
      <x:c r="E4985" s="25" t="str">
        <x:v>$4.99</x:v>
      </x:c>
      <x:c r="F4985" s="19" t="str">
        <x:v>5</x:v>
      </x:c>
    </x:row>
    <x:row r="4986" ht="93" customHeight="1">
      <x:c r="A4986" s="19" t="n">
        <x:v>4983</x:v>
      </x:c>
      <x:c r="B4986" s="22" t="e">
        <x:f>HYPERLINK("https://cdn.shopify.com/s/files/1/0918/6066/4603/files/27c3190ee9fbb986d7512467c633b1f0.jpg?v=1770276272","Open")</x:f>
        <x:v>HYPERLINK is not implemented. linkLocation=https://cdn.shopify.com/s/files/1/0918/6066/4603/files/27c3190ee9fbb986d7512467c633b1f0.jpg?v=1770276272, friendlyName=Open</x:v>
      </x:c>
      <x:c r="C4986" s="24" t="e">
        <x:f>HYPERLINK("https://365nails.com/products/handmade-tropical-hibiscus-3d-floral-press-on-nails-yellow-teal-ombre-coffin-10pcs-set","Handmade ""Tropical Hibiscus"" 3D Floral Press-on Nails | Yellow &amp; Teal Ombre | Coffin")</x:f>
        <x:v>HYPERLINK is not implemented. linkLocation=https://365nails.com/products/handmade-tropical-hibiscus-3d-floral-press-on-nails-yellow-teal-ombre-coffin-10pcs-set, friendlyName=Handmade "Tropical Hibiscus" 3D Floral Press-on Nails | Yellow &amp; Teal Ombre | Coffin</x:v>
      </x:c>
      <x:c r="D4986" s="18" t="str">
        <x:v>Size: XS / S / M / L</x:v>
      </x:c>
      <x:c r="E4986" s="25" t="str">
        <x:v>$4.99</x:v>
      </x:c>
      <x:c r="F4986" s="19" t="str">
        <x:v>5</x:v>
      </x:c>
    </x:row>
    <x:row r="4987" ht="93" customHeight="1">
      <x:c r="A4987" s="19" t="n">
        <x:v>4984</x:v>
      </x:c>
      <x:c r="B4987" s="22" t="e">
        <x:f>HYPERLINK("https://cdn.shopify.com/s/files/1/0918/6066/4603/files/1864512b45f6ed9b3074e2492636a04e_ff3cf95e-76ae-4103-815c-3dc713bb2fbf.jpg?v=1769004600","Open")</x:f>
        <x:v>HYPERLINK is not implemented. linkLocation=https://cdn.shopify.com/s/files/1/0918/6066/4603/files/1864512b45f6ed9b3074e2492636a04e_ff3cf95e-76ae-4103-815c-3dc713bb2fbf.jpg?v=1769004600, friendlyName=Open</x:v>
      </x:c>
      <x:c r="C4987" s="24" t="e">
        <x:f>HYPERLINK("https://365nails.com/products/wearable-solid-color-nude-round-tip-false-nails-24-pieces-neutral-packaging","Wearable solid color nude round tip false nails, 24 pieces, neutral packaging")</x:f>
        <x:v>HYPERLINK is not implemented. linkLocation=https://365nails.com/products/wearable-solid-color-nude-round-tip-false-nails-24-pieces-neutral-packaging, friendlyName=Wearable solid color nude round tip false nails, 24 pieces, neutral packaging</x:v>
      </x:c>
      <x:c r="D4987" s="18" t="str">
        <x:v>Color: Round head 58-s15 / Round head 58-e25 / Round head 58-e116 / Round head 58-e225 / Round head 58-e1085 / New color round head e98 / New color round head e109 / New color round head e163 / New color round head e209 / New color round head e296 / New color round head e1282</x:v>
      </x:c>
      <x:c r="E4987" s="25" t="str">
        <x:v>$1.15</x:v>
      </x:c>
      <x:c r="F4987" s="19" t="str">
        <x:v>3</x:v>
      </x:c>
    </x:row>
    <x:row r="4988" ht="93" customHeight="1">
      <x:c r="A4988" s="19" t="n">
        <x:v>4985</x:v>
      </x:c>
      <x:c r="B4988" s="22" t="e">
        <x:f>HYPERLINK("https://cdn.shopify.com/s/files/1/0918/6066/4603/files/3fcf997eb9ac5218567edc6ae25f3ac8.jpg?v=1771304006","Open")</x:f>
        <x:v>HYPERLINK is not implemented. linkLocation=https://cdn.shopify.com/s/files/1/0918/6066/4603/files/3fcf997eb9ac5218567edc6ae25f3ac8.jpg?v=1771304006, friendlyName=Open</x:v>
      </x:c>
      <x:c r="C4988" s="24" t="e">
        <x:f>HYPERLINK("https://365nails.com/products/cozy-home-diary-cartoon-dopamine-collection","Cartoon &amp; Dopamine: ""Cozy Home Diary"" – Hand-Painted Dog, Breakfast Milk, Toothpaste &amp; Morning Routine Short Nails")</x:f>
        <x:v>HYPERLINK is not implemented. linkLocation=https://365nails.com/products/cozy-home-diary-cartoon-dopamine-collection, friendlyName=Cartoon &amp; Dopamine: "Cozy Home Diary" – Hand-Painted Dog, Breakfast Milk, Toothpaste &amp; Morning Routine Short Nails</x:v>
      </x:c>
      <x:c r="D4988" s="18" t="str">
        <x:v>Size: XS / S / M / L</x:v>
      </x:c>
      <x:c r="E4988" s="25" t="str">
        <x:v>$3.99</x:v>
      </x:c>
      <x:c r="F4988" s="19" t="str">
        <x:v>5</x:v>
      </x:c>
    </x:row>
    <x:row r="4989" ht="93" customHeight="1">
      <x:c r="A4989" s="19" t="n">
        <x:v>4986</x:v>
      </x:c>
      <x:c r="B4989" s="22" t="e">
        <x:f>HYPERLINK("https://cdn.shopify.com/s/files/1/0918/6066/4603/files/cbefa732ed50eaa1a12acfadf6a2cc30.jpg?v=1769333147","Open")</x:f>
        <x:v>HYPERLINK is not implemented. linkLocation=https://cdn.shopify.com/s/files/1/0918/6066/4603/files/cbefa732ed50eaa1a12acfadf6a2cc30.jpg?v=1769333147, friendlyName=Open</x:v>
      </x:c>
      <x:c r="C4989" s="24" t="e">
        <x:f>HYPERLINK("https://365nails.com/products/handmade-tropical-splendor-mixed-media-press-on-nails-3d-hibiscus-leopard-print-long-stiletto-10pcs-set","Handmade ""Tropical Splendor"" Mixed Media Press-on Nails | 3D Hibiscus &amp; Leopard Print | Long Stiletto")</x:f>
        <x:v>HYPERLINK is not implemented. linkLocation=https://365nails.com/products/handmade-tropical-splendor-mixed-media-press-on-nails-3d-hibiscus-leopard-print-long-stiletto-10pcs-set, friendlyName=Handmade "Tropical Splendor" Mixed Media Press-on Nails | 3D Hibiscus &amp; Leopard Print | Long Stiletto</x:v>
      </x:c>
      <x:c r="D4989" s="18" t="str">
        <x:v>Size: XS / S / M / L</x:v>
      </x:c>
      <x:c r="E4989" s="25" t="str">
        <x:v>$4.99</x:v>
      </x:c>
      <x:c r="F4989" s="19" t="str">
        <x:v>5</x:v>
      </x:c>
    </x:row>
    <x:row r="4990" ht="93" customHeight="1">
      <x:c r="A4990" s="19" t="n">
        <x:v>4987</x:v>
      </x:c>
      <x:c r="B4990" s="22" t="e">
        <x:f>HYPERLINK("https://cdn.shopify.com/s/files/1/0918/6066/4603/files/798c7ba7bd39b19fc6a366ceaa731f15_8c22d0a7-9c4a-4314-8f76-2538e58cf3de.jpg?v=1770276338","Open")</x:f>
        <x:v>HYPERLINK is not implemented. linkLocation=https://cdn.shopify.com/s/files/1/0918/6066/4603/files/798c7ba7bd39b19fc6a366ceaa731f15_8c22d0a7-9c4a-4314-8f76-2538e58cf3de.jpg?v=1770276338, friendlyName=Open</x:v>
      </x:c>
      <x:c r="C4990" s="24" t="e">
        <x:f>HYPERLINK("https://365nails.com/products/handmade-kiwi-lime-splash-3d-floral-press-on-nails-green-ombre-y2k-starburst-almond-10pcs-set","Handmade ""Kiwi Lime Splash"" 3D Floral Press-on Nails | Green Ombre &amp; Y2K Starburst | Almond")</x:f>
        <x:v>HYPERLINK is not implemented. linkLocation=https://365nails.com/products/handmade-kiwi-lime-splash-3d-floral-press-on-nails-green-ombre-y2k-starburst-almond-10pcs-set, friendlyName=Handmade "Kiwi Lime Splash" 3D Floral Press-on Nails | Green Ombre &amp; Y2K Starburst | Almond</x:v>
      </x:c>
      <x:c r="D4990" s="18" t="str">
        <x:v>Size: XS / S / M / L</x:v>
      </x:c>
      <x:c r="E4990" s="25" t="str">
        <x:v>$4.99</x:v>
      </x:c>
      <x:c r="F4990" s="19" t="str">
        <x:v>5</x:v>
      </x:c>
    </x:row>
    <x:row r="4991" ht="93" customHeight="1">
      <x:c r="A4991" s="19" t="n">
        <x:v>4988</x:v>
      </x:c>
      <x:c r="B4991" s="22" t="e">
        <x:f>HYPERLINK("https://cdn.shopify.com/s/files/1/0918/6066/4603/files/c0b6fbf1fb282f6ed84c60b1f271155e.jpg?v=1770276253","Open")</x:f>
        <x:v>HYPERLINK is not implemented. linkLocation=https://cdn.shopify.com/s/files/1/0918/6066/4603/files/c0b6fbf1fb282f6ed84c60b1f271155e.jpg?v=1770276253, friendlyName=Open</x:v>
      </x:c>
      <x:c r="C4991" s="24" t="e">
        <x:f>HYPERLINK("https://365nails.com/products/handmade-garden-party-3d-floral-press-on-nails-multi-color-petals-corset-detail-almond-10pcs-set","Handmade ""Garden Party"" 3D Floral Press-on Nails | Multi-Color Petals &amp; Corset Detail | Almond")</x:f>
        <x:v>HYPERLINK is not implemented. linkLocation=https://365nails.com/products/handmade-garden-party-3d-floral-press-on-nails-multi-color-petals-corset-detail-almond-10pcs-set, friendlyName=Handmade "Garden Party" 3D Floral Press-on Nails | Multi-Color Petals &amp; Corset Detail | Almond</x:v>
      </x:c>
      <x:c r="D4991" s="18" t="str">
        <x:v>Size: XS / S / M / L</x:v>
      </x:c>
      <x:c r="E4991" s="25" t="str">
        <x:v>$4.99</x:v>
      </x:c>
      <x:c r="F4991" s="19" t="str">
        <x:v>5</x:v>
      </x:c>
    </x:row>
    <x:row r="4992" ht="93" customHeight="1">
      <x:c r="A4992" s="19" t="n">
        <x:v>4989</x:v>
      </x:c>
      <x:c r="B4992" s="22" t="e">
        <x:f>HYPERLINK("https://cdn.shopify.com/s/files/1/0918/6066/4603/files/e72af3a7e3f2c83c0f2f752a5182cebc.jpg?v=1770276280","Open")</x:f>
        <x:v>HYPERLINK is not implemented. linkLocation=https://cdn.shopify.com/s/files/1/0918/6066/4603/files/e72af3a7e3f2c83c0f2f752a5182cebc.jpg?v=1770276280, friendlyName=Open</x:v>
      </x:c>
      <x:c r="C4992" s="24" t="e">
        <x:f>HYPERLINK("https://365nails.com/products/handmade-neon-bloom-3d-floral-press-on-nails-bubble-texture-zebra-tip-long-coffin-10pcs-set","Handmade ""Neon Bloom"" 3D Floral Press-on Nails | Bubble Texture &amp; Zebra Tip | Long Coffin")</x:f>
        <x:v>HYPERLINK is not implemented. linkLocation=https://365nails.com/products/handmade-neon-bloom-3d-floral-press-on-nails-bubble-texture-zebra-tip-long-coffin-10pcs-set, friendlyName=Handmade "Neon Bloom" 3D Floral Press-on Nails | Bubble Texture &amp; Zebra Tip | Long Coffin</x:v>
      </x:c>
      <x:c r="D4992" s="18" t="str">
        <x:v>Size: XS / S / M / L</x:v>
      </x:c>
      <x:c r="E4992" s="25" t="str">
        <x:v>$5.99</x:v>
      </x:c>
      <x:c r="F4992" s="19" t="str">
        <x:v>5</x:v>
      </x:c>
    </x:row>
    <x:row r="4993" ht="93" customHeight="1">
      <x:c r="A4993" s="19" t="n">
        <x:v>4990</x:v>
      </x:c>
      <x:c r="B4993" s="22" t="e">
        <x:f>HYPERLINK("https://cdn.shopify.com/s/files/1/0918/6066/4603/files/6d45f8bc4333fa0aff931d7c1981cf45.jpg?v=1764571864","Open")</x:f>
        <x:v>HYPERLINK is not implemented. linkLocation=https://cdn.shopify.com/s/files/1/0918/6066/4603/files/6d45f8bc4333fa0aff931d7c1981cf45.jpg?v=1764571864, friendlyName=Open</x:v>
      </x:c>
      <x:c r="C4993" s="24" t="e">
        <x:f>HYPERLINK("https://365nails.com/products/365nails-rose-gold-glitter-long-stiletto-claw-dragon-nails","Rose Honey Tea Claw Stiletto Sheer Brown‑Gold Gradient Handmade Dragon Nail")</x:f>
        <x:v>HYPERLINK is not implemented. linkLocation=https://365nails.com/products/365nails-rose-gold-glitter-long-stiletto-claw-dragon-nails, friendlyName=Rose Honey Tea Claw Stiletto Sheer Brown‑Gold Gradient Handmade Dragon Nail</x:v>
      </x:c>
      <x:c r="D4993" s="18" t="str">
        <x:v>Size: XS / S / M / L; Length: 40mm / 25mm</x:v>
      </x:c>
      <x:c r="E4993" s="25" t="str">
        <x:v>$9.99</x:v>
      </x:c>
      <x:c r="F4993" s="19" t="str">
        <x:v>1</x:v>
      </x:c>
    </x:row>
    <x:row r="4994" ht="93" customHeight="1">
      <x:c r="A4994" s="19" t="n">
        <x:v>4991</x:v>
      </x:c>
      <x:c r="B4994" s="22" t="e">
        <x:f>HYPERLINK("https://cdn.shopify.com/s/files/1/0918/6066/4603/files/53cd95086203dd496b50ec42fa3bf114.jpg?v=1771286246","Open")</x:f>
        <x:v>HYPERLINK is not implemented. linkLocation=https://cdn.shopify.com/s/files/1/0918/6066/4603/files/53cd95086203dd496b50ec42fa3bf114.jpg?v=1771286246, friendlyName=Open</x:v>
      </x:c>
      <x:c r="C4994" s="24" t="e">
        <x:f>HYPERLINK("https://365nails.com/products/wonderland-gambit-artist-series-exclusive","Artist Series: ""Wonderland Gambit"" – 3D Bronze Rabbit, Poker Spades &amp; Vintage Royal Crest Handmade Nails")</x:f>
        <x:v>HYPERLINK is not implemented. linkLocation=https://365nails.com/products/wonderland-gambit-artist-series-exclusive, friendlyName=Artist Series: "Wonderland Gambit" – 3D Bronze Rabbit, Poker Spades &amp; Vintage Royal Crest Handmade Nails</x:v>
      </x:c>
      <x:c r="D4994" s="18" t="str">
        <x:v>Size: XS / S / M / L</x:v>
      </x:c>
      <x:c r="E4994" s="25" t="str">
        <x:v>$99.00</x:v>
      </x:c>
      <x:c r="F4994" s="19" t="str">
        <x:v>1</x:v>
      </x:c>
    </x:row>
    <x:row r="4995" ht="93" customHeight="1">
      <x:c r="A4995" s="19" t="n">
        <x:v>4992</x:v>
      </x:c>
      <x:c r="B4995" s="22" t="e">
        <x:f>HYPERLINK("https://cdn.shopify.com/s/files/1/0918/6066/4603/files/8419647274f3e280ebc7f5286cb55739.jpg?v=1771286258","Open")</x:f>
        <x:v>HYPERLINK is not implemented. linkLocation=https://cdn.shopify.com/s/files/1/0918/6066/4603/files/8419647274f3e280ebc7f5286cb55739.jpg?v=1771286258, friendlyName=Open</x:v>
      </x:c>
      <x:c r="C4995" s="24" t="e">
        <x:f>HYPERLINK("https://365nails.com/products/queen-of-the-nile-artist-series-exclusive","Artist Series: ""Queen of the Nile"" – 3D Sculpted Cleopatra, Bastet Cat &amp; Eye of Horus Egyptian Masterpiece Nails")</x:f>
        <x:v>HYPERLINK is not implemented. linkLocation=https://365nails.com/products/queen-of-the-nile-artist-series-exclusive, friendlyName=Artist Series: "Queen of the Nile" – 3D Sculpted Cleopatra, Bastet Cat &amp; Eye of Horus Egyptian Masterpiece Nails</x:v>
      </x:c>
      <x:c r="D4995" s="18" t="str">
        <x:v>Size: XS / S / M / L</x:v>
      </x:c>
      <x:c r="E4995" s="25" t="str">
        <x:v>$99.00</x:v>
      </x:c>
      <x:c r="F4995" s="19" t="str">
        <x:v>1</x:v>
      </x:c>
    </x:row>
    <x:row r="4996" ht="93" customHeight="1">
      <x:c r="A4996" s="19" t="n">
        <x:v>4993</x:v>
      </x:c>
      <x:c r="B4996" s="22" t="e">
        <x:f>HYPERLINK("https://cdn.shopify.com/s/files/1/0918/6066/4603/files/0f7185fb4f4c280c43e746f34f8fe2f2.jpg?v=1771462858","Open")</x:f>
        <x:v>HYPERLINK is not implemented. linkLocation=https://cdn.shopify.com/s/files/1/0918/6066/4603/files/0f7185fb4f4c280c43e746f34f8fe2f2.jpg?v=1771462858, friendlyName=Open</x:v>
      </x:c>
      <x:c r="C4996" s="24" t="e">
        <x:f>HYPERLINK("https://365nails.com/products/gothic-rouge-sculpted-flora-series","Sculpted Flora: ""Gothic Rouge"" – 3D Burgundy Hibiscus &amp; Black Tribal Art Coffin Nails with Silver Beads")</x:f>
        <x:v>HYPERLINK is not implemented. linkLocation=https://365nails.com/products/gothic-rouge-sculpted-flora-series, friendlyName=Sculpted Flora: "Gothic Rouge" – 3D Burgundy Hibiscus &amp; Black Tribal Art Coffin Nails with Silver Beads</x:v>
      </x:c>
      <x:c r="D4996" s="18" t="str">
        <x:v>Size: XS / S / M / L</x:v>
      </x:c>
      <x:c r="E4996" s="25" t="str">
        <x:v>$3.99</x:v>
      </x:c>
      <x:c r="F4996" s="19" t="str">
        <x:v>5</x:v>
      </x:c>
    </x:row>
    <x:row r="4997" ht="93" customHeight="1">
      <x:c r="A4997" s="19" t="n">
        <x:v>4994</x:v>
      </x:c>
      <x:c r="B4997" s="22" t="e">
        <x:f>HYPERLINK("https://cdn.shopify.com/s/files/1/0918/6066/4603/files/b62059bad850915b6d5797bba440b715.jpg?v=1770276257","Open")</x:f>
        <x:v>HYPERLINK is not implemented. linkLocation=https://cdn.shopify.com/s/files/1/0918/6066/4603/files/b62059bad850915b6d5797bba440b715.jpg?v=1770276257, friendlyName=Open</x:v>
      </x:c>
      <x:c r="C4997" s="24" t="e">
        <x:f>HYPERLINK("https://365nails.com/products/handmade-summer-daydream-mixed-media-press-on-nails-3d-floral-shell-texture-abstract-art-long-coffin-10pcs-set","Handmade ""Summer Daydream"" Mixed Media Press-on Nails | 3D Floral, Shell Texture &amp; Abstract Art | Long Coffin")</x:f>
        <x:v>HYPERLINK is not implemented. linkLocation=https://365nails.com/products/handmade-summer-daydream-mixed-media-press-on-nails-3d-floral-shell-texture-abstract-art-long-coffin-10pcs-set, friendlyName=Handmade "Summer Daydream" Mixed Media Press-on Nails | 3D Floral, Shell Texture &amp; Abstract Art | Long Coffin</x:v>
      </x:c>
      <x:c r="D4997" s="18" t="str">
        <x:v>Size: XS / S / M / L</x:v>
      </x:c>
      <x:c r="E4997" s="25" t="str">
        <x:v>$4.99</x:v>
      </x:c>
      <x:c r="F4997" s="19" t="str">
        <x:v>5</x:v>
      </x:c>
    </x:row>
    <x:row r="4998" ht="93" customHeight="1">
      <x:c r="A4998" s="19" t="n">
        <x:v>4995</x:v>
      </x:c>
      <x:c r="B4998" s="22" t="e">
        <x:f>HYPERLINK("https://cdn.shopify.com/s/files/1/0918/6066/4603/files/d78f77b11e227fb66989a226b5443d0d.jpg?v=1770276293","Open")</x:f>
        <x:v>HYPERLINK is not implemented. linkLocation=https://cdn.shopify.com/s/files/1/0918/6066/4603/files/d78f77b11e227fb66989a226b5443d0d.jpg?v=1770276293, friendlyName=Open</x:v>
      </x:c>
      <x:c r="C4998" s="24" t="e">
        <x:f>HYPERLINK("https://365nails.com/products/handmade-tropical-sherbet-3d-floral-press-on-nails-yellow-red-blue-short-stiletto-10pcs-set","Handmade ""Tropical Sherbet"" 3D Floral Press-on Nails | Yellow, Red &amp; Blue | Short Stiletto")</x:f>
        <x:v>HYPERLINK is not implemented. linkLocation=https://365nails.com/products/handmade-tropical-sherbet-3d-floral-press-on-nails-yellow-red-blue-short-stiletto-10pcs-set, friendlyName=Handmade "Tropical Sherbet" 3D Floral Press-on Nails | Yellow, Red &amp; Blue | Short Stiletto</x:v>
      </x:c>
      <x:c r="D4998" s="18" t="str">
        <x:v>Size: XS / S / M / L</x:v>
      </x:c>
      <x:c r="E4998" s="25" t="str">
        <x:v>$4.99</x:v>
      </x:c>
      <x:c r="F4998" s="19" t="str">
        <x:v>5</x:v>
      </x:c>
    </x:row>
    <x:row r="4999" ht="93" customHeight="1">
      <x:c r="A4999" s="19" t="n">
        <x:v>4996</x:v>
      </x:c>
      <x:c r="B4999" s="22" t="e">
        <x:f>HYPERLINK("https://cdn.shopify.com/s/files/1/0918/6066/4603/files/b2c6e5fe7c0f5ca1d0ea54fa5c6dc2a1.jpg?v=1771403471","Open")</x:f>
        <x:v>HYPERLINK is not implemented. linkLocation=https://cdn.shopify.com/s/files/1/0918/6066/4603/files/b2c6e5fe7c0f5ca1d0ea54fa5c6dc2a1.jpg?v=1771403471, friendlyName=Open</x:v>
      </x:c>
      <x:c r="C4999" s="24" t="e">
        <x:f>HYPERLINK("https://365nails.com/products/rosy-sunset-ethereal-ink-series","Ethereal Ink: ""Rosy Sunset"" – Dusty Rose Cat Eye &amp; Terracotta Cloud Marble with Gold Foil Oval Nails")</x:f>
        <x:v>HYPERLINK is not implemented. linkLocation=https://365nails.com/products/rosy-sunset-ethereal-ink-series, friendlyName=Ethereal Ink: "Rosy Sunset" – Dusty Rose Cat Eye &amp; Terracotta Cloud Marble with Gold Foil Oval Nails</x:v>
      </x:c>
      <x:c r="D4999" s="18" t="str">
        <x:v>Size: XS / S / M / L</x:v>
      </x:c>
      <x:c r="E4999" s="25" t="str">
        <x:v>$3.99</x:v>
      </x:c>
      <x:c r="F4999" s="19" t="str">
        <x:v>30</x:v>
      </x:c>
    </x:row>
    <x:row r="5000" ht="93" customHeight="1">
      <x:c r="A5000" s="19" t="n">
        <x:v>4997</x:v>
      </x:c>
      <x:c r="B5000" s="22" t="e">
        <x:f>HYPERLINK("https://cdn.shopify.com/s/files/1/0918/6066/4603/files/000cd35277e52f63070e3868ba47d747.jpg?v=1764572065","Open")</x:f>
        <x:v>HYPERLINK is not implemented. linkLocation=https://cdn.shopify.com/s/files/1/0918/6066/4603/files/000cd35277e52f63070e3868ba47d747.jpg?v=1764572065, friendlyName=Open</x:v>
      </x:c>
      <x:c r="C5000" s="24" t="e">
        <x:f>HYPERLINK("https://365nails.com/products/365nails-glossy-black-long-stiletto-claw-dragon-nails","Pure Midnight Dragon Claw Stiletto Glossy Jet Black Handmade Dragon Nail")</x:f>
        <x:v>HYPERLINK is not implemented. linkLocation=https://365nails.com/products/365nails-glossy-black-long-stiletto-claw-dragon-nails, friendlyName=Pure Midnight Dragon Claw Stiletto Glossy Jet Black Handmade Dragon Nail</x:v>
      </x:c>
      <x:c r="D5000" s="18" t="str">
        <x:v>Size: XS / S / M / L; length: 40mm / 25mm</x:v>
      </x:c>
      <x:c r="E5000" s="25" t="str">
        <x:v>$6.99</x:v>
      </x:c>
      <x:c r="F5000" s="19" t="str">
        <x:v>1</x:v>
      </x:c>
    </x:row>
    <x:row r="5001" ht="93" customHeight="1">
      <x:c r="A5001" s="19" t="n">
        <x:v>4998</x:v>
      </x:c>
      <x:c r="B5001" s="22" t="e">
        <x:f>HYPERLINK("https://cdn.shopify.com/s/files/1/0918/6066/4603/files/bba7f8e19f2627e45fc74ee5dc1f5725.jpg?v=1755142571","Open")</x:f>
        <x:v>HYPERLINK is not implemented. linkLocation=https://cdn.shopify.com/s/files/1/0918/6066/4603/files/bba7f8e19f2627e45fc74ee5dc1f5725.jpg?v=1755142571, friendlyName=Open</x:v>
      </x:c>
      <x:c r="C5001" s="24" t="e">
        <x:f>HYPERLINK("https://365nails.com/products/nail-tips-240-pieces-of-special-nail-pads-for-nail-salons-boxed-full-size-trapezoidal-full-stickers-folded-without-marks-and-frosted-fake-nails-wholesale","Special Salon Nail Pads, Frosted Full-Cover Trapezoidal Stickers, No-Marking Foldable Fake Nails, 240 Pieces Boxed Wholesale (MOQ=3)")</x:f>
        <x:v>HYPERLINK is not implemented. linkLocation=https://365nails.com/products/nail-tips-240-pieces-of-special-nail-pads-for-nail-salons-boxed-full-size-trapezoidal-full-stickers-folded-without-marks-and-frosted-fake-nails-wholesale, friendlyName=Special Salon Nail Pads, Frosted Full-Cover Trapezoidal Stickers, No-Marking Foldable Fake Nails, 240 Pieces Boxed Wholesale (MOQ=3)</x:v>
      </x:c>
      <x:c r="D5001" s="18" t="str">
        <x:v>Color: 191 short oval 240 pieces / 191 Short Oval 240 Tablets - Refill Pack / 192 trapezoidal 240 pieces / 192 Keystone 240 Pieces - Refill Pack / 193 short trapezoidal 240 pieces / 193 Short Trapezoid 240 Pieces - Refill / 194 medium almonds 240 pieces / 194 medium almonds 240 tablets - refill pack / 195 short round 240 pieces / 196 square armor 240 pieces / 197 short square - 240 pieces / 198 Long Almonds - 240 Pieces / 199 Japanese Fat Oval-240 Pieces / 199-2 Japanese Short Fat Oval-240 pieces / 401 Ultra Short Ladder - Full Scrub - 240 Pieces / 401 ultra-short ladder - semi-matte - 240 pieces / 402 new short ladder - semi-matte - 240 pieces / 403 new short square - 240 pieces / 404 Short Ballet - 240 Tablets / 405 Short Almonds - 240 Tablets; Color classification: PP plastic box / bagged; Quantity: 3pcs</x:v>
      </x:c>
      <x:c r="E5001" s="25" t="str">
        <x:v>$1.92–$2.46</x:v>
      </x:c>
      <x:c r="F5001" s="19" t="str">
        <x:v>1</x:v>
      </x:c>
    </x:row>
    <x:row r="5002" ht="93" customHeight="1">
      <x:c r="A5002" s="19" t="n">
        <x:v>4999</x:v>
      </x:c>
      <x:c r="B5002" s="22" t="e">
        <x:f>HYPERLINK("https://cdn.shopify.com/s/files/1/0918/6066/4603/files/O1CN010Af3kB1HlWwonlKPb__2545140798-0-cib_ade368c4-08b8-4065-b25b-e27f5def929e.jpg?v=1775398682","Open")</x:f>
        <x:v>HYPERLINK is not implemented. linkLocation=https://cdn.shopify.com/s/files/1/0918/6066/4603/files/O1CN010Af3kB1HlWwonlKPb__2545140798-0-cib_ade368c4-08b8-4065-b25b-e27f5def929e.jpg?v=1775398682, friendlyName=Open</x:v>
      </x:c>
      <x:c r="C5002" s="24" t="e">
        <x:f>HYPERLINK("https://365nails.com/products/365nails-dragon-dynasty-chinese-style-nail-stickers","365nails: ""Dragon Dynasty"" – Chinese Style Nail Stickers")</x:f>
        <x:v>HYPERLINK is not implemented. linkLocation=https://365nails.com/products/365nails-dragon-dynasty-chinese-style-nail-stickers, friendlyName=365nails: "Dragon Dynasty" – Chinese Style Nail Stickers</x:v>
      </x:c>
      <x:c r="D5002" s="18" t="str">
        <x:v>Specification type: To3387 / To3389</x:v>
      </x:c>
      <x:c r="E5002" s="25" t="str">
        <x:v>$1.09</x:v>
      </x:c>
      <x:c r="F5002" s="19" t="str">
        <x:v>5</x:v>
      </x:c>
    </x:row>
    <x:row r="5003" ht="93" customHeight="1">
      <x:c r="A5003" s="19" t="n">
        <x:v>5000</x:v>
      </x:c>
      <x:c r="B5003" s="22" t="e">
        <x:f>HYPERLINK("https://cdn.shopify.com/s/files/1/0918/6066/4603/files/628682282fdf8d3e03ea052c143b4aab.jpg?v=1771463020","Open")</x:f>
        <x:v>HYPERLINK is not implemented. linkLocation=https://cdn.shopify.com/s/files/1/0918/6066/4603/files/628682282fdf8d3e03ea052c143b4aab.jpg?v=1771463020, friendlyName=Open</x:v>
      </x:c>
      <x:c r="C5003" s="24" t="e">
        <x:f>HYPERLINK("https://365nails.com/products/cosmic-violet-galaxy-sculpted-flora-series","Sculpted Flora: ""Cosmic Violet Galaxy"" – 3D Blue-Purple Gradient Flower on Dark Cat Eye Stiletto Nails")</x:f>
        <x:v>HYPERLINK is not implemented. linkLocation=https://365nails.com/products/cosmic-violet-galaxy-sculpted-flora-series, friendlyName=Sculpted Flora: "Cosmic Violet Galaxy" – 3D Blue-Purple Gradient Flower on Dark Cat Eye Stiletto Nails</x:v>
      </x:c>
      <x:c r="D5003" s="18" t="str">
        <x:v>Size: XS / S / M / L</x:v>
      </x:c>
      <x:c r="E5003" s="25" t="str">
        <x:v>$3.99</x:v>
      </x:c>
      <x:c r="F5003" s="19" t="str">
        <x:v>5</x:v>
      </x:c>
    </x:row>
    <x:row r="5004" ht="93" customHeight="1">
      <x:c r="A5004" s="19" t="n">
        <x:v>5001</x:v>
      </x:c>
      <x:c r="B5004" s="22" t="e">
        <x:f>HYPERLINK("https://cdn.shopify.com/s/files/1/0918/6066/4603/files/O1CN01HttQjX1HlX2jVmBFB__2545140798-0-cib_8e59f37b-7d3d-47e2-9365-6a4087973811.jpg?v=1775454818","Open")</x:f>
        <x:v>HYPERLINK is not implemented. linkLocation=https://cdn.shopify.com/s/files/1/0918/6066/4603/files/O1CN01HttQjX1HlX2jVmBFB__2545140798-0-cib_8e59f37b-7d3d-47e2-9365-6a4087973811.jpg?v=1775454818, friendlyName=Open</x:v>
      </x:c>
      <x:c r="C5004" s="24" t="e">
        <x:f>HYPERLINK("https://365nails.com/products/365nails-dragon-persimmon-handmade-press-on-nails","365nails: ""Dragon &amp; Persimmon"" – Nail Art Stickers")</x:f>
        <x:v>HYPERLINK is not implemented. linkLocation=https://365nails.com/products/365nails-dragon-persimmon-handmade-press-on-nails, friendlyName=365nails: "Dragon &amp; Persimmon" – Nail Art Stickers</x:v>
      </x:c>
      <x:c r="D5004" s="18" t="str">
        <x:v>Specification type: Wy-35-relief / Wy-38-relief / Wy-40-shell light</x:v>
      </x:c>
      <x:c r="E5004" s="25" t="str">
        <x:v>$1.23</x:v>
      </x:c>
      <x:c r="F5004" s="19" t="str">
        <x:v>5</x:v>
      </x:c>
    </x:row>
    <x:row r="5005" ht="93" customHeight="1">
      <x:c r="A5005" s="19" t="n">
        <x:v>5002</x:v>
      </x:c>
      <x:c r="B5005" s="22" t="e">
        <x:f>HYPERLINK("https://cdn.shopify.com/s/files/1/0918/6066/4603/files/5535d71741334fe09283aa8db24cd652.jpg?v=1771409586","Open")</x:f>
        <x:v>HYPERLINK is not implemented. linkLocation=https://cdn.shopify.com/s/files/1/0918/6066/4603/files/5535d71741334fe09283aa8db24cd652.jpg?v=1771409586, friendlyName=Open</x:v>
      </x:c>
      <x:c r="C5005" s="24" t="e">
        <x:f>HYPERLINK("https://365nails.com/products/unicorn-galaxy-ethereal-ink-series","Ethereal Ink: ""Unicorn Galaxy"" – Lilac Pink &amp; Sky Blue Gradient Marble with Silver Foil &amp; Holographic Glitters Oval Nails")</x:f>
        <x:v>HYPERLINK is not implemented. linkLocation=https://365nails.com/products/unicorn-galaxy-ethereal-ink-series, friendlyName=Ethereal Ink: "Unicorn Galaxy" – Lilac Pink &amp; Sky Blue Gradient Marble with Silver Foil &amp; Holographic Glitters Oval Nails</x:v>
      </x:c>
      <x:c r="D5005" s="18" t="str">
        <x:v>Size: XS / S / M / L</x:v>
      </x:c>
      <x:c r="E5005" s="25" t="str">
        <x:v>$3.99</x:v>
      </x:c>
      <x:c r="F5005" s="19" t="str">
        <x:v>30</x:v>
      </x:c>
    </x:row>
    <x:row r="5006" ht="93" customHeight="1">
      <x:c r="A5006" s="19" t="n">
        <x:v>5003</x:v>
      </x:c>
      <x:c r="B5006" s="22" t="e">
        <x:f>HYPERLINK("https://cdn.shopify.com/s/files/1/0918/6066/4603/files/030737eec76a7f925e4588c88b7d5f16.jpg?v=1771406996","Open")</x:f>
        <x:v>HYPERLINK is not implemented. linkLocation=https://cdn.shopify.com/s/files/1/0918/6066/4603/files/030737eec76a7f925e4588c88b7d5f16.jpg?v=1771406996, friendlyName=Open</x:v>
      </x:c>
      <x:c r="C5006" s="24" t="e">
        <x:f>HYPERLINK("https://365nails.com/products/crimson-floral-mist-ethereal-ink-series","Ethereal Ink: ""Crimson Floral Mist"" – Burgundy Marble with Hand-Painted White Flowers &amp; Gold Foil Almond Nails")</x:f>
        <x:v>HYPERLINK is not implemented. linkLocation=https://365nails.com/products/crimson-floral-mist-ethereal-ink-series, friendlyName=Ethereal Ink: "Crimson Floral Mist" – Burgundy Marble with Hand-Painted White Flowers &amp; Gold Foil Almond Nails</x:v>
      </x:c>
      <x:c r="D5006" s="18" t="str">
        <x:v>Size: XS / S / M / L</x:v>
      </x:c>
      <x:c r="E5006" s="25" t="str">
        <x:v>$3.99</x:v>
      </x:c>
      <x:c r="F5006" s="19" t="str">
        <x:v>30</x:v>
      </x:c>
    </x:row>
    <x:row r="5007" ht="93" customHeight="1">
      <x:c r="A5007" s="19" t="n">
        <x:v>5004</x:v>
      </x:c>
      <x:c r="B5007" s="22" t="e">
        <x:f>HYPERLINK("https://cdn.shopify.com/s/files/1/0918/6066/4603/files/O1CN01smbOTK1CzfI9LRaQm__2633600152-0-cib.jpg?v=1772014980","Open")</x:f>
        <x:v>HYPERLINK is not implemented. linkLocation=https://cdn.shopify.com/s/files/1/0918/6066/4603/files/O1CN01smbOTK1CzfI9LRaQm__2633600152-0-cib.jpg?v=1772014980, friendlyName=Open</x:v>
      </x:c>
      <x:c r="C5007" s="24" t="e">
        <x:f>HYPERLINK("https://365nails.com/products/cross-border-500-stickers-roll-pink-english-thank-you-self-adhesive-label-gift-packaging-sealing-thank-you-sticker","Pink ""Thank You"" Heart Sticker Roll | Cute Packaging Seals for Small Business")</x:f>
        <x:v>HYPERLINK is not implemented. linkLocation=https://365nails.com/products/cross-border-500-stickers-roll-pink-english-thank-you-self-adhesive-label-gift-packaging-sealing-thank-you-sticker, friendlyName=Pink "Thank You" Heart Sticker Roll | Cute Packaging Seals for Small Business</x:v>
      </x:c>
      <x:c r="D5007" s="18" t="str">
        <x:v>Specifications and models: 2.5cm wide pink english cursive stickers with repeating pattern (2 designs) [1 roll of 500 stickers] / 2.5cm wide pink english cursive stickers with repeating pattern (2 rolls, 1000 stickers total) / 2.5cm wide pink english cursive stickers with repeating pattern (2 patterns, 3 rolls, 1500 stickers total)</x:v>
      </x:c>
      <x:c r="E5007" s="25" t="str">
        <x:v>$2.00–$6.00</x:v>
      </x:c>
      <x:c r="F5007" s="19" t="str">
        <x:v>1</x:v>
      </x:c>
    </x:row>
    <x:row r="5008" ht="93" customHeight="1">
      <x:c r="A5008" s="19" t="n">
        <x:v>5005</x:v>
      </x:c>
      <x:c r="B5008" s="22" t="e">
        <x:f>HYPERLINK("https://cdn.shopify.com/s/files/1/0918/6066/4603/files/492600b29098b3dd3c454eb26fcd54cb.jpg?v=1771462935","Open")</x:f>
        <x:v>HYPERLINK is not implemented. linkLocation=https://cdn.shopify.com/s/files/1/0918/6066/4603/files/492600b29098b3dd3c454eb26fcd54cb.jpg?v=1771462935, friendlyName=Open</x:v>
      </x:c>
      <x:c r="C5008" s="24" t="e">
        <x:f>HYPERLINK("https://365nails.com/products/azure-leopard-cross-sculpted-flora-series","Sculpted Flora: ""Azure Leopard Cross"" – 3D Blue Flower with Leopard Print &amp; Silver Cross Charm Coffin Nails")</x:f>
        <x:v>HYPERLINK is not implemented. linkLocation=https://365nails.com/products/azure-leopard-cross-sculpted-flora-series, friendlyName=Sculpted Flora: "Azure Leopard Cross" – 3D Blue Flower with Leopard Print &amp; Silver Cross Charm Coffin Nails</x:v>
      </x:c>
      <x:c r="D5008" s="18" t="str">
        <x:v>Size: XS / S / M / L</x:v>
      </x:c>
      <x:c r="E5008" s="25" t="str">
        <x:v>$3.99</x:v>
      </x:c>
      <x:c r="F5008" s="19" t="str">
        <x:v>5</x:v>
      </x:c>
    </x:row>
    <x:row r="5009" ht="93" customHeight="1">
      <x:c r="A5009" s="19" t="n">
        <x:v>5006</x:v>
      </x:c>
      <x:c r="B5009" s="22" t="e">
        <x:f>HYPERLINK("https://cdn.shopify.com/s/files/1/0918/6066/4603/files/834f9e7d10f3b0af3e7a484c9251a757.jpg?v=1771386738","Open")</x:f>
        <x:v>HYPERLINK is not implemented. linkLocation=https://cdn.shopify.com/s/files/1/0918/6066/4603/files/834f9e7d10f3b0af3e7a484c9251a757.jpg?v=1771386738, friendlyName=Open</x:v>
      </x:c>
      <x:c r="C5009" s="24" t="e">
        <x:f>HYPERLINK("https://365nails.com/products/crimson-ink-femme-fatale-collection","Femme Fatale: ""Crimson Ink"" – Matte Brown Base with Metallic Red Gothic Lettering, Tattoo Style Long Stiletto Nails")</x:f>
        <x:v>HYPERLINK is not implemented. linkLocation=https://365nails.com/products/crimson-ink-femme-fatale-collection, friendlyName=Femme Fatale: "Crimson Ink" – Matte Brown Base with Metallic Red Gothic Lettering, Tattoo Style Long Stiletto Nails</x:v>
      </x:c>
      <x:c r="D5009" s="18" t="str">
        <x:v>Size: XS / S / M / L</x:v>
      </x:c>
      <x:c r="E5009" s="25" t="str">
        <x:v>$3.99</x:v>
      </x:c>
      <x:c r="F5009" s="19" t="str">
        <x:v>5</x:v>
      </x:c>
    </x:row>
    <x:row r="5010" ht="93" customHeight="1">
      <x:c r="A5010" s="19" t="n">
        <x:v>5007</x:v>
      </x:c>
      <x:c r="B5010" s="22" t="e">
        <x:f>HYPERLINK("https://cdn.shopify.com/s/files/1/0918/6066/4603/files/f26aa552ab867dfd3911e8ae38d30bdb.jpg?v=1771309769","Open")</x:f>
        <x:v>HYPERLINK is not implemented. linkLocation=https://cdn.shopify.com/s/files/1/0918/6066/4603/files/f26aa552ab867dfd3911e8ae38d30bdb.jpg?v=1771309769, friendlyName=Open</x:v>
      </x:c>
      <x:c r="C5010" s="24" t="e">
        <x:f>HYPERLINK("https://365nails.com/products/puppys-daily-life-cartoon-dopamine-collection","Cartoon &amp; Dopamine: ""Puppy's Daily Life"" – Hand-Painted Long Dog, Dog House, Bone &amp; Motivational Quote Short Nails")</x:f>
        <x:v>HYPERLINK is not implemented. linkLocation=https://365nails.com/products/puppys-daily-life-cartoon-dopamine-collection, friendlyName=Cartoon &amp; Dopamine: "Puppy's Daily Life" – Hand-Painted Long Dog, Dog House, Bone &amp; Motivational Quote Short Nails</x:v>
      </x:c>
      <x:c r="D5010" s="18" t="str">
        <x:v>Size: XS / S / M / L</x:v>
      </x:c>
      <x:c r="E5010" s="25" t="str">
        <x:v>$3.99</x:v>
      </x:c>
      <x:c r="F5010" s="19" t="str">
        <x:v>5</x:v>
      </x:c>
    </x:row>
    <x:row r="5011" ht="93" customHeight="1">
      <x:c r="A5011" s="19" t="n">
        <x:v>5008</x:v>
      </x:c>
      <x:c r="B5011" s="22" t="e">
        <x:f>HYPERLINK("https://cdn.shopify.com/s/files/1/0918/6066/4603/files/df972a9ad37cfb04740ac33ee443ebf0.jpg?v=1777798488","Open")</x:f>
        <x:v>HYPERLINK is not implemented. linkLocation=https://cdn.shopify.com/s/files/1/0918/6066/4603/files/df972a9ad37cfb04740ac33ee443ebf0.jpg?v=1777798488, friendlyName=Open</x:v>
      </x:c>
      <x:c r="C5011" s="24" t="e">
        <x:f>HYPERLINK("https://365nails.com/products/365nails-nude-brown-flower-leopard-mix-handmade-medium-stiletto-press-on-nails","365nails: ""Nude Brown Flower Leopard Mix"" – Handmade Medium Stiletto Press-On Nails")</x:f>
        <x:v>HYPERLINK is not implemented. linkLocation=https://365nails.com/products/365nails-nude-brown-flower-leopard-mix-handmade-medium-stiletto-press-on-nails, friendlyName=365nails: "Nude Brown Flower Leopard Mix" – Handmade Medium Stiletto Press-On Nails</x:v>
      </x:c>
      <x:c r="D5011" s="18" t="str">
        <x:v>Size: XS / S / M / L</x:v>
      </x:c>
      <x:c r="E5011" s="25" t="str">
        <x:v>$3.49</x:v>
      </x:c>
      <x:c r="F5011" s="19" t="str">
        <x:v>5</x:v>
      </x:c>
    </x:row>
    <x:row r="5012" ht="93" customHeight="1">
      <x:c r="A5012" s="19" t="n">
        <x:v>5009</x:v>
      </x:c>
      <x:c r="B5012" s="22" t="e">
        <x:f>HYPERLINK("https://cdn.shopify.com/s/files/1/0918/6066/4603/files/67213f48fde8820aee336cfd92ae3363_0103af06-7629-4a5d-bbbe-567db0693638.jpg?v=1765273328","Open")</x:f>
        <x:v>HYPERLINK is not implemented. linkLocation=https://cdn.shopify.com/s/files/1/0918/6066/4603/files/67213f48fde8820aee336cfd92ae3363_0103af06-7629-4a5d-bbbe-567db0693638.jpg?v=1765273328, friendlyName=Open</x:v>
      </x:c>
      <x:c r="C5012" s="24" t="e">
        <x:f>HYPERLINK("https://365nails.com/products/wine-red-matte-sparkle-square-raspberry-fizz-glitter-press-on-nails-starry-glitter-sparkling-series","Wine Red Matte Sparkle Square Raspberry Fizz Glitter Press On Nails | Starry Glitter · Sparkling Series")</x:f>
        <x:v>HYPERLINK is not implemented. linkLocation=https://365nails.com/products/wine-red-matte-sparkle-square-raspberry-fizz-glitter-press-on-nails-starry-glitter-sparkling-series, friendlyName=Wine Red Matte Sparkle Square Raspberry Fizz Glitter Press On Nails | Starry Glitter · Sparkling Series</x:v>
      </x:c>
      <x:c r="D5012" s="18" t="str">
        <x:v>shape: almond / square; Size: XS / S / M / L; length: 45mm / 30mm</x:v>
      </x:c>
      <x:c r="E5012" s="25" t="str">
        <x:v>$9.00</x:v>
      </x:c>
      <x:c r="F5012" s="19" t="str">
        <x:v>1</x:v>
      </x:c>
    </x:row>
    <x:row r="5013" ht="93" customHeight="1">
      <x:c r="A5013" s="19" t="n">
        <x:v>5010</x:v>
      </x:c>
      <x:c r="B5013" s="22" t="e">
        <x:f>HYPERLINK("https://cdn.shopify.com/s/files/1/0918/6066/4603/files/65786ba64025f6b79a1a90a46881f3cf.jpg?v=1771393692","Open")</x:f>
        <x:v>HYPERLINK is not implemented. linkLocation=https://cdn.shopify.com/s/files/1/0918/6066/4603/files/65786ba64025f6b79a1a90a46881f3cf.jpg?v=1771393692, friendlyName=Open</x:v>
      </x:c>
      <x:c r="C5013" s="24" t="e">
        <x:f>HYPERLINK("https://365nails.com/products/fractured-tide-femme-fatale-collection","Femme Fatale: ""Fractured Tide"" – Dusty Blue &amp; Dark Red Color Block with White Marble Crackle Texture &amp; 3D Star Relief Long Stiletto Nails")</x:f>
        <x:v>HYPERLINK is not implemented. linkLocation=https://365nails.com/products/fractured-tide-femme-fatale-collection, friendlyName=Femme Fatale: "Fractured Tide" – Dusty Blue &amp; Dark Red Color Block with White Marble Crackle Texture &amp; 3D Star Relief Long Stiletto Nails</x:v>
      </x:c>
      <x:c r="D5013" s="18" t="str">
        <x:v>Size: XS / S / M / L</x:v>
      </x:c>
      <x:c r="E5013" s="25" t="str">
        <x:v>$3.99</x:v>
      </x:c>
      <x:c r="F5013" s="19" t="str">
        <x:v>5</x:v>
      </x:c>
    </x:row>
    <x:row r="5014" ht="93" customHeight="1">
      <x:c r="A5014" s="19" t="n">
        <x:v>5011</x:v>
      </x:c>
      <x:c r="B5014" s="22" t="e">
        <x:f>HYPERLINK("https://cdn.shopify.com/s/files/1/0918/6066/4603/files/f1cfc6753745138168fc8ba5e9c72d7e.jpg?v=1771393248","Open")</x:f>
        <x:v>HYPERLINK is not implemented. linkLocation=https://cdn.shopify.com/s/files/1/0918/6066/4603/files/f1cfc6753745138168fc8ba5e9c72d7e.jpg?v=1771393248, friendlyName=Open</x:v>
      </x:c>
      <x:c r="C5014" s="24" t="e">
        <x:f>HYPERLINK("https://365nails.com/products/crimson-empress-femme-fatale-collection","Femme Fatale: ""Crimson Empress"" – Deep Red Cat Eye with Black Gothic Floral Vines &amp; 3D Silver Chrome Armor Tips Long Stiletto Nails")</x:f>
        <x:v>HYPERLINK is not implemented. linkLocation=https://365nails.com/products/crimson-empress-femme-fatale-collection, friendlyName=Femme Fatale: "Crimson Empress" – Deep Red Cat Eye with Black Gothic Floral Vines &amp; 3D Silver Chrome Armor Tips Long Stiletto Nails</x:v>
      </x:c>
      <x:c r="D5014" s="18" t="str">
        <x:v>Size: XS / S / M / L</x:v>
      </x:c>
      <x:c r="E5014" s="25" t="str">
        <x:v>$3.99</x:v>
      </x:c>
      <x:c r="F5014" s="19" t="str">
        <x:v>5</x:v>
      </x:c>
    </x:row>
    <x:row r="5015" ht="93" customHeight="1">
      <x:c r="A5015" s="19" t="n">
        <x:v>5012</x:v>
      </x:c>
      <x:c r="B5015" s="22" t="e">
        <x:f>HYPERLINK("https://cdn.shopify.com/s/files/1/0918/6066/4603/files/942cf7803eb4458d137cf3398a2804be.jpg?v=1771387854","Open")</x:f>
        <x:v>HYPERLINK is not implemented. linkLocation=https://cdn.shopify.com/s/files/1/0918/6066/4603/files/942cf7803eb4458d137cf3398a2804be.jpg?v=1771387854, friendlyName=Open</x:v>
      </x:c>
      <x:c r="C5015" s="24" t="e">
        <x:f>HYPERLINK("https://365nails.com/products/savage-loyalty-femme-fatale-collection","Femme Fatale: ""Savage Loyalty"" – Matte Black &amp; Red Aura with Electric Blue Gothic Lettering Long Stiletto Nails")</x:f>
        <x:v>HYPERLINK is not implemented. linkLocation=https://365nails.com/products/savage-loyalty-femme-fatale-collection, friendlyName=Femme Fatale: "Savage Loyalty" – Matte Black &amp; Red Aura with Electric Blue Gothic Lettering Long Stiletto Nails</x:v>
      </x:c>
      <x:c r="D5015" s="18" t="str">
        <x:v>Size: XS / S / M / L</x:v>
      </x:c>
      <x:c r="E5015" s="25" t="str">
        <x:v>$3.99</x:v>
      </x:c>
      <x:c r="F5015" s="19" t="str">
        <x:v>5</x:v>
      </x:c>
    </x:row>
    <x:row r="5016" ht="93" customHeight="1">
      <x:c r="A5016" s="19" t="n">
        <x:v>5013</x:v>
      </x:c>
      <x:c r="B5016" s="22" t="e">
        <x:f>HYPERLINK("https://cdn.shopify.com/s/files/1/0918/6066/4603/files/bbbe7a10490e98aa2b87a7679b8a267b.jpg?v=1771463147","Open")</x:f>
        <x:v>HYPERLINK is not implemented. linkLocation=https://cdn.shopify.com/s/files/1/0918/6066/4603/files/bbbe7a10490e98aa2b87a7679b8a267b.jpg?v=1771463147, friendlyName=Open</x:v>
      </x:c>
      <x:c r="C5016" s="24" t="e">
        <x:f>HYPERLINK("https://365nails.com/products/orchid-lemonade-sculpted-flora-series","Sculpted Flora: ""Orchid Lemonade"" – 3D Pink &amp; Yellow Gradient Flower with Abstract Swirls Coffin Nails")</x:f>
        <x:v>HYPERLINK is not implemented. linkLocation=https://365nails.com/products/orchid-lemonade-sculpted-flora-series, friendlyName=Sculpted Flora: "Orchid Lemonade" – 3D Pink &amp; Yellow Gradient Flower with Abstract Swirls Coffin Nails</x:v>
      </x:c>
      <x:c r="D5016" s="18" t="str">
        <x:v>Size: XS / S / M / L</x:v>
      </x:c>
      <x:c r="E5016" s="25" t="str">
        <x:v>$3.99</x:v>
      </x:c>
      <x:c r="F5016" s="19" t="str">
        <x:v>5</x:v>
      </x:c>
    </x:row>
    <x:row r="5017" ht="93" customHeight="1">
      <x:c r="A5017" s="19" t="n">
        <x:v>5014</x:v>
      </x:c>
      <x:c r="B5017" s="22" t="e">
        <x:f>HYPERLINK("https://cdn.shopify.com/s/files/1/0918/6066/4603/files/96192cc4b724f78ea224b860c192452f.jpg?v=1771409863","Open")</x:f>
        <x:v>HYPERLINK is not implemented. linkLocation=https://cdn.shopify.com/s/files/1/0918/6066/4603/files/96192cc4b724f78ea224b860c192452f.jpg?v=1771409863, friendlyName=Open</x:v>
      </x:c>
      <x:c r="C5017" s="24" t="e">
        <x:f>HYPERLINK("https://365nails.com/products/slate-marble-flow-ethereal-ink-series","Ethereal Ink: ""Slate Marble Flow"" – Slate Blue Cat Eye &amp; Milky Ink Marble with 3D Silver Lines Almond Nails")</x:f>
        <x:v>HYPERLINK is not implemented. linkLocation=https://365nails.com/products/slate-marble-flow-ethereal-ink-series, friendlyName=Ethereal Ink: "Slate Marble Flow" – Slate Blue Cat Eye &amp; Milky Ink Marble with 3D Silver Lines Almond Nails</x:v>
      </x:c>
      <x:c r="D5017" s="18" t="str">
        <x:v>Size: XS / S / M / L</x:v>
      </x:c>
      <x:c r="E5017" s="25" t="str">
        <x:v>$3.99</x:v>
      </x:c>
      <x:c r="F5017" s="19" t="str">
        <x:v>30</x:v>
      </x:c>
    </x:row>
    <x:row r="5018" ht="93" customHeight="1">
      <x:c r="A5018" s="19" t="n">
        <x:v>5015</x:v>
      </x:c>
      <x:c r="B5018" s="22" t="e">
        <x:f>HYPERLINK("https://cdn.shopify.com/s/files/1/0918/6066/4603/files/c7985a20a846c5dafa261c78dda11fed.jpg?v=1771405884","Open")</x:f>
        <x:v>HYPERLINK is not implemented. linkLocation=https://cdn.shopify.com/s/files/1/0918/6066/4603/files/c7985a20a846c5dafa261c78dda11fed.jpg?v=1771405884, friendlyName=Open</x:v>
      </x:c>
      <x:c r="C5018" s="24" t="e">
        <x:f>HYPERLINK("https://365nails.com/products/mocha-swirl-ethereal-ink-series","Ethereal Ink: ""Mocha Swirl"" – Reddish Brown Cat Eye &amp; Milky Coffee Marble with Silver Lines Almond Nails")</x:f>
        <x:v>HYPERLINK is not implemented. linkLocation=https://365nails.com/products/mocha-swirl-ethereal-ink-series, friendlyName=Ethereal Ink: "Mocha Swirl" – Reddish Brown Cat Eye &amp; Milky Coffee Marble with Silver Lines Almond Nails</x:v>
      </x:c>
      <x:c r="D5018" s="18" t="str">
        <x:v>Size: XS / S / M / L</x:v>
      </x:c>
      <x:c r="E5018" s="25" t="str">
        <x:v>$3.99</x:v>
      </x:c>
      <x:c r="F5018" s="19" t="str">
        <x:v>30</x:v>
      </x:c>
    </x:row>
    <x:row r="5019" ht="93" customHeight="1">
      <x:c r="A5019" s="19" t="n">
        <x:v>5016</x:v>
      </x:c>
      <x:c r="B5019" s="22" t="e">
        <x:f>HYPERLINK("https://cdn.shopify.com/s/files/1/0918/6066/4603/files/14ea260613f79edee4855a71e1a7e42e_a8a371c2-e32d-4cad-ac5c-9597bc194c3e.jpg?v=1771397392","Open")</x:f>
        <x:v>HYPERLINK is not implemented. linkLocation=https://cdn.shopify.com/s/files/1/0918/6066/4603/files/14ea260613f79edee4855a71e1a7e42e_a8a371c2-e32d-4cad-ac5c-9597bc194c3e.jpg?v=1771397392, friendlyName=Open</x:v>
      </x:c>
      <x:c r="C5019" s="24" t="e">
        <x:f>HYPERLINK("https://365nails.com/products/metallic-python-femme-fatale-collection","Femme Fatale: ""Metallic Python"" – Black &amp; Silver Chrome Snakeskin Print Long Stiletto Nails")</x:f>
        <x:v>HYPERLINK is not implemented. linkLocation=https://365nails.com/products/metallic-python-femme-fatale-collection, friendlyName=Femme Fatale: "Metallic Python" – Black &amp; Silver Chrome Snakeskin Print Long Stiletto Nails</x:v>
      </x:c>
      <x:c r="D5019" s="18" t="str">
        <x:v>Size: XS / S / M / L</x:v>
      </x:c>
      <x:c r="E5019" s="25" t="str">
        <x:v>$3.99</x:v>
      </x:c>
      <x:c r="F5019" s="19" t="str">
        <x:v>5</x:v>
      </x:c>
    </x:row>
    <x:row r="5020" ht="93" customHeight="1">
      <x:c r="A5020" s="19" t="n">
        <x:v>5017</x:v>
      </x:c>
      <x:c r="B5020" s="22" t="e">
        <x:f>HYPERLINK("https://cdn.shopify.com/s/files/1/0918/6066/4603/files/0f1657fc002a4f2d2647724c4fce06b7.jpg?v=1771396111","Open")</x:f>
        <x:v>HYPERLINK is not implemented. linkLocation=https://cdn.shopify.com/s/files/1/0918/6066/4603/files/0f1657fc002a4f2d2647724c4fce06b7.jpg?v=1771396111, friendlyName=Open</x:v>
      </x:c>
      <x:c r="C5020" s="24" t="e">
        <x:f>HYPERLINK("https://365nails.com/products/amber-argyle-femme-fatale-collection","Femme Fatale: ""Amber Argyle"" – Glossy Brown Tortoiseshell Plaid with White Grid Lines Long Stiletto Nails")</x:f>
        <x:v>HYPERLINK is not implemented. linkLocation=https://365nails.com/products/amber-argyle-femme-fatale-collection, friendlyName=Femme Fatale: "Amber Argyle" – Glossy Brown Tortoiseshell Plaid with White Grid Lines Long Stiletto Nails</x:v>
      </x:c>
      <x:c r="D5020" s="18" t="str">
        <x:v>Size: XS / S / M / L</x:v>
      </x:c>
      <x:c r="E5020" s="25" t="str">
        <x:v>$3.99</x:v>
      </x:c>
      <x:c r="F5020" s="19" t="str">
        <x:v>5</x:v>
      </x:c>
    </x:row>
    <x:row r="5021" ht="93" customHeight="1">
      <x:c r="A5021" s="19" t="n">
        <x:v>5018</x:v>
      </x:c>
      <x:c r="B5021" s="22" t="e">
        <x:f>HYPERLINK("https://cdn.shopify.com/s/files/1/0918/6066/4603/files/88524add47869cbb301a6fcd6e1a3875.jpg?v=1771387196","Open")</x:f>
        <x:v>HYPERLINK is not implemented. linkLocation=https://cdn.shopify.com/s/files/1/0918/6066/4603/files/88524add47869cbb301a6fcd6e1a3875.jpg?v=1771387196, friendlyName=Open</x:v>
      </x:c>
      <x:c r="C5021" s="24" t="e">
        <x:f>HYPERLINK("https://365nails.com/products/cyber-coquette-femme-fatale-collection","Femme Fatale: ""Cyber Coquette"" – Nude Pink Ombré Base with Liquid Silver Lines, Metal Bow &amp; Chain Charms Long Almond Nails")</x:f>
        <x:v>HYPERLINK is not implemented. linkLocation=https://365nails.com/products/cyber-coquette-femme-fatale-collection, friendlyName=Femme Fatale: "Cyber Coquette" – Nude Pink Ombré Base with Liquid Silver Lines, Metal Bow &amp; Chain Charms Long Almond Nails</x:v>
      </x:c>
      <x:c r="D5021" s="18" t="str">
        <x:v>Size: XS / S / M / L</x:v>
      </x:c>
      <x:c r="E5021" s="25" t="str">
        <x:v>$3.99</x:v>
      </x:c>
      <x:c r="F5021" s="19" t="str">
        <x:v>5</x:v>
      </x:c>
    </x:row>
    <x:row r="5022" ht="93" customHeight="1">
      <x:c r="A5022" s="19" t="n">
        <x:v>5019</x:v>
      </x:c>
      <x:c r="B5022" s="22" t="e">
        <x:f>HYPERLINK("https://cdn.shopify.com/s/files/1/0918/6066/4603/files/b1a3a3875dee5bc41c80d85412d7ec13.jpg?v=1771406718","Open")</x:f>
        <x:v>HYPERLINK is not implemented. linkLocation=https://cdn.shopify.com/s/files/1/0918/6066/4603/files/b1a3a3875dee5bc41c80d85412d7ec13.jpg?v=1771406718, friendlyName=Open</x:v>
      </x:c>
      <x:c r="C5022" s="24" t="e">
        <x:f>HYPERLINK("https://365nails.com/products/plum-jade-ethereal-ink-series","Ethereal Ink: ""Plum Jade"" – Burgundy Ink Marble &amp; Sage Green Cat Eye Almond Nails")</x:f>
        <x:v>HYPERLINK is not implemented. linkLocation=https://365nails.com/products/plum-jade-ethereal-ink-series, friendlyName=Ethereal Ink: "Plum Jade" – Burgundy Ink Marble &amp; Sage Green Cat Eye Almond Nails</x:v>
      </x:c>
      <x:c r="D5022" s="18" t="str">
        <x:v>Size: XS / S / M / L</x:v>
      </x:c>
      <x:c r="E5022" s="25" t="str">
        <x:v>$3.99</x:v>
      </x:c>
      <x:c r="F5022" s="19" t="str">
        <x:v>30</x:v>
      </x:c>
    </x:row>
    <x:row r="5023" ht="93" customHeight="1">
      <x:c r="A5023" s="19" t="n">
        <x:v>5020</x:v>
      </x:c>
      <x:c r="B5023" s="22" t="e">
        <x:f>HYPERLINK("https://cdn.shopify.com/s/files/1/0918/6066/4603/files/6f878ae1d2e12afc0c281cb0d5ffac6a.jpg?v=1771387779","Open")</x:f>
        <x:v>HYPERLINK is not implemented. linkLocation=https://cdn.shopify.com/s/files/1/0918/6066/4603/files/6f878ae1d2e12afc0c281cb0d5ffac6a.jpg?v=1771387779, friendlyName=Open</x:v>
      </x:c>
      <x:c r="C5023" s="24" t="e">
        <x:f>HYPERLINK("https://365nails.com/products/abyssal-lace-femme-fatale-collection","Femme Fatale: ""Abyssal Lace"" – Deep Teal Aura with White Lace Pattern, Silver Glitter Tips &amp; Cross Charms Long Stiletto Nails")</x:f>
        <x:v>HYPERLINK is not implemented. linkLocation=https://365nails.com/products/abyssal-lace-femme-fatale-collection, friendlyName=Femme Fatale: "Abyssal Lace" – Deep Teal Aura with White Lace Pattern, Silver Glitter Tips &amp; Cross Charms Long Stiletto Nails</x:v>
      </x:c>
      <x:c r="D5023" s="18" t="str">
        <x:v>Size: XS / S / M / L</x:v>
      </x:c>
      <x:c r="E5023" s="25" t="str">
        <x:v>$3.99</x:v>
      </x:c>
      <x:c r="F5023" s="19" t="str">
        <x:v>5</x:v>
      </x:c>
    </x:row>
    <x:row r="5024" ht="93" customHeight="1">
      <x:c r="A5024" s="19" t="n">
        <x:v>5021</x:v>
      </x:c>
      <x:c r="B5024" s="22" t="e">
        <x:f>HYPERLINK("https://cdn.shopify.com/s/files/1/0918/6066/4603/files/O1CN01H6VRJ91HlX2djxas4__2545140798-0-cib_a3f3c99a-1ae3-4f95-abad-091ccdc2ade6.jpg?v=1775454660","Open")</x:f>
        <x:v>HYPERLINK is not implemented. linkLocation=https://cdn.shopify.com/s/files/1/0918/6066/4603/files/O1CN01H6VRJ91HlX2djxas4__2545140798-0-cib_a3f3c99a-1ae3-4f95-abad-091ccdc2ade6.jpg?v=1775454660, friendlyName=Open</x:v>
      </x:c>
      <x:c r="C5024" s="24" t="e">
        <x:f>HYPERLINK("https://365nails.com/products/365nails-gothic-dark-handmade-press-on-nails","365nails: ""Gothic Dark"" – Nail Art Stickers")</x:f>
        <x:v>HYPERLINK is not implemented. linkLocation=https://365nails.com/products/365nails-gothic-dark-handmade-press-on-nails, friendlyName=365nails: "Gothic Dark" – Nail Art Stickers</x:v>
      </x:c>
      <x:c r="D5024" s="18" t="str">
        <x:v>Specification type: To4304-jelly</x:v>
      </x:c>
      <x:c r="E5024" s="25" t="str">
        <x:v>$1.23</x:v>
      </x:c>
      <x:c r="F5024" s="19" t="str">
        <x:v>5</x:v>
      </x:c>
    </x:row>
    <x:row r="5025" ht="93" customHeight="1">
      <x:c r="A5025" s="19" t="n">
        <x:v>5022</x:v>
      </x:c>
      <x:c r="B5025" s="22" t="e">
        <x:f>HYPERLINK("https://cdn.shopify.com/s/files/1/0918/6066/4603/files/4b775fd3a3c68a4d1de5efc4d36e30ca.jpg?v=1771386025","Open")</x:f>
        <x:v>HYPERLINK is not implemented. linkLocation=https://cdn.shopify.com/s/files/1/0918/6066/4603/files/4b775fd3a3c68a4d1de5efc4d36e30ca.jpg?v=1771386025, friendlyName=Open</x:v>
      </x:c>
      <x:c r="C5025" s="24" t="e">
        <x:f>HYPERLINK("https://365nails.com/products/rust-fishnet-illusion-femme-fatale-collection","Femme Fatale: ""Rust Fishnet Illusion"" – Terracotta Brown Lace &amp; Torn Mesh Pattern, Milky White Base Long Stiletto Nails")</x:f>
        <x:v>HYPERLINK is not implemented. linkLocation=https://365nails.com/products/rust-fishnet-illusion-femme-fatale-collection, friendlyName=Femme Fatale: "Rust Fishnet Illusion" – Terracotta Brown Lace &amp; Torn Mesh Pattern, Milky White Base Long Stiletto Nails</x:v>
      </x:c>
      <x:c r="D5025" s="18" t="str">
        <x:v>Size: XS / S / M / L</x:v>
      </x:c>
      <x:c r="E5025" s="25" t="str">
        <x:v>$3.99</x:v>
      </x:c>
      <x:c r="F5025" s="19" t="str">
        <x:v>5</x:v>
      </x:c>
    </x:row>
    <x:row r="5026" ht="93" customHeight="1">
      <x:c r="A5026" s="19" t="n">
        <x:v>5023</x:v>
      </x:c>
      <x:c r="B5026" s="22" t="e">
        <x:f>HYPERLINK("https://cdn.shopify.com/s/files/1/0918/6066/4603/files/4e1efb25e3ede1e7e393a292bf6a5bc0.jpg?v=1771396608","Open")</x:f>
        <x:v>HYPERLINK is not implemented. linkLocation=https://cdn.shopify.com/s/files/1/0918/6066/4603/files/4e1efb25e3ede1e7e393a292bf6a5bc0.jpg?v=1771396608, friendlyName=Open</x:v>
      </x:c>
      <x:c r="C5026" s="24" t="e">
        <x:f>HYPERLINK("https://365nails.com/products/wild-lace-femme-fatale-collection","Femme Fatale: ""Wild Lace"" – Nude Base with Leopard Print &amp; White Fishnet Lace Overlay Long Stiletto Nails")</x:f>
        <x:v>HYPERLINK is not implemented. linkLocation=https://365nails.com/products/wild-lace-femme-fatale-collection, friendlyName=Femme Fatale: "Wild Lace" – Nude Base with Leopard Print &amp; White Fishnet Lace Overlay Long Stiletto Nails</x:v>
      </x:c>
      <x:c r="D5026" s="18" t="str">
        <x:v>Size: XS / S / M / L</x:v>
      </x:c>
      <x:c r="E5026" s="25" t="str">
        <x:v>$3.99</x:v>
      </x:c>
      <x:c r="F5026" s="19" t="str">
        <x:v>5</x:v>
      </x:c>
    </x:row>
    <x:row r="5027" ht="93" customHeight="1">
      <x:c r="A5027" s="19" t="n">
        <x:v>5024</x:v>
      </x:c>
      <x:c r="B5027" s="22" t="e">
        <x:f>HYPERLINK("https://cdn.shopify.com/s/files/1/0918/6066/4603/files/16e267aad675608d35a3369428f891c3.jpg?v=1771396009","Open")</x:f>
        <x:v>HYPERLINK is not implemented. linkLocation=https://cdn.shopify.com/s/files/1/0918/6066/4603/files/16e267aad675608d35a3369428f891c3.jpg?v=1771396009, friendlyName=Open</x:v>
      </x:c>
      <x:c r="C5027" s="24" t="e">
        <x:f>HYPERLINK("https://365nails.com/products/gilded-rebel-femme-fatale-collection","Femme Fatale: ""Gilded Rebel"" – Silver Holographic Glitter Base with Bronze Crosses &amp; Black Leopard Graffiti Long Stiletto Nails")</x:f>
        <x:v>HYPERLINK is not implemented. linkLocation=https://365nails.com/products/gilded-rebel-femme-fatale-collection, friendlyName=Femme Fatale: "Gilded Rebel" – Silver Holographic Glitter Base with Bronze Crosses &amp; Black Leopard Graffiti Long Stiletto Nails</x:v>
      </x:c>
      <x:c r="D5027" s="18" t="str">
        <x:v>Size: XS / S / M / L</x:v>
      </x:c>
      <x:c r="E5027" s="25" t="str">
        <x:v>$3.99</x:v>
      </x:c>
      <x:c r="F5027" s="19" t="str">
        <x:v>5</x:v>
      </x:c>
    </x:row>
    <x:row r="5028" ht="93" customHeight="1">
      <x:c r="A5028" s="19" t="n">
        <x:v>5025</x:v>
      </x:c>
      <x:c r="B5028" s="22" t="e">
        <x:f>HYPERLINK("https://cdn.shopify.com/s/files/1/0918/6066/4603/files/e11519cf37ee4a437a885d8c0e5ae24c.jpg?v=1771464843","Open")</x:f>
        <x:v>HYPERLINK is not implemented. linkLocation=https://cdn.shopify.com/s/files/1/0918/6066/4603/files/e11519cf37ee4a437a885d8c0e5ae24c.jpg?v=1771464843, friendlyName=Open</x:v>
      </x:c>
      <x:c r="C5028" s="24" t="e">
        <x:f>HYPERLINK("https://365nails.com/products/midnight-magenta-bloom-sculpted-flora-series","Sculpted Flora: ""Midnight Magenta Bloom"" – Full Set 3D Hot Pink Flowers on Black Stiletto Nails")</x:f>
        <x:v>HYPERLINK is not implemented. linkLocation=https://365nails.com/products/midnight-magenta-bloom-sculpted-flora-series, friendlyName=Sculpted Flora: "Midnight Magenta Bloom" – Full Set 3D Hot Pink Flowers on Black Stiletto Nails</x:v>
      </x:c>
      <x:c r="D5028" s="18" t="str">
        <x:v>Size: XS / S / M / L</x:v>
      </x:c>
      <x:c r="E5028" s="25" t="str">
        <x:v>$3.99</x:v>
      </x:c>
      <x:c r="F5028" s="19" t="str">
        <x:v>5</x:v>
      </x:c>
    </x:row>
    <x:row r="5029" ht="93" customHeight="1">
      <x:c r="A5029" s="19" t="n">
        <x:v>5026</x:v>
      </x:c>
      <x:c r="B5029" s="22" t="e">
        <x:f>HYPERLINK("https://cdn.shopify.com/s/files/1/0918/6066/4603/files/8dc10015a80894e94b469b6187a27bfc.jpg?v=1771393346","Open")</x:f>
        <x:v>HYPERLINK is not implemented. linkLocation=https://cdn.shopify.com/s/files/1/0918/6066/4603/files/8dc10015a80894e94b469b6187a27bfc.jpg?v=1771393346, friendlyName=Open</x:v>
      </x:c>
      <x:c r="C5029" s="24" t="e">
        <x:f>HYPERLINK("https://365nails.com/products/cyber-aurora-femme-fatale-collection","Femme Fatale: ""Cyber Aurora"" – Pink &amp; Blue Gradient Pearlescent Base with 3D Liquid Silver Chrome &amp; Deep Blue Galaxy Gemstones Long Stiletto Nails")</x:f>
        <x:v>HYPERLINK is not implemented. linkLocation=https://365nails.com/products/cyber-aurora-femme-fatale-collection, friendlyName=Femme Fatale: "Cyber Aurora" – Pink &amp; Blue Gradient Pearlescent Base with 3D Liquid Silver Chrome &amp; Deep Blue Galaxy Gemstones Long Stiletto Nails</x:v>
      </x:c>
      <x:c r="D5029" s="18" t="str">
        <x:v>Size: XS / S / M / L</x:v>
      </x:c>
      <x:c r="E5029" s="25" t="str">
        <x:v>$3.99</x:v>
      </x:c>
      <x:c r="F5029" s="19" t="str">
        <x:v>5</x:v>
      </x:c>
    </x:row>
    <x:row r="5030" ht="93" customHeight="1">
      <x:c r="A5030" s="19" t="n">
        <x:v>5027</x:v>
      </x:c>
      <x:c r="B5030" s="22" t="e">
        <x:f>HYPERLINK("https://cdn.shopify.com/s/files/1/0918/6066/4603/files/8ce88ed2f5590d623824a1bd3fdeb261.jpg?v=1771464642","Open")</x:f>
        <x:v>HYPERLINK is not implemented. linkLocation=https://cdn.shopify.com/s/files/1/0918/6066/4603/files/8ce88ed2f5590d623824a1bd3fdeb261.jpg?v=1771464642, friendlyName=Open</x:v>
      </x:c>
      <x:c r="C5030" s="24" t="e">
        <x:f>HYPERLINK("https://365nails.com/products/morning-dew-primrose-sculpted-flora-series","Sculpted Flora: ""Morning Dew Primrose"" – 3D Pearlescent Yellow Flower with Pink Veins &amp; Water Droplets Stiletto Nails")</x:f>
        <x:v>HYPERLINK is not implemented. linkLocation=https://365nails.com/products/morning-dew-primrose-sculpted-flora-series, friendlyName=Sculpted Flora: "Morning Dew Primrose" – 3D Pearlescent Yellow Flower with Pink Veins &amp; Water Droplets Stiletto Nails</x:v>
      </x:c>
      <x:c r="D5030" s="18" t="str">
        <x:v>Size: XS / S / M / L</x:v>
      </x:c>
      <x:c r="E5030" s="25" t="str">
        <x:v>$3.99</x:v>
      </x:c>
      <x:c r="F5030" s="19" t="str">
        <x:v>5</x:v>
      </x:c>
    </x:row>
    <x:row r="5031" ht="93" customHeight="1">
      <x:c r="A5031" s="19" t="n">
        <x:v>5028</x:v>
      </x:c>
      <x:c r="B5031" s="22" t="e">
        <x:f>HYPERLINK("https://cdn.shopify.com/s/files/1/0918/6066/4603/files/85fa5eeeb3f3fbab0b38015a3c0a8bfd.jpg?v=1771387105","Open")</x:f>
        <x:v>HYPERLINK is not implemented. linkLocation=https://cdn.shopify.com/s/files/1/0918/6066/4603/files/85fa5eeeb3f3fbab0b38015a3c0a8bfd.jpg?v=1771387105, friendlyName=Open</x:v>
      </x:c>
      <x:c r="C5031" s="24" t="e">
        <x:f>HYPERLINK("https://365nails.com/products/silver-glacial-melt-femme-fatale-collection","Femme Fatale: ""Silver Glacial Melt"" – Icy White Cat Eye Base with 3D Liquid Chrome French Tips &amp; Silver Stars Long Stiletto Nails")</x:f>
        <x:v>HYPERLINK is not implemented. linkLocation=https://365nails.com/products/silver-glacial-melt-femme-fatale-collection, friendlyName=Femme Fatale: "Silver Glacial Melt" – Icy White Cat Eye Base with 3D Liquid Chrome French Tips &amp; Silver Stars Long Stiletto Nails</x:v>
      </x:c>
      <x:c r="D5031" s="18" t="str">
        <x:v>Size: XS / S / M / L</x:v>
      </x:c>
      <x:c r="E5031" s="25" t="str">
        <x:v>$3.99</x:v>
      </x:c>
      <x:c r="F5031" s="19" t="str">
        <x:v>5</x:v>
      </x:c>
    </x:row>
    <x:row r="5032" ht="93" customHeight="1">
      <x:c r="A5032" s="19" t="n">
        <x:v>5029</x:v>
      </x:c>
      <x:c r="B5032" s="22" t="e">
        <x:f>HYPERLINK("https://cdn.shopify.com/s/files/1/0918/6066/4603/files/6d50d594003f2e27a0616913337f347c.jpg?v=1772017079","Open")</x:f>
        <x:v>HYPERLINK is not implemented. linkLocation=https://cdn.shopify.com/s/files/1/0918/6066/4603/files/6d50d594003f2e27a0616913337f347c.jpg?v=1772017079, friendlyName=Open</x:v>
      </x:c>
      <x:c r="C5032" s="24" t="e">
        <x:f>HYPERLINK("https://365nails.com/products/ruby-floral-bling-sculpted-flora-series","Sculpted Flora: ""Ruby Floral Bling"" – 3D White Flowers &amp; Rhinestones on Classic Red Square Nails")</x:f>
        <x:v>HYPERLINK is not implemented. linkLocation=https://365nails.com/products/ruby-floral-bling-sculpted-flora-series, friendlyName=Sculpted Flora: "Ruby Floral Bling" – 3D White Flowers &amp; Rhinestones on Classic Red Square Nails</x:v>
      </x:c>
      <x:c r="D5032" s="18" t="str">
        <x:v>Size: XS / S / M / L</x:v>
      </x:c>
      <x:c r="E5032" s="25" t="str">
        <x:v>$3.99</x:v>
      </x:c>
      <x:c r="F5032" s="19" t="str">
        <x:v>5</x:v>
      </x:c>
    </x:row>
    <x:row r="5033" ht="93" customHeight="1">
      <x:c r="A5033" s="19" t="n">
        <x:v>5030</x:v>
      </x:c>
      <x:c r="B5033" s="22" t="e">
        <x:f>HYPERLINK("https://cdn.shopify.com/s/files/1/0918/6066/4603/files/O1CN01aYjFGp1HlX342NxG0__2545140798-0-cib_33b3a7cc-abb7-467f-bec3-b7687d81a150.jpg?v=1775455224","Open")</x:f>
        <x:v>HYPERLINK is not implemented. linkLocation=https://cdn.shopify.com/s/files/1/0918/6066/4603/files/O1CN01aYjFGp1HlX342NxG0__2545140798-0-cib_33b3a7cc-abb7-467f-bec3-b7687d81a150.jpg?v=1775455224, friendlyName=Open</x:v>
      </x:c>
      <x:c r="C5033" s="24" t="e">
        <x:f>HYPERLINK("https://365nails.com/products/365nails-iridescent-bow-handmade-press-on-nails","365nails: ""Iridescent Bow"" –Nail Art Stickers")</x:f>
        <x:v>HYPERLINK is not implemented. linkLocation=https://365nails.com/products/365nails-iridescent-bow-handmade-press-on-nails, friendlyName=365nails: "Iridescent Bow" –Nail Art Stickers</x:v>
      </x:c>
      <x:c r="D5033" s="18" t="str">
        <x:v>Specification type: Ms681-shell light</x:v>
      </x:c>
      <x:c r="E5033" s="25" t="str">
        <x:v>$1.23</x:v>
      </x:c>
      <x:c r="F5033" s="19" t="str">
        <x:v>5</x:v>
      </x:c>
    </x:row>
    <x:row r="5034" ht="93" customHeight="1">
      <x:c r="A5034" s="19" t="n">
        <x:v>5031</x:v>
      </x:c>
      <x:c r="B5034" s="22" t="e">
        <x:f>HYPERLINK("https://cdn.shopify.com/s/files/1/0918/6066/4603/files/2fea985cc6a9897f216962e1ee48eb14.jpg?v=1771409680","Open")</x:f>
        <x:v>HYPERLINK is not implemented. linkLocation=https://cdn.shopify.com/s/files/1/0918/6066/4603/files/2fea985cc6a9897f216962e1ee48eb14.jpg?v=1771409680, friendlyName=Open</x:v>
      </x:c>
      <x:c r="C5034" s="24" t="e">
        <x:f>HYPERLINK("https://365nails.com/products/vintage-wine-blossom-ethereal-ink-series","Ethereal Ink: ""Vintage Wine Blossom"" – Burgundy Red with Hand-Painted White Flowers, Smoke Marble &amp; Silver Tips Almond Nails")</x:f>
        <x:v>HYPERLINK is not implemented. linkLocation=https://365nails.com/products/vintage-wine-blossom-ethereal-ink-series, friendlyName=Ethereal Ink: "Vintage Wine Blossom" – Burgundy Red with Hand-Painted White Flowers, Smoke Marble &amp; Silver Tips Almond Nails</x:v>
      </x:c>
      <x:c r="D5034" s="18" t="str">
        <x:v>Size: XS / S / M / L</x:v>
      </x:c>
      <x:c r="E5034" s="25" t="str">
        <x:v>$3.99</x:v>
      </x:c>
      <x:c r="F5034" s="19" t="str">
        <x:v>30</x:v>
      </x:c>
    </x:row>
    <x:row r="5035" ht="93" customHeight="1">
      <x:c r="A5035" s="19" t="n">
        <x:v>5032</x:v>
      </x:c>
      <x:c r="B5035" s="22" t="e">
        <x:f>HYPERLINK("https://cdn.shopify.com/s/files/1/0918/6066/4603/files/20fbff72a8fe61d07e53a501d1b42c49.jpg?v=1771394116","Open")</x:f>
        <x:v>HYPERLINK is not implemented. linkLocation=https://cdn.shopify.com/s/files/1/0918/6066/4603/files/20fbff72a8fe61d07e53a501d1b42c49.jpg?v=1771394116, friendlyName=Open</x:v>
      </x:c>
      <x:c r="C5035" s="24" t="e">
        <x:f>HYPERLINK("https://365nails.com/products/pink-panther-femme-fatale-collection","Femme Fatale: ""Pink Panther"" – Matte Nude to Rose Ombre with Turquoise &amp; Black Leopard Print &amp; White Cursive Text Long Stiletto Nails")</x:f>
        <x:v>HYPERLINK is not implemented. linkLocation=https://365nails.com/products/pink-panther-femme-fatale-collection, friendlyName=Femme Fatale: "Pink Panther" – Matte Nude to Rose Ombre with Turquoise &amp; Black Leopard Print &amp; White Cursive Text Long Stiletto Nails</x:v>
      </x:c>
      <x:c r="D5035" s="18" t="str">
        <x:v>Size: XS / S / M / L</x:v>
      </x:c>
      <x:c r="E5035" s="25" t="str">
        <x:v>$3.99</x:v>
      </x:c>
      <x:c r="F5035" s="19" t="str">
        <x:v>5</x:v>
      </x:c>
    </x:row>
    <x:row r="5036" ht="93" customHeight="1">
      <x:c r="A5036" s="19" t="n">
        <x:v>5033</x:v>
      </x:c>
      <x:c r="B5036" s="22" t="e">
        <x:f>HYPERLINK("https://cdn.shopify.com/s/files/1/0918/6066/4603/files/1c3a3ce6135448ae7cd59cc9bdaeefc8.jpg?v=1771403948","Open")</x:f>
        <x:v>HYPERLINK is not implemented. linkLocation=https://cdn.shopify.com/s/files/1/0918/6066/4603/files/1c3a3ce6135448ae7cd59cc9bdaeefc8.jpg?v=1771403948, friendlyName=Open</x:v>
      </x:c>
      <x:c r="C5036" s="24" t="e">
        <x:f>HYPERLINK("https://365nails.com/products/abstract-poetry-ethereal-ink-series","Ethereal Ink: ""Abstract Poetry"" – Beige Shimmer &amp; Pink-Blue Splash Ink Marble with Aurora Foil Oval Nails")</x:f>
        <x:v>HYPERLINK is not implemented. linkLocation=https://365nails.com/products/abstract-poetry-ethereal-ink-series, friendlyName=Ethereal Ink: "Abstract Poetry" – Beige Shimmer &amp; Pink-Blue Splash Ink Marble with Aurora Foil Oval Nails</x:v>
      </x:c>
      <x:c r="D5036" s="18" t="str">
        <x:v>Size: XS / S / M / L</x:v>
      </x:c>
      <x:c r="E5036" s="25" t="str">
        <x:v>$3.99</x:v>
      </x:c>
      <x:c r="F5036" s="19" t="str">
        <x:v>30</x:v>
      </x:c>
    </x:row>
    <x:row r="5037" ht="93" customHeight="1">
      <x:c r="A5037" s="19" t="n">
        <x:v>5034</x:v>
      </x:c>
      <x:c r="B5037" s="22" t="e">
        <x:f>HYPERLINK("https://cdn.shopify.com/s/files/1/0918/6066/4603/files/669b7f1886359ae633292fe3c6018787.jpg?v=1771396784","Open")</x:f>
        <x:v>HYPERLINK is not implemented. linkLocation=https://cdn.shopify.com/s/files/1/0918/6066/4603/files/669b7f1886359ae633292fe3c6018787.jpg?v=1771396784, friendlyName=Open</x:v>
      </x:c>
      <x:c r="C5037" s="24" t="e">
        <x:f>HYPERLINK("https://365nails.com/products/chrome-saint-femme-fatale-collection","Femme Fatale: ""Chrome Saint"" – Icy Aurora &amp; Metallic Bronze Mix with 3D Gothic Cross &amp; Liquid Silver Lines Long Stiletto Nails")</x:f>
        <x:v>HYPERLINK is not implemented. linkLocation=https://365nails.com/products/chrome-saint-femme-fatale-collection, friendlyName=Femme Fatale: "Chrome Saint" – Icy Aurora &amp; Metallic Bronze Mix with 3D Gothic Cross &amp; Liquid Silver Lines Long Stiletto Nails</x:v>
      </x:c>
      <x:c r="D5037" s="18" t="str">
        <x:v>Size: XS / S / M / L</x:v>
      </x:c>
      <x:c r="E5037" s="25" t="str">
        <x:v>$3.99</x:v>
      </x:c>
      <x:c r="F5037" s="19" t="str">
        <x:v>5</x:v>
      </x:c>
    </x:row>
    <x:row r="5038" ht="93" customHeight="1">
      <x:c r="A5038" s="19" t="n">
        <x:v>5035</x:v>
      </x:c>
      <x:c r="B5038" s="22" t="e">
        <x:f>HYPERLINK("https://cdn.shopify.com/s/files/1/0918/6066/4603/files/6cc365c1fd82203b053bc6564eacbd08.jpg?v=1765437768","Open")</x:f>
        <x:v>HYPERLINK is not implemented. linkLocation=https://cdn.shopify.com/s/files/1/0918/6066/4603/files/6cc365c1fd82203b053bc6564eacbd08.jpg?v=1765437768, friendlyName=Open</x:v>
      </x:c>
      <x:c r="C5038" s="24" t="e">
        <x:f>HYPERLINK("https://365nails.com/products/sapphire-sparkle-press-on-nails-royal-blue-long-square-with-crystals-starry-glitter-sparkling-series","Sapphire Sparkle Press On Nails｜Royal Blue Long Square with Crystals | Crystal Armor Series")</x:f>
        <x:v>HYPERLINK is not implemented. linkLocation=https://365nails.com/products/sapphire-sparkle-press-on-nails-royal-blue-long-square-with-crystals-starry-glitter-sparkling-series, friendlyName=Sapphire Sparkle Press On Nails｜Royal Blue Long Square with Crystals | Crystal Armor Series</x:v>
      </x:c>
      <x:c r="D5038" s="18" t="str">
        <x:v>shape: square / almond; Size: XS / S / M / L; length: 45mm / 30mm</x:v>
      </x:c>
      <x:c r="E5038" s="25" t="str">
        <x:v>$19.00</x:v>
      </x:c>
      <x:c r="F5038" s="19" t="str">
        <x:v>1</x:v>
      </x:c>
    </x:row>
    <x:row r="5039" ht="93" customHeight="1">
      <x:c r="A5039" s="19" t="n">
        <x:v>5036</x:v>
      </x:c>
      <x:c r="B5039" s="22" t="e">
        <x:f>HYPERLINK("https://cdn.shopify.com/s/files/1/0918/6066/4603/files/e6788ca624554c07781341a90ff89ed4.jpg?v=1765436875","Open")</x:f>
        <x:v>HYPERLINK is not implemented. linkLocation=https://cdn.shopify.com/s/files/1/0918/6066/4603/files/e6788ca624554c07781341a90ff89ed4.jpg?v=1765436875, friendlyName=Open</x:v>
      </x:c>
      <x:c r="C5039" s="24" t="e">
        <x:f>HYPERLINK("https://365nails.com/products/galaxy-crystal-armor-press-on-nails-icy-silver-long-square-starry-glitter-sparkling-series","Galaxy Crystal Armor Press On Nails｜Icy Silver Long Square | Crystal Armor Series")</x:f>
        <x:v>HYPERLINK is not implemented. linkLocation=https://365nails.com/products/galaxy-crystal-armor-press-on-nails-icy-silver-long-square-starry-glitter-sparkling-series, friendlyName=Galaxy Crystal Armor Press On Nails｜Icy Silver Long Square | Crystal Armor Series</x:v>
      </x:c>
      <x:c r="D5039" s="18" t="str">
        <x:v>shape: square / almond; Size: XS / S / M / L; length: 45mm / 30mm</x:v>
      </x:c>
      <x:c r="E5039" s="25" t="str">
        <x:v>$19.00</x:v>
      </x:c>
      <x:c r="F5039" s="19" t="str">
        <x:v>1</x:v>
      </x:c>
    </x:row>
    <x:row r="5040" ht="93" customHeight="1">
      <x:c r="A5040" s="19" t="n">
        <x:v>5037</x:v>
      </x:c>
      <x:c r="B5040" s="22" t="e">
        <x:f>HYPERLINK("https://cdn.shopify.com/s/files/1/0918/6066/4603/files/c1b9ed1f0cf2b46d2e818021dba25c5f_83ec055f-26eb-4c7b-a9d3-a1a9021a5a7a.jpg?v=1764664704","Open")</x:f>
        <x:v>HYPERLINK is not implemented. linkLocation=https://cdn.shopify.com/s/files/1/0918/6066/4603/files/c1b9ed1f0cf2b46d2e818021dba25c5f_83ec055f-26eb-4c7b-a9d3-a1a9021a5a7a.jpg?v=1764664704, friendlyName=Open</x:v>
      </x:c>
      <x:c r="C5040" s="24" t="e">
        <x:f>HYPERLINK("https://365nails.com/products/liquid-silver-dragon-claw-stiletto-high-shine-chrome-365nails-premium-handmade-dragon-nail","Liquid Silver Dragon Claw Stiletto High‑Shine Chrome｜365Nails Premium Handmade Dragon Nail")</x:f>
        <x:v>HYPERLINK is not implemented. linkLocation=https://365nails.com/products/liquid-silver-dragon-claw-stiletto-high-shine-chrome-365nails-premium-handmade-dragon-nail, friendlyName=Liquid Silver Dragon Claw Stiletto High‑Shine Chrome｜365Nails Premium Handmade Dragon Nail</x:v>
      </x:c>
      <x:c r="D5040" s="18" t="str">
        <x:v>Size: XS / S / M / L; length: 40mm / 25mm</x:v>
      </x:c>
      <x:c r="E5040" s="25" t="str">
        <x:v>$6.99</x:v>
      </x:c>
      <x:c r="F5040" s="19" t="str">
        <x:v>1</x:v>
      </x:c>
    </x:row>
    <x:row r="5041" ht="93" customHeight="1">
      <x:c r="A5041" s="19" t="n">
        <x:v>5038</x:v>
      </x:c>
      <x:c r="B5041" s="22" t="e">
        <x:f>HYPERLINK("https://cdn.shopify.com/s/files/1/0918/6066/4603/files/e9a7bf0d2a7620637bbf30a2afc41679.jpg?v=1765437990","Open")</x:f>
        <x:v>HYPERLINK is not implemented. linkLocation=https://cdn.shopify.com/s/files/1/0918/6066/4603/files/e9a7bf0d2a7620637bbf30a2afc41679.jpg?v=1765437990, friendlyName=Open</x:v>
      </x:c>
      <x:c r="C5041" s="24" t="e">
        <x:f>HYPERLINK("https://365nails.com/products/ruby-queen-press-on-nails-wine-red-long-square-with-crystals-starry-glitter-sparkling-series","Ruby Queen Press On Nails｜Wine Red Long Square with Crystals | Crystal Armor Series")</x:f>
        <x:v>HYPERLINK is not implemented. linkLocation=https://365nails.com/products/ruby-queen-press-on-nails-wine-red-long-square-with-crystals-starry-glitter-sparkling-series, friendlyName=Ruby Queen Press On Nails｜Wine Red Long Square with Crystals | Crystal Armor Series</x:v>
      </x:c>
      <x:c r="D5041" s="18" t="str">
        <x:v>shape: square / almond; Size: XS / S / M / L; length: 45mm / 30mm</x:v>
      </x:c>
      <x:c r="E5041" s="25" t="str">
        <x:v>$19.00</x:v>
      </x:c>
      <x:c r="F5041" s="19" t="str">
        <x:v>1</x:v>
      </x:c>
    </x:row>
    <x:row r="5042" ht="93" customHeight="1">
      <x:c r="A5042" s="19" t="n">
        <x:v>5039</x:v>
      </x:c>
      <x:c r="B5042" s="22" t="e">
        <x:f>HYPERLINK("https://cdn.shopify.com/s/files/1/0918/6066/4603/files/1b1a9870e6a036256be42a0b3a1a335b.jpg?v=1771409771","Open")</x:f>
        <x:v>HYPERLINK is not implemented. linkLocation=https://cdn.shopify.com/s/files/1/0918/6066/4603/files/1b1a9870e6a036256be42a0b3a1a335b.jpg?v=1771409771, friendlyName=Open</x:v>
      </x:c>
      <x:c r="C5042" s="24" t="e">
        <x:f>HYPERLINK("https://365nails.com/products/mauve-mist-ethereal-ink-series","Ethereal Ink: ""Mauve Mist"" – Dusty Rose Cat Eye &amp; Milky Cloud Marble with Gold Foil Oval Nails")</x:f>
        <x:v>HYPERLINK is not implemented. linkLocation=https://365nails.com/products/mauve-mist-ethereal-ink-series, friendlyName=Ethereal Ink: "Mauve Mist" – Dusty Rose Cat Eye &amp; Milky Cloud Marble with Gold Foil Oval Nails</x:v>
      </x:c>
      <x:c r="D5042" s="18" t="str">
        <x:v>Size: XS / S / M / L</x:v>
      </x:c>
      <x:c r="E5042" s="25" t="str">
        <x:v>$3.99</x:v>
      </x:c>
      <x:c r="F5042" s="19" t="str">
        <x:v>30</x:v>
      </x:c>
    </x:row>
    <x:row r="5043" ht="93" customHeight="1">
      <x:c r="A5043" s="19" t="n">
        <x:v>5040</x:v>
      </x:c>
      <x:c r="B5043" s="22" t="e">
        <x:f>HYPERLINK("https://cdn.shopify.com/s/files/1/0918/6066/4603/files/75c7bd5ca9225ffe8217e7c99fcb9bc1.jpg?v=1771471480","Open")</x:f>
        <x:v>HYPERLINK is not implemented. linkLocation=https://cdn.shopify.com/s/files/1/0918/6066/4603/files/75c7bd5ca9225ffe8217e7c99fcb9bc1.jpg?v=1771471480, friendlyName=Open</x:v>
      </x:c>
      <x:c r="C5043" s="24" t="e">
        <x:f>HYPERLINK("https://365nails.com/products/golden-tiger-lily-sculpted-flora-series","Sculpted Flora: ""Golden Tiger Lily"" – 3D Yellow Orchid &amp; Tiger Print French Tip Nails with Crystal Accents")</x:f>
        <x:v>HYPERLINK is not implemented. linkLocation=https://365nails.com/products/golden-tiger-lily-sculpted-flora-series, friendlyName=Sculpted Flora: "Golden Tiger Lily" – 3D Yellow Orchid &amp; Tiger Print French Tip Nails with Crystal Accents</x:v>
      </x:c>
      <x:c r="D5043" s="18" t="str">
        <x:v>Size: XS / S / M / L</x:v>
      </x:c>
      <x:c r="E5043" s="25" t="str">
        <x:v>$3.99</x:v>
      </x:c>
      <x:c r="F5043" s="19" t="str">
        <x:v>5</x:v>
      </x:c>
    </x:row>
    <x:row r="5044" ht="93" customHeight="1">
      <x:c r="A5044" s="19" t="n">
        <x:v>5041</x:v>
      </x:c>
      <x:c r="B5044" s="22" t="e">
        <x:f>HYPERLINK("https://cdn.shopify.com/s/files/1/0918/6066/4603/files/05f76d9dfb6392cee0265b50bd3830a6_593dd378-6e16-45c8-a51e-3e66dbaf6035.jpg?v=1764322391","Open")</x:f>
        <x:v>HYPERLINK is not implemented. linkLocation=https://cdn.shopify.com/s/files/1/0918/6066/4603/files/05f76d9dfb6392cee0265b50bd3830a6_593dd378-6e16-45c8-a51e-3e66dbaf6035.jpg?v=1764322391, friendlyName=Open</x:v>
      </x:c>
      <x:c r="C5044" s="24" t="e">
        <x:f>HYPERLINK("https://365nails.com/products/365nails-luxury-purple-ombre-stiletto-claw-dragon-nails","Rose Veil Dragon Claw Stiletto Sheer Milky to Metallic Purple Gradient Handmade Dragon Nail")</x:f>
        <x:v>HYPERLINK is not implemented. linkLocation=https://365nails.com/products/365nails-luxury-purple-ombre-stiletto-claw-dragon-nails, friendlyName=Rose Veil Dragon Claw Stiletto Sheer Milky to Metallic Purple Gradient Handmade Dragon Nail</x:v>
      </x:c>
      <x:c r="D5044" s="18" t="str">
        <x:v>Size: XS / S / M / L</x:v>
      </x:c>
      <x:c r="E5044" s="25" t="str">
        <x:v>$9.99</x:v>
      </x:c>
      <x:c r="F5044" s="19" t="str">
        <x:v>1</x:v>
      </x:c>
    </x:row>
    <x:row r="5045" ht="93" customHeight="1">
      <x:c r="A5045" s="19" t="n">
        <x:v>5042</x:v>
      </x:c>
      <x:c r="B5045" s="22" t="e">
        <x:f>HYPERLINK("https://cdn.shopify.com/s/files/1/0918/6066/4603/files/tufan_2F4be8060a-b721-11f0-aa7b-00163e1f2a71.jpg?v=1762001766","Open")</x:f>
        <x:v>HYPERLINK is not implemented. linkLocation=https://cdn.shopify.com/s/files/1/0918/6066/4603/files/tufan_2F4be8060a-b721-11f0-aa7b-00163e1f2a71.jpg?v=1762001766, friendlyName=Open</x:v>
      </x:c>
      <x:c r="C5045" s="24" t="e">
        <x:f>HYPERLINK("https://365nails.com/products/double-sided-heart-shaped-manicure-strip-special-tool-for-polishing-manicure","Double-sided heart-shaped manicure strip, special tool for polishing manicure (MOQ=100)")</x:f>
        <x:v>HYPERLINK is not implemented. linkLocation=https://365nails.com/products/double-sided-heart-shaped-manicure-strip-special-tool-for-polishing-manicure, friendlyName=Double-sided heart-shaped manicure strip, special tool for polishing manicure (MOQ=100)</x:v>
      </x:c>
      <x:c r="D5045" s="18" t="str">
        <x:v>Color classification: Pink - Heart Nail File / Rose Red - Heart Nail File / Red - Heart Nail File / Blue - Heart Nail File / Green - Heart Nail File / Purple - Heart Nail File / Yellow - Heart Nail File / Orange - Heart Nail File / White - Heart Nail File / Grey - Heart Nail File; Quantity: 100pcs</x:v>
      </x:c>
      <x:c r="E5045" s="25" t="str">
        <x:v>$4.00</x:v>
      </x:c>
      <x:c r="F5045" s="19" t="str">
        <x:v>1</x:v>
      </x:c>
    </x:row>
    <x:row r="5046" ht="93" customHeight="1">
      <x:c r="A5046" s="19" t="n">
        <x:v>5043</x:v>
      </x:c>
      <x:c r="B5046" s="22" t="e">
        <x:f>HYPERLINK("https://cdn.shopify.com/s/files/1/0918/6066/4603/files/0ea3f9bb61bcc770c01103ada3682e43.jpg?v=1772073505","Open")</x:f>
        <x:v>HYPERLINK is not implemented. linkLocation=https://cdn.shopify.com/s/files/1/0918/6066/4603/files/0ea3f9bb61bcc770c01103ada3682e43.jpg?v=1772073505, friendlyName=Open</x:v>
      </x:c>
      <x:c r="C5046" s="24" t="e">
        <x:f>HYPERLINK("https://365nails.com/products/ethereal-blue-bloom-sculpted-flora-series","Sculpted Flora: ""Ethereal Blue Bloom"" – 3D Floral &amp; Ombre Lattice on Long Stiletto Nails")</x:f>
        <x:v>HYPERLINK is not implemented. linkLocation=https://365nails.com/products/ethereal-blue-bloom-sculpted-flora-series, friendlyName=Sculpted Flora: "Ethereal Blue Bloom" – 3D Floral &amp; Ombre Lattice on Long Stiletto Nails</x:v>
      </x:c>
      <x:c r="D5046" s="18" t="str">
        <x:v>Size: XS / S / M / L</x:v>
      </x:c>
      <x:c r="E5046" s="25" t="str">
        <x:v>$3.99</x:v>
      </x:c>
      <x:c r="F5046" s="19" t="str">
        <x:v>5</x:v>
      </x:c>
    </x:row>
    <x:row r="5047" ht="93" customHeight="1">
      <x:c r="A5047" s="19" t="n">
        <x:v>5044</x:v>
      </x:c>
      <x:c r="B5047" s="22" t="e">
        <x:f>HYPERLINK("https://cdn.shopify.com/s/files/1/0918/6066/4603/files/1abcf38b972e717b4c990a7ab63b889e.jpg?v=1764325781","Open")</x:f>
        <x:v>HYPERLINK is not implemented. linkLocation=https://cdn.shopify.com/s/files/1/0918/6066/4603/files/1abcf38b972e717b4c990a7ab63b889e.jpg?v=1764325781, friendlyName=Open</x:v>
      </x:c>
      <x:c r="C5047" s="24" t="e">
        <x:f>HYPERLINK("https://365nails.com/products/365nails-lime-glow-stiletto-claw-dragon-nails","Lime Mint Dragon Claw Stiletto Clear Jelly Green Tips Handmade Dragon Nail")</x:f>
        <x:v>HYPERLINK is not implemented. linkLocation=https://365nails.com/products/365nails-lime-glow-stiletto-claw-dragon-nails, friendlyName=Lime Mint Dragon Claw Stiletto Clear Jelly Green Tips Handmade Dragon Nail</x:v>
      </x:c>
      <x:c r="D5047" s="18" t="str">
        <x:v>Size: XS / S / M / L</x:v>
      </x:c>
      <x:c r="E5047" s="25" t="str">
        <x:v>$9.99</x:v>
      </x:c>
      <x:c r="F5047" s="19" t="str">
        <x:v>1</x:v>
      </x:c>
    </x:row>
    <x:row r="5048" ht="93" customHeight="1">
      <x:c r="A5048" s="19" t="n">
        <x:v>5045</x:v>
      </x:c>
      <x:c r="B5048" s="22" t="e">
        <x:f>HYPERLINK("https://cdn.shopify.com/s/files/1/0918/6066/4603/files/e564c13fbd5feae2e0b7a6158af13487.jpg?v=1771397129","Open")</x:f>
        <x:v>HYPERLINK is not implemented. linkLocation=https://cdn.shopify.com/s/files/1/0918/6066/4603/files/e564c13fbd5feae2e0b7a6158af13487.jpg?v=1771397129, friendlyName=Open</x:v>
      </x:c>
      <x:c r="C5048" s="24" t="e">
        <x:f>HYPERLINK("https://365nails.com/products/silver-mist","Femme Fatale: ""Silver Mist"" – Frosted Foggy Blue-Grey Base with 3D Liquid Chrome Lines Long Stiletto Nails")</x:f>
        <x:v>HYPERLINK is not implemented. linkLocation=https://365nails.com/products/silver-mist, friendlyName=Femme Fatale: "Silver Mist" – Frosted Foggy Blue-Grey Base with 3D Liquid Chrome Lines Long Stiletto Nails</x:v>
      </x:c>
      <x:c r="D5048" s="18" t="str">
        <x:v>Size: XS / S / M / L</x:v>
      </x:c>
      <x:c r="E5048" s="25" t="str">
        <x:v>$3.99</x:v>
      </x:c>
      <x:c r="F5048" s="19" t="str">
        <x:v>5</x:v>
      </x:c>
    </x:row>
    <x:row r="5049" ht="93" customHeight="1">
      <x:c r="A5049" s="19" t="n">
        <x:v>5046</x:v>
      </x:c>
      <x:c r="B5049" s="22" t="e">
        <x:f>HYPERLINK("https://cdn.shopify.com/s/files/1/0918/6066/4603/files/db5889f1640c8eeaccdc33cac792f480.jpg?v=1771388273","Open")</x:f>
        <x:v>HYPERLINK is not implemented. linkLocation=https://cdn.shopify.com/s/files/1/0918/6066/4603/files/db5889f1640c8eeaccdc33cac792f480.jpg?v=1771388273, friendlyName=Open</x:v>
      </x:c>
      <x:c r="C5049" s="24" t="e">
        <x:f>HYPERLINK("https://365nails.com/products/gothic-veil-femme-fatale-collection","Femme Fatale: ""Gothic Veil"" – Black Ombre with Floral Lace Overlay &amp; Silver Cone Spikes Long Stiletto Nails")</x:f>
        <x:v>HYPERLINK is not implemented. linkLocation=https://365nails.com/products/gothic-veil-femme-fatale-collection, friendlyName=Femme Fatale: "Gothic Veil" – Black Ombre with Floral Lace Overlay &amp; Silver Cone Spikes Long Stiletto Nails</x:v>
      </x:c>
      <x:c r="D5049" s="18" t="str">
        <x:v>Size: XS / S / M / L</x:v>
      </x:c>
      <x:c r="E5049" s="25" t="str">
        <x:v>$3.99</x:v>
      </x:c>
      <x:c r="F5049" s="19" t="str">
        <x:v>5</x:v>
      </x:c>
    </x:row>
    <x:row r="5050" ht="93" customHeight="1">
      <x:c r="A5050" s="19" t="n">
        <x:v>5047</x:v>
      </x:c>
      <x:c r="B5050" s="22" t="e">
        <x:f>HYPERLINK("https://cdn.shopify.com/s/files/1/0918/6066/4603/files/2da63534b18ce26943e0eb5ed9308388_1291952c-45bd-40ab-b025-ed961a512a19.jpg?v=1771286226","Open")</x:f>
        <x:v>HYPERLINK is not implemented. linkLocation=https://cdn.shopify.com/s/files/1/0918/6066/4603/files/2da63534b18ce26943e0eb5ed9308388_1291952c-45bd-40ab-b025-ed961a512a19.jpg?v=1771286226, friendlyName=Open</x:v>
      </x:c>
      <x:c r="C5050" s="24" t="e">
        <x:f>HYPERLINK("https://365nails.com/products/jazz-age-diva-artist-series-exclusive","Artist Series: ""Jazz Age Diva"" – 3D Sculpted Betty Boop Style &amp; Vintage Showgirl Portrait with Leopard Print &amp; Rhinestones")</x:f>
        <x:v>HYPERLINK is not implemented. linkLocation=https://365nails.com/products/jazz-age-diva-artist-series-exclusive, friendlyName=Artist Series: "Jazz Age Diva" – 3D Sculpted Betty Boop Style &amp; Vintage Showgirl Portrait with Leopard Print &amp; Rhinestones</x:v>
      </x:c>
      <x:c r="D5050" s="18" t="str">
        <x:v>Size: XS / S / M / L</x:v>
      </x:c>
      <x:c r="E5050" s="25" t="str">
        <x:v>$99.00</x:v>
      </x:c>
      <x:c r="F5050" s="19" t="str">
        <x:v>1</x:v>
      </x:c>
    </x:row>
    <x:row r="5051" ht="93" customHeight="1">
      <x:c r="A5051" s="19" t="n">
        <x:v>5048</x:v>
      </x:c>
      <x:c r="B5051" s="22" t="e">
        <x:f>HYPERLINK("https://cdn.shopify.com/s/files/1/0918/6066/4603/files/3e7c63f78c2d31cfedbd6ea5a6cab764.jpg?v=1772075089","Open")</x:f>
        <x:v>HYPERLINK is not implemented. linkLocation=https://cdn.shopify.com/s/files/1/0918/6066/4603/files/3e7c63f78c2d31cfedbd6ea5a6cab764.jpg?v=1772075089, friendlyName=Open</x:v>
      </x:c>
      <x:c r="C5051" s="24" t="e">
        <x:f>HYPERLINK("https://365nails.com/products/crimson-blossom-sculpted-flora-series","Sculpted Flora: ""Crimson Blossom"" – 3D White Floral &amp; Red Base Long Almond Nails")</x:f>
        <x:v>HYPERLINK is not implemented. linkLocation=https://365nails.com/products/crimson-blossom-sculpted-flora-series, friendlyName=Sculpted Flora: "Crimson Blossom" – 3D White Floral &amp; Red Base Long Almond Nails</x:v>
      </x:c>
      <x:c r="D5051" s="18" t="str">
        <x:v>Size: XS / S / M / L</x:v>
      </x:c>
      <x:c r="E5051" s="25" t="str">
        <x:v>$3.99</x:v>
      </x:c>
      <x:c r="F5051" s="19" t="str">
        <x:v>5</x:v>
      </x:c>
    </x:row>
    <x:row r="5052" ht="93" customHeight="1">
      <x:c r="A5052" s="19" t="n">
        <x:v>5049</x:v>
      </x:c>
      <x:c r="B5052" s="22" t="e">
        <x:f>HYPERLINK("https://cdn.shopify.com/s/files/1/0918/6066/4603/files/b3ed0234d0c1764ade60d6de6ee96999.jpg?v=1771396295","Open")</x:f>
        <x:v>HYPERLINK is not implemented. linkLocation=https://cdn.shopify.com/s/files/1/0918/6066/4603/files/b3ed0234d0c1764ade60d6de6ee96999.jpg?v=1771396295, friendlyName=Open</x:v>
      </x:c>
      <x:c r="C5052" s="24" t="e">
        <x:f>HYPERLINK("https://365nails.com/products/crimson-sigil-femme-fatale-collection","Femme Fatale: ""Crimson Sigil"" – Icy Grey &amp; Berry Blush Ombre with 3D Silver Chrome Cyber Tribal Lines Long Stiletto Nails")</x:f>
        <x:v>HYPERLINK is not implemented. linkLocation=https://365nails.com/products/crimson-sigil-femme-fatale-collection, friendlyName=Femme Fatale: "Crimson Sigil" – Icy Grey &amp; Berry Blush Ombre with 3D Silver Chrome Cyber Tribal Lines Long Stiletto Nails</x:v>
      </x:c>
      <x:c r="D5052" s="18" t="str">
        <x:v>Size: XS / S / M / L</x:v>
      </x:c>
      <x:c r="E5052" s="25" t="str">
        <x:v>$3.99</x:v>
      </x:c>
      <x:c r="F5052" s="19" t="str">
        <x:v>5</x:v>
      </x:c>
    </x:row>
    <x:row r="5053" ht="93" customHeight="1">
      <x:c r="A5053" s="19" t="n">
        <x:v>5050</x:v>
      </x:c>
      <x:c r="B5053" s="22" t="e">
        <x:f>HYPERLINK("https://cdn.shopify.com/s/files/1/0918/6066/4603/files/c4be7aaa1cc5f8ffa3dd84d983ce3083.jpg?v=1772074219","Open")</x:f>
        <x:v>HYPERLINK is not implemented. linkLocation=https://cdn.shopify.com/s/files/1/0918/6066/4603/files/c4be7aaa1cc5f8ffa3dd84d983ce3083.jpg?v=1772074219, friendlyName=Open</x:v>
      </x:c>
      <x:c r="C5053" s="24" t="e">
        <x:f>HYPERLINK("https://365nails.com/products/purple-lace-elegance-sculpted-flora-series","Sculpted Flora: ""Purple Lace Elegance"" – 3D Purple Floral &amp; Black Lace French Rhinestone Long Stiletto Nails")</x:f>
        <x:v>HYPERLINK is not implemented. linkLocation=https://365nails.com/products/purple-lace-elegance-sculpted-flora-series, friendlyName=Sculpted Flora: "Purple Lace Elegance" – 3D Purple Floral &amp; Black Lace French Rhinestone Long Stiletto Nails</x:v>
      </x:c>
      <x:c r="D5053" s="18" t="str">
        <x:v>Size: XS / S / M / L</x:v>
      </x:c>
      <x:c r="E5053" s="25" t="str">
        <x:v>$3.99</x:v>
      </x:c>
      <x:c r="F5053" s="19" t="str">
        <x:v>5</x:v>
      </x:c>
    </x:row>
    <x:row r="5054" ht="93" customHeight="1">
      <x:c r="A5054" s="19" t="n">
        <x:v>5051</x:v>
      </x:c>
      <x:c r="B5054" s="22" t="e">
        <x:f>HYPERLINK("https://cdn.shopify.com/s/files/1/0918/6066/4603/files/08f29eb66dadc78e48990a114af9674b_aa173aea-9a23-41c0-ae9c-6f22ab64f537.jpg?v=1764572148","Open")</x:f>
        <x:v>HYPERLINK is not implemented. linkLocation=https://cdn.shopify.com/s/files/1/0918/6066/4603/files/08f29eb66dadc78e48990a114af9674b_aa173aea-9a23-41c0-ae9c-6f22ab64f537.jpg?v=1764572148, friendlyName=Open</x:v>
      </x:c>
      <x:c r="C5054" s="24" t="e">
        <x:f>HYPERLINK("https://365nails.com/products/365nails-frosty-glitter-long-stiletto-claw-dragon-nails","Cloudy Milk Diamond Dragon Claw Stiletto Sheer Milky Jelly with Glitter Cuticle Handmade Dragon Nail")</x:f>
        <x:v>HYPERLINK is not implemented. linkLocation=https://365nails.com/products/365nails-frosty-glitter-long-stiletto-claw-dragon-nails, friendlyName=Cloudy Milk Diamond Dragon Claw Stiletto Sheer Milky Jelly with Glitter Cuticle Handmade Dragon Nail</x:v>
      </x:c>
      <x:c r="D5054" s="18" t="str">
        <x:v>Size: XS / S / M / L</x:v>
      </x:c>
      <x:c r="E5054" s="25" t="str">
        <x:v>$6.99</x:v>
      </x:c>
      <x:c r="F5054" s="19" t="str">
        <x:v>1</x:v>
      </x:c>
    </x:row>
    <x:row r="5055" ht="93" customHeight="1">
      <x:c r="A5055" s="19" t="n">
        <x:v>5052</x:v>
      </x:c>
      <x:c r="B5055" s="22" t="e">
        <x:f>HYPERLINK("https://cdn.shopify.com/s/files/1/0918/6066/4603/files/cc854547f5e357109fa2a8d1db5b3623.jpg?v=1765436501","Open")</x:f>
        <x:v>HYPERLINK is not implemented. linkLocation=https://cdn.shopify.com/s/files/1/0918/6066/4603/files/cc854547f5e357109fa2a8d1db5b3623.jpg?v=1765436501, friendlyName=Open</x:v>
      </x:c>
      <x:c r="C5055" s="24" t="e">
        <x:f>HYPERLINK("https://365nails.com/products/champagne-jelly-studded-press-on-nails-iridescent-cream-stiletto-starry-glitter-sparkling-series","Champagne Jelly Studded Press On Nails｜Iridescent Cream Stiletto | Crystal Armor Series")</x:f>
        <x:v>HYPERLINK is not implemented. linkLocation=https://365nails.com/products/champagne-jelly-studded-press-on-nails-iridescent-cream-stiletto-starry-glitter-sparkling-series, friendlyName=Champagne Jelly Studded Press On Nails｜Iridescent Cream Stiletto | Crystal Armor Series</x:v>
      </x:c>
      <x:c r="D5055" s="18" t="str">
        <x:v>shape: almond / square; Size: XS / S / M / L; length: 45mm / 30mm</x:v>
      </x:c>
      <x:c r="E5055" s="25" t="str">
        <x:v>$19.00</x:v>
      </x:c>
      <x:c r="F5055" s="19" t="str">
        <x:v>1</x:v>
      </x:c>
    </x:row>
    <x:row r="5056" ht="93" customHeight="1">
      <x:c r="A5056" s="19" t="n">
        <x:v>5053</x:v>
      </x:c>
      <x:c r="B5056" s="22" t="e">
        <x:f>HYPERLINK("https://cdn.shopify.com/s/files/1/0918/6066/4603/files/e3a2a8cb1d6f777dc578ef3968d11e79.jpg?v=1765436718","Open")</x:f>
        <x:v>HYPERLINK is not implemented. linkLocation=https://cdn.shopify.com/s/files/1/0918/6066/4603/files/e3a2a8cb1d6f777dc578ef3968d11e79.jpg?v=1765436718, friendlyName=Open</x:v>
      </x:c>
      <x:c r="C5056" s="24" t="e">
        <x:f>HYPERLINK("https://365nails.com/products/emerald-galaxy-studded-press-on-nails-green-stiletto-with-teal-crystals-starry-glitter-sparkling-series","Emerald Galaxy Studded Press On Nails｜Green Stiletto with Teal Crystals | Crystal Armor Series")</x:f>
        <x:v>HYPERLINK is not implemented. linkLocation=https://365nails.com/products/emerald-galaxy-studded-press-on-nails-green-stiletto-with-teal-crystals-starry-glitter-sparkling-series, friendlyName=Emerald Galaxy Studded Press On Nails｜Green Stiletto with Teal Crystals | Crystal Armor Series</x:v>
      </x:c>
      <x:c r="D5056" s="18" t="str">
        <x:v>shape: almond / square; Size: XS / S / M / L; length: 45mm / 30mm</x:v>
      </x:c>
      <x:c r="E5056" s="25" t="str">
        <x:v>$19.00</x:v>
      </x:c>
      <x:c r="F5056" s="19" t="str">
        <x:v>1</x:v>
      </x:c>
    </x:row>
    <x:row r="5057" ht="93" customHeight="1">
      <x:c r="A5057" s="19" t="n">
        <x:v>5054</x:v>
      </x:c>
      <x:c r="B5057" s="22" t="e">
        <x:f>HYPERLINK("https://cdn.shopify.com/s/files/1/0918/6066/4603/files/00e6abfe7bfa72b8fa2b8e3b858c33ec_d6d5a16f-7ebd-4b71-8205-90b7711823ad.jpg?v=1764322345","Open")</x:f>
        <x:v>HYPERLINK is not implemented. linkLocation=https://cdn.shopify.com/s/files/1/0918/6066/4603/files/00e6abfe7bfa72b8fa2b8e3b858c33ec_d6d5a16f-7ebd-4b71-8205-90b7711823ad.jpg?v=1764322345, friendlyName=Open</x:v>
      </x:c>
      <x:c r="C5057" s="24" t="e">
        <x:f>HYPERLINK("https://365nails.com/products/365nails-smoky-gray-stiletto-claw-dragon-nails","Cold Brew Latte Dragon Claw Stiletto Sheer Grey‑Brown Gradient Handmade Dragon Nail")</x:f>
        <x:v>HYPERLINK is not implemented. linkLocation=https://365nails.com/products/365nails-smoky-gray-stiletto-claw-dragon-nails, friendlyName=Cold Brew Latte Dragon Claw Stiletto Sheer Grey‑Brown Gradient Handmade Dragon Nail</x:v>
      </x:c>
      <x:c r="D5057" s="18" t="str">
        <x:v>Size: XS / S / M / L</x:v>
      </x:c>
      <x:c r="E5057" s="25" t="str">
        <x:v>$9.99</x:v>
      </x:c>
      <x:c r="F5057" s="19" t="str">
        <x:v>1</x:v>
      </x:c>
    </x:row>
    <x:row r="5058" ht="93" customHeight="1">
      <x:c r="A5058" s="19" t="n">
        <x:v>5055</x:v>
      </x:c>
      <x:c r="B5058" s="22" t="e">
        <x:f>HYPERLINK("https://cdn.shopify.com/s/files/1/0918/6066/4603/files/cbd20dddd182b62975bbef7fdc201315.jpg?v=1764572617","Open")</x:f>
        <x:v>HYPERLINK is not implemented. linkLocation=https://cdn.shopify.com/s/files/1/0918/6066/4603/files/cbd20dddd182b62975bbef7fdc201315.jpg?v=1764572617, friendlyName=Open</x:v>
      </x:c>
      <x:c r="C5058" s="24" t="e">
        <x:f>HYPERLINK("https://365nails.com/products/365nails-stiletto-claw-dragon-nails-red-ombre","Strawberry Panna Cotta Dragon Claw Stiletto Sheer Milky to Berry‑Red Gradient Handmade Dragon Nail")</x:f>
        <x:v>HYPERLINK is not implemented. linkLocation=https://365nails.com/products/365nails-stiletto-claw-dragon-nails-red-ombre, friendlyName=Strawberry Panna Cotta Dragon Claw Stiletto Sheer Milky to Berry‑Red Gradient Handmade Dragon Nail</x:v>
      </x:c>
      <x:c r="D5058" s="18" t="str">
        <x:v>Size: XS / S / M / L</x:v>
      </x:c>
      <x:c r="E5058" s="25" t="str">
        <x:v>$9.99</x:v>
      </x:c>
      <x:c r="F5058" s="19" t="str">
        <x:v>1</x:v>
      </x:c>
    </x:row>
    <x:row r="5059" ht="93" customHeight="1">
      <x:c r="A5059" s="19" t="n">
        <x:v>5056</x:v>
      </x:c>
      <x:c r="B5059" s="22" t="e">
        <x:f>HYPERLINK("https://cdn.shopify.com/s/files/1/0918/6066/4603/files/850de5fc83987f04c1e437196cdbadaf.jpg?v=1765435832","Open")</x:f>
        <x:v>HYPERLINK is not implemented. linkLocation=https://cdn.shopify.com/s/files/1/0918/6066/4603/files/850de5fc83987f04c1e437196cdbadaf.jpg?v=1765435832, friendlyName=Open</x:v>
      </x:c>
      <x:c r="C5059" s="24" t="e">
        <x:f>HYPERLINK("https://365nails.com/products/sugar-frost-crystal-press-on-nails-white-matte-rhinestone-square-starry-glitter-sparkling-series","Sugar Frost Crystal Press On Nails｜White Matte Rhinestone Square | Crystal Armor Series")</x:f>
        <x:v>HYPERLINK is not implemented. linkLocation=https://365nails.com/products/sugar-frost-crystal-press-on-nails-white-matte-rhinestone-square-starry-glitter-sparkling-series, friendlyName=Sugar Frost Crystal Press On Nails｜White Matte Rhinestone Square | Crystal Armor Series</x:v>
      </x:c>
      <x:c r="D5059" s="18" t="str">
        <x:v>shape: square / almond; Size: XS / S / M / L; length: 45mm</x:v>
      </x:c>
      <x:c r="E5059" s="25" t="str">
        <x:v>$19.00</x:v>
      </x:c>
      <x:c r="F5059" s="19" t="str">
        <x:v>1</x:v>
      </x:c>
    </x:row>
    <x:row r="5060" ht="93" customHeight="1">
      <x:c r="A5060" s="19" t="n">
        <x:v>5057</x:v>
      </x:c>
      <x:c r="B5060" s="22" t="e">
        <x:f>HYPERLINK("https://cdn.shopify.com/s/files/1/0918/6066/4603/files/613ee3b479fad8bee6e3ff38b0733a11.jpg?v=1764664893","Open")</x:f>
        <x:v>HYPERLINK is not implemented. linkLocation=https://cdn.shopify.com/s/files/1/0918/6066/4603/files/613ee3b479fad8bee6e3ff38b0733a11.jpg?v=1764664893, friendlyName=Open</x:v>
      </x:c>
      <x:c r="C5060" s="24" t="e">
        <x:f>HYPERLINK("https://365nails.com/products/clouded-milk-glass-dragon-claw-stiletto-press-on-nails-sheer-white-marble-365nails-premium-handmade-dragon-nail","Clouded Milk Glass Dragon Claw Stiletto Press On Nails｜Sheer White Marble｜365Nails Premium Handmade Dragon Nail")</x:f>
        <x:v>HYPERLINK is not implemented. linkLocation=https://365nails.com/products/clouded-milk-glass-dragon-claw-stiletto-press-on-nails-sheer-white-marble-365nails-premium-handmade-dragon-nail, friendlyName=Clouded Milk Glass Dragon Claw Stiletto Press On Nails｜Sheer White Marble｜365Nails Premium Handmade Dragon Nail</x:v>
      </x:c>
      <x:c r="D5060" s="18" t="str">
        <x:v>Size: XS / S / M / L; length: 40mm / 25mm</x:v>
      </x:c>
      <x:c r="E5060" s="25" t="str">
        <x:v>$9.99</x:v>
      </x:c>
      <x:c r="F5060" s="19" t="str">
        <x:v>1</x:v>
      </x:c>
    </x:row>
    <x:row r="5061" ht="93" customHeight="1">
      <x:c r="A5061" s="19" t="n">
        <x:v>5058</x:v>
      </x:c>
      <x:c r="B5061" s="22" t="e">
        <x:f>HYPERLINK("https://cdn.shopify.com/s/files/1/0918/6066/4603/files/fe08ee36c2fa3670e17e06a5208cf2f9.jpg?v=1764571626","Open")</x:f>
        <x:v>HYPERLINK is not implemented. linkLocation=https://cdn.shopify.com/s/files/1/0918/6066/4603/files/fe08ee36c2fa3670e17e06a5208cf2f9.jpg?v=1764571626, friendlyName=Open</x:v>
      </x:c>
      <x:c r="C5061" s="24" t="e">
        <x:f>HYPERLINK("https://365nails.com/products/365nails-beige-gloss-long-stiletto-claw-dragon-nails","Creamy Latte Dragon Claw Stiletto Jelly Nude Beige Handmade Dragon Nail")</x:f>
        <x:v>HYPERLINK is not implemented. linkLocation=https://365nails.com/products/365nails-beige-gloss-long-stiletto-claw-dragon-nails, friendlyName=Creamy Latte Dragon Claw Stiletto Jelly Nude Beige Handmade Dragon Nail</x:v>
      </x:c>
      <x:c r="D5061" s="18" t="str">
        <x:v>Size: XS / S / M / L; Length: 40mm / 25mm</x:v>
      </x:c>
      <x:c r="E5061" s="25" t="str">
        <x:v>$6.99</x:v>
      </x:c>
      <x:c r="F5061" s="19" t="str">
        <x:v>1</x:v>
      </x:c>
    </x:row>
    <x:row r="5062" ht="93" customHeight="1">
      <x:c r="A5062" s="19" t="n">
        <x:v>5059</x:v>
      </x:c>
      <x:c r="B5062" s="22" t="e">
        <x:f>HYPERLINK("https://cdn.shopify.com/s/files/1/0918/6066/4603/files/O1CN018aAYod1HlX00SL5We__2545140798-0-cib_058ea651-c124-4f33-a03b-2c2d65352f52.jpg?v=1775399022","Open")</x:f>
        <x:v>HYPERLINK is not implemented. linkLocation=https://cdn.shopify.com/s/files/1/0918/6066/4603/files/O1CN018aAYod1HlX00SL5We__2545140798-0-cib_058ea651-c124-4f33-a03b-2c2d65352f52.jpg?v=1775399022, friendlyName=Open</x:v>
      </x:c>
      <x:c r="C5062" s="24" t="e">
        <x:f>HYPERLINK("https://365nails.com/products/365nails-holographic-star-heart-y2k-nail-stickers","365nails: ""Holographic Star &amp; Heart"" – Y2K Nail Stickers")</x:f>
        <x:v>HYPERLINK is not implemented. linkLocation=https://365nails.com/products/365nails-holographic-star-heart-y2k-nail-stickers, friendlyName=365nails: "Holographic Star &amp; Heart" – Y2K Nail Stickers</x:v>
      </x:c>
      <x:c r="D5062" s="18" t="str">
        <x:v>Specification type: To3833-laser powder / To3833-new hot stamping / To3833-silver</x:v>
      </x:c>
      <x:c r="E5062" s="25" t="str">
        <x:v>$1.23</x:v>
      </x:c>
      <x:c r="F5062" s="19" t="str">
        <x:v>5</x:v>
      </x:c>
    </x:row>
    <x:row r="5063" ht="93" customHeight="1">
      <x:c r="A5063" s="19" t="n">
        <x:v>5060</x:v>
      </x:c>
      <x:c r="B5063" s="22" t="e">
        <x:f>HYPERLINK("https://cdn.shopify.com/s/files/1/0918/6066/4603/files/3baad0512b5920d6746cb4bdfbd2cebb.jpg?v=1765435677","Open")</x:f>
        <x:v>HYPERLINK is not implemented. linkLocation=https://cdn.shopify.com/s/files/1/0918/6066/4603/files/3baad0512b5920d6746cb4bdfbd2cebb.jpg?v=1765435677, friendlyName=Open</x:v>
      </x:c>
      <x:c r="C5063" s="24" t="e">
        <x:f>HYPERLINK("https://365nails.com/products/violet-studded-chrome-press-on-nails-metallic-silver-stiletto-starry-glitter-sparkling-series","Violet Studded Chrome Press On Nails｜Metallic Silver Stiletto | Crystal Armor Series")</x:f>
        <x:v>HYPERLINK is not implemented. linkLocation=https://365nails.com/products/violet-studded-chrome-press-on-nails-metallic-silver-stiletto-starry-glitter-sparkling-series, friendlyName=Violet Studded Chrome Press On Nails｜Metallic Silver Stiletto | Crystal Armor Series</x:v>
      </x:c>
      <x:c r="D5063" s="18" t="str">
        <x:v>shape: almond / square; Size: XS / S / M / L; length: 45mm / 30mm</x:v>
      </x:c>
      <x:c r="E5063" s="25" t="str">
        <x:v>$19.00</x:v>
      </x:c>
      <x:c r="F5063" s="19" t="str">
        <x:v>1</x:v>
      </x:c>
    </x:row>
    <x:row r="5064" ht="93" customHeight="1">
      <x:c r="A5064" s="19" t="n">
        <x:v>5061</x:v>
      </x:c>
      <x:c r="B5064" s="22" t="e">
        <x:f>HYPERLINK("https://cdn.shopify.com/s/files/1/0918/6066/4603/files/8c2b2fc8e249d76d99c43611bdd71d14.jpg?v=1771395660","Open")</x:f>
        <x:v>HYPERLINK is not implemented. linkLocation=https://cdn.shopify.com/s/files/1/0918/6066/4603/files/8c2b2fc8e249d76d99c43611bdd71d14.jpg?v=1771395660, friendlyName=Open</x:v>
      </x:c>
      <x:c r="C5064" s="24" t="e">
        <x:f>HYPERLINK("https://365nails.com/products/twilight-whisper-femme-fatale-collection","Femme Fatale: ""Twilight Whisper"" – Berry Pink Jelly Base with Black Butterfly Silhouettes &amp; Silver Gothic Calligraphy Long Stiletto Nails")</x:f>
        <x:v>HYPERLINK is not implemented. linkLocation=https://365nails.com/products/twilight-whisper-femme-fatale-collection, friendlyName=Femme Fatale: "Twilight Whisper" – Berry Pink Jelly Base with Black Butterfly Silhouettes &amp; Silver Gothic Calligraphy Long Stiletto Nails</x:v>
      </x:c>
      <x:c r="D5064" s="18" t="str">
        <x:v>Size: XS / S / M / L</x:v>
      </x:c>
      <x:c r="E5064" s="25" t="str">
        <x:v>$3.99</x:v>
      </x:c>
      <x:c r="F5064" s="19" t="str">
        <x:v>5</x:v>
      </x:c>
    </x:row>
    <x:row r="5065" ht="93" customHeight="1">
      <x:c r="A5065" s="19" t="n">
        <x:v>5062</x:v>
      </x:c>
      <x:c r="B5065" s="22" t="e">
        <x:f>HYPERLINK("https://cdn.shopify.com/s/files/1/0918/6066/4603/files/07d2b6645f8dc78c50de5b26f774fa0e.jpg?v=1764730237","Open")</x:f>
        <x:v>HYPERLINK is not implemented. linkLocation=https://cdn.shopify.com/s/files/1/0918/6066/4603/files/07d2b6645f8dc78c50de5b26f774fa0e.jpg?v=1764730237, friendlyName=Open</x:v>
      </x:c>
      <x:c r="C5065" s="24" t="e">
        <x:f>HYPERLINK("https://365nails.com/products/cranberry-swirl-dragon-claw-stiletto-clear-jelly-red-marble-365nails-premium-handmade-dragon-nail","Cranberry Swirl Dragon Claw Stiletto Clear Jelly Red Marble｜365Nails Premium Handmade Dragon Nail")</x:f>
        <x:v>HYPERLINK is not implemented. linkLocation=https://365nails.com/products/cranberry-swirl-dragon-claw-stiletto-clear-jelly-red-marble-365nails-premium-handmade-dragon-nail, friendlyName=Cranberry Swirl Dragon Claw Stiletto Clear Jelly Red Marble｜365Nails Premium Handmade Dragon Nail</x:v>
      </x:c>
      <x:c r="D5065" s="18" t="str">
        <x:v>Size: XS / S / M / L; length: 40mm / 25mm</x:v>
      </x:c>
      <x:c r="E5065" s="25" t="str">
        <x:v>$9.99</x:v>
      </x:c>
      <x:c r="F5065" s="19" t="str">
        <x:v>1</x:v>
      </x:c>
    </x:row>
    <x:row r="5066" ht="93" customHeight="1">
      <x:c r="A5066" s="19" t="n">
        <x:v>5063</x:v>
      </x:c>
      <x:c r="B5066" s="22" t="e">
        <x:f>HYPERLINK("https://cdn.shopify.com/s/files/1/0918/6066/4603/files/d1b697374a99d151472c91dcbaeb7afd.jpg?v=1764570805","Open")</x:f>
        <x:v>HYPERLINK is not implemented. linkLocation=https://cdn.shopify.com/s/files/1/0918/6066/4603/files/d1b697374a99d151472c91dcbaeb7afd.jpg?v=1764570805, friendlyName=Open</x:v>
      </x:c>
      <x:c r="C5066" s="24" t="e">
        <x:f>HYPERLINK("https://365nails.com/products/365nails-opal-glitter-long-stiletto-claw-dragon-nails","Sugar Ice Dragon Claw Stiletto White with Silver Glitter Gradient Premium Handmade Dragon Nail")</x:f>
        <x:v>HYPERLINK is not implemented. linkLocation=https://365nails.com/products/365nails-opal-glitter-long-stiletto-claw-dragon-nails, friendlyName=Sugar Ice Dragon Claw Stiletto White with Silver Glitter Gradient Premium Handmade Dragon Nail</x:v>
      </x:c>
      <x:c r="D5066" s="18" t="str">
        <x:v>Size: XS / S / M / L; length: 40mm / 25mm</x:v>
      </x:c>
      <x:c r="E5066" s="25" t="str">
        <x:v>$6.99</x:v>
      </x:c>
      <x:c r="F5066" s="19" t="str">
        <x:v>1</x:v>
      </x:c>
    </x:row>
    <x:row r="5067" ht="93" customHeight="1">
      <x:c r="A5067" s="19" t="n">
        <x:v>5064</x:v>
      </x:c>
      <x:c r="B5067" s="22" t="e">
        <x:f>HYPERLINK("https://cdn.shopify.com/s/files/1/0918/6066/4603/files/8a2b2fc7d29bb8cf4678e9b9de1042eb.jpg?v=1771395743","Open")</x:f>
        <x:v>HYPERLINK is not implemented. linkLocation=https://cdn.shopify.com/s/files/1/0918/6066/4603/files/8a2b2fc7d29bb8cf4678e9b9de1042eb.jpg?v=1771395743, friendlyName=Open</x:v>
      </x:c>
      <x:c r="C5067" s="24" t="e">
        <x:f>HYPERLINK("https://365nails.com/products/phantom-lace-femme-fatale-collection","Femme Fatale: ""Phantom Lace"" – Smokey Grey Translucent Base with Black Lace Texture &amp; Silver Chrome Crosses Long Stiletto Nails")</x:f>
        <x:v>HYPERLINK is not implemented. linkLocation=https://365nails.com/products/phantom-lace-femme-fatale-collection, friendlyName=Femme Fatale: "Phantom Lace" – Smokey Grey Translucent Base with Black Lace Texture &amp; Silver Chrome Crosses Long Stiletto Nails</x:v>
      </x:c>
      <x:c r="D5067" s="18" t="str">
        <x:v>Size: XS / S / M / L</x:v>
      </x:c>
      <x:c r="E5067" s="25" t="str">
        <x:v>$3.99</x:v>
      </x:c>
      <x:c r="F5067" s="19" t="str">
        <x:v>5</x:v>
      </x:c>
    </x:row>
    <x:row r="5068" ht="93" customHeight="1">
      <x:c r="A5068" s="19" t="n">
        <x:v>5065</x:v>
      </x:c>
      <x:c r="B5068" s="22" t="e">
        <x:f>HYPERLINK("https://cdn.shopify.com/s/files/1/0918/6066/4603/files/73214e6aba80f30673b64e2fce41bd1a.jpg?v=1764570643","Open")</x:f>
        <x:v>HYPERLINK is not implemented. linkLocation=https://cdn.shopify.com/s/files/1/0918/6066/4603/files/73214e6aba80f30673b64e2fce41bd1a.jpg?v=1764570643, friendlyName=Open</x:v>
      </x:c>
      <x:c r="C5068" s="24" t="e">
        <x:f>HYPERLINK("https://365nails.com/products/iced-smoke-dragon-claw-stiletto-matte-frost-grey-premium-handmade-dragon-nail","Iced Smoke Dragon Claw Stiletto Matte Frost Grey Premium Handmade Dragon Nail")</x:f>
        <x:v>HYPERLINK is not implemented. linkLocation=https://365nails.com/products/iced-smoke-dragon-claw-stiletto-matte-frost-grey-premium-handmade-dragon-nail, friendlyName=Iced Smoke Dragon Claw Stiletto Matte Frost Grey Premium Handmade Dragon Nail</x:v>
      </x:c>
      <x:c r="D5068" s="18" t="str">
        <x:v>Size: XS / S / M / L; length: 40mm / 25mm</x:v>
      </x:c>
      <x:c r="E5068" s="25" t="str">
        <x:v>$6.99</x:v>
      </x:c>
      <x:c r="F5068" s="19" t="str">
        <x:v>1</x:v>
      </x:c>
    </x:row>
    <x:row r="5069" ht="93" customHeight="1">
      <x:c r="A5069" s="19" t="n">
        <x:v>5066</x:v>
      </x:c>
      <x:c r="B5069" s="22" t="e">
        <x:f>HYPERLINK("https://cdn.shopify.com/s/files/1/0918/6066/4603/files/004cc2154cf6b8529f72fa4e328e70a7.jpg?v=1771386834","Open")</x:f>
        <x:v>HYPERLINK is not implemented. linkLocation=https://cdn.shopify.com/s/files/1/0918/6066/4603/files/004cc2154cf6b8529f72fa4e328e70a7.jpg?v=1771386834, friendlyName=Open</x:v>
      </x:c>
      <x:c r="C5069" s="24" t="e">
        <x:f>HYPERLINK("https://365nails.com/products/icy-scripture-femme-fatale-collection","Femme Fatale: ""Icy Scripture"" – Translucent Blue-Grey Base with Silver Lettering, Gothic Crosses &amp; Stars Long Stiletto Nails")</x:f>
        <x:v>HYPERLINK is not implemented. linkLocation=https://365nails.com/products/icy-scripture-femme-fatale-collection, friendlyName=Femme Fatale: "Icy Scripture" – Translucent Blue-Grey Base with Silver Lettering, Gothic Crosses &amp; Stars Long Stiletto Nails</x:v>
      </x:c>
      <x:c r="D5069" s="18" t="str">
        <x:v>Size: XS / S / M / L</x:v>
      </x:c>
      <x:c r="E5069" s="25" t="str">
        <x:v>$3.99</x:v>
      </x:c>
      <x:c r="F5069" s="19" t="str">
        <x:v>5</x:v>
      </x:c>
    </x:row>
    <x:row r="5070" ht="93" customHeight="1">
      <x:c r="A5070" s="19" t="n">
        <x:v>5067</x:v>
      </x:c>
      <x:c r="B5070" s="22" t="e">
        <x:f>HYPERLINK("https://cdn.shopify.com/s/files/1/0918/6066/4603/files/ada15bed4b840828968feee6e711cf82.jpg?v=1764571994","Open")</x:f>
        <x:v>HYPERLINK is not implemented. linkLocation=https://cdn.shopify.com/s/files/1/0918/6066/4603/files/ada15bed4b840828968feee6e711cf82.jpg?v=1764571994, friendlyName=Open</x:v>
      </x:c>
      <x:c r="C5070" s="24" t="e">
        <x:f>HYPERLINK("https://365nails.com/products/365nails-silver-glitter-long-stiletto-claw-dragon-nails","Frost Crystal Claw Stiletto Milky White with Iridescent Glitter Gradient Handmade Dragon Nail")</x:f>
        <x:v>HYPERLINK is not implemented. linkLocation=https://365nails.com/products/365nails-silver-glitter-long-stiletto-claw-dragon-nails, friendlyName=Frost Crystal Claw Stiletto Milky White with Iridescent Glitter Gradient Handmade Dragon Nail</x:v>
      </x:c>
      <x:c r="D5070" s="18" t="str">
        <x:v>Size: XS / S / M / L; length: 40mm / 25mm</x:v>
      </x:c>
      <x:c r="E5070" s="25" t="str">
        <x:v>$9.99</x:v>
      </x:c>
      <x:c r="F5070" s="19" t="str">
        <x:v>1</x:v>
      </x:c>
    </x:row>
    <x:row r="5071" ht="93" customHeight="1">
      <x:c r="A5071" s="19" t="n">
        <x:v>5068</x:v>
      </x:c>
      <x:c r="B5071" s="22" t="e">
        <x:f>HYPERLINK("https://cdn.shopify.com/s/files/1/0918/6066/4603/files/5a5c0c7d95a63b904aaf311d10e0f8b0.jpg?v=1771406909","Open")</x:f>
        <x:v>HYPERLINK is not implemented. linkLocation=https://cdn.shopify.com/s/files/1/0918/6066/4603/files/5a5c0c7d95a63b904aaf311d10e0f8b0.jpg?v=1771406909, friendlyName=Open</x:v>
      </x:c>
      <x:c r="C5071" s="24" t="e">
        <x:f>HYPERLINK("https://365nails.com/products/aurora-mist-ethereal-ink-series","Ethereal Ink: ""Aurora Mist"" – Lilac &amp; Ice Blue Gradient Marble with Silver Foil &amp; Iridescent Glitter Almond Nails")</x:f>
        <x:v>HYPERLINK is not implemented. linkLocation=https://365nails.com/products/aurora-mist-ethereal-ink-series, friendlyName=Ethereal Ink: "Aurora Mist" – Lilac &amp; Ice Blue Gradient Marble with Silver Foil &amp; Iridescent Glitter Almond Nails</x:v>
      </x:c>
      <x:c r="D5071" s="18" t="str">
        <x:v>Size: XS / S / M / L</x:v>
      </x:c>
      <x:c r="E5071" s="25" t="str">
        <x:v>$3.99</x:v>
      </x:c>
      <x:c r="F5071" s="19" t="str">
        <x:v>30</x:v>
      </x:c>
    </x:row>
    <x:row r="5072" ht="93" customHeight="1">
      <x:c r="A5072" s="19" t="n">
        <x:v>5069</x:v>
      </x:c>
      <x:c r="B5072" s="22" t="e">
        <x:f>HYPERLINK("https://cdn.shopify.com/s/files/1/0918/6066/4603/files/7e60852bf732f78a3ea06878760081c4.jpg?v=1764570236","Open")</x:f>
        <x:v>HYPERLINK is not implemented. linkLocation=https://cdn.shopify.com/s/files/1/0918/6066/4603/files/7e60852bf732f78a3ea06878760081c4.jpg?v=1764570236, friendlyName=Open</x:v>
      </x:c>
      <x:c r="C5072" s="24" t="e">
        <x:f>HYPERLINK("https://365nails.com/products/365nails-blush-glitter-long-stiletto-claw-dragon-nails","Peach Fizz Dragon Claw Stiletto Jelly Pink Glitter Handmade Dragon Nail")</x:f>
        <x:v>HYPERLINK is not implemented. linkLocation=https://365nails.com/products/365nails-blush-glitter-long-stiletto-claw-dragon-nails, friendlyName=Peach Fizz Dragon Claw Stiletto Jelly Pink Glitter Handmade Dragon Nail</x:v>
      </x:c>
      <x:c r="D5072" s="18" t="str">
        <x:v>Size: XS / S / M / L; Length: 40mm / 25mm</x:v>
      </x:c>
      <x:c r="E5072" s="25" t="str">
        <x:v>$6.99</x:v>
      </x:c>
      <x:c r="F5072" s="19" t="str">
        <x:v>1</x:v>
      </x:c>
    </x:row>
    <x:row r="5073" ht="93" customHeight="1">
      <x:c r="A5073" s="19" t="n">
        <x:v>5070</x:v>
      </x:c>
      <x:c r="B5073" s="22" t="e">
        <x:f>HYPERLINK("https://cdn.shopify.com/s/files/1/0918/6066/4603/files/22f19a8c87dac9a3cb44c2c12725d2e6.jpg?v=1771410887","Open")</x:f>
        <x:v>HYPERLINK is not implemented. linkLocation=https://cdn.shopify.com/s/files/1/0918/6066/4603/files/22f19a8c87dac9a3cb44c2c12725d2e6.jpg?v=1771410887, friendlyName=Open</x:v>
      </x:c>
      <x:c r="C5073" s="24" t="e">
        <x:f>HYPERLINK("https://365nails.com/products/mystic-taro-mist-ethereal-ink-series","""Mystic Taro Mist"" – Dusty Purple Marble &amp; Grey Cat Eye with Gold Foil Oval Nails")</x:f>
        <x:v>HYPERLINK is not implemented. linkLocation=https://365nails.com/products/mystic-taro-mist-ethereal-ink-series, friendlyName="Mystic Taro Mist" – Dusty Purple Marble &amp; Grey Cat Eye with Gold Foil Oval Nails</x:v>
      </x:c>
      <x:c r="D5073" s="18" t="str">
        <x:v>Size: XS / S / M / L</x:v>
      </x:c>
      <x:c r="E5073" s="25" t="str">
        <x:v>$3.99</x:v>
      </x:c>
      <x:c r="F5073" s="19" t="str">
        <x:v>30</x:v>
      </x:c>
    </x:row>
    <x:row r="5074" ht="93" customHeight="1">
      <x:c r="A5074" s="19" t="n">
        <x:v>5071</x:v>
      </x:c>
      <x:c r="B5074" s="22" t="e">
        <x:f>HYPERLINK("https://cdn.shopify.com/s/files/1/0918/6066/4603/files/O1CN01XpJclu1HlWzDd7ciF__2545140798-0-cib_36929b21-5af0-4393-8249-e32fd9909338.jpg?v=1775398773","Open")</x:f>
        <x:v>HYPERLINK is not implemented. linkLocation=https://cdn.shopify.com/s/files/1/0918/6066/4603/files/O1CN01XpJclu1HlWzDd7ciF__2545140798-0-cib_36929b21-5af0-4393-8249-e32fd9909338.jpg?v=1775398773, friendlyName=Open</x:v>
      </x:c>
      <x:c r="C5074" s="24" t="e">
        <x:f>HYPERLINK("https://365nails.com/products/365nails-winter-red-berry-botanical-nail-stickers","365nails: ""Winter Red Berry"" – Botanical Nail Stickers")</x:f>
        <x:v>HYPERLINK is not implemented. linkLocation=https://365nails.com/products/365nails-winter-red-berry-botanical-nail-stickers, friendlyName=365nails: "Winter Red Berry" – Botanical Nail Stickers</x:v>
      </x:c>
      <x:c r="D5074" s="18" t="str">
        <x:v>Specification type: Ta284-jelly</x:v>
      </x:c>
      <x:c r="E5074" s="25" t="str">
        <x:v>$1.23</x:v>
      </x:c>
      <x:c r="F5074" s="19" t="str">
        <x:v>5</x:v>
      </x:c>
    </x:row>
    <x:row r="5075" ht="93" customHeight="1">
      <x:c r="A5075" s="19" t="n">
        <x:v>5072</x:v>
      </x:c>
      <x:c r="B5075" s="22" t="e">
        <x:f>HYPERLINK("https://cdn.shopify.com/s/files/1/0918/6066/4603/files/b479685214b637f2c25556c667a278b9.jpg?v=1764571775","Open")</x:f>
        <x:v>HYPERLINK is not implemented. linkLocation=https://cdn.shopify.com/s/files/1/0918/6066/4603/files/b479685214b637f2c25556c667a278b9.jpg?v=1764571775, friendlyName=Open</x:v>
      </x:c>
      <x:c r="C5075" s="24" t="e">
        <x:f>HYPERLINK("https://365nails.com/products/365nails-black-glitter-long-stiletto-claw-dragon-nails","Obsidian Stardust Dragon Claw Stiletto Black Glitter to Clear Jelly Handmade Dragon Nail")</x:f>
        <x:v>HYPERLINK is not implemented. linkLocation=https://365nails.com/products/365nails-black-glitter-long-stiletto-claw-dragon-nails, friendlyName=Obsidian Stardust Dragon Claw Stiletto Black Glitter to Clear Jelly Handmade Dragon Nail</x:v>
      </x:c>
      <x:c r="D5075" s="18" t="str">
        <x:v>Size: XS / S / M / L; Length: 40mm / 25mm</x:v>
      </x:c>
      <x:c r="E5075" s="25" t="str">
        <x:v>$9.99</x:v>
      </x:c>
      <x:c r="F5075" s="19" t="str">
        <x:v>1</x:v>
      </x:c>
    </x:row>
    <x:row r="5076" ht="93" customHeight="1">
      <x:c r="A5076" s="19" t="n">
        <x:v>5073</x:v>
      </x:c>
      <x:c r="B5076" s="22" t="e">
        <x:f>HYPERLINK("https://cdn.shopify.com/s/files/1/0918/6066/4603/files/eb468a36079565e45b77d6464fc1ea28.jpg?v=1764730164","Open")</x:f>
        <x:v>HYPERLINK is not implemented. linkLocation=https://cdn.shopify.com/s/files/1/0918/6066/4603/files/eb468a36079565e45b77d6464fc1ea28.jpg?v=1764730164, friendlyName=Open</x:v>
      </x:c>
      <x:c r="C5076" s="24" t="e">
        <x:f>HYPERLINK("https://365nails.com/products/midnight-serpent-dragon-claw-stiletto-glossy-black-with-silver-snake-tips-365nails-premium-handmade-dragon-nails","Midnight Serpent Dragon Claw Stiletto Glossy Black with Silver Snake Tips｜365Nails Premium Handmade Dragon Nails")</x:f>
        <x:v>HYPERLINK is not implemented. linkLocation=https://365nails.com/products/midnight-serpent-dragon-claw-stiletto-glossy-black-with-silver-snake-tips-365nails-premium-handmade-dragon-nails, friendlyName=Midnight Serpent Dragon Claw Stiletto Glossy Black with Silver Snake Tips｜365Nails Premium Handmade Dragon Nails</x:v>
      </x:c>
      <x:c r="D5076" s="18" t="str">
        <x:v>Size: XS / S / M / L; length: 40mm / 25mm</x:v>
      </x:c>
      <x:c r="E5076" s="25" t="str">
        <x:v>$9.99</x:v>
      </x:c>
      <x:c r="F5076" s="19" t="str">
        <x:v>1</x:v>
      </x:c>
    </x:row>
    <x:row r="5077" ht="93" customHeight="1">
      <x:c r="A5077" s="19" t="n">
        <x:v>5074</x:v>
      </x:c>
      <x:c r="B5077" s="22" t="e">
        <x:f>HYPERLINK("https://cdn.shopify.com/s/files/1/0918/6066/4603/files/1e331eabfb28a7a6a7de1142c6667342.jpg?v=1772073915","Open")</x:f>
        <x:v>HYPERLINK is not implemented. linkLocation=https://cdn.shopify.com/s/files/1/0918/6066/4603/files/1e331eabfb28a7a6a7de1142c6667342.jpg?v=1772073915, friendlyName=Open</x:v>
      </x:c>
      <x:c r="C5077" s="24" t="e">
        <x:f>HYPERLINK("https://365nails.com/products/wild-orchid-sculpted-flora-series","Sculpted Flora: ""Wild Orchid"" – 3D Dusty Pink Floral &amp; Leopard Print Long Square Nails")</x:f>
        <x:v>HYPERLINK is not implemented. linkLocation=https://365nails.com/products/wild-orchid-sculpted-flora-series, friendlyName=Sculpted Flora: "Wild Orchid" – 3D Dusty Pink Floral &amp; Leopard Print Long Square Nails</x:v>
      </x:c>
      <x:c r="D5077" s="18" t="str">
        <x:v>Size: XS / S / M / L</x:v>
      </x:c>
      <x:c r="E5077" s="25" t="str">
        <x:v>$3.99</x:v>
      </x:c>
      <x:c r="F5077" s="19" t="str">
        <x:v>5</x:v>
      </x:c>
    </x:row>
    <x:row r="5078" ht="93" customHeight="1">
      <x:c r="A5078" s="19" t="n">
        <x:v>5075</x:v>
      </x:c>
      <x:c r="B5078" s="22" t="e">
        <x:f>HYPERLINK("https://cdn.shopify.com/s/files/1/0918/6066/4603/files/26340929e566561fe11839a259a6eeb0.jpg?v=1764571263","Open")</x:f>
        <x:v>HYPERLINK is not implemented. linkLocation=https://cdn.shopify.com/s/files/1/0918/6066/4603/files/26340929e566561fe11839a259a6eeb0.jpg?v=1764571263, friendlyName=Open</x:v>
      </x:c>
      <x:c r="C5078" s="24" t="e">
        <x:f>HYPERLINK("https://365nails.com/products/365nails-silver-glitter-mix-long-stiletto-claw-dragon-nails","Chrome Meteor Dragon Claw Stiletto Silver Glitter &amp; Mirror Chrome Handmade Dragon Nail")</x:f>
        <x:v>HYPERLINK is not implemented. linkLocation=https://365nails.com/products/365nails-silver-glitter-mix-long-stiletto-claw-dragon-nails, friendlyName=Chrome Meteor Dragon Claw Stiletto Silver Glitter &amp; Mirror Chrome Handmade Dragon Nail</x:v>
      </x:c>
      <x:c r="D5078" s="18" t="str">
        <x:v>Size: XS / S / M / L; Length: 40mm / 25mm</x:v>
      </x:c>
      <x:c r="E5078" s="25" t="str">
        <x:v>$9.99</x:v>
      </x:c>
      <x:c r="F5078" s="19" t="str">
        <x:v>1</x:v>
      </x:c>
    </x:row>
    <x:row r="5079" ht="93" customHeight="1">
      <x:c r="A5079" s="19" t="n">
        <x:v>5076</x:v>
      </x:c>
      <x:c r="B5079" s="22" t="e">
        <x:f>HYPERLINK("https://cdn.shopify.com/s/files/1/0918/6066/4603/files/e74a7c7350acc7462785c58313a6e280.jpg?v=1771415130","Open")</x:f>
        <x:v>HYPERLINK is not implemented. linkLocation=https://cdn.shopify.com/s/files/1/0918/6066/4603/files/e74a7c7350acc7462785c58313a6e280.jpg?v=1771415130, friendlyName=Open</x:v>
      </x:c>
      <x:c r="C5079" s="24" t="e">
        <x:f>HYPERLINK("https://365nails.com/products/vintage-taro-rose-ethereal-ink-series","Ethereal Ink: ""Vintage Taro Rose"" – Lilac Purple Cat Eye &amp; Dried Rose Marble with 3D Liquid Metal &amp; Gold Foil Oval Nails")</x:f>
        <x:v>HYPERLINK is not implemented. linkLocation=https://365nails.com/products/vintage-taro-rose-ethereal-ink-series, friendlyName=Ethereal Ink: "Vintage Taro Rose" – Lilac Purple Cat Eye &amp; Dried Rose Marble with 3D Liquid Metal &amp; Gold Foil Oval Nails</x:v>
      </x:c>
      <x:c r="D5079" s="18" t="str">
        <x:v>Size: XS / S / M / L</x:v>
      </x:c>
      <x:c r="E5079" s="25" t="str">
        <x:v>$3.99</x:v>
      </x:c>
      <x:c r="F5079" s="19" t="str">
        <x:v>30</x:v>
      </x:c>
    </x:row>
    <x:row r="5080" ht="93" customHeight="1">
      <x:c r="A5080" s="19" t="n">
        <x:v>5077</x:v>
      </x:c>
      <x:c r="B5080" s="22" t="e">
        <x:f>HYPERLINK("https://cdn.shopify.com/s/files/1/0918/6066/4603/files/7b3b408484e08d390086514a6e166a12_06115d69-a351-4be5-946b-ac07c2a930c8.jpg?v=1764730186","Open")</x:f>
        <x:v>HYPERLINK is not implemented. linkLocation=https://cdn.shopify.com/s/files/1/0918/6066/4603/files/7b3b408484e08d390086514a6e166a12_06115d69-a351-4be5-946b-ac07c2a930c8.jpg?v=1764730186, friendlyName=Open</x:v>
      </x:c>
      <x:c r="C5080" s="24" t="e">
        <x:f>HYPERLINK("https://365nails.com/products/midnight-shine-dragon-claw-stiletto-pure-glossy-black-365nails-premium-handmade-dragon-nail","Midnight Shine Dragon Claw Stiletto Pure Glossy Black｜365Nails Premium Handmade Dragon Nail")</x:f>
        <x:v>HYPERLINK is not implemented. linkLocation=https://365nails.com/products/midnight-shine-dragon-claw-stiletto-pure-glossy-black-365nails-premium-handmade-dragon-nail, friendlyName=Midnight Shine Dragon Claw Stiletto Pure Glossy Black｜365Nails Premium Handmade Dragon Nail</x:v>
      </x:c>
      <x:c r="D5080" s="18" t="str">
        <x:v>Size: XS / S / M / L; length: 40mm / 25mm</x:v>
      </x:c>
      <x:c r="E5080" s="25" t="str">
        <x:v>$9.99</x:v>
      </x:c>
      <x:c r="F5080" s="19" t="str">
        <x:v>1</x:v>
      </x:c>
    </x:row>
    <x:row r="5081" ht="93" customHeight="1">
      <x:c r="A5081" s="19" t="n">
        <x:v>5078</x:v>
      </x:c>
      <x:c r="B5081" s="22" t="e">
        <x:f>HYPERLINK("https://cdn.shopify.com/s/files/1/0918/6066/4603/files/4ededaae02c948a3c5e597a3703708ef.jpg?v=1764570037","Open")</x:f>
        <x:v>HYPERLINK is not implemented. linkLocation=https://cdn.shopify.com/s/files/1/0918/6066/4603/files/4ededaae02c948a3c5e597a3703708ef.jpg?v=1764570037, friendlyName=Open</x:v>
      </x:c>
      <x:c r="C5081" s="24" t="e">
        <x:f>HYPERLINK("https://365nails.com/products/strawberry-milk-dragon-claw-stiletto-red-white-gradient-premium-handmade-dragon-nail","Strawberry Milk Dragon Claw Stiletto Red &amp; White Gradient Premium Handmade Dragon nail")</x:f>
        <x:v>HYPERLINK is not implemented. linkLocation=https://365nails.com/products/strawberry-milk-dragon-claw-stiletto-red-white-gradient-premium-handmade-dragon-nail, friendlyName=Strawberry Milk Dragon Claw Stiletto Red &amp; White Gradient Premium Handmade Dragon nail</x:v>
      </x:c>
      <x:c r="D5081" s="18" t="str">
        <x:v>Size: XS / S / M / L; length: 40mm / 25mm</x:v>
      </x:c>
      <x:c r="E5081" s="25" t="str">
        <x:v>$6.99</x:v>
      </x:c>
      <x:c r="F5081" s="19" t="str">
        <x:v>1</x:v>
      </x:c>
    </x:row>
    <x:row r="5082" ht="93" customHeight="1">
      <x:c r="A5082" s="19" t="n">
        <x:v>5079</x:v>
      </x:c>
      <x:c r="B5082" s="22" t="e">
        <x:f>HYPERLINK("https://cdn.shopify.com/s/files/1/0918/6066/4603/files/c4af531ec43bb6dc45bc4521ad1bce6f_3a893436-a898-4a9e-8706-338e68324ff4.jpg?v=1764570992","Open")</x:f>
        <x:v>HYPERLINK is not implemented. linkLocation=https://cdn.shopify.com/s/files/1/0918/6066/4603/files/c4af531ec43bb6dc45bc4521ad1bce6f_3a893436-a898-4a9e-8706-338e68324ff4.jpg?v=1764570992, friendlyName=Open</x:v>
      </x:c>
      <x:c r="C5082" s="24" t="e">
        <x:f>HYPERLINK("https://365nails.com/products/365nails-ruby-glitter-long-stiletto-claw-dragon-nails","Wine Fizz Dragon Claw Stiletto Jelly Red Gradient Premium Handmade Dragon Nail")</x:f>
        <x:v>HYPERLINK is not implemented. linkLocation=https://365nails.com/products/365nails-ruby-glitter-long-stiletto-claw-dragon-nails, friendlyName=Wine Fizz Dragon Claw Stiletto Jelly Red Gradient Premium Handmade Dragon Nail</x:v>
      </x:c>
      <x:c r="D5082" s="18" t="str">
        <x:v>Size: XS / S / M / L; length: 40mm</x:v>
      </x:c>
      <x:c r="E5082" s="25" t="str">
        <x:v>$6.99</x:v>
      </x:c>
      <x:c r="F5082" s="19" t="str">
        <x:v>1</x:v>
      </x:c>
    </x:row>
    <x:row r="5083" ht="93" customHeight="1">
      <x:c r="A5083" s="19" t="n">
        <x:v>5080</x:v>
      </x:c>
      <x:c r="B5083" s="22" t="e">
        <x:f>HYPERLINK("https://cdn.shopify.com/s/files/1/0918/6066/4603/files/b472f08aac495fb7d74e8a2cf5be4644.jpg?v=1764571098","Open")</x:f>
        <x:v>HYPERLINK is not implemented. linkLocation=https://cdn.shopify.com/s/files/1/0918/6066/4603/files/b472f08aac495fb7d74e8a2cf5be4644.jpg?v=1764571098, friendlyName=Open</x:v>
      </x:c>
      <x:c r="C5083" s="24" t="e">
        <x:f>HYPERLINK("https://365nails.com/products/365nails-sheer-glitter-long-stiletto-claw-dragon-nails","Milky Glass Dragon Claw Stiletto Translucent Jelly White Premium Handmade Dragon Nail")</x:f>
        <x:v>HYPERLINK is not implemented. linkLocation=https://365nails.com/products/365nails-sheer-glitter-long-stiletto-claw-dragon-nails, friendlyName=Milky Glass Dragon Claw Stiletto Translucent Jelly White Premium Handmade Dragon Nail</x:v>
      </x:c>
      <x:c r="D5083" s="18" t="str">
        <x:v>Size: XS / S / M / L; Length: 40mm / 25mm</x:v>
      </x:c>
      <x:c r="E5083" s="25" t="str">
        <x:v>$6.99</x:v>
      </x:c>
      <x:c r="F5083" s="19" t="str">
        <x:v>1</x:v>
      </x:c>
    </x:row>
    <x:row r="5084" ht="93" customHeight="1">
      <x:c r="A5084" s="19" t="n">
        <x:v>5081</x:v>
      </x:c>
      <x:c r="B5084" s="22" t="e">
        <x:f>HYPERLINK("https://cdn.shopify.com/s/files/1/0918/6066/4603/files/O1CN01n4Kc9R1HlX0UfUKqP__2545140798-0-cib_6c643c70-d5a4-4c42-9a2c-956ff5697270.jpg?v=1775399270","Open")</x:f>
        <x:v>HYPERLINK is not implemented. linkLocation=https://cdn.shopify.com/s/files/1/0918/6066/4603/files/O1CN01n4Kc9R1HlX0UfUKqP__2545140798-0-cib_6c643c70-d5a4-4c42-9a2c-956ff5697270.jpg?v=1775399270, friendlyName=Open</x:v>
      </x:c>
      <x:c r="C5084" s="24" t="e">
        <x:f>HYPERLINK("https://365nails.com/products/365nails-soft-green-butterfly-fresh-nail-stickers","365nails: ""Soft Green Butterfly"" – Fresh Nail Stickers")</x:f>
        <x:v>HYPERLINK is not implemented. linkLocation=https://365nails.com/products/365nails-soft-green-butterfly-fresh-nail-stickers, friendlyName=365nails: "Soft Green Butterfly" – Fresh Nail Stickers</x:v>
      </x:c>
      <x:c r="D5084" s="18" t="str">
        <x:v>Specification type: To3927-relief / To3928-shell light</x:v>
      </x:c>
      <x:c r="E5084" s="25" t="str">
        <x:v>$1.23</x:v>
      </x:c>
      <x:c r="F5084" s="19" t="str">
        <x:v>5</x:v>
      </x:c>
    </x:row>
    <x:row r="5085" ht="93" customHeight="1">
      <x:c r="A5085" s="19" t="n">
        <x:v>5082</x:v>
      </x:c>
      <x:c r="B5085" s="22" t="e">
        <x:f>HYPERLINK("https://cdn.shopify.com/s/files/1/0918/6066/4603/files/O1CN01CM8oET1HlX0VVkz6D__2545140798-0-cib_173aef01-63d3-4677-9a88-e5b85b9debfa.jpg?v=1775399183","Open")</x:f>
        <x:v>HYPERLINK is not implemented. linkLocation=https://cdn.shopify.com/s/files/1/0918/6066/4603/files/O1CN01CM8oET1HlX0VVkz6D__2545140798-0-cib_173aef01-63d3-4677-9a88-e5b85b9debfa.jpg?v=1775399183, friendlyName=Open</x:v>
      </x:c>
      <x:c r="C5085" s="24" t="e">
        <x:f>HYPERLINK("https://365nails.com/products/365nails-minimal-white-butterfly-elegant-nail-stickers","365nails: ""Minimal White Butterfly"" – Elegant Nail Stickers")</x:f>
        <x:v>HYPERLINK is not implemented. linkLocation=https://365nails.com/products/365nails-minimal-white-butterfly-elegant-nail-stickers, friendlyName=365nails: "Minimal White Butterfly" – Elegant Nail Stickers</x:v>
      </x:c>
      <x:c r="D5085" s="18" t="str">
        <x:v>Specification type: To2687-1 / To3953</x:v>
      </x:c>
      <x:c r="E5085" s="25" t="str">
        <x:v>$1.09</x:v>
      </x:c>
      <x:c r="F5085" s="19" t="str">
        <x:v>5</x:v>
      </x:c>
    </x:row>
    <x:row r="5086" ht="93" customHeight="1">
      <x:c r="A5086" s="19" t="n">
        <x:v>5083</x:v>
      </x:c>
      <x:c r="B5086" s="22" t="e">
        <x:f>HYPERLINK("https://cdn.shopify.com/s/files/1/0918/6066/4603/files/O1CN01uGNSBD1HlX0gSmI06__2545140798-0-cib_aaaffb27-2e87-429c-b57a-4f3ed6aaa0e6.jpg?v=1775399446","Open")</x:f>
        <x:v>HYPERLINK is not implemented. linkLocation=https://cdn.shopify.com/s/files/1/0918/6066/4603/files/O1CN01uGNSBD1HlX0gSmI06__2545140798-0-cib_aaaffb27-2e87-429c-b57a-4f3ed6aaa0e6.jpg?v=1775399446, friendlyName=Open</x:v>
      </x:c>
      <x:c r="C5086" s="24" t="e">
        <x:f>HYPERLINK("https://365nails.com/products/365nails-holographic-shell-light-butterfly-iridescent-nail-stickers","365nails: ""Holographic Shell Light Butterfly"" – Iridescent Nail Stickers")</x:f>
        <x:v>HYPERLINK is not implemented. linkLocation=https://365nails.com/products/365nails-holographic-shell-light-butterfly-iridescent-nail-stickers, friendlyName=365nails: "Holographic Shell Light Butterfly" – Iridescent Nail Stickers</x:v>
      </x:c>
      <x:c r="D5086" s="18" t="str">
        <x:v>Specification type: Ms590-shell light / Ms591-shell light</x:v>
      </x:c>
      <x:c r="E5086" s="25" t="str">
        <x:v>$1.23</x:v>
      </x:c>
      <x:c r="F5086" s="19" t="str">
        <x:v>5</x:v>
      </x:c>
    </x:row>
    <x:row r="5087" ht="93" customHeight="1">
      <x:c r="A5087" s="19" t="n">
        <x:v>5084</x:v>
      </x:c>
      <x:c r="B5087" s="22" t="e">
        <x:f>HYPERLINK("https://cdn.shopify.com/s/files/1/0918/6066/4603/files/O1CN01wtIrhp1HlX10QCAkx__2545140798-0-cib_0dfdcea2-e3ef-47ce-b0bf-4980e5821640.jpg?v=1775399540","Open")</x:f>
        <x:v>HYPERLINK is not implemented. linkLocation=https://cdn.shopify.com/s/files/1/0918/6066/4603/files/O1CN01wtIrhp1HlX10QCAkx__2545140798-0-cib_0dfdcea2-e3ef-47ce-b0bf-4980e5821640.jpg?v=1775399540, friendlyName=Open</x:v>
      </x:c>
      <x:c r="C5087" s="24" t="e">
        <x:f>HYPERLINK("https://365nails.com/products/365nails-ink-wash-floral-poetry-oriental-nail-stickers","365nails: ""Ink Wash Floral Poetry"" – Oriental Nail Stickers")</x:f>
        <x:v>HYPERLINK is not implemented. linkLocation=https://365nails.com/products/365nails-ink-wash-floral-poetry-oriental-nail-stickers, friendlyName=365nails: "Ink Wash Floral Poetry" – Oriental Nail Stickers</x:v>
      </x:c>
      <x:c r="D5087" s="18" t="str">
        <x:v>Specification type: To3977</x:v>
      </x:c>
      <x:c r="E5087" s="25" t="str">
        <x:v>$1.09</x:v>
      </x:c>
      <x:c r="F5087" s="19" t="str">
        <x:v>5</x:v>
      </x:c>
    </x:row>
    <x:row r="5088" ht="93" customHeight="1">
      <x:c r="A5088" s="19" t="n">
        <x:v>5085</x:v>
      </x:c>
      <x:c r="B5088" s="22" t="e">
        <x:f>HYPERLINK("https://cdn.shopify.com/s/files/1/0918/6066/4603/files/O1CN01CCRywk1HlWzOz2ZFs__2545140798-0-cib_5bcd0156-93c7-4677-9029-b7e1a5a8196d.jpg?v=1775398862","Open")</x:f>
        <x:v>HYPERLINK is not implemented. linkLocation=https://cdn.shopify.com/s/files/1/0918/6066/4603/files/O1CN01CCRywk1HlWzOz2ZFs__2545140798-0-cib_5bcd0156-93c7-4677-9029-b7e1a5a8196d.jpg?v=1775398862, friendlyName=Open</x:v>
      </x:c>
      <x:c r="C5088" s="24" t="e">
        <x:f>HYPERLINK("https://365nails.com/products/365nails-vintage-rose-poetry-floral-nail-stickers","365nails: ""Vintage Rose Poetry"" – Floral Nail Stickers")</x:f>
        <x:v>HYPERLINK is not implemented. linkLocation=https://365nails.com/products/365nails-vintage-rose-poetry-floral-nail-stickers, friendlyName=365nails: "Vintage Rose Poetry" – Floral Nail Stickers</x:v>
      </x:c>
      <x:c r="D5088" s="18" t="str">
        <x:v>Specification type: To3713 / To3764</x:v>
      </x:c>
      <x:c r="E5088" s="25" t="str">
        <x:v>$1.09</x:v>
      </x:c>
      <x:c r="F5088" s="19" t="str">
        <x:v>5</x:v>
      </x:c>
    </x:row>
    <x:row r="5089" ht="93" customHeight="1">
      <x:c r="A5089" s="19" t="n">
        <x:v>5086</x:v>
      </x:c>
      <x:c r="B5089" s="22" t="e">
        <x:f>HYPERLINK("https://cdn.shopify.com/s/files/1/0918/6066/4603/files/f642f6afcd067badb12f09e010f82b19.jpg?v=1764570267","Open")</x:f>
        <x:v>HYPERLINK is not implemented. linkLocation=https://cdn.shopify.com/s/files/1/0918/6066/4603/files/f642f6afcd067badb12f09e010f82b19.jpg?v=1764570267, friendlyName=Open</x:v>
      </x:c>
      <x:c r="C5089" s="24" t="e">
        <x:f>HYPERLINK("https://365nails.com/products/champagne-glitter-dragon-claw-stiletto-gold-gradient-premium-handmade-dragon-nails","Champagne Glitter Dragon Claw Stiletto Gold Gradient Premium Handmade Dragon Nails")</x:f>
        <x:v>HYPERLINK is not implemented. linkLocation=https://365nails.com/products/champagne-glitter-dragon-claw-stiletto-gold-gradient-premium-handmade-dragon-nails, friendlyName=Champagne Glitter Dragon Claw Stiletto Gold Gradient Premium Handmade Dragon Nails</x:v>
      </x:c>
      <x:c r="D5089" s="18" t="str">
        <x:v>Size: XS / S / M / L; length: 40mm / 25mm</x:v>
      </x:c>
      <x:c r="E5089" s="25" t="str">
        <x:v>$6.99</x:v>
      </x:c>
      <x:c r="F5089" s="19" t="str">
        <x:v>1</x:v>
      </x:c>
    </x:row>
    <x:row r="5090" ht="93" customHeight="1">
      <x:c r="A5090" s="19" t="n">
        <x:v>5087</x:v>
      </x:c>
      <x:c r="B5090" s="22" t="e">
        <x:f>HYPERLINK("https://cdn.shopify.com/s/files/1/0918/6066/4603/files/0c75f9b2ecc859115ddb9f0ca5b6627f_b7a847cf-a66b-47e5-8117-e5817083a8d0.jpg?v=1764570393","Open")</x:f>
        <x:v>HYPERLINK is not implemented. linkLocation=https://cdn.shopify.com/s/files/1/0918/6066/4603/files/0c75f9b2ecc859115ddb9f0ca5b6627f_b7a847cf-a66b-47e5-8117-e5817083a8d0.jpg?v=1764570393, friendlyName=Open</x:v>
      </x:c>
      <x:c r="C5090" s="24" t="e">
        <x:f>HYPERLINK("https://365nails.com/products/365nails-ocean-blue-glitter-long-stiletto-claw-dragon-nails","Deep Sea Stardust Dragon Claw Stiletto Jelly Blue Glitter Handmade Dragon Nail")</x:f>
        <x:v>HYPERLINK is not implemented. linkLocation=https://365nails.com/products/365nails-ocean-blue-glitter-long-stiletto-claw-dragon-nails, friendlyName=Deep Sea Stardust Dragon Claw Stiletto Jelly Blue Glitter Handmade Dragon Nail</x:v>
      </x:c>
      <x:c r="D5090" s="18" t="str">
        <x:v>Size: XS / S / M / L; Length: 40mm / 25mm</x:v>
      </x:c>
      <x:c r="E5090" s="25" t="str">
        <x:v>$6.99</x:v>
      </x:c>
      <x:c r="F5090" s="19" t="str">
        <x:v>1</x:v>
      </x:c>
    </x:row>
    <x:row r="5091" ht="93" customHeight="1">
      <x:c r="A5091" s="19" t="n">
        <x:v>5088</x:v>
      </x:c>
      <x:c r="B5091" s="22" t="e">
        <x:f>HYPERLINK("https://cdn.shopify.com/s/files/1/0918/6066/4603/files/7b39acf83484cc845419071bc0f1c77f.jpg?v=1764571442","Open")</x:f>
        <x:v>HYPERLINK is not implemented. linkLocation=https://cdn.shopify.com/s/files/1/0918/6066/4603/files/7b39acf83484cc845419071bc0f1c77f.jpg?v=1764571442, friendlyName=Open</x:v>
      </x:c>
      <x:c r="C5091" s="24" t="e">
        <x:f>HYPERLINK("https://365nails.com/products/mocha-fade-dragon-claw-stiletto-smoky-black-premium-handmade-dragon-nails","Mocha Fade Dragon Claw Stiletto Smoky Black Premium Handmade Dragon nails")</x:f>
        <x:v>HYPERLINK is not implemented. linkLocation=https://365nails.com/products/mocha-fade-dragon-claw-stiletto-smoky-black-premium-handmade-dragon-nails, friendlyName=Mocha Fade Dragon Claw Stiletto Smoky Black Premium Handmade Dragon nails</x:v>
      </x:c>
      <x:c r="D5091" s="18" t="str">
        <x:v>Size: XS / S / M / L; length: 40mm / 25mm</x:v>
      </x:c>
      <x:c r="E5091" s="25" t="str">
        <x:v>$6.99</x:v>
      </x:c>
      <x:c r="F5091" s="19" t="str">
        <x:v>1</x:v>
      </x:c>
    </x:row>
    <x:row r="5092" ht="93" customHeight="1">
      <x:c r="A5092" s="19" t="n">
        <x:v>5089</x:v>
      </x:c>
      <x:c r="B5092" s="22" t="e">
        <x:f>HYPERLINK("https://cdn.shopify.com/s/files/1/0918/6066/4603/files/f20086a1e3c6e1603b7b19147908ebfd.jpg?v=1764571400","Open")</x:f>
        <x:v>HYPERLINK is not implemented. linkLocation=https://cdn.shopify.com/s/files/1/0918/6066/4603/files/f20086a1e3c6e1603b7b19147908ebfd.jpg?v=1764571400, friendlyName=Open</x:v>
      </x:c>
      <x:c r="C5092" s="24" t="e">
        <x:f>HYPERLINK("https://365nails.com/products/365nails-mauve-gradient-long-stiletto-claw-dragon-nails","Latte Rose Shadow Dragon Claw Stiletto Matte Nude Gradient Handmade Dragon Nail")</x:f>
        <x:v>HYPERLINK is not implemented. linkLocation=https://365nails.com/products/365nails-mauve-gradient-long-stiletto-claw-dragon-nails, friendlyName=Latte Rose Shadow Dragon Claw Stiletto Matte Nude Gradient Handmade Dragon Nail</x:v>
      </x:c>
      <x:c r="D5092" s="18" t="str">
        <x:v>Size: XS / S / M / L; Length: 40mm / 25mm</x:v>
      </x:c>
      <x:c r="E5092" s="25" t="str">
        <x:v>$9.99</x:v>
      </x:c>
      <x:c r="F5092" s="19" t="str">
        <x:v>1</x:v>
      </x:c>
    </x:row>
    <x:row r="5093" ht="93" customHeight="1">
      <x:c r="A5093" s="19" t="n">
        <x:v>5090</x:v>
      </x:c>
      <x:c r="B5093" s="22" t="e">
        <x:f>HYPERLINK("https://cdn.shopify.com/s/files/1/0918/6066/4603/files/ba563631d5f0f8188c0943bc67b79bab.jpg?v=1764571288","Open")</x:f>
        <x:v>HYPERLINK is not implemented. linkLocation=https://cdn.shopify.com/s/files/1/0918/6066/4603/files/ba563631d5f0f8188c0943bc67b79bab.jpg?v=1764571288, friendlyName=Open</x:v>
      </x:c>
      <x:c r="C5093" s="24" t="e">
        <x:f>HYPERLINK("https://365nails.com/products/honey-nude-dragon-claw-stiletto-press-on-nails-almond-nude-365nails-premium-handmade-dragon-nails","Honey Nude Dragon Claw Stiletto Almond Nude Handmade Dragon Nails")</x:f>
        <x:v>HYPERLINK is not implemented. linkLocation=https://365nails.com/products/honey-nude-dragon-claw-stiletto-press-on-nails-almond-nude-365nails-premium-handmade-dragon-nails, friendlyName=Honey Nude Dragon Claw Stiletto Almond Nude Handmade Dragon Nails</x:v>
      </x:c>
      <x:c r="D5093" s="18" t="str">
        <x:v>Size: XS / S / M / L; length: 40mm / 25mm</x:v>
      </x:c>
      <x:c r="E5093" s="25" t="str">
        <x:v>$6.99</x:v>
      </x:c>
      <x:c r="F5093" s="19" t="str">
        <x:v>1</x:v>
      </x:c>
    </x:row>
    <x:row r="5094" ht="93" customHeight="1">
      <x:c r="A5094" s="19" t="n">
        <x:v>5091</x:v>
      </x:c>
      <x:c r="B5094" s="22" t="e">
        <x:f>HYPERLINK("https://cdn.shopify.com/s/files/1/0918/6066/4603/files/b42b5c32d64e64c3398b948148f8ed1f_b788882f-143c-4943-a3e7-8c6b8fe057ed.jpg?v=1755230709","Open")</x:f>
        <x:v>HYPERLINK is not implemented. linkLocation=https://cdn.shopify.com/s/files/1/0918/6066/4603/files/b42b5c32d64e64c3398b948148f8ed1f_b788882f-143c-4943-a3e7-8c6b8fe057ed.jpg?v=1755230709, friendlyName=Open</x:v>
      </x:c>
      <x:c r="C5094" s="24" t="e">
        <x:f>HYPERLINK("https://365nails.com/products/nail-tips-popular-transparent-nail-mold-120-pieces-boxed-with-graduated-crystal-extension-nail-plate-fast-phototherapy-extension-nail-mold","Transparent Nail Extension Mold with Graduated Crystal Plate, Fast Phototherapy Nail Forms, 120 Pieces Boxed (MOQ=3)")</x:f>
        <x:v>HYPERLINK is not implemented. linkLocation=https://365nails.com/products/nail-tips-popular-transparent-nail-mold-120-pieces-boxed-with-graduated-crystal-extension-nail-plate-fast-phototherapy-extension-nail-mold, friendlyName=Transparent Nail Extension Mold with Graduated Crystal Plate, Fast Phototherapy Nail Forms, 120 Pieces Boxed (MOQ=3)</x:v>
      </x:c>
      <x:c r="D5094" s="18" t="str">
        <x:v>Color: JM-1 / JM-2 / JM-3 / JM-4 / JM-5 / JM-6 / JM-7 / JM-8 / JM-9 / JM-10 / JM-11 / JM-13 / JM-14 / JM-15 / JM-16 / JM-17 / JM-18 / JM-19 / JM-20 / JM-22 / JM-23 / JM-24 / JM-25 / JM-26; Color classification: 120 pieces in a box / Bag of 60 pieces / Box of 100 pieces; Quantity: 3pcs</x:v>
      </x:c>
      <x:c r="E5094" s="25" t="str">
        <x:v>$0.87–$2.04</x:v>
      </x:c>
      <x:c r="F5094" s="19" t="str">
        <x:v>1</x:v>
      </x:c>
    </x:row>
    <x:row r="5095" ht="93" customHeight="1">
      <x:c r="A5095" s="19" t="n">
        <x:v>5092</x:v>
      </x:c>
      <x:c r="B5095" s="22" t="e">
        <x:f>HYPERLINK("https://cdn.shopify.com/s/files/1/0918/6066/4603/files/a9ea671d876993e6bb8b9b3c03d80122.jpg?v=1764570851","Open")</x:f>
        <x:v>HYPERLINK is not implemented. linkLocation=https://cdn.shopify.com/s/files/1/0918/6066/4603/files/a9ea671d876993e6bb8b9b3c03d80122.jpg?v=1764570851, friendlyName=Open</x:v>
      </x:c>
      <x:c r="C5095" s="24" t="e">
        <x:f>HYPERLINK("https://365nails.com/products/milky-frost-dragon-claw-stiletto-minimal-crystal-premium-handmade-dragon-nail","Milky Frost Dragon Claw Stiletto Minimal Crystal Premium Handmade Dragon Nail")</x:f>
        <x:v>HYPERLINK is not implemented. linkLocation=https://365nails.com/products/milky-frost-dragon-claw-stiletto-minimal-crystal-premium-handmade-dragon-nail, friendlyName=Milky Frost Dragon Claw Stiletto Minimal Crystal Premium Handmade Dragon Nail</x:v>
      </x:c>
      <x:c r="D5095" s="18" t="str">
        <x:v>Size: XS / S / M / L; length: 40mm / 25mm</x:v>
      </x:c>
      <x:c r="E5095" s="25" t="str">
        <x:v>$6.99</x:v>
      </x:c>
      <x:c r="F5095" s="19" t="str">
        <x:v>1</x:v>
      </x:c>
    </x:row>
    <x:row r="5096" ht="93" customHeight="1">
      <x:c r="A5096" s="19" t="n">
        <x:v>5093</x:v>
      </x:c>
      <x:c r="B5096" s="22" t="e">
        <x:f>HYPERLINK("https://cdn.shopify.com/s/files/1/0918/6066/4603/files/18e4112ad316f7f322ca12f60aa1f3b2.jpg?v=1772074800","Open")</x:f>
        <x:v>HYPERLINK is not implemented. linkLocation=https://cdn.shopify.com/s/files/1/0918/6066/4603/files/18e4112ad316f7f322ca12f60aa1f3b2.jpg?v=1772074800, friendlyName=Open</x:v>
      </x:c>
      <x:c r="C5096" s="24" t="e">
        <x:f>HYPERLINK("https://365nails.com/products/pink-panthera-sparkle-sculpted-flora-series","Sculpted Flora: ""Pink Panthera Sparkle"" – 3D Pink Floral &amp; Silver Glitter Leopard Print Long Square Nails")</x:f>
        <x:v>HYPERLINK is not implemented. linkLocation=https://365nails.com/products/pink-panthera-sparkle-sculpted-flora-series, friendlyName=Sculpted Flora: "Pink Panthera Sparkle" – 3D Pink Floral &amp; Silver Glitter Leopard Print Long Square Nails</x:v>
      </x:c>
      <x:c r="D5096" s="18" t="str">
        <x:v>Size: XS / S / M / L</x:v>
      </x:c>
      <x:c r="E5096" s="25" t="str">
        <x:v>$3.99</x:v>
      </x:c>
      <x:c r="F5096" s="19" t="str">
        <x:v>5</x:v>
      </x:c>
    </x:row>
    <x:row r="5097" ht="93" customHeight="1">
      <x:c r="A5097" s="19" t="n">
        <x:v>5094</x:v>
      </x:c>
      <x:c r="B5097" s="22" t="e">
        <x:f>HYPERLINK("https://cdn.shopify.com/s/files/1/0918/6066/4603/files/3826ffbb1b5e61b852df14cd8ebec66f.jpg?v=1764571659","Open")</x:f>
        <x:v>HYPERLINK is not implemented. linkLocation=https://cdn.shopify.com/s/files/1/0918/6066/4603/files/3826ffbb1b5e61b852df14cd8ebec66f.jpg?v=1764571659, friendlyName=Open</x:v>
      </x:c>
      <x:c r="C5097" s="24" t="e">
        <x:f>HYPERLINK("https://365nails.com/products/peach-jelly-dragon-claw-stiletto-nude-pink-premium-handmade-dragon-nails","Peach Jelly Dragon Claw Stiletto Nude Pink Premium Handmade Dragon Nails")</x:f>
        <x:v>HYPERLINK is not implemented. linkLocation=https://365nails.com/products/peach-jelly-dragon-claw-stiletto-nude-pink-premium-handmade-dragon-nails, friendlyName=Peach Jelly Dragon Claw Stiletto Nude Pink Premium Handmade Dragon Nails</x:v>
      </x:c>
      <x:c r="D5097" s="18" t="str">
        <x:v>Size: XS / S / M / L; length: 40mm / 25mm</x:v>
      </x:c>
      <x:c r="E5097" s="25" t="str">
        <x:v>$6.99</x:v>
      </x:c>
      <x:c r="F5097" s="19" t="str">
        <x:v>1</x:v>
      </x:c>
    </x:row>
    <x:row r="5098" ht="93" customHeight="1">
      <x:c r="A5098" s="19" t="n">
        <x:v>5095</x:v>
      </x:c>
      <x:c r="B5098" s="22" t="e">
        <x:f>HYPERLINK("https://cdn.shopify.com/s/files/1/0918/6066/4603/files/65e6912d694c1d38900be99b6cba36c7.jpg?v=1771411002","Open")</x:f>
        <x:v>HYPERLINK is not implemented. linkLocation=https://cdn.shopify.com/s/files/1/0918/6066/4603/files/65e6912d694c1d38900be99b6cba36c7.jpg?v=1771411002, friendlyName=Open</x:v>
      </x:c>
      <x:c r="C5098" s="24" t="e">
        <x:f>HYPERLINK("https://365nails.com/products/aurora-nude-glow-ethereal-ink-series","Ethereal Ink: ""Aurora Nude Glow"" – Nude Beige Cat Eye &amp; Purple Aurora Marble with 3D Silver Arc Oval Nails")</x:f>
        <x:v>HYPERLINK is not implemented. linkLocation=https://365nails.com/products/aurora-nude-glow-ethereal-ink-series, friendlyName=Ethereal Ink: "Aurora Nude Glow" – Nude Beige Cat Eye &amp; Purple Aurora Marble with 3D Silver Arc Oval Nails</x:v>
      </x:c>
      <x:c r="D5098" s="18" t="str">
        <x:v>Size: XS / S / M / L</x:v>
      </x:c>
      <x:c r="E5098" s="25" t="str">
        <x:v>$3.99</x:v>
      </x:c>
      <x:c r="F5098" s="19" t="str">
        <x:v>30</x:v>
      </x:c>
    </x:row>
    <x:row r="5099" ht="93" customHeight="1">
      <x:c r="A5099" s="19" t="n">
        <x:v>5096</x:v>
      </x:c>
      <x:c r="B5099" s="22" t="e">
        <x:f>HYPERLINK("https://cdn.shopify.com/s/files/1/0918/6066/4603/files/4d85592657c3b9e4e76589cb82639946.jpg?v=1771465658","Open")</x:f>
        <x:v>HYPERLINK is not implemented. linkLocation=https://cdn.shopify.com/s/files/1/0918/6066/4603/files/4d85592657c3b9e4e76589cb82639946.jpg?v=1771465658, friendlyName=Open</x:v>
      </x:c>
      <x:c r="C5099" s="24" t="e">
        <x:f>HYPERLINK("https://365nails.com/products/pastel-garden-jelly-sculpted-flora-series","Sculpted Flora: ""Pastel Garden Jelly"" – 3D Tri-Color Flowers on Speckled Ombre Nails with Dewdrops")</x:f>
        <x:v>HYPERLINK is not implemented. linkLocation=https://365nails.com/products/pastel-garden-jelly-sculpted-flora-series, friendlyName=Sculpted Flora: "Pastel Garden Jelly" – 3D Tri-Color Flowers on Speckled Ombre Nails with Dewdrops</x:v>
      </x:c>
      <x:c r="D5099" s="18" t="str">
        <x:v>Size: XS / S / M / L</x:v>
      </x:c>
      <x:c r="E5099" s="25" t="str">
        <x:v>$3.99</x:v>
      </x:c>
      <x:c r="F5099" s="19" t="str">
        <x:v>5</x:v>
      </x:c>
    </x:row>
    <x:row r="5100" ht="93" customHeight="1">
      <x:c r="A5100" s="19" t="n">
        <x:v>5097</x:v>
      </x:c>
      <x:c r="B5100" s="22" t="e">
        <x:f>HYPERLINK("https://cdn.shopify.com/s/files/1/0918/6066/4603/files/0264bef0852b5385d8eb21b51c911602.jpg?v=1771411087","Open")</x:f>
        <x:v>HYPERLINK is not implemented. linkLocation=https://cdn.shopify.com/s/files/1/0918/6066/4603/files/0264bef0852b5385d8eb21b51c911602.jpg?v=1771411087, friendlyName=Open</x:v>
      </x:c>
      <x:c r="C5100" s="24" t="e">
        <x:f>HYPERLINK("https://365nails.com/products/amber-latte-swirl-ethereal-ink-series","Ethereal Ink: ""Amber Latte Swirl"" – Bronze Brown Cat Eye &amp; Milky Amber Marble with Gold Foil Oval Nails")</x:f>
        <x:v>HYPERLINK is not implemented. linkLocation=https://365nails.com/products/amber-latte-swirl-ethereal-ink-series, friendlyName=Ethereal Ink: "Amber Latte Swirl" – Bronze Brown Cat Eye &amp; Milky Amber Marble with Gold Foil Oval Nails</x:v>
      </x:c>
      <x:c r="D5100" s="18" t="str">
        <x:v>Size: XS / S / M / L</x:v>
      </x:c>
      <x:c r="E5100" s="25" t="str">
        <x:v>$3.99</x:v>
      </x:c>
      <x:c r="F5100" s="19" t="str">
        <x:v>30</x:v>
      </x:c>
    </x:row>
    <x:row r="5101" ht="93" customHeight="1">
      <x:c r="A5101" s="19" t="n">
        <x:v>5098</x:v>
      </x:c>
      <x:c r="B5101" s="22" t="e">
        <x:f>HYPERLINK("https://cdn.shopify.com/s/files/1/0918/6066/4603/files/66d78109d340d0f2a0aed6f630c904ee.jpg?v=1772076188","Open")</x:f>
        <x:v>HYPERLINK is not implemented. linkLocation=https://cdn.shopify.com/s/files/1/0918/6066/4603/files/66d78109d340d0f2a0aed6f630c904ee.jpg?v=1772076188, friendlyName=Open</x:v>
      </x:c>
      <x:c r="C5101" s="24" t="e">
        <x:f>HYPERLINK("https://365nails.com/products/crimson-lily-sculpted-flora-series","Sculpted Flora: ""Crimson Lily"" – 3D White Floral &amp; Burgundy French Tip Long Almond Nails")</x:f>
        <x:v>HYPERLINK is not implemented. linkLocation=https://365nails.com/products/crimson-lily-sculpted-flora-series, friendlyName=Sculpted Flora: "Crimson Lily" – 3D White Floral &amp; Burgundy French Tip Long Almond Nails</x:v>
      </x:c>
      <x:c r="D5101" s="18" t="str">
        <x:v>Size: XS / S / M / L</x:v>
      </x:c>
      <x:c r="E5101" s="25" t="str">
        <x:v>$3.99</x:v>
      </x:c>
      <x:c r="F5101" s="19" t="str">
        <x:v>5</x:v>
      </x:c>
    </x:row>
    <x:row r="5102" ht="93" customHeight="1">
      <x:c r="A5102" s="19" t="n">
        <x:v>5099</x:v>
      </x:c>
      <x:c r="B5102" s="22" t="e">
        <x:f>HYPERLINK("https://cdn.shopify.com/s/files/1/0918/6066/4603/files/754a16f10db43427d768e6079df87dc3.jpg?v=1771395906","Open")</x:f>
        <x:v>HYPERLINK is not implemented. linkLocation=https://cdn.shopify.com/s/files/1/0918/6066/4603/files/754a16f10db43427d768e6079df87dc3.jpg?v=1771395906, friendlyName=Open</x:v>
      </x:c>
      <x:c r="C5102" s="24" t="e">
        <x:f>HYPERLINK("https://365nails.com/products/midnight-lace-femme-fatale-collection","Femme Fatale: ""Midnight Lace"" – Deep Amethyst to Clear Ombre with Black Netting Texture Long Stiletto Nails")</x:f>
        <x:v>HYPERLINK is not implemented. linkLocation=https://365nails.com/products/midnight-lace-femme-fatale-collection, friendlyName=Femme Fatale: "Midnight Lace" – Deep Amethyst to Clear Ombre with Black Netting Texture Long Stiletto Nails</x:v>
      </x:c>
      <x:c r="D5102" s="18" t="str">
        <x:v>Size: XS / S / M / L</x:v>
      </x:c>
      <x:c r="E5102" s="25" t="str">
        <x:v>$3.99</x:v>
      </x:c>
      <x:c r="F5102" s="19" t="str">
        <x:v>5</x:v>
      </x:c>
    </x:row>
    <x:row r="5103" ht="93" customHeight="1">
      <x:c r="A5103" s="19" t="n">
        <x:v>5100</x:v>
      </x:c>
      <x:c r="B5103" s="22" t="e">
        <x:f>HYPERLINK("https://cdn.shopify.com/s/files/1/0918/6066/4603/files/aabbf9ddfc94e5631906c288e7abd1df.jpg?v=1771391431","Open")</x:f>
        <x:v>HYPERLINK is not implemented. linkLocation=https://cdn.shopify.com/s/files/1/0918/6066/4603/files/aabbf9ddfc94e5631906c288e7abd1df.jpg?v=1771391431, friendlyName=Open</x:v>
      </x:c>
      <x:c r="C5103" s="24" t="e">
        <x:f>HYPERLINK("https://365nails.com/products/mystic-nebula-femme-fatale-collection","Femme Fatale: ""Mystic Nebula"" – Matte Smokey Grey with Pink-Gold Aurora Chrome Center &amp; 3D Clear Liquid Swirls Long Stiletto Nails")</x:f>
        <x:v>HYPERLINK is not implemented. linkLocation=https://365nails.com/products/mystic-nebula-femme-fatale-collection, friendlyName=Femme Fatale: "Mystic Nebula" – Matte Smokey Grey with Pink-Gold Aurora Chrome Center &amp; 3D Clear Liquid Swirls Long Stiletto Nails</x:v>
      </x:c>
      <x:c r="D5103" s="18" t="str">
        <x:v>Size: XS / S / M / L</x:v>
      </x:c>
      <x:c r="E5103" s="25" t="str">
        <x:v>$3.99</x:v>
      </x:c>
      <x:c r="F5103" s="19" t="str">
        <x:v>5</x:v>
      </x:c>
    </x:row>
    <x:row r="5104" ht="93" customHeight="1">
      <x:c r="A5104" s="19" t="n">
        <x:v>5101</x:v>
      </x:c>
      <x:c r="B5104" s="22" t="e">
        <x:f>HYPERLINK("https://cdn.shopify.com/s/files/1/0918/6066/4603/files/9cdbad24799964e51e83a156ffcc6028.jpg?v=1772076532","Open")</x:f>
        <x:v>HYPERLINK is not implemented. linkLocation=https://cdn.shopify.com/s/files/1/0918/6066/4603/files/9cdbad24799964e51e83a156ffcc6028.jpg?v=1772076532, friendlyName=Open</x:v>
      </x:c>
      <x:c r="C5104" s="24" t="e">
        <x:f>HYPERLINK("https://365nails.com/products/crimson-chrome-sculpted-flora-series","Sculpted Flora: ""Crimson Chrome"" – 3D Red Floral &amp; Silver Metallic Abstract Long Square Nails")</x:f>
        <x:v>HYPERLINK is not implemented. linkLocation=https://365nails.com/products/crimson-chrome-sculpted-flora-series, friendlyName=Sculpted Flora: "Crimson Chrome" – 3D Red Floral &amp; Silver Metallic Abstract Long Square Nails</x:v>
      </x:c>
      <x:c r="D5104" s="18" t="str">
        <x:v>Size: XS / S / M / L</x:v>
      </x:c>
      <x:c r="E5104" s="25" t="str">
        <x:v>$3.99</x:v>
      </x:c>
      <x:c r="F5104" s="19" t="str">
        <x:v>5</x:v>
      </x:c>
    </x:row>
    <x:row r="5105" ht="93" customHeight="1">
      <x:c r="A5105" s="19" t="n">
        <x:v>5102</x:v>
      </x:c>
      <x:c r="B5105" s="22" t="e">
        <x:f>HYPERLINK("https://cdn.shopify.com/s/files/1/0918/6066/4603/files/406af18e0325e34f4f1bf29566485305.jpg?v=1771396699","Open")</x:f>
        <x:v>HYPERLINK is not implemented. linkLocation=https://cdn.shopify.com/s/files/1/0918/6066/4603/files/406af18e0325e34f4f1bf29566485305.jpg?v=1771396699, friendlyName=Open</x:v>
      </x:c>
      <x:c r="C5105" s="24" t="e">
        <x:f>HYPERLINK("https://365nails.com/products/gothic-script-femme-fatale-collection","Femme Fatale: ""Gothic Script"" – Nude Pink Base with Black Old English Text &amp; Silver Studs Long Stiletto Nails")</x:f>
        <x:v>HYPERLINK is not implemented. linkLocation=https://365nails.com/products/gothic-script-femme-fatale-collection, friendlyName=Femme Fatale: "Gothic Script" – Nude Pink Base with Black Old English Text &amp; Silver Studs Long Stiletto Nails</x:v>
      </x:c>
      <x:c r="D5105" s="18" t="str">
        <x:v>Size: XS / S / M / L</x:v>
      </x:c>
      <x:c r="E5105" s="25" t="str">
        <x:v>$3.99</x:v>
      </x:c>
      <x:c r="F5105" s="19" t="str">
        <x:v>5</x:v>
      </x:c>
    </x:row>
    <x:row r="5106" ht="93" customHeight="1">
      <x:c r="A5106" s="19" t="n">
        <x:v>5103</x:v>
      </x:c>
      <x:c r="B5106" s="22" t="e">
        <x:f>HYPERLINK("https://cdn.shopify.com/s/files/1/0918/6066/4603/files/6e8f3d58991ee326bdcc29ac1d293ecb.jpg?v=1771387274","Open")</x:f>
        <x:v>HYPERLINK is not implemented. linkLocation=https://cdn.shopify.com/s/files/1/0918/6066/4603/files/6e8f3d58991ee326bdcc29ac1d293ecb.jpg?v=1771387274, friendlyName=Open</x:v>
      </x:c>
      <x:c r="C5106" s="24" t="e">
        <x:f>HYPERLINK("https://365nails.com/products/nebula-glitch-femme-fatale-collection","Femme Fatale: ""Nebula Glitch"" – Deep Purple Marble with Silver Crackle &amp; White Stars Long Stiletto Nails")</x:f>
        <x:v>HYPERLINK is not implemented. linkLocation=https://365nails.com/products/nebula-glitch-femme-fatale-collection, friendlyName=Femme Fatale: "Nebula Glitch" – Deep Purple Marble with Silver Crackle &amp; White Stars Long Stiletto Nails</x:v>
      </x:c>
      <x:c r="D5106" s="18" t="str">
        <x:v>Size: XS / S / M / L</x:v>
      </x:c>
      <x:c r="E5106" s="25" t="str">
        <x:v>$3.99</x:v>
      </x:c>
      <x:c r="F5106" s="19" t="str">
        <x:v>5</x:v>
      </x:c>
    </x:row>
    <x:row r="5107" ht="93" customHeight="1">
      <x:c r="A5107" s="19" t="n">
        <x:v>5104</x:v>
      </x:c>
      <x:c r="B5107" s="22" t="e">
        <x:f>HYPERLINK("https://cdn.shopify.com/s/files/1/0918/6066/4603/files/e78f58b969310832f395411b157838d9.jpg?v=1771391344","Open")</x:f>
        <x:v>HYPERLINK is not implemented. linkLocation=https://cdn.shopify.com/s/files/1/0918/6066/4603/files/e78f58b969310832f395411b157838d9.jpg?v=1771391344, friendlyName=Open</x:v>
      </x:c>
      <x:c r="C5107" s="24" t="e">
        <x:f>HYPERLINK("https://365nails.com/products/predator-femme-fatale-collection","Femme Fatale: ""Predator"" – Matte Black &amp; Brown Animal Print (Snake/Leopard) with Silver Chrome Spine Art Long Stiletto Nails")</x:f>
        <x:v>HYPERLINK is not implemented. linkLocation=https://365nails.com/products/predator-femme-fatale-collection, friendlyName=Femme Fatale: "Predator" – Matte Black &amp; Brown Animal Print (Snake/Leopard) with Silver Chrome Spine Art Long Stiletto Nails</x:v>
      </x:c>
      <x:c r="D5107" s="18" t="str">
        <x:v>Size: XS / S / M / L</x:v>
      </x:c>
      <x:c r="E5107" s="25" t="str">
        <x:v>$3.99</x:v>
      </x:c>
      <x:c r="F5107" s="19" t="str">
        <x:v>5</x:v>
      </x:c>
    </x:row>
    <x:row r="5108" ht="93" customHeight="1">
      <x:c r="A5108" s="19" t="n">
        <x:v>5105</x:v>
      </x:c>
      <x:c r="B5108" s="22" t="e">
        <x:f>HYPERLINK("https://cdn.shopify.com/s/files/1/0918/6066/4603/files/755cc9d1084e54455e1b38e24d4d885d.jpg?v=1772076337","Open")</x:f>
        <x:v>HYPERLINK is not implemented. linkLocation=https://cdn.shopify.com/s/files/1/0918/6066/4603/files/755cc9d1084e54455e1b38e24d4d885d.jpg?v=1772076337, friendlyName=Open</x:v>
      </x:c>
      <x:c r="C5108" s="24" t="e">
        <x:f>HYPERLINK("https://365nails.com/products/pastel-spring-garden-sculpted-flora-series","Sculpted Flora: ""Pastel Spring Garden"" – 3D Blue &amp; Pink Floral Colorful French Square Nails")</x:f>
        <x:v>HYPERLINK is not implemented. linkLocation=https://365nails.com/products/pastel-spring-garden-sculpted-flora-series, friendlyName=Sculpted Flora: "Pastel Spring Garden" – 3D Blue &amp; Pink Floral Colorful French Square Nails</x:v>
      </x:c>
      <x:c r="D5108" s="18" t="str">
        <x:v>Size: XS / S / M / L</x:v>
      </x:c>
      <x:c r="E5108" s="25" t="str">
        <x:v>$3.99</x:v>
      </x:c>
      <x:c r="F5108" s="19" t="str">
        <x:v>5</x:v>
      </x:c>
    </x:row>
    <x:row r="5109" ht="93" customHeight="1">
      <x:c r="A5109" s="19" t="n">
        <x:v>5106</x:v>
      </x:c>
      <x:c r="B5109" s="22" t="e">
        <x:f>HYPERLINK("https://cdn.shopify.com/s/files/1/0918/6066/4603/files/5211baea645515403bbf4d5125865698.jpg?v=1772074864","Open")</x:f>
        <x:v>HYPERLINK is not implemented. linkLocation=https://cdn.shopify.com/s/files/1/0918/6066/4603/files/5211baea645515403bbf4d5125865698.jpg?v=1772074864, friendlyName=Open</x:v>
      </x:c>
      <x:c r="C5109" s="24" t="e">
        <x:f>HYPERLINK("https://365nails.com/products/midnight-orchid-sculpted-flora-series","Sculpted Flora: ""Midnight Orchid"" – 3D Translucent Purple Floral &amp; Shimmering Cat-Eye Long Stiletto Nails")</x:f>
        <x:v>HYPERLINK is not implemented. linkLocation=https://365nails.com/products/midnight-orchid-sculpted-flora-series, friendlyName=Sculpted Flora: "Midnight Orchid" – 3D Translucent Purple Floral &amp; Shimmering Cat-Eye Long Stiletto Nails</x:v>
      </x:c>
      <x:c r="D5109" s="18" t="str">
        <x:v>Size: XS / S / M / L</x:v>
      </x:c>
      <x:c r="E5109" s="25" t="str">
        <x:v>$3.99</x:v>
      </x:c>
      <x:c r="F5109" s="19" t="str">
        <x:v>5</x:v>
      </x:c>
    </x:row>
    <x:row r="5110" ht="93" customHeight="1">
      <x:c r="A5110" s="19" t="n">
        <x:v>5107</x:v>
      </x:c>
      <x:c r="B5110" s="22" t="e">
        <x:f>HYPERLINK("https://cdn.shopify.com/s/files/1/0918/6066/4603/files/715ab52d25e943df504af6ffb42ea856.jpg?v=1771393780","Open")</x:f>
        <x:v>HYPERLINK is not implemented. linkLocation=https://cdn.shopify.com/s/files/1/0918/6066/4603/files/715ab52d25e943df504af6ffb42ea856.jpg?v=1771393780, friendlyName=Open</x:v>
      </x:c>
      <x:c r="C5110" s="24" t="e">
        <x:f>HYPERLINK("https://365nails.com/products/silver-bullet-femme-fatale-collection","Femme Fatale: ""Silver Bullet"" – Icy White Moonlight Cat Eye with Full Chrome Silver &amp; Crystal Ring Accent Long Stiletto Nails")</x:f>
        <x:v>HYPERLINK is not implemented. linkLocation=https://365nails.com/products/silver-bullet-femme-fatale-collection, friendlyName=Femme Fatale: "Silver Bullet" – Icy White Moonlight Cat Eye with Full Chrome Silver &amp; Crystal Ring Accent Long Stiletto Nails</x:v>
      </x:c>
      <x:c r="D5110" s="18" t="str">
        <x:v>Size: XS / S / M / L</x:v>
      </x:c>
      <x:c r="E5110" s="25" t="str">
        <x:v>$3.99</x:v>
      </x:c>
      <x:c r="F5110" s="19" t="str">
        <x:v>5</x:v>
      </x:c>
    </x:row>
    <x:row r="5111" ht="93" customHeight="1">
      <x:c r="A5111" s="19" t="n">
        <x:v>5108</x:v>
      </x:c>
      <x:c r="B5111" s="22" t="e">
        <x:f>HYPERLINK("https://cdn.shopify.com/s/files/1/0918/6066/4603/files/ab05ad8c7f79543c8a587a1197ddd3b4.jpg?v=1771465435","Open")</x:f>
        <x:v>HYPERLINK is not implemented. linkLocation=https://cdn.shopify.com/s/files/1/0918/6066/4603/files/ab05ad8c7f79543c8a587a1197ddd3b4.jpg?v=1771465435, friendlyName=Open</x:v>
      </x:c>
      <x:c r="C5111" s="24" t="e">
        <x:f>HYPERLINK("https://365nails.com/products/sunset-frangipani-dew-sculpted-flora-series","Sculpted Flora: ""Sunset Frangipani Dew"" – 3D Yellow &amp; Pink Flowers on Ombre Green-Orange Jelly Nails with Water Droplets")</x:f>
        <x:v>HYPERLINK is not implemented. linkLocation=https://365nails.com/products/sunset-frangipani-dew-sculpted-flora-series, friendlyName=Sculpted Flora: "Sunset Frangipani Dew" – 3D Yellow &amp; Pink Flowers on Ombre Green-Orange Jelly Nails with Water Droplets</x:v>
      </x:c>
      <x:c r="D5111" s="18" t="str">
        <x:v>Size: XS / S / M / L</x:v>
      </x:c>
      <x:c r="E5111" s="25" t="str">
        <x:v>$3.99</x:v>
      </x:c>
      <x:c r="F5111" s="19" t="str">
        <x:v>5</x:v>
      </x:c>
    </x:row>
    <x:row r="5112" ht="93" customHeight="1">
      <x:c r="A5112" s="19" t="n">
        <x:v>5109</x:v>
      </x:c>
      <x:c r="B5112" s="22" t="e">
        <x:f>HYPERLINK("https://cdn.shopify.com/s/files/1/0918/6066/4603/files/c270cdd61e171e0709649317f8e73619.jpg?v=1772074012","Open")</x:f>
        <x:v>HYPERLINK is not implemented. linkLocation=https://cdn.shopify.com/s/files/1/0918/6066/4603/files/c270cdd61e171e0709649317f8e73619.jpg?v=1772074012, friendlyName=Open</x:v>
      </x:c>
      <x:c r="C5112" s="24" t="e">
        <x:f>HYPERLINK("https://365nails.com/products/sweet-gothic-bloom-sculpted-flora-series","Sculpted Flora: ""Sweet Gothic Bloom"" – 3D Peach Floral &amp; Pink Bows on Black French Long Square Nails")</x:f>
        <x:v>HYPERLINK is not implemented. linkLocation=https://365nails.com/products/sweet-gothic-bloom-sculpted-flora-series, friendlyName=Sculpted Flora: "Sweet Gothic Bloom" – 3D Peach Floral &amp; Pink Bows on Black French Long Square Nails</x:v>
      </x:c>
      <x:c r="D5112" s="18" t="str">
        <x:v>Size: XS / S / M / L</x:v>
      </x:c>
      <x:c r="E5112" s="25" t="str">
        <x:v>$3.99</x:v>
      </x:c>
      <x:c r="F5112" s="19" t="str">
        <x:v>5</x:v>
      </x:c>
    </x:row>
    <x:row r="5113" ht="93" customHeight="1">
      <x:c r="A5113" s="19" t="n">
        <x:v>5110</x:v>
      </x:c>
      <x:c r="B5113" s="22" t="e">
        <x:f>HYPERLINK("https://cdn.shopify.com/s/files/1/0918/6066/4603/files/ad31b058b725ddf4ad4d8a31e855eeda.jpg?v=1771412126","Open")</x:f>
        <x:v>HYPERLINK is not implemented. linkLocation=https://cdn.shopify.com/s/files/1/0918/6066/4603/files/ad31b058b725ddf4ad4d8a31e855eeda.jpg?v=1771412126, friendlyName=Open</x:v>
      </x:c>
      <x:c r="C5113" s="24" t="e">
        <x:f>HYPERLINK("https://365nails.com/products/cosmic-violet-nebula-ethereal-ink-series","""Cosmic Violet Nebula"" – Deep Purple &amp; Milky Galaxy Marble with Chameleon Foil Almond Nails")</x:f>
        <x:v>HYPERLINK is not implemented. linkLocation=https://365nails.com/products/cosmic-violet-nebula-ethereal-ink-series, friendlyName="Cosmic Violet Nebula" – Deep Purple &amp; Milky Galaxy Marble with Chameleon Foil Almond Nails</x:v>
      </x:c>
      <x:c r="D5113" s="18" t="str">
        <x:v>Size: XS / S / M / L</x:v>
      </x:c>
      <x:c r="E5113" s="25" t="str">
        <x:v>$3.99</x:v>
      </x:c>
      <x:c r="F5113" s="19" t="str">
        <x:v>30</x:v>
      </x:c>
    </x:row>
    <x:row r="5114" ht="93" customHeight="1">
      <x:c r="A5114" s="19" t="n">
        <x:v>5111</x:v>
      </x:c>
      <x:c r="B5114" s="22" t="e">
        <x:f>HYPERLINK("https://cdn.shopify.com/s/files/1/0918/6066/4603/files/bc1c60b66fb79140d802e3f33a9b35c6.jpg?v=1772076383","Open")</x:f>
        <x:v>HYPERLINK is not implemented. linkLocation=https://cdn.shopify.com/s/files/1/0918/6066/4603/files/bc1c60b66fb79140d802e3f33a9b35c6.jpg?v=1772076383, friendlyName=Open</x:v>
      </x:c>
      <x:c r="C5114" s="24" t="e">
        <x:f>HYPERLINK("https://365nails.com/products/pink-crystal-blossom-sculpted-flora-series","Sculpted Flora: ""Pink Crystal Blossom"" – 3D White Floral &amp; Glitter Pink French Square Nails")</x:f>
        <x:v>HYPERLINK is not implemented. linkLocation=https://365nails.com/products/pink-crystal-blossom-sculpted-flora-series, friendlyName=Sculpted Flora: "Pink Crystal Blossom" – 3D White Floral &amp; Glitter Pink French Square Nails</x:v>
      </x:c>
      <x:c r="D5114" s="18" t="str">
        <x:v>Size: XS / S / M / L</x:v>
      </x:c>
      <x:c r="E5114" s="25" t="str">
        <x:v>$3.99</x:v>
      </x:c>
      <x:c r="F5114" s="19" t="str">
        <x:v>5</x:v>
      </x:c>
    </x:row>
    <x:row r="5115" ht="93" customHeight="1">
      <x:c r="A5115" s="19" t="n">
        <x:v>5112</x:v>
      </x:c>
      <x:c r="B5115" s="22" t="e">
        <x:f>HYPERLINK("https://cdn.shopify.com/s/files/1/0918/6066/4603/files/f187abcb950d7a260acd4171d9f64880.jpg?v=1771412489","Open")</x:f>
        <x:v>HYPERLINK is not implemented. linkLocation=https://cdn.shopify.com/s/files/1/0918/6066/4603/files/f187abcb950d7a260acd4171d9f64880.jpg?v=1771412489, friendlyName=Open</x:v>
      </x:c>
      <x:c r="C5115" s="24" t="e">
        <x:f>HYPERLINK("https://365nails.com/products/deep-forest-agate-ethereal-ink-series","""Deep Forest Agate"" – Dark Teal Green Cat Eye &amp; Earthy Brown Marble with Gold Flakes Oval Nails")</x:f>
        <x:v>HYPERLINK is not implemented. linkLocation=https://365nails.com/products/deep-forest-agate-ethereal-ink-series, friendlyName="Deep Forest Agate" – Dark Teal Green Cat Eye &amp; Earthy Brown Marble with Gold Flakes Oval Nails</x:v>
      </x:c>
      <x:c r="D5115" s="18" t="str">
        <x:v>Size: XS / S / M / L</x:v>
      </x:c>
      <x:c r="E5115" s="25" t="str">
        <x:v>$3.99</x:v>
      </x:c>
      <x:c r="F5115" s="19" t="str">
        <x:v>30</x:v>
      </x:c>
    </x:row>
    <x:row r="5116" ht="93" customHeight="1">
      <x:c r="A5116" s="19" t="n">
        <x:v>5113</x:v>
      </x:c>
      <x:c r="B5116" s="22" t="e">
        <x:f>HYPERLINK("https://cdn.shopify.com/s/files/1/0918/6066/4603/files/3c0b238eb08c3a2d547c4a1acbb0d047.jpg?v=1771411353","Open")</x:f>
        <x:v>HYPERLINK is not implemented. linkLocation=https://cdn.shopify.com/s/files/1/0918/6066/4603/files/3c0b238eb08c3a2d547c4a1acbb0d047.jpg?v=1771411353, friendlyName=Open</x:v>
      </x:c>
      <x:c r="C5116" s="24" t="e">
        <x:f>HYPERLINK("https://365nails.com/products/crimson-jade-ink-ethereal-ink-series","Ethereal Ink: ""Crimson Jade Ink"" – Deep Magenta &amp; Teal Green Artistic Marble with Gold Foil Almond Nails")</x:f>
        <x:v>HYPERLINK is not implemented. linkLocation=https://365nails.com/products/crimson-jade-ink-ethereal-ink-series, friendlyName=Ethereal Ink: "Crimson Jade Ink" – Deep Magenta &amp; Teal Green Artistic Marble with Gold Foil Almond Nails</x:v>
      </x:c>
      <x:c r="D5116" s="18" t="str">
        <x:v>Size: XS / S / M / L</x:v>
      </x:c>
      <x:c r="E5116" s="25" t="str">
        <x:v>$3.99</x:v>
      </x:c>
      <x:c r="F5116" s="19" t="str">
        <x:v>30</x:v>
      </x:c>
    </x:row>
    <x:row r="5117" ht="93" customHeight="1">
      <x:c r="A5117" s="19" t="n">
        <x:v>5114</x:v>
      </x:c>
      <x:c r="B5117" s="22" t="e">
        <x:f>HYPERLINK("https://cdn.shopify.com/s/files/1/0918/6066/4603/files/6c83fb232910dbed1abe82d86615cc29.jpg?v=1771388108","Open")</x:f>
        <x:v>HYPERLINK is not implemented. linkLocation=https://cdn.shopify.com/s/files/1/0918/6066/4603/files/6c83fb232910dbed1abe82d86615cc29.jpg?v=1771388108, friendlyName=Open</x:v>
      </x:c>
      <x:c r="C5117" s="24" t="e">
        <x:f>HYPERLINK("https://365nails.com/products/cyber-mercury-femme-fatale-collection","Femme Fatale: ""Cyber Mercury"" – Dusty Purple Cat Eye with 3D Liquid Silver Chrome Lines Long Stiletto Nails")</x:f>
        <x:v>HYPERLINK is not implemented. linkLocation=https://365nails.com/products/cyber-mercury-femme-fatale-collection, friendlyName=Femme Fatale: "Cyber Mercury" – Dusty Purple Cat Eye with 3D Liquid Silver Chrome Lines Long Stiletto Nails</x:v>
      </x:c>
      <x:c r="D5117" s="18" t="str">
        <x:v>Size: XS / S / M / L</x:v>
      </x:c>
      <x:c r="E5117" s="25" t="str">
        <x:v>$3.99</x:v>
      </x:c>
      <x:c r="F5117" s="19" t="str">
        <x:v>5</x:v>
      </x:c>
    </x:row>
    <x:row r="5118" ht="93" customHeight="1">
      <x:c r="A5118" s="19" t="n">
        <x:v>5115</x:v>
      </x:c>
      <x:c r="B5118" s="22" t="e">
        <x:f>HYPERLINK("https://cdn.shopify.com/s/files/1/0918/6066/4603/files/O1CN01PWqvqp1HlWxqMUfCE__2545140798-0-cib_b13c067a-8430-4842-a871-d39015611216.jpg?v=1774438249","Open")</x:f>
        <x:v>HYPERLINK is not implemented. linkLocation=https://cdn.shopify.com/s/files/1/0918/6066/4603/files/O1CN01PWqvqp1HlWxqMUfCE__2545140798-0-cib_b13c067a-8430-4842-a871-d39015611216.jpg?v=1774438249, friendlyName=Open</x:v>
      </x:c>
      <x:c r="C5118" s="24" t="e">
        <x:f>HYPERLINK("https://365nails.com/products/365nails-vintage-rose-embossed-set-handmade-press-on-nails","365nails: ""Vintage Rose Embossed Set"" – Nail Art Stickers")</x:f>
        <x:v>HYPERLINK is not implemented. linkLocation=https://365nails.com/products/365nails-vintage-rose-embossed-set-handmade-press-on-nails, friendlyName=365nails: "Vintage Rose Embossed Set" – Nail Art Stickers</x:v>
      </x:c>
      <x:c r="D5118" s="18" t="str">
        <x:v>Specification type: Ms 493 / Ms 494</x:v>
      </x:c>
      <x:c r="E5118" s="25" t="str">
        <x:v>$1.09</x:v>
      </x:c>
      <x:c r="F5118" s="19" t="str">
        <x:v>5</x:v>
      </x:c>
    </x:row>
    <x:row r="5119" ht="93" customHeight="1">
      <x:c r="A5119" s="19" t="n">
        <x:v>5116</x:v>
      </x:c>
      <x:c r="B5119" s="22" t="e">
        <x:f>HYPERLINK("https://cdn.shopify.com/s/files/1/0918/6066/4603/files/82d79f42fc6233a414447fbd85eb86c5.jpg?v=1771391793","Open")</x:f>
        <x:v>HYPERLINK is not implemented. linkLocation=https://cdn.shopify.com/s/files/1/0918/6066/4603/files/82d79f42fc6233a414447fbd85eb86c5.jpg?v=1771391793, friendlyName=Open</x:v>
      </x:c>
      <x:c r="C5119" s="24" t="e">
        <x:f>HYPERLINK("https://365nails.com/products/venom-heart-femme-fatale-collection","Femme Fatale: ""Venom Heart"" – Clear Black Airbrush with 3D Liquid Symbiote Texture &amp; Red Gemstone Long Stiletto Nails")</x:f>
        <x:v>HYPERLINK is not implemented. linkLocation=https://365nails.com/products/venom-heart-femme-fatale-collection, friendlyName=Femme Fatale: "Venom Heart" – Clear Black Airbrush with 3D Liquid Symbiote Texture &amp; Red Gemstone Long Stiletto Nails</x:v>
      </x:c>
      <x:c r="D5119" s="18" t="str">
        <x:v>Size: XS / S / M / L</x:v>
      </x:c>
      <x:c r="E5119" s="25" t="str">
        <x:v>$3.99</x:v>
      </x:c>
      <x:c r="F5119" s="19" t="str">
        <x:v>5</x:v>
      </x:c>
    </x:row>
    <x:row r="5120" ht="93" customHeight="1">
      <x:c r="A5120" s="19" t="n">
        <x:v>5117</x:v>
      </x:c>
      <x:c r="B5120" s="22" t="e">
        <x:f>HYPERLINK("https://cdn.shopify.com/s/files/1/0918/6066/4603/files/28dae8ee5eedff90e15bb459f2e7acc6.jpg?v=1771471820","Open")</x:f>
        <x:v>HYPERLINK is not implemented. linkLocation=https://cdn.shopify.com/s/files/1/0918/6066/4603/files/28dae8ee5eedff90e15bb459f2e7acc6.jpg?v=1771471820, friendlyName=Open</x:v>
      </x:c>
      <x:c r="C5120" s="24" t="e">
        <x:f>HYPERLINK("https://365nails.com/products/shimmering-petal-blush-sculpted-flora-series","Sculpted Flora: ""Shimmering Petal Blush"" – 3D Pink Flowers on Pearlescent Ombre Stiletto Nails")</x:f>
        <x:v>HYPERLINK is not implemented. linkLocation=https://365nails.com/products/shimmering-petal-blush-sculpted-flora-series, friendlyName=Sculpted Flora: "Shimmering Petal Blush" – 3D Pink Flowers on Pearlescent Ombre Stiletto Nails</x:v>
      </x:c>
      <x:c r="D5120" s="18" t="str">
        <x:v>Size: XS / S / M / L</x:v>
      </x:c>
      <x:c r="E5120" s="25" t="str">
        <x:v>$3.99</x:v>
      </x:c>
      <x:c r="F5120" s="19" t="str">
        <x:v>5</x:v>
      </x:c>
    </x:row>
    <x:row r="5121" ht="93" customHeight="1">
      <x:c r="A5121" s="19" t="n">
        <x:v>5118</x:v>
      </x:c>
      <x:c r="B5121" s="22" t="e">
        <x:f>HYPERLINK("https://cdn.shopify.com/s/files/1/0918/6066/4603/files/705f2364989984d05e46effd664a0f93.jpg?v=1772075977","Open")</x:f>
        <x:v>HYPERLINK is not implemented. linkLocation=https://cdn.shopify.com/s/files/1/0918/6066/4603/files/705f2364989984d05e46effd664a0f93.jpg?v=1772075977, friendlyName=Open</x:v>
      </x:c>
      <x:c r="C5121" s="24" t="e">
        <x:f>HYPERLINK("https://365nails.com/products/mermaids-blossom-ocean-flora-series","Ocean Flora: ""Mermaid's Blossom"" – 3D Blue Floral &amp; Seashell Marine Long Stiletto Nails")</x:f>
        <x:v>HYPERLINK is not implemented. linkLocation=https://365nails.com/products/mermaids-blossom-ocean-flora-series, friendlyName=Ocean Flora: "Mermaid's Blossom" – 3D Blue Floral &amp; Seashell Marine Long Stiletto Nails</x:v>
      </x:c>
      <x:c r="D5121" s="18" t="str">
        <x:v>Size: XS / S / M / L</x:v>
      </x:c>
      <x:c r="E5121" s="25" t="str">
        <x:v>$3.99</x:v>
      </x:c>
      <x:c r="F5121" s="19" t="str">
        <x:v>5</x:v>
      </x:c>
    </x:row>
    <x:row r="5122" ht="93" customHeight="1">
      <x:c r="A5122" s="19" t="n">
        <x:v>5119</x:v>
      </x:c>
      <x:c r="B5122" s="22" t="e">
        <x:f>HYPERLINK("https://cdn.shopify.com/s/files/1/0918/6066/4603/files/a6de20e53116ab32cf99b514f28ae755.jpg?v=1772076722","Open")</x:f>
        <x:v>HYPERLINK is not implemented. linkLocation=https://cdn.shopify.com/s/files/1/0918/6066/4603/files/a6de20e53116ab32cf99b514f28ae755.jpg?v=1772076722, friendlyName=Open</x:v>
      </x:c>
      <x:c r="C5122" s="24" t="e">
        <x:f>HYPERLINK("https://365nails.com/products/morning-dew-bloom-sculpted-flora-series","Sculpted Flora: ""Morning Dew Bloom"" – 3D Pink-Yellow Floral &amp; Pastel Green/Pink French Almond Nails")</x:f>
        <x:v>HYPERLINK is not implemented. linkLocation=https://365nails.com/products/morning-dew-bloom-sculpted-flora-series, friendlyName=Sculpted Flora: "Morning Dew Bloom" – 3D Pink-Yellow Floral &amp; Pastel Green/Pink French Almond Nails</x:v>
      </x:c>
      <x:c r="D5122" s="18" t="str">
        <x:v>Size: XS / S / M / L</x:v>
      </x:c>
      <x:c r="E5122" s="25" t="str">
        <x:v>$3.99</x:v>
      </x:c>
      <x:c r="F5122" s="19" t="str">
        <x:v>5</x:v>
      </x:c>
    </x:row>
    <x:row r="5123" ht="93" customHeight="1">
      <x:c r="A5123" s="19" t="n">
        <x:v>5120</x:v>
      </x:c>
      <x:c r="B5123" s="22" t="e">
        <x:f>HYPERLINK("https://cdn.shopify.com/s/files/1/0918/6066/4603/files/1ea77dc3730da0b8fd37659fb1766a1e.jpg?v=1771387364","Open")</x:f>
        <x:v>HYPERLINK is not implemented. linkLocation=https://cdn.shopify.com/s/files/1/0918/6066/4603/files/1ea77dc3730da0b8fd37659fb1766a1e.jpg?v=1771387364, friendlyName=Open</x:v>
      </x:c>
      <x:c r="C5123" s="24" t="e">
        <x:f>HYPERLINK("https://365nails.com/products/violet-voltage-femme-fatale-collection","Femme Fatale: ""Violet Voltage"" – Silver Cat Eye Base with Neon Purple Tribal, Bio-Spine Art &amp; Liquid Chrome Long Stiletto Nails")</x:f>
        <x:v>HYPERLINK is not implemented. linkLocation=https://365nails.com/products/violet-voltage-femme-fatale-collection, friendlyName=Femme Fatale: "Violet Voltage" – Silver Cat Eye Base with Neon Purple Tribal, Bio-Spine Art &amp; Liquid Chrome Long Stiletto Nails</x:v>
      </x:c>
      <x:c r="D5123" s="18" t="str">
        <x:v>Size: XS / S / M / L</x:v>
      </x:c>
      <x:c r="E5123" s="25" t="str">
        <x:v>$3.99</x:v>
      </x:c>
      <x:c r="F5123" s="19" t="str">
        <x:v>5</x:v>
      </x:c>
    </x:row>
    <x:row r="5124" ht="93" customHeight="1">
      <x:c r="A5124" s="19" t="n">
        <x:v>5121</x:v>
      </x:c>
      <x:c r="B5124" s="22" t="e">
        <x:f>HYPERLINK("https://cdn.shopify.com/s/files/1/0918/6066/4603/files/6c61f888a8e32f231f77b3de80e97aa9.jpg?v=1772076126","Open")</x:f>
        <x:v>HYPERLINK is not implemented. linkLocation=https://cdn.shopify.com/s/files/1/0918/6066/4603/files/6c61f888a8e32f231f77b3de80e97aa9.jpg?v=1772076126, friendlyName=Open</x:v>
      </x:c>
      <x:c r="C5124" s="24" t="e">
        <x:f>HYPERLINK("https://365nails.com/products/morning-dew-blossom-sculpted-flora-series","Sculpted Flora: ""Morning Dew Blossom"" – 3D Floral &amp; Water Drop Gradient Long Oval Nails")</x:f>
        <x:v>HYPERLINK is not implemented. linkLocation=https://365nails.com/products/morning-dew-blossom-sculpted-flora-series, friendlyName=Sculpted Flora: "Morning Dew Blossom" – 3D Floral &amp; Water Drop Gradient Long Oval Nails</x:v>
      </x:c>
      <x:c r="D5124" s="18" t="str">
        <x:v>Size: XS / S / M / L</x:v>
      </x:c>
      <x:c r="E5124" s="25" t="str">
        <x:v>$3.99</x:v>
      </x:c>
      <x:c r="F5124" s="19" t="str">
        <x:v>5</x:v>
      </x:c>
    </x:row>
    <x:row r="5125" ht="93" customHeight="1">
      <x:c r="A5125" s="19" t="n">
        <x:v>5122</x:v>
      </x:c>
      <x:c r="B5125" s="22" t="e">
        <x:f>HYPERLINK("https://cdn.shopify.com/s/files/1/0918/6066/4603/files/eac0e701c51a0a456bd95d0fece6900f.jpg?v=1772075223","Open")</x:f>
        <x:v>HYPERLINK is not implemented. linkLocation=https://cdn.shopify.com/s/files/1/0918/6066/4603/files/eac0e701c51a0a456bd95d0fece6900f.jpg?v=1772075223, friendlyName=Open</x:v>
      </x:c>
      <x:c r="C5125" s="24" t="e">
        <x:f>HYPERLINK("https://365nails.com/products/neon-tiger-blossom-sculpted-flora-series","Sculpted Flora: ""Neon Tiger Blossom"" – 3D Bright Pink Floral &amp; Tiger Print Long Square Nails")</x:f>
        <x:v>HYPERLINK is not implemented. linkLocation=https://365nails.com/products/neon-tiger-blossom-sculpted-flora-series, friendlyName=Sculpted Flora: "Neon Tiger Blossom" – 3D Bright Pink Floral &amp; Tiger Print Long Square Nails</x:v>
      </x:c>
      <x:c r="D5125" s="18" t="str">
        <x:v>Size: XS / S / M / L</x:v>
      </x:c>
      <x:c r="E5125" s="25" t="str">
        <x:v>$3.99</x:v>
      </x:c>
      <x:c r="F5125" s="19" t="str">
        <x:v>5</x:v>
      </x:c>
    </x:row>
    <x:row r="5126" ht="93" customHeight="1">
      <x:c r="A5126" s="19" t="n">
        <x:v>5123</x:v>
      </x:c>
      <x:c r="B5126" s="22" t="e">
        <x:f>HYPERLINK("https://cdn.shopify.com/s/files/1/0918/6066/4603/files/183d137250b33eda16e5a91d5e80f284.jpg?v=1772076045","Open")</x:f>
        <x:v>HYPERLINK is not implemented. linkLocation=https://cdn.shopify.com/s/files/1/0918/6066/4603/files/183d137250b33eda16e5a91d5e80f284.jpg?v=1772076045, friendlyName=Open</x:v>
      </x:c>
      <x:c r="C5126" s="24" t="e">
        <x:f>HYPERLINK("https://365nails.com/products/cobalt-bloom-sculpted-flora-series","Sculpted Flora: ""Cobalt Bloom"" – 3D Blue Floral &amp; Silver Chrome Abstract Long Square Nails")</x:f>
        <x:v>HYPERLINK is not implemented. linkLocation=https://365nails.com/products/cobalt-bloom-sculpted-flora-series, friendlyName=Sculpted Flora: "Cobalt Bloom" – 3D Blue Floral &amp; Silver Chrome Abstract Long Square Nails</x:v>
      </x:c>
      <x:c r="D5126" s="18" t="str">
        <x:v>Size: XS / S / M / L</x:v>
      </x:c>
      <x:c r="E5126" s="25" t="str">
        <x:v>$3.99</x:v>
      </x:c>
      <x:c r="F5126" s="19" t="str">
        <x:v>5</x:v>
      </x:c>
    </x:row>
    <x:row r="5127" ht="93" customHeight="1">
      <x:c r="A5127" s="19" t="n">
        <x:v>5124</x:v>
      </x:c>
      <x:c r="B5127" s="22" t="e">
        <x:f>HYPERLINK("https://cdn.shopify.com/s/files/1/0918/6066/4603/files/73e47c759791b823a5795f78eea2b147.jpg?v=1771471704","Open")</x:f>
        <x:v>HYPERLINK is not implemented. linkLocation=https://cdn.shopify.com/s/files/1/0918/6066/4603/files/73e47c759791b823a5795f78eea2b147.jpg?v=1771471704, friendlyName=Open</x:v>
      </x:c>
      <x:c r="C5127" s="24" t="e">
        <x:f>HYPERLINK("https://365nails.com/products/frosty-bluebell-dream-sculpted-flora-series","Sculpted Flora: ""Frosty Bluebell Dream"" – 3D Gradient Blue Flowers on Pearlescent White Nails with Aurora Gems")</x:f>
        <x:v>HYPERLINK is not implemented. linkLocation=https://365nails.com/products/frosty-bluebell-dream-sculpted-flora-series, friendlyName=Sculpted Flora: "Frosty Bluebell Dream" – 3D Gradient Blue Flowers on Pearlescent White Nails with Aurora Gems</x:v>
      </x:c>
      <x:c r="D5127" s="18" t="str">
        <x:v>Size: XS / S / M / L</x:v>
      </x:c>
      <x:c r="E5127" s="25" t="str">
        <x:v>$3.99</x:v>
      </x:c>
      <x:c r="F5127" s="19" t="str">
        <x:v>5</x:v>
      </x:c>
    </x:row>
    <x:row r="5128" ht="93" customHeight="1">
      <x:c r="A5128" s="19" t="n">
        <x:v>5125</x:v>
      </x:c>
      <x:c r="B5128" s="22" t="e">
        <x:f>HYPERLINK("https://cdn.shopify.com/s/files/1/0918/6066/4603/files/a9341ad9b11f500e70a0997dfab0b305.jpg?v=1771411452","Open")</x:f>
        <x:v>HYPERLINK is not implemented. linkLocation=https://cdn.shopify.com/s/files/1/0918/6066/4603/files/a9341ad9b11f500e70a0997dfab0b305.jpg?v=1771411452, friendlyName=Open</x:v>
      </x:c>
      <x:c r="C5128" s="24" t="e">
        <x:f>HYPERLINK("https://365nails.com/products/mint-amber-flow-ethereal-ink-series","Ethereal Ink: ""Mint Amber Flow"" – Mint Green Cat Eye &amp; Caramel Amber Marble with Gold Foil Almond Nails")</x:f>
        <x:v>HYPERLINK is not implemented. linkLocation=https://365nails.com/products/mint-amber-flow-ethereal-ink-series, friendlyName=Ethereal Ink: "Mint Amber Flow" – Mint Green Cat Eye &amp; Caramel Amber Marble with Gold Foil Almond Nails</x:v>
      </x:c>
      <x:c r="D5128" s="18" t="str">
        <x:v>Size: XS / S / M / L</x:v>
      </x:c>
      <x:c r="E5128" s="25" t="str">
        <x:v>$3.99</x:v>
      </x:c>
      <x:c r="F5128" s="19" t="str">
        <x:v>30</x:v>
      </x:c>
    </x:row>
    <x:row r="5129" ht="93" customHeight="1">
      <x:c r="A5129" s="19" t="n">
        <x:v>5126</x:v>
      </x:c>
      <x:c r="B5129" s="22" t="e">
        <x:f>HYPERLINK("https://cdn.shopify.com/s/files/1/0918/6066/4603/files/da754dd589b2ea794029ef26825cfd7a.jpg?v=1771472143","Open")</x:f>
        <x:v>HYPERLINK is not implemented. linkLocation=https://cdn.shopify.com/s/files/1/0918/6066/4603/files/da754dd589b2ea794029ef26825cfd7a.jpg?v=1771472143, friendlyName=Open</x:v>
      </x:c>
      <x:c r="C5129" s="24" t="e">
        <x:f>HYPERLINK("https://365nails.com/products/velvet-bow-black-sculpted-flora-series","Sculpted Flora: ""Velvet Bow Black"" – 3D Magenta Bows &amp; Crystal Accents on Black French Stiletto Nails")</x:f>
        <x:v>HYPERLINK is not implemented. linkLocation=https://365nails.com/products/velvet-bow-black-sculpted-flora-series, friendlyName=Sculpted Flora: "Velvet Bow Black" – 3D Magenta Bows &amp; Crystal Accents on Black French Stiletto Nails</x:v>
      </x:c>
      <x:c r="D5129" s="18" t="str">
        <x:v>Size: XS / S / M / L</x:v>
      </x:c>
      <x:c r="E5129" s="25" t="str">
        <x:v>$3.99</x:v>
      </x:c>
      <x:c r="F5129" s="19" t="str">
        <x:v>5</x:v>
      </x:c>
    </x:row>
    <x:row r="5130" ht="93" customHeight="1">
      <x:c r="A5130" s="19" t="n">
        <x:v>5127</x:v>
      </x:c>
      <x:c r="B5130" s="22" t="e">
        <x:f>HYPERLINK("https://cdn.shopify.com/s/files/1/0918/6066/4603/files/14c62f2bb3e486061eb20beae606ce53.jpg?v=1772075157","Open")</x:f>
        <x:v>HYPERLINK is not implemented. linkLocation=https://cdn.shopify.com/s/files/1/0918/6066/4603/files/14c62f2bb3e486061eb20beae606ce53.jpg?v=1772075157, friendlyName=Open</x:v>
      </x:c>
      <x:c r="C5130" s="24" t="e">
        <x:f>HYPERLINK("https://365nails.com/products/polka-dot-prism-blossom-sculpted-flora-series","Sculpted Flora: ""Polka Dot Prism Blossom"" – 3D Colorful Gradient Floral &amp; Blue Polka Dot Long Square Nails")</x:f>
        <x:v>HYPERLINK is not implemented. linkLocation=https://365nails.com/products/polka-dot-prism-blossom-sculpted-flora-series, friendlyName=Sculpted Flora: "Polka Dot Prism Blossom" – 3D Colorful Gradient Floral &amp; Blue Polka Dot Long Square Nails</x:v>
      </x:c>
      <x:c r="D5130" s="18" t="str">
        <x:v>Size: XS / S / M / L</x:v>
      </x:c>
      <x:c r="E5130" s="25" t="str">
        <x:v>$3.99</x:v>
      </x:c>
      <x:c r="F5130" s="19" t="str">
        <x:v>5</x:v>
      </x:c>
    </x:row>
    <x:row r="5131" ht="93" customHeight="1">
      <x:c r="A5131" s="19" t="n">
        <x:v>5128</x:v>
      </x:c>
      <x:c r="B5131" s="22" t="e">
        <x:f>HYPERLINK("https://cdn.shopify.com/s/files/1/0918/6066/4603/files/25d4cb10ca3640638455eb51fb194aec.jpg?v=1771472054","Open")</x:f>
        <x:v>HYPERLINK is not implemented. linkLocation=https://cdn.shopify.com/s/files/1/0918/6066/4603/files/25d4cb10ca3640638455eb51fb194aec.jpg?v=1771472054, friendlyName=Open</x:v>
      </x:c>
      <x:c r="C5131" s="24" t="e">
        <x:f>HYPERLINK("https://365nails.com/products/gilded-burgundy-rose-sculpted-flora-series","Sculpted Flora: ""Gilded Burgundy Rose"" – 3D Metallic Gold Flowers on Wine Red French Tip Nails")</x:f>
        <x:v>HYPERLINK is not implemented. linkLocation=https://365nails.com/products/gilded-burgundy-rose-sculpted-flora-series, friendlyName=Sculpted Flora: "Gilded Burgundy Rose" – 3D Metallic Gold Flowers on Wine Red French Tip Nails</x:v>
      </x:c>
      <x:c r="D5131" s="18" t="str">
        <x:v>Size: XS / S / M / L</x:v>
      </x:c>
      <x:c r="E5131" s="25" t="str">
        <x:v>$3.99</x:v>
      </x:c>
      <x:c r="F5131" s="19" t="str">
        <x:v>5</x:v>
      </x:c>
    </x:row>
    <x:row r="5132" ht="93" customHeight="1">
      <x:c r="A5132" s="19" t="n">
        <x:v>5129</x:v>
      </x:c>
      <x:c r="B5132" s="22" t="e">
        <x:f>HYPERLINK("https://cdn.shopify.com/s/files/1/0918/6066/4603/files/36a6dd67eb2a7beee331caf8380893ca.jpg?v=1771410143","Open")</x:f>
        <x:v>HYPERLINK is not implemented. linkLocation=https://cdn.shopify.com/s/files/1/0918/6066/4603/files/36a6dd67eb2a7beee331caf8380893ca.jpg?v=1771410143, friendlyName=Open</x:v>
      </x:c>
      <x:c r="C5132" s="24" t="e">
        <x:f>HYPERLINK("https://365nails.com/products/midnight-magma-ethereal-ink-series","""Midnight Magma"" – Navy Blue Cat Eye &amp; Amber Russet Ink Marble with Gold Foil Almond Nails")</x:f>
        <x:v>HYPERLINK is not implemented. linkLocation=https://365nails.com/products/midnight-magma-ethereal-ink-series, friendlyName="Midnight Magma" – Navy Blue Cat Eye &amp; Amber Russet Ink Marble with Gold Foil Almond Nails</x:v>
      </x:c>
      <x:c r="D5132" s="18" t="str">
        <x:v>Size: XS / S / M / L</x:v>
      </x:c>
      <x:c r="E5132" s="25" t="str">
        <x:v>$3.99</x:v>
      </x:c>
      <x:c r="F5132" s="19" t="str">
        <x:v>30</x:v>
      </x:c>
    </x:row>
    <x:row r="5133" ht="93" customHeight="1">
      <x:c r="A5133" s="19" t="n">
        <x:v>5130</x:v>
      </x:c>
      <x:c r="B5133" s="22" t="e">
        <x:f>HYPERLINK("https://cdn.shopify.com/s/files/1/0918/6066/4603/files/0adbb76317eeff1589f6f9b9cd7b69df_c4ccd23f-2c02-443c-8578-80d5ac170665.jpg?v=1771397354","Open")</x:f>
        <x:v>HYPERLINK is not implemented. linkLocation=https://cdn.shopify.com/s/files/1/0918/6066/4603/files/0adbb76317eeff1589f6f9b9cd7b69df_c4ccd23f-2c02-443c-8578-80d5ac170665.jpg?v=1771397354, friendlyName=Open</x:v>
      </x:c>
      <x:c r="C5133" s="24" t="e">
        <x:f>HYPERLINK("https://365nails.com/products/silver-redemption-femme-fatale-collection","Femme Fatale: ""Silver Redemption"" – Smokey Grey Ombre with 3D Liquid Chrome &amp; Black Gothic Cross Long Stiletto Nails")</x:f>
        <x:v>HYPERLINK is not implemented. linkLocation=https://365nails.com/products/silver-redemption-femme-fatale-collection, friendlyName=Femme Fatale: "Silver Redemption" – Smokey Grey Ombre with 3D Liquid Chrome &amp; Black Gothic Cross Long Stiletto Nails</x:v>
      </x:c>
      <x:c r="D5133" s="18" t="str">
        <x:v>Size: XS / S / M / L</x:v>
      </x:c>
      <x:c r="E5133" s="25" t="str">
        <x:v>$3.99</x:v>
      </x:c>
      <x:c r="F5133" s="19" t="str">
        <x:v>5</x:v>
      </x:c>
    </x:row>
    <x:row r="5134" ht="93" customHeight="1">
      <x:c r="A5134" s="19" t="n">
        <x:v>5131</x:v>
      </x:c>
      <x:c r="B5134" s="22" t="e">
        <x:f>HYPERLINK("https://cdn.shopify.com/s/files/1/0918/6066/4603/files/04f0a36c202b0585697af7df60719d9f.jpg?v=1771396394","Open")</x:f>
        <x:v>HYPERLINK is not implemented. linkLocation=https://cdn.shopify.com/s/files/1/0918/6066/4603/files/04f0a36c202b0585697af7df60719d9f.jpg?v=1771396394, friendlyName=Open</x:v>
      </x:c>
      <x:c r="C5134" s="24" t="e">
        <x:f>HYPERLINK("https://365nails.com/products/amber-galaxy-femme-fatale-collection","Femme Fatale: ""Amber Galaxy"" – Deep Bronze Cat Eye with Crushed Silver Foil &amp; White Starburst Long Stiletto Nails")</x:f>
        <x:v>HYPERLINK is not implemented. linkLocation=https://365nails.com/products/amber-galaxy-femme-fatale-collection, friendlyName=Femme Fatale: "Amber Galaxy" – Deep Bronze Cat Eye with Crushed Silver Foil &amp; White Starburst Long Stiletto Nails</x:v>
      </x:c>
      <x:c r="D5134" s="18" t="str">
        <x:v>Size: XS / S / M / L</x:v>
      </x:c>
      <x:c r="E5134" s="25" t="str">
        <x:v>$3.99</x:v>
      </x:c>
      <x:c r="F5134" s="19" t="str">
        <x:v>5</x:v>
      </x:c>
    </x:row>
    <x:row r="5135" ht="93" customHeight="1">
      <x:c r="A5135" s="19" t="n">
        <x:v>5132</x:v>
      </x:c>
      <x:c r="B5135" s="22" t="e">
        <x:f>HYPERLINK("https://cdn.shopify.com/s/files/1/0918/6066/4603/files/030b28e7915d58d93edf7260930b82cd.jpg?v=1772076592","Open")</x:f>
        <x:v>HYPERLINK is not implemented. linkLocation=https://cdn.shopify.com/s/files/1/0918/6066/4603/files/030b28e7915d58d93edf7260930b82cd.jpg?v=1772076592, friendlyName=Open</x:v>
      </x:c>
      <x:c r="C5135" s="24" t="e">
        <x:f>HYPERLINK("https://365nails.com/products/wild-sunset-surf-sculpted-flora-series","Sculpted Flora: ""Wild Sunset Surf"" – 3D Floral &amp; Mixed Animal Print Textured Long Coffin Nails")</x:f>
        <x:v>HYPERLINK is not implemented. linkLocation=https://365nails.com/products/wild-sunset-surf-sculpted-flora-series, friendlyName=Sculpted Flora: "Wild Sunset Surf" – 3D Floral &amp; Mixed Animal Print Textured Long Coffin Nails</x:v>
      </x:c>
      <x:c r="D5135" s="18" t="str">
        <x:v>Size: XS / S / M / L</x:v>
      </x:c>
      <x:c r="E5135" s="25" t="str">
        <x:v>$3.99</x:v>
      </x:c>
      <x:c r="F5135" s="19" t="str">
        <x:v>5</x:v>
      </x:c>
    </x:row>
    <x:row r="5136" ht="93" customHeight="1">
      <x:c r="A5136" s="19" t="n">
        <x:v>5133</x:v>
      </x:c>
      <x:c r="B5136" s="22" t="e">
        <x:f>HYPERLINK("https://cdn.shopify.com/s/files/1/0918/6066/4603/files/28a59b858cc147cb5b97fba556f4bc52.jpg?v=1771286236","Open")</x:f>
        <x:v>HYPERLINK is not implemented. linkLocation=https://cdn.shopify.com/s/files/1/0918/6066/4603/files/28a59b858cc147cb5b97fba556f4bc52.jpg?v=1771286236, friendlyName=Open</x:v>
      </x:c>
      <x:c r="C5136" s="24" t="e">
        <x:f>HYPERLINK("https://365nails.com/products/pantheon-of-goddesses-artist-series-exclusive","Artist Series: ""Pantheon of Goddesses"" – 3D Hand-Sculpted Fantasy Character Portrait Nails (Demon, Elf &amp; Medusa)")</x:f>
        <x:v>HYPERLINK is not implemented. linkLocation=https://365nails.com/products/pantheon-of-goddesses-artist-series-exclusive, friendlyName=Artist Series: "Pantheon of Goddesses" – 3D Hand-Sculpted Fantasy Character Portrait Nails (Demon, Elf &amp; Medusa)</x:v>
      </x:c>
      <x:c r="D5136" s="18" t="str">
        <x:v>Size: XS / S / M / L</x:v>
      </x:c>
      <x:c r="E5136" s="25" t="str">
        <x:v>$199.00</x:v>
      </x:c>
      <x:c r="F5136" s="19" t="str">
        <x:v>1</x:v>
      </x:c>
    </x:row>
    <x:row r="5137" ht="93" customHeight="1">
      <x:c r="A5137" s="19" t="n">
        <x:v>5134</x:v>
      </x:c>
      <x:c r="B5137" s="22" t="e">
        <x:f>HYPERLINK("https://cdn.shopify.com/s/files/1/0918/6066/4603/files/d8ab5b7dd8ea77a1eb8f6b602f299180.jpg?v=1772074937","Open")</x:f>
        <x:v>HYPERLINK is not implemented. linkLocation=https://cdn.shopify.com/s/files/1/0918/6066/4603/files/d8ab5b7dd8ea77a1eb8f6b602f299180.jpg?v=1772074937, friendlyName=Open</x:v>
      </x:c>
      <x:c r="C5137" s="24" t="e">
        <x:f>HYPERLINK("https://365nails.com/products/burgundy-blossom-sculpted-flora-series","Sculpted Flora: ""Burgundy Blossom"" – 3D Pink Floral &amp; Deep Wine Red Patterned Long Stiletto Nails")</x:f>
        <x:v>HYPERLINK is not implemented. linkLocation=https://365nails.com/products/burgundy-blossom-sculpted-flora-series, friendlyName=Sculpted Flora: "Burgundy Blossom" – 3D Pink Floral &amp; Deep Wine Red Patterned Long Stiletto Nails</x:v>
      </x:c>
      <x:c r="D5137" s="18" t="str">
        <x:v>Size: XS / S / M / L</x:v>
      </x:c>
      <x:c r="E5137" s="25" t="str">
        <x:v>$3.99</x:v>
      </x:c>
      <x:c r="F5137" s="19" t="str">
        <x:v>5</x:v>
      </x:c>
    </x:row>
    <x:row r="5138" ht="93" customHeight="1">
      <x:c r="A5138" s="19" t="n">
        <x:v>5135</x:v>
      </x:c>
      <x:c r="B5138" s="22" t="e">
        <x:f>HYPERLINK("https://cdn.shopify.com/s/files/1/0918/6066/4603/files/d71b2fc0b439cfa46f6a7878110c87a3.jpg?v=1771388019","Open")</x:f>
        <x:v>HYPERLINK is not implemented. linkLocation=https://cdn.shopify.com/s/files/1/0918/6066/4603/files/d71b2fc0b439cfa46f6a7878110c87a3.jpg?v=1771388019, friendlyName=Open</x:v>
      </x:c>
      <x:c r="C5138" s="24" t="e">
        <x:f>HYPERLINK("https://365nails.com/products/sacred-ink-femme-fatale-collection","Femme Fatale: ""Sacred Ink"" – Milky White Base with Black Cyber Sigilism, Gothic Lettering &amp; Tattoo Art Long Almond Nails")</x:f>
        <x:v>HYPERLINK is not implemented. linkLocation=https://365nails.com/products/sacred-ink-femme-fatale-collection, friendlyName=Femme Fatale: "Sacred Ink" – Milky White Base with Black Cyber Sigilism, Gothic Lettering &amp; Tattoo Art Long Almond Nails</x:v>
      </x:c>
      <x:c r="D5138" s="18" t="str">
        <x:v>Size: XS / S / M / L</x:v>
      </x:c>
      <x:c r="E5138" s="25" t="str">
        <x:v>$3.99</x:v>
      </x:c>
      <x:c r="F5138" s="19" t="str">
        <x:v>5</x:v>
      </x:c>
    </x:row>
    <x:row r="5139" ht="93" customHeight="1">
      <x:c r="A5139" s="19" t="n">
        <x:v>5136</x:v>
      </x:c>
      <x:c r="B5139" s="22" t="e">
        <x:f>HYPERLINK("https://cdn.shopify.com/s/files/1/0918/6066/4603/files/1429a344bc12b60575d5ca47ae0034fc.jpg?v=1771395825","Open")</x:f>
        <x:v>HYPERLINK is not implemented. linkLocation=https://cdn.shopify.com/s/files/1/0918/6066/4603/files/1429a344bc12b60575d5ca47ae0034fc.jpg?v=1771395825, friendlyName=Open</x:v>
      </x:c>
      <x:c r="C5139" s="24" t="e">
        <x:f>HYPERLINK("https://365nails.com/products/ash-python-femme-fatale-collection","Femme Fatale: ""Ash Python"" – Cool Grey &amp; Sage Blue Realistic Snakeskin Print Long Stiletto Nails")</x:f>
        <x:v>HYPERLINK is not implemented. linkLocation=https://365nails.com/products/ash-python-femme-fatale-collection, friendlyName=Femme Fatale: "Ash Python" – Cool Grey &amp; Sage Blue Realistic Snakeskin Print Long Stiletto Nails</x:v>
      </x:c>
      <x:c r="D5139" s="18" t="str">
        <x:v>Size: XS / S / M / L</x:v>
      </x:c>
      <x:c r="E5139" s="25" t="str">
        <x:v>$3.99</x:v>
      </x:c>
      <x:c r="F5139" s="19" t="str">
        <x:v>5</x:v>
      </x:c>
    </x:row>
    <x:row r="5140" ht="93" customHeight="1">
      <x:c r="A5140" s="19" t="n">
        <x:v>5137</x:v>
      </x:c>
      <x:c r="B5140" s="22" t="e">
        <x:f>HYPERLINK("https://cdn.shopify.com/s/files/1/0918/6066/4603/files/686b928512bb68f1a497f994f7a86d5e.jpg?v=1771387932","Open")</x:f>
        <x:v>HYPERLINK is not implemented. linkLocation=https://cdn.shopify.com/s/files/1/0918/6066/4603/files/686b928512bb68f1a497f994f7a86d5e.jpg?v=1771387932, friendlyName=Open</x:v>
      </x:c>
      <x:c r="C5140" s="24" t="e">
        <x:f>HYPERLINK("https://365nails.com/products/galactic-sigil-femme-fatale-collection","Femme Fatale: ""Galactic Sigil"" – Violet &amp; Azure Cat Eye with Black Cyber Tribal Totems Long Stiletto Nails")</x:f>
        <x:v>HYPERLINK is not implemented. linkLocation=https://365nails.com/products/galactic-sigil-femme-fatale-collection, friendlyName=Femme Fatale: "Galactic Sigil" – Violet &amp; Azure Cat Eye with Black Cyber Tribal Totems Long Stiletto Nails</x:v>
      </x:c>
      <x:c r="D5140" s="18" t="str">
        <x:v>Size: XS / S / M / L</x:v>
      </x:c>
      <x:c r="E5140" s="25" t="str">
        <x:v>$3.99</x:v>
      </x:c>
      <x:c r="F5140" s="19" t="str">
        <x:v>5</x:v>
      </x:c>
    </x:row>
    <x:row r="5141" ht="93" customHeight="1">
      <x:c r="A5141" s="19" t="n">
        <x:v>5138</x:v>
      </x:c>
      <x:c r="B5141" s="22" t="e">
        <x:f>HYPERLINK("https://cdn.shopify.com/s/files/1/0918/6066/4603/files/O1CN01F7pEe21CPwCe0mJaV__2213196780074-0-cib_dc9f4e27-1220-4070-9528-eb0d184117e1.jpg?v=1763706167","Open")</x:f>
        <x:v>HYPERLINK is not implemented. linkLocation=https://cdn.shopify.com/s/files/1/0918/6066/4603/files/O1CN01F7pEe21CPwCe0mJaV__2213196780074-0-cib_dc9f4e27-1220-4070-9528-eb0d184117e1.jpg?v=1763706167, friendlyName=Open</x:v>
      </x:c>
      <x:c r="C5141" s="24" t="e">
        <x:f>HYPERLINK("https://365nails.com/products/nude-christmas-press-on-nails-snowflake-pearl-star-design","Nude Christmas Press‑On Nails – Snowflake &amp; Pearl Star Design")</x:f>
        <x:v>HYPERLINK is not implemented. linkLocation=https://365nails.com/products/nude-christmas-press-on-nails-snowflake-pearl-star-design, friendlyName=Nude Christmas Press‑On Nails – Snowflake &amp; Pearl Star Design</x:v>
      </x:c>
      <x:c r="D5141" s="18" t="str">
        <x:v>Length: 1195-Short Ladder Christmas Limited / 1202-Ladder Christmas Limited; Size: Extra small XS / S / M M / Large L</x:v>
      </x:c>
      <x:c r="E5141" s="25" t="str">
        <x:v>$3.49</x:v>
      </x:c>
      <x:c r="F5141" s="19" t="str">
        <x:v>1</x:v>
      </x:c>
    </x:row>
    <x:row r="5142" ht="93" customHeight="1">
      <x:c r="A5142" s="19" t="n">
        <x:v>5139</x:v>
      </x:c>
      <x:c r="B5142" s="22" t="e">
        <x:f>HYPERLINK("https://cdn.shopify.com/s/files/1/0918/6066/4603/files/bb4a0c5859c6a8917c799ebf8959d4a5.jpg?v=1771472228","Open")</x:f>
        <x:v>HYPERLINK is not implemented. linkLocation=https://cdn.shopify.com/s/files/1/0918/6066/4603/files/bb4a0c5859c6a8917c799ebf8959d4a5.jpg?v=1771472228, friendlyName=Open</x:v>
      </x:c>
      <x:c r="C5142" s="24" t="e">
        <x:f>HYPERLINK("https://365nails.com/products/tiffany-blue-breeze-sculpted-flora-series","Sculpted Flora: ""Tiffany Blue Breeze"" – 3D Sky Blue Flowers with Pearls on White French Tip Almond Nails")</x:f>
        <x:v>HYPERLINK is not implemented. linkLocation=https://365nails.com/products/tiffany-blue-breeze-sculpted-flora-series, friendlyName=Sculpted Flora: "Tiffany Blue Breeze" – 3D Sky Blue Flowers with Pearls on White French Tip Almond Nails</x:v>
      </x:c>
      <x:c r="D5142" s="18" t="str">
        <x:v>Size: XS / S / M / L</x:v>
      </x:c>
      <x:c r="E5142" s="25" t="str">
        <x:v>$3.99</x:v>
      </x:c>
      <x:c r="F5142" s="19" t="str">
        <x:v>5</x:v>
      </x:c>
    </x:row>
    <x:row r="5143" ht="93" customHeight="1">
      <x:c r="A5143" s="19" t="n">
        <x:v>5140</x:v>
      </x:c>
      <x:c r="B5143" s="22" t="e">
        <x:f>HYPERLINK("https://cdn.shopify.com/s/files/1/0918/6066/4603/files/b18b941612f6a39d12150c7179a0932c.jpg?v=1772094547","Open")</x:f>
        <x:v>HYPERLINK is not implemented. linkLocation=https://cdn.shopify.com/s/files/1/0918/6066/4603/files/b18b941612f6a39d12150c7179a0932c.jpg?v=1772094547, friendlyName=Open</x:v>
      </x:c>
      <x:c r="C5143" s="24" t="e">
        <x:f>HYPERLINK("https://365nails.com/products/sculpted-flora-wild-orchid-3d-purple-floral-animal-print-3d-snake-long-stiletto-nails","Sculpted Flora: ""Wild Orchid"" – 3D Purple Floral, Animal Print &amp; 3D Snake Long Stiletto Nails")</x:f>
        <x:v>HYPERLINK is not implemented. linkLocation=https://365nails.com/products/sculpted-flora-wild-orchid-3d-purple-floral-animal-print-3d-snake-long-stiletto-nails, friendlyName=Sculpted Flora: "Wild Orchid" – 3D Purple Floral, Animal Print &amp; 3D Snake Long Stiletto Nails</x:v>
      </x:c>
      <x:c r="D5143" s="18" t="str">
        <x:v>Size: XS / S / M / L</x:v>
      </x:c>
      <x:c r="E5143" s="25" t="str">
        <x:v>$3.99</x:v>
      </x:c>
      <x:c r="F5143" s="19" t="str">
        <x:v>5</x:v>
      </x:c>
    </x:row>
    <x:row r="5144" ht="93" customHeight="1">
      <x:c r="A5144" s="19" t="n">
        <x:v>5141</x:v>
      </x:c>
      <x:c r="B5144" s="22" t="e">
        <x:f>HYPERLINK("https://cdn.shopify.com/s/files/1/0918/6066/4603/files/O1CN01fd24UQ1HlX50FoHl8__2545140798-0-cib.jpg?v=1776565322","Open")</x:f>
        <x:v>HYPERLINK is not implemented. linkLocation=https://cdn.shopify.com/s/files/1/0918/6066/4603/files/O1CN01fd24UQ1HlX50FoHl8__2545140798-0-cib.jpg?v=1776565322, friendlyName=Open</x:v>
      </x:c>
      <x:c r="C5144" s="24" t="e">
        <x:f>HYPERLINK("https://365nails.com/products/365nails-glitter-pink-snowflake-nail-art-stickers","365nails: ""Glitter Pink Snowflake"" – nail art stickers")</x:f>
        <x:v>HYPERLINK is not implemented. linkLocation=https://365nails.com/products/365nails-glitter-pink-snowflake-nail-art-stickers, friendlyName=365nails: "Glitter Pink Snowflake" – nail art stickers</x:v>
      </x:c>
      <x:c r="D5144" s="18" t="str">
        <x:v>Specification type: To4786-glitter / To4786 silver flash / To4796-glitter / To4796 silver flash</x:v>
      </x:c>
      <x:c r="E5144" s="25" t="str">
        <x:v>$1.23</x:v>
      </x:c>
      <x:c r="F5144" s="19" t="str">
        <x:v>5</x:v>
      </x:c>
    </x:row>
    <x:row r="5145" ht="93" customHeight="1">
      <x:c r="A5145" s="19" t="n">
        <x:v>5142</x:v>
      </x:c>
      <x:c r="B5145" s="22" t="e">
        <x:f>HYPERLINK("https://cdn.shopify.com/s/files/1/0918/6066/4603/files/c5acc9c697f10cc8cb14553e5e3468b2.jpg?v=1771409948","Open")</x:f>
        <x:v>HYPERLINK is not implemented. linkLocation=https://cdn.shopify.com/s/files/1/0918/6066/4603/files/c5acc9c697f10cc8cb14553e5e3468b2.jpg?v=1771409948, friendlyName=Open</x:v>
      </x:c>
      <x:c r="C5145" s="24" t="e">
        <x:f>HYPERLINK("https://365nails.com/products/azure-mist-floral-ethereal-ink-series","Ethereal Ink: ""Azure Mist Floral"" – Dusty Blue Cat Eye &amp; Ink Marble with Hand-Painted White Flowers &amp; Gold Foil Almond Nails")</x:f>
        <x:v>HYPERLINK is not implemented. linkLocation=https://365nails.com/products/azure-mist-floral-ethereal-ink-series, friendlyName=Ethereal Ink: "Azure Mist Floral" – Dusty Blue Cat Eye &amp; Ink Marble with Hand-Painted White Flowers &amp; Gold Foil Almond Nails</x:v>
      </x:c>
      <x:c r="D5145" s="18" t="str">
        <x:v>Size: XS / S / M / L</x:v>
      </x:c>
      <x:c r="E5145" s="25" t="str">
        <x:v>$3.99</x:v>
      </x:c>
      <x:c r="F5145" s="19" t="str">
        <x:v>30</x:v>
      </x:c>
    </x:row>
    <x:row r="5146" ht="93" customHeight="1">
      <x:c r="A5146" s="19" t="n">
        <x:v>5143</x:v>
      </x:c>
      <x:c r="B5146" s="22" t="e">
        <x:f>HYPERLINK("https://cdn.shopify.com/s/files/1/0918/6066/4603/files/763c9e7927f5fbca4ef44a39f1657495.jpg?v=1771393166","Open")</x:f>
        <x:v>HYPERLINK is not implemented. linkLocation=https://cdn.shopify.com/s/files/1/0918/6066/4603/files/763c9e7927f5fbca4ef44a39f1657495.jpg?v=1771393166, friendlyName=Open</x:v>
      </x:c>
      <x:c r="C5146" s="24" t="e">
        <x:f>HYPERLINK("https://365nails.com/products/wasteland-relic-femme-fatale-collection","Femme Fatale: ""Wasteland Relic"" – Matte Brown Airbrush with Neon Starburst &amp; 3D Alien Tentacle Texture Long Stiletto Nails")</x:f>
        <x:v>HYPERLINK is not implemented. linkLocation=https://365nails.com/products/wasteland-relic-femme-fatale-collection, friendlyName=Femme Fatale: "Wasteland Relic" – Matte Brown Airbrush with Neon Starburst &amp; 3D Alien Tentacle Texture Long Stiletto Nails</x:v>
      </x:c>
      <x:c r="D5146" s="18" t="str">
        <x:v>Size: XS / S / M / L</x:v>
      </x:c>
      <x:c r="E5146" s="25" t="str">
        <x:v>$3.99</x:v>
      </x:c>
      <x:c r="F5146" s="19" t="str">
        <x:v>5</x:v>
      </x:c>
    </x:row>
    <x:row r="5147" ht="93" customHeight="1">
      <x:c r="A5147" s="19" t="n">
        <x:v>5144</x:v>
      </x:c>
      <x:c r="B5147" s="22" t="e">
        <x:f>HYPERLINK("https://cdn.shopify.com/s/files/1/0918/6066/4603/files/eb43ae1f7dd435553a5a3589735ad977.jpg?v=1771393073","Open")</x:f>
        <x:v>HYPERLINK is not implemented. linkLocation=https://cdn.shopify.com/s/files/1/0918/6066/4603/files/eb43ae1f7dd435553a5a3589735ad977.jpg?v=1771393073, friendlyName=Open</x:v>
      </x:c>
      <x:c r="C5147" s="24" t="e">
        <x:f>HYPERLINK("https://365nails.com/products/iron-rose-femme-fatale-collection","Femme Fatale: ""Iron Rose"" – Grey Cat Eye with Black Vintage Floral Vines &amp; 3D Silver Chrome Ridged Armor Tips Long Stiletto Nails")</x:f>
        <x:v>HYPERLINK is not implemented. linkLocation=https://365nails.com/products/iron-rose-femme-fatale-collection, friendlyName=Femme Fatale: "Iron Rose" – Grey Cat Eye with Black Vintage Floral Vines &amp; 3D Silver Chrome Ridged Armor Tips Long Stiletto Nails</x:v>
      </x:c>
      <x:c r="D5147" s="18" t="str">
        <x:v>Size: XS / S / M / L</x:v>
      </x:c>
      <x:c r="E5147" s="25" t="str">
        <x:v>$3.99</x:v>
      </x:c>
      <x:c r="F5147" s="19" t="str">
        <x:v>5</x:v>
      </x:c>
    </x:row>
    <x:row r="5148" ht="93" customHeight="1">
      <x:c r="A5148" s="19" t="n">
        <x:v>5145</x:v>
      </x:c>
      <x:c r="B5148" s="22" t="e">
        <x:f>HYPERLINK("https://cdn.shopify.com/s/files/1/0918/6066/4603/files/O1CN01w5nAL41HlX8oHLTVb__2545140798-0-cib.jpg?v=1776570714","Open")</x:f>
        <x:v>HYPERLINK is not implemented. linkLocation=https://cdn.shopify.com/s/files/1/0918/6066/4603/files/O1CN01w5nAL41HlX8oHLTVb__2545140798-0-cib.jpg?v=1776570714, friendlyName=Open</x:v>
      </x:c>
      <x:c r="C5148" s="24" t="e">
        <x:f>HYPERLINK("https://365nails.com/products/365nails-summer-beach-babe-nail-art-stickers","365nails: ""Summer Beach Babe"" – nail art stickers")</x:f>
        <x:v>HYPERLINK is not implemented. linkLocation=https://365nails.com/products/365nails-summer-beach-babe-nail-art-stickers, friendlyName=365nails: "Summer Beach Babe" – nail art stickers</x:v>
      </x:c>
      <x:c r="D5148" s="18" t="str">
        <x:v>Specification type: To5270-relief</x:v>
      </x:c>
      <x:c r="E5148" s="25" t="str">
        <x:v>$1.23</x:v>
      </x:c>
      <x:c r="F5148" s="19" t="str">
        <x:v>5</x:v>
      </x:c>
    </x:row>
    <x:row r="5149" ht="93" customHeight="1">
      <x:c r="A5149" s="19" t="n">
        <x:v>5146</x:v>
      </x:c>
      <x:c r="B5149" s="22" t="e">
        <x:f>HYPERLINK("https://cdn.shopify.com/s/files/1/0918/6066/4603/files/O1CN01hXAmGh1HlWjPj6bqD__2545140798-0-cib.jpg?v=1776574364","Open")</x:f>
        <x:v>HYPERLINK is not implemented. linkLocation=https://cdn.shopify.com/s/files/1/0918/6066/4603/files/O1CN01hXAmGh1HlWjPj6bqD__2545140798-0-cib.jpg?v=1776574364, friendlyName=Open</x:v>
      </x:c>
      <x:c r="C5149" s="24" t="e">
        <x:f>HYPERLINK("https://365nails.com/products/365nails-classical-sculpture-cameo-nail-art-stickers","365nails: ""Classical Sculpture Cameo"" – nail art stickers")</x:f>
        <x:v>HYPERLINK is not implemented. linkLocation=https://365nails.com/products/365nails-classical-sculpture-cameo-nail-art-stickers, friendlyName=365nails: "Classical Sculpture Cameo" – nail art stickers</x:v>
      </x:c>
      <x:c r="D5149" s="18" t="str">
        <x:v>Color: Kilig-rocooco01 / Kilig-rocooco02 / Kilig-rocooco03 / Kilig-roccoco04</x:v>
      </x:c>
      <x:c r="E5149" s="25" t="str">
        <x:v>$1.23</x:v>
      </x:c>
      <x:c r="F5149" s="19" t="str">
        <x:v>5</x:v>
      </x:c>
    </x:row>
    <x:row r="5150" ht="93" customHeight="1">
      <x:c r="A5150" s="19" t="n">
        <x:v>5147</x:v>
      </x:c>
      <x:c r="B5150" s="22" t="e">
        <x:f>HYPERLINK("https://cdn.shopify.com/s/files/1/0918/6066/4603/files/O1CN01MUITWz1HlX5EBCRof__2545140798-0-cib.jpg?v=1776566336","Open")</x:f>
        <x:v>HYPERLINK is not implemented. linkLocation=https://cdn.shopify.com/s/files/1/0918/6066/4603/files/O1CN01MUITWz1HlX5EBCRof__2545140798-0-cib.jpg?v=1776566336, friendlyName=Open</x:v>
      </x:c>
      <x:c r="C5150" s="24" t="e">
        <x:f>HYPERLINK("https://365nails.com/products/365nails-watercolor-gradient-flower-nail-art-stickers","365nails: ""Watercolor Gradient Flower"" – nail art stickers")</x:f>
        <x:v>HYPERLINK is not implemented. linkLocation=https://365nails.com/products/365nails-watercolor-gradient-flower-nail-art-stickers, friendlyName=365nails: "Watercolor Gradient Flower" – nail art stickers</x:v>
      </x:c>
      <x:c r="D5150" s="18" t="str">
        <x:v>Specification type: Ms758-metal</x:v>
      </x:c>
      <x:c r="E5150" s="25" t="str">
        <x:v>$1.23</x:v>
      </x:c>
      <x:c r="F5150" s="19" t="str">
        <x:v>5</x:v>
      </x:c>
    </x:row>
    <x:row r="5151" ht="93" customHeight="1">
      <x:c r="A5151" s="19" t="n">
        <x:v>5148</x:v>
      </x:c>
      <x:c r="B5151" s="22" t="e">
        <x:f>HYPERLINK("https://cdn.shopify.com/s/files/1/0918/6066/4603/files/O1CN01qRSbLL1HlX4rXvOcB__2545140798-0-cib.jpg?v=1776574443","Open")</x:f>
        <x:v>HYPERLINK is not implemented. linkLocation=https://cdn.shopify.com/s/files/1/0918/6066/4603/files/O1CN01qRSbLL1HlX4rXvOcB__2545140798-0-cib.jpg?v=1776574443, friendlyName=Open</x:v>
      </x:c>
      <x:c r="C5151" s="24" t="e">
        <x:f>HYPERLINK("https://365nails.com/products/365nails-miiiichar-new-year-nail-art-stickers","365nails: ""Miiiichar New Year"" – nail art stickers")</x:f>
        <x:v>HYPERLINK is not implemented. linkLocation=https://365nails.com/products/365nails-miiiichar-new-year-nail-art-stickers, friendlyName=365nails: "Miiiichar New Year" – nail art stickers</x:v>
      </x:c>
      <x:c r="D5151" s="18" t="str">
        <x:v>Specification type: Mc54-relief</x:v>
      </x:c>
      <x:c r="E5151" s="25" t="str">
        <x:v>$1.30</x:v>
      </x:c>
      <x:c r="F5151" s="19" t="str">
        <x:v>5</x:v>
      </x:c>
    </x:row>
    <x:row r="5152" ht="93" customHeight="1">
      <x:c r="A5152" s="19" t="n">
        <x:v>5149</x:v>
      </x:c>
      <x:c r="B5152" s="22" t="e">
        <x:f>HYPERLINK("https://cdn.shopify.com/s/files/1/0918/6066/4603/files/O1CN01lbwup51HlX3dcjwt6__2545140798-0-cib.jpg?v=1776518166","Open")</x:f>
        <x:v>HYPERLINK is not implemented. linkLocation=https://cdn.shopify.com/s/files/1/0918/6066/4603/files/O1CN01lbwup51HlX3dcjwt6__2545140798-0-cib.jpg?v=1776518166, friendlyName=Open</x:v>
      </x:c>
      <x:c r="C5152" s="24" t="e">
        <x:f>HYPERLINK("https://365nails.com/products/365nails-watercolor-fruit-nail-art-stickers","365nails: ""Watercolor Fruit"" – nail art stickers")</x:f>
        <x:v>HYPERLINK is not implemented. linkLocation=https://365nails.com/products/365nails-watercolor-fruit-nail-art-stickers, friendlyName=365nails: "Watercolor Fruit" – nail art stickers</x:v>
      </x:c>
      <x:c r="D5152" s="18" t="str">
        <x:v>Specification type: To4408</x:v>
      </x:c>
      <x:c r="E5152" s="25" t="str">
        <x:v>$1.09</x:v>
      </x:c>
      <x:c r="F5152" s="19" t="str">
        <x:v>5</x:v>
      </x:c>
    </x:row>
    <x:row r="5153" ht="93" customHeight="1">
      <x:c r="A5153" s="19" t="n">
        <x:v>5150</x:v>
      </x:c>
      <x:c r="B5153" s="22" t="e">
        <x:f>HYPERLINK("https://cdn.shopify.com/s/files/1/0918/6066/4603/files/O1CN01bHDJO41HlX1BM2CLa__2545140798-0-cib.jpg?v=1776499618","Open")</x:f>
        <x:v>HYPERLINK is not implemented. linkLocation=https://cdn.shopify.com/s/files/1/0918/6066/4603/files/O1CN01bHDJO41HlX1BM2CLa__2545140798-0-cib.jpg?v=1776499618, friendlyName=Open</x:v>
      </x:c>
      <x:c r="C5153" s="24" t="e">
        <x:f>HYPERLINK("https://365nails.com/products/365nails-gradient-heartbeat-line-nail-art-stickers","365nails: ""Gradient Heartbeat Line"" – nail art stickers")</x:f>
        <x:v>HYPERLINK is not implemented. linkLocation=https://365nails.com/products/365nails-gradient-heartbeat-line-nail-art-stickers, friendlyName=365nails: "Gradient Heartbeat Line" – nail art stickers</x:v>
      </x:c>
      <x:c r="D5153" s="18" t="str">
        <x:v>Specification type: To4087-laser powder / To4087-laser gold / To4087-laser sequins / To4087-laser silver / To4087-new hot stamping / To4087-silver</x:v>
      </x:c>
      <x:c r="E5153" s="25" t="str">
        <x:v>$1.23</x:v>
      </x:c>
      <x:c r="F5153" s="19" t="str">
        <x:v>5</x:v>
      </x:c>
    </x:row>
    <x:row r="5154" ht="93" customHeight="1">
      <x:c r="A5154" s="19" t="n">
        <x:v>5151</x:v>
      </x:c>
      <x:c r="B5154" s="22" t="e">
        <x:f>HYPERLINK("https://cdn.shopify.com/s/files/1/0918/6066/4603/files/O1CN01L2gpbI1HlX99T2fb6__2545140798-0-cib.jpg?v=1776570629","Open")</x:f>
        <x:v>HYPERLINK is not implemented. linkLocation=https://cdn.shopify.com/s/files/1/0918/6066/4603/files/O1CN01L2gpbI1HlX99T2fb6__2545140798-0-cib.jpg?v=1776570629, friendlyName=Open</x:v>
      </x:c>
      <x:c r="C5154" s="24" t="e">
        <x:f>HYPERLINK("https://365nails.com/products/365nails-y2k-pink-rebel-nail-art-stickers","365nails: ""Y2K Pink Rebel"" – nail art stickers")</x:f>
        <x:v>HYPERLINK is not implemented. linkLocation=https://365nails.com/products/365nails-y2k-pink-rebel-nail-art-stickers, friendlyName=365nails: "Y2K Pink Rebel" – nail art stickers</x:v>
      </x:c>
      <x:c r="D5154" s="18" t="str">
        <x:v>Specification type: To4054 / To4056</x:v>
      </x:c>
      <x:c r="E5154" s="25" t="str">
        <x:v>$1.09</x:v>
      </x:c>
      <x:c r="F5154" s="19" t="str">
        <x:v>5</x:v>
      </x:c>
    </x:row>
    <x:row r="5155" ht="93" customHeight="1">
      <x:c r="A5155" s="19" t="n">
        <x:v>5152</x:v>
      </x:c>
      <x:c r="B5155" s="22" t="e">
        <x:f>HYPERLINK("https://cdn.shopify.com/s/files/1/0918/6066/4603/files/O1CN01MHRxqB1HlX4zJe0uG__2545140798-0-cib.jpg?v=1776566562","Open")</x:f>
        <x:v>HYPERLINK is not implemented. linkLocation=https://cdn.shopify.com/s/files/1/0918/6066/4603/files/O1CN01MHRxqB1HlX4zJe0uG__2545140798-0-cib.jpg?v=1776566562, friendlyName=Open</x:v>
      </x:c>
      <x:c r="C5155" s="24" t="e">
        <x:f>HYPERLINK("https://365nails.com/products/365nails-vintage-pink-butterfly-nail-art-stickers","365nails: ""Vintage Pink Butterfly"" – nail art stickers")</x:f>
        <x:v>HYPERLINK is not implemented. linkLocation=https://365nails.com/products/365nails-vintage-pink-butterfly-nail-art-stickers, friendlyName=365nails: "Vintage Pink Butterfly" – nail art stickers</x:v>
      </x:c>
      <x:c r="D5155" s="18" t="str">
        <x:v>Specification type: To4753</x:v>
      </x:c>
      <x:c r="E5155" s="25" t="str">
        <x:v>$1.09</x:v>
      </x:c>
      <x:c r="F5155" s="19" t="str">
        <x:v>5</x:v>
      </x:c>
    </x:row>
    <x:row r="5156" ht="93" customHeight="1">
      <x:c r="A5156" s="19" t="n">
        <x:v>5153</x:v>
      </x:c>
      <x:c r="B5156" s="22" t="e">
        <x:f>HYPERLINK("https://cdn.shopify.com/s/files/1/0918/6066/4603/files/O1CN01rKrgGb1HlX2gJdSAt__2545140798-0-cib.jpg?v=1776513496","Open")</x:f>
        <x:v>HYPERLINK is not implemented. linkLocation=https://cdn.shopify.com/s/files/1/0918/6066/4603/files/O1CN01rKrgGb1HlX2gJdSAt__2545140798-0-cib.jpg?v=1776513496, friendlyName=Open</x:v>
      </x:c>
      <x:c r="C5156" s="24" t="e">
        <x:f>HYPERLINK("https://365nails.com/products/365nails-iridescent-floral-sprig-nail-art-stickers","365nails: ""Iridescent Floral Sprig"" – nail art stickers")</x:f>
        <x:v>HYPERLINK is not implemented. linkLocation=https://365nails.com/products/365nails-iridescent-floral-sprig-nail-art-stickers, friendlyName=365nails: "Iridescent Floral Sprig" – nail art stickers</x:v>
      </x:c>
      <x:c r="D5156" s="18" t="str">
        <x:v>Specification type: To4261-new hot stamping</x:v>
      </x:c>
      <x:c r="E5156" s="25" t="str">
        <x:v>$1.23</x:v>
      </x:c>
      <x:c r="F5156" s="19" t="str">
        <x:v>5</x:v>
      </x:c>
    </x:row>
    <x:row r="5157" ht="93" customHeight="1">
      <x:c r="A5157" s="19" t="n">
        <x:v>5154</x:v>
      </x:c>
      <x:c r="B5157" s="22" t="e">
        <x:f>HYPERLINK("https://cdn.shopify.com/s/files/1/0918/6066/4603/files/O1CN01hdAIpO1HlWzQCc5FW__2545140798-0-cib.jpg?v=1776568631","Open")</x:f>
        <x:v>HYPERLINK is not implemented. linkLocation=https://cdn.shopify.com/s/files/1/0918/6066/4603/files/O1CN01hdAIpO1HlWzQCc5FW__2545140798-0-cib.jpg?v=1776568631, friendlyName=Open</x:v>
      </x:c>
      <x:c r="C5157" s="24" t="e">
        <x:f>HYPERLINK("https://365nails.com/products/365nails-mini-wildflower-garden-nail-art-stickers","365nails: ""Mini Wildflower Garden"" – nail art stickers")</x:f>
        <x:v>HYPERLINK is not implemented. linkLocation=https://365nails.com/products/365nails-mini-wildflower-garden-nail-art-stickers, friendlyName=365nails: "Mini Wildflower Garden" – nail art stickers</x:v>
      </x:c>
      <x:c r="D5157" s="18" t="str">
        <x:v>Specification type: To3784-relief / To3785-shell light / To3787-relief / To3788-shell light / To4877-shell light / To4878-relief / To3803-relief / To3804-relief / To3808-relief / To3979-crystal diamond / To4111-crystal diamond / To4656-jelly / To4657-jelly / To4204-jelly / To4481-new hot stamping / To4802-relief / To1794-relief / Ms563-relief / To4163-shell light</x:v>
      </x:c>
      <x:c r="E5157" s="25" t="str">
        <x:v>$1.37</x:v>
      </x:c>
      <x:c r="F5157" s="19" t="str">
        <x:v>5</x:v>
      </x:c>
    </x:row>
    <x:row r="5158" ht="93" customHeight="1">
      <x:c r="A5158" s="19" t="n">
        <x:v>5155</x:v>
      </x:c>
      <x:c r="B5158" s="22" t="e">
        <x:f>HYPERLINK("https://cdn.shopify.com/s/files/1/0918/6066/4603/files/O1CN01vVu9uK1HlX3WGeO0H__2545140798-0-cib.jpg?v=1776517127","Open")</x:f>
        <x:v>HYPERLINK is not implemented. linkLocation=https://cdn.shopify.com/s/files/1/0918/6066/4603/files/O1CN01vVu9uK1HlX3WGeO0H__2545140798-0-cib.jpg?v=1776517127, friendlyName=Open</x:v>
      </x:c>
      <x:c r="C5158" s="24" t="e">
        <x:f>HYPERLINK("https://365nails.com/products/365nails-cartoon-mini-portrait-nail-art-stickers","365nails: ""Cartoon Mini Portrait"" – nail art stickers")</x:f>
        <x:v>HYPERLINK is not implemented. linkLocation=https://365nails.com/products/365nails-cartoon-mini-portrait-nail-art-stickers, friendlyName=365nails: "Cartoon Mini Portrait" – nail art stickers</x:v>
      </x:c>
      <x:c r="D5158" s="18" t="str">
        <x:v>Specification type: To4490-relief / To4499-relief</x:v>
      </x:c>
      <x:c r="E5158" s="25" t="str">
        <x:v>$1.23</x:v>
      </x:c>
      <x:c r="F5158" s="19" t="str">
        <x:v>5</x:v>
      </x:c>
    </x:row>
    <x:row r="5159" ht="93" customHeight="1">
      <x:c r="A5159" s="19" t="n">
        <x:v>5156</x:v>
      </x:c>
      <x:c r="B5159" s="22" t="e">
        <x:f>HYPERLINK("https://cdn.shopify.com/s/files/1/0918/6066/4603/files/O1CN01NJnY6y1HlX9KDacxU__2545140798-0-cib.jpg?v=1776570793","Open")</x:f>
        <x:v>HYPERLINK is not implemented. linkLocation=https://cdn.shopify.com/s/files/1/0918/6066/4603/files/O1CN01NJnY6y1HlX9KDacxU__2545140798-0-cib.jpg?v=1776570793, friendlyName=Open</x:v>
      </x:c>
      <x:c r="C5159" s="24" t="e">
        <x:f>HYPERLINK("https://365nails.com/products/365nails-mini-vase-bouquet-nail-art-stickers","365nails: ""Mini Vase Bouquet"" – nail art stickers")</x:f>
        <x:v>HYPERLINK is not implemented. linkLocation=https://365nails.com/products/365nails-mini-vase-bouquet-nail-art-stickers, friendlyName=365nails: "Mini Vase Bouquet" – nail art stickers</x:v>
      </x:c>
      <x:c r="D5159" s="18" t="str">
        <x:v>Specification type: To5131</x:v>
      </x:c>
      <x:c r="E5159" s="25" t="str">
        <x:v>$1.09</x:v>
      </x:c>
      <x:c r="F5159" s="19" t="str">
        <x:v>5</x:v>
      </x:c>
    </x:row>
    <x:row r="5160" ht="93" customHeight="1">
      <x:c r="A5160" s="19" t="n">
        <x:v>5157</x:v>
      </x:c>
      <x:c r="B5160" s="22" t="e">
        <x:f>HYPERLINK("https://cdn.shopify.com/s/files/1/0918/6066/4603/files/O1CN01SBKdnM1HlX3uIPvd2__2545140798-0-cib.jpg?v=1776521611","Open")</x:f>
        <x:v>HYPERLINK is not implemented. linkLocation=https://cdn.shopify.com/s/files/1/0918/6066/4603/files/O1CN01SBKdnM1HlX3uIPvd2__2545140798-0-cib.jpg?v=1776521611, friendlyName=Open</x:v>
      </x:c>
      <x:c r="C5160" s="24" t="e">
        <x:f>HYPERLINK("https://365nails.com/products/365nails-cute-christmas-bear-nail-art-stickers","365nails: ""Cute Christmas Bear"" – nail art stickers")</x:f>
        <x:v>HYPERLINK is not implemented. linkLocation=https://365nails.com/products/365nails-cute-christmas-bear-nail-art-stickers, friendlyName=365nails: "Cute Christmas Bear" – nail art stickers</x:v>
      </x:c>
      <x:c r="D5160" s="18" t="str">
        <x:v>Specification type: To4540-relief / To4541-relief</x:v>
      </x:c>
      <x:c r="E5160" s="25" t="str">
        <x:v>$1.23</x:v>
      </x:c>
      <x:c r="F5160" s="19" t="str">
        <x:v>5</x:v>
      </x:c>
    </x:row>
    <x:row r="5161" ht="93" customHeight="1">
      <x:c r="A5161" s="19" t="n">
        <x:v>5158</x:v>
      </x:c>
      <x:c r="B5161" s="22" t="e">
        <x:f>HYPERLINK("https://cdn.shopify.com/s/files/1/0918/6066/4603/files/O1CN01xZu2qp1HlX1AHbN46__2545140798-0-cib.jpg?v=1776499773","Open")</x:f>
        <x:v>HYPERLINK is not implemented. linkLocation=https://cdn.shopify.com/s/files/1/0918/6066/4603/files/O1CN01xZu2qp1HlX1AHbN46__2545140798-0-cib.jpg?v=1776499773, friendlyName=Open</x:v>
      </x:c>
      <x:c r="C5161" s="24" t="e">
        <x:f>HYPERLINK("https://365nails.com/products/365nails-butter-bear-bakery-nail-art-stickers","365nails: ""Butter Bear Bakery"" – nail art stickers")</x:f>
        <x:v>HYPERLINK is not implemented. linkLocation=https://365nails.com/products/365nails-butter-bear-bakery-nail-art-stickers, friendlyName=365nails: "Butter Bear Bakery" – nail art stickers</x:v>
      </x:c>
      <x:c r="D5161" s="18" t="str">
        <x:v>Specification type: To4071-relief</x:v>
      </x:c>
      <x:c r="E5161" s="25" t="str">
        <x:v>$1.23</x:v>
      </x:c>
      <x:c r="F5161" s="19" t="str">
        <x:v>5</x:v>
      </x:c>
    </x:row>
    <x:row r="5162" ht="93" customHeight="1">
      <x:c r="A5162" s="19" t="n">
        <x:v>5159</x:v>
      </x:c>
      <x:c r="B5162" s="22" t="e">
        <x:f>HYPERLINK("https://cdn.shopify.com/s/files/1/0918/6066/4603/files/O1CN01iHLodH1HlX8Y0qNzx__2545140798-0-cib.jpg?v=1776570552","Open")</x:f>
        <x:v>HYPERLINK is not implemented. linkLocation=https://cdn.shopify.com/s/files/1/0918/6066/4603/files/O1CN01iHLodH1HlX8Y0qNzx__2545140798-0-cib.jpg?v=1776570552, friendlyName=Open</x:v>
      </x:c>
      <x:c r="C5162" s="24" t="e">
        <x:f>HYPERLINK("https://365nails.com/products/365nails-christmas-kitten-party-nail-art-stickers","365nails: ""Christmas Kitten Party"" – nail art stickers")</x:f>
        <x:v>HYPERLINK is not implemented. linkLocation=https://365nails.com/products/365nails-christmas-kitten-party-nail-art-stickers, friendlyName=365nails: "Christmas Kitten Party" – nail art stickers</x:v>
      </x:c>
      <x:c r="D5162" s="18" t="str">
        <x:v>Specification type: To5224-relief / To5231-relief</x:v>
      </x:c>
      <x:c r="E5162" s="25" t="str">
        <x:v>$1.23</x:v>
      </x:c>
      <x:c r="F5162" s="19" t="str">
        <x:v>5</x:v>
      </x:c>
    </x:row>
    <x:row r="5163" ht="93" customHeight="1">
      <x:c r="A5163" s="19" t="n">
        <x:v>5160</x:v>
      </x:c>
      <x:c r="B5163" s="22" t="e">
        <x:f>HYPERLINK("https://cdn.shopify.com/s/files/1/0918/6066/4603/files/O1CN01MVIGGz1HlX7ODSdZ6__2545140798-0-cib.jpg?v=1776569989","Open")</x:f>
        <x:v>HYPERLINK is not implemented. linkLocation=https://cdn.shopify.com/s/files/1/0918/6066/4603/files/O1CN01MVIGGz1HlX7ODSdZ6__2545140798-0-cib.jpg?v=1776569989, friendlyName=Open</x:v>
      </x:c>
      <x:c r="C5163" s="24" t="e">
        <x:f>HYPERLINK("https://365nails.com/products/365nails-cute-cartoon-cat-nail-art-stickers","365nails: ""Cute Cartoon Cat"" – nail art stickers")</x:f>
        <x:v>HYPERLINK is not implemented. linkLocation=https://365nails.com/products/365nails-cute-cartoon-cat-nail-art-stickers, friendlyName=365nails: "Cute Cartoon Cat" – nail art stickers</x:v>
      </x:c>
      <x:c r="D5163" s="18" t="str">
        <x:v>Specification type: To4843 / To5129</x:v>
      </x:c>
      <x:c r="E5163" s="25" t="str">
        <x:v>$1.09</x:v>
      </x:c>
      <x:c r="F5163" s="19" t="str">
        <x:v>5</x:v>
      </x:c>
    </x:row>
    <x:row r="5164" ht="93" customHeight="1">
      <x:c r="A5164" s="19" t="n">
        <x:v>5161</x:v>
      </x:c>
      <x:c r="B5164" s="22" t="e">
        <x:f>HYPERLINK("https://cdn.shopify.com/s/files/1/0918/6066/4603/files/O1CN01WpZ6MV1HlX6JfkMjN__2545140798-0-cib.jpg?v=1776569433","Open")</x:f>
        <x:v>HYPERLINK is not implemented. linkLocation=https://cdn.shopify.com/s/files/1/0918/6066/4603/files/O1CN01WpZ6MV1HlX6JfkMjN__2545140798-0-cib.jpg?v=1776569433, friendlyName=Open</x:v>
      </x:c>
      <x:c r="C5164" s="24" t="e">
        <x:f>HYPERLINK("https://365nails.com/products/365nails-ne-zha-fire-dragon-nail-art-stickers","365nails: ""Ne Zha Fire &amp; Dragon"" – nail art stickers")</x:f>
        <x:v>HYPERLINK is not implemented. linkLocation=https://365nails.com/products/365nails-ne-zha-fire-dragon-nail-art-stickers, friendlyName=365nails: "Ne Zha Fire &amp; Dragon" – nail art stickers</x:v>
      </x:c>
      <x:c r="D5164" s="18" t="str">
        <x:v>Specification type: To5022-relief</x:v>
      </x:c>
      <x:c r="E5164" s="25" t="str">
        <x:v>$1.23</x:v>
      </x:c>
      <x:c r="F5164" s="19" t="str">
        <x:v>5</x:v>
      </x:c>
    </x:row>
    <x:row r="5165" ht="93" customHeight="1">
      <x:c r="A5165" s="19" t="n">
        <x:v>5162</x:v>
      </x:c>
      <x:c r="B5165" s="22" t="e">
        <x:f>HYPERLINK("https://cdn.shopify.com/s/files/1/0918/6066/4603/files/O1CN01jLyG5P1HlX3tl5asB__2545140798-0-cib.jpg?v=1776566157","Open")</x:f>
        <x:v>HYPERLINK is not implemented. linkLocation=https://cdn.shopify.com/s/files/1/0918/6066/4603/files/O1CN01jLyG5P1HlX3tl5asB__2545140798-0-cib.jpg?v=1776566157, friendlyName=Open</x:v>
      </x:c>
      <x:c r="C5165" s="24" t="e">
        <x:f>HYPERLINK("https://365nails.com/products/365nails-pink-christmas-tree-bow-nail-art-stickers","365nails: ""Pink Christmas Tree &amp; Bow"" – nail art stickers")</x:f>
        <x:v>HYPERLINK is not implemented. linkLocation=https://365nails.com/products/365nails-pink-christmas-tree-bow-nail-art-stickers, friendlyName=365nails: "Pink Christmas Tree &amp; Bow" – nail art stickers</x:v>
      </x:c>
      <x:c r="D5165" s="18" t="str">
        <x:v>Specification type: Ms703-metal / Ms704-shell light</x:v>
      </x:c>
      <x:c r="E5165" s="25" t="str">
        <x:v>$1.23</x:v>
      </x:c>
      <x:c r="F5165" s="19" t="str">
        <x:v>5</x:v>
      </x:c>
    </x:row>
    <x:row r="5166" ht="93" customHeight="1">
      <x:c r="A5166" s="19" t="n">
        <x:v>5163</x:v>
      </x:c>
      <x:c r="B5166" s="22" t="e">
        <x:f>HYPERLINK("https://cdn.shopify.com/s/files/1/0918/6066/4603/files/5ab768889cf5663c4a6f57401413d7eb.jpg?v=1772074587","Open")</x:f>
        <x:v>HYPERLINK is not implemented. linkLocation=https://cdn.shopify.com/s/files/1/0918/6066/4603/files/5ab768889cf5663c4a6f57401413d7eb.jpg?v=1772074587, friendlyName=Open</x:v>
      </x:c>
      <x:c r="C5166" s="24" t="e">
        <x:f>HYPERLINK("https://365nails.com/products/cherry-polka-love-sculpted-flora-series","Sculpted Flora: ""Cherry Polka Love"" – 3D Burgundy Floral, White Heart &amp; Polka Dot French Long Square Nails")</x:f>
        <x:v>HYPERLINK is not implemented. linkLocation=https://365nails.com/products/cherry-polka-love-sculpted-flora-series, friendlyName=Sculpted Flora: "Cherry Polka Love" – 3D Burgundy Floral, White Heart &amp; Polka Dot French Long Square Nails</x:v>
      </x:c>
      <x:c r="D5166" s="18" t="str">
        <x:v>Size: XS / S / M / L</x:v>
      </x:c>
      <x:c r="E5166" s="25" t="str">
        <x:v>$3.99</x:v>
      </x:c>
      <x:c r="F5166" s="19" t="str">
        <x:v>5</x:v>
      </x:c>
    </x:row>
    <x:row r="5167" ht="93" customHeight="1">
      <x:c r="A5167" s="19" t="n">
        <x:v>5164</x:v>
      </x:c>
      <x:c r="B5167" s="22" t="e">
        <x:f>HYPERLINK("https://cdn.shopify.com/s/files/1/0918/6066/4603/files/O1CN01KF8Orh1HlX6D6daIG__2545140798-0-cib.jpg?v=1776569044","Open")</x:f>
        <x:v>HYPERLINK is not implemented. linkLocation=https://cdn.shopify.com/s/files/1/0918/6066/4603/files/O1CN01KF8Orh1HlX6D6daIG__2545140798-0-cib.jpg?v=1776569044, friendlyName=Open</x:v>
      </x:c>
      <x:c r="C5167" s="24" t="e">
        <x:f>HYPERLINK("https://365nails.com/products/365nails-lily-of-the-valley-romance-nail-art-stickers","365nails: ""Lily of the Valley Romance"" – nail art stickers")</x:f>
        <x:v>HYPERLINK is not implemented. linkLocation=https://365nails.com/products/365nails-lily-of-the-valley-romance-nail-art-stickers, friendlyName=365nails: "Lily of the Valley Romance" – nail art stickers</x:v>
      </x:c>
      <x:c r="D5167" s="18" t="str">
        <x:v>Specification type: To4916-relief</x:v>
      </x:c>
      <x:c r="E5167" s="25" t="str">
        <x:v>$1.23</x:v>
      </x:c>
      <x:c r="F5167" s="19" t="str">
        <x:v>5</x:v>
      </x:c>
    </x:row>
    <x:row r="5168" ht="93" customHeight="1">
      <x:c r="A5168" s="19" t="n">
        <x:v>5165</x:v>
      </x:c>
      <x:c r="B5168" s="22" t="e">
        <x:f>HYPERLINK("https://cdn.shopify.com/s/files/1/0918/6066/4603/files/fef5602c75ceeb69f0ac4d26a3931fa9.jpg?v=1771388456","Open")</x:f>
        <x:v>HYPERLINK is not implemented. linkLocation=https://cdn.shopify.com/s/files/1/0918/6066/4603/files/fef5602c75ceeb69f0ac4d26a3931fa9.jpg?v=1771388456, friendlyName=Open</x:v>
      </x:c>
      <x:c r="C5168" s="24" t="e">
        <x:f>HYPERLINK("https://365nails.com/products/shattered-jade-femme-fatale-collection","Femme Fatale: ""Shattered Jade"" – Dusty Sage Green Jelly Base with Crushed Silver Foil &amp; Distressed Texture Long Stiletto Nails")</x:f>
        <x:v>HYPERLINK is not implemented. linkLocation=https://365nails.com/products/shattered-jade-femme-fatale-collection, friendlyName=Femme Fatale: "Shattered Jade" – Dusty Sage Green Jelly Base with Crushed Silver Foil &amp; Distressed Texture Long Stiletto Nails</x:v>
      </x:c>
      <x:c r="D5168" s="18" t="str">
        <x:v>Size: XS / S / M / L</x:v>
      </x:c>
      <x:c r="E5168" s="25" t="str">
        <x:v>$3.99</x:v>
      </x:c>
      <x:c r="F5168" s="19" t="str">
        <x:v>5</x:v>
      </x:c>
    </x:row>
    <x:row r="5169" ht="93" customHeight="1">
      <x:c r="A5169" s="19" t="n">
        <x:v>5166</x:v>
      </x:c>
      <x:c r="B5169" s="22" t="e">
        <x:f>HYPERLINK("https://cdn.shopify.com/s/files/1/0918/6066/4603/files/02ea45c9e3747a9bc491fbbc69643125.jpg?v=1771411273","Open")</x:f>
        <x:v>HYPERLINK is not implemented. linkLocation=https://cdn.shopify.com/s/files/1/0918/6066/4603/files/02ea45c9e3747a9bc491fbbc69643125.jpg?v=1771411273, friendlyName=Open</x:v>
      </x:c>
      <x:c r="C5169" s="24" t="e">
        <x:f>HYPERLINK("https://365nails.com/products/misty-lilac-dreams-ethereal-ink-series","""Misty Lilac Dreams"" – Smokey Purple Cat Eye &amp; Milky Marble with Silver Chrome Rim Almond Nails")</x:f>
        <x:v>HYPERLINK is not implemented. linkLocation=https://365nails.com/products/misty-lilac-dreams-ethereal-ink-series, friendlyName="Misty Lilac Dreams" – Smokey Purple Cat Eye &amp; Milky Marble with Silver Chrome Rim Almond Nails</x:v>
      </x:c>
      <x:c r="D5169" s="18" t="str">
        <x:v>Size: XS / S / M / L</x:v>
      </x:c>
      <x:c r="E5169" s="25" t="str">
        <x:v>$3.99</x:v>
      </x:c>
      <x:c r="F5169" s="19" t="str">
        <x:v>30</x:v>
      </x:c>
    </x:row>
    <x:row r="5170" ht="93" customHeight="1">
      <x:c r="A5170" s="19" t="n">
        <x:v>5167</x:v>
      </x:c>
      <x:c r="B5170" s="22" t="e">
        <x:f>HYPERLINK("https://cdn.shopify.com/s/files/1/0918/6066/4603/files/O1CN01ikr7fk1HlX9dvTJca__2545140798-0-cib.jpg?v=1776574520","Open")</x:f>
        <x:v>HYPERLINK is not implemented. linkLocation=https://cdn.shopify.com/s/files/1/0918/6066/4603/files/O1CN01ikr7fk1HlX9dvTJca__2545140798-0-cib.jpg?v=1776574520, friendlyName=Open</x:v>
      </x:c>
      <x:c r="C5170" s="24" t="e">
        <x:f>HYPERLINK("https://365nails.com/products/365nails-disney-mickey-christmas-nail-art-stickers","365nails: ""Disney Mickey Christmas"" – nail art stickers")</x:f>
        <x:v>HYPERLINK is not implemented. linkLocation=https://365nails.com/products/365nails-disney-mickey-christmas-nail-art-stickers, friendlyName=365nails: "Disney Mickey Christmas" – nail art stickers</x:v>
      </x:c>
      <x:c r="D5170" s="18" t="str">
        <x:v>Specification type: Td027m-relief</x:v>
      </x:c>
      <x:c r="E5170" s="25" t="str">
        <x:v>$0.87</x:v>
      </x:c>
      <x:c r="F5170" s="19" t="str">
        <x:v>5</x:v>
      </x:c>
    </x:row>
    <x:row r="5171" ht="93" customHeight="1">
      <x:c r="A5171" s="19" t="n">
        <x:v>5168</x:v>
      </x:c>
      <x:c r="B5171" s="22" t="e">
        <x:f>HYPERLINK("https://cdn.shopify.com/s/files/1/0918/6066/4603/files/O1CN01F3kEkU1HlX5P0mdKh__2545140798-0-cib.jpg?v=1776566709","Open")</x:f>
        <x:v>HYPERLINK is not implemented. linkLocation=https://cdn.shopify.com/s/files/1/0918/6066/4603/files/O1CN01F3kEkU1HlX5P0mdKh__2545140798-0-cib.jpg?v=1776566709, friendlyName=Open</x:v>
      </x:c>
      <x:c r="C5171" s="24" t="e">
        <x:f>HYPERLINK("https://365nails.com/products/365nails-blue-tone-cute-animal-friends-nail-art-stickers","365nails: ""Blue Tone Cute Animal Friends"" – nail art stickers")</x:f>
        <x:v>HYPERLINK is not implemented. linkLocation=https://365nails.com/products/365nails-blue-tone-cute-animal-friends-nail-art-stickers, friendlyName=365nails: "Blue Tone Cute Animal Friends" – nail art stickers</x:v>
      </x:c>
      <x:c r="D5171" s="18" t="str">
        <x:v>Specification type: To4844</x:v>
      </x:c>
      <x:c r="E5171" s="25" t="str">
        <x:v>$1.09</x:v>
      </x:c>
      <x:c r="F5171" s="19" t="str">
        <x:v>5</x:v>
      </x:c>
    </x:row>
    <x:row r="5172" ht="93" customHeight="1">
      <x:c r="A5172" s="19" t="n">
        <x:v>5169</x:v>
      </x:c>
      <x:c r="B5172" s="22" t="e">
        <x:f>HYPERLINK("https://cdn.shopify.com/s/files/1/0918/6066/4603/files/6575cc21045e01571dc4a8e373fc3722.jpg?v=1771464739","Open")</x:f>
        <x:v>HYPERLINK is not implemented. linkLocation=https://cdn.shopify.com/s/files/1/0918/6066/4603/files/6575cc21045e01571dc4a8e373fc3722.jpg?v=1771464739, friendlyName=Open</x:v>
      </x:c>
      <x:c r="C5172" s="24" t="e">
        <x:f>HYPERLINK("https://365nails.com/products/tropical-aurora-reef-sculpted-flora-series","Sculpted Flora: ""Tropical Aurora Reef"" – 3D Blue-Purple Flower with Multi-Color Cat Eye &amp; Water Droplets Coffin Nails")</x:f>
        <x:v>HYPERLINK is not implemented. linkLocation=https://365nails.com/products/tropical-aurora-reef-sculpted-flora-series, friendlyName=Sculpted Flora: "Tropical Aurora Reef" – 3D Blue-Purple Flower with Multi-Color Cat Eye &amp; Water Droplets Coffin Nails</x:v>
      </x:c>
      <x:c r="D5172" s="18" t="str">
        <x:v>Size: XS / S / M</x:v>
      </x:c>
      <x:c r="E5172" s="25" t="str">
        <x:v>$3.99</x:v>
      </x:c>
      <x:c r="F5172" s="19" t="str">
        <x:v>5</x:v>
      </x:c>
    </x:row>
    <x:row r="5173" ht="93" customHeight="1">
      <x:c r="A5173" s="19" t="n">
        <x:v>5170</x:v>
      </x:c>
      <x:c r="B5173" s="22" t="e">
        <x:f>HYPERLINK("https://cdn.shopify.com/s/files/1/0918/6066/4603/files/O1CN01QS5TUf1HlX4sGWt2Q__2545140798-0-cib.jpg?v=1776524178","Open")</x:f>
        <x:v>HYPERLINK is not implemented. linkLocation=https://cdn.shopify.com/s/files/1/0918/6066/4603/files/O1CN01QS5TUf1HlX4sGWt2Q__2545140798-0-cib.jpg?v=1776524178, friendlyName=Open</x:v>
      </x:c>
      <x:c r="C5173" s="24" t="e">
        <x:f>HYPERLINK("https://365nails.com/products/365nails-gothic-vintage-black-rose-nail-art-stickers","365nails: ""Gothic Vintage Black Rose"" – nail art stickers")</x:f>
        <x:v>HYPERLINK is not implemented. linkLocation=https://365nails.com/products/365nails-gothic-vintage-black-rose-nail-art-stickers, friendlyName=365nails: "Gothic Vintage Black Rose" – nail art stickers</x:v>
      </x:c>
      <x:c r="D5173" s="18" t="str">
        <x:v>Specification type: Ms744-crystal diamond</x:v>
      </x:c>
      <x:c r="E5173" s="25" t="str">
        <x:v>$1.30</x:v>
      </x:c>
      <x:c r="F5173" s="19" t="str">
        <x:v>5</x:v>
      </x:c>
    </x:row>
    <x:row r="5174" ht="93" customHeight="1">
      <x:c r="A5174" s="19" t="n">
        <x:v>5171</x:v>
      </x:c>
      <x:c r="B5174" s="22" t="e">
        <x:f>HYPERLINK("https://cdn.shopify.com/s/files/1/0918/6066/4603/files/O1CN01gVJ3i31HlX16i3iZx__2545140798-0-cib_7ada1653-00f4-45d0-802f-b50cebcc3e27.jpg?v=1775400047","Open")</x:f>
        <x:v>HYPERLINK is not implemented. linkLocation=https://cdn.shopify.com/s/files/1/0918/6066/4603/files/O1CN01gVJ3i31HlX16i3iZx__2545140798-0-cib_7ada1653-00f4-45d0-802f-b50cebcc3e27.jpg?v=1775400047, friendlyName=Open</x:v>
      </x:c>
      <x:c r="C5174" s="24" t="e">
        <x:f>HYPERLINK("https://365nails.com/products/365nails-tranquil-bamboo-poetry-oriental-nail-stickers","365nails: ""Tranquil Bamboo Poetry"" – Oriental Nail Stickers")</x:f>
        <x:v>HYPERLINK is not implemented. linkLocation=https://365nails.com/products/365nails-tranquil-bamboo-poetry-oriental-nail-stickers, friendlyName=365nails: "Tranquil Bamboo Poetry" – Oriental Nail Stickers</x:v>
      </x:c>
      <x:c r="D5174" s="18" t="str">
        <x:v>Specification type: To4001-relief</x:v>
      </x:c>
      <x:c r="E5174" s="25" t="str">
        <x:v>$1.23</x:v>
      </x:c>
      <x:c r="F5174" s="19" t="str">
        <x:v>5</x:v>
      </x:c>
    </x:row>
    <x:row r="5175" ht="93" customHeight="1">
      <x:c r="A5175" s="19" t="n">
        <x:v>5172</x:v>
      </x:c>
      <x:c r="B5175" s="22" t="e">
        <x:f>HYPERLINK("https://cdn.shopify.com/s/files/1/0918/6066/4603/files/O1CN01c5sspm1HlX37BmRV0__2545140798-0-cib_a260b3bc-6369-4f79-b76f-cad46e2a74b3.jpg?v=1776565402","Open")</x:f>
        <x:v>HYPERLINK is not implemented. linkLocation=https://cdn.shopify.com/s/files/1/0918/6066/4603/files/O1CN01c5sspm1HlX37BmRV0__2545140798-0-cib_a260b3bc-6369-4f79-b76f-cad46e2a74b3.jpg?v=1776565402, friendlyName=Open</x:v>
      </x:c>
      <x:c r="C5175" s="24" t="e">
        <x:f>HYPERLINK("https://365nails.com/products/365nails-mini-crystal-christmas-nail-art-stickers","365nails: ""Mini Crystal Christmas"" – nail art stickers")</x:f>
        <x:v>HYPERLINK is not implemented. linkLocation=https://365nails.com/products/365nails-mini-crystal-christmas-nail-art-stickers, friendlyName=365nails: "Mini Crystal Christmas" – nail art stickers</x:v>
      </x:c>
      <x:c r="D5175" s="18" t="str">
        <x:v>Specification type: To4434-crystal diamond / To4438-crystal diamond / To4439-crystal diamond</x:v>
      </x:c>
      <x:c r="E5175" s="25" t="str">
        <x:v>$1.30</x:v>
      </x:c>
      <x:c r="F5175" s="19" t="str">
        <x:v>5</x:v>
      </x:c>
    </x:row>
    <x:row r="5176" ht="93" customHeight="1">
      <x:c r="A5176" s="19" t="n">
        <x:v>5173</x:v>
      </x:c>
      <x:c r="B5176" s="22" t="e">
        <x:f>HYPERLINK("https://cdn.shopify.com/s/files/1/0918/6066/4603/files/7d911e216130cbe96bfd3f684e998881.jpg?v=1771411184","Open")</x:f>
        <x:v>HYPERLINK is not implemented. linkLocation=https://cdn.shopify.com/s/files/1/0918/6066/4603/files/7d911e216130cbe96bfd3f684e998881.jpg?v=1771411184, friendlyName=Open</x:v>
      </x:c>
      <x:c r="C5176" s="24" t="e">
        <x:f>HYPERLINK("https://365nails.com/products/coastal-azure-sand-ethereal-ink-series","""Coastal Azure Sand"" – Teal Blue &amp; Beige Ocean Marble with Champagne Cat Eye &amp; Gold Foil Oval Nails")</x:f>
        <x:v>HYPERLINK is not implemented. linkLocation=https://365nails.com/products/coastal-azure-sand-ethereal-ink-series, friendlyName="Coastal Azure Sand" – Teal Blue &amp; Beige Ocean Marble with Champagne Cat Eye &amp; Gold Foil Oval Nails</x:v>
      </x:c>
      <x:c r="D5176" s="18" t="str">
        <x:v>Size: XS / S / M / L</x:v>
      </x:c>
      <x:c r="E5176" s="25" t="str">
        <x:v>$3.99</x:v>
      </x:c>
      <x:c r="F5176" s="19" t="str">
        <x:v>30</x:v>
      </x:c>
    </x:row>
    <x:row r="5177" ht="93" customHeight="1">
      <x:c r="A5177" s="19" t="n">
        <x:v>5174</x:v>
      </x:c>
      <x:c r="B5177" s="22" t="e">
        <x:f>HYPERLINK("https://cdn.shopify.com/s/files/1/0918/6066/4603/files/O1CN01jqRq8U1HlX4X8f1lo__2545140798-0-cib.jpg?v=1776523811","Open")</x:f>
        <x:v>HYPERLINK is not implemented. linkLocation=https://cdn.shopify.com/s/files/1/0918/6066/4603/files/O1CN01jqRq8U1HlX4X8f1lo__2545140798-0-cib.jpg?v=1776523811, friendlyName=Open</x:v>
      </x:c>
      <x:c r="C5177" s="24" t="e">
        <x:f>HYPERLINK("https://365nails.com/products/365nails-cute-auspicious-snake-nail-art-stickers","365nails: ""Cute Auspicious Snake"" – nail art stickers")</x:f>
        <x:v>HYPERLINK is not implemented. linkLocation=https://365nails.com/products/365nails-cute-auspicious-snake-nail-art-stickers, friendlyName=365nails: "Cute Auspicious Snake" – nail art stickers</x:v>
      </x:c>
      <x:c r="D5177" s="18" t="str">
        <x:v>Specification type: To4697-relief / To4705-relief</x:v>
      </x:c>
      <x:c r="E5177" s="25" t="str">
        <x:v>$1.23</x:v>
      </x:c>
      <x:c r="F5177" s="19" t="str">
        <x:v>5</x:v>
      </x:c>
    </x:row>
    <x:row r="5178" ht="93" customHeight="1">
      <x:c r="A5178" s="19" t="n">
        <x:v>5175</x:v>
      </x:c>
      <x:c r="B5178" s="22" t="e">
        <x:f>HYPERLINK("https://cdn.shopify.com/s/files/1/0918/6066/4603/files/O1CN016w0bij1HlX0UhHuo5__2545140798-0-cib_c73d12e8-9401-445e-bcd8-8967b389e612.jpg?v=1775399883","Open")</x:f>
        <x:v>HYPERLINK is not implemented. linkLocation=https://cdn.shopify.com/s/files/1/0918/6066/4603/files/O1CN016w0bij1HlX0UhHuo5__2545140798-0-cib_c73d12e8-9401-445e-bcd8-8967b389e612.jpg?v=1775399883, friendlyName=Open</x:v>
      </x:c>
      <x:c r="C5178" s="24" t="e">
        <x:f>HYPERLINK("https://365nails.com/products/365nails-subtle-bamboo-poetry-oriental-nail-stickers","365nails: ""Subtle Bamboo Poetry"" – Oriental Nail Stickers")</x:f>
        <x:v>HYPERLINK is not implemented. linkLocation=https://365nails.com/products/365nails-subtle-bamboo-poetry-oriental-nail-stickers, friendlyName=365nails: "Subtle Bamboo Poetry" – Oriental Nail Stickers</x:v>
      </x:c>
      <x:c r="D5178" s="18" t="str">
        <x:v>Specification type: To3938-platinum / To3938-mint gold / To3938-green gold / To3938-ming gold / To3938-ming zijin / To3938-mist blue gold</x:v>
      </x:c>
      <x:c r="E5178" s="25" t="str">
        <x:v>$1.23</x:v>
      </x:c>
      <x:c r="F5178" s="19" t="str">
        <x:v>5</x:v>
      </x:c>
    </x:row>
    <x:row r="5179" ht="93" customHeight="1">
      <x:c r="A5179" s="19" t="n">
        <x:v>5176</x:v>
      </x:c>
      <x:c r="B5179" s="22" t="e">
        <x:f>HYPERLINK("https://cdn.shopify.com/s/files/1/0918/6066/4603/files/O1CN01486Y441HlX1N2k52I__2545140798-0-cib.jpg?v=1776506330","Open")</x:f>
        <x:v>HYPERLINK is not implemented. linkLocation=https://cdn.shopify.com/s/files/1/0918/6066/4603/files/O1CN01486Y441HlX1N2k52I__2545140798-0-cib.jpg?v=1776506330, friendlyName=Open</x:v>
      </x:c>
      <x:c r="C5179" s="24" t="e">
        <x:f>HYPERLINK("https://365nails.com/products/365nails-ink-wash-mountain-cloud-nail-art-stickers","365nails: ""Ink Wash Mountain &amp; Cloud"" – nail art stickers")</x:f>
        <x:v>HYPERLINK is not implemented. linkLocation=https://365nails.com/products/365nails-ink-wash-mountain-cloud-nail-art-stickers, friendlyName=365nails: "Ink Wash Mountain &amp; Cloud" – nail art stickers</x:v>
      </x:c>
      <x:c r="D5179" s="18" t="str">
        <x:v>Specification type: Ms 627 / To3996</x:v>
      </x:c>
      <x:c r="E5179" s="25" t="str">
        <x:v>$1.09</x:v>
      </x:c>
      <x:c r="F5179" s="19" t="str">
        <x:v>5</x:v>
      </x:c>
    </x:row>
    <x:row r="5180" ht="93" customHeight="1">
      <x:c r="A5180" s="19" t="n">
        <x:v>5177</x:v>
      </x:c>
      <x:c r="B5180" s="22" t="e">
        <x:f>HYPERLINK("https://cdn.shopify.com/s/files/1/0918/6066/4603/files/384f962b981dc622165d56d26f59bdeb.jpg?v=1771412796","Open")</x:f>
        <x:v>HYPERLINK is not implemented. linkLocation=https://cdn.shopify.com/s/files/1/0918/6066/4603/files/384f962b981dc622165d56d26f59bdeb.jpg?v=1771412796, friendlyName=Open</x:v>
      </x:c>
      <x:c r="C5180" s="24" t="e">
        <x:f>HYPERLINK("https://365nails.com/products/gilded-olive-smoke-ethereal-ink-series","Ethereal Ink: ""Gilded Olive Smoke"" – Gunmetal Grey Cat Eye &amp; Amber Blue Marble with 3D Gold Chrome Rim Oval Nails")</x:f>
        <x:v>HYPERLINK is not implemented. linkLocation=https://365nails.com/products/gilded-olive-smoke-ethereal-ink-series, friendlyName=Ethereal Ink: "Gilded Olive Smoke" – Gunmetal Grey Cat Eye &amp; Amber Blue Marble with 3D Gold Chrome Rim Oval Nails</x:v>
      </x:c>
      <x:c r="D5180" s="18" t="str">
        <x:v>Size: XS / S / M / L</x:v>
      </x:c>
      <x:c r="E5180" s="25" t="str">
        <x:v>$3.99</x:v>
      </x:c>
      <x:c r="F5180" s="19" t="str">
        <x:v>30</x:v>
      </x:c>
    </x:row>
    <x:row r="5181" ht="93" customHeight="1">
      <x:c r="A5181" s="19" t="n">
        <x:v>5178</x:v>
      </x:c>
      <x:c r="B5181" s="22" t="e">
        <x:f>HYPERLINK("https://cdn.shopify.com/s/files/1/0918/6066/4603/files/9b34e8ae21e4cd1bc0b6854ccb2b1692.jpg?v=1772076659","Open")</x:f>
        <x:v>HYPERLINK is not implemented. linkLocation=https://cdn.shopify.com/s/files/1/0918/6066/4603/files/9b34e8ae21e4cd1bc0b6854ccb2b1692.jpg?v=1772076659, friendlyName=Open</x:v>
      </x:c>
      <x:c r="C5181" s="24" t="e">
        <x:f>HYPERLINK("https://365nails.com/products/tropical-sunset-tiger-sculpted-flora-series","Sculpted Flora: ""Tropical Sunset Tiger"" – 3D Yellow-Pink Floral &amp; Blue Ombre Animal Print Long Square Nails")</x:f>
        <x:v>HYPERLINK is not implemented. linkLocation=https://365nails.com/products/tropical-sunset-tiger-sculpted-flora-series, friendlyName=Sculpted Flora: "Tropical Sunset Tiger" – 3D Yellow-Pink Floral &amp; Blue Ombre Animal Print Long Square Nails</x:v>
      </x:c>
      <x:c r="D5181" s="18" t="str">
        <x:v>Size: XS / S / M / L</x:v>
      </x:c>
      <x:c r="E5181" s="25" t="str">
        <x:v>$3.99</x:v>
      </x:c>
      <x:c r="F5181" s="19" t="str">
        <x:v>5</x:v>
      </x:c>
    </x:row>
    <x:row r="5182" ht="93" customHeight="1">
      <x:c r="A5182" s="19" t="n">
        <x:v>5179</x:v>
      </x:c>
      <x:c r="B5182" s="22" t="e">
        <x:f>HYPERLINK("https://cdn.shopify.com/s/files/1/0918/6066/4603/files/O1CN01t6vEJK1HlX3C8m5ix__2545140798-0-cib.jpg?v=1776517599","Open")</x:f>
        <x:v>HYPERLINK is not implemented. linkLocation=https://cdn.shopify.com/s/files/1/0918/6066/4603/files/O1CN01t6vEJK1HlX3C8m5ix__2545140798-0-cib.jpg?v=1776517599, friendlyName=Open</x:v>
      </x:c>
      <x:c r="C5182" s="24" t="e">
        <x:f>HYPERLINK("https://365nails.com/products/365nails-iridescent-jelly-mermaid-tail-nail-art-stickers","365nails: ""Iridescent Jelly Mermaid Tail"" – nail art stickers")</x:f>
        <x:v>HYPERLINK is not implemented. linkLocation=https://365nails.com/products/365nails-iridescent-jelly-mermaid-tail-nail-art-stickers, friendlyName=365nails: "Iridescent Jelly Mermaid Tail" – nail art stickers</x:v>
      </x:c>
      <x:c r="D5182" s="18" t="str">
        <x:v>Specification type: Ms692-jelly / Ms693-jelly</x:v>
      </x:c>
      <x:c r="E5182" s="25" t="str">
        <x:v>$1.23</x:v>
      </x:c>
      <x:c r="F5182" s="19" t="str">
        <x:v>5</x:v>
      </x:c>
    </x:row>
    <x:row r="5183" ht="93" customHeight="1">
      <x:c r="A5183" s="19" t="n">
        <x:v>5180</x:v>
      </x:c>
      <x:c r="B5183" s="22" t="e">
        <x:f>HYPERLINK("https://cdn.shopify.com/s/files/1/0918/6066/4603/files/b850b64c1c52ca877c85cc057afe46ef.jpg?v=1772076448","Open")</x:f>
        <x:v>HYPERLINK is not implemented. linkLocation=https://cdn.shopify.com/s/files/1/0918/6066/4603/files/b850b64c1c52ca877c85cc057afe46ef.jpg?v=1772076448, friendlyName=Open</x:v>
      </x:c>
      <x:c r="C5183" s="24" t="e">
        <x:f>HYPERLINK("https://365nails.com/products/tropical-sunset-sculpted-flora-series","Sculpted Flora: ""Tropical Sunset"" – 3D Yellow-Pink Floral, Animal Print &amp; Textured Long Stiletto Nails")</x:f>
        <x:v>HYPERLINK is not implemented. linkLocation=https://365nails.com/products/tropical-sunset-sculpted-flora-series, friendlyName=Sculpted Flora: "Tropical Sunset" – 3D Yellow-Pink Floral, Animal Print &amp; Textured Long Stiletto Nails</x:v>
      </x:c>
      <x:c r="D5183" s="18" t="str">
        <x:v>Size: XS / S / M / L</x:v>
      </x:c>
      <x:c r="E5183" s="25" t="str">
        <x:v>$3.99</x:v>
      </x:c>
      <x:c r="F5183" s="19" t="str">
        <x:v>5</x:v>
      </x:c>
    </x:row>
    <x:row r="5184" ht="93" customHeight="1">
      <x:c r="A5184" s="19" t="n">
        <x:v>5181</x:v>
      </x:c>
      <x:c r="B5184" s="22" t="e">
        <x:f>HYPERLINK("https://cdn.shopify.com/s/files/1/0918/6066/4603/files/3ad024bb2b8aa5c859f371ec0bbcd6b3.jpg?v=1771391595","Open")</x:f>
        <x:v>HYPERLINK is not implemented. linkLocation=https://cdn.shopify.com/s/files/1/0918/6066/4603/files/3ad024bb2b8aa5c859f371ec0bbcd6b3.jpg?v=1771391595, friendlyName=Open</x:v>
      </x:c>
      <x:c r="C5184" s="24" t="e">
        <x:f>HYPERLINK("https://365nails.com/products/urban-scripture-femme-fatale-collection","Femme Fatale: ""Urban Scripture"" – Nude Pink Jelly Base with Black Ink Smudge &amp; Silver Gothic Lettering Long Stiletto Nails")</x:f>
        <x:v>HYPERLINK is not implemented. linkLocation=https://365nails.com/products/urban-scripture-femme-fatale-collection, friendlyName=Femme Fatale: "Urban Scripture" – Nude Pink Jelly Base with Black Ink Smudge &amp; Silver Gothic Lettering Long Stiletto Nails</x:v>
      </x:c>
      <x:c r="D5184" s="18" t="str">
        <x:v>Size: XS / S / M / L</x:v>
      </x:c>
      <x:c r="E5184" s="25" t="str">
        <x:v>$3.99</x:v>
      </x:c>
      <x:c r="F5184" s="19" t="str">
        <x:v>5</x:v>
      </x:c>
    </x:row>
    <x:row r="5185" ht="93" customHeight="1">
      <x:c r="A5185" s="19" t="n">
        <x:v>5182</x:v>
      </x:c>
      <x:c r="B5185" s="22" t="e">
        <x:f>HYPERLINK("https://cdn.shopify.com/s/files/1/0918/6066/4603/files/c13d9f2dce1b13e1690173f498a79d5a.jpg?v=1772074709","Open")</x:f>
        <x:v>HYPERLINK is not implemented. linkLocation=https://cdn.shopify.com/s/files/1/0918/6066/4603/files/c13d9f2dce1b13e1690173f498a79d5a.jpg?v=1772074709, friendlyName=Open</x:v>
      </x:c>
      <x:c r="C5185" s="24" t="e">
        <x:f>HYPERLINK("https://365nails.com/products/galactic-blossom-sculpted-flora-series","Sculpted Flora: ""Galactic Blossom"" – 3D Multicolor Floral &amp; Gold Beaded Dark Purple Long Stiletto Nails")</x:f>
        <x:v>HYPERLINK is not implemented. linkLocation=https://365nails.com/products/galactic-blossom-sculpted-flora-series, friendlyName=Sculpted Flora: "Galactic Blossom" – 3D Multicolor Floral &amp; Gold Beaded Dark Purple Long Stiletto Nails</x:v>
      </x:c>
      <x:c r="D5185" s="18" t="str">
        <x:v>Size: XS / S / M / L</x:v>
      </x:c>
      <x:c r="E5185" s="25" t="str">
        <x:v>$3.99</x:v>
      </x:c>
      <x:c r="F5185" s="19" t="str">
        <x:v>5</x:v>
      </x:c>
    </x:row>
    <x:row r="5186" ht="93" customHeight="1">
      <x:c r="A5186" s="19" t="n">
        <x:v>5183</x:v>
      </x:c>
      <x:c r="B5186" s="22" t="e">
        <x:f>HYPERLINK("https://cdn.shopify.com/s/files/1/0918/6066/4603/files/1c7118f09fe31e599614fd1050ae6101.jpg?v=1771391697","Open")</x:f>
        <x:v>HYPERLINK is not implemented. linkLocation=https://cdn.shopify.com/s/files/1/0918/6066/4603/files/1c7118f09fe31e599614fd1050ae6101.jpg?v=1771391697, friendlyName=Open</x:v>
      </x:c>
      <x:c r="C5186" s="24" t="e">
        <x:f>HYPERLINK("https://365nails.com/products/sepia-manuscript-femme-fatale-collection","Femme Fatale: ""Sepia Manuscript"" – Vintage Burnt Brown Airbrush with Blue Calligraphy Script Long Stiletto Nails")</x:f>
        <x:v>HYPERLINK is not implemented. linkLocation=https://365nails.com/products/sepia-manuscript-femme-fatale-collection, friendlyName=Femme Fatale: "Sepia Manuscript" – Vintage Burnt Brown Airbrush with Blue Calligraphy Script Long Stiletto Nails</x:v>
      </x:c>
      <x:c r="D5186" s="18" t="str">
        <x:v>Size: XS / S / M / L</x:v>
      </x:c>
      <x:c r="E5186" s="25" t="str">
        <x:v>$3.99</x:v>
      </x:c>
      <x:c r="F5186" s="19" t="str">
        <x:v>5</x:v>
      </x:c>
    </x:row>
    <x:row r="5187" ht="93" customHeight="1">
      <x:c r="A5187" s="19" t="n">
        <x:v>5184</x:v>
      </x:c>
      <x:c r="B5187" s="22" t="e">
        <x:f>HYPERLINK("https://cdn.shopify.com/s/files/1/0918/6066/4603/files/b45f66bf298b9d9a8ad7485ce28af58d.jpg?v=1771388384","Open")</x:f>
        <x:v>HYPERLINK is not implemented. linkLocation=https://cdn.shopify.com/s/files/1/0918/6066/4603/files/b45f66bf298b9d9a8ad7485ce28af58d.jpg?v=1771388384, friendlyName=Open</x:v>
      </x:c>
      <x:c r="C5187" s="24" t="e">
        <x:f>HYPERLINK("https://365nails.com/products/flesh-bone-femme-fatale-collection","Femme Fatale: ""Flesh &amp; Bone"" – Matte Dusty Pink Monochromatic 3D Texture Art, Liquid Swirls &amp; Flower Cross Long Stiletto Nails")</x:f>
        <x:v>HYPERLINK is not implemented. linkLocation=https://365nails.com/products/flesh-bone-femme-fatale-collection, friendlyName=Femme Fatale: "Flesh &amp; Bone" – Matte Dusty Pink Monochromatic 3D Texture Art, Liquid Swirls &amp; Flower Cross Long Stiletto Nails</x:v>
      </x:c>
      <x:c r="D5187" s="18" t="str">
        <x:v>Size: XS / S / M / L</x:v>
      </x:c>
      <x:c r="E5187" s="25" t="str">
        <x:v>$3.99</x:v>
      </x:c>
      <x:c r="F5187" s="19" t="str">
        <x:v>5</x:v>
      </x:c>
    </x:row>
    <x:row r="5188" ht="93" customHeight="1">
      <x:c r="A5188" s="19" t="n">
        <x:v>5185</x:v>
      </x:c>
      <x:c r="B5188" s="22" t="e">
        <x:f>HYPERLINK("https://cdn.shopify.com/s/files/1/0918/6066/4603/files/O1CN012FtLwl1HlX0ivHRpi__2545140798-0-cib_ec25e2cb-9e65-4811-9299-98a9f495ffca.jpg?v=1775399630","Open")</x:f>
        <x:v>HYPERLINK is not implemented. linkLocation=https://cdn.shopify.com/s/files/1/0918/6066/4603/files/O1CN012FtLwl1HlX0ivHRpi__2545140798-0-cib_ec25e2cb-9e65-4811-9299-98a9f495ffca.jpg?v=1775399630, friendlyName=Open</x:v>
      </x:c>
      <x:c r="C5188" s="24" t="e">
        <x:f>HYPERLINK("https://365nails.com/products/365nails-peony-qipao-charm-oriental-floral-nail-stickers","365nails: ""Peony Qipao Charm"" – Oriental Floral Nail Stickers")</x:f>
        <x:v>HYPERLINK is not implemented. linkLocation=https://365nails.com/products/365nails-peony-qipao-charm-oriental-floral-nail-stickers, friendlyName=365nails: "Peony Qipao Charm" – Oriental Floral Nail Stickers</x:v>
      </x:c>
      <x:c r="D5188" s="18" t="str">
        <x:v>Specification type: To3690-relief</x:v>
      </x:c>
      <x:c r="E5188" s="25" t="str">
        <x:v>$1.23</x:v>
      </x:c>
      <x:c r="F5188" s="19" t="str">
        <x:v>5</x:v>
      </x:c>
    </x:row>
    <x:row r="5189" ht="93" customHeight="1">
      <x:c r="A5189" s="19" t="n">
        <x:v>5186</x:v>
      </x:c>
      <x:c r="B5189" s="22" t="e">
        <x:f>HYPERLINK("https://cdn.shopify.com/s/files/1/0918/6066/4603/files/e7a32a50e0891cf56b9038fb6894f853.jpg?v=1771391872","Open")</x:f>
        <x:v>HYPERLINK is not implemented. linkLocation=https://cdn.shopify.com/s/files/1/0918/6066/4603/files/e7a32a50e0891cf56b9038fb6894f853.jpg?v=1771391872, friendlyName=Open</x:v>
      </x:c>
      <x:c r="C5189" s="24" t="e">
        <x:f>HYPERLINK("https://365nails.com/products/medusas-gaze-femme-fatale-collection","Femme Fatale: ""Medusa's Gaze"" – Realistic Grey Python Snake Skin Print with 3D Liquid Silver Chrome Vines Long Stiletto Nails")</x:f>
        <x:v>HYPERLINK is not implemented. linkLocation=https://365nails.com/products/medusas-gaze-femme-fatale-collection, friendlyName=Femme Fatale: "Medusa's Gaze" – Realistic Grey Python Snake Skin Print with 3D Liquid Silver Chrome Vines Long Stiletto Nails</x:v>
      </x:c>
      <x:c r="D5189" s="18" t="str">
        <x:v>Size: XS / S / M / L</x:v>
      </x:c>
      <x:c r="E5189" s="25" t="str">
        <x:v>$3.99</x:v>
      </x:c>
      <x:c r="F5189" s="19" t="str">
        <x:v>5</x:v>
      </x:c>
    </x:row>
    <x:row r="5190" ht="93" customHeight="1">
      <x:c r="A5190" s="19" t="n">
        <x:v>5187</x:v>
      </x:c>
      <x:c r="B5190" s="22" t="e">
        <x:f>HYPERLINK("https://cdn.shopify.com/s/files/1/0918/6066/4603/files/55952dffb19a0c2f2cb081750c454d3d.jpg?v=1772074155","Open")</x:f>
        <x:v>HYPERLINK is not implemented. linkLocation=https://cdn.shopify.com/s/files/1/0918/6066/4603/files/55952dffb19a0c2f2cb081750c454d3d.jpg?v=1772074155, friendlyName=Open</x:v>
      </x:c>
      <x:c r="C5190" s="24" t="e">
        <x:f>HYPERLINK("https://365nails.com/products/spring-dew-sculpted-flora-series","Sculpted Flora: ""Spring Dew"" – 3D Green Floral, Water Drops &amp; Abstract Starburst Long Stiletto Nails")</x:f>
        <x:v>HYPERLINK is not implemented. linkLocation=https://365nails.com/products/spring-dew-sculpted-flora-series, friendlyName=Sculpted Flora: "Spring Dew" – 3D Green Floral, Water Drops &amp; Abstract Starburst Long Stiletto Nails</x:v>
      </x:c>
      <x:c r="D5190" s="18" t="str">
        <x:v>Size: XS / S / M / L</x:v>
      </x:c>
      <x:c r="E5190" s="25" t="str">
        <x:v>$3.99</x:v>
      </x:c>
      <x:c r="F5190" s="19" t="str">
        <x:v>5</x:v>
      </x:c>
    </x:row>
    <x:row r="5191" ht="93" customHeight="1">
      <x:c r="A5191" s="19" t="n">
        <x:v>5188</x:v>
      </x:c>
      <x:c r="B5191" s="22" t="e">
        <x:f>HYPERLINK("https://cdn.shopify.com/s/files/1/0918/6066/4603/files/b590b2691b25c06bfd7afac0935abd1b.jpg?v=1772074086","Open")</x:f>
        <x:v>HYPERLINK is not implemented. linkLocation=https://cdn.shopify.com/s/files/1/0918/6066/4603/files/b590b2691b25c06bfd7afac0935abd1b.jpg?v=1772074086, friendlyName=Open</x:v>
      </x:c>
      <x:c r="C5191" s="24" t="e">
        <x:f>HYPERLINK("https://365nails.com/products/gothic-royalty-sculpted-flora-series","Sculpted Flora: ""Gothic Royalty"" – 3D Metallic Olive Floral &amp; Deep Red French Long Square Nails with Crystal Cross")</x:f>
        <x:v>HYPERLINK is not implemented. linkLocation=https://365nails.com/products/gothic-royalty-sculpted-flora-series, friendlyName=Sculpted Flora: "Gothic Royalty" – 3D Metallic Olive Floral &amp; Deep Red French Long Square Nails with Crystal Cross</x:v>
      </x:c>
      <x:c r="D5191" s="18" t="str">
        <x:v>Size: XS / S / M / L</x:v>
      </x:c>
      <x:c r="E5191" s="25" t="str">
        <x:v>$3.99</x:v>
      </x:c>
      <x:c r="F5191" s="19" t="str">
        <x:v>5</x:v>
      </x:c>
    </x:row>
    <x:row r="5192" ht="93" customHeight="1">
      <x:c r="A5192" s="19" t="n">
        <x:v>5189</x:v>
      </x:c>
      <x:c r="B5192" s="22" t="e">
        <x:f>HYPERLINK("https://cdn.shopify.com/s/files/1/0918/6066/4603/files/48c5d881d254e5bdcc693cd384917a13.jpg?v=1771466701","Open")</x:f>
        <x:v>HYPERLINK is not implemented. linkLocation=https://cdn.shopify.com/s/files/1/0918/6066/4603/files/48c5d881d254e5bdcc693cd384917a13.jpg?v=1771466701, friendlyName=Open</x:v>
      </x:c>
      <x:c r="C5192" s="24" t="e">
        <x:f>HYPERLINK("https://365nails.com/products/electric-violet-dream-sculpted-flora-series","Sculpted Flora: ""Electric Violet Dream"" – 3D Purple Flowers &amp; Pearl Stars on French Tips Nails")</x:f>
        <x:v>HYPERLINK is not implemented. linkLocation=https://365nails.com/products/electric-violet-dream-sculpted-flora-series, friendlyName=Sculpted Flora: "Electric Violet Dream" – 3D Purple Flowers &amp; Pearl Stars on French Tips Nails</x:v>
      </x:c>
      <x:c r="D5192" s="18" t="str">
        <x:v>Size: XS / S / M / L</x:v>
      </x:c>
      <x:c r="E5192" s="25" t="str">
        <x:v>$3.99</x:v>
      </x:c>
      <x:c r="F5192" s="19" t="str">
        <x:v>5</x:v>
      </x:c>
    </x:row>
    <x:row r="5193" ht="93" customHeight="1">
      <x:c r="A5193" s="19" t="n">
        <x:v>5190</x:v>
      </x:c>
      <x:c r="B5193" s="22" t="e">
        <x:f>HYPERLINK("https://cdn.shopify.com/s/files/1/0918/6066/4603/files/1a5ab935e618edfe379381437d135bd2.jpg?v=1771465320","Open")</x:f>
        <x:v>HYPERLINK is not implemented. linkLocation=https://cdn.shopify.com/s/files/1/0918/6066/4603/files/1a5ab935e618edfe379381437d135bd2.jpg?v=1771465320, friendlyName=Open</x:v>
      </x:c>
      <x:c r="C5193" s="24" t="e">
        <x:f>HYPERLINK("https://365nails.com/products/summer-picnic-mix-sculpted-flora-series","Sculpted Flora: ""Summer Picnic Mix"" – 3D Fruit (Cherry/Peach), Pastel Flowers &amp; Grape Jelly Graffiti Nails")</x:f>
        <x:v>HYPERLINK is not implemented. linkLocation=https://365nails.com/products/summer-picnic-mix-sculpted-flora-series, friendlyName=Sculpted Flora: "Summer Picnic Mix" – 3D Fruit (Cherry/Peach), Pastel Flowers &amp; Grape Jelly Graffiti Nails</x:v>
      </x:c>
      <x:c r="D5193" s="18" t="str">
        <x:v>Size: XS / S / M / L</x:v>
      </x:c>
      <x:c r="E5193" s="25" t="str">
        <x:v>$3.99</x:v>
      </x:c>
      <x:c r="F5193" s="19" t="str">
        <x:v>5</x:v>
      </x:c>
    </x:row>
    <x:row r="5194" ht="93" customHeight="1">
      <x:c r="A5194" s="19" t="n">
        <x:v>5191</x:v>
      </x:c>
      <x:c r="B5194" s="22" t="e">
        <x:f>HYPERLINK("https://cdn.shopify.com/s/files/1/0918/6066/4603/files/O1CN01A6BQlR1HlX3yP3HaI__2545140798-0-cib.jpg?v=1774623318","Open")</x:f>
        <x:v>HYPERLINK is not implemented. linkLocation=https://cdn.shopify.com/s/files/1/0918/6066/4603/files/O1CN01A6BQlR1HlX3yP3HaI__2545140798-0-cib.jpg?v=1774623318, friendlyName=Open</x:v>
      </x:c>
      <x:c r="C5194" s="24" t="e">
        <x:f>HYPERLINK("https://365nails.com/products/365nails-minimalist-bow-outline-handmade-press-on-nails","365nails: ""Minimalist Bow Outline"" – Nail Art Stickers")</x:f>
        <x:v>HYPERLINK is not implemented. linkLocation=https://365nails.com/products/365nails-minimalist-bow-outline-handmade-press-on-nails, friendlyName=365nails: "Minimalist Bow Outline" – Nail Art Stickers</x:v>
      </x:c>
      <x:c r="D5194" s="18" t="str">
        <x:v>Specification type: To4595 / Ta 371 / Ta 372</x:v>
      </x:c>
      <x:c r="E5194" s="25" t="str">
        <x:v>$1.09</x:v>
      </x:c>
      <x:c r="F5194" s="19" t="str">
        <x:v>5</x:v>
      </x:c>
    </x:row>
    <x:row r="5195" ht="93" customHeight="1">
      <x:c r="A5195" s="19" t="n">
        <x:v>5192</x:v>
      </x:c>
      <x:c r="B5195" s="22" t="e">
        <x:f>HYPERLINK("https://cdn.shopify.com/s/files/1/0918/6066/4603/files/O1CN01M7Wwsw1HlX3yvLQpX__2545140798-0-cib.jpg?v=1774361794","Open")</x:f>
        <x:v>HYPERLINK is not implemented. linkLocation=https://cdn.shopify.com/s/files/1/0918/6066/4603/files/O1CN01M7Wwsw1HlX3yvLQpX__2545140798-0-cib.jpg?v=1774361794, friendlyName=Open</x:v>
      </x:c>
      <x:c r="C5195" s="24" t="e">
        <x:f>HYPERLINK("https://365nails.com/products/365nails-mini-black-butterfly-embossed-set-handmade-press-on-nails","365nails: ""mini black butterfly embossed set"" – Nail Art Stickers")</x:f>
        <x:v>HYPERLINK is not implemented. linkLocation=https://365nails.com/products/365nails-mini-black-butterfly-embossed-set-handmade-press-on-nails, friendlyName=365nails: "mini black butterfly embossed set" – Nail Art Stickers</x:v>
      </x:c>
      <x:c r="D5195" s="18" t="str">
        <x:v>Specification type: To4375-1 / To4375</x:v>
      </x:c>
      <x:c r="E5195" s="25" t="str">
        <x:v>$1.09</x:v>
      </x:c>
      <x:c r="F5195" s="19" t="str">
        <x:v>5</x:v>
      </x:c>
    </x:row>
    <x:row r="5196" ht="93" customHeight="1">
      <x:c r="A5196" s="19" t="n">
        <x:v>5193</x:v>
      </x:c>
      <x:c r="B5196" s="22" t="e">
        <x:f>HYPERLINK("https://cdn.shopify.com/s/files/1/0918/6066/4603/files/ac9e55e45460ea54b43622bdd30887a5.jpg?v=1764322196","Open")</x:f>
        <x:v>HYPERLINK is not implemented. linkLocation=https://cdn.shopify.com/s/files/1/0918/6066/4603/files/ac9e55e45460ea54b43622bdd30887a5.jpg?v=1764322196, friendlyName=Open</x:v>
      </x:c>
      <x:c r="C5196" s="24" t="e">
        <x:f>HYPERLINK("https://365nails.com/products/gradient-translucent-red-wine-jelly-gel-pointed-dragon-nail-claw-nail","Gradient translucent red wine jelly gel pointed dragon nail claw nail")</x:f>
        <x:v>HYPERLINK is not implemented. linkLocation=https://365nails.com/products/gradient-translucent-red-wine-jelly-gel-pointed-dragon-nail-claw-nail, friendlyName=Gradient translucent red wine jelly gel pointed dragon nail claw nail</x:v>
      </x:c>
      <x:c r="D5196" s="18" t="str">
        <x:v>length: 40mm / 25mm; Size: XS / S / M / L</x:v>
      </x:c>
      <x:c r="E5196" s="25" t="str">
        <x:v>$6.99</x:v>
      </x:c>
      <x:c r="F5196" s="19" t="str">
        <x:v>1</x:v>
      </x:c>
    </x:row>
    <x:row r="5197" ht="93" customHeight="1">
      <x:c r="A5197" s="19" t="n">
        <x:v>5194</x:v>
      </x:c>
      <x:c r="B5197" s="22" t="e">
        <x:f>HYPERLINK("https://cdn.shopify.com/s/files/1/0918/6066/4603/files/O1CN01jFVGqi1HlX40GdQzl__2545140798-0-cib.jpg?v=1774623244","Open")</x:f>
        <x:v>HYPERLINK is not implemented. linkLocation=https://cdn.shopify.com/s/files/1/0918/6066/4603/files/O1CN01jFVGqi1HlX40GdQzl__2545140798-0-cib.jpg?v=1774623244, friendlyName=Open</x:v>
      </x:c>
      <x:c r="C5197" s="24" t="e">
        <x:f>HYPERLINK("https://365nails.com/products/365nails-pastel-argyle-geometric-handmade-press-on-nails","365nails: ""Pastel Argyle Geometric"" – Nail Art Stickers")</x:f>
        <x:v>HYPERLINK is not implemented. linkLocation=https://365nails.com/products/365nails-pastel-argyle-geometric-handmade-press-on-nails, friendlyName=365nails: "Pastel Argyle Geometric" – Nail Art Stickers</x:v>
      </x:c>
      <x:c r="D5197" s="18" t="str">
        <x:v>Specification type: To4575-new hot stamping / To4576-new hot stamping</x:v>
      </x:c>
      <x:c r="E5197" s="25" t="str">
        <x:v>$1.23</x:v>
      </x:c>
      <x:c r="F5197" s="19" t="str">
        <x:v>5</x:v>
      </x:c>
    </x:row>
    <x:row r="5198" ht="93" customHeight="1">
      <x:c r="A5198" s="19" t="n">
        <x:v>5195</x:v>
      </x:c>
      <x:c r="B5198" s="22" t="e">
        <x:f>HYPERLINK("https://cdn.shopify.com/s/files/1/0918/6066/4603/files/ed668ae66ac74642a642c026af657126.jpg?v=1764322298","Open")</x:f>
        <x:v>HYPERLINK is not implemented. linkLocation=https://cdn.shopify.com/s/files/1/0918/6066/4603/files/ed668ae66ac74642a642c026af657126.jpg?v=1764322298, friendlyName=Open</x:v>
      </x:c>
      <x:c r="C5198" s="24" t="e">
        <x:f>HYPERLINK("https://365nails.com/products/365nails-matte-black-stiletto-claw-dragon-nails","Matte Midnight Dragon Claw Stiletto Velvet Jet Black Handmade Dragon Nail")</x:f>
        <x:v>HYPERLINK is not implemented. linkLocation=https://365nails.com/products/365nails-matte-black-stiletto-claw-dragon-nails, friendlyName=Matte Midnight Dragon Claw Stiletto Velvet Jet Black Handmade Dragon Nail</x:v>
      </x:c>
      <x:c r="D5198" s="18" t="str">
        <x:v>Size: XS / S / M / L</x:v>
      </x:c>
      <x:c r="E5198" s="25" t="str">
        <x:v>$9.99</x:v>
      </x:c>
      <x:c r="F5198" s="19" t="str">
        <x:v>1</x:v>
      </x:c>
    </x:row>
    <x:row r="5199" ht="93" customHeight="1">
      <x:c r="A5199" s="19" t="n">
        <x:v>5196</x:v>
      </x:c>
      <x:c r="B5199" s="22" t="e">
        <x:f>HYPERLINK("https://cdn.shopify.com/s/files/1/0918/6066/4603/files/O1CN01cah5Uo1HlX6F11I11__2545140798-0-cib.jpg?v=1774676090","Open")</x:f>
        <x:v>HYPERLINK is not implemented. linkLocation=https://cdn.shopify.com/s/files/1/0918/6066/4603/files/O1CN01cah5Uo1HlX6F11I11__2545140798-0-cib.jpg?v=1774676090, friendlyName=Open</x:v>
      </x:c>
      <x:c r="C5199" s="24" t="e">
        <x:f>HYPERLINK("https://365nails.com/products/365nails-bridal-veil-french-tip-handmade-press-on-nails","365nails: ""Bridal Veil French Tip"" – Nail Art Stickers")</x:f>
        <x:v>HYPERLINK is not implemented. linkLocation=https://365nails.com/products/365nails-bridal-veil-french-tip-handmade-press-on-nails, friendlyName=365nails: "Bridal Veil French Tip" – Nail Art Stickers</x:v>
      </x:c>
      <x:c r="D5199" s="18" t="str">
        <x:v>Specification type: Ms 783 / Ms 784 / Ms 785 / Ms 786 / Ms 790</x:v>
      </x:c>
      <x:c r="E5199" s="25" t="str">
        <x:v>$1.09</x:v>
      </x:c>
      <x:c r="F5199" s="19" t="str">
        <x:v>5</x:v>
      </x:c>
    </x:row>
    <x:row r="5200" ht="93" customHeight="1">
      <x:c r="A5200" s="19" t="n">
        <x:v>5197</x:v>
      </x:c>
      <x:c r="B5200" s="22" t="e">
        <x:f>HYPERLINK("https://cdn.shopify.com/s/files/1/0918/6066/4603/files/O1CN01DaN6Ot1HlX4jRNfDG__2545140798-0-cib.jpg?v=1774674385","Open")</x:f>
        <x:v>HYPERLINK is not implemented. linkLocation=https://cdn.shopify.com/s/files/1/0918/6066/4603/files/O1CN01DaN6Ot1HlX4jRNfDG__2545140798-0-cib.jpg?v=1774674385, friendlyName=Open</x:v>
      </x:c>
      <x:c r="C5200" s="24" t="e">
        <x:f>HYPERLINK("https://365nails.com/products/365nails-vintage-gold-foil-argyle-geometric-handmade-press-on-nails","365nails: ""Vintage Gold Foil Argyle Geometric"" – Nail Art Stickers")</x:f>
        <x:v>HYPERLINK is not implemented. linkLocation=https://365nails.com/products/365nails-vintage-gold-foil-argyle-geometric-handmade-press-on-nails, friendlyName=365nails: "Vintage Gold Foil Argyle Geometric" – Nail Art Stickers</x:v>
      </x:c>
      <x:c r="D5200" s="18" t="str">
        <x:v>Specification type: Ta376-new hot stamping / Ta377-new hot stamping / Ta378-new hot stamping / Ta378-silver / Ta379-new hot stamping / Ta379-silver / Ta380-new hot stamping / Ta381-new hot stamping</x:v>
      </x:c>
      <x:c r="E5200" s="25" t="str">
        <x:v>$1.23</x:v>
      </x:c>
      <x:c r="F5200" s="19" t="str">
        <x:v>5</x:v>
      </x:c>
    </x:row>
    <x:row r="5201" ht="93" customHeight="1">
      <x:c r="A5201" s="19" t="n">
        <x:v>5198</x:v>
      </x:c>
      <x:c r="B5201" s="22" t="e">
        <x:f>HYPERLINK("https://cdn.shopify.com/s/files/1/0918/6066/4603/files/O1CN01XtYQfv1HlX2cqurdQ__2545140798-0-cib.jpg?v=1774670168","Open")</x:f>
        <x:v>HYPERLINK is not implemented. linkLocation=https://cdn.shopify.com/s/files/1/0918/6066/4603/files/O1CN01XtYQfv1HlX2cqurdQ__2545140798-0-cib.jpg?v=1774670168, friendlyName=Open</x:v>
      </x:c>
      <x:c r="C5201" s="24" t="e">
        <x:f>HYPERLINK("https://365nails.com/products/365nails-gold-metallic-butterfly-bubble-handmade-press-on-nails","365nails: ""Gold Metallic Butterfly Bubble"" – Nail Art Stickers")</x:f>
        <x:v>HYPERLINK is not implemented. linkLocation=https://365nails.com/products/365nails-gold-metallic-butterfly-bubble-handmade-press-on-nails, friendlyName=365nails: "Gold Metallic Butterfly Bubble" – Nail Art Stickers</x:v>
      </x:c>
      <x:c r="D5201" s="18" t="str">
        <x:v>Specification type: To4365-jelly / To4366-laser silver / To4366-new hot stamping / To4366-silver</x:v>
      </x:c>
      <x:c r="E5201" s="25" t="str">
        <x:v>$1.23</x:v>
      </x:c>
      <x:c r="F5201" s="19" t="str">
        <x:v>5</x:v>
      </x:c>
    </x:row>
    <x:row r="5202" ht="93" customHeight="1">
      <x:c r="A5202" s="19" t="n">
        <x:v>5199</x:v>
      </x:c>
      <x:c r="B5202" s="22" t="e">
        <x:f>HYPERLINK("https://cdn.shopify.com/s/files/1/0918/6066/4603/files/O1CN0153DTpi1HlX1ppgTSm__2545140798-0-cib.jpg?v=1774618462","Open")</x:f>
        <x:v>HYPERLINK is not implemented. linkLocation=https://cdn.shopify.com/s/files/1/0918/6066/4603/files/O1CN0153DTpi1HlX1ppgTSm__2545140798-0-cib.jpg?v=1774618462, friendlyName=Open</x:v>
      </x:c>
      <x:c r="C5202" s="24" t="e">
        <x:f>HYPERLINK("https://365nails.com/products/365nails-vintage-lace-aurora-gem-handmade-press-on-nails","365nails: ""Vintage Lace Aurora Gem"" – Nail Art Stickers")</x:f>
        <x:v>HYPERLINK is not implemented. linkLocation=https://365nails.com/products/365nails-vintage-lace-aurora-gem-handmade-press-on-nails, friendlyName=365nails: "Vintage Lace Aurora Gem" – Nail Art Stickers</x:v>
      </x:c>
      <x:c r="D5202" s="18" t="str">
        <x:v>Specification type: Ms638-jelly</x:v>
      </x:c>
      <x:c r="E5202" s="25" t="str">
        <x:v>$1.23</x:v>
      </x:c>
      <x:c r="F5202" s="19" t="str">
        <x:v>5</x:v>
      </x:c>
    </x:row>
    <x:row r="5203" ht="93" customHeight="1">
      <x:c r="A5203" s="19" t="n">
        <x:v>5200</x:v>
      </x:c>
      <x:c r="B5203" s="22" t="e">
        <x:f>HYPERLINK("https://cdn.shopify.com/s/files/1/0918/6066/4603/files/O1CN01XcdPMh1HlX8FG4qSO__2545140798-0-cib_9d38e16e-ad5e-4f8d-930b-60992ea3593f.jpg?v=1774358456","Open")</x:f>
        <x:v>HYPERLINK is not implemented. linkLocation=https://cdn.shopify.com/s/files/1/0918/6066/4603/files/O1CN01XcdPMh1HlX8FG4qSO__2545140798-0-cib_9d38e16e-ad5e-4f8d-930b-60992ea3593f.jpg?v=1774358456, friendlyName=Open</x:v>
      </x:c>
      <x:c r="C5203" s="24" t="e">
        <x:f>HYPERLINK("https://365nails.com/products/365nails-abstract-black-line-embossed-set-handmade-press-on-nails","365nails: ""abstract black line embossed set"" – Nail Art Stickers")</x:f>
        <x:v>HYPERLINK is not implemented. linkLocation=https://365nails.com/products/365nails-abstract-black-line-embossed-set-handmade-press-on-nails, friendlyName=365nails: "abstract black line embossed set" – Nail Art Stickers</x:v>
      </x:c>
      <x:c r="D5203" s="18" t="str">
        <x:v>Specification type: To5200 / To5201 / To5202</x:v>
      </x:c>
      <x:c r="E5203" s="25" t="str">
        <x:v>$1.09</x:v>
      </x:c>
      <x:c r="F5203" s="19" t="str">
        <x:v>5</x:v>
      </x:c>
    </x:row>
    <x:row r="5204" ht="93" customHeight="1">
      <x:c r="A5204" s="19" t="n">
        <x:v>5201</x:v>
      </x:c>
      <x:c r="B5204" s="22" t="e">
        <x:f>HYPERLINK("https://cdn.shopify.com/s/files/1/0918/6066/4603/files/O1CN01DTTcjP1HlWxNJRvU4__2545140798-0-cib.jpg?v=1774621876","Open")</x:f>
        <x:v>HYPERLINK is not implemented. linkLocation=https://cdn.shopify.com/s/files/1/0918/6066/4603/files/O1CN01DTTcjP1HlWxNJRvU4__2545140798-0-cib.jpg?v=1774621876, friendlyName=Open</x:v>
      </x:c>
      <x:c r="C5204" s="24" t="e">
        <x:f>HYPERLINK("https://365nails.com/products/365nails-abstract-graffiti-handwriting-handmade-press-on-nails","365nails: ""Abstract Graffiti Handwriting"" – Nail Art Stickers")</x:f>
        <x:v>HYPERLINK is not implemented. linkLocation=https://365nails.com/products/365nails-abstract-graffiti-handwriting-handmade-press-on-nails, friendlyName=365nails: "Abstract Graffiti Handwriting" – Nail Art Stickers</x:v>
      </x:c>
      <x:c r="D5204" s="18" t="str">
        <x:v>Specification type: Ms 472 / Ms 473 / Ms 474 / Ms 479</x:v>
      </x:c>
      <x:c r="E5204" s="25" t="str">
        <x:v>$1.09</x:v>
      </x:c>
      <x:c r="F5204" s="19" t="str">
        <x:v>5</x:v>
      </x:c>
    </x:row>
    <x:row r="5205" ht="93" customHeight="1">
      <x:c r="A5205" s="19" t="n">
        <x:v>5202</x:v>
      </x:c>
      <x:c r="B5205" s="22" t="e">
        <x:f>HYPERLINK("https://cdn.shopify.com/s/files/1/0918/6066/4603/files/O1CN01oimTLK1HlX4klvUzK__2545140798-0-cib.jpg?v=1774674330","Open")</x:f>
        <x:v>HYPERLINK is not implemented. linkLocation=https://cdn.shopify.com/s/files/1/0918/6066/4603/files/O1CN01oimTLK1HlX4klvUzK__2545140798-0-cib.jpg?v=1774674330, friendlyName=Open</x:v>
      </x:c>
      <x:c r="C5205" s="24" t="e">
        <x:f>HYPERLINK("https://365nails.com/products/365nails-red-plum-blossom-with-pearl-handmade-press-on-nails","365nails: ""Red Plum Blossom with Pearl"" – Nail Art Stickers")</x:f>
        <x:v>HYPERLINK is not implemented. linkLocation=https://365nails.com/products/365nails-red-plum-blossom-with-pearl-handmade-press-on-nails, friendlyName=365nails: "Red Plum Blossom with Pearl" – Nail Art Stickers</x:v>
      </x:c>
      <x:c r="D5205" s="18" t="str">
        <x:v>Specification type: Ms741-crystal diamond / Ms742-crystal diamond / Ms743-crystal diamond</x:v>
      </x:c>
      <x:c r="E5205" s="25" t="str">
        <x:v>$1.30</x:v>
      </x:c>
      <x:c r="F5205" s="19" t="str">
        <x:v>5</x:v>
      </x:c>
    </x:row>
    <x:row r="5206" ht="93" customHeight="1">
      <x:c r="A5206" s="19" t="n">
        <x:v>5203</x:v>
      </x:c>
      <x:c r="B5206" s="22" t="e">
        <x:f>HYPERLINK("https://cdn.shopify.com/s/files/1/0918/6066/4603/files/O1CN0164Ph8J1HlX1blCxvp__2545140798-0-cib.jpg?v=1774360849","Open")</x:f>
        <x:v>HYPERLINK is not implemented. linkLocation=https://cdn.shopify.com/s/files/1/0918/6066/4603/files/O1CN0164Ph8J1HlX1blCxvp__2545140798-0-cib.jpg?v=1774360849, friendlyName=Open</x:v>
      </x:c>
      <x:c r="C5206" s="24" t="e">
        <x:f>HYPERLINK("https://365nails.com/products/365nails-mini-white-five-petal-flower-embossed-set-handmade-press-on-nails","365nails: ""mini white five-petal flower embossed set"" – Nail Art Stickers")</x:f>
        <x:v>HYPERLINK is not implemented. linkLocation=https://365nails.com/products/365nails-mini-white-five-petal-flower-embossed-set-handmade-press-on-nails, friendlyName=365nails: "mini white five-petal flower embossed set" – Nail Art Stickers</x:v>
      </x:c>
      <x:c r="D5206" s="18" t="str">
        <x:v>Specification type: To4160-relief / To4161-relief</x:v>
      </x:c>
      <x:c r="E5206" s="25" t="str">
        <x:v>$1.23</x:v>
      </x:c>
      <x:c r="F5206" s="19" t="str">
        <x:v>5</x:v>
      </x:c>
    </x:row>
    <x:row r="5207" ht="93" customHeight="1">
      <x:c r="A5207" s="19" t="n">
        <x:v>5204</x:v>
      </x:c>
      <x:c r="B5207" s="22" t="e">
        <x:f>HYPERLINK("https://cdn.shopify.com/s/files/1/0918/6066/4603/files/O1CN01PiUng21HlWqowEAo1__2545140798-0-cib_ba17e910-16d8-4cba-9f7d-bd9846324817.jpg?v=1774621393","Open")</x:f>
        <x:v>HYPERLINK is not implemented. linkLocation=https://cdn.shopify.com/s/files/1/0918/6066/4603/files/O1CN01PiUng21HlWqowEAo1__2545140798-0-cib_ba17e910-16d8-4cba-9f7d-bd9846324817.jpg?v=1774621393, friendlyName=Open</x:v>
      </x:c>
      <x:c r="C5207" s="24" t="e">
        <x:f>HYPERLINK("https://365nails.com/products/365nails-vivienne-westwood-orb-saturn-handmade-press-on-nails","365nails: ""Vivienne Westwood Orb &amp; Saturn"" – Nail Art Stickers")</x:f>
        <x:v>HYPERLINK is not implemented. linkLocation=https://365nails.com/products/365nails-vivienne-westwood-orb-saturn-handmade-press-on-nails, friendlyName=365nails: "Vivienne Westwood Orb &amp; Saturn" – Nail Art Stickers</x:v>
      </x:c>
      <x:c r="D5207" s="18" t="str">
        <x:v>Specification type: To2474-relief / To2475-thin tough</x:v>
      </x:c>
      <x:c r="E5207" s="25" t="str">
        <x:v>$1.23</x:v>
      </x:c>
      <x:c r="F5207" s="19" t="str">
        <x:v>5</x:v>
      </x:c>
    </x:row>
    <x:row r="5208" ht="93" customHeight="1">
      <x:c r="A5208" s="19" t="n">
        <x:v>5205</x:v>
      </x:c>
      <x:c r="B5208" s="22" t="e">
        <x:f>HYPERLINK("https://cdn.shopify.com/s/files/1/0918/6066/4603/files/O1CN01rxW6Gv1HlX2H6S7zB__2545140798-0-cib.jpg?v=1774689048","Open")</x:f>
        <x:v>HYPERLINK is not implemented. linkLocation=https://cdn.shopify.com/s/files/1/0918/6066/4603/files/O1CN01rxW6Gv1HlX2H6S7zB__2545140798-0-cib.jpg?v=1774689048, friendlyName=Open</x:v>
      </x:c>
      <x:c r="C5208" s="24" t="e">
        <x:f>HYPERLINK("https://365nails.com/products/365nails-dainty-pink-wildflower-handmade-press-on-nails","365nails: ""Dainty Pink Wildflower"" – Nail Art Stickers")</x:f>
        <x:v>HYPERLINK is not implemented. linkLocation=https://365nails.com/products/365nails-dainty-pink-wildflower-handmade-press-on-nails, friendlyName=365nails: "Dainty Pink Wildflower" – Nail Art Stickers</x:v>
      </x:c>
      <x:c r="D5208" s="18" t="str">
        <x:v>Specification type: To4271-relief / To4276-relief</x:v>
      </x:c>
      <x:c r="E5208" s="25" t="str">
        <x:v>$1.23</x:v>
      </x:c>
      <x:c r="F5208" s="19" t="str">
        <x:v>5</x:v>
      </x:c>
    </x:row>
    <x:row r="5209" ht="93" customHeight="1">
      <x:c r="A5209" s="19" t="n">
        <x:v>5206</x:v>
      </x:c>
      <x:c r="B5209" s="22" t="e">
        <x:f>HYPERLINK("https://cdn.shopify.com/s/files/1/0918/6066/4603/files/O1CN01jiGMEM1HlX12URLGq__2545140798-0-cib.jpg?v=1774612082","Open")</x:f>
        <x:v>HYPERLINK is not implemented. linkLocation=https://cdn.shopify.com/s/files/1/0918/6066/4603/files/O1CN01jiGMEM1HlX12URLGq__2545140798-0-cib.jpg?v=1774612082, friendlyName=Open</x:v>
      </x:c>
      <x:c r="C5209" s="24" t="e">
        <x:f>HYPERLINK("https://365nails.com/products/365nails-white-starburst-line-art-handmade-press-on-nails","365nails: ""white starburst line art"" – Nail Art Stickers")</x:f>
        <x:v>HYPERLINK is not implemented. linkLocation=https://365nails.com/products/365nails-white-starburst-line-art-handmade-press-on-nails, friendlyName=365nails: "white starburst line art" – Nail Art Stickers</x:v>
      </x:c>
      <x:c r="D5209" s="18" t="str">
        <x:v>Specification type: To4008</x:v>
      </x:c>
      <x:c r="E5209" s="25" t="str">
        <x:v>$1.09</x:v>
      </x:c>
      <x:c r="F5209" s="19" t="str">
        <x:v>5</x:v>
      </x:c>
    </x:row>
    <x:row r="5210" ht="93" customHeight="1">
      <x:c r="A5210" s="19" t="n">
        <x:v>5207</x:v>
      </x:c>
      <x:c r="B5210" s="22" t="e">
        <x:f>HYPERLINK("https://cdn.shopify.com/s/files/1/0918/6066/4603/files/O1CN01LZ7Hw41HlWnCMse8i__2545140798-0-cib_fb09906a-fc09-4440-bbe9-89cd1cb53ad7.jpg?v=1774621270","Open")</x:f>
        <x:v>HYPERLINK is not implemented. linkLocation=https://cdn.shopify.com/s/files/1/0918/6066/4603/files/O1CN01LZ7Hw41HlWnCMse8i__2545140798-0-cib_fb09906a-fc09-4440-bbe9-89cd1cb53ad7.jpg?v=1774621270, friendlyName=Open</x:v>
      </x:c>
      <x:c r="C5210" s="24" t="e">
        <x:f>HYPERLINK("https://365nails.com/products/365nails-pastel-macaron-heart-handmade-press-on-nails","365nails: ""Pastel Macaron Heart"" – Nail Art Stickers")</x:f>
        <x:v>HYPERLINK is not implemented. linkLocation=https://365nails.com/products/365nails-pastel-macaron-heart-handmade-press-on-nails, friendlyName=365nails: "Pastel Macaron Heart" – Nail Art Stickers</x:v>
      </x:c>
      <x:c r="D5210" s="18" t="str">
        <x:v>Specification type: To1124 / To1129</x:v>
      </x:c>
      <x:c r="E5210" s="25" t="str">
        <x:v>$1.23</x:v>
      </x:c>
      <x:c r="F5210" s="19" t="str">
        <x:v>5</x:v>
      </x:c>
    </x:row>
    <x:row r="5211" ht="93" customHeight="1">
      <x:c r="A5211" s="19" t="n">
        <x:v>5208</x:v>
      </x:c>
      <x:c r="B5211" s="22" t="e">
        <x:f>HYPERLINK("https://cdn.shopify.com/s/files/1/0918/6066/4603/files/O1CN01Uy8RCD1HlX0VbDoKu__2545140798-0-cib.jpg?v=1774604320","Open")</x:f>
        <x:v>HYPERLINK is not implemented. linkLocation=https://cdn.shopify.com/s/files/1/0918/6066/4603/files/O1CN01Uy8RCD1HlX0VbDoKu__2545140798-0-cib.jpg?v=1774604320, friendlyName=Open</x:v>
      </x:c>
      <x:c r="C5211" s="24" t="e">
        <x:f>HYPERLINK("https://365nails.com/products/365nails-holographic-tribal-butterfly-handmade-press-on-nails","365nails: ""holographic tribal butterfly"" – Nail Art Stickers")</x:f>
        <x:v>HYPERLINK is not implemented. linkLocation=https://365nails.com/products/365nails-holographic-tribal-butterfly-handmade-press-on-nails, friendlyName=365nails: "holographic tribal butterfly" – Nail Art Stickers</x:v>
      </x:c>
      <x:c r="D5211" s="18" t="str">
        <x:v>Specification type: Ta312-shell light / Ta313-shell light / Ta314-shell light</x:v>
      </x:c>
      <x:c r="E5211" s="25" t="str">
        <x:v>$1.23</x:v>
      </x:c>
      <x:c r="F5211" s="19" t="str">
        <x:v>5</x:v>
      </x:c>
    </x:row>
    <x:row r="5212" ht="93" customHeight="1">
      <x:c r="A5212" s="19" t="n">
        <x:v>5209</x:v>
      </x:c>
      <x:c r="B5212" s="22" t="e">
        <x:f>HYPERLINK("https://cdn.shopify.com/s/files/1/0918/6066/4603/files/O1CN01WV3H851HlWjneB9L3__2545140798-0-cib_f20f3fa3-f807-4ecb-aabf-381d22a8f7cb.jpg?v=1774361989","Open")</x:f>
        <x:v>HYPERLINK is not implemented. linkLocation=https://cdn.shopify.com/s/files/1/0918/6066/4603/files/O1CN01WV3H851HlWjneB9L3__2545140798-0-cib_f20f3fa3-f807-4ecb-aabf-381d22a8f7cb.jpg?v=1774361989, friendlyName=Open</x:v>
      </x:c>
      <x:c r="C5212" s="24" t="e">
        <x:f>HYPERLINK("https://365nails.com/products/365nails-bohemian-mandala-embossed-set-handmade-press-on-nails","365nails: ""bohemian mandala embossed set"" – Nail Art Stickers")</x:f>
        <x:v>HYPERLINK is not implemented. linkLocation=https://365nails.com/products/365nails-bohemian-mandala-embossed-set-handmade-press-on-nails, friendlyName=365nails: "bohemian mandala embossed set" – Nail Art Stickers</x:v>
      </x:c>
      <x:c r="D5212" s="18" t="str">
        <x:v>Specification type: L01 relief</x:v>
      </x:c>
      <x:c r="E5212" s="25" t="str">
        <x:v>$1.23</x:v>
      </x:c>
      <x:c r="F5212" s="19" t="str">
        <x:v>5</x:v>
      </x:c>
    </x:row>
    <x:row r="5213" ht="93" customHeight="1">
      <x:c r="A5213" s="19" t="n">
        <x:v>5210</x:v>
      </x:c>
      <x:c r="B5213" s="22" t="e">
        <x:f>HYPERLINK("https://cdn.shopify.com/s/files/1/0918/6066/4603/files/4779cd0d603893bb7590c828ac616f4c.jpg?v=1771471595","Open")</x:f>
        <x:v>HYPERLINK is not implemented. linkLocation=https://cdn.shopify.com/s/files/1/0918/6066/4603/files/4779cd0d603893bb7590c828ac616f4c.jpg?v=1771471595, friendlyName=Open</x:v>
      </x:c>
      <x:c r="C5213" s="24" t="e">
        <x:f>HYPERLINK("https://365nails.com/products/liquid-gold-tigress-sculpted-flora-series","Sculpted Flora: ""Liquid Gold Tigress"" – 3D Orange Flower, Tiger Print French &amp; Metallic Gold Water Drop Nails")</x:f>
        <x:v>HYPERLINK is not implemented. linkLocation=https://365nails.com/products/liquid-gold-tigress-sculpted-flora-series, friendlyName=Sculpted Flora: "Liquid Gold Tigress" – 3D Orange Flower, Tiger Print French &amp; Metallic Gold Water Drop Nails</x:v>
      </x:c>
      <x:c r="D5213" s="18" t="str">
        <x:v>Size: XS / S / M / L</x:v>
      </x:c>
      <x:c r="E5213" s="25" t="str">
        <x:v>$3.99</x:v>
      </x:c>
      <x:c r="F5213" s="19" t="str">
        <x:v>5</x:v>
      </x:c>
    </x:row>
    <x:row r="5214" ht="93" customHeight="1">
      <x:c r="A5214" s="19" t="n">
        <x:v>5211</x:v>
      </x:c>
      <x:c r="B5214" s="22" t="e">
        <x:f>HYPERLINK("https://cdn.shopify.com/s/files/1/0918/6066/4603/files/O1CN01lqg9yg1HlX5V5oHiB__2545140798-0-cib.jpg?v=1774674690","Open")</x:f>
        <x:v>HYPERLINK is not implemented. linkLocation=https://cdn.shopify.com/s/files/1/0918/6066/4603/files/O1CN01lqg9yg1HlX5V5oHiB__2545140798-0-cib.jpg?v=1774674690, friendlyName=Open</x:v>
      </x:c>
      <x:c r="C5214" s="24" t="e">
        <x:f>HYPERLINK("https://365nails.com/products/365nails-holographic-red-bow-handmade-press-on-nails","365nails: ""Holographic Red Bow"" – Nail Art Stickers")</x:f>
        <x:v>HYPERLINK is not implemented. linkLocation=https://365nails.com/products/365nails-holographic-red-bow-handmade-press-on-nails, friendlyName=365nails: "Holographic Red Bow" – Nail Art Stickers</x:v>
      </x:c>
      <x:c r="D5214" s="18" t="str">
        <x:v>Specification type: To4860-relief</x:v>
      </x:c>
      <x:c r="E5214" s="25" t="str">
        <x:v>$1.23</x:v>
      </x:c>
      <x:c r="F5214" s="19" t="str">
        <x:v>5</x:v>
      </x:c>
    </x:row>
    <x:row r="5215" ht="93" customHeight="1">
      <x:c r="A5215" s="19" t="n">
        <x:v>5212</x:v>
      </x:c>
      <x:c r="B5215" s="22" t="e">
        <x:f>HYPERLINK("https://cdn.shopify.com/s/files/1/0918/6066/4603/files/O1CN01Sg4qg51HlX1ditHmk__2545140798-0-cib.jpg?v=1774618243","Open")</x:f>
        <x:v>HYPERLINK is not implemented. linkLocation=https://cdn.shopify.com/s/files/1/0918/6066/4603/files/O1CN01Sg4qg51HlX1ditHmk__2545140798-0-cib.jpg?v=1774618243, friendlyName=Open</x:v>
      </x:c>
      <x:c r="C5215" s="24" t="e">
        <x:f>HYPERLINK("https://365nails.com/products/365nails-holographic-gothic-old-english-numbers-handmade-press-on-nails","365nails: ""Holographic Gothic Old English Numbers"" – Nail Art Stickers")</x:f>
        <x:v>HYPERLINK is not implemented. linkLocation=https://365nails.com/products/365nails-holographic-gothic-old-english-numbers-handmade-press-on-nails, friendlyName=365nails: "Holographic Gothic Old English Numbers" – Nail Art Stickers</x:v>
      </x:c>
      <x:c r="D5215" s="18" t="str">
        <x:v>Specification type: To4176-laser powder / To4176-laser silver / To4176-new hot stamping / To4176-silver / To4177 / To4178</x:v>
      </x:c>
      <x:c r="E5215" s="25" t="str">
        <x:v>$1.09</x:v>
      </x:c>
      <x:c r="F5215" s="19" t="str">
        <x:v>5</x:v>
      </x:c>
    </x:row>
    <x:row r="5216" ht="93" customHeight="1">
      <x:c r="A5216" s="19" t="n">
        <x:v>5213</x:v>
      </x:c>
      <x:c r="B5216" s="22" t="e">
        <x:f>HYPERLINK("https://cdn.shopify.com/s/files/1/0918/6066/4603/files/O1CN01gNp30B1HlX99UBYz9__2545140798-0-cib_517f862d-da80-4ef9-a81c-b359c88900ce.jpg?v=1774358533","Open")</x:f>
        <x:v>HYPERLINK is not implemented. linkLocation=https://cdn.shopify.com/s/files/1/0918/6066/4603/files/O1CN01gNp30B1HlX99UBYz9__2545140798-0-cib_517f862d-da80-4ef9-a81c-b359c88900ce.jpg?v=1774358533, friendlyName=Open</x:v>
      </x:c>
      <x:c r="C5216" s="24" t="e">
        <x:f>HYPERLINK("https://365nails.com/products/365nails-golden-bamboo-embossed-set-handmade-press-on-nails","365nails: ""golden bamboo embossed set"" – Nail Art Stickers")</x:f>
        <x:v>HYPERLINK is not implemented. linkLocation=https://365nails.com/products/365nails-golden-bamboo-embossed-set-handmade-press-on-nails, friendlyName=365nails: "golden bamboo embossed set" – Nail Art Stickers</x:v>
      </x:c>
      <x:c r="D5216" s="18" t="str">
        <x:v>Specification type: To5308-metal</x:v>
      </x:c>
      <x:c r="E5216" s="25" t="str">
        <x:v>$1.23</x:v>
      </x:c>
      <x:c r="F5216" s="19" t="str">
        <x:v>5</x:v>
      </x:c>
    </x:row>
    <x:row r="5217" ht="93" customHeight="1">
      <x:c r="A5217" s="19" t="n">
        <x:v>5214</x:v>
      </x:c>
      <x:c r="B5217" s="22" t="e">
        <x:f>HYPERLINK("https://cdn.shopify.com/s/files/1/0918/6066/4603/files/O1CN01m5QUNd1HlWjdsvEIM__2545140798-0-cib.jpg?v=1774880332","Open")</x:f>
        <x:v>HYPERLINK is not implemented. linkLocation=https://cdn.shopify.com/s/files/1/0918/6066/4603/files/O1CN01m5QUNd1HlWjdsvEIM__2545140798-0-cib.jpg?v=1774880332, friendlyName=Open</x:v>
      </x:c>
      <x:c r="C5217" s="24" t="e">
        <x:f>HYPERLINK("https://365nails.com/products/365nails-dreamy-pastel-star-sparkle-handmade-press-on-nails","365nails: ""Dreamy Pastel Star Sparkle"" – Nail Art Stickers")</x:f>
        <x:v>HYPERLINK is not implemented. linkLocation=https://365nails.com/products/365nails-dreamy-pastel-star-sparkle-handmade-press-on-nails, friendlyName=365nails: "Dreamy Pastel Star Sparkle" – Nail Art Stickers</x:v>
      </x:c>
      <x:c r="D5217" s="18" t="str">
        <x:v>Specification type: Tomon485 / Tomon493</x:v>
      </x:c>
      <x:c r="E5217" s="25" t="str">
        <x:v>$1.09</x:v>
      </x:c>
      <x:c r="F5217" s="19" t="str">
        <x:v>5</x:v>
      </x:c>
    </x:row>
    <x:row r="5218" ht="93" customHeight="1">
      <x:c r="A5218" s="19" t="n">
        <x:v>5215</x:v>
      </x:c>
      <x:c r="B5218" s="22" t="e">
        <x:f>HYPERLINK("https://cdn.shopify.com/s/files/1/0918/6066/4603/files/O1CN01WgcGUu1HlX8xpEhy0__2545140798-0-cib.jpg?v=1774795869","Open")</x:f>
        <x:v>HYPERLINK is not implemented. linkLocation=https://cdn.shopify.com/s/files/1/0918/6066/4603/files/O1CN01WgcGUu1HlX8xpEhy0__2545140798-0-cib.jpg?v=1774795869, friendlyName=Open</x:v>
      </x:c>
      <x:c r="C5218" s="24" t="e">
        <x:f>HYPERLINK("https://365nails.com/products/365nails-clear-embossed-lily-flower-handmade-press-on-nails","365nails: ""Clear Embossed Lily Flower"" – Nail Art Stickers")</x:f>
        <x:v>HYPERLINK is not implemented. linkLocation=https://365nails.com/products/365nails-clear-embossed-lily-flower-handmade-press-on-nails, friendlyName=365nails: "Clear Embossed Lily Flower" – Nail Art Stickers</x:v>
      </x:c>
      <x:c r="D5218" s="18" t="str">
        <x:v>Specification type: Ms848-relief / Ms849-relief</x:v>
      </x:c>
      <x:c r="E5218" s="25" t="str">
        <x:v>$1.23</x:v>
      </x:c>
      <x:c r="F5218" s="19" t="str">
        <x:v>5</x:v>
      </x:c>
    </x:row>
    <x:row r="5219" ht="93" customHeight="1">
      <x:c r="A5219" s="19" t="n">
        <x:v>5216</x:v>
      </x:c>
      <x:c r="B5219" s="22" t="e">
        <x:f>HYPERLINK("https://cdn.shopify.com/s/files/1/0918/6066/4603/files/O1CN01JaBPXO1HlX66uOaUp__2545140798-0-cib.jpg?v=1774794120","Open")</x:f>
        <x:v>HYPERLINK is not implemented. linkLocation=https://cdn.shopify.com/s/files/1/0918/6066/4603/files/O1CN01JaBPXO1HlX66uOaUp__2545140798-0-cib.jpg?v=1774794120, friendlyName=Open</x:v>
      </x:c>
      <x:c r="C5219" s="24" t="e">
        <x:f>HYPERLINK("https://365nails.com/products/365nails-cute-cat-moving-diary-handmade-press-on-nails","365nails: ""Cute Cat Moving Diary"" – Nail Art Stickers")</x:f>
        <x:v>HYPERLINK is not implemented. linkLocation=https://365nails.com/products/365nails-cute-cat-moving-diary-handmade-press-on-nails, friendlyName=365nails: "Cute Cat Moving Diary" – Nail Art Stickers</x:v>
      </x:c>
      <x:c r="D5219" s="18" t="str">
        <x:v>Specification type: To4863 / To4970</x:v>
      </x:c>
      <x:c r="E5219" s="25" t="str">
        <x:v>$1.09</x:v>
      </x:c>
      <x:c r="F5219" s="19" t="str">
        <x:v>5</x:v>
      </x:c>
    </x:row>
    <x:row r="5220" ht="93" customHeight="1">
      <x:c r="A5220" s="19" t="n">
        <x:v>5217</x:v>
      </x:c>
      <x:c r="B5220" s="22" t="e">
        <x:f>HYPERLINK("https://cdn.shopify.com/s/files/1/0918/6066/4603/files/O1CN016aJ2H31HlWnsWtG5c__2545140798-0-cib_90e8b848-0fa4-4ede-9d45-97e4364de337.jpg?v=1774362345","Open")</x:f>
        <x:v>HYPERLINK is not implemented. linkLocation=https://cdn.shopify.com/s/files/1/0918/6066/4603/files/O1CN016aJ2H31HlWnsWtG5c__2545140798-0-cib_90e8b848-0fa4-4ede-9d45-97e4364de337.jpg?v=1774362345, friendlyName=Open</x:v>
      </x:c>
      <x:c r="C5220" s="24" t="e">
        <x:f>HYPERLINK("https://365nails.com/products/365nails-white-jellyfish-dream-embossed-set-handmade-press-on-nails","365nails: ""white jellyfish dream embossed set"" – Nail Art Stickers")</x:f>
        <x:v>HYPERLINK is not implemented. linkLocation=https://365nails.com/products/365nails-white-jellyfish-dream-embossed-set-handmade-press-on-nails, friendlyName=365nails: "white jellyfish dream embossed set" – Nail Art Stickers</x:v>
      </x:c>
      <x:c r="D5220" s="18" t="str">
        <x:v>Specification type: To1362</x:v>
      </x:c>
      <x:c r="E5220" s="25" t="str">
        <x:v>$1.09</x:v>
      </x:c>
      <x:c r="F5220" s="19" t="str">
        <x:v>5</x:v>
      </x:c>
    </x:row>
    <x:row r="5221" ht="93" customHeight="1">
      <x:c r="A5221" s="19" t="n">
        <x:v>5218</x:v>
      </x:c>
      <x:c r="B5221" s="22" t="e">
        <x:f>HYPERLINK("https://cdn.shopify.com/s/files/1/0918/6066/4603/files/O1CN01nUxWbT1HlX6YcvKaS__2545140798-0-cib.jpg?v=1774688700","Open")</x:f>
        <x:v>HYPERLINK is not implemented. linkLocation=https://cdn.shopify.com/s/files/1/0918/6066/4603/files/O1CN01nUxWbT1HlX6YcvKaS__2545140798-0-cib.jpg?v=1774688700, friendlyName=Open</x:v>
      </x:c>
      <x:c r="C5221" s="24" t="e">
        <x:f>HYPERLINK("https://365nails.com/products/365nails-vintage-baroque-lace-filigree-handmade-press-on-nails","365nails: ""Vintage Baroque Lace Filigree"" – Nail Art Stickers")</x:f>
        <x:v>HYPERLINK is not implemented. linkLocation=https://365nails.com/products/365nails-vintage-baroque-lace-filigree-handmade-press-on-nails, friendlyName=365nails: "Vintage Baroque Lace Filigree" – Nail Art Stickers</x:v>
      </x:c>
      <x:c r="D5221" s="18" t="str">
        <x:v>Specification type: To3683-relief / To3684-rose gold / To3684-new hot stamping / To3684-silver</x:v>
      </x:c>
      <x:c r="E5221" s="25" t="str">
        <x:v>$1.23</x:v>
      </x:c>
      <x:c r="F5221" s="19" t="str">
        <x:v>5</x:v>
      </x:c>
    </x:row>
    <x:row r="5222" ht="93" customHeight="1">
      <x:c r="A5222" s="19" t="n">
        <x:v>5219</x:v>
      </x:c>
      <x:c r="B5222" s="22" t="e">
        <x:f>HYPERLINK("https://cdn.shopify.com/s/files/1/0918/6066/4603/files/O1CN01tIzcL91HlX3AJsVM5__2545140798-0-cib.jpg?v=1774622850","Open")</x:f>
        <x:v>HYPERLINK is not implemented. linkLocation=https://cdn.shopify.com/s/files/1/0918/6066/4603/files/O1CN01tIzcL91HlX3AJsVM5__2545140798-0-cib.jpg?v=1774622850, friendlyName=Open</x:v>
      </x:c>
      <x:c r="C5222" s="24" t="e">
        <x:f>HYPERLINK("https://365nails.com/products/365nails-hello-kitty-kawaii-handmade-press-on-nails","365nails: ""Hello Kitty Kawaii"" – Nail Art Stickers")</x:f>
        <x:v>HYPERLINK is not implemented. linkLocation=https://365nails.com/products/365nails-hello-kitty-kawaii-handmade-press-on-nails, friendlyName=365nails: "Hello Kitty Kawaii" – Nail Art Stickers</x:v>
      </x:c>
      <x:c r="D5222" s="18" t="str">
        <x:v>Specification type: Mn015-relief / Mn030-shell light / Mn031-relief</x:v>
      </x:c>
      <x:c r="E5222" s="25" t="str">
        <x:v>$1.23</x:v>
      </x:c>
      <x:c r="F5222" s="19" t="str">
        <x:v>5</x:v>
      </x:c>
    </x:row>
    <x:row r="5223" ht="93" customHeight="1">
      <x:c r="A5223" s="19" t="n">
        <x:v>5220</x:v>
      </x:c>
      <x:c r="B5223" s="22" t="e">
        <x:f>HYPERLINK("https://cdn.shopify.com/s/files/1/0918/6066/4603/files/O1CN01gmHSPV1HlXAu5E2ML__2545140798-0-cib_50d42a33-b781-4625-bbe5-5f66a8ee3f67.jpg?v=1774361863","Open")</x:f>
        <x:v>HYPERLINK is not implemented. linkLocation=https://cdn.shopify.com/s/files/1/0918/6066/4603/files/O1CN01gmHSPV1HlXAu5E2ML__2545140798-0-cib_50d42a33-b781-4625-bbe5-5f66a8ee3f67.jpg?v=1774361863, friendlyName=Open</x:v>
      </x:c>
      <x:c r="C5223" s="24" t="e">
        <x:f>HYPERLINK("https://365nails.com/products/365nails-white-lace-floral-embossed-set-handmade-press-on-nails","365nails: ""white lace floral embossed set"" – Nail Art Stickers")</x:f>
        <x:v>HYPERLINK is not implemented. linkLocation=https://365nails.com/products/365nails-white-lace-floral-embossed-set-handmade-press-on-nails, friendlyName=365nails: "white lace floral embossed set" – Nail Art Stickers</x:v>
      </x:c>
      <x:c r="D5223" s="18" t="str">
        <x:v>Specification type: To5558-glitter</x:v>
      </x:c>
      <x:c r="E5223" s="25" t="str">
        <x:v>$1.23</x:v>
      </x:c>
      <x:c r="F5223" s="19" t="str">
        <x:v>5</x:v>
      </x:c>
    </x:row>
    <x:row r="5224" ht="93" customHeight="1">
      <x:c r="A5224" s="19" t="n">
        <x:v>5221</x:v>
      </x:c>
      <x:c r="B5224" s="22" t="e">
        <x:f>HYPERLINK("https://cdn.shopify.com/s/files/1/0918/6066/4603/files/O1CN01xfS9NZ1HlX6q0DW2H__2545140798-0-cib.jpg?v=1774794701","Open")</x:f>
        <x:v>HYPERLINK is not implemented. linkLocation=https://cdn.shopify.com/s/files/1/0918/6066/4603/files/O1CN01xfS9NZ1HlX6q0DW2H__2545140798-0-cib.jpg?v=1774794701, friendlyName=Open</x:v>
      </x:c>
      <x:c r="C5224" s="24" t="e">
        <x:f>HYPERLINK("https://365nails.com/products/365nails-pearlescent-white-daisy-handmade-press-on-nails","365nails: ""Pearlescent White Daisy"" – Nail Art Stickers")</x:f>
        <x:v>HYPERLINK is not implemented. linkLocation=https://365nails.com/products/365nails-pearlescent-white-daisy-handmade-press-on-nails, friendlyName=365nails: "Pearlescent White Daisy" – Nail Art Stickers</x:v>
      </x:c>
      <x:c r="D5224" s="18" t="str">
        <x:v>Specification type: Ms807-jelly / Ms808-jelly</x:v>
      </x:c>
      <x:c r="E5224" s="25" t="str">
        <x:v>$1.23</x:v>
      </x:c>
      <x:c r="F5224" s="19" t="str">
        <x:v>5</x:v>
      </x:c>
    </x:row>
    <x:row r="5225" ht="93" customHeight="1">
      <x:c r="A5225" s="19" t="n">
        <x:v>5222</x:v>
      </x:c>
      <x:c r="B5225" s="22" t="e">
        <x:f>HYPERLINK("https://cdn.shopify.com/s/files/1/0918/6066/4603/files/O1CN01ftPg2T1HlX2FUMlmB__2545140798-0-cib.jpg?v=1774622587","Open")</x:f>
        <x:v>HYPERLINK is not implemented. linkLocation=https://cdn.shopify.com/s/files/1/0918/6066/4603/files/O1CN01ftPg2T1HlX2FUMlmB__2545140798-0-cib.jpg?v=1774622587, friendlyName=Open</x:v>
      </x:c>
      <x:c r="C5225" s="24" t="e">
        <x:f>HYPERLINK("https://365nails.com/products/365nails-miiiichan-sweet-bakery-bear-handmade-press-on-nails","365nails: ""miiiichan Sweet Bakery Bear"" – Nail Art Stickers")</x:f>
        <x:v>HYPERLINK is not implemented. linkLocation=https://365nails.com/products/365nails-miiiichan-sweet-bakery-bear-handmade-press-on-nails, friendlyName=365nails: "miiiichan Sweet Bakery Bear" – Nail Art Stickers</x:v>
      </x:c>
      <x:c r="D5225" s="18" t="str">
        <x:v>Specification type: Mc 37 / Mc 39</x:v>
      </x:c>
      <x:c r="E5225" s="25" t="str">
        <x:v>$1.16</x:v>
      </x:c>
      <x:c r="F5225" s="19" t="str">
        <x:v>5</x:v>
      </x:c>
    </x:row>
    <x:row r="5226" ht="93" customHeight="1">
      <x:c r="A5226" s="19" t="n">
        <x:v>5223</x:v>
      </x:c>
      <x:c r="B5226" s="22" t="e">
        <x:f>HYPERLINK("https://cdn.shopify.com/s/files/1/0918/6066/4603/files/O1CN015Z6YqF1HlX8OunhXx__2545140798-0-cib.jpg?v=1774796219","Open")</x:f>
        <x:v>HYPERLINK is not implemented. linkLocation=https://cdn.shopify.com/s/files/1/0918/6066/4603/files/O1CN015Z6YqF1HlX8OunhXx__2545140798-0-cib.jpg?v=1774796219, friendlyName=Open</x:v>
      </x:c>
      <x:c r="C5226" s="24" t="e">
        <x:f>HYPERLINK("https://365nails.com/products/365nails-iridescent-pink-blossom-flower-handmade-press-on-nails","365nails: ""Iridescent Pink Blossom Flower"" – Nail Art Stickers")</x:f>
        <x:v>HYPERLINK is not implemented. linkLocation=https://365nails.com/products/365nails-iridescent-pink-blossom-flower-handmade-press-on-nails, friendlyName=365nails: "Iridescent Pink Blossom Flower" – Nail Art Stickers</x:v>
      </x:c>
      <x:c r="D5226" s="18" t="str">
        <x:v>Specification type: To5210-relief / To5211-relief</x:v>
      </x:c>
      <x:c r="E5226" s="25" t="str">
        <x:v>$1.23</x:v>
      </x:c>
      <x:c r="F5226" s="19" t="str">
        <x:v>5</x:v>
      </x:c>
    </x:row>
    <x:row r="5227" ht="93" customHeight="1">
      <x:c r="A5227" s="19" t="n">
        <x:v>5224</x:v>
      </x:c>
      <x:c r="B5227" s="22" t="e">
        <x:f>HYPERLINK("https://cdn.shopify.com/s/files/1/0918/6066/4603/files/O1CN01kcnjjZ1HlX6BKbSAD__2545140798-0-cib.jpg?v=1774676016","Open")</x:f>
        <x:v>HYPERLINK is not implemented. linkLocation=https://cdn.shopify.com/s/files/1/0918/6066/4603/files/O1CN01kcnjjZ1HlX6BKbSAD__2545140798-0-cib.jpg?v=1774676016, friendlyName=Open</x:v>
      </x:c>
      <x:c r="C5227" s="24" t="e">
        <x:f>HYPERLINK("https://365nails.com/products/365nails-holographic-glitter-heart-handmade-press-on-nails","365nails: ""Holographic Glitter Heart"" – Nail Art Stickers")</x:f>
        <x:v>HYPERLINK is not implemented. linkLocation=https://365nails.com/products/365nails-holographic-glitter-heart-handmade-press-on-nails, friendlyName=365nails: "Holographic Glitter Heart" – Nail Art Stickers</x:v>
      </x:c>
      <x:c r="D5227" s="18" t="str">
        <x:v>Specification type: To5005-jelly</x:v>
      </x:c>
      <x:c r="E5227" s="25" t="str">
        <x:v>$1.23</x:v>
      </x:c>
      <x:c r="F5227" s="19" t="str">
        <x:v>5</x:v>
      </x:c>
    </x:row>
    <x:row r="5228" ht="93" customHeight="1">
      <x:c r="A5228" s="19" t="n">
        <x:v>5225</x:v>
      </x:c>
      <x:c r="B5228" s="22" t="e">
        <x:f>HYPERLINK("https://cdn.shopify.com/s/files/1/0918/6066/4603/files/O1CN01Yg7uV31HlWjLoQjx4__2545140798-0-cib_fa1f6fe6-7cfa-42fc-b5a1-3c0631a8d628.jpg?v=1774611930","Open")</x:f>
        <x:v>HYPERLINK is not implemented. linkLocation=https://cdn.shopify.com/s/files/1/0918/6066/4603/files/O1CN01Yg7uV31HlWjLoQjx4__2545140798-0-cib_fa1f6fe6-7cfa-42fc-b5a1-3c0631a8d628.jpg?v=1774611930, friendlyName=Open</x:v>
      </x:c>
      <x:c r="C5228" s="24" t="e">
        <x:f>HYPERLINK("https://365nails.com/products/365nails-white-line-art-peony-flower-handmade-press-on-nails","365nails: ""white line art peony flower"" – Nail Art Stickers")</x:f>
        <x:v>HYPERLINK is not implemented. linkLocation=https://365nails.com/products/365nails-white-line-art-peony-flower-handmade-press-on-nails, friendlyName=365nails: "white line art peony flower" – Nail Art Stickers</x:v>
      </x:c>
      <x:c r="D5228" s="18" t="str">
        <x:v>Specification type: To 338 white / To 338 black</x:v>
      </x:c>
      <x:c r="E5228" s="25" t="str">
        <x:v>$1.09</x:v>
      </x:c>
      <x:c r="F5228" s="19" t="str">
        <x:v>5</x:v>
      </x:c>
    </x:row>
    <x:row r="5229" ht="93" customHeight="1">
      <x:c r="A5229" s="19" t="n">
        <x:v>5226</x:v>
      </x:c>
      <x:c r="B5229" s="22" t="e">
        <x:f>HYPERLINK("https://cdn.shopify.com/s/files/1/0918/6066/4603/files/O1CN01MP6kBX1HlWy5C2pMg__2545140798-0-cib.jpg?v=1774615741","Open")</x:f>
        <x:v>HYPERLINK is not implemented. linkLocation=https://cdn.shopify.com/s/files/1/0918/6066/4603/files/O1CN01MP6kBX1HlWy5C2pMg__2545140798-0-cib.jpg?v=1774615741, friendlyName=Open</x:v>
      </x:c>
      <x:c r="C5229" s="24" t="e">
        <x:f>HYPERLINK("https://365nails.com/products/365nails-metallic-graffiti-text-foil-stickers-handmade-press-on-nails","365nails: ""Metallic Graffiti Text Foil Stickers"" – Nail Art Stickers")</x:f>
        <x:v>HYPERLINK is not implemented. linkLocation=https://365nails.com/products/365nails-metallic-graffiti-text-foil-stickers-handmade-press-on-nails, friendlyName=365nails: "Metallic Graffiti Text Foil Stickers" – Nail Art Stickers</x:v>
      </x:c>
      <x:c r="D5229" s="18" t="str">
        <x:v>Specification type: To3621-laser powder / To3621-new hot stamping / To3621-silver</x:v>
      </x:c>
      <x:c r="E5229" s="25" t="str">
        <x:v>$1.23</x:v>
      </x:c>
      <x:c r="F5229" s="19" t="str">
        <x:v>5</x:v>
      </x:c>
    </x:row>
    <x:row r="5230" ht="93" customHeight="1">
      <x:c r="A5230" s="19" t="n">
        <x:v>5227</x:v>
      </x:c>
      <x:c r="B5230" s="22" t="e">
        <x:f>HYPERLINK("https://cdn.shopify.com/s/files/1/0918/6066/4603/files/O1CN01FHUL4o1HlXAO50Zte__2545140798-0-cib_2f218247-fd02-4845-a968-2a476753b160.jpg?v=1774361271","Open")</x:f>
        <x:v>HYPERLINK is not implemented. linkLocation=https://cdn.shopify.com/s/files/1/0918/6066/4603/files/O1CN01FHUL4o1HlXAO50Zte__2545140798-0-cib_2f218247-fd02-4845-a968-2a476753b160.jpg?v=1774361271, friendlyName=Open</x:v>
      </x:c>
      <x:c r="C5230" s="24" t="e">
        <x:f>HYPERLINK("https://365nails.com/products/365nails-holographic-french-tip-drip-embossed-set-handmade-press-on-nails","365nails: ""holographic french tip drip embossed set"" – Nail Art Stickers")</x:f>
        <x:v>HYPERLINK is not implemented. linkLocation=https://365nails.com/products/365nails-holographic-french-tip-drip-embossed-set-handmade-press-on-nails, friendlyName=365nails: "holographic french tip drip embossed set" – Nail Art Stickers</x:v>
      </x:c>
      <x:c r="D5230" s="18" t="str">
        <x:v>Specification type: To5478-laser silver / To5478-flash silver / To5478-silver</x:v>
      </x:c>
      <x:c r="E5230" s="25" t="str">
        <x:v>$1.23</x:v>
      </x:c>
      <x:c r="F5230" s="19" t="str">
        <x:v>5</x:v>
      </x:c>
    </x:row>
    <x:row r="5231" ht="93" customHeight="1">
      <x:c r="A5231" s="19" t="n">
        <x:v>5228</x:v>
      </x:c>
      <x:c r="B5231" s="22" t="e">
        <x:f>HYPERLINK("https://cdn.shopify.com/s/files/1/0918/6066/4603/files/O1CN01riE1LE1HlX091IO7Y__2545140798-0-cib.jpg?v=1774255552","Open")</x:f>
        <x:v>HYPERLINK is not implemented. linkLocation=https://cdn.shopify.com/s/files/1/0918/6066/4603/files/O1CN01riE1LE1HlX091IO7Y__2545140798-0-cib.jpg?v=1774255552, friendlyName=Open</x:v>
      </x:c>
      <x:c r="C5231" s="24" t="e">
        <x:f>HYPERLINK("https://365nails.com/products/365nails-pastel-spring-sakura-handmade-press-on-nails","365nails: ""pastel spring sakura"" – Nail Art Stickers")</x:f>
        <x:v>HYPERLINK is not implemented. linkLocation=https://365nails.com/products/365nails-pastel-spring-sakura-handmade-press-on-nails, friendlyName=365nails: "pastel spring sakura" – Nail Art Stickers</x:v>
      </x:c>
      <x:c r="D5231" s="18" t="str">
        <x:v>Specification type: To3821-relief / To3823-relief</x:v>
      </x:c>
      <x:c r="E5231" s="25" t="str">
        <x:v>$1.23</x:v>
      </x:c>
      <x:c r="F5231" s="19" t="str">
        <x:v>5</x:v>
      </x:c>
    </x:row>
    <x:row r="5232" ht="93" customHeight="1">
      <x:c r="A5232" s="19" t="n">
        <x:v>5229</x:v>
      </x:c>
      <x:c r="B5232" s="22" t="e">
        <x:f>HYPERLINK("https://cdn.shopify.com/s/files/1/0918/6066/4603/files/O1CN01GBHwbB1HlX1SZcVtr__2545140798-0-cib.jpg?v=1774612146","Open")</x:f>
        <x:v>HYPERLINK is not implemented. linkLocation=https://cdn.shopify.com/s/files/1/0918/6066/4603/files/O1CN01GBHwbB1HlX1SZcVtr__2545140798-0-cib.jpg?v=1774612146, friendlyName=Open</x:v>
      </x:c>
      <x:c r="C5232" s="24" t="e">
        <x:f>HYPERLINK("https://365nails.com/products/365nails-white-embossed-leaf-vine-handmade-press-on-nails","365nails: ""white embossed leaf vine"" – Nail Art Stickers")</x:f>
        <x:v>HYPERLINK is not implemented. linkLocation=https://365nails.com/products/365nails-white-embossed-leaf-vine-handmade-press-on-nails, friendlyName=365nails: "white embossed leaf vine" – Nail Art Stickers</x:v>
      </x:c>
      <x:c r="D5232" s="18" t="str">
        <x:v>Specification type: To4069-crystal diamond / To4129-crystal diamond</x:v>
      </x:c>
      <x:c r="E5232" s="25" t="str">
        <x:v>$1.30</x:v>
      </x:c>
      <x:c r="F5232" s="19" t="str">
        <x:v>5</x:v>
      </x:c>
    </x:row>
    <x:row r="5233" ht="93" customHeight="1">
      <x:c r="A5233" s="19" t="n">
        <x:v>5230</x:v>
      </x:c>
      <x:c r="B5233" s="22" t="e">
        <x:f>HYPERLINK("https://cdn.shopify.com/s/files/1/0918/6066/4603/files/O1CN01hXY7qJ1HlX119wGmX__2545140798-0-cib.jpg?v=1774617155","Open")</x:f>
        <x:v>HYPERLINK is not implemented. linkLocation=https://cdn.shopify.com/s/files/1/0918/6066/4603/files/O1CN01hXY7qJ1HlX119wGmX__2545140798-0-cib.jpg?v=1774617155, friendlyName=Open</x:v>
      </x:c>
      <x:c r="C5233" s="24" t="e">
        <x:f>HYPERLINK("https://365nails.com/products/365nails-cute-pastel-line-art-lucky-handmade-press-on-nails","365nails: ""Cute Pastel Line Art Lucky"" – Nail Art Stickers")</x:f>
        <x:v>HYPERLINK is not implemented. linkLocation=https://365nails.com/products/365nails-cute-pastel-line-art-lucky-handmade-press-on-nails, friendlyName=365nails: "Cute Pastel Line Art Lucky" – Nail Art Stickers</x:v>
      </x:c>
      <x:c r="D5233" s="18" t="str">
        <x:v>Specification type: To3993-relief</x:v>
      </x:c>
      <x:c r="E5233" s="25" t="str">
        <x:v>$1.23</x:v>
      </x:c>
      <x:c r="F5233" s="19" t="str">
        <x:v>5</x:v>
      </x:c>
    </x:row>
    <x:row r="5234" ht="93" customHeight="1">
      <x:c r="A5234" s="19" t="n">
        <x:v>5231</x:v>
      </x:c>
      <x:c r="B5234" s="22" t="e">
        <x:f>HYPERLINK("https://cdn.shopify.com/s/files/1/0918/6066/4603/files/O1CN012ebqLc1HlX2agxvnB__2545140798-0-cib.jpg?v=1774670229","Open")</x:f>
        <x:v>HYPERLINK is not implemented. linkLocation=https://cdn.shopify.com/s/files/1/0918/6066/4603/files/O1CN012ebqLc1HlX2agxvnB__2545140798-0-cib.jpg?v=1774670229, friendlyName=Open</x:v>
      </x:c>
      <x:c r="C5234" s="24" t="e">
        <x:f>HYPERLINK("https://365nails.com/products/365nails-dreamy-bunny-moon-handmade-press-on-nails","365nails: ""Dreamy Bunny Moon"" – Nail Art Stickers")</x:f>
        <x:v>HYPERLINK is not implemented. linkLocation=https://365nails.com/products/365nails-dreamy-bunny-moon-handmade-press-on-nails, friendlyName=365nails: "Dreamy Bunny Moon" – Nail Art Stickers</x:v>
      </x:c>
      <x:c r="D5234" s="18" t="str">
        <x:v>Specification type: To4341-relief</x:v>
      </x:c>
      <x:c r="E5234" s="25" t="str">
        <x:v>$1.23</x:v>
      </x:c>
      <x:c r="F5234" s="19" t="str">
        <x:v>5</x:v>
      </x:c>
    </x:row>
    <x:row r="5235" ht="93" customHeight="1">
      <x:c r="A5235" s="19" t="n">
        <x:v>5232</x:v>
      </x:c>
      <x:c r="B5235" s="22" t="e">
        <x:f>HYPERLINK("https://cdn.shopify.com/s/files/1/0918/6066/4603/files/O1CN014yex5W1HlX9SHpKPH__2545140798-0-cib.jpg?v=1774879971","Open")</x:f>
        <x:v>HYPERLINK is not implemented. linkLocation=https://cdn.shopify.com/s/files/1/0918/6066/4603/files/O1CN014yex5W1HlX9SHpKPH__2545140798-0-cib.jpg?v=1774879971, friendlyName=Open</x:v>
      </x:c>
      <x:c r="C5235" s="24" t="e">
        <x:f>HYPERLINK("https://365nails.com/products/365nails-leopard-print-star-blue-handmade-press-on-nails","365nails: ""Leopard Print Star &amp; Blue"" – Nail Art Stickers")</x:f>
        <x:v>HYPERLINK is not implemented. linkLocation=https://365nails.com/products/365nails-leopard-print-star-blue-handmade-press-on-nails, friendlyName=365nails: "Leopard Print Star &amp; Blue" – Nail Art Stickers</x:v>
      </x:c>
      <x:c r="D5235" s="18" t="str">
        <x:v>Specification type: Ms867-metal / Ms868-metal / Ms869-metal / Ms870-metal</x:v>
      </x:c>
      <x:c r="E5235" s="25" t="str">
        <x:v>$1.23</x:v>
      </x:c>
      <x:c r="F5235" s="19" t="str">
        <x:v>5</x:v>
      </x:c>
    </x:row>
    <x:row r="5236" ht="93" customHeight="1">
      <x:c r="A5236" s="19" t="n">
        <x:v>5233</x:v>
      </x:c>
      <x:c r="B5236" s="22" t="e">
        <x:f>HYPERLINK("https://cdn.shopify.com/s/files/1/0918/6066/4603/files/O1CN01HiN8sz1HlX5TAvNqz__2545140798-0-cib_68e89664-1c51-426f-9bdc-bd6806a8762e.jpg?v=1774257507","Open")</x:f>
        <x:v>HYPERLINK is not implemented. linkLocation=https://cdn.shopify.com/s/files/1/0918/6066/4603/files/O1CN01HiN8sz1HlX5TAvNqz__2545140798-0-cib_68e89664-1c51-426f-9bdc-bd6806a8762e.jpg?v=1774257507, friendlyName=Open</x:v>
      </x:c>
      <x:c r="C5236" s="24" t="e">
        <x:f>HYPERLINK("https://365nails.com/products/365nails-festive-red-firework-sparkle-handmade-press-on-nails","365nails: ""festive red firework sparkle"" – Nail Art Stickers")</x:f>
        <x:v>HYPERLINK is not implemented. linkLocation=https://365nails.com/products/365nails-festive-red-firework-sparkle-handmade-press-on-nails, friendlyName=365nails: "festive red firework sparkle" – Nail Art Stickers</x:v>
      </x:c>
      <x:c r="D5236" s="18" t="str">
        <x:v>Specification type: Ms765 - flashing red / Ms765-1-metal</x:v>
      </x:c>
      <x:c r="E5236" s="25" t="str">
        <x:v>$1.23</x:v>
      </x:c>
      <x:c r="F5236" s="19" t="str">
        <x:v>5</x:v>
      </x:c>
    </x:row>
    <x:row r="5237" ht="93" customHeight="1">
      <x:c r="A5237" s="19" t="n">
        <x:v>5234</x:v>
      </x:c>
      <x:c r="B5237" s="22" t="e">
        <x:f>HYPERLINK("https://cdn.shopify.com/s/files/1/0918/6066/4603/files/O1CN019pwVZs1HlX3yKcIrF__2545140798-0-cib.jpg?v=1774670974","Open")</x:f>
        <x:v>HYPERLINK is not implemented. linkLocation=https://cdn.shopify.com/s/files/1/0918/6066/4603/files/O1CN019pwVZs1HlX3yKcIrF__2545140798-0-cib.jpg?v=1774670974, friendlyName=Open</x:v>
      </x:c>
      <x:c r="C5237" s="24" t="e">
        <x:f>HYPERLINK("https://365nails.com/products/365nails-cute-tabby-cat-fish-handmade-press-on-nails","365nails: ""Cute Tabby Cat &amp; Fish"" – Nail Art Stickers")</x:f>
        <x:v>HYPERLINK is not implemented. linkLocation=https://365nails.com/products/365nails-cute-tabby-cat-fish-handmade-press-on-nails, friendlyName=365nails: "Cute Tabby Cat &amp; Fish" – Nail Art Stickers</x:v>
      </x:c>
      <x:c r="D5237" s="18" t="str">
        <x:v>Specification type: To4631 / To4633</x:v>
      </x:c>
      <x:c r="E5237" s="25" t="str">
        <x:v>$1.09</x:v>
      </x:c>
      <x:c r="F5237" s="19" t="str">
        <x:v>5</x:v>
      </x:c>
    </x:row>
    <x:row r="5238" ht="93" customHeight="1">
      <x:c r="A5238" s="19" t="n">
        <x:v>5235</x:v>
      </x:c>
      <x:c r="B5238" s="22" t="e">
        <x:f>HYPERLINK("https://cdn.shopify.com/s/files/1/0918/6066/4603/files/O1CN01zUfXzL1HlX2t6IJTr__2545140798-0-cib.jpg?v=1774622707","Open")</x:f>
        <x:v>HYPERLINK is not implemented. linkLocation=https://cdn.shopify.com/s/files/1/0918/6066/4603/files/O1CN01zUfXzL1HlX2t6IJTr__2545140798-0-cib.jpg?v=1774622707, friendlyName=Open</x:v>
      </x:c>
      <x:c r="C5238" s="24" t="e">
        <x:f>HYPERLINK("https://365nails.com/products/365nails-vintage-crystal-frame-floral-handmade-press-on-nails","365nails: ""Vintage Crystal Frame Floral"" – Nail Art Stickers")</x:f>
        <x:v>HYPERLINK is not implemented. linkLocation=https://365nails.com/products/365nails-vintage-crystal-frame-floral-handmade-press-on-nails, friendlyName=365nails: "Vintage Crystal Frame Floral" – Nail Art Stickers</x:v>
      </x:c>
      <x:c r="D5238" s="18" t="str">
        <x:v>Specification type: To3853-crystal diamond / To3853-pearl</x:v>
      </x:c>
      <x:c r="E5238" s="25" t="str">
        <x:v>$1.30</x:v>
      </x:c>
      <x:c r="F5238" s="19" t="str">
        <x:v>5</x:v>
      </x:c>
    </x:row>
    <x:row r="5239" ht="93" customHeight="1">
      <x:c r="A5239" s="19" t="n">
        <x:v>5236</x:v>
      </x:c>
      <x:c r="B5239" s="22" t="e">
        <x:f>HYPERLINK("https://cdn.shopify.com/s/files/1/0918/6066/4603/files/O1CN01ZbahDn1HlX0B95SC4__2545140798-0-cib.jpg?v=1774622023","Open")</x:f>
        <x:v>HYPERLINK is not implemented. linkLocation=https://cdn.shopify.com/s/files/1/0918/6066/4603/files/O1CN01ZbahDn1HlX0B95SC4__2545140798-0-cib.jpg?v=1774622023, friendlyName=Open</x:v>
      </x:c>
      <x:c r="C5239" s="24" t="e">
        <x:f>HYPERLINK("https://365nails.com/products/365nails-jelly-daisy-flower-handmade-press-on-nails","365nails: ""Jelly Daisy Flower"" – Nail Art Stickers")</x:f>
        <x:v>HYPERLINK is not implemented. linkLocation=https://365nails.com/products/365nails-jelly-daisy-flower-handmade-press-on-nails, friendlyName=365nails: "Jelly Daisy Flower" – Nail Art Stickers</x:v>
      </x:c>
      <x:c r="D5239" s="18" t="str">
        <x:v>Specification type: To3856-jelly</x:v>
      </x:c>
      <x:c r="E5239" s="25" t="str">
        <x:v>$1.23</x:v>
      </x:c>
      <x:c r="F5239" s="19" t="str">
        <x:v>5</x:v>
      </x:c>
    </x:row>
    <x:row r="5240" ht="93" customHeight="1">
      <x:c r="A5240" s="19" t="n">
        <x:v>5237</x:v>
      </x:c>
      <x:c r="B5240" s="22" t="e">
        <x:f>HYPERLINK("https://cdn.shopify.com/s/files/1/0918/6066/4603/files/O1CN01fkc7vE1HlX2fmFhRC__2545140798-0-cib.jpg?v=1774622643","Open")</x:f>
        <x:v>HYPERLINK is not implemented. linkLocation=https://cdn.shopify.com/s/files/1/0918/6066/4603/files/O1CN01fkc7vE1HlX2fmFhRC__2545140798-0-cib.jpg?v=1774622643, friendlyName=Open</x:v>
      </x:c>
      <x:c r="C5240" s="24" t="e">
        <x:f>HYPERLINK("https://365nails.com/products/365nails-gothic-spider-rose-handmade-press-on-nails","365nails: ""Gothic Spider &amp; Rose"" – Nail Art Stickers")</x:f>
        <x:v>HYPERLINK is not implemented. linkLocation=https://365nails.com/products/365nails-gothic-spider-rose-handmade-press-on-nails, friendlyName=365nails: "Gothic Spider &amp; Rose" – Nail Art Stickers</x:v>
      </x:c>
      <x:c r="D5240" s="18" t="str">
        <x:v>Specification type: To4305 / To4335</x:v>
      </x:c>
      <x:c r="E5240" s="25" t="str">
        <x:v>$1.09</x:v>
      </x:c>
      <x:c r="F5240" s="19" t="str">
        <x:v>5</x:v>
      </x:c>
    </x:row>
    <x:row r="5241" ht="93" customHeight="1">
      <x:c r="A5241" s="19" t="n">
        <x:v>5238</x:v>
      </x:c>
      <x:c r="B5241" s="22" t="e">
        <x:f>HYPERLINK("https://cdn.shopify.com/s/files/1/0918/6066/4603/files/O1CN01JFkIcj1HlWxv0QOHr__2545140798-0-cib_ccbd3db3-d0d6-475a-808e-3b4eca93a7f3.jpg?v=1775396959","Open")</x:f>
        <x:v>HYPERLINK is not implemented. linkLocation=https://cdn.shopify.com/s/files/1/0918/6066/4603/files/O1CN01JFkIcj1HlWxv0QOHr__2545140798-0-cib_ccbd3db3-d0d6-475a-808e-3b4eca93a7f3.jpg?v=1775396959, friendlyName=Open</x:v>
      </x:c>
      <x:c r="C5241" s="24" t="e">
        <x:f>HYPERLINK("https://365nails.com/products/365nails-purple-qipao-floral-handmade-press-on-nails","365nails: ""Purple Qipao Floral"" – Nail Art Stickers")</x:f>
        <x:v>HYPERLINK is not implemented. linkLocation=https://365nails.com/products/365nails-purple-qipao-floral-handmade-press-on-nails, friendlyName=365nails: "Purple Qipao Floral" – Nail Art Stickers</x:v>
      </x:c>
      <x:c r="D5241" s="18" t="str">
        <x:v>Specification type: To3597-new hot stamping</x:v>
      </x:c>
      <x:c r="E5241" s="25" t="str">
        <x:v>$1.23</x:v>
      </x:c>
      <x:c r="F5241" s="19" t="str">
        <x:v>5</x:v>
      </x:c>
    </x:row>
    <x:row r="5242" ht="93" customHeight="1">
      <x:c r="A5242" s="19" t="n">
        <x:v>5239</x:v>
      </x:c>
      <x:c r="B5242" s="22" t="e">
        <x:f>HYPERLINK("https://cdn.shopify.com/s/files/1/0918/6066/4603/files/O1CN01AZATQ31HlWxn3z6kC__2545140798-0-cib_23dc9e94-cd93-45e7-8a77-d0e924d0d050.jpg?v=1774882173","Open")</x:f>
        <x:v>HYPERLINK is not implemented. linkLocation=https://cdn.shopify.com/s/files/1/0918/6066/4603/files/O1CN01AZATQ31HlWxn3z6kC__2545140798-0-cib_23dc9e94-cd93-45e7-8a77-d0e924d0d050.jpg?v=1774882173, friendlyName=Open</x:v>
      </x:c>
      <x:c r="C5242" s="24" t="e">
        <x:f>HYPERLINK("https://365nails.com/products/365nails-vintage-sailor-tattoo-handmade-press-on-nails","365nails: ""Vintage Sailor Tattoo"" – Nail Art Stickers")</x:f>
        <x:v>HYPERLINK is not implemented. linkLocation=https://365nails.com/products/365nails-vintage-sailor-tattoo-handmade-press-on-nails, friendlyName=365nails: "Vintage Sailor Tattoo" – Nail Art Stickers</x:v>
      </x:c>
      <x:c r="D5242" s="18" t="str">
        <x:v>Specification type: Ms 396 / Ms 397</x:v>
      </x:c>
      <x:c r="E5242" s="25" t="str">
        <x:v>$1.09</x:v>
      </x:c>
      <x:c r="F5242" s="19" t="str">
        <x:v>5</x:v>
      </x:c>
    </x:row>
    <x:row r="5243" ht="93" customHeight="1">
      <x:c r="A5243" s="19" t="n">
        <x:v>5240</x:v>
      </x:c>
      <x:c r="B5243" s="22" t="e">
        <x:f>HYPERLINK("https://cdn.shopify.com/s/files/1/0918/6066/4603/files/O1CN01mAxBGN1HlX85lc8cw__2545140798-0-cib_3c1b10db-0454-472a-8116-1ce2bb520edd.jpg?v=1774358227","Open")</x:f>
        <x:v>HYPERLINK is not implemented. linkLocation=https://cdn.shopify.com/s/files/1/0918/6066/4603/files/O1CN01mAxBGN1HlX85lc8cw__2545140798-0-cib_3c1b10db-0454-472a-8116-1ce2bb520edd.jpg?v=1774358227, friendlyName=Open</x:v>
      </x:c>
      <x:c r="C5243" s="24" t="e">
        <x:f>HYPERLINK("https://365nails.com/products/365nails-celestial-moon-snake-heart-embossed-set-handmade-press-on-nails","365nails: ""celestial moon snake heart embossed set"" – Nail Art Stickers")</x:f>
        <x:v>HYPERLINK is not implemented. linkLocation=https://365nails.com/products/365nails-celestial-moon-snake-heart-embossed-set-handmade-press-on-nails, friendlyName=365nails: "celestial moon snake heart embossed set" – Nail Art Stickers</x:v>
      </x:c>
      <x:c r="D5243" s="18" t="str">
        <x:v>Specification type: Ta 400 / Ta 401</x:v>
      </x:c>
      <x:c r="E5243" s="25" t="str">
        <x:v>$1.09</x:v>
      </x:c>
      <x:c r="F5243" s="19" t="str">
        <x:v>5</x:v>
      </x:c>
    </x:row>
    <x:row r="5244" ht="93" customHeight="1">
      <x:c r="A5244" s="19" t="n">
        <x:v>5241</x:v>
      </x:c>
      <x:c r="B5244" s="22" t="e">
        <x:f>HYPERLINK("https://cdn.shopify.com/s/files/1/0918/6066/4603/files/O1CN01E0JZ6x1HlX5NGEJaZ__2545140798-0-cib_db78769c-9c71-40b8-b510-7cc3e75ef91f.jpg?v=1774257312","Open")</x:f>
        <x:v>HYPERLINK is not implemented. linkLocation=https://cdn.shopify.com/s/files/1/0918/6066/4603/files/O1CN01E0JZ6x1HlX5NGEJaZ__2545140798-0-cib_db78769c-9c71-40b8-b510-7cc3e75ef91f.jpg?v=1774257312, friendlyName=Open</x:v>
      </x:c>
      <x:c r="C5244" s="24" t="e">
        <x:f>HYPERLINK("https://365nails.com/products/365nails-pastel-crystal-bow-sparkle-handmade-press-on-nails","365nails: ""pastel crystal bow sparkle"" – Nail Art Stickers")</x:f>
        <x:v>HYPERLINK is not implemented. linkLocation=https://365nails.com/products/365nails-pastel-crystal-bow-sparkle-handmade-press-on-nails, friendlyName=365nails: "pastel crystal bow sparkle" – Nail Art Stickers</x:v>
      </x:c>
      <x:c r="D5244" s="18" t="str">
        <x:v>Specification type: To4850-crystal diamond / To4852-crystal diamond</x:v>
      </x:c>
      <x:c r="E5244" s="25" t="str">
        <x:v>$1.30</x:v>
      </x:c>
      <x:c r="F5244" s="19" t="str">
        <x:v>5</x:v>
      </x:c>
    </x:row>
    <x:row r="5245" ht="93" customHeight="1">
      <x:c r="A5245" s="19" t="n">
        <x:v>5242</x:v>
      </x:c>
      <x:c r="B5245" s="22" t="e">
        <x:f>HYPERLINK("https://cdn.shopify.com/s/files/1/0918/6066/4603/files/71f8e08558b786643ce5b1da63dd6148.jpg?v=1765328514","Open")</x:f>
        <x:v>HYPERLINK is not implemented. linkLocation=https://cdn.shopify.com/s/files/1/0918/6066/4603/files/71f8e08558b786643ce5b1da63dd6148.jpg?v=1765328514, friendlyName=Open</x:v>
      </x:c>
      <x:c r="C5245" s="24" t="e">
        <x:f>HYPERLINK("https://365nails.com/products/crystal-champagne-press-on-nails-silver-holographic-chunky-glitter-square-starry-glitter-sparkling-series","Crystal Champagne Press On Nails｜Silver Holographic Chunky Glitter Square | Starry Glitter · Sparkling Series")</x:f>
        <x:v>HYPERLINK is not implemented. linkLocation=https://365nails.com/products/crystal-champagne-press-on-nails-silver-holographic-chunky-glitter-square-starry-glitter-sparkling-series, friendlyName=Crystal Champagne Press On Nails｜Silver Holographic Chunky Glitter Square | Starry Glitter · Sparkling Series</x:v>
      </x:c>
      <x:c r="D5245" s="18" t="str">
        <x:v>shape: almond / square; Size: XS / S / M / L; length: 45mm / 30mm</x:v>
      </x:c>
      <x:c r="E5245" s="25" t="str">
        <x:v>$9.00</x:v>
      </x:c>
      <x:c r="F5245" s="19" t="str">
        <x:v>1</x:v>
      </x:c>
    </x:row>
    <x:row r="5246" ht="93" customHeight="1">
      <x:c r="A5246" s="19" t="n">
        <x:v>5243</x:v>
      </x:c>
      <x:c r="B5246" s="22" t="e">
        <x:f>HYPERLINK("https://cdn.shopify.com/s/files/1/0918/6066/4603/files/O1CN01CPeeaF1HlX6YgUT4c__2545140798-0-cib.jpg?v=1774794418","Open")</x:f>
        <x:v>HYPERLINK is not implemented. linkLocation=https://cdn.shopify.com/s/files/1/0918/6066/4603/files/O1CN01CPeeaF1HlX6YgUT4c__2545140798-0-cib.jpg?v=1774794418, friendlyName=Open</x:v>
      </x:c>
      <x:c r="C5246" s="24" t="e">
        <x:f>HYPERLINK("https://365nails.com/products/365nails-purple-mist-butterfly-vine-handmade-press-on-nails","365nails: ""Purple Mist Butterfly &amp; Vine"" – Nail Art Stickers")</x:f>
        <x:v>HYPERLINK is not implemented. linkLocation=https://365nails.com/products/365nails-purple-mist-butterfly-vine-handmade-press-on-nails, friendlyName=365nails: "Purple Mist Butterfly &amp; Vine" – Nail Art Stickers</x:v>
      </x:c>
      <x:c r="D5246" s="18" t="str">
        <x:v>Color: Ta386-metal / Ta387-metal</x:v>
      </x:c>
      <x:c r="E5246" s="25" t="str">
        <x:v>$1.23</x:v>
      </x:c>
      <x:c r="F5246" s="19" t="str">
        <x:v>5</x:v>
      </x:c>
    </x:row>
    <x:row r="5247" ht="93" customHeight="1">
      <x:c r="A5247" s="19" t="n">
        <x:v>5244</x:v>
      </x:c>
      <x:c r="B5247" s="22" t="e">
        <x:f>HYPERLINK("https://cdn.shopify.com/s/files/1/0918/6066/4603/files/931ff47797bdccb45486705fb7fcfa09.jpg?v=1771473156","Open")</x:f>
        <x:v>HYPERLINK is not implemented. linkLocation=https://cdn.shopify.com/s/files/1/0918/6066/4603/files/931ff47797bdccb45486705fb7fcfa09.jpg?v=1771473156, friendlyName=Open</x:v>
      </x:c>
      <x:c r="C5247" s="24" t="e">
        <x:f>HYPERLINK("https://365nails.com/products/crimson-nightshade-sculpted-flora-series","Sculpted Flora: ""Crimson Nightshade"" – 3D Dark Red Flowers &amp; Silver Glitter Ombre Stiletto Nails")</x:f>
        <x:v>HYPERLINK is not implemented. linkLocation=https://365nails.com/products/crimson-nightshade-sculpted-flora-series, friendlyName=Sculpted Flora: "Crimson Nightshade" – 3D Dark Red Flowers &amp; Silver Glitter Ombre Stiletto Nails</x:v>
      </x:c>
      <x:c r="D5247" s="18" t="str">
        <x:v>Size: XS / S / M / L</x:v>
      </x:c>
      <x:c r="E5247" s="25" t="str">
        <x:v>$3.99</x:v>
      </x:c>
      <x:c r="F5247" s="19" t="str">
        <x:v>5</x:v>
      </x:c>
    </x:row>
    <x:row r="5248" ht="93" customHeight="1">
      <x:c r="A5248" s="19" t="n">
        <x:v>5245</x:v>
      </x:c>
      <x:c r="B5248" s="22" t="e">
        <x:f>HYPERLINK("https://cdn.shopify.com/s/files/1/0918/6066/4603/files/O1CN01uDfJ941HlX4rIWpB6__2545140798-0-cib.jpg?v=1774674445","Open")</x:f>
        <x:v>HYPERLINK is not implemented. linkLocation=https://cdn.shopify.com/s/files/1/0918/6066/4603/files/O1CN01uDfJ941HlX4rIWpB6__2545140798-0-cib.jpg?v=1774674445, friendlyName=Open</x:v>
      </x:c>
      <x:c r="C5248" s="24" t="e">
        <x:f>HYPERLINK("https://365nails.com/products/365nails-gold-foil-snowflake-wreath-handmade-press-on-nails","365nails: ""Gold Foil Snowflake Wreath"" – Nail Art Stickers")</x:f>
        <x:v>HYPERLINK is not implemented. linkLocation=https://365nails.com/products/365nails-gold-foil-snowflake-wreath-handmade-press-on-nails, friendlyName=365nails: "Gold Foil Snowflake Wreath" – Nail Art Stickers</x:v>
      </x:c>
      <x:c r="D5248" s="18" t="str">
        <x:v>Specification type: To4761-new hot stamping</x:v>
      </x:c>
      <x:c r="E5248" s="25" t="str">
        <x:v>$1.23</x:v>
      </x:c>
      <x:c r="F5248" s="19" t="str">
        <x:v>5</x:v>
      </x:c>
    </x:row>
    <x:row r="5249" ht="93" customHeight="1">
      <x:c r="A5249" s="19" t="n">
        <x:v>5246</x:v>
      </x:c>
      <x:c r="B5249" s="22" t="e">
        <x:f>HYPERLINK("https://cdn.shopify.com/s/files/1/0918/6066/4603/files/7dd504301c49fc5086bfdd7003ce2050.jpg?v=1765327738","Open")</x:f>
        <x:v>HYPERLINK is not implemented. linkLocation=https://cdn.shopify.com/s/files/1/0918/6066/4603/files/7dd504301c49fc5086bfdd7003ce2050.jpg?v=1765327738, friendlyName=Open</x:v>
      </x:c>
      <x:c r="C5249" s="24" t="e">
        <x:f>HYPERLINK("https://365nails.com/products/cotton-candy-bubble-press-on-nails-bright-candy-pink-micro-glitter-square-starry-glitter-sparkling-series","Cotton Candy Bubble Press On Nails｜Bright Candy Pink Micro Glitter Square  | Starry Glitter · Sparkling Series")</x:f>
        <x:v>HYPERLINK is not implemented. linkLocation=https://365nails.com/products/cotton-candy-bubble-press-on-nails-bright-candy-pink-micro-glitter-square-starry-glitter-sparkling-series, friendlyName=Cotton Candy Bubble Press On Nails｜Bright Candy Pink Micro Glitter Square  | Starry Glitter · Sparkling Series</x:v>
      </x:c>
      <x:c r="D5249" s="18" t="str">
        <x:v>shape: almond / square; Size: XS / S / M / L; length: 45mm / 30mm</x:v>
      </x:c>
      <x:c r="E5249" s="25" t="str">
        <x:v>$9.00</x:v>
      </x:c>
      <x:c r="F5249" s="19" t="str">
        <x:v>1</x:v>
      </x:c>
    </x:row>
    <x:row r="5250" ht="93" customHeight="1">
      <x:c r="A5250" s="19" t="n">
        <x:v>5247</x:v>
      </x:c>
      <x:c r="B5250" s="22" t="e">
        <x:f>HYPERLINK("https://cdn.shopify.com/s/files/1/0918/6066/4603/files/O1CN01SEfsLf1HlWqzOCwDm__2545140798-0-cib.jpg?v=1774881334","Open")</x:f>
        <x:v>HYPERLINK is not implemented. linkLocation=https://cdn.shopify.com/s/files/1/0918/6066/4603/files/O1CN01SEfsLf1HlWqzOCwDm__2545140798-0-cib.jpg?v=1774881334, friendlyName=Open</x:v>
      </x:c>
      <x:c r="C5250" s="24" t="e">
        <x:f>HYPERLINK("https://365nails.com/products/365nails-argyle-diamond-geometric-handmade-press-on-nails","365nails: ""Argyle Diamond Geometric"" – Nail Art Stickers")</x:f>
        <x:v>HYPERLINK is not implemented. linkLocation=https://365nails.com/products/365nails-argyle-diamond-geometric-handmade-press-on-nails, friendlyName=365nails: "Argyle Diamond Geometric" – Nail Art Stickers</x:v>
      </x:c>
      <x:c r="D5250" s="18" t="str">
        <x:v>Specification type: To2486 / To2487 / To2488 / To2489</x:v>
      </x:c>
      <x:c r="E5250" s="25" t="str">
        <x:v>$1.09</x:v>
      </x:c>
      <x:c r="F5250" s="19" t="str">
        <x:v>5</x:v>
      </x:c>
    </x:row>
    <x:row r="5251" ht="93" customHeight="1">
      <x:c r="A5251" s="19" t="n">
        <x:v>5248</x:v>
      </x:c>
      <x:c r="B5251" s="22" t="e">
        <x:f>HYPERLINK("https://cdn.shopify.com/s/files/1/0918/6066/4603/files/O1CN016dy2kM1HlWyTlRwxG__2545140798-0-cib_a4de1034-ae89-4805-888f-f6276d9d0984.jpg?v=1774882630","Open")</x:f>
        <x:v>HYPERLINK is not implemented. linkLocation=https://cdn.shopify.com/s/files/1/0918/6066/4603/files/O1CN016dy2kM1HlWyTlRwxG__2545140798-0-cib_a4de1034-ae89-4805-888f-f6276d9d0984.jpg?v=1774882630, friendlyName=Open</x:v>
      </x:c>
      <x:c r="C5251" s="24" t="e">
        <x:f>HYPERLINK("https://365nails.com/products/365nails-red-rose-kawaii-bunny-handmade-press-on-nails","365nails: ""Red Rose Kawaii Bunny"" – Nail Art Stickers")</x:f>
        <x:v>HYPERLINK is not implemented. linkLocation=https://365nails.com/products/365nails-red-rose-kawaii-bunny-handmade-press-on-nails, friendlyName=365nails: "Red Rose Kawaii Bunny" – Nail Art Stickers</x:v>
      </x:c>
      <x:c r="D5251" s="18" t="str">
        <x:v>Specification type: To3664</x:v>
      </x:c>
      <x:c r="E5251" s="25" t="str">
        <x:v>$1.23</x:v>
      </x:c>
      <x:c r="F5251" s="19" t="str">
        <x:v>5</x:v>
      </x:c>
    </x:row>
    <x:row r="5252" ht="93" customHeight="1">
      <x:c r="A5252" s="19" t="n">
        <x:v>5249</x:v>
      </x:c>
      <x:c r="B5252" s="22" t="e">
        <x:f>HYPERLINK("https://cdn.shopify.com/s/files/1/0918/6066/4603/files/O1CN01LZ7Hw41HlWnCMse8i__2545140798-0-cib.jpg?v=1774275942","Open")</x:f>
        <x:v>HYPERLINK is not implemented. linkLocation=https://cdn.shopify.com/s/files/1/0918/6066/4603/files/O1CN01LZ7Hw41HlWnCMse8i__2545140798-0-cib.jpg?v=1774275942, friendlyName=Open</x:v>
      </x:c>
      <x:c r="C5252" s="24" t="e">
        <x:f>HYPERLINK("https://365nails.com/products/365nails-pastel-macaron-heart-stripe-handmade-press-on-nails","365nails: ""pastel macaron heart stripe"" – Nail Art Stickers")</x:f>
        <x:v>HYPERLINK is not implemented. linkLocation=https://365nails.com/products/365nails-pastel-macaron-heart-stripe-handmade-press-on-nails, friendlyName=365nails: "pastel macaron heart stripe" – Nail Art Stickers</x:v>
      </x:c>
      <x:c r="D5252" s="18" t="str">
        <x:v>Specification type: To1124 / To1129</x:v>
      </x:c>
      <x:c r="E5252" s="25" t="str">
        <x:v>$1.23</x:v>
      </x:c>
      <x:c r="F5252" s="19" t="str">
        <x:v>5</x:v>
      </x:c>
    </x:row>
    <x:row r="5253" ht="93" customHeight="1">
      <x:c r="A5253" s="19" t="n">
        <x:v>5250</x:v>
      </x:c>
      <x:c r="B5253" s="22" t="e">
        <x:f>HYPERLINK("https://cdn.shopify.com/s/files/1/0918/6066/4603/files/O1CN017T8LUO1HlX9bLpYzN__2545140798-0-cib.jpg?v=1774879886","Open")</x:f>
        <x:v>HYPERLINK is not implemented. linkLocation=https://cdn.shopify.com/s/files/1/0918/6066/4603/files/O1CN017T8LUO1HlX9bLpYzN__2545140798-0-cib.jpg?v=1774879886, friendlyName=Open</x:v>
      </x:c>
      <x:c r="C5253" s="24" t="e">
        <x:f>HYPERLINK("https://365nails.com/products/365nails-neon-star-rhinestone-handmade-press-on-nails","365nails: ""Neon Star Rhinestone"" – Nail Art Stickers")</x:f>
        <x:v>HYPERLINK is not implemented. linkLocation=https://365nails.com/products/365nails-neon-star-rhinestone-handmade-press-on-nails, friendlyName=365nails: "Neon Star Rhinestone" – Nail Art Stickers</x:v>
      </x:c>
      <x:c r="D5253" s="18" t="str">
        <x:v>Color: To3036-crystal diamond / To5286-metal / To5300-metal / To5285-relief / To636-thin tough / To470-relief / Ta226-relief / Ta228-relief / To3216-jelly / To3211-jelly / To2351-thin tough / To2355-thin and tough / Ms335-jelly / Ms338-jelly / To3012-jelly / To2493-thin tough</x:v>
      </x:c>
      <x:c r="E5253" s="25" t="str">
        <x:v>$1.00–$1.34</x:v>
      </x:c>
      <x:c r="F5253" s="19" t="str">
        <x:v>5</x:v>
      </x:c>
    </x:row>
    <x:row r="5254" ht="93" customHeight="1">
      <x:c r="A5254" s="19" t="n">
        <x:v>5251</x:v>
      </x:c>
      <x:c r="B5254" s="22" t="e">
        <x:f>HYPERLINK("https://cdn.shopify.com/s/files/1/0918/6066/4603/files/O1CN011ktVeT1HlX5TcIX5M__2545140798-0-cib.jpg?v=1774362195","Open")</x:f>
        <x:v>HYPERLINK is not implemented. linkLocation=https://cdn.shopify.com/s/files/1/0918/6066/4603/files/O1CN011ktVeT1HlX5TcIX5M__2545140798-0-cib.jpg?v=1774362195, friendlyName=Open</x:v>
      </x:c>
      <x:c r="C5254" s="24" t="e">
        <x:f>HYPERLINK("https://365nails.com/products/365nails-iridescent-peach-blossom-embossed-set-handmade-press-on-nails","365nails: ""iridescent peach blossom embossed set"" – Nail Art Stickers")</x:f>
        <x:v>HYPERLINK is not implemented. linkLocation=https://365nails.com/products/365nails-iridescent-peach-blossom-embossed-set-handmade-press-on-nails, friendlyName=365nails: "iridescent peach blossom embossed set" – Nail Art Stickers</x:v>
      </x:c>
      <x:c r="D5254" s="18" t="str">
        <x:v>Specification type: To4880-relief</x:v>
      </x:c>
      <x:c r="E5254" s="25" t="str">
        <x:v>$1.23</x:v>
      </x:c>
      <x:c r="F5254" s="19" t="str">
        <x:v>5</x:v>
      </x:c>
    </x:row>
    <x:row r="5255" ht="93" customHeight="1">
      <x:c r="A5255" s="19" t="n">
        <x:v>5252</x:v>
      </x:c>
      <x:c r="B5255" s="22" t="e">
        <x:f>HYPERLINK("https://cdn.shopify.com/s/files/1/0918/6066/4603/files/O1CN01a14Qcx1HlX5n0fKb4__2545140798-0-cib_ba284943-c5e5-496f-899b-4d4561d332bc.jpg?v=1774257622","Open")</x:f>
        <x:v>HYPERLINK is not implemented. linkLocation=https://cdn.shopify.com/s/files/1/0918/6066/4603/files/O1CN01a14Qcx1HlX5n0fKb4__2545140798-0-cib_ba284943-c5e5-496f-899b-4d4561d332bc.jpg?v=1774257622, friendlyName=Open</x:v>
      </x:c>
      <x:c r="C5255" s="24" t="e">
        <x:f>HYPERLINK("https://365nails.com/products/365nails-cute-bunny-sweet-treat-handmade-press-on-nails","365nails: ""cute bunny &amp; sweet treat"" – Nail Art Stickers")</x:f>
        <x:v>HYPERLINK is not implemented. linkLocation=https://365nails.com/products/365nails-cute-bunny-sweet-treat-handmade-press-on-nails, friendlyName=365nails: "cute bunny &amp; sweet treat" – Nail Art Stickers</x:v>
      </x:c>
      <x:c r="D5255" s="18" t="str">
        <x:v>Specification type: To4895 / To4926</x:v>
      </x:c>
      <x:c r="E5255" s="25" t="str">
        <x:v>$1.09</x:v>
      </x:c>
      <x:c r="F5255" s="19" t="str">
        <x:v>5</x:v>
      </x:c>
    </x:row>
    <x:row r="5256" ht="93" customHeight="1">
      <x:c r="A5256" s="19" t="n">
        <x:v>5253</x:v>
      </x:c>
      <x:c r="B5256" s="22" t="e">
        <x:f>HYPERLINK("https://cdn.shopify.com/s/files/1/0918/6066/4603/files/O1CN01LqAMJW1YmlM4Qppry__2213953983102-0-cib_06b196e8-82be-42a9-ae12-ea9fad7b4566.jpg?v=1774612769","Open")</x:f>
        <x:v>HYPERLINK is not implemented. linkLocation=https://cdn.shopify.com/s/files/1/0918/6066/4603/files/O1CN01LqAMJW1YmlM4Qppry__2213953983102-0-cib_06b196e8-82be-42a9-ae12-ea9fad7b4566.jpg?v=1774612769, friendlyName=Open</x:v>
      </x:c>
      <x:c r="C5256" s="24" t="e">
        <x:f>HYPERLINK("https://365nails.com/products/365nails-watercolor-sunflower-handmade-press-on-nails","365nails: ""watercolor sunflower"" – Nail Art Stickers")</x:f>
        <x:v>HYPERLINK is not implemented. linkLocation=https://365nails.com/products/365nails-watercolor-sunflower-handmade-press-on-nails, friendlyName=365nails: "watercolor sunflower" – Nail Art Stickers</x:v>
      </x:c>
      <x:c r="D5256" s="18" t="str">
        <x:v>Specification type: To1804 / To1805</x:v>
      </x:c>
      <x:c r="E5256" s="25" t="str">
        <x:v>$1.23</x:v>
      </x:c>
      <x:c r="F5256" s="19" t="str">
        <x:v>5</x:v>
      </x:c>
    </x:row>
    <x:row r="5257" ht="93" customHeight="1">
      <x:c r="A5257" s="19" t="n">
        <x:v>5254</x:v>
      </x:c>
      <x:c r="B5257" s="22" t="e">
        <x:f>HYPERLINK("https://cdn.shopify.com/s/files/1/0918/6066/4603/files/O1CN01ZUgCWk1HlX1Ur2hjT__2545140798-0-cib.jpg?v=1774618078","Open")</x:f>
        <x:v>HYPERLINK is not implemented. linkLocation=https://cdn.shopify.com/s/files/1/0918/6066/4603/files/O1CN01ZUgCWk1HlX1Ur2hjT__2545140798-0-cib.jpg?v=1774618078, friendlyName=Open</x:v>
      </x:c>
      <x:c r="C5257" s="24" t="e">
        <x:f>HYPERLINK("https://365nails.com/products/365nails-miiiichan-strawberry-bear-sweet-handmade-press-on-nails","365nails: ""miiiichan Strawberry Bear Sweet"" – Nail Art Stickers")</x:f>
        <x:v>HYPERLINK is not implemented. linkLocation=https://365nails.com/products/365nails-miiiichan-strawberry-bear-sweet-handmade-press-on-nails, friendlyName=365nails: "miiiichan Strawberry Bear Sweet" – Nail Art Stickers</x:v>
      </x:c>
      <x:c r="D5257" s="18" t="str">
        <x:v>Specification type: Mc22-relief</x:v>
      </x:c>
      <x:c r="E5257" s="25" t="str">
        <x:v>$1.30</x:v>
      </x:c>
      <x:c r="F5257" s="19" t="str">
        <x:v>5</x:v>
      </x:c>
    </x:row>
    <x:row r="5258" ht="93" customHeight="1">
      <x:c r="A5258" s="19" t="n">
        <x:v>5255</x:v>
      </x:c>
      <x:c r="B5258" s="22" t="e">
        <x:f>HYPERLINK("https://cdn.shopify.com/s/files/1/0918/6066/4603/files/O1CN015bpvLS1HlX3pP8vCk__2545140798-0-cib.jpg?v=1774623162","Open")</x:f>
        <x:v>HYPERLINK is not implemented. linkLocation=https://cdn.shopify.com/s/files/1/0918/6066/4603/files/O1CN015bpvLS1HlX3pP8vCk__2545140798-0-cib.jpg?v=1774623162, friendlyName=Open</x:v>
      </x:c>
      <x:c r="C5258" s="24" t="e">
        <x:f>HYPERLINK("https://365nails.com/products/365nails-crystal-teddy-bear-bow-handmade-press-on-nails","365nails: ""Crystal Teddy Bear &amp; Bow"" – Nail Art Stickers")</x:f>
        <x:v>HYPERLINK is not implemented. linkLocation=https://365nails.com/products/365nails-crystal-teddy-bear-bow-handmade-press-on-nails, friendlyName=365nails: "Crystal Teddy Bear &amp; Bow" – Nail Art Stickers</x:v>
      </x:c>
      <x:c r="D5258" s="18" t="str">
        <x:v>Specification type: To4542-crystal diamond</x:v>
      </x:c>
      <x:c r="E5258" s="25" t="str">
        <x:v>$1.30</x:v>
      </x:c>
      <x:c r="F5258" s="19" t="str">
        <x:v>5</x:v>
      </x:c>
    </x:row>
    <x:row r="5259" ht="93" customHeight="1">
      <x:c r="A5259" s="19" t="n">
        <x:v>5256</x:v>
      </x:c>
      <x:c r="B5259" s="22" t="e">
        <x:f>HYPERLINK("https://cdn.shopify.com/s/files/1/0918/6066/4603/files/O1CN013btNyw1HlX5LoqMDh__2545140798-0-cib_e9c067eb-c5d5-4c80-a25b-7e1d02d3e990.jpg?v=1774257396","Open")</x:f>
        <x:v>HYPERLINK is not implemented. linkLocation=https://cdn.shopify.com/s/files/1/0918/6066/4603/files/O1CN013btNyw1HlX5LoqMDh__2545140798-0-cib_e9c067eb-c5d5-4c80-a25b-7e1d02d3e990.jpg?v=1774257396, friendlyName=Open</x:v>
      </x:c>
      <x:c r="C5259" s="24" t="e">
        <x:f>HYPERLINK("https://365nails.com/products/365nails-iridescent-bubble-sparkle-handmade-press-on-nails","365nails: ""iridescent bubble sparkle"" – Nail Art Stickers")</x:f>
        <x:v>HYPERLINK is not implemented. linkLocation=https://365nails.com/products/365nails-iridescent-bubble-sparkle-handmade-press-on-nails, friendlyName=365nails: "iridescent bubble sparkle" – Nail Art Stickers</x:v>
      </x:c>
      <x:c r="D5259" s="18" t="str">
        <x:v>Specification type: To4848</x:v>
      </x:c>
      <x:c r="E5259" s="25" t="str">
        <x:v>$1.09</x:v>
      </x:c>
      <x:c r="F5259" s="19" t="str">
        <x:v>5</x:v>
      </x:c>
    </x:row>
    <x:row r="5260" ht="93" customHeight="1">
      <x:c r="A5260" s="19" t="n">
        <x:v>5257</x:v>
      </x:c>
      <x:c r="B5260" s="22" t="e">
        <x:f>HYPERLINK("https://cdn.shopify.com/s/files/1/0918/6066/4603/files/O1CN01EMQRHz1HlX521KTcZ__2545140798-0-cib_01648a5d-0126-4447-b5f7-7de37ccdadc0.jpg?v=1774256005","Open")</x:f>
        <x:v>HYPERLINK is not implemented. linkLocation=https://cdn.shopify.com/s/files/1/0918/6066/4603/files/O1CN01EMQRHz1HlX521KTcZ__2545140798-0-cib_01648a5d-0126-4447-b5f7-7de37ccdadc0.jpg?v=1774256005, friendlyName=Open</x:v>
      </x:c>
      <x:c r="C5260" s="24" t="e">
        <x:f>HYPERLINK("https://365nails.com/products/365nails-sweet-kuromi-dessert-handmade-press-on-nails","365nails: ""sweet kuromi dessert"" – Nail Art Stickers")</x:f>
        <x:v>HYPERLINK is not implemented. linkLocation=https://365nails.com/products/365nails-sweet-kuromi-dessert-handmade-press-on-nails, friendlyName=365nails: "sweet kuromi dessert" – Nail Art Stickers</x:v>
      </x:c>
      <x:c r="D5260" s="18" t="str">
        <x:v>Specification type: San 108 / San116</x:v>
      </x:c>
      <x:c r="E5260" s="25" t="str">
        <x:v>$1.16</x:v>
      </x:c>
      <x:c r="F5260" s="19" t="str">
        <x:v>5</x:v>
      </x:c>
    </x:row>
    <x:row r="5261" ht="93" customHeight="1">
      <x:c r="A5261" s="19" t="n">
        <x:v>5258</x:v>
      </x:c>
      <x:c r="B5261" s="22" t="e">
        <x:f>HYPERLINK("https://cdn.shopify.com/s/files/1/0918/6066/4603/files/9195df142fc8ea3bdb8a430e05d07391.jpg?v=1765327706","Open")</x:f>
        <x:v>HYPERLINK is not implemented. linkLocation=https://cdn.shopify.com/s/files/1/0918/6066/4603/files/9195df142fc8ea3bdb8a430e05d07391.jpg?v=1765327706, friendlyName=Open</x:v>
      </x:c>
      <x:c r="C5261" s="24" t="e">
        <x:f>HYPERLINK("https://365nails.com/products/strawberry-sparkle-press-on-nails-peachy-pink-chunky-glitter-square-starry-glitter-sparkling-series","Strawberry Sparkle Press On Nails｜Peachy Pink Chunky Glitter Square | Starry Glitter · Sparkling Series")</x:f>
        <x:v>HYPERLINK is not implemented. linkLocation=https://365nails.com/products/strawberry-sparkle-press-on-nails-peachy-pink-chunky-glitter-square-starry-glitter-sparkling-series, friendlyName=Strawberry Sparkle Press On Nails｜Peachy Pink Chunky Glitter Square | Starry Glitter · Sparkling Series</x:v>
      </x:c>
      <x:c r="D5261" s="18" t="str">
        <x:v>shape: almond / square; Size: XS / S / M / L; length: 45mm / 30mm</x:v>
      </x:c>
      <x:c r="E5261" s="25" t="str">
        <x:v>$9.00</x:v>
      </x:c>
      <x:c r="F5261" s="19" t="str">
        <x:v>1</x:v>
      </x:c>
    </x:row>
    <x:row r="5262" ht="93" customHeight="1">
      <x:c r="A5262" s="19" t="n">
        <x:v>5259</x:v>
      </x:c>
      <x:c r="B5262" s="22" t="e">
        <x:f>HYPERLINK("https://cdn.shopify.com/s/files/1/0918/6066/4603/files/O1CN01LAhOD21HlX023nyIE__2545140798-0-cib.jpg?v=1774611600","Open")</x:f>
        <x:v>HYPERLINK is not implemented. linkLocation=https://cdn.shopify.com/s/files/1/0918/6066/4603/files/O1CN01LAhOD21HlX023nyIE__2545140798-0-cib.jpg?v=1774611600, friendlyName=Open</x:v>
      </x:c>
      <x:c r="C5262" s="24" t="e">
        <x:f>HYPERLINK("https://365nails.com/products/365nails-pastel-daisy-flower-jelly-handmade-press-on-nails","365nails: ""pastel daisy flower jelly"" – Nail Art Stickers")</x:f>
        <x:v>HYPERLINK is not implemented. linkLocation=https://365nails.com/products/365nails-pastel-daisy-flower-jelly-handmade-press-on-nails, friendlyName=365nails: "pastel daisy flower jelly" – Nail Art Stickers</x:v>
      </x:c>
      <x:c r="D5262" s="18" t="str">
        <x:v>Specification type: To3828-relief / To3829-jelly</x:v>
      </x:c>
      <x:c r="E5262" s="25" t="str">
        <x:v>$1.23</x:v>
      </x:c>
      <x:c r="F5262" s="19" t="str">
        <x:v>5</x:v>
      </x:c>
    </x:row>
    <x:row r="5263" ht="93" customHeight="1">
      <x:c r="A5263" s="19" t="n">
        <x:v>5260</x:v>
      </x:c>
      <x:c r="B5263" s="22" t="e">
        <x:f>HYPERLINK("https://cdn.shopify.com/s/files/1/0918/6066/4603/files/O1CN01pZulqz1HlX07Nuimz__2545140798-0-cib.jpg?v=1774358673","Open")</x:f>
        <x:v>HYPERLINK is not implemented. linkLocation=https://cdn.shopify.com/s/files/1/0918/6066/4603/files/O1CN01pZulqz1HlX07Nuimz__2545140798-0-cib.jpg?v=1774358673, friendlyName=Open</x:v>
      </x:c>
      <x:c r="C5263" s="24" t="e">
        <x:f>HYPERLINK("https://365nails.com/products/365nails-lavender-wildflower-embossed-set-handmade-press-on-nails","365nails: ""lavender wildflower embossed set"" – Nail Art Stickers")</x:f>
        <x:v>HYPERLINK is not implemented. linkLocation=https://365nails.com/products/365nails-lavender-wildflower-embossed-set-handmade-press-on-nails, friendlyName=365nails: "lavender wildflower embossed set" – Nail Art Stickers</x:v>
      </x:c>
      <x:c r="D5263" s="18" t="str">
        <x:v>Specification type: Ta318-relief / Ta320-relief</x:v>
      </x:c>
      <x:c r="E5263" s="25" t="str">
        <x:v>$1.23</x:v>
      </x:c>
      <x:c r="F5263" s="19" t="str">
        <x:v>5</x:v>
      </x:c>
    </x:row>
    <x:row r="5264" ht="93" customHeight="1">
      <x:c r="A5264" s="19" t="n">
        <x:v>5261</x:v>
      </x:c>
      <x:c r="B5264" s="22" t="e">
        <x:f>HYPERLINK("https://cdn.shopify.com/s/files/1/0918/6066/4603/files/O1CN01sRB02F1HlX3q4PqhG__2545140798-0-cib.jpg?v=1774670910","Open")</x:f>
        <x:v>HYPERLINK is not implemented. linkLocation=https://cdn.shopify.com/s/files/1/0918/6066/4603/files/O1CN01sRB02F1HlX3q4PqhG__2545140798-0-cib.jpg?v=1774670910, friendlyName=Open</x:v>
      </x:c>
      <x:c r="C5264" s="24" t="e">
        <x:f>HYPERLINK("https://365nails.com/products/365nails-holographic-snowflake-bubble-handmade-press-on-nails","365nails: ""Holographic Snowflake Bubble"" – Nail Art Stickers")</x:f>
        <x:v>HYPERLINK is not implemented. linkLocation=https://365nails.com/products/365nails-holographic-snowflake-bubble-handmade-press-on-nails, friendlyName=365nails: "Holographic Snowflake Bubble" – Nail Art Stickers</x:v>
      </x:c>
      <x:c r="D5264" s="18" t="str">
        <x:v>Specification type: To4492-shell light / To4564-shell light</x:v>
      </x:c>
      <x:c r="E5264" s="25" t="str">
        <x:v>$1.23</x:v>
      </x:c>
      <x:c r="F5264" s="19" t="str">
        <x:v>5</x:v>
      </x:c>
    </x:row>
    <x:row r="5265" ht="93" customHeight="1">
      <x:c r="A5265" s="19" t="n">
        <x:v>5262</x:v>
      </x:c>
      <x:c r="B5265" s="22" t="e">
        <x:f>HYPERLINK("https://cdn.shopify.com/s/files/1/0918/6066/4603/files/O1CN012e7HFW1HlX6R5ptIk__2545140798-0-cib_814da73b-4f30-45e1-94f2-0270c7d59a44.jpg?v=1774275713","Open")</x:f>
        <x:v>HYPERLINK is not implemented. linkLocation=https://cdn.shopify.com/s/files/1/0918/6066/4603/files/O1CN012e7HFW1HlX6R5ptIk__2545140798-0-cib_814da73b-4f30-45e1-94f2-0270c7d59a44.jpg?v=1774275713, friendlyName=Open</x:v>
      </x:c>
      <x:c r="C5265" s="24" t="e">
        <x:f>HYPERLINK("https://365nails.com/products/365nails-sunny-sunflower-crystal-handmade-press-on-nails","365nails: ""sunny sunflower crystal"" – Nail Art Stickers")</x:f>
        <x:v>HYPERLINK is not implemented. linkLocation=https://365nails.com/products/365nails-sunny-sunflower-crystal-handmade-press-on-nails, friendlyName=365nails: "sunny sunflower crystal" – Nail Art Stickers</x:v>
      </x:c>
      <x:c r="D5265" s="18" t="str">
        <x:v>Specification type: To5012-crystal diamond</x:v>
      </x:c>
      <x:c r="E5265" s="25" t="str">
        <x:v>$1.30</x:v>
      </x:c>
      <x:c r="F5265" s="19" t="str">
        <x:v>5</x:v>
      </x:c>
    </x:row>
    <x:row r="5266" ht="93" customHeight="1">
      <x:c r="A5266" s="19" t="n">
        <x:v>5263</x:v>
      </x:c>
      <x:c r="B5266" s="22" t="e">
        <x:f>HYPERLINK("https://cdn.shopify.com/s/files/1/0918/6066/4603/files/04646cfc0149c03d17b696742ae63a6d_d9079496-e931-4b73-b261-01d899c3c95a.jpg?v=1765328492","Open")</x:f>
        <x:v>HYPERLINK is not implemented. linkLocation=https://cdn.shopify.com/s/files/1/0918/6066/4603/files/04646cfc0149c03d17b696742ae63a6d_d9079496-e931-4b73-b261-01d899c3c95a.jpg?v=1765328492, friendlyName=Open</x:v>
      </x:c>
      <x:c r="C5266" s="24" t="e">
        <x:f>HYPERLINK("https://365nails.com/products/mermaid-blue-glitter-press-on-nails-long-stiletto-ocean-chunky-sparkle-starry-glitter-sparkling-series","Mermaid Blue Glitter Press On Nails｜Long Stiletto Ocean Chunky Sparkle | Starry Glitter · Sparkling Series")</x:f>
        <x:v>HYPERLINK is not implemented. linkLocation=https://365nails.com/products/mermaid-blue-glitter-press-on-nails-long-stiletto-ocean-chunky-sparkle-starry-glitter-sparkling-series, friendlyName=Mermaid Blue Glitter Press On Nails｜Long Stiletto Ocean Chunky Sparkle | Starry Glitter · Sparkling Series</x:v>
      </x:c>
      <x:c r="D5266" s="18" t="str">
        <x:v>shape: almond / square; Size: XS / S / M / L; length: 45mm / 30mm</x:v>
      </x:c>
      <x:c r="E5266" s="25" t="str">
        <x:v>$9.00</x:v>
      </x:c>
      <x:c r="F5266" s="19" t="str">
        <x:v>1</x:v>
      </x:c>
    </x:row>
    <x:row r="5267" ht="93" customHeight="1">
      <x:c r="A5267" s="19" t="n">
        <x:v>5264</x:v>
      </x:c>
      <x:c r="B5267" s="22" t="e">
        <x:f>HYPERLINK("https://cdn.shopify.com/s/files/1/0918/6066/4603/files/O1CN01wQhnoX1HlX1fWu56G__2545140798-0-cib.jpg?v=1774612205","Open")</x:f>
        <x:v>HYPERLINK is not implemented. linkLocation=https://cdn.shopify.com/s/files/1/0918/6066/4603/files/O1CN01wQhnoX1HlX1fWu56G__2545140798-0-cib.jpg?v=1774612205, friendlyName=Open</x:v>
      </x:c>
      <x:c r="C5267" s="24" t="e">
        <x:f>HYPERLINK("https://365nails.com/products/365nails-pastel-ocean-sea-creature-handmade-press-on-nails","365nails: ""pastel ocean sea creature"" – Nail Art Stickers")</x:f>
        <x:v>HYPERLINK is not implemented. linkLocation=https://365nails.com/products/365nails-pastel-ocean-sea-creature-handmade-press-on-nails, friendlyName=365nails: "pastel ocean sea creature" – Nail Art Stickers</x:v>
      </x:c>
      <x:c r="D5267" s="18" t="str">
        <x:v>Specification type: To4091-relief / To4093-relief</x:v>
      </x:c>
      <x:c r="E5267" s="25" t="str">
        <x:v>$1.23</x:v>
      </x:c>
      <x:c r="F5267" s="19" t="str">
        <x:v>5</x:v>
      </x:c>
    </x:row>
    <x:row r="5268" ht="93" customHeight="1">
      <x:c r="A5268" s="19" t="n">
        <x:v>5265</x:v>
      </x:c>
      <x:c r="B5268" s="22" t="e">
        <x:f>HYPERLINK("https://cdn.shopify.com/s/files/1/0918/6066/4603/files/O1CN01S3vBHX1HlWvNkJu3T__2545140798-0-cib_7ba813d9-b55a-4bf4-932a-df4a93f81684.jpg?v=1774363898","Open")</x:f>
        <x:v>HYPERLINK is not implemented. linkLocation=https://cdn.shopify.com/s/files/1/0918/6066/4603/files/O1CN01S3vBHX1HlWvNkJu3T__2545140798-0-cib_7ba813d9-b55a-4bf4-932a-df4a93f81684.jpg?v=1774363898, friendlyName=Open</x:v>
      </x:c>
      <x:c r="C5268" s="24" t="e">
        <x:f>HYPERLINK("https://365nails.com/products/365nails-pink-slogan-text-embossed-set-handmade-press-on-nails","365nails: ""Pink Slogan Text Embossed Set"" – Nail Art Stickers")</x:f>
        <x:v>HYPERLINK is not implemented. linkLocation=https://365nails.com/products/365nails-pink-slogan-text-embossed-set-handmade-press-on-nails, friendlyName=365nails: "Pink Slogan Text Embossed Set" – Nail Art Stickers</x:v>
      </x:c>
      <x:c r="D5268" s="18" t="str">
        <x:v>Specification type: To3149-relief / To3150-pink gold / To3151-green gold / To3152-silver</x:v>
      </x:c>
      <x:c r="E5268" s="25" t="str">
        <x:v>$1.23</x:v>
      </x:c>
      <x:c r="F5268" s="19" t="str">
        <x:v>5</x:v>
      </x:c>
    </x:row>
    <x:row r="5269" ht="93" customHeight="1">
      <x:c r="A5269" s="19" t="n">
        <x:v>5266</x:v>
      </x:c>
      <x:c r="B5269" s="22" t="e">
        <x:f>HYPERLINK("https://cdn.shopify.com/s/files/1/0918/6066/4603/files/O1CN01Fci7T11HlX1VhbCLY__2545140798-0-cib.jpg?v=1774618147","Open")</x:f>
        <x:v>HYPERLINK is not implemented. linkLocation=https://cdn.shopify.com/s/files/1/0918/6066/4603/files/O1CN01Fci7T11HlX1VhbCLY__2545140798-0-cib.jpg?v=1774618147, friendlyName=Open</x:v>
      </x:c>
      <x:c r="C5269" s="24" t="e">
        <x:f>HYPERLINK("https://365nails.com/products/365nails-elegant-white-lily-embossed-handmade-press-on-nails","365nails: ""Elegant White Lily Embossed"" – Nail Art Stickers")</x:f>
        <x:v>HYPERLINK is not implemented. linkLocation=https://365nails.com/products/365nails-elegant-white-lily-embossed-handmade-press-on-nails, friendlyName=365nails: "Elegant White Lily Embossed" – Nail Art Stickers</x:v>
      </x:c>
      <x:c r="D5269" s="18" t="str">
        <x:v>Specification type: To4070</x:v>
      </x:c>
      <x:c r="E5269" s="25" t="str">
        <x:v>$1.09</x:v>
      </x:c>
      <x:c r="F5269" s="19" t="str">
        <x:v>5</x:v>
      </x:c>
    </x:row>
    <x:row r="5270" ht="93" customHeight="1">
      <x:c r="A5270" s="19" t="n">
        <x:v>5267</x:v>
      </x:c>
      <x:c r="B5270" s="22" t="e">
        <x:f>HYPERLINK("https://cdn.shopify.com/s/files/1/0918/6066/4603/files/O1CN01dVRhRL1DItU2TsKbs__6000000000194-0-cib_7bdd3a67-2702-45c7-9e26-4d79932fa420.jpg?v=1774880264","Open")</x:f>
        <x:v>HYPERLINK is not implemented. linkLocation=https://cdn.shopify.com/s/files/1/0918/6066/4603/files/O1CN01dVRhRL1DItU2TsKbs__6000000000194-0-cib_7bdd3a67-2702-45c7-9e26-4d79932fa420.jpg?v=1774880264, friendlyName=Open</x:v>
      </x:c>
      <x:c r="C5270" s="24" t="e">
        <x:f>HYPERLINK("https://365nails.com/products/365nails-vintage-white-lace-border-handmade-press-on-nails","365nails: ""Vintage White Lace Border"" – Nail Art Stickers")</x:f>
        <x:v>HYPERLINK is not implemented. linkLocation=https://365nails.com/products/365nails-vintage-white-lace-border-handmade-press-on-nails, friendlyName=365nails: "Vintage White Lace Border" – Nail Art Stickers</x:v>
      </x:c>
      <x:c r="D5270" s="18" t="str">
        <x:v>Color: Tomoni 275 / Tomoni 278 / Tomoni 273 / Tomoni 274 / Pro 70 / Pro 71 / Pro 83 / Pro 91 / Pro 125 / Pro 128 / Tomoni 216 / Pro 07</x:v>
      </x:c>
      <x:c r="E5270" s="25" t="str">
        <x:v>$1.09</x:v>
      </x:c>
      <x:c r="F5270" s="19" t="str">
        <x:v>5</x:v>
      </x:c>
    </x:row>
    <x:row r="5271" ht="93" customHeight="1">
      <x:c r="A5271" s="19" t="n">
        <x:v>5268</x:v>
      </x:c>
      <x:c r="B5271" s="22" t="e">
        <x:f>HYPERLINK("https://cdn.shopify.com/s/files/1/0918/6066/4603/files/O1CN01KuhXNt1HlX34Xnedr__2545140798-0-cib.jpg?v=1774622775","Open")</x:f>
        <x:v>HYPERLINK is not implemented. linkLocation=https://cdn.shopify.com/s/files/1/0918/6066/4603/files/O1CN01KuhXNt1HlX34Xnedr__2545140798-0-cib.jpg?v=1774622775, friendlyName=Open</x:v>
      </x:c>
      <x:c r="C5271" s="24" t="e">
        <x:f>HYPERLINK("https://365nails.com/products/365nails-elegant-white-butterfly-handmade-press-on-nails","365nails: ""Elegant White Butterfly"" – Nail Art Stickers")</x:f>
        <x:v>HYPERLINK is not implemented. linkLocation=https://365nails.com/products/365nails-elegant-white-butterfly-handmade-press-on-nails, friendlyName=365nails: "Elegant White Butterfly" – Nail Art Stickers</x:v>
      </x:c>
      <x:c r="D5271" s="18" t="str">
        <x:v>Specification type: Ms554-relief</x:v>
      </x:c>
      <x:c r="E5271" s="25" t="str">
        <x:v>$1.23</x:v>
      </x:c>
      <x:c r="F5271" s="19" t="str">
        <x:v>5</x:v>
      </x:c>
    </x:row>
    <x:row r="5272" ht="93" customHeight="1">
      <x:c r="A5272" s="19" t="n">
        <x:v>5269</x:v>
      </x:c>
      <x:c r="B5272" s="22" t="e">
        <x:f>HYPERLINK("https://cdn.shopify.com/s/files/1/0918/6066/4603/files/O1CN01Aig7ff1HlX19ZFbcm__2545140798-0-cib.jpg?v=1774617291","Open")</x:f>
        <x:v>HYPERLINK is not implemented. linkLocation=https://cdn.shopify.com/s/files/1/0918/6066/4603/files/O1CN01Aig7ff1HlX19ZFbcm__2545140798-0-cib.jpg?v=1774617291, friendlyName=Open</x:v>
      </x:c>
      <x:c r="C5272" s="24" t="e">
        <x:f>HYPERLINK("https://365nails.com/products/365nails-jelly-forest-mushroom-bunny-handmade-press-on-nails","365nails: ""Jelly Forest Mushroom &amp; Bunny"" – Nail Art Stickers")</x:f>
        <x:v>HYPERLINK is not implemented. linkLocation=https://365nails.com/products/365nails-jelly-forest-mushroom-bunny-handmade-press-on-nails, friendlyName=365nails: "Jelly Forest Mushroom &amp; Bunny" – Nail Art Stickers</x:v>
      </x:c>
      <x:c r="D5272" s="18" t="str">
        <x:v>Specification type: To3972-jelly</x:v>
      </x:c>
      <x:c r="E5272" s="25" t="str">
        <x:v>$1.23</x:v>
      </x:c>
      <x:c r="F5272" s="19" t="str">
        <x:v>5</x:v>
      </x:c>
    </x:row>
    <x:row r="5273" ht="93" customHeight="1">
      <x:c r="A5273" s="19" t="n">
        <x:v>5270</x:v>
      </x:c>
      <x:c r="B5273" s="22" t="e">
        <x:f>HYPERLINK("https://cdn.shopify.com/s/files/1/0918/6066/4603/files/O1CN019bx9eE1HlWzMPFStG__2545140798-0-cib.jpg?v=1774670036","Open")</x:f>
        <x:v>HYPERLINK is not implemented. linkLocation=https://cdn.shopify.com/s/files/1/0918/6066/4603/files/O1CN019bx9eE1HlWzMPFStG__2545140798-0-cib.jpg?v=1774670036, friendlyName=Open</x:v>
      </x:c>
      <x:c r="C5273" s="24" t="e">
        <x:f>HYPERLINK("https://365nails.com/products/365nails-holographic-blue-butterfly-handmade-press-on-nails","365nails: ""Holographic Blue Butterfly"" – Nail Art Stickers")</x:f>
        <x:v>HYPERLINK is not implemented. linkLocation=https://365nails.com/products/365nails-holographic-blue-butterfly-handmade-press-on-nails, friendlyName=365nails: "Holographic Blue Butterfly" – Nail Art Stickers</x:v>
      </x:c>
      <x:c r="D5273" s="18" t="str">
        <x:v>Specification type: To3716-shell light / To3662-shell light</x:v>
      </x:c>
      <x:c r="E5273" s="25" t="str">
        <x:v>$1.23</x:v>
      </x:c>
      <x:c r="F5273" s="19" t="str">
        <x:v>5</x:v>
      </x:c>
    </x:row>
    <x:row r="5274" ht="93" customHeight="1">
      <x:c r="A5274" s="19" t="n">
        <x:v>5271</x:v>
      </x:c>
      <x:c r="B5274" s="22" t="e">
        <x:f>HYPERLINK("https://cdn.shopify.com/s/files/1/0918/6066/4603/files/O1CN01YhKMAm1HlWzCs8ON6__2545140798-0-cib_fe55be30-9828-406b-a942-3559892477d8.jpg?v=1774882693","Open")</x:f>
        <x:v>HYPERLINK is not implemented. linkLocation=https://cdn.shopify.com/s/files/1/0918/6066/4603/files/O1CN01YhKMAm1HlWzCs8ON6__2545140798-0-cib_fe55be30-9828-406b-a942-3559892477d8.jpg?v=1774882693, friendlyName=Open</x:v>
      </x:c>
      <x:c r="C5274" s="24" t="e">
        <x:f>HYPERLINK("https://365nails.com/products/365nails-pastel-heart-wave-handmade-press-on-nails","365nails: ""Pastel Heart Wave"" – Nail Art Stickers")</x:f>
        <x:v>HYPERLINK is not implemented. linkLocation=https://365nails.com/products/365nails-pastel-heart-wave-handmade-press-on-nails, friendlyName=365nails: "Pastel Heart Wave" – Nail Art Stickers</x:v>
      </x:c>
      <x:c r="D5274" s="18" t="str">
        <x:v>Specification type: Ta 288 / Ta 289 / Ta 292</x:v>
      </x:c>
      <x:c r="E5274" s="25" t="str">
        <x:v>$1.09</x:v>
      </x:c>
      <x:c r="F5274" s="19" t="str">
        <x:v>5</x:v>
      </x:c>
    </x:row>
    <x:row r="5275" ht="93" customHeight="1">
      <x:c r="A5275" s="19" t="n">
        <x:v>5272</x:v>
      </x:c>
      <x:c r="B5275" s="22" t="e">
        <x:f>HYPERLINK("https://cdn.shopify.com/s/files/1/0918/6066/4603/files/O1CN01Kek8Kw1HlWwWaY2ZB__2545140798-0-cib.jpg?v=1774615517","Open")</x:f>
        <x:v>HYPERLINK is not implemented. linkLocation=https://cdn.shopify.com/s/files/1/0918/6066/4603/files/O1CN01Kek8Kw1HlWwWaY2ZB__2545140798-0-cib.jpg?v=1774615517, friendlyName=Open</x:v>
      </x:c>
      <x:c r="C5275" s="24" t="e">
        <x:f>HYPERLINK("https://365nails.com/products/365nails-peony-flower-embossed-handmade-press-on-nails","365nails: ""Peony Flower Embossed"" – Nail Art Stickers")</x:f>
        <x:v>HYPERLINK is not implemented. linkLocation=https://365nails.com/products/365nails-peony-flower-embossed-handmade-press-on-nails, friendlyName=365nails: "Peony Flower Embossed" – Nail Art Stickers</x:v>
      </x:c>
      <x:c r="D5275" s="18" t="str">
        <x:v>Specification type: To3332 / To3340</x:v>
      </x:c>
      <x:c r="E5275" s="25" t="str">
        <x:v>$1.23</x:v>
      </x:c>
      <x:c r="F5275" s="19" t="str">
        <x:v>5</x:v>
      </x:c>
    </x:row>
    <x:row r="5276" ht="93" customHeight="1">
      <x:c r="A5276" s="19" t="n">
        <x:v>5273</x:v>
      </x:c>
      <x:c r="B5276" s="22" t="e">
        <x:f>HYPERLINK("https://cdn.shopify.com/s/files/1/0918/6066/4603/files/O1CN01m9xhZ91HlX9KnnI1k__2545140798-0-cib_031ba245-481c-41c4-aea9-6e293a4f68d2.jpg?v=1774360779","Open")</x:f>
        <x:v>HYPERLINK is not implemented. linkLocation=https://cdn.shopify.com/s/files/1/0918/6066/4603/files/O1CN01m9xhZ91HlX9KnnI1k__2545140798-0-cib_031ba245-481c-41c4-aea9-6e293a4f68d2.jpg?v=1774360779, friendlyName=Open</x:v>
      </x:c>
      <x:c r="C5276" s="24" t="e">
        <x:f>HYPERLINK("https://365nails.com/products/365nails-autumn-cat-food-embossed-set-handmade-press-on-nails","365nails: ""autumn cat &amp; food embossed set"" – Nail Art Stickers")</x:f>
        <x:v>HYPERLINK is not implemented. linkLocation=https://365nails.com/products/365nails-autumn-cat-food-embossed-set-handmade-press-on-nails, friendlyName=365nails: "autumn cat &amp; food embossed set" – Nail Art Stickers</x:v>
      </x:c>
      <x:c r="D5276" s="18" t="str">
        <x:v>Specification type: To4049 / To5322</x:v>
      </x:c>
      <x:c r="E5276" s="25" t="str">
        <x:v>$1.09</x:v>
      </x:c>
      <x:c r="F5276" s="19" t="str">
        <x:v>5</x:v>
      </x:c>
    </x:row>
    <x:row r="5277" ht="93" customHeight="1">
      <x:c r="A5277" s="19" t="n">
        <x:v>5274</x:v>
      </x:c>
      <x:c r="B5277" s="22" t="e">
        <x:f>HYPERLINK("https://cdn.shopify.com/s/files/1/0918/6066/4603/files/O1CN01VF7jSA1HlX4t3Dnfi__2545140798-0-cib.jpg?v=1774674508","Open")</x:f>
        <x:v>HYPERLINK is not implemented. linkLocation=https://cdn.shopify.com/s/files/1/0918/6066/4603/files/O1CN01VF7jSA1HlX4t3Dnfi__2545140798-0-cib.jpg?v=1774674508, friendlyName=Open</x:v>
      </x:c>
      <x:c r="C5277" s="24" t="e">
        <x:f>HYPERLINK("https://365nails.com/products/365nails-kuromi-japanese-style-handmade-press-on-nails","365nails: ""Kuromi Japanese Style"" – Nail Art Stickers")</x:f>
        <x:v>HYPERLINK is not implemented. linkLocation=https://365nails.com/products/365nails-kuromi-japanese-style-handmade-press-on-nails, friendlyName=365nails: "Kuromi Japanese Style" – Nail Art Stickers</x:v>
      </x:c>
      <x:c r="D5277" s="18" t="str">
        <x:v>Specification type: San99-relief / San101-relief</x:v>
      </x:c>
      <x:c r="E5277" s="25" t="str">
        <x:v>$1.30</x:v>
      </x:c>
      <x:c r="F5277" s="19" t="str">
        <x:v>5</x:v>
      </x:c>
    </x:row>
    <x:row r="5278" ht="93" customHeight="1">
      <x:c r="A5278" s="19" t="n">
        <x:v>5275</x:v>
      </x:c>
      <x:c r="B5278" s="22" t="e">
        <x:f>HYPERLINK("https://cdn.shopify.com/s/files/1/0918/6066/4603/files/O1CN01hRRt2x1HlX9pNJmA5__2545140798-0-cib_1cf1368b-d0e1-4cce-b571-e9dff72478fb.jpg?v=1774361064","Open")</x:f>
        <x:v>HYPERLINK is not implemented. linkLocation=https://cdn.shopify.com/s/files/1/0918/6066/4603/files/O1CN01hRRt2x1HlX9pNJmA5__2545140798-0-cib_1cf1368b-d0e1-4cce-b571-e9dff72478fb.jpg?v=1774361064, friendlyName=Open</x:v>
      </x:c>
      <x:c r="C5278" s="24" t="e">
        <x:f>HYPERLINK("https://365nails.com/products/365nails-red-firework-metal-foil-embossed-set-handmade-press-on-nails","365nails: ""red firework metal foil embossed set"" – Nail Art Stickers")</x:f>
        <x:v>HYPERLINK is not implemented. linkLocation=https://365nails.com/products/365nails-red-firework-metal-foil-embossed-set-handmade-press-on-nails, friendlyName=365nails: "red firework metal foil embossed set" – Nail Art Stickers</x:v>
      </x:c>
      <x:c r="D5278" s="18" t="str">
        <x:v>Specification type: Ms861-red gold / Ms861-new hot stamping</x:v>
      </x:c>
      <x:c r="E5278" s="25" t="str">
        <x:v>$1.23</x:v>
      </x:c>
      <x:c r="F5278" s="19" t="str">
        <x:v>5</x:v>
      </x:c>
    </x:row>
    <x:row r="5279" ht="93" customHeight="1">
      <x:c r="A5279" s="19" t="n">
        <x:v>5276</x:v>
      </x:c>
      <x:c r="B5279" s="22" t="e">
        <x:f>HYPERLINK("https://cdn.shopify.com/s/files/1/0918/6066/4603/files/O1CN01RYCyWR1HlX474uXzW__2545140798-0-cib.jpg?v=1774361925","Open")</x:f>
        <x:v>HYPERLINK is not implemented. linkLocation=https://cdn.shopify.com/s/files/1/0918/6066/4603/files/O1CN01RYCyWR1HlX474uXzW__2545140798-0-cib.jpg?v=1774361925, friendlyName=Open</x:v>
      </x:c>
      <x:c r="C5279" s="24" t="e">
        <x:f>HYPERLINK("https://365nails.com/products/365nails-joker-circus-bear-embossed-set-handmade-press-on-nails","365nails: ""joker circus bear embossed set"" – Nail Art Stickers")</x:f>
        <x:v>HYPERLINK is not implemented. linkLocation=https://365nails.com/products/365nails-joker-circus-bear-embossed-set-handmade-press-on-nails, friendlyName=365nails: "joker circus bear embossed set" – Nail Art Stickers</x:v>
      </x:c>
      <x:c r="D5279" s="18" t="str">
        <x:v>Specification type: To4654</x:v>
      </x:c>
      <x:c r="E5279" s="25" t="str">
        <x:v>$1.09</x:v>
      </x:c>
      <x:c r="F5279" s="19" t="str">
        <x:v>5</x:v>
      </x:c>
    </x:row>
    <x:row r="5280" ht="93" customHeight="1">
      <x:c r="A5280" s="19" t="n">
        <x:v>5277</x:v>
      </x:c>
      <x:c r="B5280" s="22" t="e">
        <x:f>HYPERLINK("https://cdn.shopify.com/s/files/1/0918/6066/4603/files/O1CN01Fms4G61HlWwokeBXk__2545140798-0-cib_ea01cf8e-ca38-4837-bd7e-25d61894a1e5.jpg?v=1774881411","Open")</x:f>
        <x:v>HYPERLINK is not implemented. linkLocation=https://cdn.shopify.com/s/files/1/0918/6066/4603/files/O1CN01Fms4G61HlWwokeBXk__2545140798-0-cib_ea01cf8e-ca38-4837-bd7e-25d61894a1e5.jpg?v=1774881411, friendlyName=Open</x:v>
      </x:c>
      <x:c r="C5280" s="24" t="e">
        <x:f>HYPERLINK("https://365nails.com/products/365nails-vintage-argyle-plaid-patch-handmade-press-on-nails","365nails: ""Vintage Argyle &amp; Plaid Patch"" – Nail Art Stickers")</x:f>
        <x:v>HYPERLINK is not implemented. linkLocation=https://365nails.com/products/365nails-vintage-argyle-plaid-patch-handmade-press-on-nails, friendlyName=365nails: "Vintage Argyle &amp; Plaid Patch" – Nail Art Stickers</x:v>
      </x:c>
      <x:c r="D5280" s="18" t="str">
        <x:v>Specification type: To3358 / To3375</x:v>
      </x:c>
      <x:c r="E5280" s="25" t="str">
        <x:v>$1.23</x:v>
      </x:c>
      <x:c r="F5280" s="19" t="str">
        <x:v>5</x:v>
      </x:c>
    </x:row>
    <x:row r="5281" ht="93" customHeight="1">
      <x:c r="A5281" s="19" t="n">
        <x:v>5278</x:v>
      </x:c>
      <x:c r="B5281" s="22" t="e">
        <x:f>HYPERLINK("https://cdn.shopify.com/s/files/1/0918/6066/4603/files/O1CN01ICQH9M1HlWxg5OTLy__2545140798-0-cib_92f22aa2-f939-4718-9699-c69cfd9a633a.jpg?v=1774882028","Open")</x:f>
        <x:v>HYPERLINK is not implemented. linkLocation=https://cdn.shopify.com/s/files/1/0918/6066/4603/files/O1CN01ICQH9M1HlWxg5OTLy__2545140798-0-cib_92f22aa2-f939-4718-9699-c69cfd9a633a.jpg?v=1774882028, friendlyName=Open</x:v>
      </x:c>
      <x:c r="C5281" s="24" t="e">
        <x:f>HYPERLINK("https://365nails.com/products/365nails-lace-rose-script-handmade-press-on-nails","365nails: ""Lace Rose &amp; Script"" – Nail Art Stickers")</x:f>
        <x:v>HYPERLINK is not implemented. linkLocation=https://365nails.com/products/365nails-lace-rose-script-handmade-press-on-nails, friendlyName=365nails: "Lace Rose &amp; Script" – Nail Art Stickers</x:v>
      </x:c>
      <x:c r="D5281" s="18" t="str">
        <x:v>Specification type: To3559 / To3560 / To3491</x:v>
      </x:c>
      <x:c r="E5281" s="25" t="str">
        <x:v>$1.09</x:v>
      </x:c>
      <x:c r="F5281" s="19" t="str">
        <x:v>5</x:v>
      </x:c>
    </x:row>
    <x:row r="5282" ht="93" customHeight="1">
      <x:c r="A5282" s="19" t="n">
        <x:v>5279</x:v>
      </x:c>
      <x:c r="B5282" s="22" t="e">
        <x:f>HYPERLINK("https://cdn.shopify.com/s/files/1/0918/6066/4603/files/O1CN01ym6bO61HlWm6ZwcEf__2545140798-0-cib.jpg?v=1774275842","Open")</x:f>
        <x:v>HYPERLINK is not implemented. linkLocation=https://cdn.shopify.com/s/files/1/0918/6066/4603/files/O1CN01ym6bO61HlWm6ZwcEf__2545140798-0-cib.jpg?v=1774275842, friendlyName=Open</x:v>
      </x:c>
      <x:c r="C5282" s="24" t="e">
        <x:f>HYPERLINK("https://365nails.com/products/365nails-vintage-baroque-emboss-handmade-press-on-nails","365nails: ""vintage baroque emboss"" – Nail Art Stickers")</x:f>
        <x:v>HYPERLINK is not implemented. linkLocation=https://365nails.com/products/365nails-vintage-baroque-emboss-handmade-press-on-nails, friendlyName=365nails: "vintage baroque emboss" – Nail Art Stickers</x:v>
      </x:c>
      <x:c r="D5282" s="18" t="str">
        <x:v>Specification type: Ta826</x:v>
      </x:c>
      <x:c r="E5282" s="25" t="str">
        <x:v>$1.23</x:v>
      </x:c>
      <x:c r="F5282" s="19" t="str">
        <x:v>5</x:v>
      </x:c>
    </x:row>
    <x:row r="5283" ht="93" customHeight="1">
      <x:c r="A5283" s="19" t="n">
        <x:v>5280</x:v>
      </x:c>
      <x:c r="B5283" s="22" t="e">
        <x:f>HYPERLINK("https://cdn.shopify.com/s/files/1/0918/6066/4603/files/O1CN016FTKNj1HlX4khPDEH__2545140798-0-cib.jpg?v=1774674224","Open")</x:f>
        <x:v>HYPERLINK is not implemented. linkLocation=https://cdn.shopify.com/s/files/1/0918/6066/4603/files/O1CN016FTKNj1HlX4khPDEH__2545140798-0-cib.jpg?v=1774674224, friendlyName=Open</x:v>
      </x:c>
      <x:c r="C5283" s="24" t="e">
        <x:f>HYPERLINK("https://365nails.com/products/365nails-holographic-crystal-floral-handmade-press-on-nails","365nails: ""Holographic Crystal Floral"" – Nail Art Stickers")</x:f>
        <x:v>HYPERLINK is not implemented. linkLocation=https://365nails.com/products/365nails-holographic-crystal-floral-handmade-press-on-nails, friendlyName=365nails: "Holographic Crystal Floral" – Nail Art Stickers</x:v>
      </x:c>
      <x:c r="D5283" s="18" t="str">
        <x:v>Specification type: To4731-shell light</x:v>
      </x:c>
      <x:c r="E5283" s="25" t="str">
        <x:v>$1.23</x:v>
      </x:c>
      <x:c r="F5283" s="19" t="str">
        <x:v>5</x:v>
      </x:c>
    </x:row>
    <x:row r="5284" ht="93" customHeight="1">
      <x:c r="A5284" s="19" t="n">
        <x:v>5281</x:v>
      </x:c>
      <x:c r="B5284" s="22" t="e">
        <x:f>HYPERLINK("https://cdn.shopify.com/s/files/1/0918/6066/4603/files/O1CN01ezfTZf1HlX0zDIXfD__2545140798-0-cib.jpg?v=1774617219","Open")</x:f>
        <x:v>HYPERLINK is not implemented. linkLocation=https://cdn.shopify.com/s/files/1/0918/6066/4603/files/O1CN01ezfTZf1HlX0zDIXfD__2545140798-0-cib.jpg?v=1774617219, friendlyName=Open</x:v>
      </x:c>
      <x:c r="C5284" s="24" t="e">
        <x:f>HYPERLINK("https://365nails.com/products/365nails-hello-kitty-classic-red-bow-handmade-press-on-nails","365nails: ""Hello Kitty Classic Red Bow"" – Nail Art Stickers")</x:f>
        <x:v>HYPERLINK is not implemented. linkLocation=https://365nails.com/products/365nails-hello-kitty-classic-red-bow-handmade-press-on-nails, friendlyName=365nails: "Hello Kitty Classic Red Bow" – Nail Art Stickers</x:v>
      </x:c>
      <x:c r="D5284" s="18" t="str">
        <x:v>Specification type: San035</x:v>
      </x:c>
      <x:c r="E5284" s="25" t="str">
        <x:v>$1.16</x:v>
      </x:c>
      <x:c r="F5284" s="19" t="str">
        <x:v>5</x:v>
      </x:c>
    </x:row>
    <x:row r="5285" ht="93" customHeight="1">
      <x:c r="A5285" s="19" t="n">
        <x:v>5282</x:v>
      </x:c>
      <x:c r="B5285" s="22" t="e">
        <x:f>HYPERLINK("https://cdn.shopify.com/s/files/1/0918/6066/4603/files/O1CN01A34ZDS1HlWxn3pAgO__2545140798-0-cib.jpg?v=1774621946","Open")</x:f>
        <x:v>HYPERLINK is not implemented. linkLocation=https://cdn.shopify.com/s/files/1/0918/6066/4603/files/O1CN01A34ZDS1HlWxn3pAgO__2545140798-0-cib.jpg?v=1774621946, friendlyName=Open</x:v>
      </x:c>
      <x:c r="C5285" s="24" t="e">
        <x:f>HYPERLINK("https://365nails.com/products/365nails-jelly-gold-crown-magical-wand-handmade-press-on-nails","365nails: ""Jelly Gold Crown &amp; Magical Wand"" – Nail Art Stickers")</x:f>
        <x:v>HYPERLINK is not implemented. linkLocation=https://365nails.com/products/365nails-jelly-gold-crown-magical-wand-handmade-press-on-nails, friendlyName=365nails: "Jelly Gold Crown &amp; Magical Wand" – Nail Art Stickers</x:v>
      </x:c>
      <x:c r="D5285" s="18" t="str">
        <x:v>Specification type: Ms391-jelly / Ms393-jelly</x:v>
      </x:c>
      <x:c r="E5285" s="25" t="str">
        <x:v>$1.23</x:v>
      </x:c>
      <x:c r="F5285" s="19" t="str">
        <x:v>5</x:v>
      </x:c>
    </x:row>
    <x:row r="5286" ht="93" customHeight="1">
      <x:c r="A5286" s="19" t="n">
        <x:v>5283</x:v>
      </x:c>
      <x:c r="B5286" s="22" t="e">
        <x:f>HYPERLINK("https://cdn.shopify.com/s/files/1/0918/6066/4603/files/O1CN01erUyfq1HlX93CGHo6__2545140798-0-cib.jpg?v=1774255944","Open")</x:f>
        <x:v>HYPERLINK is not implemented. linkLocation=https://cdn.shopify.com/s/files/1/0918/6066/4603/files/O1CN01erUyfq1HlX93CGHo6__2545140798-0-cib.jpg?v=1774255944, friendlyName=Open</x:v>
      </x:c>
      <x:c r="C5286" s="24" t="e">
        <x:f>HYPERLINK("https://365nails.com/products/365nails-disney-stitch-adventure-handmade-press-on-nails","365nails: ""disney stitch adventure"" – Nail Art Stickers")</x:f>
        <x:v>HYPERLINK is not implemented. linkLocation=https://365nails.com/products/365nails-disney-stitch-adventure-handmade-press-on-nails, friendlyName=365nails: "disney stitch adventure" – Nail Art Stickers</x:v>
      </x:c>
      <x:c r="D5286" s="18" t="str">
        <x:v>Specification type: Td025s-relief</x:v>
      </x:c>
      <x:c r="E5286" s="25" t="str">
        <x:v>$1.34</x:v>
      </x:c>
      <x:c r="F5286" s="19" t="str">
        <x:v>5</x:v>
      </x:c>
    </x:row>
    <x:row r="5287" ht="93" customHeight="1">
      <x:c r="A5287" s="19" t="n">
        <x:v>5284</x:v>
      </x:c>
      <x:c r="B5287" s="22" t="e">
        <x:f>HYPERLINK("https://cdn.shopify.com/s/files/1/0918/6066/4603/files/O1CN01MdzDnb1HlWzhZ4OhW__2545140798-0-cib.jpg?v=1774358608","Open")</x:f>
        <x:v>HYPERLINK is not implemented. linkLocation=https://cdn.shopify.com/s/files/1/0918/6066/4603/files/O1CN01MdzDnb1HlWzhZ4OhW__2545140798-0-cib.jpg?v=1774358608, friendlyName=Open</x:v>
      </x:c>
      <x:c r="C5287" s="24" t="e">
        <x:f>HYPERLINK("https://365nails.com/products/365nails-ink-wash-bamboo-calligraphy-embossed-set-handmade-press-on-nails","365nails: ""ink wash bamboo calligraphy embossed set"" – Nail Art Stickers")</x:f>
        <x:v>HYPERLINK is not implemented. linkLocation=https://365nails.com/products/365nails-ink-wash-bamboo-calligraphy-embossed-set-handmade-press-on-nails, friendlyName=365nails: "ink wash bamboo calligraphy embossed set" – Nail Art Stickers</x:v>
      </x:c>
      <x:c r="D5287" s="18" t="str">
        <x:v>Specification type: To3813 / To3814 / To3815 / To3816</x:v>
      </x:c>
      <x:c r="E5287" s="25" t="str">
        <x:v>$1.09</x:v>
      </x:c>
      <x:c r="F5287" s="19" t="str">
        <x:v>5</x:v>
      </x:c>
    </x:row>
    <x:row r="5288" ht="93" customHeight="1">
      <x:c r="A5288" s="19" t="n">
        <x:v>5285</x:v>
      </x:c>
      <x:c r="B5288" s="22" t="e">
        <x:f>HYPERLINK("https://cdn.shopify.com/s/files/1/0918/6066/4603/files/O1CN01j43Eb21HlX593UYsz__2545140798-0-cib_71d65c84-39b1-4fd1-8e54-ae5eee7fce96.jpg?v=1774256176","Open")</x:f>
        <x:v>HYPERLINK is not implemented. linkLocation=https://cdn.shopify.com/s/files/1/0918/6066/4603/files/O1CN01j43Eb21HlX593UYsz__2545140798-0-cib_71d65c84-39b1-4fd1-8e54-ae5eee7fce96.jpg?v=1774256176, friendlyName=Open</x:v>
      </x:c>
      <x:c r="C5288" s="24" t="e">
        <x:f>HYPERLINK("https://365nails.com/products/365nails-crystal-snowflake-glitter-handmade-press-on-nails","365nails: ""crystal snowflake glitter"" – Nail Art Stickers")</x:f>
        <x:v>HYPERLINK is not implemented. linkLocation=https://365nails.com/products/365nails-crystal-snowflake-glitter-handmade-press-on-nails, friendlyName=365nails: "crystal snowflake glitter" – Nail Art Stickers</x:v>
      </x:c>
      <x:c r="D5288" s="18" t="str">
        <x:v>Specification type: Ms752 glitter-crystal diamond / Ms752 flash gold-crystal diamond / Ms752 flash silver-crystal diamond</x:v>
      </x:c>
      <x:c r="E5288" s="25" t="str">
        <x:v>$1.30</x:v>
      </x:c>
      <x:c r="F5288" s="19" t="str">
        <x:v>5</x:v>
      </x:c>
    </x:row>
    <x:row r="5289" ht="93" customHeight="1">
      <x:c r="A5289" s="19" t="n">
        <x:v>5286</x:v>
      </x:c>
      <x:c r="B5289" s="22" t="e">
        <x:f>HYPERLINK("https://cdn.shopify.com/s/files/1/0918/6066/4603/files/O1CN01is2cVt1HlX1ZBYZqs__2545140798-0-cib.jpg?v=1774670102","Open")</x:f>
        <x:v>HYPERLINK is not implemented. linkLocation=https://cdn.shopify.com/s/files/1/0918/6066/4603/files/O1CN01is2cVt1HlX1ZBYZqs__2545140798-0-cib.jpg?v=1774670102, friendlyName=Open</x:v>
      </x:c>
      <x:c r="C5289" s="24" t="e">
        <x:f>HYPERLINK("https://365nails.com/products/365nails-kawaii-animal-outline-handmade-press-on-nails","365nails: ""Kawaii Animal Outline"" – Nail Art Stickers")</x:f>
        <x:v>HYPERLINK is not implemented. linkLocation=https://365nails.com/products/365nails-kawaii-animal-outline-handmade-press-on-nails, friendlyName=365nails: "Kawaii Animal Outline" – Nail Art Stickers</x:v>
      </x:c>
      <x:c r="D5289" s="18" t="str">
        <x:v>Specification type: To4062-laser / To4063-laser</x:v>
      </x:c>
      <x:c r="E5289" s="25" t="str">
        <x:v>$1.23</x:v>
      </x:c>
      <x:c r="F5289" s="19" t="str">
        <x:v>5</x:v>
      </x:c>
    </x:row>
    <x:row r="5290" ht="93" customHeight="1">
      <x:c r="A5290" s="19" t="n">
        <x:v>5287</x:v>
      </x:c>
      <x:c r="B5290" s="22" t="e">
        <x:f>HYPERLINK("https://cdn.shopify.com/s/files/1/0918/6066/4603/files/O1CN01zmJp5m1HlX9LvWSYu__2545140798-0-cib_47c3b8c3-46b6-4f03-aec7-d3f07ff6d7d5.jpg?v=1774360672","Open")</x:f>
        <x:v>HYPERLINK is not implemented. linkLocation=https://cdn.shopify.com/s/files/1/0918/6066/4603/files/O1CN01zmJp5m1HlX9LvWSYu__2545140798-0-cib_47c3b8c3-46b6-4f03-aec7-d3f07ff6d7d5.jpg?v=1774360672, friendlyName=Open</x:v>
      </x:c>
      <x:c r="C5290" s="24" t="e">
        <x:f>HYPERLINK("https://365nails.com/products/365nails-iridescent-moon-rose-embossed-set-handmade-press-on-nails","365nails: ""iridescent moon rose embossed set"" – Nail Art Stickers")</x:f>
        <x:v>HYPERLINK is not implemented. linkLocation=https://365nails.com/products/365nails-iridescent-moon-rose-embossed-set-handmade-press-on-nails, friendlyName=365nails: "iridescent moon rose embossed set" – Nail Art Stickers</x:v>
      </x:c>
      <x:c r="D5290" s="18" t="str">
        <x:v>Specification type: To3922-shell light / To3923-relief / To5130-shell light</x:v>
      </x:c>
      <x:c r="E5290" s="25" t="str">
        <x:v>$1.23</x:v>
      </x:c>
      <x:c r="F5290" s="19" t="str">
        <x:v>5</x:v>
      </x:c>
    </x:row>
    <x:row r="5291" ht="93" customHeight="1">
      <x:c r="A5291" s="19" t="n">
        <x:v>5288</x:v>
      </x:c>
      <x:c r="B5291" s="22" t="e">
        <x:f>HYPERLINK("https://cdn.shopify.com/s/files/1/0918/6066/4603/files/O1CN01UYDLj61HlX1BiKJ8y__2545140798-0-cib.jpg?v=1774617428","Open")</x:f>
        <x:v>HYPERLINK is not implemented. linkLocation=https://cdn.shopify.com/s/files/1/0918/6066/4603/files/O1CN01UYDLj61HlX1BiKJ8y__2545140798-0-cib.jpg?v=1774617428, friendlyName=Open</x:v>
      </x:c>
      <x:c r="C5291" s="24" t="e">
        <x:f>HYPERLINK("https://365nails.com/products/365nails-kuromi-iconic-black-pink-handmade-press-on-nails","365nails: ""Kuromi Iconic Black &amp; Pink"" – Nail Art Stickers")</x:f>
        <x:v>HYPERLINK is not implemented. linkLocation=https://365nails.com/products/365nails-kuromi-iconic-black-pink-handmade-press-on-nails, friendlyName=365nails: "Kuromi Iconic Black &amp; Pink" – Nail Art Stickers</x:v>
      </x:c>
      <x:c r="D5291" s="18" t="str">
        <x:v>Specification type: San–030</x:v>
      </x:c>
      <x:c r="E5291" s="25" t="str">
        <x:v>$1.30</x:v>
      </x:c>
      <x:c r="F5291" s="19" t="str">
        <x:v>5</x:v>
      </x:c>
    </x:row>
    <x:row r="5292" ht="93" customHeight="1">
      <x:c r="A5292" s="19" t="n">
        <x:v>5289</x:v>
      </x:c>
      <x:c r="B5292" s="22" t="e">
        <x:f>HYPERLINK("https://cdn.shopify.com/s/files/1/0918/6066/4603/files/O1CN016t3rfy1HlWwSFl6xa__2545140798-0-cib.jpg?v=1774360614","Open")</x:f>
        <x:v>HYPERLINK is not implemented. linkLocation=https://cdn.shopify.com/s/files/1/0918/6066/4603/files/O1CN016t3rfy1HlWwSFl6xa__2545140798-0-cib.jpg?v=1774360614, friendlyName=Open</x:v>
      </x:c>
      <x:c r="C5292" s="24" t="e">
        <x:f>HYPERLINK("https://365nails.com/products/365nails-osmanthus-flower-embossed-set-handmade-press-on-nails","365nails: ""osmanthus flower embossed set"" – Nail Art Stickers")</x:f>
        <x:v>HYPERLINK is not implemented. linkLocation=https://365nails.com/products/365nails-osmanthus-flower-embossed-set-handmade-press-on-nails, friendlyName=365nails: "osmanthus flower embossed set" – Nail Art Stickers</x:v>
      </x:c>
      <x:c r="D5292" s="18" t="str">
        <x:v>Specification type: To3330</x:v>
      </x:c>
      <x:c r="E5292" s="25" t="str">
        <x:v>$1.23</x:v>
      </x:c>
      <x:c r="F5292" s="19" t="str">
        <x:v>5</x:v>
      </x:c>
    </x:row>
    <x:row r="5293" ht="93" customHeight="1">
      <x:c r="A5293" s="19" t="n">
        <x:v>5290</x:v>
      </x:c>
      <x:c r="B5293" s="22" t="e">
        <x:f>HYPERLINK("https://cdn.shopify.com/s/files/1/0918/6066/4603/files/262f07568c4cccb5d0c4de559b3d9b1e.jpg?v=1765328551","Open")</x:f>
        <x:v>HYPERLINK is not implemented. linkLocation=https://cdn.shopify.com/s/files/1/0918/6066/4603/files/262f07568c4cccb5d0c4de559b3d9b1e.jpg?v=1765328551, friendlyName=Open</x:v>
      </x:c>
      <x:c r="C5293" s="24" t="e">
        <x:f>HYPERLINK("https://365nails.com/products/cherry-soda-glitter-press-on-nails-hot-pink-chunky-sparkle-square-starry-glitter-sparkling-series","Cherry Soda Glitter Press On Nails｜Hot Pink Chunky Sparkle Square | Starry Glitter · Sparkling Series")</x:f>
        <x:v>HYPERLINK is not implemented. linkLocation=https://365nails.com/products/cherry-soda-glitter-press-on-nails-hot-pink-chunky-sparkle-square-starry-glitter-sparkling-series, friendlyName=Cherry Soda Glitter Press On Nails｜Hot Pink Chunky Sparkle Square | Starry Glitter · Sparkling Series</x:v>
      </x:c>
      <x:c r="D5293" s="18" t="str">
        <x:v>shape: almond / square; Size: XS / S / M / L; length: 45mm / 30mm</x:v>
      </x:c>
      <x:c r="E5293" s="25" t="str">
        <x:v>$9.00</x:v>
      </x:c>
      <x:c r="F5293" s="19" t="str">
        <x:v>1</x:v>
      </x:c>
    </x:row>
    <x:row r="5294" ht="93" customHeight="1">
      <x:c r="A5294" s="19" t="n">
        <x:v>5291</x:v>
      </x:c>
      <x:c r="B5294" s="22" t="e">
        <x:f>HYPERLINK("https://cdn.shopify.com/s/files/1/0918/6066/4603/files/O1CN015jYPfi1HlWyGgj5Jb__2545140798-0-cib_bfd1c446-8f1e-42f2-8ae8-882381fb5e59.jpg?v=1775397243","Open")</x:f>
        <x:v>HYPERLINK is not implemented. linkLocation=https://cdn.shopify.com/s/files/1/0918/6066/4603/files/O1CN015jYPfi1HlWyGgj5Jb__2545140798-0-cib_bfd1c446-8f1e-42f2-8ae8-882381fb5e59.jpg?v=1775397243, friendlyName=Open</x:v>
      </x:c>
      <x:c r="C5294" s="24" t="e">
        <x:f>HYPERLINK("https://365nails.com/products/365nails-holographic-floral-lily-handmade-press-on-nails","365nails: ""Holographic Floral Lily"" – Nail Art Stickers")</x:f>
        <x:v>HYPERLINK is not implemented. linkLocation=https://365nails.com/products/365nails-holographic-floral-lily-handmade-press-on-nails, friendlyName=365nails: "Holographic Floral Lily" – Nail Art Stickers</x:v>
      </x:c>
      <x:c r="D5294" s="18" t="str">
        <x:v>Specification type: To3647-shell light / To3654-shell light</x:v>
      </x:c>
      <x:c r="E5294" s="25" t="str">
        <x:v>$1.23</x:v>
      </x:c>
      <x:c r="F5294" s="19" t="str">
        <x:v>5</x:v>
      </x:c>
    </x:row>
    <x:row r="5295" ht="93" customHeight="1">
      <x:c r="A5295" s="19" t="n">
        <x:v>5292</x:v>
      </x:c>
      <x:c r="B5295" s="22" t="e">
        <x:f>HYPERLINK("https://cdn.shopify.com/s/files/1/0918/6066/4603/files/O1CN01VZgxS51HlX5FdpPS3__2545140798-0-cib_0b042c2b-46f3-4e11-be26-5c6f3f269528.jpg?v=1774256606","Open")</x:f>
        <x:v>HYPERLINK is not implemented. linkLocation=https://cdn.shopify.com/s/files/1/0918/6066/4603/files/O1CN01VZgxS51HlX5FdpPS3__2545140798-0-cib_0b042c2b-46f3-4e11-be26-5c6f3f269528.jpg?v=1774256606, friendlyName=Open</x:v>
      </x:c>
      <x:c r="C5295" s="24" t="e">
        <x:f>HYPERLINK("https://365nails.com/products/365nails-cozy-bakery-animal-party-handmade-press-on-nails","365nails: ""cozy bakery animal party"" – Nail Art Stickers")</x:f>
        <x:v>HYPERLINK is not implemented. linkLocation=https://365nails.com/products/365nails-cozy-bakery-animal-party-handmade-press-on-nails, friendlyName=365nails: "cozy bakery animal party" – Nail Art Stickers</x:v>
      </x:c>
      <x:c r="D5295" s="18" t="str">
        <x:v>Specification type: To4813-relief</x:v>
      </x:c>
      <x:c r="E5295" s="25" t="str">
        <x:v>$1.23</x:v>
      </x:c>
      <x:c r="F5295" s="19" t="str">
        <x:v>5</x:v>
      </x:c>
    </x:row>
    <x:row r="5296" ht="93" customHeight="1">
      <x:c r="A5296" s="19" t="n">
        <x:v>5293</x:v>
      </x:c>
      <x:c r="B5296" s="22" t="e">
        <x:f>HYPERLINK("https://cdn.shopify.com/s/files/1/0918/6066/4603/files/O1CN01aBkavX1HlX4F6RMwZ__2545140798-0-cib.jpg?v=1774623618","Open")</x:f>
        <x:v>HYPERLINK is not implemented. linkLocation=https://cdn.shopify.com/s/files/1/0918/6066/4603/files/O1CN01aBkavX1HlX4F6RMwZ__2545140798-0-cib.jpg?v=1774623618, friendlyName=Open</x:v>
      </x:c>
      <x:c r="C5296" s="24" t="e">
        <x:f>HYPERLINK("https://365nails.com/products/365nails-christmas-snowman-wreath-handmade-press-on-nails","365nails: ""Christmas Snowman &amp; Wreath"" – Nail Art Stickers")</x:f>
        <x:v>HYPERLINK is not implemented. linkLocation=https://365nails.com/products/365nails-christmas-snowman-wreath-handmade-press-on-nails, friendlyName=365nails: "Christmas Snowman &amp; Wreath" – Nail Art Stickers</x:v>
      </x:c>
      <x:c r="D5296" s="18" t="str">
        <x:v>Specification type: To4590-crystal diamond</x:v>
      </x:c>
      <x:c r="E5296" s="25" t="str">
        <x:v>$1.30</x:v>
      </x:c>
      <x:c r="F5296" s="19" t="str">
        <x:v>5</x:v>
      </x:c>
    </x:row>
    <x:row r="5297" ht="93" customHeight="1">
      <x:c r="A5297" s="19" t="n">
        <x:v>5294</x:v>
      </x:c>
      <x:c r="B5297" s="22" t="e">
        <x:f>HYPERLINK("https://cdn.shopify.com/s/files/1/0918/6066/4603/files/O1CN01MIHC4L1HlX3iyI6tG__2545140798-0-cib.jpg?v=1774670834","Open")</x:f>
        <x:v>HYPERLINK is not implemented. linkLocation=https://cdn.shopify.com/s/files/1/0918/6066/4603/files/O1CN01MIHC4L1HlX3iyI6tG__2545140798-0-cib.jpg?v=1774670834, friendlyName=Open</x:v>
      </x:c>
      <x:c r="C5297" s="24" t="e">
        <x:f>HYPERLINK("https://365nails.com/products/365nails-jelly-iridescent-butterfly-handmade-press-on-nails","365nails: ""Jelly Iridescent Butterfly"" – Nail Art Stickers")</x:f>
        <x:v>HYPERLINK is not implemented. linkLocation=https://365nails.com/products/365nails-jelly-iridescent-butterfly-handmade-press-on-nails, friendlyName=365nails: "Jelly Iridescent Butterfly" – Nail Art Stickers</x:v>
      </x:c>
      <x:c r="D5297" s="18" t="str">
        <x:v>Specification type: Ms702-jelly</x:v>
      </x:c>
      <x:c r="E5297" s="25" t="str">
        <x:v>$1.23</x:v>
      </x:c>
      <x:c r="F5297" s="19" t="str">
        <x:v>5</x:v>
      </x:c>
    </x:row>
    <x:row r="5298" ht="93" customHeight="1">
      <x:c r="A5298" s="19" t="n">
        <x:v>5295</x:v>
      </x:c>
      <x:c r="B5298" s="22" t="e">
        <x:f>HYPERLINK("https://cdn.shopify.com/s/files/1/0918/6066/4603/files/O1CN01IZIDtx1HlWvZePBrO__2545140798-0-cib_57fe837b-3b8e-428f-bdb4-1b522cb19fb7.jpg?v=1774615282","Open")</x:f>
        <x:v>HYPERLINK is not implemented. linkLocation=https://cdn.shopify.com/s/files/1/0918/6066/4603/files/O1CN01IZIDtx1HlWvZePBrO__2545140798-0-cib_57fe837b-3b8e-428f-bdb4-1b522cb19fb7.jpg?v=1774615282, friendlyName=Open</x:v>
      </x:c>
      <x:c r="C5298" s="24" t="e">
        <x:f>HYPERLINK("https://365nails.com/products/365nails-sweet-jelly-bear-cherry-handmade-press-on-nails","365nails: ""Sweet Jelly Bear &amp; Cherry"" – Nail Art Stickers")</x:f>
        <x:v>HYPERLINK is not implemented. linkLocation=https://365nails.com/products/365nails-sweet-jelly-bear-cherry-handmade-press-on-nails, friendlyName=365nails: "Sweet Jelly Bear &amp; Cherry" – Nail Art Stickers</x:v>
      </x:c>
      <x:c r="D5298" s="18" t="str">
        <x:v>Specification type: Ms 416 / Ms 417</x:v>
      </x:c>
      <x:c r="E5298" s="25" t="str">
        <x:v>$1.23</x:v>
      </x:c>
      <x:c r="F5298" s="19" t="str">
        <x:v>5</x:v>
      </x:c>
    </x:row>
    <x:row r="5299" ht="93" customHeight="1">
      <x:c r="A5299" s="19" t="n">
        <x:v>5296</x:v>
      </x:c>
      <x:c r="B5299" s="22" t="e">
        <x:f>HYPERLINK("https://cdn.shopify.com/s/files/1/0918/6066/4603/files/O1CN01irgxlz1HlX9L6L660__2545140798-0-cib.jpg?v=1774796474","Open")</x:f>
        <x:v>HYPERLINK is not implemented. linkLocation=https://cdn.shopify.com/s/files/1/0918/6066/4603/files/O1CN01irgxlz1HlX9L6L660__2545140798-0-cib.jpg?v=1774796474, friendlyName=Open</x:v>
      </x:c>
      <x:c r="C5299" s="24" t="e">
        <x:f>HYPERLINK("https://365nails.com/products/365nails-metallic-skeleton-hand-butterfly-handmade-press-on-nails","365nails: ""Metallic Skeleton Hand &amp; Butterfly"" – Nail Art Stickers")</x:f>
        <x:v>HYPERLINK is not implemented. linkLocation=https://365nails.com/products/365nails-metallic-skeleton-hand-butterfly-handmade-press-on-nails, friendlyName=365nails: "Metallic Skeleton Hand &amp; Butterfly" – Nail Art Stickers</x:v>
      </x:c>
      <x:c r="D5299" s="18" t="str">
        <x:v>Specification type: To5339-metal / To5340-relief</x:v>
      </x:c>
      <x:c r="E5299" s="25" t="str">
        <x:v>$1.23</x:v>
      </x:c>
      <x:c r="F5299" s="19" t="str">
        <x:v>5</x:v>
      </x:c>
    </x:row>
    <x:row r="5300" ht="93" customHeight="1">
      <x:c r="A5300" s="19" t="n">
        <x:v>5297</x:v>
      </x:c>
      <x:c r="B5300" s="22" t="e">
        <x:f>HYPERLINK("https://cdn.shopify.com/s/files/1/0918/6066/4603/files/O1CN01xkdQNY1HlWt2xhR0q__2545140798-0-cib_e7550404-7d60-43a1-9ada-813482d93244.jpg?v=1774615140","Open")</x:f>
        <x:v>HYPERLINK is not implemented. linkLocation=https://cdn.shopify.com/s/files/1/0918/6066/4603/files/O1CN01xkdQNY1HlWt2xhR0q__2545140798-0-cib_e7550404-7d60-43a1-9ada-813482d93244.jpg?v=1774615140, friendlyName=Open</x:v>
      </x:c>
      <x:c r="C5300" s="24" t="e">
        <x:f>HYPERLINK("https://365nails.com/products/365nails-jelly-kawaii-snoopy-friends-handmade-press-on-nails","365nails: ""Jelly Kawaii Snoopy &amp; Friends"" – Nail Art Stickers")</x:f>
        <x:v>HYPERLINK is not implemented. linkLocation=https://365nails.com/products/365nails-jelly-kawaii-snoopy-friends-handmade-press-on-nails, friendlyName=365nails: "Jelly Kawaii Snoopy &amp; Friends" – Nail Art Stickers</x:v>
      </x:c>
      <x:c r="D5300" s="18" t="str">
        <x:v>Specification type: Ms 348</x:v>
      </x:c>
      <x:c r="E5300" s="25" t="str">
        <x:v>$1.23</x:v>
      </x:c>
      <x:c r="F5300" s="19" t="str">
        <x:v>5</x:v>
      </x:c>
    </x:row>
    <x:row r="5301" ht="93" customHeight="1">
      <x:c r="A5301" s="19" t="n">
        <x:v>5298</x:v>
      </x:c>
      <x:c r="B5301" s="22" t="e">
        <x:f>HYPERLINK("https://cdn.shopify.com/s/files/1/0918/6066/4603/files/O1CN01eZ52Zb1HlWyGej9qk__2545140798-0-cib.jpg?v=1774358297","Open")</x:f>
        <x:v>HYPERLINK is not implemented. linkLocation=https://cdn.shopify.com/s/files/1/0918/6066/4603/files/O1CN01eZ52Zb1HlWyGej9qk__2545140798-0-cib.jpg?v=1774358297, friendlyName=Open</x:v>
      </x:c>
      <x:c r="C5301" s="24" t="e">
        <x:f>HYPERLINK("https://365nails.com/products/365nails-lucky-fortune-calligraphy-embossed-set-handmade-press-on-nails","365nails: ""lucky fortune calligraphy embossed set"" – Nail Art Stickers")</x:f>
        <x:v>HYPERLINK is not implemented. linkLocation=https://365nails.com/products/365nails-lucky-fortune-calligraphy-embossed-set-handmade-press-on-nails, friendlyName=365nails: "lucky fortune calligraphy embossed set" – Nail Art Stickers</x:v>
      </x:c>
      <x:c r="D5301" s="18" t="str">
        <x:v>Specification type: To3641-red gold / To3642-new hot stamping</x:v>
      </x:c>
      <x:c r="E5301" s="25" t="str">
        <x:v>$1.23</x:v>
      </x:c>
      <x:c r="F5301" s="19" t="str">
        <x:v>5</x:v>
      </x:c>
    </x:row>
    <x:row r="5302" ht="93" customHeight="1">
      <x:c r="A5302" s="19" t="n">
        <x:v>5299</x:v>
      </x:c>
      <x:c r="B5302" s="22" t="e">
        <x:f>HYPERLINK("https://cdn.shopify.com/s/files/1/0918/6066/4603/files/O1CN01pYDF4H1HlX3Qz8jfN__2545140798-0-cib.jpg?v=1774439620","Open")</x:f>
        <x:v>HYPERLINK is not implemented. linkLocation=https://cdn.shopify.com/s/files/1/0918/6066/4603/files/O1CN01pYDF4H1HlX3Qz8jfN__2545140798-0-cib.jpg?v=1774439620, friendlyName=Open</x:v>
      </x:c>
      <x:c r="C5302" s="24" t="e">
        <x:f>HYPERLINK("https://365nails.com/products/365nails-purple-iridescent-butterfly-wax-seal-handmade-press-on-nails","365nails: ""purple iridescent butterfly &amp; wax seal"" – Nail Art Stickers")</x:f>
        <x:v>HYPERLINK is not implemented. linkLocation=https://365nails.com/products/365nails-purple-iridescent-butterfly-wax-seal-handmade-press-on-nails, friendlyName=365nails: "purple iridescent butterfly &amp; wax seal" – Nail Art Stickers</x:v>
      </x:c>
      <x:c r="D5302" s="18" t="str">
        <x:v>Specification type: To4356-shell light / To4497-shell light</x:v>
      </x:c>
      <x:c r="E5302" s="25" t="str">
        <x:v>$1.23</x:v>
      </x:c>
      <x:c r="F5302" s="19" t="str">
        <x:v>5</x:v>
      </x:c>
    </x:row>
    <x:row r="5303" ht="93" customHeight="1">
      <x:c r="A5303" s="19" t="n">
        <x:v>5300</x:v>
      </x:c>
      <x:c r="B5303" s="22" t="e">
        <x:f>HYPERLINK("https://cdn.shopify.com/s/files/1/0918/6066/4603/files/O1CN01lycgtb1HlX7qfHJia__2545140798-0-cib.jpg?v=1774795145","Open")</x:f>
        <x:v>HYPERLINK is not implemented. linkLocation=https://cdn.shopify.com/s/files/1/0918/6066/4603/files/O1CN01lycgtb1HlX7qfHJia__2545140798-0-cib.jpg?v=1774795145, friendlyName=Open</x:v>
      </x:c>
      <x:c r="C5303" s="24" t="e">
        <x:f>HYPERLINK("https://365nails.com/products/365nails-cute-fruit-square-handmade-press-on-nails","365nails: ""Cute Fruit Square"" – Nail Art Stickers")</x:f>
        <x:v>HYPERLINK is not implemented. linkLocation=https://365nails.com/products/365nails-cute-fruit-square-handmade-press-on-nails, friendlyName=365nails: "Cute Fruit Square" – Nail Art Stickers</x:v>
      </x:c>
      <x:c r="D5303" s="18" t="str">
        <x:v>Specification type: To5159-shell light / To5160-shell light</x:v>
      </x:c>
      <x:c r="E5303" s="25" t="str">
        <x:v>$1.23</x:v>
      </x:c>
      <x:c r="F5303" s="19" t="str">
        <x:v>5</x:v>
      </x:c>
    </x:row>
    <x:row r="5304" ht="93" customHeight="1">
      <x:c r="A5304" s="19" t="n">
        <x:v>5301</x:v>
      </x:c>
      <x:c r="B5304" s="22" t="e">
        <x:f>HYPERLINK("https://cdn.shopify.com/s/files/1/0918/6066/4603/files/O1CN01dil4Uo1HlX5NUWlPZ__2545140798-0-cib.jpg?v=1774674629","Open")</x:f>
        <x:v>HYPERLINK is not implemented. linkLocation=https://cdn.shopify.com/s/files/1/0918/6066/4603/files/O1CN01dil4Uo1HlX5NUWlPZ__2545140798-0-cib.jpg?v=1774674629, friendlyName=Open</x:v>
      </x:c>
      <x:c r="C5304" s="24" t="e">
        <x:f>HYPERLINK("https://365nails.com/products/365nails-happy-autumn-puppy-handmade-press-on-nails","365nails: ""Happy Autumn Puppy"" – Nail Art Stickers")</x:f>
        <x:v>HYPERLINK is not implemented. linkLocation=https://365nails.com/products/365nails-happy-autumn-puppy-handmade-press-on-nails, friendlyName=365nails: "Happy Autumn Puppy" – Nail Art Stickers</x:v>
      </x:c>
      <x:c r="D5304" s="18" t="str">
        <x:v>Specification type: Mc59-relief</x:v>
      </x:c>
      <x:c r="E5304" s="25" t="str">
        <x:v>$1.30</x:v>
      </x:c>
      <x:c r="F5304" s="19" t="str">
        <x:v>5</x:v>
      </x:c>
    </x:row>
    <x:row r="5305" ht="93" customHeight="1">
      <x:c r="A5305" s="19" t="n">
        <x:v>5302</x:v>
      </x:c>
      <x:c r="B5305" s="22" t="e">
        <x:f>HYPERLINK("https://cdn.shopify.com/s/files/1/0918/6066/4603/files/8e8b796e6dcc377d992f14ccb7a03945.jpg?v=1764571129","Open")</x:f>
        <x:v>HYPERLINK is not implemented. linkLocation=https://cdn.shopify.com/s/files/1/0918/6066/4603/files/8e8b796e6dcc377d992f14ccb7a03945.jpg?v=1764571129, friendlyName=Open</x:v>
      </x:c>
      <x:c r="C5305" s="24" t="e">
        <x:f>HYPERLINK("https://365nails.com/products/obsidian-reverse-french-dragon-claw-stiletto-deep-black-premium-handmade-dragon-nails","Obsidian Reverse French Dragon Claw Stiletto Deep Black Premium Handmade Dragon Nails")</x:f>
        <x:v>HYPERLINK is not implemented. linkLocation=https://365nails.com/products/obsidian-reverse-french-dragon-claw-stiletto-deep-black-premium-handmade-dragon-nails, friendlyName=Obsidian Reverse French Dragon Claw Stiletto Deep Black Premium Handmade Dragon Nails</x:v>
      </x:c>
      <x:c r="D5305" s="18" t="str">
        <x:v>Size: XS / S / M / L; length: 40mm / 25mm</x:v>
      </x:c>
      <x:c r="E5305" s="25" t="str">
        <x:v>$6.99</x:v>
      </x:c>
      <x:c r="F5305" s="19" t="str">
        <x:v>1</x:v>
      </x:c>
    </x:row>
    <x:row r="5306" ht="93" customHeight="1">
      <x:c r="A5306" s="19" t="n">
        <x:v>5303</x:v>
      </x:c>
      <x:c r="B5306" s="22" t="e">
        <x:f>HYPERLINK("https://cdn.shopify.com/s/files/1/0918/6066/4603/files/O1CN01E6N7yc1HlWwt5IPDL__2545140798-0-cib.jpg?v=1774615590","Open")</x:f>
        <x:v>HYPERLINK is not implemented. linkLocation=https://cdn.shopify.com/s/files/1/0918/6066/4603/files/O1CN01E6N7yc1HlWwt5IPDL__2545140798-0-cib.jpg?v=1774615590, friendlyName=Open</x:v>
      </x:c>
      <x:c r="C5306" s="24" t="e">
        <x:f>HYPERLINK("https://365nails.com/products/365nails-vintage-gold-foil-floral-emblem-handmade-press-on-nails","365nails: ""Vintage Gold Foil Floral Emblem"" – Nail Art Stickers")</x:f>
        <x:v>HYPERLINK is not implemented. linkLocation=https://365nails.com/products/365nails-vintage-gold-foil-floral-emblem-handmade-press-on-nails, friendlyName=365nails: "Vintage Gold Foil Floral Emblem" – Nail Art Stickers</x:v>
      </x:c>
      <x:c r="D5306" s="18" t="str">
        <x:v>Specification type: To3403</x:v>
      </x:c>
      <x:c r="E5306" s="25" t="str">
        <x:v>$1.23</x:v>
      </x:c>
      <x:c r="F5306" s="19" t="str">
        <x:v>5</x:v>
      </x:c>
    </x:row>
    <x:row r="5307" ht="93" customHeight="1">
      <x:c r="A5307" s="19" t="n">
        <x:v>5304</x:v>
      </x:c>
      <x:c r="B5307" s="22" t="e">
        <x:f>HYPERLINK("https://cdn.shopify.com/s/files/1/0918/6066/4603/files/O1CN01yS3GZs1HlX1ZCkYeF__2545140798-0-cib.jpg?v=1774358740","Open")</x:f>
        <x:v>HYPERLINK is not implemented. linkLocation=https://cdn.shopify.com/s/files/1/0918/6066/4603/files/O1CN01yS3GZs1HlX1ZCkYeF__2545140798-0-cib.jpg?v=1774358740, friendlyName=Open</x:v>
      </x:c>
      <x:c r="C5307" s="24" t="e">
        <x:f>HYPERLINK("https://365nails.com/products/365nails-miiiichan-girl-dog-stamp-embossed-set-handmade-press-on-nails","365nails: ""miiiichan girl &amp; dog stamp embossed set"" – Nail Art Stickers")</x:f>
        <x:v>HYPERLINK is not implemented. linkLocation=https://365nails.com/products/365nails-miiiichan-girl-dog-stamp-embossed-set-handmade-press-on-nails, friendlyName=365nails: "miiiichan girl &amp; dog stamp embossed set" – Nail Art Stickers</x:v>
      </x:c>
      <x:c r="D5307" s="18" t="str">
        <x:v>Specification type: Mc26-relief / Mc30-relief</x:v>
      </x:c>
      <x:c r="E5307" s="25" t="str">
        <x:v>$1.30</x:v>
      </x:c>
      <x:c r="F5307" s="19" t="str">
        <x:v>5</x:v>
      </x:c>
    </x:row>
    <x:row r="5308" ht="93" customHeight="1">
      <x:c r="A5308" s="19" t="n">
        <x:v>5305</x:v>
      </x:c>
      <x:c r="B5308" s="22" t="e">
        <x:f>HYPERLINK("https://cdn.shopify.com/s/files/1/0918/6066/4603/files/O1CN01f1olfg1HlWy0jRrMp__2545140798-0-cib_115f77a9-0401-4601-9c84-96065de6a5c1.jpg?v=1774882389","Open")</x:f>
        <x:v>HYPERLINK is not implemented. linkLocation=https://cdn.shopify.com/s/files/1/0918/6066/4603/files/O1CN01f1olfg1HlWy0jRrMp__2545140798-0-cib_115f77a9-0401-4601-9c84-96065de6a5c1.jpg?v=1774882389, friendlyName=Open</x:v>
      </x:c>
      <x:c r="C5308" s="24" t="e">
        <x:f>HYPERLINK("https://365nails.com/products/365nails-cute-kawaii-cow-sweet-treat-handmade-press-on-nails","365nails: ""Cute Kawaii Cow &amp; Sweet Treat"" – Nail Art Stickers")</x:f>
        <x:v>HYPERLINK is not implemented. linkLocation=https://365nails.com/products/365nails-cute-kawaii-cow-sweet-treat-handmade-press-on-nails, friendlyName=365nails: "Cute Kawaii Cow &amp; Sweet Treat" – Nail Art Stickers</x:v>
      </x:c>
      <x:c r="D5308" s="18" t="str">
        <x:v>Specification type: To3608 / To3610</x:v>
      </x:c>
      <x:c r="E5308" s="25" t="str">
        <x:v>$1.09</x:v>
      </x:c>
      <x:c r="F5308" s="19" t="str">
        <x:v>5</x:v>
      </x:c>
    </x:row>
    <x:row r="5309" ht="93" customHeight="1">
      <x:c r="A5309" s="19" t="n">
        <x:v>5306</x:v>
      </x:c>
      <x:c r="B5309" s="22" t="e">
        <x:f>HYPERLINK("https://cdn.shopify.com/s/files/1/0918/6066/4603/files/O1CN01L55gj61HlWkkUT3Oo__2545140798-0-cib.jpg?v=1774257829","Open")</x:f>
        <x:v>HYPERLINK is not implemented. linkLocation=https://cdn.shopify.com/s/files/1/0918/6066/4603/files/O1CN01L55gj61HlWkkUT3Oo__2545140798-0-cib.jpg?v=1774257829, friendlyName=Open</x:v>
      </x:c>
      <x:c r="C5309" s="24" t="e">
        <x:f>HYPERLINK("https://365nails.com/products/365nails-sakura-snowflake-oriental-mix-handmade-press-on-nails","365nails: ""sakura &amp; snowflake oriental mix"" – Nail Art Stickers")</x:f>
        <x:v>HYPERLINK is not implemented. linkLocation=https://365nails.com/products/365nails-sakura-snowflake-oriental-mix-handmade-press-on-nails, friendlyName=365nails: "sakura &amp; snowflake oriental mix" – Nail Art Stickers</x:v>
      </x:c>
      <x:c r="D5309" s="18" t="str">
        <x:v>Color: Pro–002 / Pro–003 / Pro–005 / Pro-010 / Pro–011 / Pro-012 / Pro–013 / Pro–014 / Pro–015 / Pro–016 / Pro–018 / Pro-019en / Pro-020 / Pro–023 / Pro–025 / Pro–028 / Pro–029 / Pro–030 / Pro–031 / Pro–032 / Pro-033 / Pro–034 / Pro–036 / Pro–037 / Pro–039 / Pro–040 / Pro–042 / Pro–043 / Pro–045 / Pro–046 / Pro–047 / Pro–049 / Pro–051 / Pro–055 / Pro–059</x:v>
      </x:c>
      <x:c r="E5309" s="25" t="str">
        <x:v>$1.09</x:v>
      </x:c>
      <x:c r="F5309" s="19" t="str">
        <x:v>5</x:v>
      </x:c>
    </x:row>
    <x:row r="5310" ht="93" customHeight="1">
      <x:c r="A5310" s="19" t="n">
        <x:v>5307</x:v>
      </x:c>
      <x:c r="B5310" s="22" t="e">
        <x:f>HYPERLINK("https://cdn.shopify.com/s/files/1/0918/6066/4603/files/O1CN01e8PIYl1HlX2kcy4mE__2545140798-0-cib.jpg?v=1774670353","Open")</x:f>
        <x:v>HYPERLINK is not implemented. linkLocation=https://cdn.shopify.com/s/files/1/0918/6066/4603/files/O1CN01e8PIYl1HlX2kcy4mE__2545140798-0-cib.jpg?v=1774670353, friendlyName=Open</x:v>
      </x:c>
      <x:c r="C5310" s="24" t="e">
        <x:f>HYPERLINK("https://365nails.com/products/365nails-golden-chrysanthemum-chinese-window-handmade-press-on-nails","365nails: ""Golden Chrysanthemum Chinese Window"" – Nail Art Stickers")</x:f>
        <x:v>HYPERLINK is not implemented. linkLocation=https://365nails.com/products/365nails-golden-chrysanthemum-chinese-window-handmade-press-on-nails, friendlyName=365nails: "Golden Chrysanthemum Chinese Window" – Nail Art Stickers</x:v>
      </x:c>
      <x:c r="D5310" s="18" t="str">
        <x:v>Specification type: To4313-relief / To4359-relief</x:v>
      </x:c>
      <x:c r="E5310" s="25" t="str">
        <x:v>$1.23</x:v>
      </x:c>
      <x:c r="F5310" s="19" t="str">
        <x:v>5</x:v>
      </x:c>
    </x:row>
    <x:row r="5311" ht="93" customHeight="1">
      <x:c r="A5311" s="19" t="n">
        <x:v>5308</x:v>
      </x:c>
      <x:c r="B5311" s="22" t="e">
        <x:f>HYPERLINK("https://cdn.shopify.com/s/files/1/0918/6066/4603/files/O1CN01F6cKEh1HlX7V6FSGS__2545140798-0-cib.jpg?v=1774795027","Open")</x:f>
        <x:v>HYPERLINK is not implemented. linkLocation=https://cdn.shopify.com/s/files/1/0918/6066/4603/files/O1CN01F6cKEh1HlX7V6FSGS__2545140798-0-cib.jpg?v=1774795027, friendlyName=Open</x:v>
      </x:c>
      <x:c r="C5311" s="24" t="e">
        <x:f>HYPERLINK("https://365nails.com/products/365nails-iridescent-aurora-gemstone-handmade-press-on-nails","365nails: ""Iridescent Aurora Gemstone"" – Nail Art Stickers")</x:f>
        <x:v>HYPERLINK is not implemented. linkLocation=https://365nails.com/products/365nails-iridescent-aurora-gemstone-handmade-press-on-nails, friendlyName=365nails: "Iridescent Aurora Gemstone" – Nail Art Stickers</x:v>
      </x:c>
      <x:c r="D5311" s="18" t="str">
        <x:v>Specification type: Ms800-metal</x:v>
      </x:c>
      <x:c r="E5311" s="25" t="str">
        <x:v>$1.23</x:v>
      </x:c>
      <x:c r="F5311" s="19" t="str">
        <x:v>5</x:v>
      </x:c>
    </x:row>
    <x:row r="5312" ht="93" customHeight="1">
      <x:c r="A5312" s="19" t="n">
        <x:v>5309</x:v>
      </x:c>
      <x:c r="B5312" s="22" t="e">
        <x:f>HYPERLINK("https://cdn.shopify.com/s/files/1/0918/6066/4603/files/O1CN01hNWVfb1HlX3LiODkT__2545140798-0-cib.jpg?v=1774622912","Open")</x:f>
        <x:v>HYPERLINK is not implemented. linkLocation=https://cdn.shopify.com/s/files/1/0918/6066/4603/files/O1CN01hNWVfb1HlX3LiODkT__2545140798-0-cib.jpg?v=1774622912, friendlyName=Open</x:v>
      </x:c>
      <x:c r="C5312" s="24" t="e">
        <x:f>HYPERLINK("https://365nails.com/products/365nails-jelly-holographic-fire-sprite-fireworks-handmade-press-on-nails","365nails: ""Jelly Holographic Fire Sprite &amp; Fireworks"" – Nail Art Stickers")</x:f>
        <x:v>HYPERLINK is not implemented. linkLocation=https://365nails.com/products/365nails-jelly-holographic-fire-sprite-fireworks-handmade-press-on-nails, friendlyName=365nails: "Jelly Holographic Fire Sprite &amp; Fireworks" – Nail Art Stickers</x:v>
      </x:c>
      <x:c r="D5312" s="18" t="str">
        <x:v>Specification type: To4441-jelly / To4459-jelly / To4482-jelly</x:v>
      </x:c>
      <x:c r="E5312" s="25" t="str">
        <x:v>$1.23</x:v>
      </x:c>
      <x:c r="F5312" s="19" t="str">
        <x:v>5</x:v>
      </x:c>
    </x:row>
    <x:row r="5313" ht="93" customHeight="1">
      <x:c r="A5313" s="19" t="n">
        <x:v>5310</x:v>
      </x:c>
      <x:c r="B5313" s="22" t="e">
        <x:f>HYPERLINK("https://cdn.shopify.com/s/files/1/0918/6066/4603/files/O1CN01PKbHlx1HlX6QOzaU7__2545140798-0-cib.jpg?v=1774362587","Open")</x:f>
        <x:v>HYPERLINK is not implemented. linkLocation=https://cdn.shopify.com/s/files/1/0918/6066/4603/files/O1CN01PKbHlx1HlX6QOzaU7__2545140798-0-cib.jpg?v=1774362587, friendlyName=Open</x:v>
      </x:c>
      <x:c r="C5313" s="24" t="e">
        <x:f>HYPERLINK("https://365nails.com/products/365nails-pastel-ribbon-bow-embossed-set-handmade-press-on-nails","365nails: ""pastel ribbon bow embossed set"" – Nail Art Stickers")</x:f>
        <x:v>HYPERLINK is not implemented. linkLocation=https://365nails.com/products/365nails-pastel-ribbon-bow-embossed-set-handmade-press-on-nails, friendlyName=365nails: "pastel ribbon bow embossed set" – Nail Art Stickers</x:v>
      </x:c>
      <x:c r="D5313" s="18" t="str">
        <x:v>Specification type: To4462 / To4463</x:v>
      </x:c>
      <x:c r="E5313" s="25" t="str">
        <x:v>$1.09</x:v>
      </x:c>
      <x:c r="F5313" s="19" t="str">
        <x:v>5</x:v>
      </x:c>
    </x:row>
    <x:row r="5314" ht="93" customHeight="1">
      <x:c r="A5314" s="19" t="n">
        <x:v>5311</x:v>
      </x:c>
      <x:c r="B5314" s="22" t="e">
        <x:f>HYPERLINK("https://cdn.shopify.com/s/files/1/0918/6066/4603/files/O1CN01vH0OZ71HlX4G70k51__2545140798-0-cib.jpg?v=1774623563","Open")</x:f>
        <x:v>HYPERLINK is not implemented. linkLocation=https://cdn.shopify.com/s/files/1/0918/6066/4603/files/O1CN01vH0OZ71HlX4G70k51__2545140798-0-cib.jpg?v=1774623563, friendlyName=Open</x:v>
      </x:c>
      <x:c r="C5314" s="24" t="e">
        <x:f>HYPERLINK("https://365nails.com/products/365nails-cute-puppy-bakery-handmade-press-on-nails","365nails: ""Cute Puppy &amp; Bakery"" – Nail Art Stickers")</x:f>
        <x:v>HYPERLINK is not implemented. linkLocation=https://365nails.com/products/365nails-cute-puppy-bakery-handmade-press-on-nails, friendlyName=365nails: "Cute Puppy &amp; Bakery" – Nail Art Stickers</x:v>
      </x:c>
      <x:c r="D5314" s="18" t="str">
        <x:v>Specification type: To4665-relief</x:v>
      </x:c>
      <x:c r="E5314" s="25" t="str">
        <x:v>$1.23</x:v>
      </x:c>
      <x:c r="F5314" s="19" t="str">
        <x:v>5</x:v>
      </x:c>
    </x:row>
    <x:row r="5315" ht="93" customHeight="1">
      <x:c r="A5315" s="19" t="n">
        <x:v>5312</x:v>
      </x:c>
      <x:c r="B5315" s="22" t="e">
        <x:f>HYPERLINK("https://cdn.shopify.com/s/files/1/0918/6066/4603/files/O1CN010EewNy1HlX5z5SmUJ__2545140798-0-cib_e4754594-0597-4f28-98b5-1a12ad9d881d.jpg?v=1774257929","Open")</x:f>
        <x:v>HYPERLINK is not implemented. linkLocation=https://cdn.shopify.com/s/files/1/0918/6066/4603/files/O1CN010EewNy1HlX5z5SmUJ__2545140798-0-cib_e4754594-0597-4f28-98b5-1a12ad9d881d.jpg?v=1774257929, friendlyName=Open</x:v>
      </x:c>
      <x:c r="C5315" s="24" t="e">
        <x:f>HYPERLINK("https://365nails.com/products/365nails-iridescent-tulip-butterfly-handmade-press-on-nails","365nails: ""iridescent tulip &amp; butterfly"" – Nail Art Stickers")</x:f>
        <x:v>HYPERLINK is not implemented. linkLocation=https://365nails.com/products/365nails-iridescent-tulip-butterfly-handmade-press-on-nails, friendlyName=365nails: "iridescent tulip &amp; butterfly" – Nail Art Stickers</x:v>
      </x:c>
      <x:c r="D5315" s="18" t="str">
        <x:v>Specification type: To4961-metal / To4961-silver</x:v>
      </x:c>
      <x:c r="E5315" s="25" t="str">
        <x:v>$1.23</x:v>
      </x:c>
      <x:c r="F5315" s="19" t="str">
        <x:v>5</x:v>
      </x:c>
    </x:row>
    <x:row r="5316" ht="93" customHeight="1">
      <x:c r="A5316" s="19" t="n">
        <x:v>5313</x:v>
      </x:c>
      <x:c r="B5316" s="22" t="e">
        <x:f>HYPERLINK("https://cdn.shopify.com/s/files/1/0918/6066/4603/files/O1CN01NGTVuX1HlWxG5SB1D__2545140798-0-cib_47368614-409e-4d69-ba39-193693212bf4.jpg?v=1774881679","Open")</x:f>
        <x:v>HYPERLINK is not implemented. linkLocation=https://cdn.shopify.com/s/files/1/0918/6066/4603/files/O1CN01NGTVuX1HlWxG5SB1D__2545140798-0-cib_47368614-409e-4d69-ba39-193693212bf4.jpg?v=1774881679, friendlyName=Open</x:v>
      </x:c>
      <x:c r="C5316" s="24" t="e">
        <x:f>HYPERLINK("https://365nails.com/products/365nails-cozy-kawaii-bear-honey-handmade-press-on-nails","365nails: ""Cozy Kawaii Bear &amp; Honey"" – Nail Art Stickers")</x:f>
        <x:v>HYPERLINK is not implemented. linkLocation=https://365nails.com/products/365nails-cozy-kawaii-bear-honey-handmade-press-on-nails, friendlyName=365nails: "Cozy Kawaii Bear &amp; Honey" – Nail Art Stickers</x:v>
      </x:c>
      <x:c r="D5316" s="18" t="str">
        <x:v>Specification type: To3496 / To3508 / To3511</x:v>
      </x:c>
      <x:c r="E5316" s="25" t="str">
        <x:v>$1.09</x:v>
      </x:c>
      <x:c r="F5316" s="19" t="str">
        <x:v>5</x:v>
      </x:c>
    </x:row>
    <x:row r="5317" ht="93" customHeight="1">
      <x:c r="A5317" s="19" t="n">
        <x:v>5314</x:v>
      </x:c>
      <x:c r="B5317" s="22" t="e">
        <x:f>HYPERLINK("https://cdn.shopify.com/s/files/1/0918/6066/4603/files/O1CN01CQdd8u1HlWx9msG9E__2545140798-0-cib_15e062e1-069f-4940-8d24-a39b60588764.jpg?v=1774881602","Open")</x:f>
        <x:v>HYPERLINK is not implemented. linkLocation=https://cdn.shopify.com/s/files/1/0918/6066/4603/files/O1CN01CQdd8u1HlWx9msG9E__2545140798-0-cib_15e062e1-069f-4940-8d24-a39b60588764.jpg?v=1774881602, friendlyName=Open</x:v>
      </x:c>
      <x:c r="C5317" s="24" t="e">
        <x:f>HYPERLINK("https://365nails.com/products/365nails-disney-princess-5d-embossed-handmade-press-on-nails","365nails: ""Disney Princess 5D Embossed"" – Nail Art Stickers")</x:f>
        <x:v>HYPERLINK is not implemented. linkLocation=https://365nails.com/products/365nails-disney-princess-5d-embossed-handmade-press-on-nails, friendlyName=365nails: "Disney Princess 5D Embossed" – Nail Art Stickers</x:v>
      </x:c>
      <x:c r="D5317" s="18" t="str">
        <x:v>Specification type: To3516</x:v>
      </x:c>
      <x:c r="E5317" s="25" t="str">
        <x:v>$1.23</x:v>
      </x:c>
      <x:c r="F5317" s="19" t="str">
        <x:v>5</x:v>
      </x:c>
    </x:row>
    <x:row r="5318" ht="93" customHeight="1">
      <x:c r="A5318" s="19" t="n">
        <x:v>5315</x:v>
      </x:c>
      <x:c r="B5318" s="22" t="e">
        <x:f>HYPERLINK("https://cdn.shopify.com/s/files/1/0918/6066/4603/files/O1CN010Isifq1HlX0zovUuh__2545140798-0-cib.jpg?v=1774611994","Open")</x:f>
        <x:v>HYPERLINK is not implemented. linkLocation=https://cdn.shopify.com/s/files/1/0918/6066/4603/files/O1CN010Isifq1HlX0zovUuh__2545140798-0-cib.jpg?v=1774611994, friendlyName=Open</x:v>
      </x:c>
      <x:c r="C5318" s="24" t="e">
        <x:f>HYPERLINK("https://365nails.com/products/365nails-holographic-mermaid-tail-ocean-handmade-press-on-nails-1","365nails: ""holographic mermaid tail ocean"" – Nail Art Stickers")</x:f>
        <x:v>HYPERLINK is not implemented. linkLocation=https://365nails.com/products/365nails-holographic-mermaid-tail-ocean-handmade-press-on-nails-1, friendlyName=365nails: "holographic mermaid tail ocean" – Nail Art Stickers</x:v>
      </x:c>
      <x:c r="D5318" s="18" t="str">
        <x:v>Specification type: Ms594-shell light / Ms595-shell light / Ms596-jelly / Ms597-jelly / Ms606-jelly</x:v>
      </x:c>
      <x:c r="E5318" s="25" t="str">
        <x:v>$1.23</x:v>
      </x:c>
      <x:c r="F5318" s="19" t="str">
        <x:v>5</x:v>
      </x:c>
    </x:row>
    <x:row r="5319" ht="93" customHeight="1">
      <x:c r="A5319" s="19" t="n">
        <x:v>5316</x:v>
      </x:c>
      <x:c r="B5319" s="22" t="e">
        <x:f>HYPERLINK("https://cdn.shopify.com/s/files/1/0918/6066/4603/files/O1CN01Yu7SYi1HlWx0oMrJe__2545140798-0-cib_10a778ed-d8d5-4969-a243-4b738f5431ad.jpg?v=1774881541","Open")</x:f>
        <x:v>HYPERLINK is not implemented. linkLocation=https://cdn.shopify.com/s/files/1/0918/6066/4603/files/O1CN01Yu7SYi1HlWx0oMrJe__2545140798-0-cib_10a778ed-d8d5-4969-a243-4b738f5431ad.jpg?v=1774881541, friendlyName=Open</x:v>
      </x:c>
      <x:c r="C5319" s="24" t="e">
        <x:f>HYPERLINK("https://365nails.com/products/365nails-3d-metallic-silver-bow-handmade-press-on-nails","365nails: ""3D Metallic Silver Bow"" – Nail Art Stickers")</x:f>
        <x:v>HYPERLINK is not implemented. linkLocation=https://365nails.com/products/365nails-3d-metallic-silver-bow-handmade-press-on-nails, friendlyName=365nails: "3D Metallic Silver Bow" – Nail Art Stickers</x:v>
      </x:c>
      <x:c r="D5319" s="18" t="str">
        <x:v>Specification type: Ta255-laser powder / Ta255-new hot stamping / Ta255-silver</x:v>
      </x:c>
      <x:c r="E5319" s="25" t="str">
        <x:v>$1.23</x:v>
      </x:c>
      <x:c r="F5319" s="19" t="str">
        <x:v>5</x:v>
      </x:c>
    </x:row>
    <x:row r="5320" ht="93" customHeight="1">
      <x:c r="A5320" s="19" t="n">
        <x:v>5317</x:v>
      </x:c>
      <x:c r="B5320" s="22" t="e">
        <x:f>HYPERLINK("https://cdn.shopify.com/s/files/1/0918/6066/4603/files/O1CN01IVGVIq1HlWs8kvyGK__2545140798-0-cib_282cf38c-bbcb-4787-a13c-d643d013d5fc.jpg?v=1774363585","Open")</x:f>
        <x:v>HYPERLINK is not implemented. linkLocation=https://cdn.shopify.com/s/files/1/0918/6066/4603/files/O1CN01IVGVIq1HlWs8kvyGK__2545140798-0-cib_282cf38c-bbcb-4787-a13c-d643d013d5fc.jpg?v=1774363585, friendlyName=Open</x:v>
      </x:c>
      <x:c r="C5320" s="24" t="e">
        <x:f>HYPERLINK("https://365nails.com/products/365nails-vintage-floral-lace-embossed-set-handmade-press-on-nails","365nails: ""Vintage Floral Lace Embossed Set"" – Nail Art Stickers")</x:f>
        <x:v>HYPERLINK is not implemented. linkLocation=https://365nails.com/products/365nails-vintage-floral-lace-embossed-set-handmade-press-on-nails, friendlyName=365nails: "Vintage Floral Lace Embossed Set" – Nail Art Stickers</x:v>
      </x:c>
      <x:c r="D5320" s="18" t="str">
        <x:v>Specification type: To2740 / To2741</x:v>
      </x:c>
      <x:c r="E5320" s="25" t="str">
        <x:v>$1.09</x:v>
      </x:c>
      <x:c r="F5320" s="19" t="str">
        <x:v>5</x:v>
      </x:c>
    </x:row>
    <x:row r="5321" ht="93" customHeight="1">
      <x:c r="A5321" s="19" t="n">
        <x:v>5318</x:v>
      </x:c>
      <x:c r="B5321" s="22" t="e">
        <x:f>HYPERLINK("https://cdn.shopify.com/s/files/1/0918/6066/4603/files/O1CN01lixZIi1HlWt9NzQzY__2545140798-0-cib_d4b9785f-3d50-4583-9b83-6c64741e2e00.jpg?v=1774614840","Open")</x:f>
        <x:v>HYPERLINK is not implemented. linkLocation=https://cdn.shopify.com/s/files/1/0918/6066/4603/files/O1CN01lixZIi1HlWt9NzQzY__2545140798-0-cib_d4b9785f-3d50-4583-9b83-6c64741e2e00.jpg?v=1774614840, friendlyName=Open</x:v>
      </x:c>
      <x:c r="C5321" s="24" t="e">
        <x:f>HYPERLINK("https://365nails.com/products/365nails-holographic-silver-jellyfish-ocean-handmade-press-on-nails-1","365nails: ""Holographic Silver Jellyfish Ocean"" – Nail Art Stickers")</x:f>
        <x:v>HYPERLINK is not implemented. linkLocation=https://365nails.com/products/365nails-holographic-silver-jellyfish-ocean-handmade-press-on-nails-1, friendlyName=365nails: "Holographic Silver Jellyfish Ocean" – Nail Art Stickers</x:v>
      </x:c>
      <x:c r="D5321" s="18" t="str">
        <x:v>Specification type: To2882-laser silver / To2882-new hot stamping / To2882-silver / To2884-laser silver / To2884-new hot stamping / To2884-silver</x:v>
      </x:c>
      <x:c r="E5321" s="25" t="str">
        <x:v>$1.23</x:v>
      </x:c>
      <x:c r="F5321" s="19" t="str">
        <x:v>5</x:v>
      </x:c>
    </x:row>
    <x:row r="5322" ht="93" customHeight="1">
      <x:c r="A5322" s="19" t="n">
        <x:v>5319</x:v>
      </x:c>
      <x:c r="B5322" s="22" t="e">
        <x:f>HYPERLINK("https://cdn.shopify.com/s/files/1/0918/6066/4603/files/O1CN01NVftsG1HlX5mX3Hp0__2545140798-0-cib.jpg?v=1774675848","Open")</x:f>
        <x:v>HYPERLINK is not implemented. linkLocation=https://cdn.shopify.com/s/files/1/0918/6066/4603/files/O1CN01NVftsG1HlX5mX3Hp0__2545140798-0-cib.jpg?v=1774675848, friendlyName=Open</x:v>
      </x:c>
      <x:c r="C5322" s="24" t="e">
        <x:f>HYPERLINK("https://365nails.com/products/365nails-white-camellia-chinese-calligraphy-handmade-press-on-nails","365nails: ""White Camellia Chinese Calligraphy"" – Nail Art Stickers")</x:f>
        <x:v>HYPERLINK is not implemented. linkLocation=https://365nails.com/products/365nails-white-camellia-chinese-calligraphy-handmade-press-on-nails, friendlyName=365nails: "White Camellia Chinese Calligraphy" – Nail Art Stickers</x:v>
      </x:c>
      <x:c r="D5322" s="18" t="str">
        <x:v>Specification type: To4859 / To4929</x:v>
      </x:c>
      <x:c r="E5322" s="25" t="str">
        <x:v>$1.09</x:v>
      </x:c>
      <x:c r="F5322" s="19" t="str">
        <x:v>5</x:v>
      </x:c>
    </x:row>
    <x:row r="5323" ht="93" customHeight="1">
      <x:c r="A5323" s="19" t="n">
        <x:v>5320</x:v>
      </x:c>
      <x:c r="B5323" s="22" t="e">
        <x:f>HYPERLINK("https://cdn.shopify.com/s/files/1/0918/6066/4603/files/O1CN01SfkOVj1HlX1AGRk0e__2545140798-0-cib.jpg?v=1774617351","Open")</x:f>
        <x:v>HYPERLINK is not implemented. linkLocation=https://cdn.shopify.com/s/files/1/0918/6066/4603/files/O1CN01SfkOVj1HlX1AGRk0e__2545140798-0-cib.jpg?v=1774617351, friendlyName=Open</x:v>
      </x:c>
      <x:c r="C5323" s="24" t="e">
        <x:f>HYPERLINK("https://365nails.com/products/365nails-blue-jelly-line-art-kawaii-handmade-press-on-nails","365nails: ""Blue Jelly Line Art Kawaii"" – Nail Art Stickers")</x:f>
        <x:v>HYPERLINK is not implemented. linkLocation=https://365nails.com/products/365nails-blue-jelly-line-art-kawaii-handmade-press-on-nails, friendlyName=365nails: "Blue Jelly Line Art Kawaii" – Nail Art Stickers</x:v>
      </x:c>
      <x:c r="D5323" s="18" t="str">
        <x:v>Specification type: To4012 / To4013</x:v>
      </x:c>
      <x:c r="E5323" s="25" t="str">
        <x:v>$1.09</x:v>
      </x:c>
      <x:c r="F5323" s="19" t="str">
        <x:v>5</x:v>
      </x:c>
    </x:row>
    <x:row r="5324" ht="93" customHeight="1">
      <x:c r="A5324" s="19" t="n">
        <x:v>5321</x:v>
      </x:c>
      <x:c r="B5324" s="22" t="e">
        <x:f>HYPERLINK("https://cdn.shopify.com/s/files/1/0918/6066/4603/files/O1CN01uqsW0O1HlX6KX49jh__2545140798-0-cib.jpg?v=1774362413","Open")</x:f>
        <x:v>HYPERLINK is not implemented. linkLocation=https://cdn.shopify.com/s/files/1/0918/6066/4603/files/O1CN01uqsW0O1HlX6KX49jh__2545140798-0-cib.jpg?v=1774362413, friendlyName=Open</x:v>
      </x:c>
      <x:c r="C5324" s="24" t="e">
        <x:f>HYPERLINK("https://365nails.com/products/365nails-cute-cat-butterfly-doodle-embossed-set-handmade-press-on-nails","365nails: ""cute cat butterfly doodle embossed set"" – Nail Art Stickers")</x:f>
        <x:v>HYPERLINK is not implemented. linkLocation=https://365nails.com/products/365nails-cute-cat-butterfly-doodle-embossed-set-handmade-press-on-nails, friendlyName=365nails: "cute cat butterfly doodle embossed set" – Nail Art Stickers</x:v>
      </x:c>
      <x:c r="D5324" s="18" t="str">
        <x:v>Specification type: To5014 / To5024</x:v>
      </x:c>
      <x:c r="E5324" s="25" t="str">
        <x:v>$1.09</x:v>
      </x:c>
      <x:c r="F5324" s="19" t="str">
        <x:v>5</x:v>
      </x:c>
    </x:row>
    <x:row r="5325" ht="93" customHeight="1">
      <x:c r="A5325" s="19" t="n">
        <x:v>5322</x:v>
      </x:c>
      <x:c r="B5325" s="22" t="e">
        <x:f>HYPERLINK("https://cdn.shopify.com/s/files/1/0918/6066/4603/files/O1CN01Yg7uV31HlWjLoQjx4__2545140798-0-cib.jpg?v=1774272578","Open")</x:f>
        <x:v>HYPERLINK is not implemented. linkLocation=https://cdn.shopify.com/s/files/1/0918/6066/4603/files/O1CN01Yg7uV31HlWjLoQjx4__2545140798-0-cib.jpg?v=1774272578, friendlyName=Open</x:v>
      </x:c>
      <x:c r="C5325" s="24" t="e">
        <x:f>HYPERLINK("https://365nails.com/products/365nails-minimalist-white-peony-handmade-press-on-nails","365nails: ""minimalist white peony"" – Nail Art Stickers")</x:f>
        <x:v>HYPERLINK is not implemented. linkLocation=https://365nails.com/products/365nails-minimalist-white-peony-handmade-press-on-nails, friendlyName=365nails: "minimalist white peony" – Nail Art Stickers</x:v>
      </x:c>
      <x:c r="D5325" s="18" t="str">
        <x:v>Specification type: To 338 white / To 338 black</x:v>
      </x:c>
      <x:c r="E5325" s="25" t="str">
        <x:v>$1.09</x:v>
      </x:c>
      <x:c r="F5325" s="19" t="str">
        <x:v>5</x:v>
      </x:c>
    </x:row>
    <x:row r="5326" ht="93" customHeight="1">
      <x:c r="A5326" s="19" t="n">
        <x:v>5323</x:v>
      </x:c>
      <x:c r="B5326" s="22" t="e">
        <x:f>HYPERLINK("https://cdn.shopify.com/s/files/1/0918/6066/4603/files/O1CN017RNYiE1HlWqHeo2DT__2545140798-0-cib.jpg?v=1774276675","Open")</x:f>
        <x:v>HYPERLINK is not implemented. linkLocation=https://cdn.shopify.com/s/files/1/0918/6066/4603/files/O1CN017RNYiE1HlWqHeo2DT__2545140798-0-cib.jpg?v=1774276675, friendlyName=Open</x:v>
      </x:c>
      <x:c r="C5326" s="24" t="e">
        <x:f>HYPERLINK("https://365nails.com/products/365nails-vintage-angel-cherub-emboss-handmade-press-on-nails","365nails: ""vintage angel cherub emboss"" – Nail Art Stickers")</x:f>
        <x:v>HYPERLINK is not implemented. linkLocation=https://365nails.com/products/365nails-vintage-angel-cherub-emboss-handmade-press-on-nails, friendlyName=365nails: "vintage angel cherub emboss" – Nail Art Stickers</x:v>
      </x:c>
      <x:c r="D5326" s="18" t="str">
        <x:v>Specification type: To2228</x:v>
      </x:c>
      <x:c r="E5326" s="25" t="str">
        <x:v>$1.23</x:v>
      </x:c>
      <x:c r="F5326" s="19" t="str">
        <x:v>5</x:v>
      </x:c>
    </x:row>
    <x:row r="5327" ht="93" customHeight="1">
      <x:c r="A5327" s="19" t="n">
        <x:v>5324</x:v>
      </x:c>
      <x:c r="B5327" s="22" t="e">
        <x:f>HYPERLINK("https://cdn.shopify.com/s/files/1/0918/6066/4603/files/O1CN01lO9cZe1HlX5o3wlUU__2545140798-0-cib_f4f770a8-89ea-44fb-9f21-a8d81c4a1213.jpg?v=1774272509","Open")</x:f>
        <x:v>HYPERLINK is not implemented. linkLocation=https://cdn.shopify.com/s/files/1/0918/6066/4603/files/O1CN01lO9cZe1HlX5o3wlUU__2545140798-0-cib_f4f770a8-89ea-44fb-9f21-a8d81c4a1213.jpg?v=1774272509, friendlyName=Open</x:v>
      </x:c>
      <x:c r="C5327" s="24" t="e">
        <x:f>HYPERLINK("https://365nails.com/products/365nails-peach-blossom-oriental-poetry-handmade-press-on-nails","365nails: ""peach blossom oriental poetry"" – Nail Art Stickers")</x:f>
        <x:v>HYPERLINK is not implemented. linkLocation=https://365nails.com/products/365nails-peach-blossom-oriental-poetry-handmade-press-on-nails, friendlyName=365nails: "peach blossom oriental poetry" – Nail Art Stickers</x:v>
      </x:c>
      <x:c r="D5327" s="18" t="str">
        <x:v>Specification type: To4896-relief / To4898-relief</x:v>
      </x:c>
      <x:c r="E5327" s="25" t="str">
        <x:v>$1.23</x:v>
      </x:c>
      <x:c r="F5327" s="19" t="str">
        <x:v>5</x:v>
      </x:c>
    </x:row>
    <x:row r="5328" ht="93" customHeight="1">
      <x:c r="A5328" s="19" t="n">
        <x:v>5325</x:v>
      </x:c>
      <x:c r="B5328" s="22" t="e">
        <x:f>HYPERLINK("https://cdn.shopify.com/s/files/1/0918/6066/4603/files/O1CN01AsCc3x1HlX5L6SzFW__2545140798-0-cib.jpg?v=1774674564","Open")</x:f>
        <x:v>HYPERLINK is not implemented. linkLocation=https://cdn.shopify.com/s/files/1/0918/6066/4603/files/O1CN01AsCc3x1HlX5L6SzFW__2545140798-0-cib.jpg?v=1774674564, friendlyName=Open</x:v>
      </x:c>
      <x:c r="C5328" s="24" t="e">
        <x:f>HYPERLINK("https://365nails.com/products/365nails-holographic-bunny-heart-handmade-press-on-nails","365nails: ""Holographic Bunny &amp; Heart"" – Nail Art Stickers")</x:f>
        <x:v>HYPERLINK is not implemented. linkLocation=https://365nails.com/products/365nails-holographic-bunny-heart-handmade-press-on-nails, friendlyName=365nails: "Holographic Bunny &amp; Heart" – Nail Art Stickers</x:v>
      </x:c>
      <x:c r="D5328" s="18" t="str">
        <x:v>Specification type: To4838-relief</x:v>
      </x:c>
      <x:c r="E5328" s="25" t="str">
        <x:v>$1.23</x:v>
      </x:c>
      <x:c r="F5328" s="19" t="str">
        <x:v>5</x:v>
      </x:c>
    </x:row>
    <x:row r="5329" ht="93" customHeight="1">
      <x:c r="A5329" s="19" t="n">
        <x:v>5326</x:v>
      </x:c>
      <x:c r="B5329" s="22" t="e">
        <x:f>HYPERLINK("https://cdn.shopify.com/s/files/1/0918/6066/4603/files/O1CN01U03voW1HlX9YqGdgj__2545140798-0-cib_febe7b69-5a3f-4781-8586-8bb4628db20d.jpg?v=1774360995","Open")</x:f>
        <x:v>HYPERLINK is not implemented. linkLocation=https://cdn.shopify.com/s/files/1/0918/6066/4603/files/O1CN01U03voW1HlX9YqGdgj__2545140798-0-cib_febe7b69-5a3f-4781-8586-8bb4628db20d.jpg?v=1774360995, friendlyName=Open</x:v>
      </x:c>
      <x:c r="C5329" s="24" t="e">
        <x:f>HYPERLINK("https://365nails.com/products/365nails-cute-halloween-character-embossed-set-handmade-press-on-nails","365nails: ""cute halloween character embossed set"" – Nail Art Stickers")</x:f>
        <x:v>HYPERLINK is not implemented. linkLocation=https://365nails.com/products/365nails-cute-halloween-character-embossed-set-handmade-press-on-nails, friendlyName=365nails: "cute halloween character embossed set" – Nail Art Stickers</x:v>
      </x:c>
      <x:c r="D5329" s="18" t="str">
        <x:v>Specification type: To5365-relief</x:v>
      </x:c>
      <x:c r="E5329" s="25" t="str">
        <x:v>$1.23</x:v>
      </x:c>
      <x:c r="F5329" s="19" t="str">
        <x:v>5</x:v>
      </x:c>
    </x:row>
    <x:row r="5330" ht="93" customHeight="1">
      <x:c r="A5330" s="19" t="n">
        <x:v>5327</x:v>
      </x:c>
      <x:c r="B5330" s="22" t="e">
        <x:f>HYPERLINK("https://cdn.shopify.com/s/files/1/0918/6066/4603/files/O1CN010NwPmg1HlWwJESw18__2545140798-0-cib_ea149fbd-28bd-42ef-807d-c7b6ee29a486.jpg?v=1774621568","Open")</x:f>
        <x:v>HYPERLINK is not implemented. linkLocation=https://cdn.shopify.com/s/files/1/0918/6066/4603/files/O1CN010NwPmg1HlWwJESw18__2545140798-0-cib_ea149fbd-28bd-42ef-807d-c7b6ee29a486.jpg?v=1774621568, friendlyName=Open</x:v>
      </x:c>
      <x:c r="C5330" s="24" t="e">
        <x:f>HYPERLINK("https://365nails.com/products/365nails-holographic-aurora-alphabet-letters-handmade-press-on-nails","365nails: ""Holographic Aurora Alphabet Letters"" – Nail Art Stickers")</x:f>
        <x:v>HYPERLINK is not implemented. linkLocation=https://365nails.com/products/365nails-holographic-aurora-alphabet-letters-handmade-press-on-nails, friendlyName=365nails: "Holographic Aurora Alphabet Letters" – Nail Art Stickers</x:v>
      </x:c>
      <x:c r="D5330" s="18" t="str">
        <x:v>Specification type: To3314-laser powder / To3314-rose gold / To3314-new hot stamping / To3314-silver</x:v>
      </x:c>
      <x:c r="E5330" s="25" t="str">
        <x:v>$1.23</x:v>
      </x:c>
      <x:c r="F5330" s="19" t="str">
        <x:v>5</x:v>
      </x:c>
    </x:row>
    <x:row r="5331" ht="93" customHeight="1">
      <x:c r="A5331" s="19" t="n">
        <x:v>5328</x:v>
      </x:c>
      <x:c r="B5331" s="22" t="e">
        <x:f>HYPERLINK("https://cdn.shopify.com/s/files/1/0918/6066/4603/files/O1CN01GUHxds1HlX0fRyLlg__2545140798-0-cib.jpg?v=1774611866","Open")</x:f>
        <x:v>HYPERLINK is not implemented. linkLocation=https://cdn.shopify.com/s/files/1/0918/6066/4603/files/O1CN01GUHxds1HlX0fRyLlg__2545140798-0-cib.jpg?v=1774611866, friendlyName=Open</x:v>
      </x:c>
      <x:c r="C5331" s="24" t="e">
        <x:f>HYPERLINK("https://365nails.com/products/365nails-holographic-crystal-butterfly-moon-handmade-press-on-nails","365nails: ""holographic crystal butterfly &amp; moon"" – Nail Art Stickers")</x:f>
        <x:v>HYPERLINK is not implemented. linkLocation=https://365nails.com/products/365nails-holographic-crystal-butterfly-moon-handmade-press-on-nails, friendlyName=365nails: "holographic crystal butterfly &amp; moon" – Nail Art Stickers</x:v>
      </x:c>
      <x:c r="D5331" s="18" t="str">
        <x:v>Specification type: To3342-crystal diamond / To3343-crystal diamond</x:v>
      </x:c>
      <x:c r="E5331" s="25" t="str">
        <x:v>$1.30</x:v>
      </x:c>
      <x:c r="F5331" s="19" t="str">
        <x:v>5</x:v>
      </x:c>
    </x:row>
    <x:row r="5332" ht="93" customHeight="1">
      <x:c r="A5332" s="19" t="n">
        <x:v>5329</x:v>
      </x:c>
      <x:c r="B5332" s="22" t="e">
        <x:f>HYPERLINK("https://cdn.shopify.com/s/files/1/0918/6066/4603/files/O1CN018G2iCJ1HlWtK3LUML__2545140798-0-cib.jpg?v=1774355361","Open")</x:f>
        <x:v>HYPERLINK is not implemented. linkLocation=https://cdn.shopify.com/s/files/1/0918/6066/4603/files/O1CN018G2iCJ1HlWtK3LUML__2545140798-0-cib.jpg?v=1774355361, friendlyName=Open</x:v>
      </x:c>
      <x:c r="C5332" s="24" t="e">
        <x:f>HYPERLINK("https://365nails.com/products/365nails-watercolor-peony-summer-popsicle-handmade-press-on-nails","365nails: ""watercolor peony &amp; summer popsicle"" – Nail Art Stickers")</x:f>
        <x:v>HYPERLINK is not implemented. linkLocation=https://365nails.com/products/365nails-watercolor-peony-summer-popsicle-handmade-press-on-nails, friendlyName=365nails: "watercolor peony &amp; summer popsicle" – Nail Art Stickers</x:v>
      </x:c>
      <x:c r="D5332" s="18" t="str">
        <x:v>Specification type: To2876 / To2894 / To2896 / To2924 / To2936</x:v>
      </x:c>
      <x:c r="E5332" s="25" t="str">
        <x:v>$1.09</x:v>
      </x:c>
      <x:c r="F5332" s="19" t="str">
        <x:v>5</x:v>
      </x:c>
    </x:row>
    <x:row r="5333" ht="93" customHeight="1">
      <x:c r="A5333" s="19" t="n">
        <x:v>5330</x:v>
      </x:c>
      <x:c r="B5333" s="22" t="e">
        <x:f>HYPERLINK("https://cdn.shopify.com/s/files/1/0918/6066/4603/files/c718d213ec9de313ffbc884771e22338.jpg?v=1765328541","Open")</x:f>
        <x:v>HYPERLINK is not implemented. linkLocation=https://cdn.shopify.com/s/files/1/0918/6066/4603/files/c718d213ec9de313ffbc884771e22338.jpg?v=1765328541, friendlyName=Open</x:v>
      </x:c>
      <x:c r="C5333" s="24" t="e">
        <x:f>HYPERLINK("https://365nails.com/products/sugar-frost-glitter-press-on-nails-clear-colorful-chunky-sparkle-square-starry-glitter-sparkling-series","Sugar Frost Glitter Press On Nails｜Clear Colorful Chunky Sparkle Square | Starry Glitter · Sparkling Series")</x:f>
        <x:v>HYPERLINK is not implemented. linkLocation=https://365nails.com/products/sugar-frost-glitter-press-on-nails-clear-colorful-chunky-sparkle-square-starry-glitter-sparkling-series, friendlyName=Sugar Frost Glitter Press On Nails｜Clear Colorful Chunky Sparkle Square | Starry Glitter · Sparkling Series</x:v>
      </x:c>
      <x:c r="D5333" s="18" t="str">
        <x:v>shape: almond / square; Size: XS / S / M / L; length: 45mm / 30mm</x:v>
      </x:c>
      <x:c r="E5333" s="25" t="str">
        <x:v>$9.00</x:v>
      </x:c>
      <x:c r="F5333" s="19" t="str">
        <x:v>1</x:v>
      </x:c>
    </x:row>
    <x:row r="5334" ht="93" customHeight="1">
      <x:c r="A5334" s="19" t="n">
        <x:v>5331</x:v>
      </x:c>
      <x:c r="B5334" s="22" t="e">
        <x:f>HYPERLINK("https://cdn.shopify.com/s/files/1/0918/6066/4603/files/O1CN01RiyOkJ1HlX1kTrs3R__2545140798-0-cib.jpg?v=1774618315","Open")</x:f>
        <x:v>HYPERLINK is not implemented. linkLocation=https://cdn.shopify.com/s/files/1/0918/6066/4603/files/O1CN01RiyOkJ1HlX1kTrs3R__2545140798-0-cib.jpg?v=1774618315, friendlyName=Open</x:v>
      </x:c>
      <x:c r="C5334" s="24" t="e">
        <x:f>HYPERLINK("https://365nails.com/products/365nails-holographic-aurora-sakura-handmade-press-on-nails","365nails: ""Holographic Aurora Sakura"" – Nail Art Stickers")</x:f>
        <x:v>HYPERLINK is not implemented. linkLocation=https://365nails.com/products/365nails-holographic-aurora-sakura-handmade-press-on-nails, friendlyName=365nails: "Holographic Aurora Sakura" – Nail Art Stickers</x:v>
      </x:c>
      <x:c r="D5334" s="18" t="str">
        <x:v>Specification type: To4191-jelly / To4192-jelly</x:v>
      </x:c>
      <x:c r="E5334" s="25" t="str">
        <x:v>$1.23</x:v>
      </x:c>
      <x:c r="F5334" s="19" t="str">
        <x:v>5</x:v>
      </x:c>
    </x:row>
    <x:row r="5335" ht="93" customHeight="1">
      <x:c r="A5335" s="19" t="n">
        <x:v>5332</x:v>
      </x:c>
      <x:c r="B5335" s="22" t="e">
        <x:f>HYPERLINK("https://cdn.shopify.com/s/files/1/0918/6066/4603/files/O1CN01NcOVO61HlX7GlbpH3__2545140798-0-cib.jpg?v=1774796160","Open")</x:f>
        <x:v>HYPERLINK is not implemented. linkLocation=https://cdn.shopify.com/s/files/1/0918/6066/4603/files/O1CN01NcOVO61HlX7GlbpH3__2545140798-0-cib.jpg?v=1774796160, friendlyName=Open</x:v>
      </x:c>
      <x:c r="C5335" s="24" t="e">
        <x:f>HYPERLINK("https://365nails.com/products/365nails-sweet-strawberry-bow-handmade-press-on-nails","365nails: ""Sweet Strawberry &amp; Bow"" – Nail Art Stickers")</x:f>
        <x:v>HYPERLINK is not implemented. linkLocation=https://365nails.com/products/365nails-sweet-strawberry-bow-handmade-press-on-nails, friendlyName=365nails: "Sweet Strawberry &amp; Bow" – Nail Art Stickers</x:v>
      </x:c>
      <x:c r="D5335" s="18" t="str">
        <x:v>Specification type: To5113-metal</x:v>
      </x:c>
      <x:c r="E5335" s="25" t="str">
        <x:v>$1.23</x:v>
      </x:c>
      <x:c r="F5335" s="19" t="str">
        <x:v>5</x:v>
      </x:c>
    </x:row>
    <x:row r="5336" ht="93" customHeight="1">
      <x:c r="A5336" s="19" t="n">
        <x:v>5333</x:v>
      </x:c>
      <x:c r="B5336" s="22" t="e">
        <x:f>HYPERLINK("https://cdn.shopify.com/s/files/1/0918/6066/4603/files/O1CN01WaDfbN1HlWzCrWSY5__2545140798-0-cib.jpg?v=1774616959","Open")</x:f>
        <x:v>HYPERLINK is not implemented. linkLocation=https://cdn.shopify.com/s/files/1/0918/6066/4603/files/O1CN01WaDfbN1HlWzCrWSY5__2545140798-0-cib.jpg?v=1774616959, friendlyName=Open</x:v>
      </x:c>
      <x:c r="C5336" s="24" t="e">
        <x:f>HYPERLINK("https://365nails.com/products/365nails-watercolor-rose-calligraphy-handmade-press-on-nails","365nails: ""Watercolor Rose &amp; Calligraphy"" – Nail Art Stickers")</x:f>
        <x:v>HYPERLINK is not implemented. linkLocation=https://365nails.com/products/365nails-watercolor-rose-calligraphy-handmade-press-on-nails, friendlyName=365nails: "Watercolor Rose &amp; Calligraphy" – Nail Art Stickers</x:v>
      </x:c>
      <x:c r="D5336" s="18" t="str">
        <x:v>Specification type: Ta 290 / To3714</x:v>
      </x:c>
      <x:c r="E5336" s="25" t="str">
        <x:v>$1.09</x:v>
      </x:c>
      <x:c r="F5336" s="19" t="str">
        <x:v>5</x:v>
      </x:c>
    </x:row>
    <x:row r="5337" ht="93" customHeight="1">
      <x:c r="A5337" s="19" t="n">
        <x:v>5334</x:v>
      </x:c>
      <x:c r="B5337" s="22" t="e">
        <x:f>HYPERLINK("https://cdn.shopify.com/s/files/1/0918/6066/4603/files/O1CN01e5YBYL1HlX8w6JESi__2545140798-0-cib.jpg?v=1774363297","Open")</x:f>
        <x:v>HYPERLINK is not implemented. linkLocation=https://cdn.shopify.com/s/files/1/0918/6066/4603/files/O1CN01e5YBYL1HlX8w6JESi__2545140798-0-cib.jpg?v=1774363297, friendlyName=Open</x:v>
      </x:c>
      <x:c r="C5337" s="24" t="e">
        <x:f>HYPERLINK("https://365nails.com/products/365nails-gothic-skull-tattoo-embossed-set-handmade-press-on-nails","365nails: ""Gothic Skull Tattoo Embossed Set"" – Nail Art Stickers")</x:f>
        <x:v>HYPERLINK is not implemented. linkLocation=https://365nails.com/products/365nails-gothic-skull-tattoo-embossed-set-handmade-press-on-nails, friendlyName=365nails: "Gothic Skull Tattoo Embossed Set" – Nail Art Stickers</x:v>
      </x:c>
      <x:c r="D5337" s="18" t="str">
        <x:v>Specification type: To5247 / To5248</x:v>
      </x:c>
      <x:c r="E5337" s="25" t="str">
        <x:v>$1.09</x:v>
      </x:c>
      <x:c r="F5337" s="19" t="str">
        <x:v>5</x:v>
      </x:c>
    </x:row>
    <x:row r="5338" ht="93" customHeight="1">
      <x:c r="A5338" s="19" t="n">
        <x:v>5335</x:v>
      </x:c>
      <x:c r="B5338" s="22" t="e">
        <x:f>HYPERLINK("https://cdn.shopify.com/s/files/1/0918/6066/4603/files/O1CN01EieTtP1HlWxbtKzIt__2545140798-0-cib.jpg?v=1774615667","Open")</x:f>
        <x:v>HYPERLINK is not implemented. linkLocation=https://cdn.shopify.com/s/files/1/0918/6066/4603/files/O1CN01EieTtP1HlWxbtKzIt__2545140798-0-cib.jpg?v=1774615667, friendlyName=Open</x:v>
      </x:c>
      <x:c r="C5338" s="24" t="e">
        <x:f>HYPERLINK("https://365nails.com/products/365nails-gothic-lolita-dark-fantasy-embossed-handmade-press-on-nails","365nails: ""Gothic Lolita Dark Fantasy Embossed"" – Nail Art Stickers")</x:f>
        <x:v>HYPERLINK is not implemented. linkLocation=https://365nails.com/products/365nails-gothic-lolita-dark-fantasy-embossed-handmade-press-on-nails, friendlyName=365nails: "Gothic Lolita Dark Fantasy Embossed" – Nail Art Stickers</x:v>
      </x:c>
      <x:c r="D5338" s="18" t="str">
        <x:v>Specification type: To3500 / To3512</x:v>
      </x:c>
      <x:c r="E5338" s="25" t="str">
        <x:v>$1.23</x:v>
      </x:c>
      <x:c r="F5338" s="19" t="str">
        <x:v>5</x:v>
      </x:c>
    </x:row>
    <x:row r="5339" ht="93" customHeight="1">
      <x:c r="A5339" s="19" t="n">
        <x:v>5336</x:v>
      </x:c>
      <x:c r="B5339" s="22" t="e">
        <x:f>HYPERLINK("https://cdn.shopify.com/s/files/1/0918/6066/4603/files/O1CN0141nKkO1HlWnLuMvfp__2545140798-0-cib_4c809803-b44f-43dc-97ee-3fbf95c930fb.jpg?v=1774362255","Open")</x:f>
        <x:v>HYPERLINK is not implemented. linkLocation=https://cdn.shopify.com/s/files/1/0918/6066/4603/files/O1CN0141nKkO1HlWnLuMvfp__2545140798-0-cib_4c809803-b44f-43dc-97ee-3fbf95c930fb.jpg?v=1774362255, friendlyName=Open</x:v>
      </x:c>
      <x:c r="C5339" s="24" t="e">
        <x:f>HYPERLINK("https://365nails.com/products/365nails-vintage-chrysanthemum-oval-embossed-set-handmade-press-on-nails","365nails: ""vintage chrysanthemum oval embossed set"" – Nail Art Stickers")</x:f>
        <x:v>HYPERLINK is not implemented. linkLocation=https://365nails.com/products/365nails-vintage-chrysanthemum-oval-embossed-set-handmade-press-on-nails, friendlyName=365nails: "vintage chrysanthemum oval embossed set" – Nail Art Stickers</x:v>
      </x:c>
      <x:c r="D5339" s="18" t="str">
        <x:v>Specification type: Ta68 / Ta69 / Ta70 / Ta 102</x:v>
      </x:c>
      <x:c r="E5339" s="25" t="str">
        <x:v>$1.09</x:v>
      </x:c>
      <x:c r="F5339" s="19" t="str">
        <x:v>5</x:v>
      </x:c>
    </x:row>
    <x:row r="5340" ht="93" customHeight="1">
      <x:c r="A5340" s="19" t="n">
        <x:v>5337</x:v>
      </x:c>
      <x:c r="B5340" s="22" t="e">
        <x:f>HYPERLINK("https://cdn.shopify.com/s/files/1/0918/6066/4603/files/O1CN01KOxFz41HlXAXC6Huj__2545140798-0-cib.jpg?v=1774880198","Open")</x:f>
        <x:v>HYPERLINK is not implemented. linkLocation=https://cdn.shopify.com/s/files/1/0918/6066/4603/files/O1CN01KOxFz41HlXAXC6Huj__2545140798-0-cib.jpg?v=1774880198, friendlyName=Open</x:v>
      </x:c>
      <x:c r="C5340" s="24" t="e">
        <x:f>HYPERLINK("https://365nails.com/products/365nails-pastel-gingham-bow-handmade-press-on-nails","365nails: ""Pastel Gingham Bow"" – Nail Art Stickers")</x:f>
        <x:v>HYPERLINK is not implemented. linkLocation=https://365nails.com/products/365nails-pastel-gingham-bow-handmade-press-on-nails, friendlyName=365nails: "Pastel Gingham Bow" – Nail Art Stickers</x:v>
      </x:c>
      <x:c r="D5340" s="18" t="str">
        <x:v>Specification type: To5424-relief / To5499-relief</x:v>
      </x:c>
      <x:c r="E5340" s="25" t="str">
        <x:v>$1.23</x:v>
      </x:c>
      <x:c r="F5340" s="19" t="str">
        <x:v>5</x:v>
      </x:c>
    </x:row>
    <x:row r="5341" ht="93" customHeight="1">
      <x:c r="A5341" s="19" t="n">
        <x:v>5338</x:v>
      </x:c>
      <x:c r="B5341" s="22" t="e">
        <x:f>HYPERLINK("https://cdn.shopify.com/s/files/1/0918/6066/4603/files/O1CN01M1ITLl1HlX98VPAc6__2545140798-0-cib.jpg?v=1774796037","Open")</x:f>
        <x:v>HYPERLINK is not implemented. linkLocation=https://cdn.shopify.com/s/files/1/0918/6066/4603/files/O1CN01M1ITLl1HlX98VPAc6__2545140798-0-cib.jpg?v=1774796037, friendlyName=Open</x:v>
      </x:c>
      <x:c r="C5341" s="24" t="e">
        <x:f>HYPERLINK("https://365nails.com/products/365nails-cute-cat-autumn-diary-handmade-press-on-nails","365nails: ""Cute Cat Autumn Diary"" – Nail Art Stickers")</x:f>
        <x:v>HYPERLINK is not implemented. linkLocation=https://365nails.com/products/365nails-cute-cat-autumn-diary-handmade-press-on-nails, friendlyName=365nails: "Cute Cat Autumn Diary" – Nail Art Stickers</x:v>
      </x:c>
      <x:c r="D5341" s="18" t="str">
        <x:v>Specification type: To5203-relief</x:v>
      </x:c>
      <x:c r="E5341" s="25" t="str">
        <x:v>$1.23</x:v>
      </x:c>
      <x:c r="F5341" s="19" t="str">
        <x:v>5</x:v>
      </x:c>
    </x:row>
    <x:row r="5342" ht="93" customHeight="1">
      <x:c r="A5342" s="19" t="n">
        <x:v>5339</x:v>
      </x:c>
      <x:c r="B5342" s="22" t="e">
        <x:f>HYPERLINK("https://cdn.shopify.com/s/files/1/0918/6066/4603/files/O1CN016t3rfy1HlWwSFl6xa__2545140798-0-cib_aa3b8989-09c1-4042-b8d8-6618ea723310.jpg?v=1774615362","Open")</x:f>
        <x:v>HYPERLINK is not implemented. linkLocation=https://cdn.shopify.com/s/files/1/0918/6066/4603/files/O1CN016t3rfy1HlWwSFl6xa__2545140798-0-cib_aa3b8989-09c1-4042-b8d8-6618ea723310.jpg?v=1774615362, friendlyName=Open</x:v>
      </x:c>
      <x:c r="C5342" s="24" t="e">
        <x:f>HYPERLINK("https://365nails.com/products/365nails-osmanthus-flower-embossed-handmade-press-on-nails","365nails: ""Osmanthus Flower Embossed"" – Nail Art Stickers")</x:f>
        <x:v>HYPERLINK is not implemented. linkLocation=https://365nails.com/products/365nails-osmanthus-flower-embossed-handmade-press-on-nails, friendlyName=365nails: "Osmanthus Flower Embossed" – Nail Art Stickers</x:v>
      </x:c>
      <x:c r="D5342" s="18" t="str">
        <x:v>Specification type: To3330</x:v>
      </x:c>
      <x:c r="E5342" s="25" t="str">
        <x:v>$1.23</x:v>
      </x:c>
      <x:c r="F5342" s="19" t="str">
        <x:v>5</x:v>
      </x:c>
    </x:row>
    <x:row r="5343" ht="93" customHeight="1">
      <x:c r="A5343" s="19" t="n">
        <x:v>5340</x:v>
      </x:c>
      <x:c r="B5343" s="22" t="e">
        <x:f>HYPERLINK("https://cdn.shopify.com/s/files/1/0918/6066/4603/files/O1CN01gkheyZ1HlX7O1GB2p__2545140798-0-cib_efb612ab-9cfd-412f-8e32-5721c6fe007b.jpg?v=1774357756","Open")</x:f>
        <x:v>HYPERLINK is not implemented. linkLocation=https://cdn.shopify.com/s/files/1/0918/6066/4603/files/O1CN01gkheyZ1HlX7O1GB2p__2545140798-0-cib_efb612ab-9cfd-412f-8e32-5721c6fe007b.jpg?v=1774357756, friendlyName=Open</x:v>
      </x:c>
      <x:c r="C5343" s="24" t="e">
        <x:f>HYPERLINK("https://365nails.com/products/365nails-iridescent-daisy-flower-crystal-set-handmade-press-on-nails","365nails: ""iridescent daisy flower crystal set"" – Nail Art Stickers")</x:f>
        <x:v>HYPERLINK is not implemented. linkLocation=https://365nails.com/products/365nails-iridescent-daisy-flower-crystal-set-handmade-press-on-nails, friendlyName=365nails: "iridescent daisy flower crystal set" – Nail Art Stickers</x:v>
      </x:c>
      <x:c r="D5343" s="18" t="str">
        <x:v>Specification type: To5098-metal / To5119-shell light</x:v>
      </x:c>
      <x:c r="E5343" s="25" t="str">
        <x:v>$1.23</x:v>
      </x:c>
      <x:c r="F5343" s="19" t="str">
        <x:v>5</x:v>
      </x:c>
    </x:row>
    <x:row r="5344" ht="93" customHeight="1">
      <x:c r="A5344" s="19" t="n">
        <x:v>5341</x:v>
      </x:c>
      <x:c r="B5344" s="22" t="e">
        <x:f>HYPERLINK("https://cdn.shopify.com/s/files/1/0918/6066/4603/files/O1CN01cNxR3L1HlWpNA39ui__2545140798-0-cib.jpg?v=1774880762","Open")</x:f>
        <x:v>HYPERLINK is not implemented. linkLocation=https://cdn.shopify.com/s/files/1/0918/6066/4603/files/O1CN01cNxR3L1HlWpNA39ui__2545140798-0-cib.jpg?v=1774880762, friendlyName=Open</x:v>
      </x:c>
      <x:c r="C5344" s="24" t="e">
        <x:f>HYPERLINK("https://365nails.com/products/365nails-cute-kawaii-fruit-good-luck-handmade-press-on-nails","365nails: ""Cute Kawaii Fruit &amp; Good Luck"" – Nail Art Stickers")</x:f>
        <x:v>HYPERLINK is not implemented. linkLocation=https://365nails.com/products/365nails-cute-kawaii-fruit-good-luck-handmade-press-on-nails, friendlyName=365nails: "Cute Kawaii Fruit &amp; Good Luck" – Nail Art Stickers</x:v>
      </x:c>
      <x:c r="D5344" s="18" t="str">
        <x:v>Specification type: To1961 / To2000</x:v>
      </x:c>
      <x:c r="E5344" s="25" t="str">
        <x:v>$1.23</x:v>
      </x:c>
      <x:c r="F5344" s="19" t="str">
        <x:v>5</x:v>
      </x:c>
    </x:row>
    <x:row r="5345" ht="93" customHeight="1">
      <x:c r="A5345" s="19" t="n">
        <x:v>5342</x:v>
      </x:c>
      <x:c r="B5345" s="22" t="e">
        <x:f>HYPERLINK("https://cdn.shopify.com/s/files/1/0918/6066/4603/files/O1CN01UHKaa81HlX3iyLntZ__2545140798-0-cib.jpg?v=1774361631","Open")</x:f>
        <x:v>HYPERLINK is not implemented. linkLocation=https://cdn.shopify.com/s/files/1/0918/6066/4603/files/O1CN01UHKaa81HlX3iyLntZ__2545140798-0-cib.jpg?v=1774361631, friendlyName=Open</x:v>
      </x:c>
      <x:c r="C5345" s="24" t="e">
        <x:f>HYPERLINK("https://365nails.com/products/365nails-terracotta-brush-stroke-square-embossed-set-handmade-press-on-nails","365nails: ""terracotta brush stroke square embossed set"" – Nail Art Stickers")</x:f>
        <x:v>HYPERLINK is not implemented. linkLocation=https://365nails.com/products/365nails-terracotta-brush-stroke-square-embossed-set-handmade-press-on-nails, friendlyName=365nails: "terracotta brush stroke square embossed set" – Nail Art Stickers</x:v>
      </x:c>
      <x:c r="D5345" s="18" t="str">
        <x:v>Specification type: Ms662 plaid / Ms 705</x:v>
      </x:c>
      <x:c r="E5345" s="25" t="str">
        <x:v>$1.09</x:v>
      </x:c>
      <x:c r="F5345" s="19" t="str">
        <x:v>5</x:v>
      </x:c>
    </x:row>
    <x:row r="5346" ht="93" customHeight="1">
      <x:c r="A5346" s="19" t="n">
        <x:v>5343</x:v>
      </x:c>
      <x:c r="B5346" s="22" t="e">
        <x:f>HYPERLINK("https://cdn.shopify.com/s/files/1/0918/6066/4603/files/O1CN01G2HsSS1HlX5HBnDfq__2545140798-0-cib_ca350b6f-ed0b-4b00-b7f9-4cdebc44e48b.jpg?v=1774257169","Open")</x:f>
        <x:v>HYPERLINK is not implemented. linkLocation=https://cdn.shopify.com/s/files/1/0918/6066/4603/files/O1CN01G2HsSS1HlX5HBnDfq__2545140798-0-cib_ca350b6f-ed0b-4b00-b7f9-4cdebc44e48b.jpg?v=1774257169, friendlyName=Open</x:v>
      </x:c>
      <x:c r="C5346" s="24" t="e">
        <x:f>HYPERLINK("https://365nails.com/products/365nails-autumn-chrysanthemum-poetry-handmade-press-on-nails-1","365nails: ""autumn chrysanthemum poetry"" – Nail Art Stickers")</x:f>
        <x:v>HYPERLINK is not implemented. linkLocation=https://365nails.com/products/365nails-autumn-chrysanthemum-poetry-handmade-press-on-nails-1, friendlyName=365nails: "autumn chrysanthemum poetry" – Nail Art Stickers</x:v>
      </x:c>
      <x:c r="D5346" s="18" t="str">
        <x:v>Specification type: To4642-relief</x:v>
      </x:c>
      <x:c r="E5346" s="25" t="str">
        <x:v>$1.23</x:v>
      </x:c>
      <x:c r="F5346" s="19" t="str">
        <x:v>5</x:v>
      </x:c>
    </x:row>
    <x:row r="5347" ht="93" customHeight="1">
      <x:c r="A5347" s="19" t="n">
        <x:v>5344</x:v>
      </x:c>
      <x:c r="B5347" s="22" t="e">
        <x:f>HYPERLINK("https://cdn.shopify.com/s/files/1/0918/6066/4603/files/O1CN01DlNeT11HlWxI5UYgk__2545140798-0-cib_c9c91f99-4d38-46f3-8dec-87d77f464bea.jpg?v=1774881761","Open")</x:f>
        <x:v>HYPERLINK is not implemented. linkLocation=https://cdn.shopify.com/s/files/1/0918/6066/4603/files/O1CN01DlNeT11HlWxI5UYgk__2545140798-0-cib_c9c91f99-4d38-46f3-8dec-87d77f464bea.jpg?v=1774881761, friendlyName=Open</x:v>
      </x:c>
      <x:c r="C5347" s="24" t="e">
        <x:f>HYPERLINK("https://365nails.com/products/365nails-oriental-bamboo-calligraphy-handmade-press-on-nails","365nails: ""Oriental Bamboo &amp; Calligraphy"" – Nail Art Stickers")</x:f>
        <x:v>HYPERLINK is not implemented. linkLocation=https://365nails.com/products/365nails-oriental-bamboo-calligraphy-handmade-press-on-nails, friendlyName=365nails: "Oriental Bamboo &amp; Calligraphy" – Nail Art Stickers</x:v>
      </x:c>
      <x:c r="D5347" s="18" t="str">
        <x:v>Specification type: To3523 / To3524</x:v>
      </x:c>
      <x:c r="E5347" s="25" t="str">
        <x:v>$1.09</x:v>
      </x:c>
      <x:c r="F5347" s="19" t="str">
        <x:v>5</x:v>
      </x:c>
    </x:row>
    <x:row r="5348" ht="93" customHeight="1">
      <x:c r="A5348" s="19" t="n">
        <x:v>5345</x:v>
      </x:c>
      <x:c r="B5348" s="22" t="e">
        <x:f>HYPERLINK("https://cdn.shopify.com/s/files/1/0918/6066/4603/files/O1CN01VuFeU71HlX2DvNQbe__2545140798-0-cib.jpg?v=1774614116","Open")</x:f>
        <x:v>HYPERLINK is not implemented. linkLocation=https://cdn.shopify.com/s/files/1/0918/6066/4603/files/O1CN01VuFeU71HlX2DvNQbe__2545140798-0-cib.jpg?v=1774614116, friendlyName=Open</x:v>
      </x:c>
      <x:c r="C5348" s="24" t="e">
        <x:f>HYPERLINK("https://365nails.com/products/365nails-kawaii-line-art-cat-doodle-handmade-press-on-nails","365nails: ""kawaii line art cat doodle"" – Nail Art Stickers")</x:f>
        <x:v>HYPERLINK is not implemented. linkLocation=https://365nails.com/products/365nails-kawaii-line-art-cat-doodle-handmade-press-on-nails, friendlyName=365nails: "kawaii line art cat doodle" – Nail Art Stickers</x:v>
      </x:c>
      <x:c r="D5348" s="18" t="str">
        <x:v>Specification type: To4260</x:v>
      </x:c>
      <x:c r="E5348" s="25" t="str">
        <x:v>$1.09</x:v>
      </x:c>
      <x:c r="F5348" s="19" t="str">
        <x:v>5</x:v>
      </x:c>
    </x:row>
    <x:row r="5349" ht="93" customHeight="1">
      <x:c r="A5349" s="19" t="n">
        <x:v>5346</x:v>
      </x:c>
      <x:c r="B5349" s="22" t="e">
        <x:f>HYPERLINK("https://cdn.shopify.com/s/files/1/0918/6066/4603/files/O1CN01yBC2L21HlX7Urz4TZ__2545140798-0-cib_5837d01c-109e-44e7-9595-8e87fd805bb8.jpg?v=1774357317","Open")</x:f>
        <x:v>HYPERLINK is not implemented. linkLocation=https://cdn.shopify.com/s/files/1/0918/6066/4603/files/O1CN01yBC2L21HlX7Urz4TZ__2545140798-0-cib_5837d01c-109e-44e7-9595-8e87fd805bb8.jpg?v=1774357317, friendlyName=Open</x:v>
      </x:c>
      <x:c r="C5349" s="24" t="e">
        <x:f>HYPERLINK("https://365nails.com/products/365nails-holographic-lily-bow-crystal-embossed-set-handmade-press-on-nails","365nails: ""holographic lily &amp; bow crystal embossed set"" – Nail Art Stickers")</x:f>
        <x:v>HYPERLINK is not implemented. linkLocation=https://365nails.com/products/365nails-holographic-lily-bow-crystal-embossed-set-handmade-press-on-nails, friendlyName=365nails: "holographic lily &amp; bow crystal embossed set" – Nail Art Stickers</x:v>
      </x:c>
      <x:c r="D5349" s="18" t="str">
        <x:v>Specification type: To4918-crystal diamond / To4920-crystal diamond</x:v>
      </x:c>
      <x:c r="E5349" s="25" t="str">
        <x:v>$1.30</x:v>
      </x:c>
      <x:c r="F5349" s="19" t="str">
        <x:v>5</x:v>
      </x:c>
    </x:row>
    <x:row r="5350" ht="93" customHeight="1">
      <x:c r="A5350" s="19" t="n">
        <x:v>5347</x:v>
      </x:c>
      <x:c r="B5350" s="22" t="e">
        <x:f>HYPERLINK("https://cdn.shopify.com/s/files/1/0918/6066/4603/files/O1CN01KkzbKc1HlWt5AbNRb__2545140798-0-cib.jpg?v=1774277135","Open")</x:f>
        <x:v>HYPERLINK is not implemented. linkLocation=https://cdn.shopify.com/s/files/1/0918/6066/4603/files/O1CN01KkzbKc1HlWt5AbNRb__2545140798-0-cib.jpg?v=1774277135, friendlyName=Open</x:v>
      </x:c>
      <x:c r="C5350" s="24" t="e">
        <x:f>HYPERLINK("https://365nails.com/products/365nails-realistic-cute-cat-face-collection-handmade-press-on-nails","365nails: ""realistic cute cat face collection"" – Nail Art Stickers")</x:f>
        <x:v>HYPERLINK is not implemented. linkLocation=https://365nails.com/products/365nails-realistic-cute-cat-face-collection-handmade-press-on-nails, friendlyName=365nails: "realistic cute cat face collection" – Nail Art Stickers</x:v>
      </x:c>
      <x:c r="D5350" s="18" t="str">
        <x:v>Specification type: To2569 / To2890</x:v>
      </x:c>
      <x:c r="E5350" s="25" t="str">
        <x:v>$1.23</x:v>
      </x:c>
      <x:c r="F5350" s="19" t="str">
        <x:v>5</x:v>
      </x:c>
    </x:row>
    <x:row r="5351" ht="93" customHeight="1">
      <x:c r="A5351" s="19" t="n">
        <x:v>5348</x:v>
      </x:c>
      <x:c r="B5351" s="22" t="e">
        <x:f>HYPERLINK("https://cdn.shopify.com/s/files/1/0918/6066/4603/files/O1CN01PxBISm1HlWsFGF0gw__2545140798-0-cib_5f30e4d9-9466-40c1-b60e-8028434ceaf5.jpg?v=1774613410","Open")</x:f>
        <x:v>HYPERLINK is not implemented. linkLocation=https://cdn.shopify.com/s/files/1/0918/6066/4603/files/O1CN01PxBISm1HlWsFGF0gw__2545140798-0-cib_5f30e4d9-9466-40c1-b60e-8028434ceaf5.jpg?v=1774613410, friendlyName=Open</x:v>
      </x:c>
      <x:c r="C5351" s="24" t="e">
        <x:f>HYPERLINK("https://365nails.com/products/365nails-kawaii-red-riding-hood-bunny-handmade-press-on-nails","365nails: ""kawaii red riding hood bunny"" – Nail Art Stickers")</x:f>
        <x:v>HYPERLINK is not implemented. linkLocation=https://365nails.com/products/365nails-kawaii-red-riding-hood-bunny-handmade-press-on-nails, friendlyName=365nails: "kawaii red riding hood bunny" – Nail Art Stickers</x:v>
      </x:c>
      <x:c r="D5351" s="18" t="str">
        <x:v>Specification type: To2737</x:v>
      </x:c>
      <x:c r="E5351" s="25" t="str">
        <x:v>$1.23</x:v>
      </x:c>
      <x:c r="F5351" s="19" t="str">
        <x:v>5</x:v>
      </x:c>
    </x:row>
    <x:row r="5352" ht="93" customHeight="1">
      <x:c r="A5352" s="19" t="n">
        <x:v>5349</x:v>
      </x:c>
      <x:c r="B5352" s="22" t="e">
        <x:f>HYPERLINK("https://cdn.shopify.com/s/files/1/0918/6066/4603/files/O1CN01NE8B3z1HlWuKF1Fft__2545140798-0-cib_4f20e248-bcc3-4df6-8b47-3bdd13ec1f9e.jpg?v=1774615214","Open")</x:f>
        <x:v>HYPERLINK is not implemented. linkLocation=https://cdn.shopify.com/s/files/1/0918/6066/4603/files/O1CN01NE8B3z1HlWuKF1Fft__2545140798-0-cib_4f20e248-bcc3-4df6-8b47-3bdd13ec1f9e.jpg?v=1774615214, friendlyName=Open</x:v>
      </x:c>
      <x:c r="C5352" s="24" t="e">
        <x:f>HYPERLINK("https://365nails.com/products/365nails-kawaii-panda-lily-of-the-valley-handmade-press-on-nails","365nails: ""kawaii panda &amp; lily of the valley"" – Nail Art Stickers")</x:f>
        <x:v>HYPERLINK is not implemented. linkLocation=https://365nails.com/products/365nails-kawaii-panda-lily-of-the-valley-handmade-press-on-nails, friendlyName=365nails: "kawaii panda &amp; lily of the valley" – Nail Art Stickers</x:v>
      </x:c>
      <x:c r="D5352" s="18" t="str">
        <x:v>Specification type: To3004 / To3037</x:v>
      </x:c>
      <x:c r="E5352" s="25" t="str">
        <x:v>$1.23</x:v>
      </x:c>
      <x:c r="F5352" s="19" t="str">
        <x:v>5</x:v>
      </x:c>
    </x:row>
    <x:row r="5353" ht="93" customHeight="1">
      <x:c r="A5353" s="19" t="n">
        <x:v>5350</x:v>
      </x:c>
      <x:c r="B5353" s="22" t="e">
        <x:f>HYPERLINK("https://cdn.shopify.com/s/files/1/0918/6066/4603/files/O1CN01IWqWmq1HlWl24QzkO__2545140798-0-cib.jpg?v=1774880394","Open")</x:f>
        <x:v>HYPERLINK is not implemented. linkLocation=https://cdn.shopify.com/s/files/1/0918/6066/4603/files/O1CN01IWqWmq1HlWl24QzkO__2545140798-0-cib.jpg?v=1774880394, friendlyName=Open</x:v>
      </x:c>
      <x:c r="C5353" s="24" t="e">
        <x:f>HYPERLINK("https://365nails.com/products/365nails-mixed-size-pastel-rhinestone-handmade-press-on-nails","365nails: ""Mixed Size Pastel Rhinestone"" – Nail Art Stickers")</x:f>
        <x:v>HYPERLINK is not implemented. linkLocation=https://365nails.com/products/365nails-mixed-size-pastel-rhinestone-handmade-press-on-nails, friendlyName=365nails: "Mixed Size Pastel Rhinestone" – Nail Art Stickers</x:v>
      </x:c>
      <x:c r="D5353" s="18" t="str">
        <x:v>Specification type: Colored diamonds / Pearl white</x:v>
      </x:c>
      <x:c r="E5353" s="25" t="str">
        <x:v>$1.45</x:v>
      </x:c>
      <x:c r="F5353" s="19" t="str">
        <x:v>5</x:v>
      </x:c>
    </x:row>
    <x:row r="5354" ht="93" customHeight="1">
      <x:c r="A5354" s="19" t="n">
        <x:v>5351</x:v>
      </x:c>
      <x:c r="B5354" s="22" t="e">
        <x:f>HYPERLINK("https://cdn.shopify.com/s/files/1/0918/6066/4603/files/O1CN01Ck9Jkf1HlWo69mAN7__2545140798-0-cib_0ba600a6-9e19-4fdc-82b9-0e1fb7604088.jpg?v=1774612480","Open")</x:f>
        <x:v>HYPERLINK is not implemented. linkLocation=https://cdn.shopify.com/s/files/1/0918/6066/4603/files/O1CN01Ck9Jkf1HlWo69mAN7__2545140798-0-cib_0ba600a6-9e19-4fdc-82b9-0e1fb7604088.jpg?v=1774612480, friendlyName=Open</x:v>
      </x:c>
      <x:c r="C5354" s="24" t="e">
        <x:f>HYPERLINK("https://365nails.com/products/365nails-detective-conan-anime-character-handmade-press-on-nails","365nails: ""Detective Conan anime character"" – Nail Art Stickers")</x:f>
        <x:v>HYPERLINK is not implemented. linkLocation=https://365nails.com/products/365nails-detective-conan-anime-character-handmade-press-on-nails, friendlyName=365nails: "Detective Conan anime character" – Nail Art Stickers</x:v>
      </x:c>
      <x:c r="D5354" s="18" t="str">
        <x:v>Specification type: To1531 / To1549 / To1546</x:v>
      </x:c>
      <x:c r="E5354" s="25" t="str">
        <x:v>$1.09</x:v>
      </x:c>
      <x:c r="F5354" s="19" t="str">
        <x:v>5</x:v>
      </x:c>
    </x:row>
    <x:row r="5355" ht="93" customHeight="1">
      <x:c r="A5355" s="19" t="n">
        <x:v>5352</x:v>
      </x:c>
      <x:c r="B5355" s="22" t="e">
        <x:f>HYPERLINK("https://cdn.shopify.com/s/files/1/0918/6066/4603/files/O1CN017XjMs91HlX94LoiAC__2545140798-0-cib.jpg?v=1774795975","Open")</x:f>
        <x:v>HYPERLINK is not implemented. linkLocation=https://cdn.shopify.com/s/files/1/0918/6066/4603/files/O1CN017XjMs91HlX94LoiAC__2545140798-0-cib.jpg?v=1774795975, friendlyName=Open</x:v>
      </x:c>
      <x:c r="C5355" s="24" t="e">
        <x:f>HYPERLINK("https://365nails.com/products/365nails-holographic-spider-web-handmade-press-on-nails","365nails: ""Holographic Spider &amp; Web"" – Nail Art Stickers")</x:f>
        <x:v>HYPERLINK is not implemented. linkLocation=https://365nails.com/products/365nails-holographic-spider-web-handmade-press-on-nails, friendlyName=365nails: "Holographic Spider &amp; Web" – Nail Art Stickers</x:v>
      </x:c>
      <x:c r="D5355" s="18" t="str">
        <x:v>Specification type: Ms855-metal</x:v>
      </x:c>
      <x:c r="E5355" s="25" t="str">
        <x:v>$1.23</x:v>
      </x:c>
      <x:c r="F5355" s="19" t="str">
        <x:v>5</x:v>
      </x:c>
    </x:row>
    <x:row r="5356" ht="93" customHeight="1">
      <x:c r="A5356" s="19" t="n">
        <x:v>5353</x:v>
      </x:c>
      <x:c r="B5356" s="22" t="e">
        <x:f>HYPERLINK("https://cdn.shopify.com/s/files/1/0918/6066/4603/files/O1CN01aT83U81HlWuMlFei6__2545140798-0-cib.jpg?v=1774355646","Open")</x:f>
        <x:v>HYPERLINK is not implemented. linkLocation=https://cdn.shopify.com/s/files/1/0918/6066/4603/files/O1CN01aT83U81HlWuMlFei6__2545140798-0-cib.jpg?v=1774355646, friendlyName=Open</x:v>
      </x:c>
      <x:c r="C5356" s="24" t="e">
        <x:f>HYPERLINK("https://365nails.com/products/365nails-gold-foil-daisy-crystal-bloom-handmade-press-on-nails","365nails: ""gold foil daisy crystal bloom"" – Nail Art Stickers")</x:f>
        <x:v>HYPERLINK is not implemented. linkLocation=https://365nails.com/products/365nails-gold-foil-daisy-crystal-bloom-handmade-press-on-nails, friendlyName=365nails: "gold foil daisy crystal bloom" – Nail Art Stickers</x:v>
      </x:c>
      <x:c r="D5356" s="18" t="str">
        <x:v>Specification type: To3027-new hot stamping / To3027-silver</x:v>
      </x:c>
      <x:c r="E5356" s="25" t="str">
        <x:v>$1.30</x:v>
      </x:c>
      <x:c r="F5356" s="19" t="str">
        <x:v>5</x:v>
      </x:c>
    </x:row>
    <x:row r="5357" ht="93" customHeight="1">
      <x:c r="A5357" s="19" t="n">
        <x:v>5354</x:v>
      </x:c>
      <x:c r="B5357" s="22" t="e">
        <x:f>HYPERLINK("https://cdn.shopify.com/s/files/1/0918/6066/4603/files/O1CN01HkrkBt1HlWvP7eVP8__2545140798-0-cib.jpg?v=1774356794","Open")</x:f>
        <x:v>HYPERLINK is not implemented. linkLocation=https://cdn.shopify.com/s/files/1/0918/6066/4603/files/O1CN01HkrkBt1HlWvP7eVP8__2545140798-0-cib.jpg?v=1774356794, friendlyName=Open</x:v>
      </x:c>
      <x:c r="C5357" s="24" t="e">
        <x:f>HYPERLINK("https://365nails.com/products/365nails-kawaii-cute-face-emoji-embossed-set-handmade-press-on-nails","365nails: ""kawaii cute face emoji embossed set"" – Nail Art Stickers")</x:f>
        <x:v>HYPERLINK is not implemented. linkLocation=https://365nails.com/products/365nails-kawaii-cute-face-emoji-embossed-set-handmade-press-on-nails, friendlyName=365nails: "kawaii cute face emoji embossed set" – Nail Art Stickers</x:v>
      </x:c>
      <x:c r="D5357" s="18" t="str">
        <x:v>Specification type: To3217 / To3226</x:v>
      </x:c>
      <x:c r="E5357" s="25" t="str">
        <x:v>$1.23</x:v>
      </x:c>
      <x:c r="F5357" s="19" t="str">
        <x:v>5</x:v>
      </x:c>
    </x:row>
    <x:row r="5358" ht="93" customHeight="1">
      <x:c r="A5358" s="19" t="n">
        <x:v>5355</x:v>
      </x:c>
      <x:c r="B5358" s="22" t="e">
        <x:f>HYPERLINK("https://cdn.shopify.com/s/files/1/0918/6066/4603/files/49b829da6cc47460260be27a9f0188ec.jpg?v=1765328503","Open")</x:f>
        <x:v>HYPERLINK is not implemented. linkLocation=https://cdn.shopify.com/s/files/1/0918/6066/4603/files/49b829da6cc47460260be27a9f0188ec.jpg?v=1765328503, friendlyName=Open</x:v>
      </x:c>
      <x:c r="C5358" s="24" t="e">
        <x:f>HYPERLINK("https://365nails.com/products/deep-sea-teal-press-on-nails-emerald-green-micro-glitter-square-starry-glitter-sparkling-series","Deep Sea Teal Press On Nails｜Emerald Green Micro Glitter Square | Starry Glitter · Sparkling Series")</x:f>
        <x:v>HYPERLINK is not implemented. linkLocation=https://365nails.com/products/deep-sea-teal-press-on-nails-emerald-green-micro-glitter-square-starry-glitter-sparkling-series, friendlyName=Deep Sea Teal Press On Nails｜Emerald Green Micro Glitter Square | Starry Glitter · Sparkling Series</x:v>
      </x:c>
      <x:c r="D5358" s="18" t="str">
        <x:v>shape: almond / square; Size: XS / S / M / L; length: 45mm / 30mm</x:v>
      </x:c>
      <x:c r="E5358" s="25" t="str">
        <x:v>$9.00</x:v>
      </x:c>
      <x:c r="F5358" s="19" t="str">
        <x:v>1</x:v>
      </x:c>
    </x:row>
    <x:row r="5359" ht="93" customHeight="1">
      <x:c r="A5359" s="19" t="n">
        <x:v>5356</x:v>
      </x:c>
      <x:c r="B5359" s="22" t="e">
        <x:f>HYPERLINK("https://cdn.shopify.com/s/files/1/0918/6066/4603/files/O1CN01hKLNUb1HlX6KUVFZQ__2545140798-0-cib.jpg?v=1774676171","Open")</x:f>
        <x:v>HYPERLINK is not implemented. linkLocation=https://cdn.shopify.com/s/files/1/0918/6066/4603/files/O1CN01hKLNUb1HlX6KUVFZQ__2545140798-0-cib.jpg?v=1774676171, friendlyName=Open</x:v>
      </x:c>
      <x:c r="C5359" s="24" t="e">
        <x:f>HYPERLINK("https://365nails.com/products/365nails-cute-teddy-bear-party-handmade-press-on-nails","365nails: ""Cute Teddy Bear Party"" – Nail Art Stickers")</x:f>
        <x:v>HYPERLINK is not implemented. linkLocation=https://365nails.com/products/365nails-cute-teddy-bear-party-handmade-press-on-nails, friendlyName=365nails: "Cute Teddy Bear Party" – Nail Art Stickers</x:v>
      </x:c>
      <x:c r="D5359" s="18" t="str">
        <x:v>Specification type: To4352 / To4393</x:v>
      </x:c>
      <x:c r="E5359" s="25" t="str">
        <x:v>$1.09</x:v>
      </x:c>
      <x:c r="F5359" s="19" t="str">
        <x:v>5</x:v>
      </x:c>
    </x:row>
    <x:row r="5360" ht="93" customHeight="1">
      <x:c r="A5360" s="19" t="n">
        <x:v>5357</x:v>
      </x:c>
      <x:c r="B5360" s="22" t="e">
        <x:f>HYPERLINK("https://cdn.shopify.com/s/files/1/0918/6066/4603/files/O1CN01gUvCxI1HlX3jArgka__2545140798-0-cib.jpg?v=1774614382","Open")</x:f>
        <x:v>HYPERLINK is not implemented. linkLocation=https://cdn.shopify.com/s/files/1/0918/6066/4603/files/O1CN01gUvCxI1HlX3jArgka__2545140798-0-cib.jpg?v=1774614382, friendlyName=Open</x:v>
      </x:c>
      <x:c r="C5360" s="24" t="e">
        <x:f>HYPERLINK("https://365nails.com/products/365nails-gold-foil-butterfly-flower-line-art-handmade-press-on-nails","365nails: ""gold foil butterfly &amp; flower line art"" – Nail Art Stickers")</x:f>
        <x:v>HYPERLINK is not implemented. linkLocation=https://365nails.com/products/365nails-gold-foil-butterfly-flower-line-art-handmade-press-on-nails, friendlyName=365nails: "gold foil butterfly &amp; flower line art" – Nail Art Stickers</x:v>
      </x:c>
      <x:c r="D5360" s="18" t="str">
        <x:v>Specification type: To4507-laser powder / To4507-rose gold / To4507-new hot stamping / To4507-silver</x:v>
      </x:c>
      <x:c r="E5360" s="25" t="str">
        <x:v>$1.23</x:v>
      </x:c>
      <x:c r="F5360" s="19" t="str">
        <x:v>5</x:v>
      </x:c>
    </x:row>
    <x:row r="5361" ht="93" customHeight="1">
      <x:c r="A5361" s="19" t="n">
        <x:v>5358</x:v>
      </x:c>
      <x:c r="B5361" s="22" t="e">
        <x:f>HYPERLINK("https://cdn.shopify.com/s/files/1/0918/6066/4603/files/O1CN01PiUng21HlWqowEAo1__2545140798-0-cib.jpg?v=1774276792","Open")</x:f>
        <x:v>HYPERLINK is not implemented. linkLocation=https://cdn.shopify.com/s/files/1/0918/6066/4603/files/O1CN01PiUng21HlWqowEAo1__2545140798-0-cib.jpg?v=1774276792, friendlyName=Open</x:v>
      </x:c>
      <x:c r="C5361" s="24" t="e">
        <x:f>HYPERLINK("https://365nails.com/products/365nails-vivienne-westwood-orb-logo-handmade-press-on-nails","365nails: ""Vivienne Westwood Orb &amp; Logo"" – Nail Art Stickers")</x:f>
        <x:v>HYPERLINK is not implemented. linkLocation=https://365nails.com/products/365nails-vivienne-westwood-orb-logo-handmade-press-on-nails, friendlyName=365nails: "Vivienne Westwood Orb &amp; Logo" – Nail Art Stickers</x:v>
      </x:c>
      <x:c r="D5361" s="18" t="str">
        <x:v>Specification type: To2474-relief / To2475-thin tough</x:v>
      </x:c>
      <x:c r="E5361" s="25" t="str">
        <x:v>$1.23</x:v>
      </x:c>
      <x:c r="F5361" s="19" t="str">
        <x:v>5</x:v>
      </x:c>
    </x:row>
    <x:row r="5362" ht="93" customHeight="1">
      <x:c r="A5362" s="19" t="n">
        <x:v>5359</x:v>
      </x:c>
      <x:c r="B5362" s="22" t="e">
        <x:f>HYPERLINK("https://cdn.shopify.com/s/files/1/0918/6066/4603/files/O1CN01ls59ny1HlX6pxRBIq__2545140798-0-cib_4f2bb76d-b936-4f8b-a79f-e2ae027a21d0.jpg?v=1774356718","Open")</x:f>
        <x:v>HYPERLINK is not implemented. linkLocation=https://cdn.shopify.com/s/files/1/0918/6066/4603/files/O1CN01ls59ny1HlX6pxRBIq__2545140798-0-cib_4f2bb76d-b936-4f8b-a79f-e2ae027a21d0.jpg?v=1774356718, friendlyName=Open</x:v>
      </x:c>
      <x:c r="C5362" s="24" t="e">
        <x:f>HYPERLINK("https://365nails.com/products/365nails-gold-foil-butterfly-script-luxury-set-handmade-press-on-nails","365nails: ""gold foil butterfly &amp; script luxury set"" – Nail Art Stickers")</x:f>
        <x:v>HYPERLINK is not implemented. linkLocation=https://365nails.com/products/365nails-gold-foil-butterfly-script-luxury-set-handmade-press-on-nails, friendlyName=365nails: "gold foil butterfly &amp; script luxury set" – Nail Art Stickers</x:v>
      </x:c>
      <x:c r="D5362" s="18" t="str">
        <x:v>Specification type: To5061-new hot stamping / To5061-silver</x:v>
      </x:c>
      <x:c r="E5362" s="25" t="str">
        <x:v>$1.23</x:v>
      </x:c>
      <x:c r="F5362" s="19" t="str">
        <x:v>5</x:v>
      </x:c>
    </x:row>
    <x:row r="5363" ht="93" customHeight="1">
      <x:c r="A5363" s="19" t="n">
        <x:v>5360</x:v>
      </x:c>
      <x:c r="B5363" s="22" t="e">
        <x:f>HYPERLINK("https://cdn.shopify.com/s/files/1/0918/6066/4603/files/O1CN016bj8g91HlX9HYWQic__2545140798-0-cib.jpg?v=1774363452","Open")</x:f>
        <x:v>HYPERLINK is not implemented. linkLocation=https://cdn.shopify.com/s/files/1/0918/6066/4603/files/O1CN016bj8g91HlX9HYWQic__2545140798-0-cib.jpg?v=1774363452, friendlyName=Open</x:v>
      </x:c>
      <x:c r="C5363" s="24" t="e">
        <x:f>HYPERLINK("https://365nails.com/products/365nails-gold-embossed-floral-sticker-set","365nails: ""Gold Embossed Floral Sticker Set""")</x:f>
        <x:v>HYPERLINK is not implemented. linkLocation=https://365nails.com/products/365nails-gold-embossed-floral-sticker-set, friendlyName=365nails: "Gold Embossed Floral Sticker Set"</x:v>
      </x:c>
      <x:c r="D5363" s="18" t="str">
        <x:v>Specification type: To5315-metal</x:v>
      </x:c>
      <x:c r="E5363" s="25" t="str">
        <x:v>$1.23</x:v>
      </x:c>
      <x:c r="F5363" s="19" t="str">
        <x:v>5</x:v>
      </x:c>
    </x:row>
    <x:row r="5364" ht="93" customHeight="1">
      <x:c r="A5364" s="19" t="n">
        <x:v>5361</x:v>
      </x:c>
      <x:c r="B5364" s="22" t="e">
        <x:f>HYPERLINK("https://cdn.shopify.com/s/files/1/0918/6066/4603/files/O1CN01wEbCa21HlX4EcvkhI__2545140798-0-cib.jpg?v=1774362055","Open")</x:f>
        <x:v>HYPERLINK is not implemented. linkLocation=https://cdn.shopify.com/s/files/1/0918/6066/4603/files/O1CN01wEbCa21HlX4EcvkhI__2545140798-0-cib.jpg?v=1774362055, friendlyName=Open</x:v>
      </x:c>
      <x:c r="C5364" s="24" t="e">
        <x:f>HYPERLINK("https://365nails.com/products/365nails-vintage-pink-rose-candle-embossed-set-handmade-press-on-nails","365nails: ""vintage pink rose candle embossed set"" – Nail Art Stickers")</x:f>
        <x:v>HYPERLINK is not implemented. linkLocation=https://365nails.com/products/365nails-vintage-pink-rose-candle-embossed-set-handmade-press-on-nails, friendlyName=365nails: "vintage pink rose candle embossed set" – Nail Art Stickers</x:v>
      </x:c>
      <x:c r="D5364" s="18" t="str">
        <x:v>Specification type: Ms724-relief</x:v>
      </x:c>
      <x:c r="E5364" s="25" t="str">
        <x:v>$1.23</x:v>
      </x:c>
      <x:c r="F5364" s="19" t="str">
        <x:v>5</x:v>
      </x:c>
    </x:row>
    <x:row r="5365" ht="93" customHeight="1">
      <x:c r="A5365" s="19" t="n">
        <x:v>5362</x:v>
      </x:c>
      <x:c r="B5365" s="22" t="e">
        <x:f>HYPERLINK("https://cdn.shopify.com/s/files/1/0918/6066/4603/files/O1CN01Cg5Qg71HlWtOboTRm__2545140798-0-cib.jpg?v=1774356557","Open")</x:f>
        <x:v>HYPERLINK is not implemented. linkLocation=https://cdn.shopify.com/s/files/1/0918/6066/4603/files/O1CN01Cg5Qg71HlWtOboTRm__2545140798-0-cib.jpg?v=1774356557, friendlyName=Open</x:v>
      </x:c>
      <x:c r="C5365" s="24" t="e">
        <x:f>HYPERLINK("https://365nails.com/products/365nails-sweet-checkered-jelly-heart-collection-handmade-press-on-nails","365nails: ""sweet checkered jelly heart collection"" – Nail Art Stickers")</x:f>
        <x:v>HYPERLINK is not implemented. linkLocation=https://365nails.com/products/365nails-sweet-checkered-jelly-heart-collection-handmade-press-on-nails, friendlyName=365nails: "sweet checkered jelly heart collection" – Nail Art Stickers</x:v>
      </x:c>
      <x:c r="D5365" s="18" t="str">
        <x:v>Color: Ta 220 / Ta 221 / Ta 222</x:v>
      </x:c>
      <x:c r="E5365" s="25" t="str">
        <x:v>$1.23</x:v>
      </x:c>
      <x:c r="F5365" s="19" t="str">
        <x:v>5</x:v>
      </x:c>
    </x:row>
    <x:row r="5366" ht="93" customHeight="1">
      <x:c r="A5366" s="19" t="n">
        <x:v>5363</x:v>
      </x:c>
      <x:c r="B5366" s="22" t="e">
        <x:f>HYPERLINK("https://cdn.shopify.com/s/files/1/0918/6066/4603/files/O1CN01erUyfq1HlX93CGHo6__2545140798-0-cib_c9e734fa-28c9-4d60-8099-6120bc15bdd3.jpg?v=1774609657","Open")</x:f>
        <x:v>HYPERLINK is not implemented. linkLocation=https://cdn.shopify.com/s/files/1/0918/6066/4603/files/O1CN01erUyfq1HlX93CGHo6__2545140798-0-cib_c9e734fa-28c9-4d60-8099-6120bc15bdd3.jpg?v=1774609657, friendlyName=Open</x:v>
      </x:c>
      <x:c r="C5366" s="24" t="e">
        <x:f>HYPERLINK("https://365nails.com/products/365nails-stitch-angel-daily-life-handmade-press-on-nails","365nails: ""Stitch &amp; Angel daily life"" – Nail Art Stickers")</x:f>
        <x:v>HYPERLINK is not implemented. linkLocation=https://365nails.com/products/365nails-stitch-angel-daily-life-handmade-press-on-nails, friendlyName=365nails: "Stitch &amp; Angel daily life" – Nail Art Stickers</x:v>
      </x:c>
      <x:c r="D5366" s="18" t="str">
        <x:v>Specification type: Td025s-relief</x:v>
      </x:c>
      <x:c r="E5366" s="25" t="str">
        <x:v>$1.34</x:v>
      </x:c>
      <x:c r="F5366" s="19" t="str">
        <x:v>5</x:v>
      </x:c>
    </x:row>
    <x:row r="5367" ht="93" customHeight="1">
      <x:c r="A5367" s="19" t="n">
        <x:v>5364</x:v>
      </x:c>
      <x:c r="B5367" s="22" t="e">
        <x:f>HYPERLINK("https://cdn.shopify.com/s/files/1/0918/6066/4603/files/O1CN01ruLw9s1HlX5z52lPy__2545140798-0-cib_b4a170a0-6352-4722-ad87-29bb325be834.jpg?v=1774272668","Open")</x:f>
        <x:v>HYPERLINK is not implemented. linkLocation=https://cdn.shopify.com/s/files/1/0918/6066/4603/files/O1CN01ruLw9s1HlX5z52lPy__2545140798-0-cib_b4a170a0-6352-4722-ad87-29bb325be834.jpg?v=1774272668, friendlyName=Open</x:v>
      </x:c>
      <x:c r="C5367" s="24" t="e">
        <x:f>HYPERLINK("https://365nails.com/products/365nails-crystal-tulip-love-letter-handmade-press-on-nails","365nails: ""crystal tulip love letter"" – Nail Art Stickers")</x:f>
        <x:v>HYPERLINK is not implemented. linkLocation=https://365nails.com/products/365nails-crystal-tulip-love-letter-handmade-press-on-nails, friendlyName=365nails: "crystal tulip love letter" – Nail Art Stickers</x:v>
      </x:c>
      <x:c r="D5367" s="18" t="str">
        <x:v>Specification type: To4968-crystal diamond</x:v>
      </x:c>
      <x:c r="E5367" s="25" t="str">
        <x:v>$1.30</x:v>
      </x:c>
      <x:c r="F5367" s="19" t="str">
        <x:v>5</x:v>
      </x:c>
    </x:row>
    <x:row r="5368" ht="93" customHeight="1">
      <x:c r="A5368" s="19" t="n">
        <x:v>5365</x:v>
      </x:c>
      <x:c r="B5368" s="22" t="e">
        <x:f>HYPERLINK("https://cdn.shopify.com/s/files/1/0918/6066/4603/files/O1CN01g0T2BH1HlX9yj50Jg__2545140798-0-cib.jpg?v=1774880041","Open")</x:f>
        <x:v>HYPERLINK is not implemented. linkLocation=https://cdn.shopify.com/s/files/1/0918/6066/4603/files/O1CN01g0T2BH1HlX9yj50Jg__2545140798-0-cib.jpg?v=1774880041, friendlyName=Open</x:v>
      </x:c>
      <x:c r="C5368" s="24" t="e">
        <x:f>HYPERLINK("https://365nails.com/products/365nails-merry-christmas-wreath-handmade-press-on-nails","365nails: ""Merry Christmas Wreath"" – Nail Art Stickers")</x:f>
        <x:v>HYPERLINK is not implemented. linkLocation=https://365nails.com/products/365nails-merry-christmas-wreath-handmade-press-on-nails, friendlyName=365nails: "Merry Christmas Wreath" – Nail Art Stickers</x:v>
      </x:c>
      <x:c r="D5368" s="18" t="str">
        <x:v>Specification type: To5408-jelly / To5409-jelly</x:v>
      </x:c>
      <x:c r="E5368" s="25" t="str">
        <x:v>$1.23</x:v>
      </x:c>
      <x:c r="F5368" s="19" t="str">
        <x:v>5</x:v>
      </x:c>
    </x:row>
    <x:row r="5369" ht="93" customHeight="1">
      <x:c r="A5369" s="19" t="n">
        <x:v>5366</x:v>
      </x:c>
      <x:c r="B5369" s="22" t="e">
        <x:f>HYPERLINK("https://cdn.shopify.com/s/files/1/0918/6066/4603/files/O1CN016UoPDq1HlWph67bLE__2545140798-0-cib_0bab96a8-16d9-4d83-9640-9d89e66efefc.jpg?v=1774612980","Open")</x:f>
        <x:v>HYPERLINK is not implemented. linkLocation=https://cdn.shopify.com/s/files/1/0918/6066/4603/files/O1CN016UoPDq1HlWph67bLE__2545140798-0-cib_0bab96a8-16d9-4d83-9640-9d89e66efefc.jpg?v=1774612980, friendlyName=Open</x:v>
      </x:c>
      <x:c r="C5369" s="24" t="e">
        <x:f>HYPERLINK("https://365nails.com/products/365nails-chibi-ultraman-space-adventure-handmade-press-on-nails","365nails: ""chibi Ultraman space adventure"" – Nail Art Stickers")</x:f>
        <x:v>HYPERLINK is not implemented. linkLocation=https://365nails.com/products/365nails-chibi-ultraman-space-adventure-handmade-press-on-nails, friendlyName=365nails: "chibi Ultraman space adventure" – Nail Art Stickers</x:v>
      </x:c>
      <x:c r="D5369" s="18" t="str">
        <x:v>Specification type: To2082</x:v>
      </x:c>
      <x:c r="E5369" s="25" t="str">
        <x:v>$1.23</x:v>
      </x:c>
      <x:c r="F5369" s="19" t="str">
        <x:v>5</x:v>
      </x:c>
    </x:row>
    <x:row r="5370" ht="93" customHeight="1">
      <x:c r="A5370" s="19" t="n">
        <x:v>5367</x:v>
      </x:c>
      <x:c r="B5370" s="22" t="e">
        <x:f>HYPERLINK("https://cdn.shopify.com/s/files/1/0918/6066/4603/files/O1CN015tg8iO1HlX5kQVCaS__2545140798-0-cib.jpg?v=1774794068","Open")</x:f>
        <x:v>HYPERLINK is not implemented. linkLocation=https://cdn.shopify.com/s/files/1/0918/6066/4603/files/O1CN015tg8iO1HlX5kQVCaS__2545140798-0-cib.jpg?v=1774794068, friendlyName=Open</x:v>
      </x:c>
      <x:c r="C5370" s="24" t="e">
        <x:f>HYPERLINK("https://365nails.com/products/365nails-wine-glass-red-bow-handmade-press-on-nails","365nails: ""Wine Glass &amp; Red Bow"" – Nail Art Stickers")</x:f>
        <x:v>HYPERLINK is not implemented. linkLocation=https://365nails.com/products/365nails-wine-glass-red-bow-handmade-press-on-nails, friendlyName=365nails: "Wine Glass &amp; Red Bow" – Nail Art Stickers</x:v>
      </x:c>
      <x:c r="D5370" s="18" t="str">
        <x:v>Specification type: To4907-metal</x:v>
      </x:c>
      <x:c r="E5370" s="25" t="str">
        <x:v>$1.23</x:v>
      </x:c>
      <x:c r="F5370" s="19" t="str">
        <x:v>5</x:v>
      </x:c>
    </x:row>
    <x:row r="5371" ht="93" customHeight="1">
      <x:c r="A5371" s="19" t="n">
        <x:v>5368</x:v>
      </x:c>
      <x:c r="B5371" s="22" t="e">
        <x:f>HYPERLINK("https://cdn.shopify.com/s/files/1/0918/6066/4603/files/O1CN01K2J1aq1HlX4482jMW__2545140798-0-cib.jpg?v=1774623490","Open")</x:f>
        <x:v>HYPERLINK is not implemented. linkLocation=https://cdn.shopify.com/s/files/1/0918/6066/4603/files/O1CN01K2J1aq1HlX4482jMW__2545140798-0-cib.jpg?v=1774623490, friendlyName=Open</x:v>
      </x:c>
      <x:c r="C5371" s="24" t="e">
        <x:f>HYPERLINK("https://365nails.com/products/365nails-metallic-floral-butterfly-with-pearl-handmade-press-on-nails","365nails: ""Metallic Floral &amp; Butterfly with Pearl"" – Nail Art Stickers")</x:f>
        <x:v>HYPERLINK is not implemented. linkLocation=https://365nails.com/products/365nails-metallic-floral-butterfly-with-pearl-handmade-press-on-nails, friendlyName=365nails: "Metallic Floral &amp; Butterfly with Pearl" – Nail Art Stickers</x:v>
      </x:c>
      <x:c r="D5371" s="18" t="str">
        <x:v>Specification type: To4649 rose gold-crystal diamond / To4649 new hot stamping-crystal diamond / To4649 silver-crystal diamond</x:v>
      </x:c>
      <x:c r="E5371" s="25" t="str">
        <x:v>$1.30</x:v>
      </x:c>
      <x:c r="F5371" s="19" t="str">
        <x:v>5</x:v>
      </x:c>
    </x:row>
    <x:row r="5372" ht="93" customHeight="1">
      <x:c r="A5372" s="19" t="n">
        <x:v>5369</x:v>
      </x:c>
      <x:c r="B5372" s="22" t="e">
        <x:f>HYPERLINK("https://cdn.shopify.com/s/files/1/0918/6066/4603/files/O1CN01s6Ik4l1HlX6hulJLO__2545140798-0-cib.jpg?v=1774794578","Open")</x:f>
        <x:v>HYPERLINK is not implemented. linkLocation=https://cdn.shopify.com/s/files/1/0918/6066/4603/files/O1CN01s6Ik4l1HlX6hulJLO__2545140798-0-cib.jpg?v=1774794578, friendlyName=Open</x:v>
      </x:c>
      <x:c r="C5372" s="24" t="e">
        <x:f>HYPERLINK("https://365nails.com/products/365nails-cute-puppy-spring-handmade-press-on-nails","365nails: ""Cute Puppy Spring"" – Nail Art Stickers")</x:f>
        <x:v>HYPERLINK is not implemented. linkLocation=https://365nails.com/products/365nails-cute-puppy-spring-handmade-press-on-nails, friendlyName=365nails: "Cute Puppy Spring" – Nail Art Stickers</x:v>
      </x:c>
      <x:c r="D5372" s="18" t="str">
        <x:v>Specification type: To5048-relief / To5050-relief</x:v>
      </x:c>
      <x:c r="E5372" s="25" t="str">
        <x:v>$1.23</x:v>
      </x:c>
      <x:c r="F5372" s="19" t="str">
        <x:v>5</x:v>
      </x:c>
    </x:row>
    <x:row r="5373" ht="93" customHeight="1">
      <x:c r="A5373" s="19" t="n">
        <x:v>5370</x:v>
      </x:c>
      <x:c r="B5373" s="22" t="e">
        <x:f>HYPERLINK("https://cdn.shopify.com/s/files/1/0918/6066/4603/files/O1CN0182viLE1HlX8Y0NFYg__2545140798-0-cib.jpg?v=1774796282","Open")</x:f>
        <x:v>HYPERLINK is not implemented. linkLocation=https://cdn.shopify.com/s/files/1/0918/6066/4603/files/O1CN0182viLE1HlX8Y0NFYg__2545140798-0-cib.jpg?v=1774796282, friendlyName=Open</x:v>
      </x:c>
      <x:c r="C5373" s="24" t="e">
        <x:f>HYPERLINK("https://365nails.com/products/365nails-gothic-red-apple-spider-handmade-press-on-nails","365nails: ""Gothic Red Apple &amp; Spider"" – Nail Art Stickers")</x:f>
        <x:v>HYPERLINK is not implemented. linkLocation=https://365nails.com/products/365nails-gothic-red-apple-spider-handmade-press-on-nails, friendlyName=365nails: "Gothic Red Apple &amp; Spider" – Nail Art Stickers</x:v>
      </x:c>
      <x:c r="D5373" s="18" t="str">
        <x:v>Specification type: To5207-jelly / To5216-relief / To5226-jelly</x:v>
      </x:c>
      <x:c r="E5373" s="25" t="str">
        <x:v>$1.23</x:v>
      </x:c>
      <x:c r="F5373" s="19" t="str">
        <x:v>5</x:v>
      </x:c>
    </x:row>
    <x:row r="5374" ht="93" customHeight="1">
      <x:c r="A5374" s="19" t="n">
        <x:v>5371</x:v>
      </x:c>
      <x:c r="B5374" s="22" t="e">
        <x:f>HYPERLINK("https://cdn.shopify.com/s/files/1/0918/6066/4603/files/O1CN01h4eKKM1HlX5VblQRa__2545140798-0-cib.jpg?v=1774794009","Open")</x:f>
        <x:v>HYPERLINK is not implemented. linkLocation=https://cdn.shopify.com/s/files/1/0918/6066/4603/files/O1CN01h4eKKM1HlX5VblQRa__2545140798-0-cib.jpg?v=1774794009, friendlyName=Open</x:v>
      </x:c>
      <x:c r="C5374" s="24" t="e">
        <x:f>HYPERLINK("https://365nails.com/products/365nails-rhinestone-cherry-bow-handmade-press-on-nails","365nails: ""Rhinestone Cherry &amp; Bow"" – Nail Art Stickers")</x:f>
        <x:v>HYPERLINK is not implemented. linkLocation=https://365nails.com/products/365nails-rhinestone-cherry-bow-handmade-press-on-nails, friendlyName=365nails: "Rhinestone Cherry &amp; Bow" – Nail Art Stickers</x:v>
      </x:c>
      <x:c r="D5374" s="18" t="str">
        <x:v>Specification type: To4865-crystal diamond / To4866-crystal diamond</x:v>
      </x:c>
      <x:c r="E5374" s="25" t="str">
        <x:v>$1.30</x:v>
      </x:c>
      <x:c r="F5374" s="19" t="str">
        <x:v>5</x:v>
      </x:c>
    </x:row>
    <x:row r="5375" ht="93" customHeight="1">
      <x:c r="A5375" s="19" t="n">
        <x:v>5372</x:v>
      </x:c>
      <x:c r="B5375" s="22" t="e">
        <x:f>HYPERLINK("https://cdn.shopify.com/s/files/1/0918/6066/4603/files/O1CN01CLnpbn1HlX3JV5A0Z__2545140798-0-cib.jpg?v=1774621330","Open")</x:f>
        <x:v>HYPERLINK is not implemented. linkLocation=https://cdn.shopify.com/s/files/1/0918/6066/4603/files/O1CN01CLnpbn1HlX3JV5A0Z__2545140798-0-cib.jpg?v=1774621330, friendlyName=Open</x:v>
      </x:c>
      <x:c r="C5375" s="24" t="e">
        <x:f>HYPERLINK("https://365nails.com/products/365nails-holographic-christmas-snow-globe-handmade-press-on-nails","365nails: ""Holographic Christmas Snow Globe"" – Nail Art Stickers")</x:f>
        <x:v>HYPERLINK is not implemented. linkLocation=https://365nails.com/products/365nails-holographic-christmas-snow-globe-handmade-press-on-nails, friendlyName=365nails: "Holographic Christmas Snow Globe" – Nail Art Stickers</x:v>
      </x:c>
      <x:c r="D5375" s="18" t="str">
        <x:v>Specification type: To4483-laser powder / To4483-new hot stamping / To4483-silver / To4484-shell light</x:v>
      </x:c>
      <x:c r="E5375" s="25" t="str">
        <x:v>$1.23</x:v>
      </x:c>
      <x:c r="F5375" s="19" t="str">
        <x:v>5</x:v>
      </x:c>
    </x:row>
    <x:row r="5376" ht="93" customHeight="1">
      <x:c r="A5376" s="19" t="n">
        <x:v>5373</x:v>
      </x:c>
      <x:c r="B5376" s="22" t="e">
        <x:f>HYPERLINK("https://cdn.shopify.com/s/files/1/0918/6066/4603/files/O1CN01Iuet6L1HlX9SbkqWU__2545140798-0-cib_af275940-a178-4849-a27e-4aafd3bb3656.jpg?v=1774358805","Open")</x:f>
        <x:v>HYPERLINK is not implemented. linkLocation=https://cdn.shopify.com/s/files/1/0918/6066/4603/files/O1CN01Iuet6L1HlX9SbkqWU__2545140798-0-cib_af275940-a178-4849-a27e-4aafd3bb3656.jpg?v=1774358805, friendlyName=Open</x:v>
      </x:c>
      <x:c r="C5376" s="24" t="e">
        <x:f>HYPERLINK("https://365nails.com/products/365nails-holographic-gold-butterfly-embossed-set-handmade-press-on-nails","365nails: ""holographic gold butterfly embossed set"" – Nail Art Stickers")</x:f>
        <x:v>HYPERLINK is not implemented. linkLocation=https://365nails.com/products/365nails-holographic-gold-butterfly-embossed-set-handmade-press-on-nails, friendlyName=365nails: "holographic gold butterfly embossed set" – Nail Art Stickers</x:v>
      </x:c>
      <x:c r="D5376" s="18" t="str">
        <x:v>Specification type: Ms865-new hot stamping / Ms865-silver / Ms866-new hot stamping / Ms866-silver</x:v>
      </x:c>
      <x:c r="E5376" s="25" t="str">
        <x:v>$1.23</x:v>
      </x:c>
      <x:c r="F5376" s="19" t="str">
        <x:v>5</x:v>
      </x:c>
    </x:row>
    <x:row r="5377" ht="93" customHeight="1">
      <x:c r="A5377" s="19" t="n">
        <x:v>5374</x:v>
      </x:c>
      <x:c r="B5377" s="22" t="e">
        <x:f>HYPERLINK("https://cdn.shopify.com/s/files/1/0918/6066/4603/files/O1CN018vZQjH1HlX43MWjdn__2545140798-0-cib.jpg?v=1774669888","Open")</x:f>
        <x:v>HYPERLINK is not implemented. linkLocation=https://cdn.shopify.com/s/files/1/0918/6066/4603/files/O1CN018vZQjH1HlX43MWjdn__2545140798-0-cib.jpg?v=1774669888, friendlyName=Open</x:v>
      </x:c>
      <x:c r="C5377" s="24" t="e">
        <x:f>HYPERLINK("https://365nails.com/products/365nails-holographic-crystal-sakura-handmade-press-on-nails","365nails: ""Holographic Crystal Sakura"" – Nail Art Stickers")</x:f>
        <x:v>HYPERLINK is not implemented. linkLocation=https://365nails.com/products/365nails-holographic-crystal-sakura-handmade-press-on-nails, friendlyName=365nails: "Holographic Crystal Sakura" – Nail Art Stickers</x:v>
      </x:c>
      <x:c r="D5377" s="18" t="str">
        <x:v>Specification type: To4656-jelly / To4657-jelly</x:v>
      </x:c>
      <x:c r="E5377" s="25" t="str">
        <x:v>$1.23</x:v>
      </x:c>
      <x:c r="F5377" s="19" t="str">
        <x:v>5</x:v>
      </x:c>
    </x:row>
    <x:row r="5378" ht="93" customHeight="1">
      <x:c r="A5378" s="19" t="n">
        <x:v>5375</x:v>
      </x:c>
      <x:c r="B5378" s="22" t="e">
        <x:f>HYPERLINK("https://cdn.shopify.com/s/files/1/0918/6066/4603/files/O1CN01wwizrp1HlWxTTXH9P__2545140798-0-cib_c5293ede-6cc2-4690-919e-4c8297ddf8e6.jpg?v=1774361412","Open")</x:f>
        <x:v>HYPERLINK is not implemented. linkLocation=https://cdn.shopify.com/s/files/1/0918/6066/4603/files/O1CN01wwizrp1HlWxTTXH9P__2545140798-0-cib_c5293ede-6cc2-4690-919e-4c8297ddf8e6.jpg?v=1774361412, friendlyName=Open</x:v>
      </x:c>
      <x:c r="C5378" s="24" t="e">
        <x:f>HYPERLINK("https://365nails.com/products/365nails-iridescent-phoenix-crystal-embossed-set-handmade-press-on-nails","365nails: ""iridescent phoenix crystal embossed set"" – Nail Art Stickers")</x:f>
        <x:v>HYPERLINK is not implemented. linkLocation=https://365nails.com/products/365nails-iridescent-phoenix-crystal-embossed-set-handmade-press-on-nails, friendlyName=365nails: "iridescent phoenix crystal embossed set" – Nail Art Stickers</x:v>
      </x:c>
      <x:c r="D5378" s="18" t="str">
        <x:v>Specification type: Ms476-crystal diamond / To3529-crystal diamond / To3530-crystal diamond</x:v>
      </x:c>
      <x:c r="E5378" s="25" t="str">
        <x:v>$1.34</x:v>
      </x:c>
      <x:c r="F5378" s="19" t="str">
        <x:v>5</x:v>
      </x:c>
    </x:row>
    <x:row r="5379" ht="93" customHeight="1">
      <x:c r="A5379" s="19" t="n">
        <x:v>5376</x:v>
      </x:c>
      <x:c r="B5379" s="22" t="e">
        <x:f>HYPERLINK("https://cdn.shopify.com/s/files/1/0918/6066/4603/files/O1CN01oGNHtc1HlX0nUfQ1a__2545140798-0-cib_b0edb489-8426-4d51-be16-cd61ed18b311.jpg?v=1774448483","Open")</x:f>
        <x:v>HYPERLINK is not implemented. linkLocation=https://cdn.shopify.com/s/files/1/0918/6066/4603/files/O1CN01oGNHtc1HlX0nUfQ1a__2545140798-0-cib_b0edb489-8426-4d51-be16-cd61ed18b311.jpg?v=1774448483, friendlyName=Open</x:v>
      </x:c>
      <x:c r="C5379" s="24" t="e">
        <x:f>HYPERLINK("https://365nails.com/products/365nails-kuromi-cute-character-handmade-press-on-nails","365nails: ""kuromi cute character"" – Nail Art Stickers")</x:f>
        <x:v>HYPERLINK is not implemented. linkLocation=https://365nails.com/products/365nails-kuromi-cute-character-handmade-press-on-nails, friendlyName=365nails: "kuromi cute character" – Nail Art Stickers</x:v>
      </x:c>
      <x:c r="D5379" s="18" t="str">
        <x:v>Specification type: San033</x:v>
      </x:c>
      <x:c r="E5379" s="25" t="str">
        <x:v>$1.16</x:v>
      </x:c>
      <x:c r="F5379" s="19" t="str">
        <x:v>5</x:v>
      </x:c>
    </x:row>
    <x:row r="5380" ht="93" customHeight="1">
      <x:c r="A5380" s="19" t="n">
        <x:v>5377</x:v>
      </x:c>
      <x:c r="B5380" s="22" t="e">
        <x:f>HYPERLINK("https://cdn.shopify.com/s/files/1/0918/6066/4603/files/O1CN01BWbF4W1HlXAjCBQan__2545140798-0-cib_2ac3699c-bf87-4261-9fc0-a125524bf2fd.jpg?v=1774361712","Open")</x:f>
        <x:v>HYPERLINK is not implemented. linkLocation=https://cdn.shopify.com/s/files/1/0918/6066/4603/files/O1CN01BWbF4W1HlXAjCBQan__2545140798-0-cib_2ac3699c-bf87-4261-9fc0-a125524bf2fd.jpg?v=1774361712, friendlyName=Open</x:v>
      </x:c>
      <x:c r="C5380" s="24" t="e">
        <x:f>HYPERLINK("https://365nails.com/products/365nails-red-plaid-bow-jewel-press-on-set-handmade-press-on-nails","365nails: ""red plaid bow jewel press-on set"" – Nail Art Stickers")</x:f>
        <x:v>HYPERLINK is not implemented. linkLocation=https://365nails.com/products/365nails-red-plaid-bow-jewel-press-on-set-handmade-press-on-nails, friendlyName=365nails: "red plaid bow jewel press-on set" – Nail Art Stickers</x:v>
      </x:c>
      <x:c r="D5380" s="18" t="str">
        <x:v>Specification type: Md 014 / Md 017 / Md 018</x:v>
      </x:c>
      <x:c r="E5380" s="25" t="str">
        <x:v>$3.62–$3.91</x:v>
      </x:c>
      <x:c r="F5380" s="19" t="str">
        <x:v>5</x:v>
      </x:c>
    </x:row>
    <x:row r="5381" ht="93" customHeight="1">
      <x:c r="A5381" s="19" t="n">
        <x:v>5378</x:v>
      </x:c>
      <x:c r="B5381" s="22" t="e">
        <x:f>HYPERLINK("https://cdn.shopify.com/s/files/1/0918/6066/4603/files/O1CN01O6XKNC1HlXAYrHJhA__2545140798-0-cib_11daed5c-c21c-43fe-9d85-302ad1ef08fd.jpg?v=1774361557","Open")</x:f>
        <x:v>HYPERLINK is not implemented. linkLocation=https://cdn.shopify.com/s/files/1/0918/6066/4603/files/O1CN01O6XKNC1HlXAYrHJhA__2545140798-0-cib_11daed5c-c21c-43fe-9d85-302ad1ef08fd.jpg?v=1774361557, friendlyName=Open</x:v>
      </x:c>
      <x:c r="C5381" s="24" t="e">
        <x:f>HYPERLINK("https://365nails.com/products/365nails-iridescent-purple-butterfly-embossed-set-handmade-press-on-nails","365nails: ""iridescent purple butterfly embossed set"" – Nail Art Stickers")</x:f>
        <x:v>HYPERLINK is not implemented. linkLocation=https://365nails.com/products/365nails-iridescent-purple-butterfly-embossed-set-handmade-press-on-nails, friendlyName=365nails: "iridescent purple butterfly embossed set" – Nail Art Stickers</x:v>
      </x:c>
      <x:c r="D5381" s="18" t="str">
        <x:v>Specification type: Ms910-glitter powder</x:v>
      </x:c>
      <x:c r="E5381" s="25" t="str">
        <x:v>$1.23</x:v>
      </x:c>
      <x:c r="F5381" s="19" t="str">
        <x:v>5</x:v>
      </x:c>
    </x:row>
    <x:row r="5382" ht="93" customHeight="1">
      <x:c r="A5382" s="19" t="n">
        <x:v>5379</x:v>
      </x:c>
      <x:c r="B5382" s="22" t="e">
        <x:f>HYPERLINK("https://cdn.shopify.com/s/files/1/0918/6066/4603/files/O1CN01JOCDNT1HlX4ypHcu2__2545140798-0-cib_f581cfe8-2cfe-4d62-975d-4efeeac6693b.jpg?v=1774255681","Open")</x:f>
        <x:v>HYPERLINK is not implemented. linkLocation=https://cdn.shopify.com/s/files/1/0918/6066/4603/files/O1CN01JOCDNT1HlX4ypHcu2__2545140798-0-cib_f581cfe8-2cfe-4d62-975d-4efeeac6693b.jpg?v=1774255681, friendlyName=Open</x:v>
      </x:c>
      <x:c r="C5382" s="24" t="e">
        <x:f>HYPERLINK("https://365nails.com/products/365nails-lucky-fortune-cat-handmade-press-on-nails","365nails: ""lucky fortune cat"" – Nail Art Stickers")</x:f>
        <x:v>HYPERLINK is not implemented. linkLocation=https://365nails.com/products/365nails-lucky-fortune-cat-handmade-press-on-nails, friendlyName=365nails: "lucky fortune cat" – Nail Art Stickers</x:v>
      </x:c>
      <x:c r="D5382" s="18" t="str">
        <x:v>Specification type: To4799-relief / To4805-relief</x:v>
      </x:c>
      <x:c r="E5382" s="25" t="str">
        <x:v>$1.23</x:v>
      </x:c>
      <x:c r="F5382" s="19" t="str">
        <x:v>5</x:v>
      </x:c>
    </x:row>
    <x:row r="5383" ht="93" customHeight="1">
      <x:c r="A5383" s="19" t="n">
        <x:v>5380</x:v>
      </x:c>
      <x:c r="B5383" s="22" t="e">
        <x:f>HYPERLINK("https://cdn.shopify.com/s/files/1/0918/6066/4603/files/O1CN014I1N2g1HlWyCuElSZ__2545140798-0-cib.jpg?v=1774358151","Open")</x:f>
        <x:v>HYPERLINK is not implemented. linkLocation=https://cdn.shopify.com/s/files/1/0918/6066/4603/files/O1CN014I1N2g1HlWyCuElSZ__2545140798-0-cib.jpg?v=1774358151, friendlyName=Open</x:v>
      </x:c>
      <x:c r="C5383" s="24" t="e">
        <x:f>HYPERLINK("https://365nails.com/products/365nails-iridescent-deep-blue-butterfly-crystal-set-handmade-press-on-nails","365nails: ""iridescent deep blue butterfly crystal set"" – Nail Art Stickers")</x:f>
        <x:v>HYPERLINK is not implemented. linkLocation=https://365nails.com/products/365nails-iridescent-deep-blue-butterfly-crystal-set-handmade-press-on-nails, friendlyName=365nails: "iridescent deep blue butterfly crystal set" – Nail Art Stickers</x:v>
      </x:c>
      <x:c r="D5383" s="18" t="str">
        <x:v>Specification type: To3622-crystal diamond / To3623-crystal diamond / To3624-crystal diamond / To3625-crystal diamond</x:v>
      </x:c>
      <x:c r="E5383" s="25" t="str">
        <x:v>$1.30</x:v>
      </x:c>
      <x:c r="F5383" s="19" t="str">
        <x:v>5</x:v>
      </x:c>
    </x:row>
    <x:row r="5384" ht="93" customHeight="1">
      <x:c r="A5384" s="19" t="n">
        <x:v>5381</x:v>
      </x:c>
      <x:c r="B5384" s="22" t="e">
        <x:f>HYPERLINK("https://cdn.shopify.com/s/files/1/0918/6066/4603/files/O1CN01Ck9Jkf1HlWo69mAN7__2545140798-0-cib.jpg?v=1774276080","Open")</x:f>
        <x:v>HYPERLINK is not implemented. linkLocation=https://cdn.shopify.com/s/files/1/0918/6066/4603/files/O1CN01Ck9Jkf1HlWo69mAN7__2545140798-0-cib.jpg?v=1774276080, friendlyName=Open</x:v>
      </x:c>
      <x:c r="C5384" s="24" t="e">
        <x:f>HYPERLINK("https://365nails.com/products/365nails-detective-conan-character-collection-handmade-press-on-nails","365nails: ""Detective Conan character collection"" – Nail Art Stickers")</x:f>
        <x:v>HYPERLINK is not implemented. linkLocation=https://365nails.com/products/365nails-detective-conan-character-collection-handmade-press-on-nails, friendlyName=365nails: "Detective Conan character collection" – Nail Art Stickers</x:v>
      </x:c>
      <x:c r="D5384" s="18" t="str">
        <x:v>Specification type: To1531 / To1549 / To1546</x:v>
      </x:c>
      <x:c r="E5384" s="25" t="str">
        <x:v>$1.09</x:v>
      </x:c>
      <x:c r="F5384" s="19" t="str">
        <x:v>5</x:v>
      </x:c>
    </x:row>
    <x:row r="5385" ht="93" customHeight="1">
      <x:c r="A5385" s="19" t="n">
        <x:v>5382</x:v>
      </x:c>
      <x:c r="B5385" s="22" t="e">
        <x:f>HYPERLINK("https://cdn.shopify.com/s/files/1/0918/6066/4603/files/O1CN01Ci86Vx1HlWyghvOvc__2545140798-0-cib_4fe1c207-55b9-45fd-9eb4-acd9f524623b.jpg?v=1775397551","Open")</x:f>
        <x:v>HYPERLINK is not implemented. linkLocation=https://cdn.shopify.com/s/files/1/0918/6066/4603/files/O1CN01Ci86Vx1HlWyghvOvc__2545140798-0-cib_4fe1c207-55b9-45fd-9eb4-acd9f524623b.jpg?v=1775397551, friendlyName=Open</x:v>
      </x:c>
      <x:c r="C5385" s="24" t="e">
        <x:f>HYPERLINK("https://365nails.com/products/365nails-traditional-red-dragon-handmade-press-on-nails","365nails: ""Traditional Red Dragon"" – Nail Art Stickers")</x:f>
        <x:v>HYPERLINK is not implemented. linkLocation=https://365nails.com/products/365nails-traditional-red-dragon-handmade-press-on-nails, friendlyName=365nails: "Traditional Red Dragon" – Nail Art Stickers</x:v>
      </x:c>
      <x:c r="D5385" s="18" t="str">
        <x:v>Specification type: To3700-new hot stamping / To3701-relief / To3707-relief</x:v>
      </x:c>
      <x:c r="E5385" s="25" t="str">
        <x:v>$1.38</x:v>
      </x:c>
      <x:c r="F5385" s="19" t="str">
        <x:v>5</x:v>
      </x:c>
    </x:row>
    <x:row r="5386" ht="93" customHeight="1">
      <x:c r="A5386" s="19" t="n">
        <x:v>5383</x:v>
      </x:c>
      <x:c r="B5386" s="22" t="e">
        <x:f>HYPERLINK("https://cdn.shopify.com/s/files/1/0918/6066/4603/files/O1CN01n2HGva1HlWs7kcr92__2545140798-0-cib_7c8524c7-f0c4-49cd-bdd0-9eb09f5a54e0.jpg?v=1774363675","Open")</x:f>
        <x:v>HYPERLINK is not implemented. linkLocation=https://cdn.shopify.com/s/files/1/0918/6066/4603/files/O1CN01n2HGva1HlWs7kcr92__2545140798-0-cib_7c8524c7-f0c4-49cd-bdd0-9eb09f5a54e0.jpg?v=1774363675, friendlyName=Open</x:v>
      </x:c>
      <x:c r="C5386" s="24" t="e">
        <x:f>HYPERLINK("https://365nails.com/products/365nails-little-red-rabbit-apple-embossed-set-handmade-press-on-nails","365nails: ""Little Red Rabbit Apple Embossed Set"" – Nail Art Stickers")</x:f>
        <x:v>HYPERLINK is not implemented. linkLocation=https://365nails.com/products/365nails-little-red-rabbit-apple-embossed-set-handmade-press-on-nails, friendlyName=365nails: "Little Red Rabbit Apple Embossed Set" – Nail Art Stickers</x:v>
      </x:c>
      <x:c r="D5386" s="18" t="str">
        <x:v>Specification type: To2759 / To2738</x:v>
      </x:c>
      <x:c r="E5386" s="25" t="str">
        <x:v>$1.09</x:v>
      </x:c>
      <x:c r="F5386" s="19" t="str">
        <x:v>5</x:v>
      </x:c>
    </x:row>
    <x:row r="5387" ht="93" customHeight="1">
      <x:c r="A5387" s="19" t="n">
        <x:v>5384</x:v>
      </x:c>
      <x:c r="B5387" s="22" t="e">
        <x:f>HYPERLINK("https://cdn.shopify.com/s/files/1/0918/6066/4603/files/O1CN01CjJnJP1HlX7Nn5AhH__2545140798-0-cib.jpg?v=1774363212","Open")</x:f>
        <x:v>HYPERLINK is not implemented. linkLocation=https://cdn.shopify.com/s/files/1/0918/6066/4603/files/O1CN01CjJnJP1HlX7Nn5AhH__2545140798-0-cib.jpg?v=1774363212, friendlyName=Open</x:v>
      </x:c>
      <x:c r="C5387" s="24" t="e">
        <x:f>HYPERLINK("https://365nails.com/products/365nails-summer-cat-snack-embossed-set-handmade-press-on-nails","365nails: ""Summer Cat Snack Embossed Set"" – Nail Art Stickers")</x:f>
        <x:v>HYPERLINK is not implemented. linkLocation=https://365nails.com/products/365nails-summer-cat-snack-embossed-set-handmade-press-on-nails, friendlyName=365nails: "Summer Cat Snack Embossed Set" – Nail Art Stickers</x:v>
      </x:c>
      <x:c r="D5387" s="18" t="str">
        <x:v>Specification type: To5115-relief / To5128-shell light</x:v>
      </x:c>
      <x:c r="E5387" s="25" t="str">
        <x:v>$1.23</x:v>
      </x:c>
      <x:c r="F5387" s="19" t="str">
        <x:v>5</x:v>
      </x:c>
    </x:row>
    <x:row r="5388" ht="93" customHeight="1">
      <x:c r="A5388" s="19" t="n">
        <x:v>5385</x:v>
      </x:c>
      <x:c r="B5388" s="22" t="e">
        <x:f>HYPERLINK("https://cdn.shopify.com/s/files/1/0918/6066/4603/files/O1CN01hmujeh1HlX76OeRjU__2545140798-0-cib_27cbff9d-3912-4718-b10f-63a9762ed5fe.jpg?v=1774357008","Open")</x:f>
        <x:v>HYPERLINK is not implemented. linkLocation=https://cdn.shopify.com/s/files/1/0918/6066/4603/files/O1CN01hmujeh1HlX76OeRjU__2545140798-0-cib_27cbff9d-3912-4718-b10f-63a9762ed5fe.jpg?v=1774357008, friendlyName=Open</x:v>
      </x:c>
      <x:c r="C5388" s="24" t="e">
        <x:f>HYPERLINK("https://365nails.com/products/365nails-spring-meadow-crystal-daisy-bloom-handmade-press-on-nails","365nails: ""spring meadow crystal daisy bloom"" – Nail Art Stickers")</x:f>
        <x:v>HYPERLINK is not implemented. linkLocation=https://365nails.com/products/365nails-spring-meadow-crystal-daisy-bloom-handmade-press-on-nails, friendlyName=365nails: "spring meadow crystal daisy bloom" – Nail Art Stickers</x:v>
      </x:c>
      <x:c r="D5388" s="18" t="str">
        <x:v>Specification type: To5091-crystal diamond</x:v>
      </x:c>
      <x:c r="E5388" s="25" t="str">
        <x:v>$1.30</x:v>
      </x:c>
      <x:c r="F5388" s="19" t="str">
        <x:v>5</x:v>
      </x:c>
    </x:row>
    <x:row r="5389" ht="93" customHeight="1">
      <x:c r="A5389" s="19" t="n">
        <x:v>5386</x:v>
      </x:c>
      <x:c r="B5389" s="22" t="e">
        <x:f>HYPERLINK("https://cdn.shopify.com/s/files/1/0918/6066/4603/files/O1CN01LqAMJW1YmlM4Qppry__2213953983102-0-cib.jpg?v=1774277439","Open")</x:f>
        <x:v>HYPERLINK is not implemented. linkLocation=https://cdn.shopify.com/s/files/1/0918/6066/4603/files/O1CN01LqAMJW1YmlM4Qppry__2213953983102-0-cib.jpg?v=1774277439, friendlyName=Open</x:v>
      </x:c>
      <x:c r="C5389" s="24" t="e">
        <x:f>HYPERLINK("https://365nails.com/products/365nails-daisy-meadow-fresh-bloom-handmade-press-on-nails","365nails: ""daisy meadow fresh bloom"" – Nail Art Stickers")</x:f>
        <x:v>HYPERLINK is not implemented. linkLocation=https://365nails.com/products/365nails-daisy-meadow-fresh-bloom-handmade-press-on-nails, friendlyName=365nails: "daisy meadow fresh bloom" – Nail Art Stickers</x:v>
      </x:c>
      <x:c r="D5389" s="18" t="str">
        <x:v>Specification type: To1804 / To1805</x:v>
      </x:c>
      <x:c r="E5389" s="25" t="str">
        <x:v>$1.23</x:v>
      </x:c>
      <x:c r="F5389" s="19" t="str">
        <x:v>5</x:v>
      </x:c>
    </x:row>
    <x:row r="5390" ht="93" customHeight="1">
      <x:c r="A5390" s="19" t="n">
        <x:v>5387</x:v>
      </x:c>
      <x:c r="B5390" s="22" t="e">
        <x:f>HYPERLINK("https://cdn.shopify.com/s/files/1/0918/6066/4603/files/O1CN01oi4ksc1HlWyBzZPVe__2545140798-0-cib.jpg?v=1774611432","Open")</x:f>
        <x:v>HYPERLINK is not implemented. linkLocation=https://cdn.shopify.com/s/files/1/0918/6066/4603/files/O1CN01oi4ksc1HlWyBzZPVe__2545140798-0-cib.jpg?v=1774611432, friendlyName=Open</x:v>
      </x:c>
      <x:c r="C5390" s="24" t="e">
        <x:f>HYPERLINK("https://365nails.com/products/365nails-lace-rose-crystal-embossed-handmade-press-on-nails","365nails: ""lace rose crystal embossed"" – Nail Art Stickers")</x:f>
        <x:v>HYPERLINK is not implemented. linkLocation=https://365nails.com/products/365nails-lace-rose-crystal-embossed-handmade-press-on-nails, friendlyName=365nails: "lace rose crystal embossed" – Nail Art Stickers</x:v>
      </x:c>
      <x:c r="D5390" s="18" t="str">
        <x:v>Specification type: Ms507-crystal diamond</x:v>
      </x:c>
      <x:c r="E5390" s="25" t="str">
        <x:v>$1.30</x:v>
      </x:c>
      <x:c r="F5390" s="19" t="str">
        <x:v>5</x:v>
      </x:c>
    </x:row>
    <x:row r="5391" ht="93" customHeight="1">
      <x:c r="A5391" s="19" t="n">
        <x:v>5388</x:v>
      </x:c>
      <x:c r="B5391" s="22" t="e">
        <x:f>HYPERLINK("https://cdn.shopify.com/s/files/1/0918/6066/4603/files/O1CN01ym6bO61HlWm6ZwcEf__2545140798-0-cib_6ef1f4fc-25f8-47b9-a687-5020e8b5e7e3.jpg?v=1774612332","Open")</x:f>
        <x:v>HYPERLINK is not implemented. linkLocation=https://cdn.shopify.com/s/files/1/0918/6066/4603/files/O1CN01ym6bO61HlWm6ZwcEf__2545140798-0-cib_6ef1f4fc-25f8-47b9-a687-5020e8b5e7e3.jpg?v=1774612332, friendlyName=Open</x:v>
      </x:c>
      <x:c r="C5391" s="24" t="e">
        <x:f>HYPERLINK("https://365nails.com/products/365nails-vintage-baroque-lace-embossed-handmade-press-on-nails","365nails: ""vintage baroque lace embossed"" – Nail Art Stickers")</x:f>
        <x:v>HYPERLINK is not implemented. linkLocation=https://365nails.com/products/365nails-vintage-baroque-lace-embossed-handmade-press-on-nails, friendlyName=365nails: "vintage baroque lace embossed" – Nail Art Stickers</x:v>
      </x:c>
      <x:c r="D5391" s="18" t="str">
        <x:v>Specification type: Ta826</x:v>
      </x:c>
      <x:c r="E5391" s="25" t="str">
        <x:v>$1.23</x:v>
      </x:c>
      <x:c r="F5391" s="19" t="str">
        <x:v>5</x:v>
      </x:c>
    </x:row>
    <x:row r="5392" ht="93" customHeight="1">
      <x:c r="A5392" s="19" t="n">
        <x:v>5389</x:v>
      </x:c>
      <x:c r="B5392" s="22" t="e">
        <x:f>HYPERLINK("https://cdn.shopify.com/s/files/1/0918/6066/4603/files/O1CN01D85wSX1HlX34m7HA0__2545140798-0-cib.jpg?v=1774612633","Open")</x:f>
        <x:v>HYPERLINK is not implemented. linkLocation=https://cdn.shopify.com/s/files/1/0918/6066/4603/files/O1CN01D85wSX1HlX34m7HA0__2545140798-0-cib.jpg?v=1774612633, friendlyName=Open</x:v>
      </x:c>
      <x:c r="C5392" s="24" t="e">
        <x:f>HYPERLINK("https://365nails.com/products/365nails-vintage-pink-peony-embossed-handmade-press-on-nails","365nails: ""vintage pink peony embossed"" – Nail Art Stickers")</x:f>
        <x:v>HYPERLINK is not implemented. linkLocation=https://365nails.com/products/365nails-vintage-pink-peony-embossed-handmade-press-on-nails, friendlyName=365nails: "vintage pink peony embossed" – Nail Art Stickers</x:v>
      </x:c>
      <x:c r="D5392" s="18" t="str">
        <x:v>Specification type: To3869</x:v>
      </x:c>
      <x:c r="E5392" s="25" t="str">
        <x:v>$1.09</x:v>
      </x:c>
      <x:c r="F5392" s="19" t="str">
        <x:v>5</x:v>
      </x:c>
    </x:row>
    <x:row r="5393" ht="93" customHeight="1">
      <x:c r="A5393" s="19" t="n">
        <x:v>5390</x:v>
      </x:c>
      <x:c r="B5393" s="22" t="e">
        <x:f>HYPERLINK("https://cdn.shopify.com/s/files/1/0918/6066/4603/files/O1CN01DfzzEH1HlX6q9PUc2__2545140798-0-cib_c731c92b-6ac7-4100-8c11-89e49329a0b9.jpg?v=1774356435","Open")</x:f>
        <x:v>HYPERLINK is not implemented. linkLocation=https://cdn.shopify.com/s/files/1/0918/6066/4603/files/O1CN01DfzzEH1HlX6q9PUc2__2545140798-0-cib_c731c92b-6ac7-4100-8c11-89e49329a0b9.jpg?v=1774356435, friendlyName=Open</x:v>
      </x:c>
      <x:c r="C5393" s="24" t="e">
        <x:f>HYPERLINK("https://365nails.com/products/365nails-sanrio-sweet-dalmatian-star-friend-handmade-press-on-nails","365nails: ""sanrio sweet dalmatian star friend"" – Nail Art Stickers")</x:f>
        <x:v>HYPERLINK is not implemented. linkLocation=https://365nails.com/products/365nails-sanrio-sweet-dalmatian-star-friend-handmade-press-on-nails, friendlyName=365nails: "sanrio sweet dalmatian star friend" – Nail Art Stickers</x:v>
      </x:c>
      <x:c r="D5393" s="18" t="str">
        <x:v>Specification type: To5058 / To5059</x:v>
      </x:c>
      <x:c r="E5393" s="25" t="str">
        <x:v>$1.09</x:v>
      </x:c>
      <x:c r="F5393" s="19" t="str">
        <x:v>5</x:v>
      </x:c>
    </x:row>
    <x:row r="5394" ht="93" customHeight="1">
      <x:c r="A5394" s="19" t="n">
        <x:v>5391</x:v>
      </x:c>
      <x:c r="B5394" s="22" t="e">
        <x:f>HYPERLINK("https://cdn.shopify.com/s/files/1/0918/6066/4603/files/O1CN016j76nu1HlX1pxeRlc__2545140798-0-cib.jpg?v=1774612391","Open")</x:f>
        <x:v>HYPERLINK is not implemented. linkLocation=https://cdn.shopify.com/s/files/1/0918/6066/4603/files/O1CN016j76nu1HlX1pxeRlc__2545140798-0-cib.jpg?v=1774612391, friendlyName=Open</x:v>
      </x:c>
      <x:c r="C5394" s="24" t="e">
        <x:f>HYPERLINK("https://365nails.com/products/365nails-golden-ocean-crystal-handmade-press-on-nails","365nails: ""golden ocean crystal"" – Nail Art Stickers")</x:f>
        <x:v>HYPERLINK is not implemented. linkLocation=https://365nails.com/products/365nails-golden-ocean-crystal-handmade-press-on-nails, friendlyName=365nails: "golden ocean crystal" – Nail Art Stickers</x:v>
      </x:c>
      <x:c r="D5394" s="18" t="str">
        <x:v>Specification type: Ms628-crystal diamond / Ms630-crystal diamond</x:v>
      </x:c>
      <x:c r="E5394" s="25" t="str">
        <x:v>$1.30</x:v>
      </x:c>
      <x:c r="F5394" s="19" t="str">
        <x:v>5</x:v>
      </x:c>
    </x:row>
    <x:row r="5395" ht="93" customHeight="1">
      <x:c r="A5395" s="19" t="n">
        <x:v>5392</x:v>
      </x:c>
      <x:c r="B5395" s="22" t="e">
        <x:f>HYPERLINK("https://cdn.shopify.com/s/files/1/0918/6066/4603/files/O1CN01g7lWrG1HlX21I4eL3__2545140798-0-cib.jpg?v=1774361199","Open")</x:f>
        <x:v>HYPERLINK is not implemented. linkLocation=https://cdn.shopify.com/s/files/1/0918/6066/4603/files/O1CN01g7lWrG1HlX21I4eL3__2545140798-0-cib.jpg?v=1774361199, friendlyName=Open</x:v>
      </x:c>
      <x:c r="C5395" s="24" t="e">
        <x:f>HYPERLINK("https://365nails.com/products/365nails-white-camellia-calligraphy-embossed-set-handmade-press-on-nails","365nails: ""white camellia calligraphy embossed set"" – Nail Art Stickers")</x:f>
        <x:v>HYPERLINK is not implemented. linkLocation=https://365nails.com/products/365nails-white-camellia-calligraphy-embossed-set-handmade-press-on-nails, friendlyName=365nails: "white camellia calligraphy embossed set" – Nail Art Stickers</x:v>
      </x:c>
      <x:c r="D5395" s="18" t="str">
        <x:v>Specification type: To4185</x:v>
      </x:c>
      <x:c r="E5395" s="25" t="str">
        <x:v>$1.09</x:v>
      </x:c>
      <x:c r="F5395" s="19" t="str">
        <x:v>5</x:v>
      </x:c>
    </x:row>
    <x:row r="5396" ht="93" customHeight="1">
      <x:c r="A5396" s="19" t="n">
        <x:v>5393</x:v>
      </x:c>
      <x:c r="B5396" s="22" t="e">
        <x:f>HYPERLINK("https://cdn.shopify.com/s/files/1/0918/6066/4603/files/O1CN019XWbYg1HlX3547u6o__2545140798-0-cib_8b49a84e-346e-41a5-826b-ad22ed197186.jpg?v=1774595192","Open")</x:f>
        <x:v>HYPERLINK is not implemented. linkLocation=https://cdn.shopify.com/s/files/1/0918/6066/4603/files/O1CN019XWbYg1HlX3547u6o__2545140798-0-cib_8b49a84e-346e-41a5-826b-ad22ed197186.jpg?v=1774595192, friendlyName=Open</x:v>
      </x:c>
      <x:c r="C5396" s="24" t="e">
        <x:f>HYPERLINK("https://365nails.com/products/365nails-white-lace-trim-handmade-press-on-nails","365nails: ""white lace trim"" – Nail Art Stickers")</x:f>
        <x:v>HYPERLINK is not implemented. linkLocation=https://365nails.com/products/365nails-white-lace-trim-handmade-press-on-nails, friendlyName=365nails: "white lace trim" – Nail Art Stickers</x:v>
      </x:c>
      <x:c r="D5396" s="18" t="str">
        <x:v>Specification type: To4299 / To4300 / To4301</x:v>
      </x:c>
      <x:c r="E5396" s="25" t="str">
        <x:v>$1.09</x:v>
      </x:c>
      <x:c r="F5396" s="19" t="str">
        <x:v>5</x:v>
      </x:c>
    </x:row>
    <x:row r="5397" ht="93" customHeight="1">
      <x:c r="A5397" s="19" t="n">
        <x:v>5394</x:v>
      </x:c>
      <x:c r="B5397" s="22" t="e">
        <x:f>HYPERLINK("https://cdn.shopify.com/s/files/1/0918/6066/4603/files/O1CN018G2iCJ1HlWtK3LUML__2545140798-0-cib_2dd5401e-992e-4c9d-bf3d-01a635d40550.jpg?v=1774621491","Open")</x:f>
        <x:v>HYPERLINK is not implemented. linkLocation=https://cdn.shopify.com/s/files/1/0918/6066/4603/files/O1CN018G2iCJ1HlWtK3LUML__2545140798-0-cib_2dd5401e-992e-4c9d-bf3d-01a635d40550.jpg?v=1774621491, friendlyName=Open</x:v>
      </x:c>
      <x:c r="C5397" s="24" t="e">
        <x:f>HYPERLINK("https://365nails.com/products/365nails-watercolor-peony-fruit-popsicle-handmade-press-on-nails","365nails: ""Watercolor Peony &amp; Fruit Popsicle"" – Nail Art Stickers")</x:f>
        <x:v>HYPERLINK is not implemented. linkLocation=https://365nails.com/products/365nails-watercolor-peony-fruit-popsicle-handmade-press-on-nails, friendlyName=365nails: "Watercolor Peony &amp; Fruit Popsicle" – Nail Art Stickers</x:v>
      </x:c>
      <x:c r="D5397" s="18" t="str">
        <x:v>Specification type: To2876 / To2894 / To2896 / To2924 / To2936</x:v>
      </x:c>
      <x:c r="E5397" s="25" t="str">
        <x:v>$1.09</x:v>
      </x:c>
      <x:c r="F5397" s="19" t="str">
        <x:v>5</x:v>
      </x:c>
    </x:row>
    <x:row r="5398" ht="93" customHeight="1">
      <x:c r="A5398" s="19" t="n">
        <x:v>5395</x:v>
      </x:c>
      <x:c r="B5398" s="22" t="e">
        <x:f>HYPERLINK("https://cdn.shopify.com/s/files/1/0918/6066/4603/files/O1CN01l6R0nU1HlWihZovo9__2545140798-0-cib_4a254dd2-033b-449e-8202-15a350ad895a.jpg?v=1774604748","Open")</x:f>
        <x:v>HYPERLINK is not implemented. linkLocation=https://cdn.shopify.com/s/files/1/0918/6066/4603/files/O1CN01l6R0nU1HlWihZovo9__2545140798-0-cib_4a254dd2-033b-449e-8202-15a350ad895a.jpg?v=1774604748, friendlyName=Open</x:v>
      </x:c>
      <x:c r="C5398" s="24" t="e">
        <x:f>HYPERLINK("https://365nails.com/products/365nails-lucky-mahjong-tile-handmade-press-on-nails-1","365nails: ""lucky mahjong tile"" – Nail Art Stickers")</x:f>
        <x:v>HYPERLINK is not implemented. linkLocation=https://365nails.com/products/365nails-lucky-mahjong-tile-handmade-press-on-nails-1, friendlyName=365nails: "lucky mahjong tile" – Nail Art Stickers</x:v>
      </x:c>
      <x:c r="D5398" s="18" t="str">
        <x:v>Color: Tomoni 347 / Tomoni 348 / Tomoni 364</x:v>
      </x:c>
      <x:c r="E5398" s="25" t="str">
        <x:v>$1.23</x:v>
      </x:c>
      <x:c r="F5398" s="19" t="str">
        <x:v>5</x:v>
      </x:c>
    </x:row>
    <x:row r="5399" ht="93" customHeight="1">
      <x:c r="A5399" s="19" t="n">
        <x:v>5396</x:v>
      </x:c>
      <x:c r="B5399" s="22" t="e">
        <x:f>HYPERLINK("https://cdn.shopify.com/s/files/1/0918/6066/4603/files/O1CN01tnCUhP1HlX2njQdPC__2545140798-0-cib.jpg?v=1774364100","Open")</x:f>
        <x:v>HYPERLINK is not implemented. linkLocation=https://cdn.shopify.com/s/files/1/0918/6066/4603/files/O1CN01tnCUhP1HlX2njQdPC__2545140798-0-cib.jpg?v=1774364100, friendlyName=Open</x:v>
      </x:c>
      <x:c r="C5399" s="24" t="e">
        <x:f>HYPERLINK("https://365nails.com/products/365nails-cute-puppy-snack-embossed-set-handmade-press-on-nails","365nails: ""Cute Puppy &amp; Snack Embossed Set"" – Nail Art Stickers")</x:f>
        <x:v>HYPERLINK is not implemented. linkLocation=https://365nails.com/products/365nails-cute-puppy-snack-embossed-set-handmade-press-on-nails, friendlyName=365nails: "Cute Puppy &amp; Snack Embossed Set" – Nail Art Stickers</x:v>
      </x:c>
      <x:c r="D5399" s="18" t="str">
        <x:v>Specification type: Mc 41</x:v>
      </x:c>
      <x:c r="E5399" s="25" t="str">
        <x:v>$1.16</x:v>
      </x:c>
      <x:c r="F5399" s="19" t="str">
        <x:v>5</x:v>
      </x:c>
    </x:row>
    <x:row r="5400" ht="93" customHeight="1">
      <x:c r="A5400" s="19" t="n">
        <x:v>5397</x:v>
      </x:c>
      <x:c r="B5400" s="22" t="e">
        <x:f>HYPERLINK("https://cdn.shopify.com/s/files/1/0918/6066/4603/files/O1CN01ByW7fC1HlWwzhQkA5__2545140798-0-cib_a6502a37-50fb-45ac-a61e-b27f6bc33f69.jpg?v=1774881480","Open")</x:f>
        <x:v>HYPERLINK is not implemented. linkLocation=https://cdn.shopify.com/s/files/1/0918/6066/4603/files/O1CN01ByW7fC1HlWwzhQkA5__2545140798-0-cib_a6502a37-50fb-45ac-a61e-b27f6bc33f69.jpg?v=1774881480, friendlyName=Open</x:v>
      </x:c>
      <x:c r="C5400" s="24" t="e">
        <x:f>HYPERLINK("https://365nails.com/products/365nails-sweet-kawaii-dessert-character-handmade-press-on-nails","365nails: ""Sweet Kawaii Dessert &amp; Character"" – Nail Art Stickers")</x:f>
        <x:v>HYPERLINK is not implemented. linkLocation=https://365nails.com/products/365nails-sweet-kawaii-dessert-character-handmade-press-on-nails, friendlyName=365nails: "Sweet Kawaii Dessert &amp; Character" – Nail Art Stickers</x:v>
      </x:c>
      <x:c r="D5400" s="18" t="str">
        <x:v>Specification type: To3336 / To3338 / To3339</x:v>
      </x:c>
      <x:c r="E5400" s="25" t="str">
        <x:v>$1.23</x:v>
      </x:c>
      <x:c r="F5400" s="19" t="str">
        <x:v>5</x:v>
      </x:c>
    </x:row>
    <x:row r="5401" ht="93" customHeight="1">
      <x:c r="A5401" s="19" t="n">
        <x:v>5398</x:v>
      </x:c>
      <x:c r="B5401" s="22" t="e">
        <x:f>HYPERLINK("https://cdn.shopify.com/s/files/1/0918/6066/4603/files/O1CN01av0Nc41HlX2Q1bBGt__2545140798-0-cib.jpg?v=1774622529","Open")</x:f>
        <x:v>HYPERLINK is not implemented. linkLocation=https://cdn.shopify.com/s/files/1/0918/6066/4603/files/O1CN01av0Nc41HlX2Q1bBGt__2545140798-0-cib.jpg?v=1774622529, friendlyName=Open</x:v>
      </x:c>
      <x:c r="C5401" s="24" t="e">
        <x:f>HYPERLINK("https://365nails.com/products/365nails-watercolor-pansy-flower-handmade-press-on-nails","365nails: ""Watercolor Pansy Flower"" – Nail Art Stickers")</x:f>
        <x:v>HYPERLINK is not implemented. linkLocation=https://365nails.com/products/365nails-watercolor-pansy-flower-handmade-press-on-nails, friendlyName=365nails: "Watercolor Pansy Flower" – Nail Art Stickers</x:v>
      </x:c>
      <x:c r="D5401" s="18" t="str">
        <x:v>Specification type: To4312-relief</x:v>
      </x:c>
      <x:c r="E5401" s="25" t="str">
        <x:v>$1.23</x:v>
      </x:c>
      <x:c r="F5401" s="19" t="str">
        <x:v>5</x:v>
      </x:c>
    </x:row>
    <x:row r="5402" ht="93" customHeight="1">
      <x:c r="A5402" s="19" t="n">
        <x:v>5399</x:v>
      </x:c>
      <x:c r="B5402" s="22" t="e">
        <x:f>HYPERLINK("https://cdn.shopify.com/s/files/1/0918/6066/4603/files/O1CN016nA22m1HlWwBd0bND__2545140798-0-cib.jpg?v=1774880684","Open")</x:f>
        <x:v>HYPERLINK is not implemented. linkLocation=https://cdn.shopify.com/s/files/1/0918/6066/4603/files/O1CN016nA22m1HlWwBd0bND__2545140798-0-cib.jpg?v=1774880684, friendlyName=Open</x:v>
      </x:c>
      <x:c r="C5402" s="24" t="e">
        <x:f>HYPERLINK("https://365nails.com/products/365nails-5d-embossed-white-grape-vine-handmade-press-on-nails","365nails: ""5D Embossed White Grape &amp; Vine"" – Nail Art Stickers")</x:f>
        <x:v>HYPERLINK is not implemented. linkLocation=https://365nails.com/products/365nails-5d-embossed-white-grape-vine-handmade-press-on-nails, friendlyName=365nails: "5D Embossed White Grape &amp; Vine" – Nail Art Stickers</x:v>
      </x:c>
      <x:c r="D5402" s="18" t="str">
        <x:v>Specification type: Ms 244 / Ms 247 / Ms 249 / Ms 250 / Ms 251 / Ms 252</x:v>
      </x:c>
      <x:c r="E5402" s="25" t="str">
        <x:v>$1.23</x:v>
      </x:c>
      <x:c r="F5402" s="19" t="str">
        <x:v>5</x:v>
      </x:c>
    </x:row>
    <x:row r="5403" ht="93" customHeight="1">
      <x:c r="A5403" s="19" t="n">
        <x:v>5400</x:v>
      </x:c>
      <x:c r="B5403" s="22" t="e">
        <x:f>HYPERLINK("https://cdn.shopify.com/s/files/1/0918/6066/4603/files/O1CN01vmXEj91HlX4kuCvoY__2545140798-0-cib.jpg?v=1774362128","Open")</x:f>
        <x:v>HYPERLINK is not implemented. linkLocation=https://cdn.shopify.com/s/files/1/0918/6066/4603/files/O1CN01vmXEj91HlX4kuCvoY__2545140798-0-cib.jpg?v=1774362128, friendlyName=Open</x:v>
      </x:c>
      <x:c r="C5403" s="24" t="e">
        <x:f>HYPERLINK("https://365nails.com/products/365nails-sanrio-my-melody-cinnamoroll-lunar-new-year-embossed-set-handmade-press-on-nails","365nails: ""sanrio my melody cinnamoroll lunar new year embossed set"" – Nail Art Stickers")</x:f>
        <x:v>HYPERLINK is not implemented. linkLocation=https://365nails.com/products/365nails-sanrio-my-melody-cinnamoroll-lunar-new-year-embossed-set-handmade-press-on-nails, friendlyName=365nails: "sanrio my melody cinnamoroll lunar new year embossed set" – Nail Art Stickers</x:v>
      </x:c>
      <x:c r="D5403" s="18" t="str">
        <x:v>Specification type: San125-shell light</x:v>
      </x:c>
      <x:c r="E5403" s="25" t="str">
        <x:v>$1.30</x:v>
      </x:c>
      <x:c r="F5403" s="19" t="str">
        <x:v>5</x:v>
      </x:c>
    </x:row>
    <x:row r="5404" ht="93" customHeight="1">
      <x:c r="A5404" s="19" t="n">
        <x:v>5401</x:v>
      </x:c>
      <x:c r="B5404" s="22" t="e">
        <x:f>HYPERLINK("https://cdn.shopify.com/s/files/1/0918/6066/4603/files/O1CN01bRa4SW1HlWqIZ0YgV__2545140798-0-cib_33597ce9-a524-4b71-8b01-4ad741f8a9cd.jpg?v=1774612694","Open")</x:f>
        <x:v>HYPERLINK is not implemented. linkLocation=https://cdn.shopify.com/s/files/1/0918/6066/4603/files/O1CN01bRa4SW1HlWqIZ0YgV__2545140798-0-cib_33597ce9-a524-4b71-8b01-4ad741f8a9cd.jpg?v=1774612694, friendlyName=Open</x:v>
      </x:c>
      <x:c r="C5404" s="24" t="e">
        <x:f>HYPERLINK("https://365nails.com/products/365nails-kawaii-doodle-cute-letter-handmade-press-on-nails","365nails: ""kawaii doodle &amp; cute letter"" – Nail Art Stickers")</x:f>
        <x:v>HYPERLINK is not implemented. linkLocation=https://365nails.com/products/365nails-kawaii-doodle-cute-letter-handmade-press-on-nails, friendlyName=365nails: "kawaii doodle &amp; cute letter" – Nail Art Stickers</x:v>
      </x:c>
      <x:c r="D5404" s="18" t="str">
        <x:v>Specification type: To1567 / To1574</x:v>
      </x:c>
      <x:c r="E5404" s="25" t="str">
        <x:v>$1.23</x:v>
      </x:c>
      <x:c r="F5404" s="19" t="str">
        <x:v>5</x:v>
      </x:c>
    </x:row>
    <x:row r="5405" ht="93" customHeight="1">
      <x:c r="A5405" s="19" t="n">
        <x:v>5402</x:v>
      </x:c>
      <x:c r="B5405" s="22" t="e">
        <x:f>HYPERLINK("https://cdn.shopify.com/s/files/1/0918/6066/4603/files/O1CN016W64ZE1HlWyEo61AH__2545140798-0-cib_1f2e010b-a830-481e-9d94-c0bb4e666ee0.jpg?v=1775397117","Open")</x:f>
        <x:v>HYPERLINK is not implemented. linkLocation=https://cdn.shopify.com/s/files/1/0918/6066/4603/files/O1CN016W64ZE1HlWyEo61AH__2545140798-0-cib_1f2e010b-a830-481e-9d94-c0bb4e666ee0.jpg?v=1775397117, friendlyName=Open</x:v>
      </x:c>
      <x:c r="C5405" s="24" t="e">
        <x:f>HYPERLINK("https://365nails.com/products/365nails-iridescent-aurora-butterfly-handmade-press-on-nails","365nails: ""Iridescent Aurora Butterfly"" – Nail Art Stickers")</x:f>
        <x:v>HYPERLINK is not implemented. linkLocation=https://365nails.com/products/365nails-iridescent-aurora-butterfly-handmade-press-on-nails, friendlyName=365nails: "Iridescent Aurora Butterfly" – Nail Art Stickers</x:v>
      </x:c>
      <x:c r="D5405" s="18" t="str">
        <x:v>Specification type: Ms496-shell light / Ms497-shell light</x:v>
      </x:c>
      <x:c r="E5405" s="25" t="str">
        <x:v>$1.23</x:v>
      </x:c>
      <x:c r="F5405" s="19" t="str">
        <x:v>5</x:v>
      </x:c>
    </x:row>
    <x:row r="5406" ht="93" customHeight="1">
      <x:c r="A5406" s="19" t="n">
        <x:v>5403</x:v>
      </x:c>
      <x:c r="B5406" s="22" t="e">
        <x:f>HYPERLINK("https://cdn.shopify.com/s/files/1/0918/6066/4603/files/O1CN01eFZAPw1HlX6RHSoD3__2545140798-0-cib.jpg?v=1774676384","Open")</x:f>
        <x:v>HYPERLINK is not implemented. linkLocation=https://cdn.shopify.com/s/files/1/0918/6066/4603/files/O1CN01eFZAPw1HlX6RHSoD3__2545140798-0-cib.jpg?v=1774676384, friendlyName=Open</x:v>
      </x:c>
      <x:c r="C5406" s="24" t="e">
        <x:f>HYPERLINK("https://365nails.com/products/365nails-disney-stitch-angel-sakura-handmade-press-on-nails","365nails: ""Disney Stitch &amp; Angel Sakura"" – Nail Art Stickers")</x:f>
        <x:v>HYPERLINK is not implemented. linkLocation=https://365nails.com/products/365nails-disney-stitch-angel-sakura-handmade-press-on-nails, friendlyName=365nails: "Disney Stitch &amp; Angel Sakura" – Nail Art Stickers</x:v>
      </x:c>
      <x:c r="D5406" s="18" t="str">
        <x:v>Specification type: Td003s-1-relief / Td003s-2-relief</x:v>
      </x:c>
      <x:c r="E5406" s="25" t="str">
        <x:v>$1.23</x:v>
      </x:c>
      <x:c r="F5406" s="19" t="str">
        <x:v>5</x:v>
      </x:c>
    </x:row>
    <x:row r="5407" ht="93" customHeight="1">
      <x:c r="A5407" s="19" t="n">
        <x:v>5404</x:v>
      </x:c>
      <x:c r="B5407" s="22" t="e">
        <x:f>HYPERLINK("https://cdn.shopify.com/s/files/1/0918/6066/4603/files/O1CN01BibIJu1HlX1u212Rl__2545140798-0-cib.jpg?v=1774613682","Open")</x:f>
        <x:v>HYPERLINK is not implemented. linkLocation=https://cdn.shopify.com/s/files/1/0918/6066/4603/files/O1CN01BibIJu1HlX1u212Rl__2545140798-0-cib.jpg?v=1774613682, friendlyName=Open</x:v>
      </x:c>
      <x:c r="C5407" s="24" t="e">
        <x:f>HYPERLINK("https://365nails.com/products/365nails-holographic-white-jasmine-flower-handmade-press-on-nails","365nails: ""holographic white jasmine flower"" – Nail Art Stickers")</x:f>
        <x:v>HYPERLINK is not implemented. linkLocation=https://365nails.com/products/365nails-holographic-white-jasmine-flower-handmade-press-on-nails, friendlyName=365nails: "holographic white jasmine flower" – Nail Art Stickers</x:v>
      </x:c>
      <x:c r="D5407" s="18" t="str">
        <x:v>Specification type: To4163-shell light / To4186-relief / To4196-shell light</x:v>
      </x:c>
      <x:c r="E5407" s="25" t="str">
        <x:v>$1.23</x:v>
      </x:c>
      <x:c r="F5407" s="19" t="str">
        <x:v>5</x:v>
      </x:c>
    </x:row>
    <x:row r="5408" ht="93" customHeight="1">
      <x:c r="A5408" s="19" t="n">
        <x:v>5405</x:v>
      </x:c>
      <x:c r="B5408" s="22" t="e">
        <x:f>HYPERLINK("https://cdn.shopify.com/s/files/1/0918/6066/4603/files/O1CN01cLQLZq1HlWxG4HTBO__2545140798-0-cib_f7d5a651-b381-4cd7-90f6-f9b4f92cea33.jpg?v=1774881823","Open")</x:f>
        <x:v>HYPERLINK is not implemented. linkLocation=https://cdn.shopify.com/s/files/1/0918/6066/4603/files/O1CN01cLQLZq1HlWxG4HTBO__2545140798-0-cib_f7d5a651-b381-4cd7-90f6-f9b4f92cea33.jpg?v=1774881823, friendlyName=Open</x:v>
      </x:c>
      <x:c r="C5408" s="24" t="e">
        <x:f>HYPERLINK("https://365nails.com/products/365nails-vintage-plaid-teddy-bear-handmade-press-on-nails","365nails: ""Vintage Plaid Teddy Bear"" – Nail Art Stickers")</x:f>
        <x:v>HYPERLINK is not implemented. linkLocation=https://365nails.com/products/365nails-vintage-plaid-teddy-bear-handmade-press-on-nails, friendlyName=365nails: "Vintage Plaid Teddy Bear" – Nail Art Stickers</x:v>
      </x:c>
      <x:c r="D5408" s="18" t="str">
        <x:v>Specification type: To3521 / To3522</x:v>
      </x:c>
      <x:c r="E5408" s="25" t="str">
        <x:v>$1.23</x:v>
      </x:c>
      <x:c r="F5408" s="19" t="str">
        <x:v>5</x:v>
      </x:c>
    </x:row>
    <x:row r="5409" ht="93" customHeight="1">
      <x:c r="A5409" s="19" t="n">
        <x:v>5406</x:v>
      </x:c>
      <x:c r="B5409" s="22" t="e">
        <x:f>HYPERLINK("https://cdn.shopify.com/s/files/1/0918/6066/4603/files/O1CN01orlFbN1HlX1Fg9JDx__2545140798-0-cib.jpg?v=1774613531","Open")</x:f>
        <x:v>HYPERLINK is not implemented. linkLocation=https://cdn.shopify.com/s/files/1/0918/6066/4603/files/O1CN01orlFbN1HlX1Fg9JDx__2545140798-0-cib.jpg?v=1774613531, friendlyName=Open</x:v>
      </x:c>
      <x:c r="C5409" s="24" t="e">
        <x:f>HYPERLINK("https://365nails.com/products/365nails-watercolor-summer-ocean-sea-creature-handmade-press-on-nails","365nails: ""watercolor summer ocean sea creature"" – Nail Art Stickers")</x:f>
        <x:v>HYPERLINK is not implemented. linkLocation=https://365nails.com/products/365nails-watercolor-summer-ocean-sea-creature-handmade-press-on-nails, friendlyName=365nails: "watercolor summer ocean sea creature" – Nail Art Stickers</x:v>
      </x:c>
      <x:c r="D5409" s="18" t="str">
        <x:v>Specification type: To4096-relief / To4099-shell light / To4100-relief</x:v>
      </x:c>
      <x:c r="E5409" s="25" t="str">
        <x:v>$1.23</x:v>
      </x:c>
      <x:c r="F5409" s="19" t="str">
        <x:v>5</x:v>
      </x:c>
    </x:row>
    <x:row r="5410" ht="93" customHeight="1">
      <x:c r="A5410" s="19" t="n">
        <x:v>5407</x:v>
      </x:c>
      <x:c r="B5410" s="22" t="e">
        <x:f>HYPERLINK("https://cdn.shopify.com/s/files/1/0918/6066/4603/files/O1CN011aWubh1HlX6nff6zm__2545140798-0-cib.jpg?v=1774794638","Open")</x:f>
        <x:v>HYPERLINK is not implemented. linkLocation=https://cdn.shopify.com/s/files/1/0918/6066/4603/files/O1CN011aWubh1HlX6nff6zm__2545140798-0-cib.jpg?v=1774794638, friendlyName=Open</x:v>
      </x:c>
      <x:c r="C5410" s="24" t="e">
        <x:f>HYPERLINK("https://365nails.com/products/365nails-rhinestone-mermaid-shell-handmade-press-on-nails","365nails: ""Rhinestone Mermaid Shell"" – Nail Art Stickers")</x:f>
        <x:v>HYPERLINK is not implemented. linkLocation=https://365nails.com/products/365nails-rhinestone-mermaid-shell-handmade-press-on-nails, friendlyName=365nails: "Rhinestone Mermaid Shell" – Nail Art Stickers</x:v>
      </x:c>
      <x:c r="D5410" s="18" t="str">
        <x:v>Specification type: To5079-crystal diamond</x:v>
      </x:c>
      <x:c r="E5410" s="25" t="str">
        <x:v>$1.30</x:v>
      </x:c>
      <x:c r="F5410" s="19" t="str">
        <x:v>5</x:v>
      </x:c>
    </x:row>
    <x:row r="5411" ht="93" customHeight="1">
      <x:c r="A5411" s="19" t="n">
        <x:v>5408</x:v>
      </x:c>
      <x:c r="B5411" s="22" t="e">
        <x:f>HYPERLINK("https://cdn.shopify.com/s/files/1/0918/6066/4603/files/O1CN010NwPmg1HlWwJESw18__2545140798-0-cib.jpg?v=1774356268","Open")</x:f>
        <x:v>HYPERLINK is not implemented. linkLocation=https://cdn.shopify.com/s/files/1/0918/6066/4603/files/O1CN010NwPmg1HlWwJESw18__2545140798-0-cib.jpg?v=1774356268, friendlyName=Open</x:v>
      </x:c>
      <x:c r="C5411" s="24" t="e">
        <x:f>HYPERLINK("https://365nails.com/products/365nails-holographic-pink-alphabet-letter-set-handmade-press-on-nails","365nails: ""holographic pink alphabet letter set"" – Nail Art Stickers")</x:f>
        <x:v>HYPERLINK is not implemented. linkLocation=https://365nails.com/products/365nails-holographic-pink-alphabet-letter-set-handmade-press-on-nails, friendlyName=365nails: "holographic pink alphabet letter set" – Nail Art Stickers</x:v>
      </x:c>
      <x:c r="D5411" s="18" t="str">
        <x:v>Specification type: To3314-laser powder / To3314-rose gold / To3314-new hot stamping / To3314-silver</x:v>
      </x:c>
      <x:c r="E5411" s="25" t="str">
        <x:v>$1.23</x:v>
      </x:c>
      <x:c r="F5411" s="19" t="str">
        <x:v>5</x:v>
      </x:c>
    </x:row>
    <x:row r="5412" ht="93" customHeight="1">
      <x:c r="A5412" s="19" t="n">
        <x:v>5409</x:v>
      </x:c>
      <x:c r="B5412" s="22" t="e">
        <x:f>HYPERLINK("https://cdn.shopify.com/s/files/1/0918/6066/4603/files/O1CN01WOW0oN1HlX6xMS4JL__2545140798-0-cib.jpg?v=1774362818","Open")</x:f>
        <x:v>HYPERLINK is not implemented. linkLocation=https://cdn.shopify.com/s/files/1/0918/6066/4603/files/O1CN01WOW0oN1HlX6xMS4JL__2545140798-0-cib.jpg?v=1774362818, friendlyName=Open</x:v>
      </x:c>
      <x:c r="C5412" s="24" t="e">
        <x:f>HYPERLINK("https://365nails.com/products/365nails-watercolor-fruit-branch-embossed-set-handmade-press-on-nails","365nails: ""watercolor fruit branch embossed set"" – Nail Art Stickers")</x:f>
        <x:v>HYPERLINK is not implemented. linkLocation=https://365nails.com/products/365nails-watercolor-fruit-branch-embossed-set-handmade-press-on-nails, friendlyName=365nails: "watercolor fruit branch embossed set" – Nail Art Stickers</x:v>
      </x:c>
      <x:c r="D5412" s="18" t="str">
        <x:v>Specification type: To5071 / To5090 / To5094</x:v>
      </x:c>
      <x:c r="E5412" s="25" t="str">
        <x:v>$1.09</x:v>
      </x:c>
      <x:c r="F5412" s="19" t="str">
        <x:v>5</x:v>
      </x:c>
    </x:row>
    <x:row r="5413" ht="93" customHeight="1">
      <x:c r="A5413" s="19" t="n">
        <x:v>5410</x:v>
      </x:c>
      <x:c r="B5413" s="22" t="e">
        <x:f>HYPERLINK("https://cdn.shopify.com/s/files/1/0918/6066/4603/files/O1CN01eIZG5A1HlWyPiZxwx__2545140798-0-cib_fcdd26da-9705-4fc5-8eb0-c9dac0253d54.jpg?v=1774882576","Open")</x:f>
        <x:v>HYPERLINK is not implemented. linkLocation=https://cdn.shopify.com/s/files/1/0918/6066/4603/files/O1CN01eIZG5A1HlWyPiZxwx__2545140798-0-cib_fcdd26da-9705-4fc5-8eb0-c9dac0253d54.jpg?v=1774882576, friendlyName=Open</x:v>
      </x:c>
      <x:c r="C5413" s="24" t="e">
        <x:f>HYPERLINK("https://365nails.com/products/365nails-3d-pearl-lace-flower-handmade-press-on-nails","365nails: ""3D Pearl Lace Flower"" – Nail Art Stickers")</x:f>
        <x:v>HYPERLINK is not implemented. linkLocation=https://365nails.com/products/365nails-3d-pearl-lace-flower-handmade-press-on-nails, friendlyName=365nails: "3D Pearl Lace Flower" – Nail Art Stickers</x:v>
      </x:c>
      <x:c r="D5413" s="18" t="str">
        <x:v>Specification type: To3646-crystal diamond / To3646-crystal diamond (pearl)</x:v>
      </x:c>
      <x:c r="E5413" s="25" t="str">
        <x:v>$1.30</x:v>
      </x:c>
      <x:c r="F5413" s="19" t="str">
        <x:v>5</x:v>
      </x:c>
    </x:row>
    <x:row r="5414" ht="93" customHeight="1">
      <x:c r="A5414" s="19" t="n">
        <x:v>5411</x:v>
      </x:c>
      <x:c r="B5414" s="22" t="e">
        <x:f>HYPERLINK("https://cdn.shopify.com/s/files/1/0918/6066/4603/files/O1CN01nWicRn1HlX0eP2KLm__2545140798-0-cib.jpg?v=1774617091","Open")</x:f>
        <x:v>HYPERLINK is not implemented. linkLocation=https://cdn.shopify.com/s/files/1/0918/6066/4603/files/O1CN01nWicRn1HlX0eP2KLm__2545140798-0-cib.jpg?v=1774617091, friendlyName=Open</x:v>
      </x:c>
      <x:c r="C5414" s="24" t="e">
        <x:f>HYPERLINK("https://365nails.com/products/365nails-holographic-iridescent-butterfly-handmade-press-on-nails","365nails: ""Holographic Iridescent Butterfly"" – Nail Art Stickers")</x:f>
        <x:v>HYPERLINK is not implemented. linkLocation=https://365nails.com/products/365nails-holographic-iridescent-butterfly-handmade-press-on-nails, friendlyName=365nails: "Holographic Iridescent Butterfly" – Nail Art Stickers</x:v>
      </x:c>
      <x:c r="D5414" s="18" t="str">
        <x:v>Specification type: Ta327-shell light / Ta328-shell light / Ta329-shell light</x:v>
      </x:c>
      <x:c r="E5414" s="25" t="str">
        <x:v>$1.23</x:v>
      </x:c>
      <x:c r="F5414" s="19" t="str">
        <x:v>5</x:v>
      </x:c>
    </x:row>
    <x:row r="5415" ht="93" customHeight="1">
      <x:c r="A5415" s="19" t="n">
        <x:v>5412</x:v>
      </x:c>
      <x:c r="B5415" s="22" t="e">
        <x:f>HYPERLINK("https://cdn.shopify.com/s/files/1/0918/6066/4603/files/O1CN01oT6poA1HlX6JSkgp3__2545140798-0-cib_2835139a-c2e0-4cce-943b-d1d34bfe7e1c.jpg?v=1774275641","Open")</x:f>
        <x:v>HYPERLINK is not implemented. linkLocation=https://cdn.shopify.com/s/files/1/0918/6066/4603/files/O1CN01oT6poA1HlX6JSkgp3__2545140798-0-cib_2835139a-c2e0-4cce-943b-d1d34bfe7e1c.jpg?v=1774275641, friendlyName=Open</x:v>
      </x:c>
      <x:c r="C5415" s="24" t="e">
        <x:f>HYPERLINK("https://365nails.com/products/365nails-oriental-bird-peach-blossom-handmade-press-on-nails","365nails: ""oriental bird &amp; peach blossom"" – Nail Art Stickers")</x:f>
        <x:v>HYPERLINK is not implemented. linkLocation=https://365nails.com/products/365nails-oriental-bird-peach-blossom-handmade-press-on-nails, friendlyName=365nails: "oriental bird &amp; peach blossom" – Nail Art Stickers</x:v>
      </x:c>
      <x:c r="D5415" s="18" t="str">
        <x:v>Specification type: To4976-shell light / To4978-relief</x:v>
      </x:c>
      <x:c r="E5415" s="25" t="str">
        <x:v>$1.23</x:v>
      </x:c>
      <x:c r="F5415" s="19" t="str">
        <x:v>5</x:v>
      </x:c>
    </x:row>
    <x:row r="5416" ht="93" customHeight="1">
      <x:c r="A5416" s="19" t="n">
        <x:v>5413</x:v>
      </x:c>
      <x:c r="B5416" s="22" t="e">
        <x:f>HYPERLINK("https://cdn.shopify.com/s/files/1/0918/6066/4603/files/O1CN01vs86j41HlXASAYQNJ__2545140798-0-cib.jpg?v=1774880132","Open")</x:f>
        <x:v>HYPERLINK is not implemented. linkLocation=https://cdn.shopify.com/s/files/1/0918/6066/4603/files/O1CN01vs86j41HlXASAYQNJ__2545140798-0-cib.jpg?v=1774880132, friendlyName=Open</x:v>
      </x:c>
      <x:c r="C5416" s="24" t="e">
        <x:f>HYPERLINK("https://365nails.com/products/365nails-oriental-cherry-blossom-gold-line-handmade-press-on-nails","365nails: ""Oriental Cherry Blossom &amp; Gold Line"" – Nail Art Stickers")</x:f>
        <x:v>HYPERLINK is not implemented. linkLocation=https://365nails.com/products/365nails-oriental-cherry-blossom-gold-line-handmade-press-on-nails, friendlyName=365nails: "Oriental Cherry Blossom &amp; Gold Line" – Nail Art Stickers</x:v>
      </x:c>
      <x:c r="D5416" s="18" t="str">
        <x:v>Specification type: To5459-metal / To5460-metal</x:v>
      </x:c>
      <x:c r="E5416" s="25" t="str">
        <x:v>$1.23</x:v>
      </x:c>
      <x:c r="F5416" s="19" t="str">
        <x:v>5</x:v>
      </x:c>
    </x:row>
    <x:row r="5417" ht="93" customHeight="1">
      <x:c r="A5417" s="19" t="n">
        <x:v>5414</x:v>
      </x:c>
      <x:c r="B5417" s="22" t="e">
        <x:f>HYPERLINK("https://cdn.shopify.com/s/files/1/0918/6066/4603/files/O1CN01Dxc0Y41HlWxM23ctk__2545140798-0-cib.jpg?v=1774357681","Open")</x:f>
        <x:v>HYPERLINK is not implemented. linkLocation=https://cdn.shopify.com/s/files/1/0918/6066/4603/files/O1CN01Dxc0Y41HlWxM23ctk__2545140798-0-cib.jpg?v=1774357681, friendlyName=Open</x:v>
      </x:c>
      <x:c r="C5417" s="24" t="e">
        <x:f>HYPERLINK("https://365nails.com/products/365nails-coffee-x-bear-kawaii-embossed-set-handmade-press-on-nails","365nails: ""coffee x bear kawaii embossed set"" – Nail Art Stickers")</x:f>
        <x:v>HYPERLINK is not implemented. linkLocation=https://365nails.com/products/365nails-coffee-x-bear-kawaii-embossed-set-handmade-press-on-nails, friendlyName=365nails: "coffee x bear kawaii embossed set" – Nail Art Stickers</x:v>
      </x:c>
      <x:c r="D5417" s="18" t="str">
        <x:v>Specification type: To3486 / To3506 / To3510 / To3495</x:v>
      </x:c>
      <x:c r="E5417" s="25" t="str">
        <x:v>$1.23</x:v>
      </x:c>
      <x:c r="F5417" s="19" t="str">
        <x:v>5</x:v>
      </x:c>
    </x:row>
    <x:row r="5418" ht="93" customHeight="1">
      <x:c r="A5418" s="19" t="n">
        <x:v>5415</x:v>
      </x:c>
      <x:c r="B5418" s="22" t="e">
        <x:f>HYPERLINK("https://cdn.shopify.com/s/files/1/0918/6066/4603/files/O1CN016UoPDq1HlWph67bLE__2545140798-0-cib.jpg?v=1774276530","Open")</x:f>
        <x:v>HYPERLINK is not implemented. linkLocation=https://cdn.shopify.com/s/files/1/0918/6066/4603/files/O1CN016UoPDq1HlWph67bLE__2545140798-0-cib.jpg?v=1774276530, friendlyName=Open</x:v>
      </x:c>
      <x:c r="C5418" s="24" t="e">
        <x:f>HYPERLINK("https://365nails.com/products/365nails-ultraman-monster-adventure-handmade-press-on-nails","365nails: ""Ultraman &amp; Monster Adventure"" – Nail Art Stickers")</x:f>
        <x:v>HYPERLINK is not implemented. linkLocation=https://365nails.com/products/365nails-ultraman-monster-adventure-handmade-press-on-nails, friendlyName=365nails: "Ultraman &amp; Monster Adventure" – Nail Art Stickers</x:v>
      </x:c>
      <x:c r="D5418" s="18" t="str">
        <x:v>Specification type: To2082</x:v>
      </x:c>
      <x:c r="E5418" s="25" t="str">
        <x:v>$1.23</x:v>
      </x:c>
      <x:c r="F5418" s="19" t="str">
        <x:v>5</x:v>
      </x:c>
    </x:row>
    <x:row r="5419" ht="93" customHeight="1">
      <x:c r="A5419" s="19" t="n">
        <x:v>5416</x:v>
      </x:c>
      <x:c r="B5419" s="22" t="e">
        <x:f>HYPERLINK("https://cdn.shopify.com/s/files/1/0918/6066/4603/files/O1CN014uvtnn1HlWuYTFZb2__2545140798-0-cib_05399862-9643-49d2-a81d-1d0c6d15a67c.jpg?v=1774364220","Open")</x:f>
        <x:v>HYPERLINK is not implemented. linkLocation=https://cdn.shopify.com/s/files/1/0918/6066/4603/files/O1CN014uvtnn1HlWuYTFZb2__2545140798-0-cib_05399862-9643-49d2-a81d-1d0c6d15a67c.jpg?v=1774364220, friendlyName=Open</x:v>
      </x:c>
      <x:c r="C5419" s="24" t="e">
        <x:f>HYPERLINK("https://365nails.com/products/365nails-mini-floral-wreath-lace-embossed-set-handmade-press-on-nails","365nails: ""Mini Floral Wreath &amp; Lace Embossed Set"" – Nail Art Stickers")</x:f>
        <x:v>HYPERLINK is not implemented. linkLocation=https://365nails.com/products/365nails-mini-floral-wreath-lace-embossed-set-handmade-press-on-nails, friendlyName=365nails: "Mini Floral Wreath &amp; Lace Embossed Set" – Nail Art Stickers</x:v>
      </x:c>
      <x:c r="D5419" s="18" t="str">
        <x:v>Specification type: To3085</x:v>
      </x:c>
      <x:c r="E5419" s="25" t="str">
        <x:v>$1.23</x:v>
      </x:c>
      <x:c r="F5419" s="19" t="str">
        <x:v>5</x:v>
      </x:c>
    </x:row>
    <x:row r="5420" ht="93" customHeight="1">
      <x:c r="A5420" s="19" t="n">
        <x:v>5417</x:v>
      </x:c>
      <x:c r="B5420" s="22" t="e">
        <x:f>HYPERLINK("https://cdn.shopify.com/s/files/1/0918/6066/4603/files/O1CN01dSZbWe1HlX3MlNVHl__2545140798-0-cib.jpg?v=1774622972","Open")</x:f>
        <x:v>HYPERLINK is not implemented. linkLocation=https://cdn.shopify.com/s/files/1/0918/6066/4603/files/O1CN01dSZbWe1HlX3MlNVHl__2545140798-0-cib.jpg?v=1774622972, friendlyName=Open</x:v>
      </x:c>
      <x:c r="C5420" s="24" t="e">
        <x:f>HYPERLINK("https://365nails.com/products/365nails-holographic-crystal-blue-flower-handmade-press-on-nails","365nails: ""Holographic Crystal Blue Flower"" – Nail Art Stickers")</x:f>
        <x:v>HYPERLINK is not implemented. linkLocation=https://365nails.com/products/365nails-holographic-crystal-blue-flower-handmade-press-on-nails, friendlyName=365nails: "Holographic Crystal Blue Flower" – Nail Art Stickers</x:v>
      </x:c>
      <x:c r="D5420" s="18" t="str">
        <x:v>Specification type: To4471-crystal diamond / Ms700-crystal diamond</x:v>
      </x:c>
      <x:c r="E5420" s="25" t="str">
        <x:v>$1.30</x:v>
      </x:c>
      <x:c r="F5420" s="19" t="str">
        <x:v>5</x:v>
      </x:c>
    </x:row>
    <x:row r="5421" ht="93" customHeight="1">
      <x:c r="A5421" s="19" t="n">
        <x:v>5418</x:v>
      </x:c>
      <x:c r="B5421" s="22" t="e">
        <x:f>HYPERLINK("https://cdn.shopify.com/s/files/1/0918/6066/4603/files/O1CN017RNYiE1HlWqHeo2DT__2545140798-0-cib_a0865ef2-5c72-444c-a695-53c2aa3bc063.jpg?v=1774613157","Open")</x:f>
        <x:v>HYPERLINK is not implemented. linkLocation=https://cdn.shopify.com/s/files/1/0918/6066/4603/files/O1CN017RNYiE1HlWqHeo2DT__2545140798-0-cib_a0865ef2-5c72-444c-a695-53c2aa3bc063.jpg?v=1774613157, friendlyName=Open</x:v>
      </x:c>
      <x:c r="C5421" s="24" t="e">
        <x:f>HYPERLINK("https://365nails.com/products/365nails-vintage-silver-cherub-angel-embossed-handmade-press-on-nails","365nails: ""vintage silver cherub angel embossed"" – Nail Art Stickers")</x:f>
        <x:v>HYPERLINK is not implemented. linkLocation=https://365nails.com/products/365nails-vintage-silver-cherub-angel-embossed-handmade-press-on-nails, friendlyName=365nails: "vintage silver cherub angel embossed" – Nail Art Stickers</x:v>
      </x:c>
      <x:c r="D5421" s="18" t="str">
        <x:v>Specification type: To2228</x:v>
      </x:c>
      <x:c r="E5421" s="25" t="str">
        <x:v>$1.23</x:v>
      </x:c>
      <x:c r="F5421" s="19" t="str">
        <x:v>5</x:v>
      </x:c>
    </x:row>
    <x:row r="5422" ht="93" customHeight="1">
      <x:c r="A5422" s="19" t="n">
        <x:v>5419</x:v>
      </x:c>
      <x:c r="B5422" s="22" t="e">
        <x:f>HYPERLINK("https://cdn.shopify.com/s/files/1/0918/6066/4603/files/29b981742e255c1f03169282935f875e.jpg?v=1765328564","Open")</x:f>
        <x:v>HYPERLINK is not implemented. linkLocation=https://cdn.shopify.com/s/files/1/0918/6066/4603/files/29b981742e255c1f03169282935f875e.jpg?v=1765328564, friendlyName=Open</x:v>
      </x:c>
      <x:c r="C5422" s="24" t="e">
        <x:f>HYPERLINK("https://365nails.com/products/aurora-neon-glitter-press-on-nails-black-base-colorful-sparkle-square-starry-glitter-sparkling-series","Aurora Neon Glitter Press On Nails｜Black Base Colorful Sparkle Square | Starry Glitter · Sparkling Series")</x:f>
        <x:v>HYPERLINK is not implemented. linkLocation=https://365nails.com/products/aurora-neon-glitter-press-on-nails-black-base-colorful-sparkle-square-starry-glitter-sparkling-series, friendlyName=Aurora Neon Glitter Press On Nails｜Black Base Colorful Sparkle Square | Starry Glitter · Sparkling Series</x:v>
      </x:c>
      <x:c r="D5422" s="18" t="str">
        <x:v>shape: almond / square; Size: XS / S / M / L; length: 45mm / 30mm</x:v>
      </x:c>
      <x:c r="E5422" s="25" t="str">
        <x:v>$9.00</x:v>
      </x:c>
      <x:c r="F5422" s="19" t="str">
        <x:v>1</x:v>
      </x:c>
    </x:row>
    <x:row r="5423" ht="93" customHeight="1">
      <x:c r="A5423" s="19" t="n">
        <x:v>5420</x:v>
      </x:c>
      <x:c r="B5423" s="22" t="e">
        <x:f>HYPERLINK("https://cdn.shopify.com/s/files/1/0918/6066/4603/files/O1CN01fLBjWh1HlWzLe0RpK__2545140798-0-cib_8563b7b5-7619-4e5c-915e-ff42f8b25e37.jpg?v=1774882815","Open")</x:f>
        <x:v>HYPERLINK is not implemented. linkLocation=https://cdn.shopify.com/s/files/1/0918/6066/4603/files/O1CN01fLBjWh1HlWzLe0RpK__2545140798-0-cib_8563b7b5-7619-4e5c-915e-ff42f8b25e37.jpg?v=1774882815, friendlyName=Open</x:v>
      </x:c>
      <x:c r="C5423" s="24" t="e">
        <x:f>HYPERLINK("https://365nails.com/products/365nails-vintage-watercolor-rose-handmade-press-on-nails","365nails: ""Vintage Watercolor Rose"" – Nail Art Stickers")</x:f>
        <x:v>HYPERLINK is not implemented. linkLocation=https://365nails.com/products/365nails-vintage-watercolor-rose-handmade-press-on-nails, friendlyName=365nails: "Vintage Watercolor Rose" – Nail Art Stickers</x:v>
      </x:c>
      <x:c r="D5423" s="18" t="str">
        <x:v>Specification type: To3712-relief / To3779-relief</x:v>
      </x:c>
      <x:c r="E5423" s="25" t="str">
        <x:v>$1.23</x:v>
      </x:c>
      <x:c r="F5423" s="19" t="str">
        <x:v>5</x:v>
      </x:c>
    </x:row>
    <x:row r="5424" ht="93" customHeight="1">
      <x:c r="A5424" s="19" t="n">
        <x:v>5421</x:v>
      </x:c>
      <x:c r="B5424" s="22" t="e">
        <x:f>HYPERLINK("https://cdn.shopify.com/s/files/1/0918/6066/4603/files/O1CN01KkzbKc1HlWt5AbNRb__2545140798-0-cib_7ad41441-f234-4e9a-8dd2-d96dddcfdc03.jpg?v=1774615069","Open")</x:f>
        <x:v>HYPERLINK is not implemented. linkLocation=https://cdn.shopify.com/s/files/1/0918/6066/4603/files/O1CN01KkzbKc1HlWt5AbNRb__2545140798-0-cib_7ad41441-f234-4e9a-8dd2-d96dddcfdc03.jpg?v=1774615069, friendlyName=Open</x:v>
      </x:c>
      <x:c r="C5424" s="24" t="e">
        <x:f>HYPERLINK("https://365nails.com/products/365nails-purple-holographic-butterfly-handmade-press-on-nails","365nails: ""Purple Holographic Butterfly"" – Nail Art Stickers")</x:f>
        <x:v>HYPERLINK is not implemented. linkLocation=https://365nails.com/products/365nails-purple-holographic-butterfly-handmade-press-on-nails, friendlyName=365nails: "Purple Holographic Butterfly" – Nail Art Stickers</x:v>
      </x:c>
      <x:c r="D5424" s="18" t="str">
        <x:v>Specification type: To2569 / To2890</x:v>
      </x:c>
      <x:c r="E5424" s="25" t="str">
        <x:v>$1.23</x:v>
      </x:c>
      <x:c r="F5424" s="19" t="str">
        <x:v>5</x:v>
      </x:c>
    </x:row>
    <x:row r="5425" ht="93" customHeight="1">
      <x:c r="A5425" s="19" t="n">
        <x:v>5422</x:v>
      </x:c>
      <x:c r="B5425" s="22" t="e">
        <x:f>HYPERLINK("https://cdn.shopify.com/s/files/1/0918/6066/4603/files/O1CN01a9hzWP1HlX7xjyehA__2545140798-0-cib.jpg?v=1774795320","Open")</x:f>
        <x:v>HYPERLINK is not implemented. linkLocation=https://cdn.shopify.com/s/files/1/0918/6066/4603/files/O1CN01a9hzWP1HlX7xjyehA__2545140798-0-cib.jpg?v=1774795320, friendlyName=Open</x:v>
      </x:c>
      <x:c r="C5425" s="24" t="e">
        <x:f>HYPERLINK("https://365nails.com/products/365nails-watercolor-lychee-calligraphy-handmade-press-on-nails","365nails: ""Watercolor Lychee &amp; Calligraphy"" – Nail Art Stickers")</x:f>
        <x:v>HYPERLINK is not implemented. linkLocation=https://365nails.com/products/365nails-watercolor-lychee-calligraphy-handmade-press-on-nails, friendlyName=365nails: "Watercolor Lychee &amp; Calligraphy" – Nail Art Stickers</x:v>
      </x:c>
      <x:c r="D5425" s="18" t="str">
        <x:v>Specification type: To5187-relief</x:v>
      </x:c>
      <x:c r="E5425" s="25" t="str">
        <x:v>$1.23</x:v>
      </x:c>
      <x:c r="F5425" s="19" t="str">
        <x:v>5</x:v>
      </x:c>
    </x:row>
    <x:row r="5426" ht="93" customHeight="1">
      <x:c r="A5426" s="19" t="n">
        <x:v>5423</x:v>
      </x:c>
      <x:c r="B5426" s="22" t="e">
        <x:f>HYPERLINK("https://cdn.shopify.com/s/files/1/0918/6066/4603/files/O1CN01AThLjv1HlX0LBE7mG__2545140798-0-cib_d1037217-b6a7-4bfd-9189-d02bd3c57c7e.jpg?v=1774448356","Open")</x:f>
        <x:v>HYPERLINK is not implemented. linkLocation=https://cdn.shopify.com/s/files/1/0918/6066/4603/files/O1CN01AThLjv1HlX0LBE7mG__2545140798-0-cib_d1037217-b6a7-4bfd-9189-d02bd3c57c7e.jpg?v=1774448356, friendlyName=Open</x:v>
      </x:c>
      <x:c r="C5426" s="24" t="e">
        <x:f>HYPERLINK("https://365nails.com/products/365nails-iridescent-butterfly-frame-handmade-press-on-nails","365nails: ""iridescent butterfly &amp; frame"" – Nail Art Stickers")</x:f>
        <x:v>HYPERLINK is not implemented. linkLocation=https://365nails.com/products/365nails-iridescent-butterfly-frame-handmade-press-on-nails, friendlyName=365nails: "iridescent butterfly &amp; frame" – Nail Art Stickers</x:v>
      </x:c>
      <x:c r="D5426" s="18" t="str">
        <x:v>Specification type: Ms578-shell light / Ms579-shell light</x:v>
      </x:c>
      <x:c r="E5426" s="25" t="str">
        <x:v>$1.23</x:v>
      </x:c>
      <x:c r="F5426" s="19" t="str">
        <x:v>5</x:v>
      </x:c>
    </x:row>
    <x:row r="5427" ht="93" customHeight="1">
      <x:c r="A5427" s="19" t="n">
        <x:v>5424</x:v>
      </x:c>
      <x:c r="B5427" s="22" t="e">
        <x:f>HYPERLINK("https://cdn.shopify.com/s/files/1/0918/6066/4603/files/O1CN01leYZEf1HlWq7nHiOd__2545140798-0-cib.jpg?v=1774276590","Open")</x:f>
        <x:v>HYPERLINK is not implemented. linkLocation=https://cdn.shopify.com/s/files/1/0918/6066/4603/files/O1CN01leYZEf1HlWq7nHiOd__2545140798-0-cib.jpg?v=1774276590, friendlyName=Open</x:v>
      </x:c>
      <x:c r="C5427" s="24" t="e">
        <x:f>HYPERLINK("https://365nails.com/products/365nails-disney-cars-speed-racer-handmade-press-on-nails","365nails: ""Disney Cars Speed Racer"" – Nail Art Stickers")</x:f>
        <x:v>HYPERLINK is not implemented. linkLocation=https://365nails.com/products/365nails-disney-cars-speed-racer-handmade-press-on-nails, friendlyName=365nails: "Disney Cars Speed Racer" – Nail Art Stickers</x:v>
      </x:c>
      <x:c r="D5427" s="18" t="str">
        <x:v>Specification type: To2236 / To2239</x:v>
      </x:c>
      <x:c r="E5427" s="25" t="str">
        <x:v>$1.23</x:v>
      </x:c>
      <x:c r="F5427" s="19" t="str">
        <x:v>5</x:v>
      </x:c>
    </x:row>
    <x:row r="5428" ht="93" customHeight="1">
      <x:c r="A5428" s="19" t="n">
        <x:v>5425</x:v>
      </x:c>
      <x:c r="B5428" s="22" t="e">
        <x:f>HYPERLINK("https://cdn.shopify.com/s/files/1/0918/6066/4603/files/O1CN01NE8B3z1HlWuKF1Fft__2545140798-0-cib.jpg?v=1774355424","Open")</x:f>
        <x:v>HYPERLINK is not implemented. linkLocation=https://cdn.shopify.com/s/files/1/0918/6066/4603/files/O1CN01NE8B3z1HlWuKF1Fft__2545140798-0-cib.jpg?v=1774355424, friendlyName=Open</x:v>
      </x:c>
      <x:c r="C5428" s="24" t="e">
        <x:f>HYPERLINK("https://365nails.com/products/365nails-kawaii-animal-friends-sweet-mix-handmade-press-on-nails","365nails: ""kawaii animal friends sweet mix"" – Nail Art Stickers")</x:f>
        <x:v>HYPERLINK is not implemented. linkLocation=https://365nails.com/products/365nails-kawaii-animal-friends-sweet-mix-handmade-press-on-nails, friendlyName=365nails: "kawaii animal friends sweet mix" – Nail Art Stickers</x:v>
      </x:c>
      <x:c r="D5428" s="18" t="str">
        <x:v>Specification type: To3004 / To3037</x:v>
      </x:c>
      <x:c r="E5428" s="25" t="str">
        <x:v>$1.23</x:v>
      </x:c>
      <x:c r="F5428" s="19" t="str">
        <x:v>5</x:v>
      </x:c>
    </x:row>
    <x:row r="5429" ht="93" customHeight="1">
      <x:c r="A5429" s="19" t="n">
        <x:v>5426</x:v>
      </x:c>
      <x:c r="B5429" s="22" t="e">
        <x:f>HYPERLINK("https://cdn.shopify.com/s/files/1/0918/6066/4603/files/O1CN01xkdQNY1HlWt2xhR0q__2545140798-0-cib.jpg?v=1774277249","Open")</x:f>
        <x:v>HYPERLINK is not implemented. linkLocation=https://cdn.shopify.com/s/files/1/0918/6066/4603/files/O1CN01xkdQNY1HlWt2xhR0q__2545140798-0-cib.jpg?v=1774277249, friendlyName=Open</x:v>
      </x:c>
      <x:c r="C5429" s="24" t="e">
        <x:f>HYPERLINK("https://365nails.com/products/365nails-snoopy-jelly-fun-mix-handmade-press-on-nails","365nails: ""Snoopy Jelly Fun Mix"" – Nail Art Stickers")</x:f>
        <x:v>HYPERLINK is not implemented. linkLocation=https://365nails.com/products/365nails-snoopy-jelly-fun-mix-handmade-press-on-nails, friendlyName=365nails: "Snoopy Jelly Fun Mix" – Nail Art Stickers</x:v>
      </x:c>
      <x:c r="D5429" s="18" t="str">
        <x:v>Specification type: Ms 348</x:v>
      </x:c>
      <x:c r="E5429" s="25" t="str">
        <x:v>$1.23</x:v>
      </x:c>
      <x:c r="F5429" s="19" t="str">
        <x:v>5</x:v>
      </x:c>
    </x:row>
    <x:row r="5430" ht="93" customHeight="1">
      <x:c r="A5430" s="19" t="n">
        <x:v>5427</x:v>
      </x:c>
      <x:c r="B5430" s="22" t="e">
        <x:f>HYPERLINK("https://cdn.shopify.com/s/files/1/0918/6066/4603/files/O1CN01OJ2aUX1HlWx9EI1CQ__2545140798-0-cib.jpg?v=1774609797","Open")</x:f>
        <x:v>HYPERLINK is not implemented. linkLocation=https://cdn.shopify.com/s/files/1/0918/6066/4603/files/O1CN01OJ2aUX1HlWx9EI1CQ__2545140798-0-cib.jpg?v=1774609797, friendlyName=Open</x:v>
      </x:c>
      <x:c r="C5430" s="24" t="e">
        <x:f>HYPERLINK("https://365nails.com/products/365nails-vintage-fairy-butterfly-portrait-handmade-press-on-nails","365nails: ""vintage fairy &amp; butterfly portrait"" – Nail Art Stickers")</x:f>
        <x:v>HYPERLINK is not implemented. linkLocation=https://365nails.com/products/365nails-vintage-fairy-butterfly-portrait-handmade-press-on-nails, friendlyName=365nails: "vintage fairy &amp; butterfly portrait" – Nail Art Stickers</x:v>
      </x:c>
      <x:c r="D5430" s="18" t="str">
        <x:v>Specification type: To3460 / To3480 / To3484</x:v>
      </x:c>
      <x:c r="E5430" s="25" t="str">
        <x:v>$1.23</x:v>
      </x:c>
      <x:c r="F5430" s="19" t="str">
        <x:v>5</x:v>
      </x:c>
    </x:row>
    <x:row r="5431" ht="93" customHeight="1">
      <x:c r="A5431" s="19" t="n">
        <x:v>5428</x:v>
      </x:c>
      <x:c r="B5431" s="22" t="e">
        <x:f>HYPERLINK("https://cdn.shopify.com/s/files/1/0918/6066/4603/files/O1CN01xT1YeJ1HlWpbCfbFy__2545140798-0-cib_ac7f7c15-b378-4d5f-8223-d4a00504ce8a.jpg?v=1774612881","Open")</x:f>
        <x:v>HYPERLINK is not implemented. linkLocation=https://cdn.shopify.com/s/files/1/0918/6066/4603/files/O1CN01xT1YeJ1HlWpbCfbFy__2545140798-0-cib_ac7f7c15-b378-4d5f-8223-d4a00504ce8a.jpg?v=1774612881, friendlyName=Open</x:v>
      </x:c>
      <x:c r="C5431" s="24" t="e">
        <x:f>HYPERLINK("https://365nails.com/products/365nails-lily-of-the-valley-embossed-handmade-press-on-nails","365nails: ""lily of the valley embossed"" – Nail Art Stickers")</x:f>
        <x:v>HYPERLINK is not implemented. linkLocation=https://365nails.com/products/365nails-lily-of-the-valley-embossed-handmade-press-on-nails, friendlyName=365nails: "lily of the valley embossed" – Nail Art Stickers</x:v>
      </x:c>
      <x:c r="D5431" s="18" t="str">
        <x:v>Specification type: To2057 / To2058</x:v>
      </x:c>
      <x:c r="E5431" s="25" t="str">
        <x:v>$1.23</x:v>
      </x:c>
      <x:c r="F5431" s="19" t="str">
        <x:v>5</x:v>
      </x:c>
    </x:row>
    <x:row r="5432" ht="93" customHeight="1">
      <x:c r="A5432" s="19" t="n">
        <x:v>5429</x:v>
      </x:c>
      <x:c r="B5432" s="22" t="e">
        <x:f>HYPERLINK("https://cdn.shopify.com/s/files/1/0918/6066/4603/files/O1CN019050g11HlX65yrEUW__2545140798-0-cib.jpg?v=1774794852","Open")</x:f>
        <x:v>HYPERLINK is not implemented. linkLocation=https://cdn.shopify.com/s/files/1/0918/6066/4603/files/O1CN019050g11HlX65yrEUW__2545140798-0-cib.jpg?v=1774794852, friendlyName=Open</x:v>
      </x:c>
      <x:c r="C5432" s="24" t="e">
        <x:f>HYPERLINK("https://365nails.com/products/365nails-oriental-lily-calligraphy-handmade-press-on-nails","365nails: ""Oriental Lily &amp; Calligraphy"" – Nail Art Stickers")</x:f>
        <x:v>HYPERLINK is not implemented. linkLocation=https://365nails.com/products/365nails-oriental-lily-calligraphy-handmade-press-on-nails, friendlyName=365nails: "Oriental Lily &amp; Calligraphy" – Nail Art Stickers</x:v>
      </x:c>
      <x:c r="D5432" s="18" t="str">
        <x:v>Specification type: To4986-relief</x:v>
      </x:c>
      <x:c r="E5432" s="25" t="str">
        <x:v>$1.23</x:v>
      </x:c>
      <x:c r="F5432" s="19" t="str">
        <x:v>5</x:v>
      </x:c>
    </x:row>
    <x:row r="5433" ht="93" customHeight="1">
      <x:c r="A5433" s="19" t="n">
        <x:v>5430</x:v>
      </x:c>
      <x:c r="B5433" s="22" t="e">
        <x:f>HYPERLINK("https://cdn.shopify.com/s/files/1/0918/6066/4603/files/O1CN01102TkJ1HlWzFCyiWw__2545140798-0-cib_1e7facb7-3902-448a-b19e-a31eb1742be7.jpg?v=1774439551","Open")</x:f>
        <x:v>HYPERLINK is not implemented. linkLocation=https://cdn.shopify.com/s/files/1/0918/6066/4603/files/O1CN01102TkJ1HlWzFCyiWw__2545140798-0-cib_1e7facb7-3902-448a-b19e-a31eb1742be7.jpg?v=1774439551, friendlyName=Open</x:v>
      </x:c>
      <x:c r="C5433" s="24" t="e">
        <x:f>HYPERLINK("https://365nails.com/products/365nails-cute-bunny-easter-handmade-press-on-nails","365nails: ""cute bunny easter"" – Nail Art Stickers")</x:f>
        <x:v>HYPERLINK is not implemented. linkLocation=https://365nails.com/products/365nails-cute-bunny-easter-handmade-press-on-nails, friendlyName=365nails: "cute bunny easter" – Nail Art Stickers</x:v>
      </x:c>
      <x:c r="D5433" s="18" t="str">
        <x:v>Specification type: To3740-relief / To3745-relief</x:v>
      </x:c>
      <x:c r="E5433" s="25" t="str">
        <x:v>$1.23</x:v>
      </x:c>
      <x:c r="F5433" s="19" t="str">
        <x:v>5</x:v>
      </x:c>
    </x:row>
    <x:row r="5434" ht="93" customHeight="1">
      <x:c r="A5434" s="19" t="n">
        <x:v>5431</x:v>
      </x:c>
      <x:c r="B5434" s="22" t="e">
        <x:f>HYPERLINK("https://cdn.shopify.com/s/files/1/0918/6066/4603/files/O1CN01bEKi441HlX5mTYdGN__2545140798-0-cib.jpg?v=1774674779","Open")</x:f>
        <x:v>HYPERLINK is not implemented. linkLocation=https://cdn.shopify.com/s/files/1/0918/6066/4603/files/O1CN01bEKi441HlX5mTYdGN__2545140798-0-cib.jpg?v=1774674779, friendlyName=Open</x:v>
      </x:c>
      <x:c r="C5434" s="24" t="e">
        <x:f>HYPERLINK("https://365nails.com/products/365nails-peach-blossom-chinese-calligraphy-handmade-press-on-nails","365nails: ""Peach Blossom Chinese Calligraphy"" – Nail Art Stickers")</x:f>
        <x:v>HYPERLINK is not implemented. linkLocation=https://365nails.com/products/365nails-peach-blossom-chinese-calligraphy-handmade-press-on-nails, friendlyName=365nails: "Peach Blossom Chinese Calligraphy" – Nail Art Stickers</x:v>
      </x:c>
      <x:c r="D5434" s="18" t="str">
        <x:v>Specification type: To4897 / To4908</x:v>
      </x:c>
      <x:c r="E5434" s="25" t="str">
        <x:v>$1.09</x:v>
      </x:c>
      <x:c r="F5434" s="19" t="str">
        <x:v>5</x:v>
      </x:c>
    </x:row>
    <x:row r="5435" ht="93" customHeight="1">
      <x:c r="A5435" s="19" t="n">
        <x:v>5432</x:v>
      </x:c>
      <x:c r="B5435" s="22" t="e">
        <x:f>HYPERLINK("https://cdn.shopify.com/s/files/1/0918/6066/4603/files/O1CN01QDYMR51HlWwGYICxH__2545140798-0-cib_e32576a0-2cbf-4be9-8a55-86e9dad047e4.jpg?v=1774364367","Open")</x:f>
        <x:v>HYPERLINK is not implemented. linkLocation=https://cdn.shopify.com/s/files/1/0918/6066/4603/files/O1CN01QDYMR51HlWwGYICxH__2545140798-0-cib_e32576a0-2cbf-4be9-8a55-86e9dad047e4.jpg?v=1774364367, friendlyName=Open</x:v>
      </x:c>
      <x:c r="C5435" s="24" t="e">
        <x:f>HYPERLINK("https://365nails.com/products/365nails-forest-bunny-mushroom-embossed-set-handmade-press-on-nails","365nails: ""Forest Bunny &amp; Mushroom Embossed Set"" – Nail Art Stickers")</x:f>
        <x:v>HYPERLINK is not implemented. linkLocation=https://365nails.com/products/365nails-forest-bunny-mushroom-embossed-set-handmade-press-on-nails, friendlyName=365nails: "Forest Bunny &amp; Mushroom Embossed Set" – Nail Art Stickers</x:v>
      </x:c>
      <x:c r="D5435" s="18" t="str">
        <x:v>Specification type: To3275 / To3311</x:v>
      </x:c>
      <x:c r="E5435" s="25" t="str">
        <x:v>$1.23</x:v>
      </x:c>
      <x:c r="F5435" s="19" t="str">
        <x:v>5</x:v>
      </x:c>
    </x:row>
    <x:row r="5436" ht="93" customHeight="1">
      <x:c r="A5436" s="19" t="n">
        <x:v>5433</x:v>
      </x:c>
      <x:c r="B5436" s="22" t="e">
        <x:f>HYPERLINK("https://cdn.shopify.com/s/files/1/0918/6066/4603/files/O1CN01PxBISm1HlWsFGF0gw__2545140798-0-cib.jpg?v=1774276877","Open")</x:f>
        <x:v>HYPERLINK is not implemented. linkLocation=https://cdn.shopify.com/s/files/1/0918/6066/4603/files/O1CN01PxBISm1HlWsFGF0gw__2545140798-0-cib.jpg?v=1774276877, friendlyName=Open</x:v>
      </x:c>
      <x:c r="C5436" s="24" t="e">
        <x:f>HYPERLINK("https://365nails.com/products/365nails-little-red-riding-hood-bunny-garden-handmade-press-on-nails","365nails: ""Little Red Riding Hood Bunny Garden"" – Nail Art Stickers")</x:f>
        <x:v>HYPERLINK is not implemented. linkLocation=https://365nails.com/products/365nails-little-red-riding-hood-bunny-garden-handmade-press-on-nails, friendlyName=365nails: "Little Red Riding Hood Bunny Garden" – Nail Art Stickers</x:v>
      </x:c>
      <x:c r="D5436" s="18" t="str">
        <x:v>Specification type: To2737</x:v>
      </x:c>
      <x:c r="E5436" s="25" t="str">
        <x:v>$1.23</x:v>
      </x:c>
      <x:c r="F5436" s="19" t="str">
        <x:v>5</x:v>
      </x:c>
    </x:row>
    <x:row r="5437" ht="93" customHeight="1">
      <x:c r="A5437" s="19" t="n">
        <x:v>5434</x:v>
      </x:c>
      <x:c r="B5437" s="22" t="e">
        <x:f>HYPERLINK("https://cdn.shopify.com/s/files/1/0918/6066/4603/files/O1CN01Eb3YEK1HlX40l6ruL__2545140798-0-cib.jpg?v=1774613232","Open")</x:f>
        <x:v>HYPERLINK is not implemented. linkLocation=https://cdn.shopify.com/s/files/1/0918/6066/4603/files/O1CN01Eb3YEK1HlX40l6ruL__2545140798-0-cib.jpg?v=1774613232, friendlyName=Open</x:v>
      </x:c>
      <x:c r="C5437" s="24" t="e">
        <x:f>HYPERLINK("https://365nails.com/products/365nails-vintage-dried-flower-foil-letter-handmade-press-on-nails","365nails: ""vintage dried flower foil letter"" – Nail Art Stickers")</x:f>
        <x:v>HYPERLINK is not implemented. linkLocation=https://365nails.com/products/365nails-vintage-dried-flower-foil-letter-handmade-press-on-nails, friendlyName=365nails: "vintage dried flower foil letter" – Nail Art Stickers</x:v>
      </x:c>
      <x:c r="D5437" s="18" t="str">
        <x:v>Specification type: To4611-jelly / To4625-new hot stamping</x:v>
      </x:c>
      <x:c r="E5437" s="25" t="str">
        <x:v>$1.23</x:v>
      </x:c>
      <x:c r="F5437" s="19" t="str">
        <x:v>5</x:v>
      </x:c>
    </x:row>
    <x:row r="5438" ht="93" customHeight="1">
      <x:c r="A5438" s="19" t="n">
        <x:v>5435</x:v>
      </x:c>
      <x:c r="B5438" s="22" t="e">
        <x:f>HYPERLINK("https://cdn.shopify.com/s/files/1/0918/6066/4603/files/O1CN01hD2o061HlX9wJxIEh__2545140798-0-cib.jpg?v=1774363748","Open")</x:f>
        <x:v>HYPERLINK is not implemented. linkLocation=https://cdn.shopify.com/s/files/1/0918/6066/4603/files/O1CN01hD2o061HlX9wJxIEh__2545140798-0-cib.jpg?v=1774363748, friendlyName=Open</x:v>
      </x:c>
      <x:c r="C5438" s="24" t="e">
        <x:f>HYPERLINK("https://365nails.com/products/365nails-snowflake-music-note-embossed-set-handmade-press-on-nails","365nails: ""Snowflake &amp; Music Note Embossed Set"" – Nail Art Stickers")</x:f>
        <x:v>HYPERLINK is not implemented. linkLocation=https://365nails.com/products/365nails-snowflake-music-note-embossed-set-handmade-press-on-nails, friendlyName=365nails: "Snowflake &amp; Music Note Embossed Set" – Nail Art Stickers</x:v>
      </x:c>
      <x:c r="D5438" s="18" t="str">
        <x:v>Specification type: To5288 / To5388 / Ms 860</x:v>
      </x:c>
      <x:c r="E5438" s="25" t="str">
        <x:v>$1.00</x:v>
      </x:c>
      <x:c r="F5438" s="19" t="str">
        <x:v>5</x:v>
      </x:c>
    </x:row>
    <x:row r="5439" ht="93" customHeight="1">
      <x:c r="A5439" s="19" t="n">
        <x:v>5436</x:v>
      </x:c>
      <x:c r="B5439" s="22" t="e">
        <x:f>HYPERLINK("https://cdn.shopify.com/s/files/1/0918/6066/4603/files/O1CN01RYGWNY1HlWxSGrkTH__2545140798-0-cib_5ae90b7c-52fa-4e45-8de6-b386fd0d6bd2.jpg?v=1774881959","Open")</x:f>
        <x:v>HYPERLINK is not implemented. linkLocation=https://cdn.shopify.com/s/files/1/0918/6066/4603/files/O1CN01RYGWNY1HlWxSGrkTH__2545140798-0-cib_5ae90b7c-52fa-4e45-8de6-b386fd0d6bd2.jpg?v=1774881959, friendlyName=Open</x:v>
      </x:c>
      <x:c r="C5439" s="24" t="e">
        <x:f>HYPERLINK("https://365nails.com/products/365nails-holographic-phoenix-chain-handmade-press-on-nails","365nails: ""Holographic Phoenix &amp; Chain"" – Nail Art Stickers")</x:f>
        <x:v>HYPERLINK is not implemented. linkLocation=https://365nails.com/products/365nails-holographic-phoenix-chain-handmade-press-on-nails, friendlyName=365nails: "Holographic Phoenix &amp; Chain" – Nail Art Stickers</x:v>
      </x:c>
      <x:c r="D5439" s="18" t="str">
        <x:v>Specification type: To3538-laser powder / To3538-new hot stamping / To3538-silver / To3539-relief</x:v>
      </x:c>
      <x:c r="E5439" s="25" t="str">
        <x:v>$1.23</x:v>
      </x:c>
      <x:c r="F5439" s="19" t="str">
        <x:v>5</x:v>
      </x:c>
    </x:row>
    <x:row r="5440" ht="93" customHeight="1">
      <x:c r="A5440" s="19" t="n">
        <x:v>5437</x:v>
      </x:c>
      <x:c r="B5440" s="22" t="e">
        <x:f>HYPERLINK("https://cdn.shopify.com/s/files/1/0918/6066/4603/files/O1CN01D2K9nL1HlX7zWje2t__2545140798-0-cib.jpg?v=1774795261","Open")</x:f>
        <x:v>HYPERLINK is not implemented. linkLocation=https://cdn.shopify.com/s/files/1/0918/6066/4603/files/O1CN01D2K9nL1HlX7zWje2t__2545140798-0-cib.jpg?v=1774795261, friendlyName=Open</x:v>
      </x:c>
      <x:c r="C5440" s="24" t="e">
        <x:f>HYPERLINK("https://365nails.com/products/365nails-iridescent-koi-fish-ink-wash-handmade-press-on-nails","365nails: ""Iridescent Koi Fish &amp; Ink Wash"" – Nail Art Stickers")</x:f>
        <x:v>HYPERLINK is not implemented. linkLocation=https://365nails.com/products/365nails-iridescent-koi-fish-ink-wash-handmade-press-on-nails, friendlyName=365nails: "Iridescent Koi Fish &amp; Ink Wash" – Nail Art Stickers</x:v>
      </x:c>
      <x:c r="D5440" s="18" t="str">
        <x:v>Specification type: Ms824-metal / Ms825-metal</x:v>
      </x:c>
      <x:c r="E5440" s="25" t="str">
        <x:v>$1.23</x:v>
      </x:c>
      <x:c r="F5440" s="19" t="str">
        <x:v>5</x:v>
      </x:c>
    </x:row>
    <x:row r="5441" ht="93" customHeight="1">
      <x:c r="A5441" s="19" t="n">
        <x:v>5438</x:v>
      </x:c>
      <x:c r="B5441" s="22" t="e">
        <x:f>HYPERLINK("https://cdn.shopify.com/s/files/1/0918/6066/4603/files/O1CN01EWX0DG1HlWwpyvxZp__2545140798-0-cib.jpg?v=1774437581","Open")</x:f>
        <x:v>HYPERLINK is not implemented. linkLocation=https://cdn.shopify.com/s/files/1/0918/6066/4603/files/O1CN01EWX0DG1HlWwpyvxZp__2545140798-0-cib.jpg?v=1774437581, friendlyName=Open</x:v>
      </x:c>
      <x:c r="C5441" s="24" t="e">
        <x:f>HYPERLINK("https://365nails.com/products/365nails-gold-foil-rose-bow-sticker-set","365nails: ""Gold Foil Rose &amp; Bow Sticker Set""")</x:f>
        <x:v>HYPERLINK is not implemented. linkLocation=https://365nails.com/products/365nails-gold-foil-rose-bow-sticker-set, friendlyName=365nails: "Gold Foil Rose &amp; Bow Sticker Set"</x:v>
      </x:c>
      <x:c r="D5441" s="18" t="str">
        <x:v>Specification type: To3432-new hot stamping / To3432-rose gold / To3432-silver</x:v>
      </x:c>
      <x:c r="E5441" s="25" t="str">
        <x:v>$1.23</x:v>
      </x:c>
      <x:c r="F5441" s="19" t="str">
        <x:v>5</x:v>
      </x:c>
    </x:row>
    <x:row r="5442" ht="93" customHeight="1">
      <x:c r="A5442" s="19" t="n">
        <x:v>5439</x:v>
      </x:c>
      <x:c r="B5442" s="22" t="e">
        <x:f>HYPERLINK("https://cdn.shopify.com/s/files/1/0918/6066/4603/files/O1CN01glvmMF1HlWtM19AjI__2545140798-0-cib.jpg?v=1774363820","Open")</x:f>
        <x:v>HYPERLINK is not implemented. linkLocation=https://cdn.shopify.com/s/files/1/0918/6066/4603/files/O1CN01glvmMF1HlWtM19AjI__2545140798-0-cib.jpg?v=1774363820, friendlyName=Open</x:v>
      </x:c>
      <x:c r="C5442" s="24" t="e">
        <x:f>HYPERLINK("https://365nails.com/products/365nails-smile-rainbow-daisy-embossed-set-handmade-press-on-nails","365nails: ""Smile Rainbow Daisy Embossed Set"" – Nail Art Stickers")</x:f>
        <x:v>HYPERLINK is not implemented. linkLocation=https://365nails.com/products/365nails-smile-rainbow-daisy-embossed-set-handmade-press-on-nails, friendlyName=365nails: "Smile Rainbow Daisy Embossed Set" – Nail Art Stickers</x:v>
      </x:c>
      <x:c r="D5442" s="18" t="str">
        <x:v>Specification type: To2903 / To2905</x:v>
      </x:c>
      <x:c r="E5442" s="25" t="str">
        <x:v>$1.23</x:v>
      </x:c>
      <x:c r="F5442" s="19" t="str">
        <x:v>5</x:v>
      </x:c>
    </x:row>
    <x:row r="5443" ht="93" customHeight="1">
      <x:c r="A5443" s="19" t="n">
        <x:v>5440</x:v>
      </x:c>
      <x:c r="B5443" s="22" t="e">
        <x:f>HYPERLINK("https://cdn.shopify.com/s/files/1/0918/6066/4603/files/O1CN01nOn8yS1HlWvZesXAW__2545140798-0-cib.jpg?v=1774356918","Open")</x:f>
        <x:v>HYPERLINK is not implemented. linkLocation=https://cdn.shopify.com/s/files/1/0918/6066/4603/files/O1CN01nOn8yS1HlWvZesXAW__2545140798-0-cib.jpg?v=1774356918, friendlyName=Open</x:v>
      </x:c>
      <x:c r="C5443" s="24" t="e">
        <x:f>HYPERLINK("https://365nails.com/products/365nails-holographic-crystal-heart-layered-set-handmade-press-on-nails","365nails: ""holographic crystal heart layered set"" – Nail Art Stickers")</x:f>
        <x:v>HYPERLINK is not implemented. linkLocation=https://365nails.com/products/365nails-holographic-crystal-heart-layered-set-handmade-press-on-nails, friendlyName=365nails: "holographic crystal heart layered set" – Nail Art Stickers</x:v>
      </x:c>
      <x:c r="D5443" s="18" t="str">
        <x:v>Specification type: Ms 415 / To3233</x:v>
      </x:c>
      <x:c r="E5443" s="25" t="str">
        <x:v>$1.30</x:v>
      </x:c>
      <x:c r="F5443" s="19" t="str">
        <x:v>5</x:v>
      </x:c>
    </x:row>
    <x:row r="5444" ht="93" customHeight="1">
      <x:c r="A5444" s="19" t="n">
        <x:v>5441</x:v>
      </x:c>
      <x:c r="B5444" s="22" t="e">
        <x:f>HYPERLINK("https://cdn.shopify.com/s/files/1/0918/6066/4603/files/O1CN01hvwW1j1HlWxO0zTPC__2545140798-0-cib_19d52559-b9a6-4ca5-a12d-a8f4f92a327b.jpg?v=1775396238","Open")</x:f>
        <x:v>HYPERLINK is not implemented. linkLocation=https://cdn.shopify.com/s/files/1/0918/6066/4603/files/O1CN01hvwW1j1HlWxO0zTPC__2545140798-0-cib_19d52559-b9a6-4ca5-a12d-a8f4f92a327b.jpg?v=1775396238, friendlyName=Open</x:v>
      </x:c>
      <x:c r="C5444" s="24" t="e">
        <x:f>HYPERLINK("https://365nails.com/products/365nails-holographic-celestial-butterfly-handmade-press-on-nails","365nails: ""Holographic Celestial &amp; Butterfly"" – Nail Art Stickers")</x:f>
        <x:v>HYPERLINK is not implemented. linkLocation=https://365nails.com/products/365nails-holographic-celestial-butterfly-handmade-press-on-nails, friendlyName=365nails: "Holographic Celestial &amp; Butterfly" – Nail Art Stickers</x:v>
      </x:c>
      <x:c r="D5444" s="18" t="str">
        <x:v>Specification type: To3488 / To3489-laser powder / To3489-new hot stamping / To3489-silver</x:v>
      </x:c>
      <x:c r="E5444" s="25" t="str">
        <x:v>$1.23</x:v>
      </x:c>
      <x:c r="F5444" s="19" t="str">
        <x:v>5</x:v>
      </x:c>
    </x:row>
    <x:row r="5445" ht="93" customHeight="1">
      <x:c r="A5445" s="19" t="n">
        <x:v>5442</x:v>
      </x:c>
      <x:c r="B5445" s="22" t="e">
        <x:f>HYPERLINK("https://cdn.shopify.com/s/files/1/0918/6066/4603/files/O1CN012h3EWg1HlX1qwWDTJ__2545140798-0-cib.jpg?v=1774612273","Open")</x:f>
        <x:v>HYPERLINK is not implemented. linkLocation=https://cdn.shopify.com/s/files/1/0918/6066/4603/files/O1CN012h3EWg1HlX1qwWDTJ__2545140798-0-cib.jpg?v=1774612273, friendlyName=Open</x:v>
      </x:c>
      <x:c r="C5445" s="24" t="e">
        <x:f>HYPERLINK("https://365nails.com/products/365nails-holographic-lucky-koi-fish-handmade-press-on-nails","365nails: ""holographic lucky koi fish"" – Nail Art Stickers")</x:f>
        <x:v>HYPERLINK is not implemented. linkLocation=https://365nails.com/products/365nails-holographic-lucky-koi-fish-handmade-press-on-nails, friendlyName=365nails: "holographic lucky koi fish" – Nail Art Stickers</x:v>
      </x:c>
      <x:c r="D5445" s="18" t="str">
        <x:v>Specification type: To4187-shell light</x:v>
      </x:c>
      <x:c r="E5445" s="25" t="str">
        <x:v>$1.23</x:v>
      </x:c>
      <x:c r="F5445" s="19" t="str">
        <x:v>5</x:v>
      </x:c>
    </x:row>
    <x:row r="5446" ht="93" customHeight="1">
      <x:c r="A5446" s="19" t="n">
        <x:v>5443</x:v>
      </x:c>
      <x:c r="B5446" s="22" t="e">
        <x:f>HYPERLINK("https://cdn.shopify.com/s/files/1/0918/6066/4603/files/O1CN018wTpmh1HlX6jcjNbo__2545140798-0-cib_e40dabc8-05ff-42f2-b48b-98c1f16f1ab2.jpg?v=1774355482","Open")</x:f>
        <x:v>HYPERLINK is not implemented. linkLocation=https://cdn.shopify.com/s/files/1/0918/6066/4603/files/O1CN018wTpmh1HlX6jcjNbo__2545140798-0-cib_e40dabc8-05ff-42f2-b48b-98c1f16f1ab2.jpg?v=1774355482, friendlyName=Open</x:v>
      </x:c>
      <x:c r="C5446" s="24" t="e">
        <x:f>HYPERLINK("https://365nails.com/products/365nails-holographic-mermaid-tail-ocean-handmade-press-on-nails","365nails: ""holographic mermaid tail ocean"" – Nail Art Stickers")</x:f>
        <x:v>HYPERLINK is not implemented. linkLocation=https://365nails.com/products/365nails-holographic-mermaid-tail-ocean-handmade-press-on-nails, friendlyName=365nails: "holographic mermaid tail ocean" – Nail Art Stickers</x:v>
      </x:c>
      <x:c r="D5446" s="18" t="str">
        <x:v>Specification type: Ms798-metal</x:v>
      </x:c>
      <x:c r="E5446" s="25" t="str">
        <x:v>$1.23</x:v>
      </x:c>
      <x:c r="F5446" s="19" t="str">
        <x:v>5</x:v>
      </x:c>
    </x:row>
    <x:row r="5447" ht="93" customHeight="1">
      <x:c r="A5447" s="19" t="n">
        <x:v>5444</x:v>
      </x:c>
      <x:c r="B5447" s="22" t="e">
        <x:f>HYPERLINK("https://cdn.shopify.com/s/files/1/0918/6066/4603/files/O1CN01ptOCei1HlX0i4SpIE__2545140798-0-cib.jpg?v=1774617029","Open")</x:f>
        <x:v>HYPERLINK is not implemented. linkLocation=https://cdn.shopify.com/s/files/1/0918/6066/4603/files/O1CN01ptOCei1HlX0i4SpIE__2545140798-0-cib.jpg?v=1774617029, friendlyName=Open</x:v>
      </x:c>
      <x:c r="C5447" s="24" t="e">
        <x:f>HYPERLINK("https://365nails.com/products/365nails-chinese-style-red-flower-calligraphy-handmade-press-on-nails","365nails: ""Chinese Style Red Flower &amp; Calligraphy"" – Nail Art Stickers")</x:f>
        <x:v>HYPERLINK is not implemented. linkLocation=https://365nails.com/products/365nails-chinese-style-red-flower-calligraphy-handmade-press-on-nails, friendlyName=365nails: "Chinese Style Red Flower &amp; Calligraphy" – Nail Art Stickers</x:v>
      </x:c>
      <x:c r="D5447" s="18" t="str">
        <x:v>Specification type: To3766</x:v>
      </x:c>
      <x:c r="E5447" s="25" t="str">
        <x:v>$1.09</x:v>
      </x:c>
      <x:c r="F5447" s="19" t="str">
        <x:v>5</x:v>
      </x:c>
    </x:row>
    <x:row r="5448" ht="93" customHeight="1">
      <x:c r="A5448" s="19" t="n">
        <x:v>5445</x:v>
      </x:c>
      <x:c r="B5448" s="22" t="e">
        <x:f>HYPERLINK("https://cdn.shopify.com/s/files/1/0918/6066/4603/files/O1CN010iuzcp1HlWp4KHwol__2545140798-0-cib_ba4de327-686a-4e7d-a215-163ff0de8021.jpg?v=1774362522","Open")</x:f>
        <x:v>HYPERLINK is not implemented. linkLocation=https://cdn.shopify.com/s/files/1/0918/6066/4603/files/O1CN010iuzcp1HlWp4KHwol__2545140798-0-cib_ba4de327-686a-4e7d-a215-163ff0de8021.jpg?v=1774362522, friendlyName=Open</x:v>
      </x:c>
      <x:c r="C5448" s="24" t="e">
        <x:f>HYPERLINK("https://365nails.com/products/365nails-summer-fruit-slice-embossed-set-handmade-press-on-nails","365nails: ""summer fruit slice embossed set"" – Nail Art Stickers")</x:f>
        <x:v>HYPERLINK is not implemented. linkLocation=https://365nails.com/products/365nails-summer-fruit-slice-embossed-set-handmade-press-on-nails, friendlyName=365nails: "summer fruit slice embossed set" – Nail Art Stickers</x:v>
      </x:c>
      <x:c r="D5448" s="18" t="str">
        <x:v>Specification type: To1901 / To1918 / To 1903</x:v>
      </x:c>
      <x:c r="E5448" s="25" t="str">
        <x:v>$1.23</x:v>
      </x:c>
      <x:c r="F5448" s="19" t="str">
        <x:v>5</x:v>
      </x:c>
    </x:row>
    <x:row r="5449" ht="93" customHeight="1">
      <x:c r="A5449" s="19" t="n">
        <x:v>5446</x:v>
      </x:c>
      <x:c r="B5449" s="22" t="e">
        <x:f>HYPERLINK("https://cdn.shopify.com/s/files/1/0918/6066/4603/files/O1CN01KiFgx01HlX6u7vCho__2545140798-0-cib_f3beda41-c4cc-4694-95b6-4859342390a9.jpg?v=1774356854","Open")</x:f>
        <x:v>HYPERLINK is not implemented. linkLocation=https://cdn.shopify.com/s/files/1/0918/6066/4603/files/O1CN01KiFgx01HlX6u7vCho__2545140798-0-cib_f3beda41-c4cc-4694-95b6-4859342390a9.jpg?v=1774356854, friendlyName=Open</x:v>
      </x:c>
      <x:c r="C5449" s="24" t="e">
        <x:f>HYPERLINK("https://365nails.com/products/365nails-kawaii-garden-friends-sweet-snack-mix-handmade-press-on-nails","365nails: ""kawaii garden friends sweet snack mix"" – Nail Art Stickers")</x:f>
        <x:v>HYPERLINK is not implemented. linkLocation=https://365nails.com/products/365nails-kawaii-garden-friends-sweet-snack-mix-handmade-press-on-nails, friendlyName=365nails: "kawaii garden friends sweet snack mix" – Nail Art Stickers</x:v>
      </x:c>
      <x:c r="D5449" s="18" t="str">
        <x:v>Specification type: To5039-shell light / To5077-relief</x:v>
      </x:c>
      <x:c r="E5449" s="25" t="str">
        <x:v>$1.23</x:v>
      </x:c>
      <x:c r="F5449" s="19" t="str">
        <x:v>5</x:v>
      </x:c>
    </x:row>
    <x:row r="5450" ht="93" customHeight="1">
      <x:c r="A5450" s="19" t="n">
        <x:v>5447</x:v>
      </x:c>
      <x:c r="B5450" s="22" t="e">
        <x:f>HYPERLINK("https://cdn.shopify.com/s/files/1/0918/6066/4603/files/O1CN018yDWbX1HlX1YlMaSK__2545140798-0-cib.jpg?v=1774361129","Open")</x:f>
        <x:v>HYPERLINK is not implemented. linkLocation=https://cdn.shopify.com/s/files/1/0918/6066/4603/files/O1CN018yDWbX1HlX1YlMaSK__2545140798-0-cib.jpg?v=1774361129, friendlyName=Open</x:v>
      </x:c>
      <x:c r="C5450" s="24" t="e">
        <x:f>HYPERLINK("https://365nails.com/products/365nails-iridescent-cinnamoroll-unicorn-embossed-set-handmade-press-on-nails","365nails: ""iridescent cinnamoroll unicorn embossed set"" – Nail Art Stickers")</x:f>
        <x:v>HYPERLINK is not implemented. linkLocation=https://365nails.com/products/365nails-iridescent-cinnamoroll-unicorn-embossed-set-handmade-press-on-nails, friendlyName=365nails: "iridescent cinnamoroll unicorn embossed set" – Nail Art Stickers</x:v>
      </x:c>
      <x:c r="D5450" s="18" t="str">
        <x:v>Specification type: San056-shell light</x:v>
      </x:c>
      <x:c r="E5450" s="25" t="str">
        <x:v>$1.30</x:v>
      </x:c>
      <x:c r="F5450" s="19" t="str">
        <x:v>5</x:v>
      </x:c>
    </x:row>
    <x:row r="5451" ht="93" customHeight="1">
      <x:c r="A5451" s="19" t="n">
        <x:v>5448</x:v>
      </x:c>
      <x:c r="B5451" s="22" t="e">
        <x:f>HYPERLINK("https://cdn.shopify.com/s/files/1/0918/6066/4603/files/O1CN01Co470x1HlX6ndFCTh__2545140798-0-cib_983d75cf-54b9-4ee9-be96-fcd056b1e0ac.jpg?v=1774356365","Open")</x:f>
        <x:v>HYPERLINK is not implemented. linkLocation=https://cdn.shopify.com/s/files/1/0918/6066/4603/files/O1CN01Co470x1HlX6ndFCTh__2545140798-0-cib_983d75cf-54b9-4ee9-be96-fcd056b1e0ac.jpg?v=1774356365, friendlyName=Open</x:v>
      </x:c>
      <x:c r="C5451" s="24" t="e">
        <x:f>HYPERLINK("https://365nails.com/products/365nails-kawaii-fruit-monster-cute-friends-handmade-press-on-nails","365nails: ""kawaii fruit monster cute friends"" – Nail Art Stickers")</x:f>
        <x:v>HYPERLINK is not implemented. linkLocation=https://365nails.com/products/365nails-kawaii-fruit-monster-cute-friends-handmade-press-on-nails, friendlyName=365nails: "kawaii fruit monster cute friends" – Nail Art Stickers</x:v>
      </x:c>
      <x:c r="D5451" s="18" t="str">
        <x:v>Specification type: To4911-relief / To4912-jelly</x:v>
      </x:c>
      <x:c r="E5451" s="25" t="str">
        <x:v>$1.23</x:v>
      </x:c>
      <x:c r="F5451" s="19" t="str">
        <x:v>5</x:v>
      </x:c>
    </x:row>
    <x:row r="5452" ht="93" customHeight="1">
      <x:c r="A5452" s="19" t="n">
        <x:v>5449</x:v>
      </x:c>
      <x:c r="B5452" s="22" t="e">
        <x:f>HYPERLINK("https://cdn.shopify.com/s/files/1/0918/6066/4603/files/O1CN01bRa4SW1HlWqIZ0YgV__2545140798-0-cib.jpg?v=1774276260","Open")</x:f>
        <x:v>HYPERLINK is not implemented. linkLocation=https://cdn.shopify.com/s/files/1/0918/6066/4603/files/O1CN01bRa4SW1HlWqIZ0YgV__2545140798-0-cib.jpg?v=1774276260, friendlyName=Open</x:v>
      </x:c>
      <x:c r="C5452" s="24" t="e">
        <x:f>HYPERLINK("https://365nails.com/products/365nails-cute-doodle-summer-text-mix-handmade-press-on-nails","365nails: ""cute doodle &amp; summer text mix"" – Nail Art Stickers")</x:f>
        <x:v>HYPERLINK is not implemented. linkLocation=https://365nails.com/products/365nails-cute-doodle-summer-text-mix-handmade-press-on-nails, friendlyName=365nails: "cute doodle &amp; summer text mix" – Nail Art Stickers</x:v>
      </x:c>
      <x:c r="D5452" s="18" t="str">
        <x:v>Specification type: To1567 / To1574</x:v>
      </x:c>
      <x:c r="E5452" s="25" t="str">
        <x:v>$1.23</x:v>
      </x:c>
      <x:c r="F5452" s="19" t="str">
        <x:v>5</x:v>
      </x:c>
    </x:row>
    <x:row r="5453" ht="93" customHeight="1">
      <x:c r="A5453" s="19" t="n">
        <x:v>5450</x:v>
      </x:c>
      <x:c r="B5453" s="22" t="e">
        <x:f>HYPERLINK("https://cdn.shopify.com/s/files/1/0918/6066/4603/files/O1CN01VQxWlx1HlX5stYUuh__2545140798-0-cib.jpg?v=1774448882","Open")</x:f>
        <x:v>HYPERLINK is not implemented. linkLocation=https://cdn.shopify.com/s/files/1/0918/6066/4603/files/O1CN01VQxWlx1HlX5stYUuh__2545140798-0-cib.jpg?v=1774448882, friendlyName=Open</x:v>
      </x:c>
      <x:c r="C5453" s="24" t="e">
        <x:f>HYPERLINK("https://365nails.com/products/365nails-jelly-iridescent-mini-butterfly-handmade-press-on-nails","365nails: ""jelly iridescent mini butterfly"" – Nail Art Stickers")</x:f>
        <x:v>HYPERLINK is not implemented. linkLocation=https://365nails.com/products/365nails-jelly-iridescent-mini-butterfly-handmade-press-on-nails, friendlyName=365nails: "jelly iridescent mini butterfly" – Nail Art Stickers</x:v>
      </x:c>
      <x:c r="D5453" s="18" t="str">
        <x:v>Specification type: Ms766-metal / Ms767-jelly / Ms769-metal / Ms770-jelly</x:v>
      </x:c>
      <x:c r="E5453" s="25" t="str">
        <x:v>$1.23</x:v>
      </x:c>
      <x:c r="F5453" s="19" t="str">
        <x:v>5</x:v>
      </x:c>
    </x:row>
    <x:row r="5454" ht="93" customHeight="1">
      <x:c r="A5454" s="19" t="n">
        <x:v>5451</x:v>
      </x:c>
      <x:c r="B5454" s="22" t="e">
        <x:f>HYPERLINK("https://cdn.shopify.com/s/files/1/0918/6066/4603/files/O1CN01lixZIi1HlWt9NzQzY__2545140798-0-cib.jpg?v=1774276996","Open")</x:f>
        <x:v>HYPERLINK is not implemented. linkLocation=https://cdn.shopify.com/s/files/1/0918/6066/4603/files/O1CN01lixZIi1HlWt9NzQzY__2545140798-0-cib.jpg?v=1774276996, friendlyName=Open</x:v>
      </x:c>
      <x:c r="C5454" s="24" t="e">
        <x:f>HYPERLINK("https://365nails.com/products/365nails-holographic-silver-jellyfish-ocean-handmade-press-on-nails","365nails: ""holographic silver jellyfish ocean"" – Nail Art Stickers")</x:f>
        <x:v>HYPERLINK is not implemented. linkLocation=https://365nails.com/products/365nails-holographic-silver-jellyfish-ocean-handmade-press-on-nails, friendlyName=365nails: "holographic silver jellyfish ocean" – Nail Art Stickers</x:v>
      </x:c>
      <x:c r="D5454" s="18" t="str">
        <x:v>Specification type: To2882-laser silver / To2882-new hot stamping / To2882-silver / To2884-laser silver / To2884-new hot stamping / To2884-silver</x:v>
      </x:c>
      <x:c r="E5454" s="25" t="str">
        <x:v>$1.23</x:v>
      </x:c>
      <x:c r="F5454" s="19" t="str">
        <x:v>5</x:v>
      </x:c>
    </x:row>
    <x:row r="5455" ht="93" customHeight="1">
      <x:c r="A5455" s="19" t="n">
        <x:v>5452</x:v>
      </x:c>
      <x:c r="B5455" s="22" t="e">
        <x:f>HYPERLINK("https://cdn.shopify.com/s/files/1/0918/6066/4603/files/O1CN01XnzPlk1HlX6jbLpCu__2545140798-0-cib_a482b6ea-4a82-40a1-87ca-7d8e523fe538.jpg?v=1774355988","Open")</x:f>
        <x:v>HYPERLINK is not implemented. linkLocation=https://cdn.shopify.com/s/files/1/0918/6066/4603/files/O1CN01XnzPlk1HlX6jbLpCu__2545140798-0-cib_a482b6ea-4a82-40a1-87ca-7d8e523fe538.jpg?v=1774355988, friendlyName=Open</x:v>
      </x:c>
      <x:c r="C5455" s="24" t="e">
        <x:f>HYPERLINK("https://365nails.com/products/365nails-holographic-ocean-dolphin-sea-creature-handmade-press-on-nails","365nails: ""holographic ocean dolphin &amp; sea creature"" – Nail Art Stickers")</x:f>
        <x:v>HYPERLINK is not implemented. linkLocation=https://365nails.com/products/365nails-holographic-ocean-dolphin-sea-creature-handmade-press-on-nails, friendlyName=365nails: "holographic ocean dolphin &amp; sea creature" – Nail Art Stickers</x:v>
      </x:c>
      <x:c r="D5455" s="18" t="str">
        <x:v>Specification type: To5067-metal</x:v>
      </x:c>
      <x:c r="E5455" s="25" t="str">
        <x:v>$1.23</x:v>
      </x:c>
      <x:c r="F5455" s="19" t="str">
        <x:v>5</x:v>
      </x:c>
    </x:row>
    <x:row r="5456" ht="93" customHeight="1">
      <x:c r="A5456" s="19" t="n">
        <x:v>5453</x:v>
      </x:c>
      <x:c r="B5456" s="22" t="e">
        <x:f>HYPERLINK("https://cdn.shopify.com/s/files/1/0918/6066/4603/files/O1CN01rBUMJ51HlWllcnSAC__2545140798-0-cib.jpg?v=1774275782","Open")</x:f>
        <x:v>HYPERLINK is not implemented. linkLocation=https://cdn.shopify.com/s/files/1/0918/6066/4603/files/O1CN01rBUMJ51HlWllcnSAC__2545140798-0-cib.jpg?v=1774275782, friendlyName=Open</x:v>
      </x:c>
      <x:c r="C5456" s="24" t="e">
        <x:f>HYPERLINK("https://365nails.com/products/365nails-metallic-star-holographic-rose-mix-handmade-press-on-nails","365nails: ""metallic star &amp; holographic rose mix"" – Nail Art Stickers")</x:f>
        <x:v>HYPERLINK is not implemented. linkLocation=https://365nails.com/products/365nails-metallic-star-holographic-rose-mix-handmade-press-on-nails, friendlyName=365nails: "metallic star &amp; holographic rose mix" – Nail Art Stickers</x:v>
      </x:c>
      <x:c r="D5456" s="18" t="str">
        <x:v>Specification type: 838 new laser silver / 838 new rose gold / 838 new hot stamping / 841 new laser silver / 841 new rose gold / 841 new hot stamping / 849 new laser silver / 849 new rose gold / 849 new hot stamping / 850 new laser silver / 850 new rose gold / 850 new hot stamping / 851 new laser silver / 851 new rose gold / 851 new hot stamping / 838 silver / 851 silver</x:v>
      </x:c>
      <x:c r="E5456" s="25" t="str">
        <x:v>$1.23</x:v>
      </x:c>
      <x:c r="F5456" s="19" t="str">
        <x:v>5</x:v>
      </x:c>
    </x:row>
    <x:row r="5457" ht="93" customHeight="1">
      <x:c r="A5457" s="19" t="n">
        <x:v>5454</x:v>
      </x:c>
      <x:c r="B5457" s="22" t="e">
        <x:f>HYPERLINK("https://cdn.shopify.com/s/files/1/0918/6066/4603/files/O1CN01WnXjVp1HlX093sq1s__2545140798-0-cib.jpg?v=1774437832","Open")</x:f>
        <x:v>HYPERLINK is not implemented. linkLocation=https://cdn.shopify.com/s/files/1/0918/6066/4603/files/O1CN01WnXjVp1HlX093sq1s__2545140798-0-cib.jpg?v=1774437832, friendlyName=Open</x:v>
      </x:c>
      <x:c r="C5457" s="24" t="e">
        <x:f>HYPERLINK("https://365nails.com/products/365nails-iridescent-mini-tulip-embossed-set-handmade-press-on-nails","365nails: ""Iridescent Mini Tulip Embossed Set"" – Nail Art Stickers")</x:f>
        <x:v>HYPERLINK is not implemented. linkLocation=https://365nails.com/products/365nails-iridescent-mini-tulip-embossed-set-handmade-press-on-nails, friendlyName=365nails: "Iridescent Mini Tulip Embossed Set" – Nail Art Stickers</x:v>
      </x:c>
      <x:c r="D5457" s="18" t="str">
        <x:v>Specification type: To3834-shell light / To3835-jelly</x:v>
      </x:c>
      <x:c r="E5457" s="25" t="str">
        <x:v>$1.23</x:v>
      </x:c>
      <x:c r="F5457" s="19" t="str">
        <x:v>5</x:v>
      </x:c>
    </x:row>
    <x:row r="5458" ht="93" customHeight="1">
      <x:c r="A5458" s="19" t="n">
        <x:v>5455</x:v>
      </x:c>
      <x:c r="B5458" s="22" t="e">
        <x:f>HYPERLINK("https://cdn.shopify.com/s/files/1/0918/6066/4603/files/O1CN01m0Tgjm1HlWxmXqtD5__2545140798-0-cib_5db24ed1-e9c4-45f5-8cd0-d7eca66dc725.jpg?v=1774882243","Open")</x:f>
        <x:v>HYPERLINK is not implemented. linkLocation=https://cdn.shopify.com/s/files/1/0918/6066/4603/files/O1CN01m0Tgjm1HlWxmXqtD5__2545140798-0-cib_5db24ed1-e9c4-45f5-8cd0-d7eca66dc725.jpg?v=1774882243, friendlyName=Open</x:v>
      </x:c>
      <x:c r="C5458" s="24" t="e">
        <x:f>HYPERLINK("https://365nails.com/products/365nails-vintage-ink-butterfly-calligraphy-handmade-press-on-nails","365nails: ""Vintage Ink Butterfly &amp; Calligraphy"" – Nail Art Stickers")</x:f>
        <x:v>HYPERLINK is not implemented. linkLocation=https://365nails.com/products/365nails-vintage-ink-butterfly-calligraphy-handmade-press-on-nails, friendlyName=365nails: "Vintage Ink Butterfly &amp; Calligraphy" – Nail Art Stickers</x:v>
      </x:c>
      <x:c r="D5458" s="18" t="str">
        <x:v>Specification type: To3570 / To3571 / To3576</x:v>
      </x:c>
      <x:c r="E5458" s="25" t="str">
        <x:v>$1.09</x:v>
      </x:c>
      <x:c r="F5458" s="19" t="str">
        <x:v>5</x:v>
      </x:c>
    </x:row>
    <x:row r="5459" ht="93" customHeight="1">
      <x:c r="A5459" s="19" t="n">
        <x:v>5456</x:v>
      </x:c>
      <x:c r="B5459" s="22" t="e">
        <x:f>HYPERLINK("https://cdn.shopify.com/s/files/1/0918/6066/4603/files/O1CN01p0ZB781HlX5pnMZqN__2545140798-0-cib.jpg?v=1774675917","Open")</x:f>
        <x:v>HYPERLINK is not implemented. linkLocation=https://cdn.shopify.com/s/files/1/0918/6066/4603/files/O1CN01p0ZB781HlX5pnMZqN__2545140798-0-cib.jpg?v=1774675917, friendlyName=Open</x:v>
      </x:c>
      <x:c r="C5459" s="24" t="e">
        <x:f>HYPERLINK("https://365nails.com/products/365nails-holographic-blue-butterfly-rose-handmade-press-on-nails","365nails: ""Holographic Blue Butterfly &amp; Rose"" – Nail Art Stickers")</x:f>
        <x:v>HYPERLINK is not implemented. linkLocation=https://365nails.com/products/365nails-holographic-blue-butterfly-rose-handmade-press-on-nails, friendlyName=365nails: "Holographic Blue Butterfly &amp; Rose" – Nail Art Stickers</x:v>
      </x:c>
      <x:c r="D5459" s="18" t="str">
        <x:v>Specification type: To4917-relief</x:v>
      </x:c>
      <x:c r="E5459" s="25" t="str">
        <x:v>$1.23</x:v>
      </x:c>
      <x:c r="F5459" s="19" t="str">
        <x:v>5</x:v>
      </x:c>
    </x:row>
    <x:row r="5460" ht="93" customHeight="1">
      <x:c r="A5460" s="19" t="n">
        <x:v>5457</x:v>
      </x:c>
      <x:c r="B5460" s="22" t="e">
        <x:f>HYPERLINK("https://cdn.shopify.com/s/files/1/0918/6066/4603/files/O1CN01sbI8yr1HlWtA4RFDm__2545140798-0-cib.jpg?v=1774449957","Open")</x:f>
        <x:v>HYPERLINK is not implemented. linkLocation=https://cdn.shopify.com/s/files/1/0918/6066/4603/files/O1CN01sbI8yr1HlWtA4RFDm__2545140798-0-cib.jpg?v=1774449957, friendlyName=Open</x:v>
      </x:c>
      <x:c r="C5460" s="24" t="e">
        <x:f>HYPERLINK("https://365nails.com/products/365nails-cute-kitty-cat-handmade-press-on-nails","365nails: ""cute kitty cat"" – Nail Art Stickers")</x:f>
        <x:v>HYPERLINK is not implemented. linkLocation=https://365nails.com/products/365nails-cute-kitty-cat-handmade-press-on-nails, friendlyName=365nails: "cute kitty cat" – Nail Art Stickers</x:v>
      </x:c>
      <x:c r="D5460" s="18" t="str">
        <x:v>Specification type: To2907 / To2909</x:v>
      </x:c>
      <x:c r="E5460" s="25" t="str">
        <x:v>$1.23</x:v>
      </x:c>
      <x:c r="F5460" s="19" t="str">
        <x:v>5</x:v>
      </x:c>
    </x:row>
    <x:row r="5461" ht="93" customHeight="1">
      <x:c r="A5461" s="19" t="n">
        <x:v>5458</x:v>
      </x:c>
      <x:c r="B5461" s="22" t="e">
        <x:f>HYPERLINK("https://cdn.shopify.com/s/files/1/0918/6066/4603/files/O1CN01rNJ0z01HlWyM5HYfb__2545140798-0-cib.jpg?v=1774616879","Open")</x:f>
        <x:v>HYPERLINK is not implemented. linkLocation=https://cdn.shopify.com/s/files/1/0918/6066/4603/files/O1CN01rNJ0z01HlWyM5HYfb__2545140798-0-cib.jpg?v=1774616879, friendlyName=Open</x:v>
      </x:c>
      <x:c r="C5461" s="24" t="e">
        <x:f>HYPERLINK("https://365nails.com/products/365nails-golden-chinese-dragon-embossed-handmade-press-on-nails","365nails: ""Golden Chinese Dragon Embossed"" – Nail Art Stickers")</x:f>
        <x:v>HYPERLINK is not implemented. linkLocation=https://365nails.com/products/365nails-golden-chinese-dragon-embossed-handmade-press-on-nails, friendlyName=365nails: "Golden Chinese Dragon Embossed" – Nail Art Stickers</x:v>
      </x:c>
      <x:c r="D5461" s="18" t="str">
        <x:v>Specification type: To3644-new hot stamping / To3645-shell light</x:v>
      </x:c>
      <x:c r="E5461" s="25" t="str">
        <x:v>$1.23</x:v>
      </x:c>
      <x:c r="F5461" s="19" t="str">
        <x:v>5</x:v>
      </x:c>
    </x:row>
    <x:row r="5462" ht="93" customHeight="1">
      <x:c r="A5462" s="19" t="n">
        <x:v>5459</x:v>
      </x:c>
      <x:c r="B5462" s="22" t="e">
        <x:f>HYPERLINK("https://cdn.shopify.com/s/files/1/0918/6066/4603/files/O1CN01dBo9p21HlWwUcgvNj__2545140798-0-cib.jpg?v=1774615442","Open")</x:f>
        <x:v>HYPERLINK is not implemented. linkLocation=https://cdn.shopify.com/s/files/1/0918/6066/4603/files/O1CN01dBo9p21HlWwUcgvNj__2545140798-0-cib.jpg?v=1774615442, friendlyName=Open</x:v>
      </x:c>
      <x:c r="C5462" s="24" t="e">
        <x:f>HYPERLINK("https://365nails.com/products/365nails-white-flower-with-rhinestone-handmade-press-on-nails","365nails: ""White Flower with Rhinestone"" – Nail Art Stickers")</x:f>
        <x:v>HYPERLINK is not implemented. linkLocation=https://365nails.com/products/365nails-white-flower-with-rhinestone-handmade-press-on-nails, friendlyName=365nails: "White Flower with Rhinestone" – Nail Art Stickers</x:v>
      </x:c>
      <x:c r="D5462" s="18" t="str">
        <x:v>Specification type: To3324-crystal diamond</x:v>
      </x:c>
      <x:c r="E5462" s="25" t="str">
        <x:v>$1.30</x:v>
      </x:c>
      <x:c r="F5462" s="19" t="str">
        <x:v>5</x:v>
      </x:c>
    </x:row>
    <x:row r="5463" ht="93" customHeight="1">
      <x:c r="A5463" s="19" t="n">
        <x:v>5460</x:v>
      </x:c>
      <x:c r="B5463" s="22" t="e">
        <x:f>HYPERLINK("https://cdn.shopify.com/s/files/1/0918/6066/4603/files/O1CN01M2VCDl1HlWtUDB2sH__2545140798-0-cib.jpg?v=1774364286","Open")</x:f>
        <x:v>HYPERLINK is not implemented. linkLocation=https://cdn.shopify.com/s/files/1/0918/6066/4603/files/O1CN01M2VCDl1HlWtUDB2sH__2545140798-0-cib.jpg?v=1774364286, friendlyName=Open</x:v>
      </x:c>
      <x:c r="C5463" s="24" t="e">
        <x:f>HYPERLINK("https://365nails.com/products/365nails-daisy-crystal-embossed-set-handmade-press-on-nails","365nails: ""Daisy Crystal Embossed Set"" – Nail Art Stickers")</x:f>
        <x:v>HYPERLINK is not implemented. linkLocation=https://365nails.com/products/365nails-daisy-crystal-embossed-set-handmade-press-on-nails, friendlyName=365nails: "Daisy Crystal Embossed Set" – Nail Art Stickers</x:v>
      </x:c>
      <x:c r="D5463" s="18" t="str">
        <x:v>Specification type: To2930 / To2975 / To2984 / To2987 / To2990-laser silver / To2990-new hot stamping / To2990-silver</x:v>
      </x:c>
      <x:c r="E5463" s="25" t="str">
        <x:v>$1.30</x:v>
      </x:c>
      <x:c r="F5463" s="19" t="str">
        <x:v>5</x:v>
      </x:c>
    </x:row>
    <x:row r="5464" ht="93" customHeight="1">
      <x:c r="A5464" s="19" t="n">
        <x:v>5461</x:v>
      </x:c>
      <x:c r="B5464" s="22" t="e">
        <x:f>HYPERLINK("https://cdn.shopify.com/s/files/1/0918/6066/4603/files/O1CN01UKfBeu1HlWp6n23se__2545140798-0-cib_e335b705-9ee1-4f3f-bacf-a4916df68017.jpg?v=1774362652","Open")</x:f>
        <x:v>HYPERLINK is not implemented. linkLocation=https://cdn.shopify.com/s/files/1/0918/6066/4603/files/O1CN01UKfBeu1HlWp6n23se__2545140798-0-cib_e335b705-9ee1-4f3f-bacf-a4916df68017.jpg?v=1774362652, friendlyName=Open</x:v>
      </x:c>
      <x:c r="C5464" s="24" t="e">
        <x:f>HYPERLINK("https://365nails.com/products/365nails-one-piece-character-embossed-set-handmade-press-on-nails","365nails: ""one piece character embossed set"" – Nail Art Stickers")</x:f>
        <x:v>HYPERLINK is not implemented. linkLocation=https://365nails.com/products/365nails-one-piece-character-embossed-set-handmade-press-on-nails, friendlyName=365nails: "one piece character embossed set" – Nail Art Stickers</x:v>
      </x:c>
      <x:c r="D5464" s="18" t="str">
        <x:v>Specification type: To1906 / To 1907 / To1909</x:v>
      </x:c>
      <x:c r="E5464" s="25" t="str">
        <x:v>$1.09</x:v>
      </x:c>
      <x:c r="F5464" s="19" t="str">
        <x:v>5</x:v>
      </x:c>
    </x:row>
    <x:row r="5465" ht="93" customHeight="1">
      <x:c r="A5465" s="19" t="n">
        <x:v>5462</x:v>
      </x:c>
      <x:c r="B5465" s="22" t="e">
        <x:f>HYPERLINK("https://cdn.shopify.com/s/files/1/0918/6066/4603/files/O1CN01xT1YeJ1HlWpbCfbFy__2545140798-0-cib.jpg?v=1774277525","Open")</x:f>
        <x:v>HYPERLINK is not implemented. linkLocation=https://cdn.shopify.com/s/files/1/0918/6066/4603/files/O1CN01xT1YeJ1HlWpbCfbFy__2545140798-0-cib.jpg?v=1774277525, friendlyName=Open</x:v>
      </x:c>
      <x:c r="C5465" s="24" t="e">
        <x:f>HYPERLINK("https://365nails.com/products/365nails-lily-of-the-valley-lovely-bloom-handmade-press-on-nails","365nails: ""lily of the valley lovely bloom"" – Nail Art Stickers")</x:f>
        <x:v>HYPERLINK is not implemented. linkLocation=https://365nails.com/products/365nails-lily-of-the-valley-lovely-bloom-handmade-press-on-nails, friendlyName=365nails: "lily of the valley lovely bloom" – Nail Art Stickers</x:v>
      </x:c>
      <x:c r="D5465" s="18" t="str">
        <x:v>Specification type: To2057 / To2058</x:v>
      </x:c>
      <x:c r="E5465" s="25" t="str">
        <x:v>$1.23</x:v>
      </x:c>
      <x:c r="F5465" s="19" t="str">
        <x:v>5</x:v>
      </x:c>
    </x:row>
    <x:row r="5466" ht="93" customHeight="1">
      <x:c r="A5466" s="19" t="n">
        <x:v>5463</x:v>
      </x:c>
      <x:c r="B5466" s="22" t="e">
        <x:f>HYPERLINK("https://cdn.shopify.com/s/files/1/0918/6066/4603/files/O1CN01WvUIti1HlX6k0Id0j__2545140798-0-cib_4db8f7c8-d4a4-4863-bfb3-46bc0bc1afbe.jpg?v=1774355766","Open")</x:f>
        <x:v>HYPERLINK is not implemented. linkLocation=https://cdn.shopify.com/s/files/1/0918/6066/4603/files/O1CN01WvUIti1HlX6k0Id0j__2545140798-0-cib_4db8f7c8-d4a4-4863-bfb3-46bc0bc1afbe.jpg?v=1774355766, friendlyName=Open</x:v>
      </x:c>
      <x:c r="C5466" s="24" t="e">
        <x:f>HYPERLINK("https://365nails.com/products/365nails-disney-stitch-angel-summer-surf-collection-handmade-press-on-nails","365nails: ""Disney Stitch &amp; Angel Summer Surf Collection"" – Nail Art Stickers")</x:f>
        <x:v>HYPERLINK is not implemented. linkLocation=https://365nails.com/products/365nails-disney-stitch-angel-summer-surf-collection-handmade-press-on-nails, friendlyName=365nails: "Disney Stitch &amp; Angel Summer Surf Collection" – Nail Art Stickers</x:v>
      </x:c>
      <x:c r="D5466" s="18" t="str">
        <x:v>Specification type: Tdsn004-relief / Tdsn007-relief / Td007s-relief</x:v>
      </x:c>
      <x:c r="E5466" s="25" t="str">
        <x:v>$1.23</x:v>
      </x:c>
      <x:c r="F5466" s="19" t="str">
        <x:v>5</x:v>
      </x:c>
    </x:row>
    <x:row r="5467" ht="93" customHeight="1">
      <x:c r="A5467" s="19" t="n">
        <x:v>5464</x:v>
      </x:c>
      <x:c r="B5467" s="22" t="e">
        <x:f>HYPERLINK("https://cdn.shopify.com/s/files/1/0918/6066/4603/files/O1CN01cMAzmr1HlX3ZTMHgz__2545140798-0-cib.jpg?v=1774614308","Open")</x:f>
        <x:v>HYPERLINK is not implemented. linkLocation=https://cdn.shopify.com/s/files/1/0918/6066/4603/files/O1CN01cMAzmr1HlX3ZTMHgz__2545140798-0-cib.jpg?v=1774614308, friendlyName=Open</x:v>
      </x:c>
      <x:c r="C5467" s="24" t="e">
        <x:f>HYPERLINK("https://365nails.com/products/365nails-pink-christmas-crystal-winter-handmade-press-on-nails","365nails: ""Pink Christmas Crystal Winter"" – Nail Art Stickers")</x:f>
        <x:v>HYPERLINK is not implemented. linkLocation=https://365nails.com/products/365nails-pink-christmas-crystal-winter-handmade-press-on-nails, friendlyName=365nails: "Pink Christmas Crystal Winter" – Nail Art Stickers</x:v>
      </x:c>
      <x:c r="D5467" s="18" t="str">
        <x:v>Specification type: To4549-crystal diamond / To4550-crystal diamond / To4551-crystal diamond / To4552-crystal diamond</x:v>
      </x:c>
      <x:c r="E5467" s="25" t="str">
        <x:v>$1.30</x:v>
      </x:c>
      <x:c r="F5467" s="19" t="str">
        <x:v>5</x:v>
      </x:c>
    </x:row>
    <x:row r="5468" ht="93" customHeight="1">
      <x:c r="A5468" s="19" t="n">
        <x:v>5465</x:v>
      </x:c>
      <x:c r="B5468" s="22" t="e">
        <x:f>HYPERLINK("https://cdn.shopify.com/s/files/1/0918/6066/4603/files/O1CN011qoLYF1HlWzvTX8OT__2545140798-0-cib_8377c707-4878-4c95-b2ae-56e3027cd73e.jpg?v=1775450440","Open")</x:f>
        <x:v>HYPERLINK is not implemented. linkLocation=https://cdn.shopify.com/s/files/1/0918/6066/4603/files/O1CN011qoLYF1HlWzvTX8OT__2545140798-0-cib_8377c707-4878-4c95-b2ae-56e3027cd73e.jpg?v=1775450440, friendlyName=Open</x:v>
      </x:c>
      <x:c r="C5468" s="24" t="e">
        <x:f>HYPERLINK("https://365nails.com/products/365nails-soft-pastel-butterfly-handmade-press-on-nails","365nails: ""Soft Pastel Butterfly"" – Nail Art Stickers")</x:f>
        <x:v>HYPERLINK is not implemented. linkLocation=https://365nails.com/products/365nails-soft-pastel-butterfly-handmade-press-on-nails, friendlyName=365nails: "Soft Pastel Butterfly" – Nail Art Stickers</x:v>
      </x:c>
      <x:c r="D5468" s="18" t="str">
        <x:v>Specification type: Ms 570 / Ms 573</x:v>
      </x:c>
      <x:c r="E5468" s="25" t="str">
        <x:v>$1.09</x:v>
      </x:c>
      <x:c r="F5468" s="19" t="str">
        <x:v>5</x:v>
      </x:c>
    </x:row>
    <x:row r="5469" ht="93" customHeight="1">
      <x:c r="A5469" s="19" t="n">
        <x:v>5466</x:v>
      </x:c>
      <x:c r="B5469" s="22" t="e">
        <x:f>HYPERLINK("https://cdn.shopify.com/s/files/1/0918/6066/4603/files/O1CN01VLZprX1HlWz4puRSD__2545140798-0-cib_221d7a9f-7adb-4fe9-94dc-873ff48344d6.jpg?v=1774882760","Open")</x:f>
        <x:v>HYPERLINK is not implemented. linkLocation=https://cdn.shopify.com/s/files/1/0918/6066/4603/files/O1CN01VLZprX1HlWz4puRSD__2545140798-0-cib_221d7a9f-7adb-4fe9-94dc-873ff48344d6.jpg?v=1774882760, friendlyName=Open</x:v>
      </x:c>
      <x:c r="C5469" s="24" t="e">
        <x:f>HYPERLINK("https://365nails.com/products/365nails-ink-plum-blossom-oriental-handmade-press-on-nails","365nails: ""Ink Plum Blossom Oriental"" – Nail Art Stickers")</x:f>
        <x:v>HYPERLINK is not implemented. linkLocation=https://365nails.com/products/365nails-ink-plum-blossom-oriental-handmade-press-on-nails, friendlyName=365nails: "Ink Plum Blossom Oriental" – Nail Art Stickers</x:v>
      </x:c>
      <x:c r="D5469" s="18" t="str">
        <x:v>Specification type: To3718 / To3720</x:v>
      </x:c>
      <x:c r="E5469" s="25" t="str">
        <x:v>$1.09</x:v>
      </x:c>
      <x:c r="F5469" s="19" t="str">
        <x:v>5</x:v>
      </x:c>
    </x:row>
    <x:row r="5470" ht="93" customHeight="1">
      <x:c r="A5470" s="19" t="n">
        <x:v>5467</x:v>
      </x:c>
      <x:c r="B5470" s="22" t="e">
        <x:f>HYPERLINK("https://cdn.shopify.com/s/files/1/0918/6066/4603/files/O1CN01KeyMqA1HlX88DeFcR__2545140798-0-cib.jpg?v=1774795383","Open")</x:f>
        <x:v>HYPERLINK is not implemented. linkLocation=https://cdn.shopify.com/s/files/1/0918/6066/4603/files/O1CN01KeyMqA1HlX88DeFcR__2545140798-0-cib.jpg?v=1774795383, friendlyName=Open</x:v>
      </x:c>
      <x:c r="C5470" s="24" t="e">
        <x:f>HYPERLINK("https://365nails.com/products/365nails-cute-cat-puppy-sweet-life-handmade-press-on-nails","365nails: ""Cute Cat &amp; Puppy Sweet Life"" – Nail Art Stickers")</x:f>
        <x:v>HYPERLINK is not implemented. linkLocation=https://365nails.com/products/365nails-cute-cat-puppy-sweet-life-handmade-press-on-nails, friendlyName=365nails: "Cute Cat &amp; Puppy Sweet Life" – Nail Art Stickers</x:v>
      </x:c>
      <x:c r="D5470" s="18" t="str">
        <x:v>Specification type: Mc68</x:v>
      </x:c>
      <x:c r="E5470" s="25" t="str">
        <x:v>$1.16</x:v>
      </x:c>
      <x:c r="F5470" s="19" t="str">
        <x:v>5</x:v>
      </x:c>
    </x:row>
    <x:row r="5471" ht="93" customHeight="1">
      <x:c r="A5471" s="19" t="n">
        <x:v>5468</x:v>
      </x:c>
      <x:c r="B5471" s="22" t="e">
        <x:f>HYPERLINK("https://cdn.shopify.com/s/files/1/0918/6066/4603/files/O1CN01fDlZmQ1HlX19AA0n8__2545140798-0-cib.jpg?v=1774622110","Open")</x:f>
        <x:v>HYPERLINK is not implemented. linkLocation=https://cdn.shopify.com/s/files/1/0918/6066/4603/files/O1CN01fDlZmQ1HlX19AA0n8__2545140798-0-cib.jpg?v=1774622110, friendlyName=Open</x:v>
      </x:c>
      <x:c r="C5471" s="24" t="e">
        <x:f>HYPERLINK("https://365nails.com/products/365nails-holographic-sakura-cherry-blossom-handmade-press-on-nails","365nails: ""Holographic Sakura Cherry Blossom"" – Nail Art Stickers")</x:f>
        <x:v>HYPERLINK is not implemented. linkLocation=https://365nails.com/products/365nails-holographic-sakura-cherry-blossom-handmade-press-on-nails, friendlyName=365nails: "Holographic Sakura Cherry Blossom" – Nail Art Stickers</x:v>
      </x:c>
      <x:c r="D5471" s="18" t="str">
        <x:v>Specification type: To4079-shell light</x:v>
      </x:c>
      <x:c r="E5471" s="25" t="str">
        <x:v>$1.23</x:v>
      </x:c>
      <x:c r="F5471" s="19" t="str">
        <x:v>5</x:v>
      </x:c>
    </x:row>
    <x:row r="5472" ht="93" customHeight="1">
      <x:c r="A5472" s="19" t="n">
        <x:v>5469</x:v>
      </x:c>
      <x:c r="B5472" s="22" t="e">
        <x:f>HYPERLINK("https://cdn.shopify.com/s/files/1/0918/6066/4603/files/O1CN01rdftzW1HlWybv6pXN__2545140798-0-cib.jpg?v=1774437717","Open")</x:f>
        <x:v>HYPERLINK is not implemented. linkLocation=https://cdn.shopify.com/s/files/1/0918/6066/4603/files/O1CN01rdftzW1HlWybv6pXN__2545140798-0-cib.jpg?v=1774437717, friendlyName=Open</x:v>
      </x:c>
      <x:c r="C5472" s="24" t="e">
        <x:f>HYPERLINK("https://365nails.com/products/365nails-peony-dragonfly-embossed-set-handmade-press-on-nails","365nails: ""Peony &amp; Dragonfly Embossed Set"" – Nail Art Stickers")</x:f>
        <x:v>HYPERLINK is not implemented. linkLocation=https://365nails.com/products/365nails-peony-dragonfly-embossed-set-handmade-press-on-nails, friendlyName=365nails: "Peony &amp; Dragonfly Embossed Set" – Nail Art Stickers</x:v>
      </x:c>
      <x:c r="D5472" s="18" t="str">
        <x:v>Specification type: To3679</x:v>
      </x:c>
      <x:c r="E5472" s="25" t="str">
        <x:v>$1.38</x:v>
      </x:c>
      <x:c r="F5472" s="19" t="str">
        <x:v>5</x:v>
      </x:c>
    </x:row>
    <x:row r="5473" ht="93" customHeight="1">
      <x:c r="A5473" s="19" t="n">
        <x:v>5470</x:v>
      </x:c>
      <x:c r="B5473" s="22" t="e">
        <x:f>HYPERLINK("https://cdn.shopify.com/s/files/1/0918/6066/4603/files/O1CN015wi1No1HlX6ZCqyXB__2545140798-0-cib_daa8def8-e016-48e8-a5fd-b0078f5e4393.jpg?v=1774277329","Open")</x:f>
        <x:v>HYPERLINK is not implemented. linkLocation=https://cdn.shopify.com/s/files/1/0918/6066/4603/files/O1CN015wi1No1HlX6ZCqyXB__2545140798-0-cib_daa8def8-e016-48e8-a5fd-b0078f5e4393.jpg?v=1774277329, friendlyName=Open</x:v>
      </x:c>
      <x:c r="C5473" s="24" t="e">
        <x:f>HYPERLINK("https://365nails.com/products/365nails-vintage-wax-seal-monogram-m-handmade-press-on-nails","365nails: ""vintage wax seal monogram M"" – Nail Art Stickers")</x:f>
        <x:v>HYPERLINK is not implemented. linkLocation=https://365nails.com/products/365nails-vintage-wax-seal-monogram-m-handmade-press-on-nails, friendlyName=365nails: "vintage wax seal monogram M" – Nail Art Stickers</x:v>
      </x:c>
      <x:c r="D5473" s="18" t="str">
        <x:v>Specification type: To133 / To134 / To148 / To154 / To167 / To171 / To173 / To185 / To290 / Pro067 / Pro080 / Pro082 / Pro 103 / Pro121 / Pro 122 / Pro 136 / Pro 143 / Pro 151 / Pro 156 / To238 / To282 / To305 / To307 / To322 / To350 / To351 / To377 / To378 / To379 / To401 / To409-white / To409-black / To420-black / To420-white / To475 / To479 / To480 / To481 / To482 / To495 / To498 / To499 / To500 / To518 / To542-relief / To689-relief / To757 / Ta79 / To915-relief / To935</x:v>
      </x:c>
      <x:c r="E5473" s="25" t="str">
        <x:v>$1.01</x:v>
      </x:c>
      <x:c r="F5473" s="19" t="str">
        <x:v>5</x:v>
      </x:c>
    </x:row>
    <x:row r="5474" ht="93" customHeight="1">
      <x:c r="A5474" s="19" t="n">
        <x:v>5471</x:v>
      </x:c>
      <x:c r="B5474" s="22" t="e">
        <x:f>HYPERLINK("https://cdn.shopify.com/s/files/1/0918/6066/4603/files/O1CN01R6oxQ61HlWqLxG74N__2545140798-0-cib_533f815f-fd7d-42fb-b2be-e6bfd6741736.jpg?v=1774363391","Open")</x:f>
        <x:v>HYPERLINK is not implemented. linkLocation=https://cdn.shopify.com/s/files/1/0918/6066/4603/files/O1CN01R6oxQ61HlWqLxG74N__2545140798-0-cib_533f815f-fd7d-42fb-b2be-e6bfd6741736.jpg?v=1774363391, friendlyName=Open</x:v>
      </x:c>
      <x:c r="C5474" s="24" t="e">
        <x:f>HYPERLINK("https://365nails.com/products/365nails-metallic-phoenix-foil-embossed-set-handmade-press-on-nails","365nails: ""Metallic Phoenix Foil Embossed Set"" – Nail Art Stickers")</x:f>
        <x:v>HYPERLINK is not implemented. linkLocation=https://365nails.com/products/365nails-metallic-phoenix-foil-embossed-set-handmade-press-on-nails, friendlyName=365nails: "Metallic Phoenix Foil Embossed Set" – Nail Art Stickers</x:v>
      </x:c>
      <x:c r="D5474" s="18" t="str">
        <x:v>Specification type: To2299-laser silver / To2299-new hot stamping / To2299-silver / To2305-laser silver / To2305-new hot stamping / To2305-silver / To2310-laser silver / To2310-new hot stamping / To2310-silver</x:v>
      </x:c>
      <x:c r="E5474" s="25" t="str">
        <x:v>$1.23</x:v>
      </x:c>
      <x:c r="F5474" s="19" t="str">
        <x:v>5</x:v>
      </x:c>
    </x:row>
    <x:row r="5475" ht="93" customHeight="1">
      <x:c r="A5475" s="19" t="n">
        <x:v>5472</x:v>
      </x:c>
      <x:c r="B5475" s="22" t="e">
        <x:f>HYPERLINK("https://cdn.shopify.com/s/files/1/0918/6066/4603/files/O1CN01Dkg6Th1HlWxZ0Njg3__2545140798-0-cib_d085e35a-0a89-4108-ade1-a1abdf85871a.jpg?v=1774882110","Open")</x:f>
        <x:v>HYPERLINK is not implemented. linkLocation=https://cdn.shopify.com/s/files/1/0918/6066/4603/files/O1CN01Dkg6Th1HlWxZ0Njg3__2545140798-0-cib_d085e35a-0a89-4108-ade1-a1abdf85871a.jpg?v=1774882110, friendlyName=Open</x:v>
      </x:c>
      <x:c r="C5475" s="24" t="e">
        <x:f>HYPERLINK("https://365nails.com/products/365nails-holographic-butterfly-with-rhinestone-handmade-press-on-nails","365nails: ""Holographic Butterfly with Rhinestone"" – Nail Art Stickers")</x:f>
        <x:v>HYPERLINK is not implemented. linkLocation=https://365nails.com/products/365nails-holographic-butterfly-with-rhinestone-handmade-press-on-nails, friendlyName=365nails: "Holographic Butterfly with Rhinestone" – Nail Art Stickers</x:v>
      </x:c>
      <x:c r="D5475" s="18" t="str">
        <x:v>Specification type: To3553-crystal diamond / To3554 laser powder-crystal diamond / To3554 new hot stamping-crystal diamond / To3554 silver-crystal diamond</x:v>
      </x:c>
      <x:c r="E5475" s="25" t="str">
        <x:v>$1.30</x:v>
      </x:c>
      <x:c r="F5475" s="19" t="str">
        <x:v>5</x:v>
      </x:c>
    </x:row>
    <x:row r="5476" ht="93" customHeight="1">
      <x:c r="A5476" s="19" t="n">
        <x:v>5473</x:v>
      </x:c>
      <x:c r="B5476" s="22" t="e">
        <x:f>HYPERLINK("https://cdn.shopify.com/s/files/1/0918/6066/4603/files/O1CN01Jew9KI1HlWxAKSKvz__2545140798-0-cib.jpg?v=1774450139","Open")</x:f>
        <x:v>HYPERLINK is not implemented. linkLocation=https://cdn.shopify.com/s/files/1/0918/6066/4603/files/O1CN01Jew9KI1HlWxAKSKvz__2545140798-0-cib.jpg?v=1774450139, friendlyName=Open</x:v>
      </x:c>
      <x:c r="C5476" s="24" t="e">
        <x:f>HYPERLINK("https://365nails.com/products/365nails-white-cursive-alphabet-handmade-press-on-nails","365nails: ""white cursive alphabet"" – Nail Art Stickers")</x:f>
        <x:v>HYPERLINK is not implemented. linkLocation=https://365nails.com/products/365nails-white-cursive-alphabet-handmade-press-on-nails, friendlyName=365nails: "white cursive alphabet" – Nail Art Stickers</x:v>
      </x:c>
      <x:c r="D5476" s="18" t="str">
        <x:v>Specification type: To3482 / To3483</x:v>
      </x:c>
      <x:c r="E5476" s="25" t="str">
        <x:v>$1.23</x:v>
      </x:c>
      <x:c r="F5476" s="19" t="str">
        <x:v>5</x:v>
      </x:c>
    </x:row>
    <x:row r="5477" ht="93" customHeight="1">
      <x:c r="A5477" s="19" t="n">
        <x:v>5474</x:v>
      </x:c>
      <x:c r="B5477" s="22" t="e">
        <x:f>HYPERLINK("https://cdn.shopify.com/s/files/1/0918/6066/4603/files/O1CN01IZIDtx1HlWvZePBrO__2545140798-0-cib.jpg?v=1774355906","Open")</x:f>
        <x:v>HYPERLINK is not implemented. linkLocation=https://cdn.shopify.com/s/files/1/0918/6066/4603/files/O1CN01IZIDtx1HlWvZePBrO__2545140798-0-cib.jpg?v=1774355906, friendlyName=Open</x:v>
      </x:c>
      <x:c r="C5477" s="24" t="e">
        <x:f>HYPERLINK("https://365nails.com/products/365nails-honey-bear-cherry-ribbon-sweet-jelly-handmade-press-on-nails","365nails: ""honey bear cherry ribbon sweet jelly"" – Nail Art Stickers")</x:f>
        <x:v>HYPERLINK is not implemented. linkLocation=https://365nails.com/products/365nails-honey-bear-cherry-ribbon-sweet-jelly-handmade-press-on-nails, friendlyName=365nails: "honey bear cherry ribbon sweet jelly" – Nail Art Stickers</x:v>
      </x:c>
      <x:c r="D5477" s="18" t="str">
        <x:v>Specification type: Ms 416 / Ms 417</x:v>
      </x:c>
      <x:c r="E5477" s="25" t="str">
        <x:v>$1.23</x:v>
      </x:c>
      <x:c r="F5477" s="19" t="str">
        <x:v>5</x:v>
      </x:c>
    </x:row>
    <x:row r="5478" ht="93" customHeight="1">
      <x:c r="A5478" s="19" t="n">
        <x:v>5475</x:v>
      </x:c>
      <x:c r="B5478" s="22" t="e">
        <x:f>HYPERLINK("https://cdn.shopify.com/s/files/1/0918/6066/4603/files/O1CN01LlLONn1HlWpmHqan1__2545140798-0-cib_e0525a83-c0f8-47e0-891c-28e934d18506.jpg?v=1774362960","Open")</x:f>
        <x:v>HYPERLINK is not implemented. linkLocation=https://cdn.shopify.com/s/files/1/0918/6066/4603/files/O1CN01LlLONn1HlWpmHqan1__2545140798-0-cib_e0525a83-c0f8-47e0-891c-28e934d18506.jpg?v=1774362960, friendlyName=Open</x:v>
      </x:c>
      <x:c r="C5478" s="24" t="e">
        <x:f>HYPERLINK("https://365nails.com/products/365nails-red-rose-poker-royalty-embossed-set-handmade-press-on-nails","365nails: ""Red Rose Poker Royalty Embossed Set"" – Nail Art Stickers")</x:f>
        <x:v>HYPERLINK is not implemented. linkLocation=https://365nails.com/products/365nails-red-rose-poker-royalty-embossed-set-handmade-press-on-nails, friendlyName=365nails: "Red Rose Poker Royalty Embossed Set" – Nail Art Stickers</x:v>
      </x:c>
      <x:c r="D5478" s="18" t="str">
        <x:v>Specification type: To2112</x:v>
      </x:c>
      <x:c r="E5478" s="25" t="str">
        <x:v>$1.08</x:v>
      </x:c>
      <x:c r="F5478" s="19" t="str">
        <x:v>5</x:v>
      </x:c>
    </x:row>
    <x:row r="5479" ht="93" customHeight="1">
      <x:c r="A5479" s="19" t="n">
        <x:v>5476</x:v>
      </x:c>
      <x:c r="B5479" s="22" t="e">
        <x:f>HYPERLINK("https://cdn.shopify.com/s/files/1/0918/6066/4603/files/O1CN01P2kats1HlWvayRZoP__2545140798-0-cib.jpg?v=1774357195","Open")</x:f>
        <x:v>HYPERLINK is not implemented. linkLocation=https://cdn.shopify.com/s/files/1/0918/6066/4603/files/O1CN01P2kats1HlWvayRZoP__2545140798-0-cib.jpg?v=1774357195, friendlyName=Open</x:v>
      </x:c>
      <x:c r="C5479" s="24" t="e">
        <x:f>HYPERLINK("https://365nails.com/products/365nails-holographic-crystal-lotus-flower-pond-set-handmade-press-on-nails","365nails: ""holographic crystal lotus flower pond set"" – Nail Art Stickers")</x:f>
        <x:v>HYPERLINK is not implemented. linkLocation=https://365nails.com/products/365nails-holographic-crystal-lotus-flower-pond-set-handmade-press-on-nails, friendlyName=365nails: "holographic crystal lotus flower pond set" – Nail Art Stickers</x:v>
      </x:c>
      <x:c r="D5479" s="18" t="str">
        <x:v>Specification type: Ms 401 / Ms 411 / Ms 426</x:v>
      </x:c>
      <x:c r="E5479" s="25" t="str">
        <x:v>$1.30</x:v>
      </x:c>
      <x:c r="F5479" s="19" t="str">
        <x:v>5</x:v>
      </x:c>
    </x:row>
    <x:row r="5480" ht="93" customHeight="1">
      <x:c r="A5480" s="19" t="n">
        <x:v>5477</x:v>
      </x:c>
      <x:c r="B5480" s="22" t="e">
        <x:f>HYPERLINK("https://cdn.shopify.com/s/files/1/0918/6066/4603/files/O1CN01e7gmQq1HlX8YuyqqK__2545140798-0-cib.jpg?v=1774795438","Open")</x:f>
        <x:v>HYPERLINK is not implemented. linkLocation=https://cdn.shopify.com/s/files/1/0918/6066/4603/files/O1CN01e7gmQq1HlX8YuyqqK__2545140798-0-cib.jpg?v=1774795438, friendlyName=Open</x:v>
      </x:c>
      <x:c r="C5480" s="24" t="e">
        <x:f>HYPERLINK("https://365nails.com/products/365nails-osmanthus-swallow-handmade-press-on-nails","365nails: ""Osmanthus &amp; Swallow"" – Nail Art Stickers")</x:f>
        <x:v>HYPERLINK is not implemented. linkLocation=https://365nails.com/products/365nails-osmanthus-swallow-handmade-press-on-nails, friendlyName=365nails: "Osmanthus &amp; Swallow" – Nail Art Stickers</x:v>
      </x:c>
      <x:c r="D5480" s="18" t="str">
        <x:v>Specification type: To5162-relief / To5163-relief</x:v>
      </x:c>
      <x:c r="E5480" s="25" t="str">
        <x:v>$1.23</x:v>
      </x:c>
      <x:c r="F5480" s="19" t="str">
        <x:v>5</x:v>
      </x:c>
    </x:row>
    <x:row r="5481" ht="93" customHeight="1">
      <x:c r="A5481" s="19" t="n">
        <x:v>5478</x:v>
      </x:c>
      <x:c r="B5481" s="22" t="e">
        <x:f>HYPERLINK("https://cdn.shopify.com/s/files/1/0918/6066/4603/files/O1CN01ezeO191HlWw6uEY2b__2545140798-0-cib.jpg?v=1774609732","Open")</x:f>
        <x:v>HYPERLINK is not implemented. linkLocation=https://cdn.shopify.com/s/files/1/0918/6066/4603/files/O1CN01ezeO191HlWw6uEY2b__2545140798-0-cib.jpg?v=1774609732, friendlyName=Open</x:v>
      </x:c>
      <x:c r="C5481" s="24" t="e">
        <x:f>HYPERLINK("https://365nails.com/products/365nails-jellyfish-ocean-jelly-handmade-press-on-nails","365nails: ""jellyfish ocean jelly"" – Nail Art Stickers")</x:f>
        <x:v>HYPERLINK is not implemented. linkLocation=https://365nails.com/products/365nails-jellyfish-ocean-jelly-handmade-press-on-nails, friendlyName=365nails: "jellyfish ocean jelly" – Nail Art Stickers</x:v>
      </x:c>
      <x:c r="D5481" s="18" t="str">
        <x:v>Specification type: To3335</x:v>
      </x:c>
      <x:c r="E5481" s="25" t="str">
        <x:v>$1.23</x:v>
      </x:c>
      <x:c r="F5481" s="19" t="str">
        <x:v>5</x:v>
      </x:c>
    </x:row>
    <x:row r="5482" ht="93" customHeight="1">
      <x:c r="A5482" s="19" t="n">
        <x:v>5479</x:v>
      </x:c>
      <x:c r="B5482" s="22" t="e">
        <x:f>HYPERLINK("https://cdn.shopify.com/s/files/1/0918/6066/4603/files/O1CN01wY58c71HlX6QFelIV__2545140798-0-cib.jpg?v=1774362751","Open")</x:f>
        <x:v>HYPERLINK is not implemented. linkLocation=https://cdn.shopify.com/s/files/1/0918/6066/4603/files/O1CN01wY58c71HlX6QFelIV__2545140798-0-cib.jpg?v=1774362751, friendlyName=Open</x:v>
      </x:c>
      <x:c r="C5482" s="24" t="e">
        <x:f>HYPERLINK("https://365nails.com/products/365nails-disney-princess-q-version-embossed-set-handmade-press-on-nails","365nails: ""disney princess q version embossed set"" – Nail Art Stickers")</x:f>
        <x:v>HYPERLINK is not implemented. linkLocation=https://365nails.com/products/365nails-disney-princess-q-version-embossed-set-handmade-press-on-nails, friendlyName=365nails: "disney princess q version embossed set" – Nail Art Stickers</x:v>
      </x:c>
      <x:c r="D5482" s="18" t="str">
        <x:v>Specification type: Td002w-1-shell light / Td002w-2-shell light</x:v>
      </x:c>
      <x:c r="E5482" s="25" t="str">
        <x:v>$1.23</x:v>
      </x:c>
      <x:c r="F5482" s="19" t="str">
        <x:v>5</x:v>
      </x:c>
    </x:row>
    <x:row r="5483" ht="93" customHeight="1">
      <x:c r="A5483" s="19" t="n">
        <x:v>5480</x:v>
      </x:c>
      <x:c r="B5483" s="22" t="e">
        <x:f>HYPERLINK("https://cdn.shopify.com/s/files/1/0918/6066/4603/files/O1CN01Ua6vS61HlWyK8HxD3__2545140798-0-cib_a161032b-422b-4630-9db2-82d217d1e6ab.jpg?v=1774882517","Open")</x:f>
        <x:v>HYPERLINK is not implemented. linkLocation=https://cdn.shopify.com/s/files/1/0918/6066/4603/files/O1CN01Ua6vS61HlWyK8HxD3__2545140798-0-cib_a161032b-422b-4630-9db2-82d217d1e6ab.jpg?v=1774882517, friendlyName=Open</x:v>
      </x:c>
      <x:c r="C5483" s="24" t="e">
        <x:f>HYPERLINK("https://365nails.com/products/365nails-vintage-chinese-good-luck-calligraphy-handmade-press-on-nails","365nails: ""Vintage Chinese Good Luck Calligraphy"" – Nail Art Stickers")</x:f>
        <x:v>HYPERLINK is not implemented. linkLocation=https://365nails.com/products/365nails-vintage-chinese-good-luck-calligraphy-handmade-press-on-nails, friendlyName=365nails: "Vintage Chinese Good Luck Calligraphy" – Nail Art Stickers</x:v>
      </x:c>
      <x:c r="D5483" s="18" t="str">
        <x:v>Specification type: To3651 / To3653 / To3658</x:v>
      </x:c>
      <x:c r="E5483" s="25" t="str">
        <x:v>$1.09</x:v>
      </x:c>
      <x:c r="F5483" s="19" t="str">
        <x:v>5</x:v>
      </x:c>
    </x:row>
    <x:row r="5484" ht="93" customHeight="1">
      <x:c r="A5484" s="19" t="n">
        <x:v>5481</x:v>
      </x:c>
      <x:c r="B5484" s="22" t="e">
        <x:f>HYPERLINK("https://cdn.shopify.com/s/files/1/0918/6066/4603/files/O1CN01GFZS6U1HlWxRK76Ps__2545140798-0-cib_1cd31867-3603-4d05-8ab9-2643ad64035b.jpg?v=1774437989","Open")</x:f>
        <x:v>HYPERLINK is not implemented. linkLocation=https://cdn.shopify.com/s/files/1/0918/6066/4603/files/O1CN01GFZS6U1HlWxRK76Ps__2545140798-0-cib_1cd31867-3603-4d05-8ab9-2643ad64035b.jpg?v=1774437989, friendlyName=Open</x:v>
      </x:c>
      <x:c r="C5484" s="24" t="e">
        <x:f>HYPERLINK("https://365nails.com/products/365nails-holographic-ornate-charm-sticker-set-handmade-press-on-nails","365nails: ""Holographic Ornate Charm Sticker Set"" – Nail Art Stickers")</x:f>
        <x:v>HYPERLINK is not implemented. linkLocation=https://365nails.com/products/365nails-holographic-ornate-charm-sticker-set-handmade-press-on-nails, friendlyName=365nails: "Holographic Ornate Charm Sticker Set" – Nail Art Stickers</x:v>
      </x:c>
      <x:c r="D5484" s="18" t="str">
        <x:v>Specification type: To3528-laser powder / To3528-new hot stamping / To3528-silver</x:v>
      </x:c>
      <x:c r="E5484" s="25" t="str">
        <x:v>$1.23</x:v>
      </x:c>
      <x:c r="F5484" s="19" t="str">
        <x:v>5</x:v>
      </x:c>
    </x:row>
    <x:row r="5485" ht="93" customHeight="1">
      <x:c r="A5485" s="19" t="n">
        <x:v>5482</x:v>
      </x:c>
      <x:c r="B5485" s="22" t="e">
        <x:f>HYPERLINK("https://cdn.shopify.com/s/files/1/0918/6066/4603/files/O1CN01WKz0G51HlX4Lv9j8e__2545140798-0-cib.jpg?v=1774614761","Open")</x:f>
        <x:v>HYPERLINK is not implemented. linkLocation=https://cdn.shopify.com/s/files/1/0918/6066/4603/files/O1CN01WKz0G51HlX4Lv9j8e__2545140798-0-cib.jpg?v=1774614761, friendlyName=Open</x:v>
      </x:c>
      <x:c r="C5485" s="24" t="e">
        <x:f>HYPERLINK("https://365nails.com/products/365nails-lucky-chinese-new-year-holographic-flower-snake-handmade-press-on-nails","365nails: ""Lucky Chinese New Year Holographic Flower &amp; Snake"" – Nail Art Stickers")</x:f>
        <x:v>HYPERLINK is not implemented. linkLocation=https://365nails.com/products/365nails-lucky-chinese-new-year-holographic-flower-snake-handmade-press-on-nails, friendlyName=365nails: "Lucky Chinese New Year Holographic Flower &amp; Snake" – Nail Art Stickers</x:v>
      </x:c>
      <x:c r="D5485" s="18" t="str">
        <x:v>Specification type: To4712-shell light</x:v>
      </x:c>
      <x:c r="E5485" s="25" t="str">
        <x:v>$1.23</x:v>
      </x:c>
      <x:c r="F5485" s="19" t="str">
        <x:v>5</x:v>
      </x:c>
    </x:row>
    <x:row r="5486" ht="93" customHeight="1">
      <x:c r="A5486" s="19" t="n">
        <x:v>5483</x:v>
      </x:c>
      <x:c r="B5486" s="22" t="e">
        <x:f>HYPERLINK("https://cdn.shopify.com/s/files/1/0918/6066/4603/files/O1CN01Hdi11R1HlWyC43CpR__2545140798-0-cib_d76220a2-f17e-47a4-94ca-df72a314f5ab.jpg?v=1774882450","Open")</x:f>
        <x:v>HYPERLINK is not implemented. linkLocation=https://cdn.shopify.com/s/files/1/0918/6066/4603/files/O1CN01Hdi11R1HlWyC43CpR__2545140798-0-cib_d76220a2-f17e-47a4-94ca-df72a314f5ab.jpg?v=1774882450, friendlyName=Open</x:v>
      </x:c>
      <x:c r="C5486" s="24" t="e">
        <x:f>HYPERLINK("https://365nails.com/products/365nails-holographic-birth-flower-handmade-press-on-nails","365nails: ""Holographic Birth Flower"" – Nail Art Stickers")</x:f>
        <x:v>HYPERLINK is not implemented. linkLocation=https://365nails.com/products/365nails-holographic-birth-flower-handmade-press-on-nails, friendlyName=365nails: "Holographic Birth Flower" – Nail Art Stickers</x:v>
      </x:c>
      <x:c r="D5486" s="18" t="str">
        <x:v>Specification type: Ms508-shell light</x:v>
      </x:c>
      <x:c r="E5486" s="25" t="str">
        <x:v>$1.23</x:v>
      </x:c>
      <x:c r="F5486" s="19" t="str">
        <x:v>5</x:v>
      </x:c>
    </x:row>
    <x:row r="5487" ht="93" customHeight="1">
      <x:c r="A5487" s="19" t="n">
        <x:v>5484</x:v>
      </x:c>
      <x:c r="B5487" s="22" t="e">
        <x:f>HYPERLINK("https://cdn.shopify.com/s/files/1/0918/6066/4603/files/O1CN01D7Et7Z1HlWqAquz2n__2545140798-0-cib.jpg?v=1774276190","Open")</x:f>
        <x:v>HYPERLINK is not implemented. linkLocation=https://cdn.shopify.com/s/files/1/0918/6066/4603/files/O1CN01D7Et7Z1HlWqAquz2n__2545140798-0-cib.jpg?v=1774276190, friendlyName=Open</x:v>
      </x:c>
      <x:c r="C5487" s="24" t="e">
        <x:f>HYPERLINK("https://365nails.com/products/365nails-cardcaptor-sakura-character-collection-handmade-press-on-nails","365nails: ""Cardcaptor Sakura character collection"" – Nail Art Stickers")</x:f>
        <x:v>HYPERLINK is not implemented. linkLocation=https://365nails.com/products/365nails-cardcaptor-sakura-character-collection-handmade-press-on-nails, friendlyName=365nails: "Cardcaptor Sakura character collection" – Nail Art Stickers</x:v>
      </x:c>
      <x:c r="D5487" s="18" t="str">
        <x:v>Specification type: To1548 / To1544 / To1545</x:v>
      </x:c>
      <x:c r="E5487" s="25" t="str">
        <x:v>$1.23</x:v>
      </x:c>
      <x:c r="F5487" s="19" t="str">
        <x:v>5</x:v>
      </x:c>
    </x:row>
    <x:row r="5488" ht="93" customHeight="1">
      <x:c r="A5488" s="19" t="n">
        <x:v>5485</x:v>
      </x:c>
      <x:c r="B5488" s="22" t="e">
        <x:f>HYPERLINK("https://cdn.shopify.com/s/files/1/0918/6066/4603/files/O1CN01r6gsKU1HlX5F8VD0R__2545140798-0-cib_a73eddac-d614-49ea-ac4d-f214abfdaf37.jpg?v=1774450337","Open")</x:f>
        <x:v>HYPERLINK is not implemented. linkLocation=https://cdn.shopify.com/s/files/1/0918/6066/4603/files/O1CN01r6gsKU1HlX5F8VD0R__2545140798-0-cib_a73eddac-d614-49ea-ac4d-f214abfdaf37.jpg?v=1774450337, friendlyName=Open</x:v>
      </x:c>
      <x:c r="C5488" s="24" t="e">
        <x:f>HYPERLINK("https://365nails.com/products/365nails-white-embossed-butterfly-handmade-press-on-nails","365nails: ""white embossed butterfly"" – Nail Art Stickers")</x:f>
        <x:v>HYPERLINK is not implemented. linkLocation=https://365nails.com/products/365nails-white-embossed-butterfly-handmade-press-on-nails, friendlyName=365nails: "white embossed butterfly" – Nail Art Stickers</x:v>
      </x:c>
      <x:c r="D5488" s="18" t="str">
        <x:v>Specification type: To4621</x:v>
      </x:c>
      <x:c r="E5488" s="25" t="str">
        <x:v>$1.09</x:v>
      </x:c>
      <x:c r="F5488" s="19" t="str">
        <x:v>5</x:v>
      </x:c>
    </x:row>
    <x:row r="5489" ht="93" customHeight="1">
      <x:c r="A5489" s="19" t="n">
        <x:v>5486</x:v>
      </x:c>
      <x:c r="B5489" s="22" t="e">
        <x:f>HYPERLINK("https://cdn.shopify.com/s/files/1/0918/6066/4603/files/O1CN01VaQPT31HlX7VBK2G1__2545140798-0-cib.jpg?v=1774364166","Open")</x:f>
        <x:v>HYPERLINK is not implemented. linkLocation=https://cdn.shopify.com/s/files/1/0918/6066/4603/files/O1CN01VaQPT31HlX7VBK2G1__2545140798-0-cib.jpg?v=1774364166, friendlyName=Open</x:v>
      </x:c>
      <x:c r="C5489" s="24" t="e">
        <x:f>HYPERLINK("https://365nails.com/products/365nails-mini-wildflower-strawberry-embossed-set-handmade-press-on-nails","365nails: ""Mini Wildflower &amp; Strawberry Embossed Set"" – Nail Art Stickers")</x:f>
        <x:v>HYPERLINK is not implemented. linkLocation=https://365nails.com/products/365nails-mini-wildflower-strawberry-embossed-set-handmade-press-on-nails, friendlyName=365nails: "Mini Wildflower &amp; Strawberry Embossed Set" – Nail Art Stickers</x:v>
      </x:c>
      <x:c r="D5489" s="18" t="str">
        <x:v>Specification type: To4950-relief / To5107-relief</x:v>
      </x:c>
      <x:c r="E5489" s="25" t="str">
        <x:v>$1.23</x:v>
      </x:c>
      <x:c r="F5489" s="19" t="str">
        <x:v>5</x:v>
      </x:c>
    </x:row>
    <x:row r="5490" ht="93" customHeight="1">
      <x:c r="A5490" s="19" t="n">
        <x:v>5487</x:v>
      </x:c>
      <x:c r="B5490" s="22" t="e">
        <x:f>HYPERLINK("https://cdn.shopify.com/s/files/1/0918/6066/4603/files/O1CN01mv2hEw1HlX28zZyja__2545140798-0-cib_637731a7-61f2-445d-8997-a7ae436e350d.jpg?v=1774449503","Open")</x:f>
        <x:v>HYPERLINK is not implemented. linkLocation=https://cdn.shopify.com/s/files/1/0918/6066/4603/files/O1CN01mv2hEw1HlX28zZyja__2545140798-0-cib_637731a7-61f2-445d-8997-a7ae436e350d.jpg?v=1774449503, friendlyName=Open</x:v>
      </x:c>
      <x:c r="C5490" s="24" t="e">
        <x:f>HYPERLINK("https://365nails.com/products/365nails-red-spider-lily-chinese-ink-handmade-press-on-nails","365nails: ""red spider lily chinese ink"" – Nail Art Stickers")</x:f>
        <x:v>HYPERLINK is not implemented. linkLocation=https://365nails.com/products/365nails-red-spider-lily-chinese-ink-handmade-press-on-nails, friendlyName=365nails: "red spider lily chinese ink" – Nail Art Stickers</x:v>
      </x:c>
      <x:c r="D5490" s="18" t="str">
        <x:v>Specification type: To4242 / To4255</x:v>
      </x:c>
      <x:c r="E5490" s="25" t="str">
        <x:v>$1.09</x:v>
      </x:c>
      <x:c r="F5490" s="19" t="str">
        <x:v>5</x:v>
      </x:c>
    </x:row>
    <x:row r="5491" ht="93" customHeight="1">
      <x:c r="A5491" s="19" t="n">
        <x:v>5488</x:v>
      </x:c>
      <x:c r="B5491" s="22" t="e">
        <x:f>HYPERLINK("https://cdn.shopify.com/s/files/1/0918/6066/4603/files/O1CN01IOnOp91HlX4XalAjv__2545140798-0-cib.jpg?v=1774448298","Open")</x:f>
        <x:v>HYPERLINK is not implemented. linkLocation=https://cdn.shopify.com/s/files/1/0918/6066/4603/files/O1CN01IOnOp91HlX4XalAjv__2545140798-0-cib.jpg?v=1774448298, friendlyName=Open</x:v>
      </x:c>
      <x:c r="C5491" s="24" t="e">
        <x:f>HYPERLINK("https://365nails.com/products/365nails-vintage-bunny-bow-lace-handmade-press-on-nails","365nails: ""vintage bunny &amp; bow lace"" – Nail Art Stickers")</x:f>
        <x:v>HYPERLINK is not implemented. linkLocation=https://365nails.com/products/365nails-vintage-bunny-bow-lace-handmade-press-on-nails, friendlyName=365nails: "vintage bunny &amp; bow lace" – Nail Art Stickers</x:v>
      </x:c>
      <x:c r="D5491" s="18" t="str">
        <x:v>Specification type: To4702 / To4717</x:v>
      </x:c>
      <x:c r="E5491" s="25" t="str">
        <x:v>$1.09</x:v>
      </x:c>
      <x:c r="F5491" s="19" t="str">
        <x:v>5</x:v>
      </x:c>
    </x:row>
    <x:row r="5492" ht="93" customHeight="1">
      <x:c r="A5492" s="19" t="n">
        <x:v>5489</x:v>
      </x:c>
      <x:c r="B5492" s="22" t="e">
        <x:f>HYPERLINK("https://cdn.shopify.com/s/files/1/0918/6066/4603/files/O1CN01VLEKCr1HlWvjKY6ac__2545140798-0-cib_54214bde-c3b5-4c78-b4b0-a96ae532c312.jpg?v=1774363959","Open")</x:f>
        <x:v>HYPERLINK is not implemented. linkLocation=https://cdn.shopify.com/s/files/1/0918/6066/4603/files/O1CN01VLEKCr1HlWvjKY6ac__2545140798-0-cib_54214bde-c3b5-4c78-b4b0-a96ae532c312.jpg?v=1774363959, friendlyName=Open</x:v>
      </x:c>
      <x:c r="C5492" s="24" t="e">
        <x:f>HYPERLINK("https://365nails.com/products/365nails-vintage-rose-frame-crystal-sticker-set","365nails: ""Vintage Rose Frame Crystal Sticker Set""")</x:f>
        <x:v>HYPERLINK is not implemented. linkLocation=https://365nails.com/products/365nails-vintage-rose-frame-crystal-sticker-set, friendlyName=365nails: "Vintage Rose Frame Crystal Sticker Set"</x:v>
      </x:c>
      <x:c r="D5492" s="18" t="str">
        <x:v>Specification type: Ms420 relief-crystal diamond</x:v>
      </x:c>
      <x:c r="E5492" s="25" t="str">
        <x:v>$1.30</x:v>
      </x:c>
      <x:c r="F5492" s="19" t="str">
        <x:v>5</x:v>
      </x:c>
    </x:row>
    <x:row r="5493" ht="93" customHeight="1">
      <x:c r="A5493" s="19" t="n">
        <x:v>5490</x:v>
      </x:c>
      <x:c r="B5493" s="22" t="e">
        <x:f>HYPERLINK("https://cdn.shopify.com/s/files/1/0918/6066/4603/files/af2dc09329e8ea142d0241ef65665122.jpg?v=1771473461","Open")</x:f>
        <x:v>HYPERLINK is not implemented. linkLocation=https://cdn.shopify.com/s/files/1/0918/6066/4603/files/af2dc09329e8ea142d0241ef65665122.jpg?v=1771473461, friendlyName=Open</x:v>
      </x:c>
      <x:c r="C5493" s="24" t="e">
        <x:f>HYPERLINK("https://365nails.com/products/mystic-mint-orchid-sculpted-flora-series","Sculpted Flora: ""Mystic Mint Orchid"" – 3D Blue-Purple Gradient Flowers on Glittery Sage Green Stiletto Nails")</x:f>
        <x:v>HYPERLINK is not implemented. linkLocation=https://365nails.com/products/mystic-mint-orchid-sculpted-flora-series, friendlyName=Sculpted Flora: "Mystic Mint Orchid" – 3D Blue-Purple Gradient Flowers on Glittery Sage Green Stiletto Nails</x:v>
      </x:c>
      <x:c r="D5493" s="18" t="str">
        <x:v>Size: XS / S / M / L</x:v>
      </x:c>
      <x:c r="E5493" s="25" t="str">
        <x:v>$3.99</x:v>
      </x:c>
      <x:c r="F5493" s="19" t="str">
        <x:v>5</x:v>
      </x:c>
    </x:row>
    <x:row r="5494" ht="93" customHeight="1">
      <x:c r="A5494" s="19" t="n">
        <x:v>5491</x:v>
      </x:c>
      <x:c r="B5494" s="22" t="e">
        <x:f>HYPERLINK("https://cdn.shopify.com/s/files/1/0918/6066/4603/files/O1CN01TcgD0n1HlX1rnTIXJ__2545140798-0-cib_9a65bba0-e831-4f43-9af8-740c5c658229.jpg?v=1774449391","Open")</x:f>
        <x:v>HYPERLINK is not implemented. linkLocation=https://cdn.shopify.com/s/files/1/0918/6066/4603/files/O1CN01TcgD0n1HlX1rnTIXJ__2545140798-0-cib_9a65bba0-e831-4f43-9af8-740c5c658229.jpg?v=1774449391, friendlyName=Open</x:v>
      </x:c>
      <x:c r="C5494" s="24" t="e">
        <x:f>HYPERLINK("https://365nails.com/products/365nails-crystal-iridescent-butterfly-handmade-press-on-nails","365nails: ""crystal iridescent butterfly"" – Nail Art Stickers")</x:f>
        <x:v>HYPERLINK is not implemented. linkLocation=https://365nails.com/products/365nails-crystal-iridescent-butterfly-handmade-press-on-nails, friendlyName=365nails: "crystal iridescent butterfly" – Nail Art Stickers</x:v>
      </x:c>
      <x:c r="D5494" s="18" t="str">
        <x:v>Specification type: To4042-crystal diamond / To4043-crystal diamond / To4044-crystal diamond</x:v>
      </x:c>
      <x:c r="E5494" s="25" t="str">
        <x:v>$1.30</x:v>
      </x:c>
      <x:c r="F5494" s="19" t="str">
        <x:v>5</x:v>
      </x:c>
    </x:row>
    <x:row r="5495" ht="93" customHeight="1">
      <x:c r="A5495" s="19" t="n">
        <x:v>5492</x:v>
      </x:c>
      <x:c r="B5495" s="22" t="e">
        <x:f>HYPERLINK("https://cdn.shopify.com/s/files/1/0918/6066/4603/files/O1CN01AEAOju1HlX6L9YJxP__2545140798-0-cib.jpg?v=1774676233","Open")</x:f>
        <x:v>HYPERLINK is not implemented. linkLocation=https://cdn.shopify.com/s/files/1/0918/6066/4603/files/O1CN01AEAOju1HlX6L9YJxP__2545140798-0-cib.jpg?v=1774676233, friendlyName=Open</x:v>
      </x:c>
      <x:c r="C5495" s="24" t="e">
        <x:f>HYPERLINK("https://365nails.com/products/365nails-holographic-cherry-blossom-with-rhinestone-handmade-press-on-nails","365nails: ""Holographic Cherry Blossom with Rhinestone"" – Nail Art Stickers")</x:f>
        <x:v>HYPERLINK is not implemented. linkLocation=https://365nails.com/products/365nails-holographic-cherry-blossom-with-rhinestone-handmade-press-on-nails, friendlyName=365nails: "Holographic Cherry Blossom with Rhinestone" – Nail Art Stickers</x:v>
      </x:c>
      <x:c r="D5495" s="18" t="str">
        <x:v>Specification type: To4996-crystal diamond / To4998-crystal diamond</x:v>
      </x:c>
      <x:c r="E5495" s="25" t="str">
        <x:v>$1.30</x:v>
      </x:c>
      <x:c r="F5495" s="19" t="str">
        <x:v>5</x:v>
      </x:c>
    </x:row>
    <x:row r="5496" ht="93" customHeight="1">
      <x:c r="A5496" s="19" t="n">
        <x:v>5493</x:v>
      </x:c>
      <x:c r="B5496" s="22" t="e">
        <x:f>HYPERLINK("https://cdn.shopify.com/s/files/1/0918/6066/4603/files/O1CN012zSush1HlWzZEfhwQ__2545140798-0-cib_62207076-41ab-4441-a32f-e5d82d2ce917.jpg?v=1774439697","Open")</x:f>
        <x:v>HYPERLINK is not implemented. linkLocation=https://cdn.shopify.com/s/files/1/0918/6066/4603/files/O1CN012zSush1HlWzZEfhwQ__2545140798-0-cib_62207076-41ab-4441-a32f-e5d82d2ce917.jpg?v=1774439697, friendlyName=Open</x:v>
      </x:c>
      <x:c r="C5496" s="24" t="e">
        <x:f>HYPERLINK("https://365nails.com/products/365nails-cute-puppy-girl-daily-handmade-press-on-nails","365nails: ""cute puppy &amp; girl daily"" – Nail Art Stickers")</x:f>
        <x:v>HYPERLINK is not implemented. linkLocation=https://365nails.com/products/365nails-cute-puppy-girl-daily-handmade-press-on-nails, friendlyName=365nails: "cute puppy &amp; girl daily" – Nail Art Stickers</x:v>
      </x:c>
      <x:c r="D5496" s="18" t="str">
        <x:v>Specification type: Mc05-relief / Mc09-relief</x:v>
      </x:c>
      <x:c r="E5496" s="25" t="str">
        <x:v>$1.30</x:v>
      </x:c>
      <x:c r="F5496" s="19" t="str">
        <x:v>5</x:v>
      </x:c>
    </x:row>
    <x:row r="5497" ht="93" customHeight="1">
      <x:c r="A5497" s="19" t="n">
        <x:v>5494</x:v>
      </x:c>
      <x:c r="B5497" s="22" t="e">
        <x:f>HYPERLINK("https://cdn.shopify.com/s/files/1/0918/6066/4603/files/O1CN01NOwHFI1HlWkSk8zXJ__2545140798-0-cib_491fb362-06e4-4838-acb4-09498b4a84eb.jpg?v=1774596068","Open")</x:f>
        <x:v>HYPERLINK is not implemented. linkLocation=https://cdn.shopify.com/s/files/1/0918/6066/4603/files/O1CN01NOwHFI1HlWkSk8zXJ__2545140798-0-cib_491fb362-06e4-4838-acb4-09498b4a84eb.jpg?v=1774596068, friendlyName=Open</x:v>
      </x:c>
      <x:c r="C5497" s="24" t="e">
        <x:f>HYPERLINK("https://365nails.com/products/365nails-large-gothic-alphabet-handmade-press-on-nails","365nails: ""large gothic alphabet"" – Nail Art Stickers")</x:f>
        <x:v>HYPERLINK is not implemented. linkLocation=https://365nails.com/products/365nails-large-gothic-alphabet-handmade-press-on-nails, friendlyName=365nails: "large gothic alphabet" – Nail Art Stickers</x:v>
      </x:c>
      <x:c r="D5497" s="18" t="str">
        <x:v>Specification type: Ta72 large relief / Ta73 large relief / Ta74 large relief / Ta76 medium embossed</x:v>
      </x:c>
      <x:c r="E5497" s="25" t="str">
        <x:v>$1.23</x:v>
      </x:c>
      <x:c r="F5497" s="19" t="str">
        <x:v>5</x:v>
      </x:c>
    </x:row>
    <x:row r="5498" ht="93" customHeight="1">
      <x:c r="A5498" s="19" t="n">
        <x:v>5495</x:v>
      </x:c>
      <x:c r="B5498" s="22" t="e">
        <x:f>HYPERLINK("https://cdn.shopify.com/s/files/1/0918/6066/4603/files/O1CN01Lz9Ybw1HlX7GhpRDI__2545140798-0-cib.jpg?v=1774363144","Open")</x:f>
        <x:v>HYPERLINK is not implemented. linkLocation=https://cdn.shopify.com/s/files/1/0918/6066/4603/files/O1CN01Lz9Ybw1HlX7GhpRDI__2545140798-0-cib.jpg?v=1774363144, friendlyName=Open</x:v>
      </x:c>
      <x:c r="C5498" s="24" t="e">
        <x:f>HYPERLINK("https://365nails.com/products/365nails-winnie-the-pooh-friends-embossed-set-handmade-press-on-nails","365nails: ""Winnie the Pooh &amp; Friends Embossed Set"" – Nail Art Stickers")</x:f>
        <x:v>HYPERLINK is not implemented. linkLocation=https://365nails.com/products/365nails-winnie-the-pooh-friends-embossed-set-handmade-press-on-nails, friendlyName=365nails: "Winnie the Pooh &amp; Friends Embossed Set" – Nail Art Stickers</x:v>
      </x:c>
      <x:c r="D5498" s="18" t="str">
        <x:v>Specification type: Td 011w / Td 013w / Td 014w</x:v>
      </x:c>
      <x:c r="E5498" s="25" t="str">
        <x:v>$1.23</x:v>
      </x:c>
      <x:c r="F5498" s="19" t="str">
        <x:v>5</x:v>
      </x:c>
    </x:row>
    <x:row r="5499" ht="93" customHeight="1">
      <x:c r="A5499" s="19" t="n">
        <x:v>5496</x:v>
      </x:c>
      <x:c r="B5499" s="22" t="e">
        <x:f>HYPERLINK("https://cdn.shopify.com/s/files/1/0918/6066/4603/files/O1CN01e0N2jt1HlWqUj9LSX__2545140798-0-cib.jpg?v=1774597149","Open")</x:f>
        <x:v>HYPERLINK is not implemented. linkLocation=https://cdn.shopify.com/s/files/1/0918/6066/4603/files/O1CN01e0N2jt1HlWqUj9LSX__2545140798-0-cib.jpg?v=1774597149, friendlyName=Open</x:v>
      </x:c>
      <x:c r="C5499" s="24" t="e">
        <x:f>HYPERLINK("https://365nails.com/products/365nails-white-feather-handmade-press-on-nails","365nails: ""white feather"" – Nail Art Stickers")</x:f>
        <x:v>HYPERLINK is not implemented. linkLocation=https://365nails.com/products/365nails-white-feather-handmade-press-on-nails, friendlyName=365nails: "white feather" – Nail Art Stickers</x:v>
      </x:c>
      <x:c r="D5499" s="18" t="str">
        <x:v>Specification type: To2357 / To2359</x:v>
      </x:c>
      <x:c r="E5499" s="25" t="str">
        <x:v>$1.23</x:v>
      </x:c>
      <x:c r="F5499" s="19" t="str">
        <x:v>5</x:v>
      </x:c>
    </x:row>
    <x:row r="5500" ht="93" customHeight="1">
      <x:c r="A5500" s="19" t="n">
        <x:v>5497</x:v>
      </x:c>
      <x:c r="B5500" s="22" t="e">
        <x:f>HYPERLINK("https://cdn.shopify.com/s/files/1/0918/6066/4603/files/O1CN01btGlwP1HlWtw99nWy__2545140798-0-cib.jpg?v=1774450029","Open")</x:f>
        <x:v>HYPERLINK is not implemented. linkLocation=https://cdn.shopify.com/s/files/1/0918/6066/4603/files/O1CN01btGlwP1HlWtw99nWy__2545140798-0-cib.jpg?v=1774450029, friendlyName=Open</x:v>
      </x:c>
      <x:c r="C5500" s="24" t="e">
        <x:f>HYPERLINK("https://365nails.com/products/365nails-oriental-lily-lattice-handmade-press-on-nails","365nails: ""oriental lily &amp; lattice"" – Nail Art Stickers")</x:f>
        <x:v>HYPERLINK is not implemented. linkLocation=https://365nails.com/products/365nails-oriental-lily-lattice-handmade-press-on-nails, friendlyName=365nails: "oriental lily &amp; lattice" – Nail Art Stickers</x:v>
      </x:c>
      <x:c r="D5500" s="18" t="str">
        <x:v>Specification type: To2994 / To2996 / To3019</x:v>
      </x:c>
      <x:c r="E5500" s="25" t="str">
        <x:v>$1.23</x:v>
      </x:c>
      <x:c r="F5500" s="19" t="str">
        <x:v>5</x:v>
      </x:c>
    </x:row>
    <x:row r="5501" ht="93" customHeight="1">
      <x:c r="A5501" s="19" t="n">
        <x:v>5498</x:v>
      </x:c>
      <x:c r="B5501" s="22" t="e">
        <x:f>HYPERLINK("https://cdn.shopify.com/s/files/1/0918/6066/4603/files/O1CN01c0ij8I1HlWknDxhTN__2545140798-0-cib.jpg?v=1774595847","Open")</x:f>
        <x:v>HYPERLINK is not implemented. linkLocation=https://cdn.shopify.com/s/files/1/0918/6066/4603/files/O1CN01c0ij8I1HlWknDxhTN__2545140798-0-cib.jpg?v=1774595847, friendlyName=Open</x:v>
      </x:c>
      <x:c r="C5501" s="24" t="e">
        <x:f>HYPERLINK("https://365nails.com/products/365nails-daisy-gold-foil-handmade-press-on-nails","365nails: ""daisy &amp; gold foil"" – Nail Art Stickers")</x:f>
        <x:v>HYPERLINK is not implemented. linkLocation=https://365nails.com/products/365nails-daisy-gold-foil-handmade-press-on-nails, friendlyName=365nails: "daisy &amp; gold foil" – Nail Art Stickers</x:v>
      </x:c>
      <x:c r="D5501" s="18" t="str">
        <x:v>Specification type: To631 relief</x:v>
      </x:c>
      <x:c r="E5501" s="25" t="str">
        <x:v>$1.23</x:v>
      </x:c>
      <x:c r="F5501" s="19" t="str">
        <x:v>5</x:v>
      </x:c>
    </x:row>
    <x:row r="5502" ht="93" customHeight="1">
      <x:c r="A5502" s="19" t="n">
        <x:v>5499</x:v>
      </x:c>
      <x:c r="B5502" s="22" t="e">
        <x:f>HYPERLINK("https://cdn.shopify.com/s/files/1/0918/6066/4603/files/O1CN01wqmOrW1HlXA3A5RrK__2545140798-0-cib.jpg?v=1774449559","Open")</x:f>
        <x:v>HYPERLINK is not implemented. linkLocation=https://cdn.shopify.com/s/files/1/0918/6066/4603/files/O1CN01wqmOrW1HlXA3A5RrK__2545140798-0-cib.jpg?v=1774449559, friendlyName=Open</x:v>
      </x:c>
      <x:c r="C5502" s="24" t="e">
        <x:f>HYPERLINK("https://365nails.com/products/365nails-soft-pastel-watercolor-flower-handmade-press-on-nails","365nails: ""soft pastel watercolor flower"" – Nail Art Stickers")</x:f>
        <x:v>HYPERLINK is not implemented. linkLocation=https://365nails.com/products/365nails-soft-pastel-watercolor-flower-handmade-press-on-nails, friendlyName=365nails: "soft pastel watercolor flower" – Nail Art Stickers</x:v>
      </x:c>
      <x:c r="D5502" s="18" t="str">
        <x:v>Specification type: To5397-metal</x:v>
      </x:c>
      <x:c r="E5502" s="25" t="str">
        <x:v>$1.23</x:v>
      </x:c>
      <x:c r="F5502" s="19" t="str">
        <x:v>5</x:v>
      </x:c>
    </x:row>
    <x:row r="5503" ht="93" customHeight="1">
      <x:c r="A5503" s="19" t="n">
        <x:v>5500</x:v>
      </x:c>
      <x:c r="B5503" s="22" t="e">
        <x:f>HYPERLINK("https://cdn.shopify.com/s/files/1/0918/6066/4603/files/O1CN01abKHBL1HlX48QPINm__2545140798-0-cib_7452d34b-3a83-4554-9d4c-575c9b583211.jpg?v=1774450208","Open")</x:f>
        <x:v>HYPERLINK is not implemented. linkLocation=https://cdn.shopify.com/s/files/1/0918/6066/4603/files/O1CN01abKHBL1HlX48QPINm__2545140798-0-cib_7452d34b-3a83-4554-9d4c-575c9b583211.jpg?v=1774450208, friendlyName=Open</x:v>
      </x:c>
      <x:c r="C5503" s="24" t="e">
        <x:f>HYPERLINK("https://365nails.com/products/365nails-chinese-peony-ink-painting-handmade-press-on-nails","365nails: ""chinese peony ink painting"" – Nail Art Stickers")</x:f>
        <x:v>HYPERLINK is not implemented. linkLocation=https://365nails.com/products/365nails-chinese-peony-ink-painting-handmade-press-on-nails, friendlyName=365nails: "chinese peony ink painting" – Nail Art Stickers</x:v>
      </x:c>
      <x:c r="D5503" s="18" t="str">
        <x:v>Specification type: To4601-relief</x:v>
      </x:c>
      <x:c r="E5503" s="25" t="str">
        <x:v>$1.23</x:v>
      </x:c>
      <x:c r="F5503" s="19" t="str">
        <x:v>5</x:v>
      </x:c>
    </x:row>
    <x:row r="5504" ht="93" customHeight="1">
      <x:c r="A5504" s="19" t="n">
        <x:v>5501</x:v>
      </x:c>
      <x:c r="B5504" s="22" t="e">
        <x:f>HYPERLINK("https://cdn.shopify.com/s/files/1/0918/6066/4603/files/O1CN01yuYXyC1HlWxKCADjt__2545140798-0-cib_beb25d5c-edd7-4972-b787-7fc61e559fae.jpg?v=1774437650","Open")</x:f>
        <x:v>HYPERLINK is not implemented. linkLocation=https://cdn.shopify.com/s/files/1/0918/6066/4603/files/O1CN01yuYXyC1HlWxKCADjt__2545140798-0-cib_beb25d5c-edd7-4972-b787-7fc61e559fae.jpg?v=1774437650, friendlyName=Open</x:v>
      </x:c>
      <x:c r="C5504" s="24" t="e">
        <x:f>HYPERLINK("https://365nails.com/products/365nails-metallic-bamboo-leaf-embossed-set-handmade-press-on-nails","365nails: ""Metallic Bamboo &amp; Leaf Embossed Set"" – Nail Art Stickers")</x:f>
        <x:v>HYPERLINK is not implemented. linkLocation=https://365nails.com/products/365nails-metallic-bamboo-leaf-embossed-set-handmade-press-on-nails, friendlyName=365nails: "Metallic Bamboo &amp; Leaf Embossed Set" – Nail Art Stickers</x:v>
      </x:c>
      <x:c r="D5504" s="18" t="str">
        <x:v>Specification type: To3525-new hot stamping / To3525-silver</x:v>
      </x:c>
      <x:c r="E5504" s="25" t="str">
        <x:v>$1.23</x:v>
      </x:c>
      <x:c r="F5504" s="19" t="str">
        <x:v>5</x:v>
      </x:c>
    </x:row>
    <x:row r="5505" ht="93" customHeight="1">
      <x:c r="A5505" s="19" t="n">
        <x:v>5502</x:v>
      </x:c>
      <x:c r="B5505" s="22" t="e">
        <x:f>HYPERLINK("https://cdn.shopify.com/s/files/1/0918/6066/4603/files/O1CN01uea7hF1HlWxpZiFlI__2545140798-0-cib_cab00cb8-7f6f-4993-9861-32b7f360c04b.jpg?v=1774882307","Open")</x:f>
        <x:v>HYPERLINK is not implemented. linkLocation=https://cdn.shopify.com/s/files/1/0918/6066/4603/files/O1CN01uea7hF1HlWxpZiFlI__2545140798-0-cib_cab00cb8-7f6f-4993-9861-32b7f360c04b.jpg?v=1774882307, friendlyName=Open</x:v>
      </x:c>
      <x:c r="C5505" s="24" t="e">
        <x:f>HYPERLINK("https://365nails.com/products/365nails-holographic-gradient-butterfly-handmade-press-on-nails","365nails: ""Holographic Gradient Butterfly"" – Nail Art Stickers")</x:f>
        <x:v>HYPERLINK is not implemented. linkLocation=https://365nails.com/products/365nails-holographic-gradient-butterfly-handmade-press-on-nails, friendlyName=365nails: "Holographic Gradient Butterfly" – Nail Art Stickers</x:v>
      </x:c>
      <x:c r="D5505" s="18" t="str">
        <x:v>Specification type: To3572 / To3577</x:v>
      </x:c>
      <x:c r="E5505" s="25" t="str">
        <x:v>$1.23</x:v>
      </x:c>
      <x:c r="F5505" s="19" t="str">
        <x:v>5</x:v>
      </x:c>
    </x:row>
    <x:row r="5506" ht="93" customHeight="1">
      <x:c r="A5506" s="19" t="n">
        <x:v>5503</x:v>
      </x:c>
      <x:c r="B5506" s="22" t="e">
        <x:f>HYPERLINK("https://cdn.shopify.com/s/files/1/0918/6066/4603/files/O1CN01ixXRSR1HlX6ne8msb__2545140798-0-cib_63e87d30-51de-4730-9224-e9ad7180deb8.jpg?v=1774595335","Open")</x:f>
        <x:v>HYPERLINK is not implemented. linkLocation=https://cdn.shopify.com/s/files/1/0918/6066/4603/files/O1CN01ixXRSR1HlX6ne8msb__2545140798-0-cib_63e87d30-51de-4730-9224-e9ad7180deb8.jpg?v=1774595335, friendlyName=Open</x:v>
      </x:c>
      <x:c r="C5506" s="24" t="e">
        <x:f>HYPERLINK("https://365nails.com/products/365nails-cute-bear-strawberry-dessert-handmade-press-on-nails","365nails: ""cute bear &amp; strawberry dessert"" – Nail Art Stickers")</x:f>
        <x:v>HYPERLINK is not implemented. linkLocation=https://365nails.com/products/365nails-cute-bear-strawberry-dessert-handmade-press-on-nails, friendlyName=365nails: "cute bear &amp; strawberry dessert" – Nail Art Stickers</x:v>
      </x:c>
      <x:c r="D5506" s="18" t="str">
        <x:v>Specification type: To5060 / To5072</x:v>
      </x:c>
      <x:c r="E5506" s="25" t="str">
        <x:v>$1.09</x:v>
      </x:c>
      <x:c r="F5506" s="19" t="str">
        <x:v>5</x:v>
      </x:c>
    </x:row>
    <x:row r="5507" ht="93" customHeight="1">
      <x:c r="A5507" s="19" t="n">
        <x:v>5504</x:v>
      </x:c>
      <x:c r="B5507" s="22" t="e">
        <x:f>HYPERLINK("https://cdn.shopify.com/s/files/1/0918/6066/4603/files/b3e1a135eca316be520d77a0ccfddde9.jpg?v=1771835487","Open")</x:f>
        <x:v>HYPERLINK is not implemented. linkLocation=https://cdn.shopify.com/s/files/1/0918/6066/4603/files/b3e1a135eca316be520d77a0ccfddde9.jpg?v=1771835487, friendlyName=Open</x:v>
      </x:c>
      <x:c r="C5507" s="24" t="e">
        <x:f>HYPERLINK("https://365nails.com/products/midnight-glazed-garden-sculpted-flora-series","Sculpted Flora: ""Midnight Glazed Garden"" – 3D Multi-Color Gradient Flowers on Black Square Nails")</x:f>
        <x:v>HYPERLINK is not implemented. linkLocation=https://365nails.com/products/midnight-glazed-garden-sculpted-flora-series, friendlyName=Sculpted Flora: "Midnight Glazed Garden" – 3D Multi-Color Gradient Flowers on Black Square Nails</x:v>
      </x:c>
      <x:c r="D5507" s="18" t="str">
        <x:v>Size: XS / S / M / L</x:v>
      </x:c>
      <x:c r="E5507" s="25" t="str">
        <x:v>$3.99</x:v>
      </x:c>
      <x:c r="F5507" s="19" t="str">
        <x:v>5</x:v>
      </x:c>
    </x:row>
    <x:row r="5508" ht="93" customHeight="1">
      <x:c r="A5508" s="19" t="n">
        <x:v>5505</x:v>
      </x:c>
      <x:c r="B5508" s="22" t="e">
        <x:f>HYPERLINK("https://cdn.shopify.com/s/files/1/0918/6066/4603/files/O1CN01WzlpjL1HlX3g9UNHH__2545140798-0-cib_d3dd17dc-3d1c-4e2e-b372-2b419192c187.jpg?v=1774450084","Open")</x:f>
        <x:v>HYPERLINK is not implemented. linkLocation=https://cdn.shopify.com/s/files/1/0918/6066/4603/files/O1CN01WzlpjL1HlX3g9UNHH__2545140798-0-cib_d3dd17dc-3d1c-4e2e-b372-2b419192c187.jpg?v=1774450084, friendlyName=Open</x:v>
      </x:c>
      <x:c r="C5508" s="24" t="e">
        <x:f>HYPERLINK("https://365nails.com/products/365nails-crystal-kawaii-winter-character-handmade-press-on-nails","365nails: ""crystal kawaii winter character"" – Nail Art Stickers")</x:f>
        <x:v>HYPERLINK is not implemented. linkLocation=https://365nails.com/products/365nails-crystal-kawaii-winter-character-handmade-press-on-nails, friendlyName=365nails: "crystal kawaii winter character" – Nail Art Stickers</x:v>
      </x:c>
      <x:c r="D5508" s="18" t="str">
        <x:v>Specification type: To4546-crystal diamond / To4547-crystal diamond</x:v>
      </x:c>
      <x:c r="E5508" s="25" t="str">
        <x:v>$1.30</x:v>
      </x:c>
      <x:c r="F5508" s="19" t="str">
        <x:v>5</x:v>
      </x:c>
    </x:row>
    <x:row r="5509" ht="93" customHeight="1">
      <x:c r="A5509" s="19" t="n">
        <x:v>5506</x:v>
      </x:c>
      <x:c r="B5509" s="22" t="e">
        <x:f>HYPERLINK("https://cdn.shopify.com/s/files/1/0918/6066/4603/files/O1CN017SebvP1HlX7zEJB88__2545140798-0-cib.jpg?v=1774449305","Open")</x:f>
        <x:v>HYPERLINK is not implemented. linkLocation=https://cdn.shopify.com/s/files/1/0918/6066/4603/files/O1CN017SebvP1HlX7zEJB88__2545140798-0-cib.jpg?v=1774449305, friendlyName=Open</x:v>
      </x:c>
      <x:c r="C5509" s="24" t="e">
        <x:f>HYPERLINK("https://365nails.com/products/365nails-frozen-elsa-olaf-handmade-press-on-nails","365nails: ""frozen elsa &amp; olaf"" – Nail Art Stickers")</x:f>
        <x:v>HYPERLINK is not implemented. linkLocation=https://365nails.com/products/365nails-frozen-elsa-olaf-handmade-press-on-nails, friendlyName=365nails: "frozen elsa &amp; olaf" – Nail Art Stickers</x:v>
      </x:c>
      <x:c r="D5509" s="18" t="str">
        <x:v>Specification type: Td024w-crystal diamond</x:v>
      </x:c>
      <x:c r="E5509" s="25" t="str">
        <x:v>$1.30</x:v>
      </x:c>
      <x:c r="F5509" s="19" t="str">
        <x:v>5</x:v>
      </x:c>
    </x:row>
    <x:row r="5510" ht="93" customHeight="1">
      <x:c r="A5510" s="19" t="n">
        <x:v>5507</x:v>
      </x:c>
      <x:c r="B5510" s="22" t="e">
        <x:f>HYPERLINK("https://cdn.shopify.com/s/files/1/0918/6066/4603/files/O1CN01jMFc5e1HlWxFoXAZB__2545140798-0-cib_dd8d17e9-6cf0-4c05-b701-714009383f8a.jpg?v=1774364427","Open")</x:f>
        <x:v>HYPERLINK is not implemented. linkLocation=https://cdn.shopify.com/s/files/1/0918/6066/4603/files/O1CN01jMFc5e1HlWxFoXAZB__2545140798-0-cib_dd8d17e9-6cf0-4c05-b701-714009383f8a.jpg?v=1774364427, friendlyName=Open</x:v>
      </x:c>
      <x:c r="C5510" s="24" t="e">
        <x:f>HYPERLINK("https://365nails.com/products/365nails-iridescent-peacock-shell-sticker-set","365nails: ""Iridescent Peacock Shell Sticker Set""")</x:f>
        <x:v>HYPERLINK is not implemented. linkLocation=https://365nails.com/products/365nails-iridescent-peacock-shell-sticker-set, friendlyName=365nails: "Iridescent Peacock Shell Sticker Set"</x:v>
      </x:c>
      <x:c r="D5510" s="18" t="str">
        <x:v>Specification type: To3407</x:v>
      </x:c>
      <x:c r="E5510" s="25" t="str">
        <x:v>$1.23</x:v>
      </x:c>
      <x:c r="F5510" s="19" t="str">
        <x:v>5</x:v>
      </x:c>
    </x:row>
    <x:row r="5511" ht="93" customHeight="1">
      <x:c r="A5511" s="19" t="n">
        <x:v>5508</x:v>
      </x:c>
      <x:c r="B5511" s="22" t="e">
        <x:f>HYPERLINK("https://cdn.shopify.com/s/files/1/0918/6066/4603/files/O1CN01i227sp1HlWx6EIX64__2545140798-0-cib.jpg?v=1774602753","Open")</x:f>
        <x:v>HYPERLINK is not implemented. linkLocation=https://cdn.shopify.com/s/files/1/0918/6066/4603/files/O1CN01i227sp1HlWx6EIX64__2545140798-0-cib.jpg?v=1774602753, friendlyName=Open</x:v>
      </x:c>
      <x:c r="C5511" s="24" t="e">
        <x:f>HYPERLINK("https://365nails.com/products/365nails-gold-foil-star-chain-celestial-handmade-press-on-nails","365nails: ""gold foil star chain celestial"" – Nail Art Stickers")</x:f>
        <x:v>HYPERLINK is not implemented. linkLocation=https://365nails.com/products/365nails-gold-foil-star-chain-celestial-handmade-press-on-nails, friendlyName=365nails: "gold foil star chain celestial" – Nail Art Stickers</x:v>
      </x:c>
      <x:c r="D5511" s="18" t="str">
        <x:v>Specification type: Ms459-new hot stamping / Ms 463 / Ms459-silver</x:v>
      </x:c>
      <x:c r="E5511" s="25" t="str">
        <x:v>$1.23</x:v>
      </x:c>
      <x:c r="F5511" s="19" t="str">
        <x:v>5</x:v>
      </x:c>
    </x:row>
    <x:row r="5512" ht="93" customHeight="1">
      <x:c r="A5512" s="19" t="n">
        <x:v>5509</x:v>
      </x:c>
      <x:c r="B5512" s="22" t="e">
        <x:f>HYPERLINK("https://cdn.shopify.com/s/files/1/0918/6066/4603/files/O1CN01RVideu1HlWtd96gJK__2545140798-0-cib.jpg?v=1774601060","Open")</x:f>
        <x:v>HYPERLINK is not implemented. linkLocation=https://cdn.shopify.com/s/files/1/0918/6066/4603/files/O1CN01RVideu1HlWtd96gJK__2545140798-0-cib.jpg?v=1774601060, friendlyName=Open</x:v>
      </x:c>
      <x:c r="C5512" s="24" t="e">
        <x:f>HYPERLINK("https://365nails.com/products/365nails-jelly-cute-bear-snack-handmade-press-on-nails","365nails: ""jelly cute bear &amp; snack"" – Nail Art Stickers")</x:f>
        <x:v>HYPERLINK is not implemented. linkLocation=https://365nails.com/products/365nails-jelly-cute-bear-snack-handmade-press-on-nails, friendlyName=365nails: "jelly cute bear &amp; snack" – Nail Art Stickers</x:v>
      </x:c>
      <x:c r="D5512" s="18" t="str">
        <x:v>Specification type: To2986 / To3010 / To3012</x:v>
      </x:c>
      <x:c r="E5512" s="25" t="str">
        <x:v>$1.23</x:v>
      </x:c>
      <x:c r="F5512" s="19" t="str">
        <x:v>5</x:v>
      </x:c>
    </x:row>
    <x:row r="5513" ht="93" customHeight="1">
      <x:c r="A5513" s="19" t="n">
        <x:v>5510</x:v>
      </x:c>
      <x:c r="B5513" s="22" t="e">
        <x:f>HYPERLINK("https://cdn.shopify.com/s/files/1/0918/6066/4603/files/O1CN01d465TN1HlX98Sl5Ns__2545140798-0-cib_e0352b2e-80d5-4549-9c2e-2cefcd9eb17c.jpg?v=1774595453","Open")</x:f>
        <x:v>HYPERLINK is not implemented. linkLocation=https://cdn.shopify.com/s/files/1/0918/6066/4603/files/O1CN01d465TN1HlX98Sl5Ns__2545140798-0-cib_e0352b2e-80d5-4549-9c2e-2cefcd9eb17c.jpg?v=1774595453, friendlyName=Open</x:v>
      </x:c>
      <x:c r="C5513" s="24" t="e">
        <x:f>HYPERLINK("https://365nails.com/products/365nails-autumn-cat-leaf-handmade-press-on-nails","365nails: ""autumn cat &amp; leaf"" – Nail Art Stickers")</x:f>
        <x:v>HYPERLINK is not implemented. linkLocation=https://365nails.com/products/365nails-autumn-cat-leaf-handmade-press-on-nails, friendlyName=365nails: "autumn cat &amp; leaf" – Nail Art Stickers</x:v>
      </x:c>
      <x:c r="D5513" s="18" t="str">
        <x:v>Specification type: To5204</x:v>
      </x:c>
      <x:c r="E5513" s="25" t="str">
        <x:v>$1.09</x:v>
      </x:c>
      <x:c r="F5513" s="19" t="str">
        <x:v>5</x:v>
      </x:c>
    </x:row>
    <x:row r="5514" ht="93" customHeight="1">
      <x:c r="A5514" s="19" t="n">
        <x:v>5511</x:v>
      </x:c>
      <x:c r="B5514" s="22" t="e">
        <x:f>HYPERLINK("https://cdn.shopify.com/s/files/1/0918/6066/4603/files/O1CN01zRNZWC1HlX9MHOPwH__2545140798-0-cib.jpg?v=1774449450","Open")</x:f>
        <x:v>HYPERLINK is not implemented. linkLocation=https://cdn.shopify.com/s/files/1/0918/6066/4603/files/O1CN01zRNZWC1HlX9MHOPwH__2545140798-0-cib.jpg?v=1774449450, friendlyName=Open</x:v>
      </x:c>
      <x:c r="C5514" s="24" t="e">
        <x:f>HYPERLINK("https://365nails.com/products/365nails-cozy-autumn-cat-food-handmade-press-on-nails","365nails: ""cozy autumn cat &amp; food"" – Nail Art Stickers")</x:f>
        <x:v>HYPERLINK is not implemented. linkLocation=https://365nails.com/products/365nails-cozy-autumn-cat-food-handmade-press-on-nails, friendlyName=365nails: "cozy autumn cat &amp; food" – Nail Art Stickers</x:v>
      </x:c>
      <x:c r="D5514" s="18" t="str">
        <x:v>Specification type: To4048-relief / To5321-relief</x:v>
      </x:c>
      <x:c r="E5514" s="25" t="str">
        <x:v>$1.23</x:v>
      </x:c>
      <x:c r="F5514" s="19" t="str">
        <x:v>5</x:v>
      </x:c>
    </x:row>
    <x:row r="5515" ht="93" customHeight="1">
      <x:c r="A5515" s="19" t="n">
        <x:v>5512</x:v>
      </x:c>
      <x:c r="B5515" s="22" t="e">
        <x:f>HYPERLINK("https://cdn.shopify.com/s/files/1/0918/6066/4603/files/O1CN01lPMhrG1HlX0TwWpuc__2545140798-0-cib.jpg?v=1774450756","Open")</x:f>
        <x:v>HYPERLINK is not implemented. linkLocation=https://cdn.shopify.com/s/files/1/0918/6066/4603/files/O1CN01lPMhrG1HlX0TwWpuc__2545140798-0-cib.jpg?v=1774450756, friendlyName=Open</x:v>
      </x:c>
      <x:c r="C5515" s="24" t="e">
        <x:f>HYPERLINK("https://365nails.com/products/365nails-nine-tailed-fox-cherry-blossom-handmade-press-on-nails","365nails: ""nine-tailed fox &amp; cherry blossom"" – Nail Art Stickers")</x:f>
        <x:v>HYPERLINK is not implemented. linkLocation=https://365nails.com/products/365nails-nine-tailed-fox-cherry-blossom-handmade-press-on-nails, friendlyName=365nails: "nine-tailed fox &amp; cherry blossom" – Nail Art Stickers</x:v>
      </x:c>
      <x:c r="D5515" s="18" t="str">
        <x:v>Specification type: To3916-relief</x:v>
      </x:c>
      <x:c r="E5515" s="25" t="str">
        <x:v>$1.23</x:v>
      </x:c>
      <x:c r="F5515" s="19" t="str">
        <x:v>5</x:v>
      </x:c>
    </x:row>
    <x:row r="5516" ht="93" customHeight="1">
      <x:c r="A5516" s="19" t="n">
        <x:v>5513</x:v>
      </x:c>
      <x:c r="B5516" s="22" t="e">
        <x:f>HYPERLINK("https://cdn.shopify.com/s/files/1/0918/6066/4603/files/O1CN01TjfpSZ1HlX4qlwLZV__2545140798-0-cib_5eb433fe-530b-4d83-8c27-1660b6a1e97e.jpg?v=1774450279","Open")</x:f>
        <x:v>HYPERLINK is not implemented. linkLocation=https://cdn.shopify.com/s/files/1/0918/6066/4603/files/O1CN01TjfpSZ1HlX4qlwLZV__2545140798-0-cib_5eb433fe-530b-4d83-8c27-1660b6a1e97e.jpg?v=1774450279, friendlyName=Open</x:v>
      </x:c>
      <x:c r="C5516" s="24" t="e">
        <x:f>HYPERLINK("https://365nails.com/products/365nails-mini-flower-with-gold-bead-handmade-press-on-nails","365nails: ""mini flower with gold bead"" – Nail Art Stickers")</x:f>
        <x:v>HYPERLINK is not implemented. linkLocation=https://365nails.com/products/365nails-mini-flower-with-gold-bead-handmade-press-on-nails, friendlyName=365nails: "mini flower with gold bead" – Nail Art Stickers</x:v>
      </x:c>
      <x:c r="D5516" s="18" t="str">
        <x:v>Specification type: To4758-crystal diamond / To4759-crystal diamond / To4801-crystal diamond</x:v>
      </x:c>
      <x:c r="E5516" s="25" t="str">
        <x:v>$1.30</x:v>
      </x:c>
      <x:c r="F5516" s="19" t="str">
        <x:v>5</x:v>
      </x:c>
    </x:row>
    <x:row r="5517" ht="93" customHeight="1">
      <x:c r="A5517" s="19" t="n">
        <x:v>5514</x:v>
      </x:c>
      <x:c r="B5517" s="22" t="e">
        <x:f>HYPERLINK("https://cdn.shopify.com/s/files/1/0918/6066/4603/files/O1CN01DsAXLy1HlX2GUDK64__2545140798-0-cib_e4a9f731-e797-464b-aeff-e5d74fa93fd5.jpg?v=1774449624","Open")</x:f>
        <x:v>HYPERLINK is not implemented. linkLocation=https://cdn.shopify.com/s/files/1/0918/6066/4603/files/O1CN01DsAXLy1HlX2GUDK64__2545140798-0-cib_e4a9f731-e797-464b-aeff-e5d74fa93fd5.jpg?v=1774449624, friendlyName=Open</x:v>
      </x:c>
      <x:c r="C5517" s="24" t="e">
        <x:f>HYPERLINK("https://365nails.com/products/365nails-daisy-rose-spring-garden-handmade-press-on-nails","365nails: ""daisy &amp; rose spring garden"" – Nail Art Stickers")</x:f>
        <x:v>HYPERLINK is not implemented. linkLocation=https://365nails.com/products/365nails-daisy-rose-spring-garden-handmade-press-on-nails, friendlyName=365nails: "daisy &amp; rose spring garden" – Nail Art Stickers</x:v>
      </x:c>
      <x:c r="D5517" s="18" t="str">
        <x:v>Specification type: To4250-relief / To4266-relief</x:v>
      </x:c>
      <x:c r="E5517" s="25" t="str">
        <x:v>$1.23</x:v>
      </x:c>
      <x:c r="F5517" s="19" t="str">
        <x:v>5</x:v>
      </x:c>
    </x:row>
    <x:row r="5518" ht="93" customHeight="1">
      <x:c r="A5518" s="19" t="n">
        <x:v>5515</x:v>
      </x:c>
      <x:c r="B5518" s="22" t="e">
        <x:f>HYPERLINK("https://cdn.shopify.com/s/files/1/0918/6066/4603/files/O1CN01AibPqo1HlX2GLDz2q__2545140798-0-cib_42b7f237-1c84-44fe-970f-b1d5d54fad5f.jpg?v=1774602191","Open")</x:f>
        <x:v>HYPERLINK is not implemented. linkLocation=https://cdn.shopify.com/s/files/1/0918/6066/4603/files/O1CN01AibPqo1HlX2GLDz2q__2545140798-0-cib_42b7f237-1c84-44fe-970f-b1d5d54fad5f.jpg?v=1774602191, friendlyName=Open</x:v>
      </x:c>
      <x:c r="C5518" s="24" t="e">
        <x:f>HYPERLINK("https://365nails.com/products/365nails-my-melody-cartoon-handmade-press-on-nails","365nails: ""My Melody cartoon"" – Nail Art Stickers")</x:f>
        <x:v>HYPERLINK is not implemented. linkLocation=https://365nails.com/products/365nails-my-melody-cartoon-handmade-press-on-nails, friendlyName=365nails: "My Melody cartoon" – Nail Art Stickers</x:v>
      </x:c>
      <x:c r="D5518" s="18" t="str">
        <x:v>Specification type: Mn001-crystal diamond</x:v>
      </x:c>
      <x:c r="E5518" s="25" t="str">
        <x:v>$1.23</x:v>
      </x:c>
      <x:c r="F5518" s="19" t="str">
        <x:v>5</x:v>
      </x:c>
    </x:row>
    <x:row r="5519" ht="93" customHeight="1">
      <x:c r="A5519" s="19" t="n">
        <x:v>5516</x:v>
      </x:c>
      <x:c r="B5519" s="22" t="e">
        <x:f>HYPERLINK("https://cdn.shopify.com/s/files/1/0918/6066/4603/files/O1CN01fOeTaY1HlWsLFr35Q__2545140798-0-cib_bd72905a-3f54-481c-bbeb-45688165f2c8.jpg?v=1774596430","Open")</x:f>
        <x:v>HYPERLINK is not implemented. linkLocation=https://cdn.shopify.com/s/files/1/0918/6066/4603/files/O1CN01fOeTaY1HlWsLFr35Q__2545140798-0-cib_bd72905a-3f54-481c-bbeb-45688165f2c8.jpg?v=1774596430, friendlyName=Open</x:v>
      </x:c>
      <x:c r="C5519" s="24" t="e">
        <x:f>HYPERLINK("https://365nails.com/products/365nails-apple-bunny-cherry-handmade-press-on-nails","365nails: ""apple bunny &amp; cherry"" – Nail Art Stickers")</x:f>
        <x:v>HYPERLINK is not implemented. linkLocation=https://365nails.com/products/365nails-apple-bunny-cherry-handmade-press-on-nails, friendlyName=365nails: "apple bunny &amp; cherry" – Nail Art Stickers</x:v>
      </x:c>
      <x:c r="D5519" s="18" t="str">
        <x:v>Specification type: To2765 / To2784</x:v>
      </x:c>
      <x:c r="E5519" s="25" t="str">
        <x:v>$1.23</x:v>
      </x:c>
      <x:c r="F5519" s="19" t="str">
        <x:v>5</x:v>
      </x:c>
    </x:row>
    <x:row r="5520" ht="93" customHeight="1">
      <x:c r="A5520" s="19" t="n">
        <x:v>5517</x:v>
      </x:c>
      <x:c r="B5520" s="22" t="e">
        <x:f>HYPERLINK("https://cdn.shopify.com/s/files/1/0918/6066/4603/files/O1CN01CDw0GW1HlX0eQ8XNO__2545140798-0-cib_8968cbf2-20ea-471c-8bc9-ef78e89e4869.jpg?v=1774596713","Open")</x:f>
        <x:v>HYPERLINK is not implemented. linkLocation=https://cdn.shopify.com/s/files/1/0918/6066/4603/files/O1CN01CDw0GW1HlX0eQ8XNO__2545140798-0-cib_8968cbf2-20ea-471c-8bc9-ef78e89e4869.jpg?v=1774596713, friendlyName=Open</x:v>
      </x:c>
      <x:c r="C5520" s="24" t="e">
        <x:f>HYPERLINK("https://365nails.com/products/365nails-miiiichan-cute-bear-puppy-handmade-press-on-nails","365nails: ""miiiichan cute bear &amp; puppy"" – Nail Art Stickers")</x:f>
        <x:v>HYPERLINK is not implemented. linkLocation=https://365nails.com/products/365nails-miiiichan-cute-bear-puppy-handmade-press-on-nails, friendlyName=365nails: "miiiichan cute bear &amp; puppy" – Nail Art Stickers</x:v>
      </x:c>
      <x:c r="D5520" s="18" t="str">
        <x:v>Specification type: Mc 12 / Mc 17</x:v>
      </x:c>
      <x:c r="E5520" s="25" t="str">
        <x:v>$1.16</x:v>
      </x:c>
      <x:c r="F5520" s="19" t="str">
        <x:v>5</x:v>
      </x:c>
    </x:row>
    <x:row r="5521" ht="93" customHeight="1">
      <x:c r="A5521" s="19" t="n">
        <x:v>5518</x:v>
      </x:c>
      <x:c r="B5521" s="22" t="e">
        <x:f>HYPERLINK("https://cdn.shopify.com/s/files/1/0918/6066/4603/files/O1CN01QNmHrI1HlX8xpHoeU__2545140798-0-cib.jpg?v=1774595621","Open")</x:f>
        <x:v>HYPERLINK is not implemented. linkLocation=https://cdn.shopify.com/s/files/1/0918/6066/4603/files/O1CN01QNmHrI1HlX8xpHoeU__2545140798-0-cib.jpg?v=1774595621, friendlyName=Open</x:v>
      </x:c>
      <x:c r="C5521" s="24" t="e">
        <x:f>HYPERLINK("https://365nails.com/products/365nails-hello-kitty-mini-handmade-press-on-nails","365nails: ""Hello Kitty mini"" – Nail Art Stickers")</x:f>
        <x:v>HYPERLINK is not implemented. linkLocation=https://365nails.com/products/365nails-hello-kitty-mini-handmade-press-on-nails, friendlyName=365nails: "Hello Kitty mini" – Nail Art Stickers</x:v>
      </x:c>
      <x:c r="D5521" s="18" t="str">
        <x:v>Color: Rm001-relief / Rm002-relief / Rm004-relief / Rm006-relief</x:v>
      </x:c>
      <x:c r="E5521" s="25" t="str">
        <x:v>$1.45</x:v>
      </x:c>
      <x:c r="F5521" s="19" t="str">
        <x:v>5</x:v>
      </x:c>
    </x:row>
    <x:row r="5522" ht="93" customHeight="1">
      <x:c r="A5522" s="19" t="n">
        <x:v>5519</x:v>
      </x:c>
      <x:c r="B5522" s="22" t="e">
        <x:f>HYPERLINK("https://cdn.shopify.com/s/files/1/0918/6066/4603/files/ac7b7388099982449ef2df518f046f4c.jpg?v=1771392048","Open")</x:f>
        <x:v>HYPERLINK is not implemented. linkLocation=https://cdn.shopify.com/s/files/1/0918/6066/4603/files/ac7b7388099982449ef2df518f046f4c.jpg?v=1771392048, friendlyName=Open</x:v>
      </x:c>
      <x:c r="C5522" s="24" t="e">
        <x:f>HYPERLINK("https://365nails.com/products/saturn-rebel-femme-fatale-collection","Femme Fatale: ""Saturn Rebel"" – Black &amp; White Monochrome Leopard with Silver Planet Orb &amp; Butterfly Charms Long Stiletto Nails")</x:f>
        <x:v>HYPERLINK is not implemented. linkLocation=https://365nails.com/products/saturn-rebel-femme-fatale-collection, friendlyName=Femme Fatale: "Saturn Rebel" – Black &amp; White Monochrome Leopard with Silver Planet Orb &amp; Butterfly Charms Long Stiletto Nails</x:v>
      </x:c>
      <x:c r="D5522" s="18" t="str">
        <x:v>Size: XS / S / M / L</x:v>
      </x:c>
      <x:c r="E5522" s="25" t="str">
        <x:v>$3.99</x:v>
      </x:c>
      <x:c r="F5522" s="19" t="str">
        <x:v>5</x:v>
      </x:c>
    </x:row>
    <x:row r="5523" ht="93" customHeight="1">
      <x:c r="A5523" s="19" t="n">
        <x:v>5520</x:v>
      </x:c>
      <x:c r="B5523" s="22" t="e">
        <x:f>HYPERLINK("https://cdn.shopify.com/s/files/1/0918/6066/4603/files/O1CN01Akpjtv1HlWtSQgyPk__2545140798-0-cib.jpg?v=1774597951","Open")</x:f>
        <x:v>HYPERLINK is not implemented. linkLocation=https://cdn.shopify.com/s/files/1/0918/6066/4603/files/O1CN01Akpjtv1HlWtSQgyPk__2545140798-0-cib.jpg?v=1774597951, friendlyName=Open</x:v>
      </x:c>
      <x:c r="C5523" s="24" t="e">
        <x:f>HYPERLINK("https://365nails.com/products/365nails-cute-little-monster-handmade-press-on-nails-1","365nails: ""cute little monster"" – Nail Art Stickers")</x:f>
        <x:v>HYPERLINK is not implemented. linkLocation=https://365nails.com/products/365nails-cute-little-monster-handmade-press-on-nails-1, friendlyName=365nails: "cute little monster" – Nail Art Stickers</x:v>
      </x:c>
      <x:c r="D5523" s="18" t="str">
        <x:v>Specification type: To2918 / To2941. / To2942 / To2951 / To2954 / To2959 / To2963 / To2965 / To2991</x:v>
      </x:c>
      <x:c r="E5523" s="25" t="str">
        <x:v>$1.23</x:v>
      </x:c>
      <x:c r="F5523" s="19" t="str">
        <x:v>5</x:v>
      </x:c>
    </x:row>
    <x:row r="5524" ht="93" customHeight="1">
      <x:c r="A5524" s="19" t="n">
        <x:v>5521</x:v>
      </x:c>
      <x:c r="B5524" s="22" t="e">
        <x:f>HYPERLINK("https://cdn.shopify.com/s/files/1/0918/6066/4603/files/O1CN01NU1s4Y1HlWtQN78H9__2545140798-0-cib.jpg?v=1774597716","Open")</x:f>
        <x:v>HYPERLINK is not implemented. linkLocation=https://cdn.shopify.com/s/files/1/0918/6066/4603/files/O1CN01NU1s4Y1HlWtQN78H9__2545140798-0-cib.jpg?v=1774597716, friendlyName=Open</x:v>
      </x:c>
      <x:c r="C5524" s="24" t="e">
        <x:f>HYPERLINK("https://365nails.com/products/365nails-cute-little-monster-handmade-press-on-nails","365nails: ""cute little monster"" – Nail Art Stickers")</x:f>
        <x:v>HYPERLINK is not implemented. linkLocation=https://365nails.com/products/365nails-cute-little-monster-handmade-press-on-nails, friendlyName=365nails: "cute little monster" – Nail Art Stickers</x:v>
      </x:c>
      <x:c r="D5524" s="18" t="str">
        <x:v>Specification type: To2916 / To2952 / To2955 / To2960 / To2988</x:v>
      </x:c>
      <x:c r="E5524" s="25" t="str">
        <x:v>$1.23</x:v>
      </x:c>
      <x:c r="F5524" s="19" t="str">
        <x:v>5</x:v>
      </x:c>
    </x:row>
    <x:row r="5525" ht="93" customHeight="1">
      <x:c r="A5525" s="19" t="n">
        <x:v>5522</x:v>
      </x:c>
      <x:c r="B5525" s="22" t="e">
        <x:f>HYPERLINK("https://cdn.shopify.com/s/files/1/0918/6066/4603/files/O1CN017F9k2C1HlX4ZvpjEe__2545140798-0-cib_64321277-5ced-4257-a1f1-da41828b382f.jpg?v=1774597650","Open")</x:f>
        <x:v>HYPERLINK is not implemented. linkLocation=https://cdn.shopify.com/s/files/1/0918/6066/4603/files/O1CN017F9k2C1HlX4ZvpjEe__2545140798-0-cib_64321277-5ced-4257-a1f1-da41828b382f.jpg?v=1774597650, friendlyName=Open</x:v>
      </x:c>
      <x:c r="C5525" s="24" t="e">
        <x:f>HYPERLINK("https://365nails.com/products/365nails-crystal-red-bow-handmade-press-on-nails","365nails: ""crystal red bow"" – Nail Art Stickers")</x:f>
        <x:v>HYPERLINK is not implemented. linkLocation=https://365nails.com/products/365nails-crystal-red-bow-handmade-press-on-nails, friendlyName=365nails: "crystal red bow" – Nail Art Stickers</x:v>
      </x:c>
      <x:c r="D5525" s="18" t="str">
        <x:v>Specification type: To4525-crystal diamond / To4526-crystal diamond / To4527-crystal diamond</x:v>
      </x:c>
      <x:c r="E5525" s="25" t="str">
        <x:v>$1.30</x:v>
      </x:c>
      <x:c r="F5525" s="19" t="str">
        <x:v>5</x:v>
      </x:c>
    </x:row>
    <x:row r="5526" ht="93" customHeight="1">
      <x:c r="A5526" s="19" t="n">
        <x:v>5523</x:v>
      </x:c>
      <x:c r="B5526" s="22" t="e">
        <x:f>HYPERLINK("https://cdn.shopify.com/s/files/1/0918/6066/4603/files/O1CN01pxBJ4r1HlWvXCqjfd__2545140798-0-cib.jpg?v=1774601293","Open")</x:f>
        <x:v>HYPERLINK is not implemented. linkLocation=https://cdn.shopify.com/s/files/1/0918/6066/4603/files/O1CN01pxBJ4r1HlWvXCqjfd__2545140798-0-cib.jpg?v=1774601293, friendlyName=Open</x:v>
      </x:c>
      <x:c r="C5526" s="24" t="e">
        <x:f>HYPERLINK("https://365nails.com/products/365nails-holographic-silver-star-sparkle-handmade-press-on-nails","365nails: ""holographic silver star sparkle"" – Nail Art Stickers")</x:f>
        <x:v>HYPERLINK is not implemented. linkLocation=https://365nails.com/products/365nails-holographic-silver-star-sparkle-handmade-press-on-nails, friendlyName=365nails: "holographic silver star sparkle" – Nail Art Stickers</x:v>
      </x:c>
      <x:c r="D5526" s="18" t="str">
        <x:v>Specification type: To3232-laser silver / To3232-green gold / To3232-new hot stamping / To3232-silver</x:v>
      </x:c>
      <x:c r="E5526" s="25" t="str">
        <x:v>$1.23</x:v>
      </x:c>
      <x:c r="F5526" s="19" t="str">
        <x:v>5</x:v>
      </x:c>
    </x:row>
    <x:row r="5527" ht="93" customHeight="1">
      <x:c r="A5527" s="19" t="n">
        <x:v>5524</x:v>
      </x:c>
      <x:c r="B5527" s="22" t="e">
        <x:f>HYPERLINK("https://cdn.shopify.com/s/files/1/0918/6066/4603/files/O1CN01cLm17U1HlWnUDD761__2545140798-0-cib.jpg?v=1774596145","Open")</x:f>
        <x:v>HYPERLINK is not implemented. linkLocation=https://cdn.shopify.com/s/files/1/0918/6066/4603/files/O1CN01cLm17U1HlWnUDD761__2545140798-0-cib.jpg?v=1774596145, friendlyName=Open</x:v>
      </x:c>
      <x:c r="C5527" s="24" t="e">
        <x:f>HYPERLINK("https://365nails.com/products/365nails-iridescent-saturn-orb-handmade-press-on-nails","365nails: ""iridescent saturn orb"" – Nail Art Stickers")</x:f>
        <x:v>HYPERLINK is not implemented. linkLocation=https://365nails.com/products/365nails-iridescent-saturn-orb-handmade-press-on-nails, friendlyName=365nails: "iridescent saturn orb" – Nail Art Stickers</x:v>
      </x:c>
      <x:c r="D5527" s="18" t="str">
        <x:v>Specification type: To1183 laser silver / To1183 new hot stamping / To1183 silver / To1183 laser powder / To1183 pink gold</x:v>
      </x:c>
      <x:c r="E5527" s="25" t="str">
        <x:v>$1.23</x:v>
      </x:c>
      <x:c r="F5527" s="19" t="str">
        <x:v>5</x:v>
      </x:c>
    </x:row>
    <x:row r="5528" ht="93" customHeight="1">
      <x:c r="A5528" s="19" t="n">
        <x:v>5525</x:v>
      </x:c>
      <x:c r="B5528" s="22" t="e">
        <x:f>HYPERLINK("https://cdn.shopify.com/s/files/1/0918/6066/4603/files/O1CN01HDhy1j1HlX0gOyNa8__2545140798-0-cib.jpg?v=1774450828","Open")</x:f>
        <x:v>HYPERLINK is not implemented. linkLocation=https://cdn.shopify.com/s/files/1/0918/6066/4603/files/O1CN01HDhy1j1HlX0gOyNa8__2545140798-0-cib.jpg?v=1774450828, friendlyName=Open</x:v>
      </x:c>
      <x:c r="C5528" s="24" t="e">
        <x:f>HYPERLINK("https://365nails.com/products/365nails-mint-green-butterfly-bow-handmade-press-on-nails","365nails: ""mint green butterfly &amp; bow"" – Nail Art Stickers")</x:f>
        <x:v>HYPERLINK is not implemented. linkLocation=https://365nails.com/products/365nails-mint-green-butterfly-bow-handmade-press-on-nails, friendlyName=365nails: "mint green butterfly &amp; bow" – Nail Art Stickers</x:v>
      </x:c>
      <x:c r="D5528" s="18" t="str">
        <x:v>Specification type: To3942-shell light / To3943-relief</x:v>
      </x:c>
      <x:c r="E5528" s="25" t="str">
        <x:v>$1.23</x:v>
      </x:c>
      <x:c r="F5528" s="19" t="str">
        <x:v>5</x:v>
      </x:c>
    </x:row>
    <x:row r="5529" ht="93" customHeight="1">
      <x:c r="A5529" s="19" t="n">
        <x:v>5526</x:v>
      </x:c>
      <x:c r="B5529" s="22" t="e">
        <x:f>HYPERLINK("https://cdn.shopify.com/s/files/1/0918/6066/4603/files/O1CN01riE1LE1HlX091IO7Y__2545140798-0-cib_53d50e04-58f5-4865-b0ff-0d8179d15f56.jpg?v=1774598613","Open")</x:f>
        <x:v>HYPERLINK is not implemented. linkLocation=https://cdn.shopify.com/s/files/1/0918/6066/4603/files/O1CN01riE1LE1HlX091IO7Y__2545140798-0-cib_53d50e04-58f5-4865-b0ff-0d8179d15f56.jpg?v=1774598613, friendlyName=Open</x:v>
      </x:c>
      <x:c r="C5529" s="24" t="e">
        <x:f>HYPERLINK("https://365nails.com/products/365nails-spring-pink-cherry-blossom-handmade-press-on-nails","365nails: ""spring pink cherry blossom"" – Nail Art Stickers")</x:f>
        <x:v>HYPERLINK is not implemented. linkLocation=https://365nails.com/products/365nails-spring-pink-cherry-blossom-handmade-press-on-nails, friendlyName=365nails: "spring pink cherry blossom" – Nail Art Stickers</x:v>
      </x:c>
      <x:c r="D5529" s="18" t="str">
        <x:v>Specification type: To3821-relief / To3823-relief</x:v>
      </x:c>
      <x:c r="E5529" s="25" t="str">
        <x:v>$1.23</x:v>
      </x:c>
      <x:c r="F5529" s="19" t="str">
        <x:v>5</x:v>
      </x:c>
    </x:row>
    <x:row r="5530" ht="93" customHeight="1">
      <x:c r="A5530" s="19" t="n">
        <x:v>5527</x:v>
      </x:c>
      <x:c r="B5530" s="22" t="e">
        <x:f>HYPERLINK("https://cdn.shopify.com/s/files/1/0918/6066/4603/files/O1CN01Q6uS0G1HlWykh3fpR__2545140798-0-cib.jpg?v=1774595261","Open")</x:f>
        <x:v>HYPERLINK is not implemented. linkLocation=https://cdn.shopify.com/s/files/1/0918/6066/4603/files/O1CN01Q6uS0G1HlWykh3fpR__2545140798-0-cib.jpg?v=1774595261, friendlyName=Open</x:v>
      </x:c>
      <x:c r="C5530" s="24" t="e">
        <x:f>HYPERLINK("https://365nails.com/products/365nails-vintage-red-rose-with-gold-foil-handmade-press-on-nails","365nails: ""vintage red rose with gold foil"" – Nail Art Stickers")</x:f>
        <x:v>HYPERLINK is not implemented. linkLocation=https://365nails.com/products/365nails-vintage-red-rose-with-gold-foil-handmade-press-on-nails, friendlyName=365nails: "vintage red rose with gold foil" – Nail Art Stickers</x:v>
      </x:c>
      <x:c r="D5530" s="18" t="str">
        <x:v>Specification type: To3703-relief / To3704-new hot stamping / To3705-relief / To3706-laser silver / To3706-new hot stamping</x:v>
      </x:c>
      <x:c r="E5530" s="25" t="str">
        <x:v>$1.38</x:v>
      </x:c>
      <x:c r="F5530" s="19" t="str">
        <x:v>5</x:v>
      </x:c>
    </x:row>
    <x:row r="5531" ht="93" customHeight="1">
      <x:c r="A5531" s="19" t="n">
        <x:v>5528</x:v>
      </x:c>
      <x:c r="B5531" s="22" t="e">
        <x:f>HYPERLINK("https://cdn.shopify.com/s/files/1/0918/6066/4603/files/21131364636_1801976554_6c8d7d02-11f1-48cd-8540-ecdab95894ac.jpg?v=1774601133","Open")</x:f>
        <x:v>HYPERLINK is not implemented. linkLocation=https://cdn.shopify.com/s/files/1/0918/6066/4603/files/21131364636_1801976554_6c8d7d02-11f1-48cd-8540-ecdab95894ac.jpg?v=1774601133, friendlyName=Open</x:v>
      </x:c>
      <x:c r="C5531" s="24" t="e">
        <x:f>HYPERLINK("https://365nails.com/products/365nails-doraemon-cartoon-handmade-press-on-nails","365nails: ""Doraemon cartoon"" – Nail Art Stickers")</x:f>
        <x:v>HYPERLINK is not implemented. linkLocation=https://365nails.com/products/365nails-doraemon-cartoon-handmade-press-on-nails, friendlyName=365nails: "Doraemon cartoon" – Nail Art Stickers</x:v>
      </x:c>
      <x:c r="D5531" s="18" t="str">
        <x:v>Specification type: Tomoni 187</x:v>
      </x:c>
      <x:c r="E5531" s="25" t="str">
        <x:v>$1.09</x:v>
      </x:c>
      <x:c r="F5531" s="19" t="str">
        <x:v>5</x:v>
      </x:c>
    </x:row>
    <x:row r="5532" ht="93" customHeight="1">
      <x:c r="A5532" s="19" t="n">
        <x:v>5529</x:v>
      </x:c>
      <x:c r="B5532" s="22" t="e">
        <x:f>HYPERLINK("https://cdn.shopify.com/s/files/1/0918/6066/4603/files/O1CN01dNXh2W1HlWt5qs6Yx__2545140798-0-cib.jpg?v=1774597556","Open")</x:f>
        <x:v>HYPERLINK is not implemented. linkLocation=https://cdn.shopify.com/s/files/1/0918/6066/4603/files/O1CN01dNXh2W1HlWt5qs6Yx__2545140798-0-cib.jpg?v=1774597556, friendlyName=Open</x:v>
      </x:c>
      <x:c r="C5532" s="24" t="e">
        <x:f>HYPERLINK("https://365nails.com/products/365nails-shine-star-sparkle-handmade-press-on-nails","365nails: ""shine star sparkle"" – Nail Art Stickers")</x:f>
        <x:v>HYPERLINK is not implemented. linkLocation=https://365nails.com/products/365nails-shine-star-sparkle-handmade-press-on-nails, friendlyName=365nails: "shine star sparkle" – Nail Art Stickers</x:v>
      </x:c>
      <x:c r="D5532" s="18" t="str">
        <x:v>Specification type: To2761 / To2762 / To2883</x:v>
      </x:c>
      <x:c r="E5532" s="25" t="str">
        <x:v>$1.09</x:v>
      </x:c>
      <x:c r="F5532" s="19" t="str">
        <x:v>5</x:v>
      </x:c>
    </x:row>
    <x:row r="5533" ht="93" customHeight="1">
      <x:c r="A5533" s="19" t="n">
        <x:v>5530</x:v>
      </x:c>
      <x:c r="B5533" s="22" t="e">
        <x:f>HYPERLINK("https://cdn.shopify.com/s/files/1/0918/6066/4603/files/O1CN01ICm6eu1HlX4wpUTBz__2545140798-0-cib.jpg?v=1774448414","Open")</x:f>
        <x:v>HYPERLINK is not implemented. linkLocation=https://cdn.shopify.com/s/files/1/0918/6066/4603/files/O1CN01ICm6eu1HlX4wpUTBz__2545140798-0-cib.jpg?v=1774448414, friendlyName=Open</x:v>
      </x:c>
      <x:c r="C5533" s="24" t="e">
        <x:f>HYPERLINK("https://365nails.com/products/365nails-cute-teddy-bear-bunny-handmade-press-on-nails","365nails: ""cute teddy bear &amp; bunny"" – Nail Art Stickers")</x:f>
        <x:v>HYPERLINK is not implemented. linkLocation=https://365nails.com/products/365nails-cute-teddy-bear-bunny-handmade-press-on-nails, friendlyName=365nails: "cute teddy bear &amp; bunny" – Nail Art Stickers</x:v>
      </x:c>
      <x:c r="D5533" s="18" t="str">
        <x:v>Specification type: To4779-crystal diamond</x:v>
      </x:c>
      <x:c r="E5533" s="25" t="str">
        <x:v>$1.30</x:v>
      </x:c>
      <x:c r="F5533" s="19" t="str">
        <x:v>5</x:v>
      </x:c>
    </x:row>
    <x:row r="5534" ht="93" customHeight="1">
      <x:c r="A5534" s="19" t="n">
        <x:v>5531</x:v>
      </x:c>
      <x:c r="B5534" s="22" t="e">
        <x:f>HYPERLINK("https://cdn.shopify.com/s/files/1/0918/6066/4603/files/O1CN01Wcpf7V1HlWzLgKO4F__2545140798-0-cib.jpg?v=1774603161","Open")</x:f>
        <x:v>HYPERLINK is not implemented. linkLocation=https://cdn.shopify.com/s/files/1/0918/6066/4603/files/O1CN01Wcpf7V1HlWzLgKO4F__2545140798-0-cib.jpg?v=1774603161, friendlyName=Open</x:v>
      </x:c>
      <x:c r="C5534" s="24" t="e">
        <x:f>HYPERLINK("https://365nails.com/products/365nails-white-embossed-flower-leaf-handmade-press-on-nails","365nails: ""white embossed flower &amp; leaf"" – Nail Art Stickers")</x:f>
        <x:v>HYPERLINK is not implemented. linkLocation=https://365nails.com/products/365nails-white-embossed-flower-leaf-handmade-press-on-nails, friendlyName=365nails: "white embossed flower &amp; leaf" – Nail Art Stickers</x:v>
      </x:c>
      <x:c r="D5534" s="18" t="str">
        <x:v>Specification type: To3767-relief / To3769-relief</x:v>
      </x:c>
      <x:c r="E5534" s="25" t="str">
        <x:v>$1.23</x:v>
      </x:c>
      <x:c r="F5534" s="19" t="str">
        <x:v>5</x:v>
      </x:c>
    </x:row>
    <x:row r="5535" ht="93" customHeight="1">
      <x:c r="A5535" s="19" t="n">
        <x:v>5532</x:v>
      </x:c>
      <x:c r="B5535" s="22" t="e">
        <x:f>HYPERLINK("https://cdn.shopify.com/s/files/1/0918/6066/4603/files/O1CN013WJbNn1HlWuJwaLmN__2545140798-0-cib.jpg?v=1774601197","Open")</x:f>
        <x:v>HYPERLINK is not implemented. linkLocation=https://cdn.shopify.com/s/files/1/0918/6066/4603/files/O1CN013WJbNn1HlWuJwaLmN__2545140798-0-cib.jpg?v=1774601197, friendlyName=Open</x:v>
      </x:c>
      <x:c r="C5535" s="24" t="e">
        <x:f>HYPERLINK("https://365nails.com/products/365nails-jelly-cute-animal-snack-handmade-press-on-nails","365nails: ""jelly cute animal &amp; snack"" – Nail Art Stickers")</x:f>
        <x:v>HYPERLINK is not implemented. linkLocation=https://365nails.com/products/365nails-jelly-cute-animal-snack-handmade-press-on-nails, friendlyName=365nails: "jelly cute animal &amp; snack" – Nail Art Stickers</x:v>
      </x:c>
      <x:c r="D5535" s="18" t="str">
        <x:v>Specification type: To3003 / To3045 / To3047 / To3052</x:v>
      </x:c>
      <x:c r="E5535" s="25" t="str">
        <x:v>$1.23</x:v>
      </x:c>
      <x:c r="F5535" s="19" t="str">
        <x:v>5</x:v>
      </x:c>
    </x:row>
    <x:row r="5536" ht="93" customHeight="1">
      <x:c r="A5536" s="19" t="n">
        <x:v>5533</x:v>
      </x:c>
      <x:c r="B5536" s="22" t="e">
        <x:f>HYPERLINK("https://cdn.shopify.com/s/files/1/0918/6066/4603/files/O1CN01prPnmM1HlX9WqvNP1__2545140798-0-cib_2070d4a1-06d6-4473-8251-b4beb319a7de.jpg?v=1774597869","Open")</x:f>
        <x:v>HYPERLINK is not implemented. linkLocation=https://cdn.shopify.com/s/files/1/0918/6066/4603/files/O1CN01prPnmM1HlX9WqvNP1__2545140798-0-cib_2070d4a1-06d6-4473-8251-b4beb319a7de.jpg?v=1774597869, friendlyName=Open</x:v>
      </x:c>
      <x:c r="C5536" s="24" t="e">
        <x:f>HYPERLINK("https://365nails.com/products/365nails-christmas-cat-dog-handmade-press-on-nails","365nails: ""Christmas cat &amp; dog"" – Nail Art Stickers")</x:f>
        <x:v>HYPERLINK is not implemented. linkLocation=https://365nails.com/products/365nails-christmas-cat-dog-handmade-press-on-nails, friendlyName=365nails: "Christmas cat &amp; dog" – Nail Art Stickers</x:v>
      </x:c>
      <x:c r="D5536" s="18" t="str">
        <x:v>Specification type: To5310 / To5361</x:v>
      </x:c>
      <x:c r="E5536" s="25" t="str">
        <x:v>$1.00</x:v>
      </x:c>
      <x:c r="F5536" s="19" t="str">
        <x:v>5</x:v>
      </x:c>
    </x:row>
    <x:row r="5537" ht="93" customHeight="1">
      <x:c r="A5537" s="19" t="n">
        <x:v>5534</x:v>
      </x:c>
      <x:c r="B5537" s="22" t="e">
        <x:f>HYPERLINK("https://cdn.shopify.com/s/files/1/0918/6066/4603/files/O1CN013Q5WMY1HlWscsuDw1__2545140798-0-cib.jpg?v=1774596779","Open")</x:f>
        <x:v>HYPERLINK is not implemented. linkLocation=https://cdn.shopify.com/s/files/1/0918/6066/4603/files/O1CN013Q5WMY1HlWscsuDw1__2545140798-0-cib.jpg?v=1774596779, friendlyName=Open</x:v>
      </x:c>
      <x:c r="C5537" s="24" t="e">
        <x:f>HYPERLINK("https://365nails.com/products/365nails-pastel-bunny-outline-flower-handmade-press-on-nails","365nails: ""pastel bunny outline &amp; flower"" – Nail Art Stickers")</x:f>
        <x:v>HYPERLINK is not implemented. linkLocation=https://365nails.com/products/365nails-pastel-bunny-outline-flower-handmade-press-on-nails, friendlyName=365nails: "pastel bunny outline &amp; flower" – Nail Art Stickers</x:v>
      </x:c>
      <x:c r="D5537" s="18" t="str">
        <x:v>Specification type: To859-relief / To860-thin and tough / To1365-relief / To1366-thin tough</x:v>
      </x:c>
      <x:c r="E5537" s="25" t="str">
        <x:v>$1.23</x:v>
      </x:c>
      <x:c r="F5537" s="19" t="str">
        <x:v>5</x:v>
      </x:c>
    </x:row>
    <x:row r="5538" ht="93" customHeight="1">
      <x:c r="A5538" s="19" t="n">
        <x:v>5535</x:v>
      </x:c>
      <x:c r="B5538" s="22" t="e">
        <x:f>HYPERLINK("https://cdn.shopify.com/s/files/1/0918/6066/4603/files/O1CN01PKjqg61HlX3mJhrUq__2545140798-0-cib_f644bd34-ed26-497f-b0ba-024d62f0d9c2.jpg?v=1774597222","Open")</x:f>
        <x:v>HYPERLINK is not implemented. linkLocation=https://cdn.shopify.com/s/files/1/0918/6066/4603/files/O1CN01PKjqg61HlX3mJhrUq__2545140798-0-cib_f644bd34-ed26-497f-b0ba-024d62f0d9c2.jpg?v=1774597222, friendlyName=Open</x:v>
      </x:c>
      <x:c r="C5538" s="24" t="e">
        <x:f>HYPERLINK("https://365nails.com/products/365nails-white-butterfly-outline-handmade-press-on-nails","365nails: ""white butterfly outline"" – Nail Art Stickers")</x:f>
        <x:v>HYPERLINK is not implemented. linkLocation=https://365nails.com/products/365nails-white-butterfly-outline-handmade-press-on-nails, friendlyName=365nails: "white butterfly outline" – Nail Art Stickers</x:v>
      </x:c>
      <x:c r="D5538" s="18" t="str">
        <x:v>Specification type: To4592</x:v>
      </x:c>
      <x:c r="E5538" s="25" t="str">
        <x:v>$1.34</x:v>
      </x:c>
      <x:c r="F5538" s="19" t="str">
        <x:v>5</x:v>
      </x:c>
    </x:row>
    <x:row r="5539" ht="93" customHeight="1">
      <x:c r="A5539" s="19" t="n">
        <x:v>5536</x:v>
      </x:c>
      <x:c r="B5539" s="22" t="e">
        <x:f>HYPERLINK("https://cdn.shopify.com/s/files/1/0918/6066/4603/files/O1CN01094R7R1HlX8AZdFTy__2545140798-0-cib_573f928d-abf4-43f0-8e3a-dbd952e856e5.jpg?v=1774595392","Open")</x:f>
        <x:v>HYPERLINK is not implemented. linkLocation=https://cdn.shopify.com/s/files/1/0918/6066/4603/files/O1CN01094R7R1HlX8AZdFTy__2545140798-0-cib_573f928d-abf4-43f0-8e3a-dbd952e856e5.jpg?v=1774595392, friendlyName=Open</x:v>
      </x:c>
      <x:c r="C5539" s="24" t="e">
        <x:f>HYPERLINK("https://365nails.com/products/365nails-iridescent-betta-fish-handmade-press-on-nails","365nails: ""iridescent betta fish"" – Nail Art Stickers")</x:f>
        <x:v>HYPERLINK is not implemented. linkLocation=https://365nails.com/products/365nails-iridescent-betta-fish-handmade-press-on-nails, friendlyName=365nails: "iridescent betta fish" – Nail Art Stickers</x:v>
      </x:c>
      <x:c r="D5539" s="18" t="str">
        <x:v>Specification type: To5175-shell light / To5179-jelly</x:v>
      </x:c>
      <x:c r="E5539" s="25" t="str">
        <x:v>$1.23</x:v>
      </x:c>
      <x:c r="F5539" s="19" t="str">
        <x:v>5</x:v>
      </x:c>
    </x:row>
    <x:row r="5540" ht="93" customHeight="1">
      <x:c r="A5540" s="19" t="n">
        <x:v>5537</x:v>
      </x:c>
      <x:c r="B5540" s="22" t="e">
        <x:f>HYPERLINK("https://cdn.shopify.com/s/files/1/0918/6066/4603/files/O1CN01JS3Pgd1HlX1jLssQJ__2545140798-0-cib_cacb4dc8-796d-467f-9ad7-2ceaa251b9ac.jpg?v=1774596977","Open")</x:f>
        <x:v>HYPERLINK is not implemented. linkLocation=https://cdn.shopify.com/s/files/1/0918/6066/4603/files/O1CN01JS3Pgd1HlX1jLssQJ__2545140798-0-cib_cacb4dc8-796d-467f-9ad7-2ceaa251b9ac.jpg?v=1774596977, friendlyName=Open</x:v>
      </x:c>
      <x:c r="C5540" s="24" t="e">
        <x:f>HYPERLINK("https://365nails.com/products/365nails-iridescent-crystal-butterfly-handmade-press-on-nails","365nails: ""iridescent crystal butterfly"" – Nail Art Stickers")</x:f>
        <x:v>HYPERLINK is not implemented. linkLocation=https://365nails.com/products/365nails-iridescent-crystal-butterfly-handmade-press-on-nails, friendlyName=365nails: "iridescent crystal butterfly" – Nail Art Stickers</x:v>
      </x:c>
      <x:c r="D5540" s="18" t="str">
        <x:v>Specification type: To4110-crystal diamond / To4112-crystal diamond / To4114-crystal diamond / To4115-crystal diamond</x:v>
      </x:c>
      <x:c r="E5540" s="25" t="str">
        <x:v>$1.30</x:v>
      </x:c>
      <x:c r="F5540" s="19" t="str">
        <x:v>5</x:v>
      </x:c>
    </x:row>
    <x:row r="5541" ht="93" customHeight="1">
      <x:c r="A5541" s="19" t="n">
        <x:v>5538</x:v>
      </x:c>
      <x:c r="B5541" s="22" t="e">
        <x:f>HYPERLINK("https://cdn.shopify.com/s/files/1/0918/6066/4603/files/O1CN01P4RNcm1HlWztpwVW2__2545140798-0-cib.jpg?v=1774603433","Open")</x:f>
        <x:v>HYPERLINK is not implemented. linkLocation=https://cdn.shopify.com/s/files/1/0918/6066/4603/files/O1CN01P4RNcm1HlWztpwVW2__2545140798-0-cib.jpg?v=1774603433, friendlyName=Open</x:v>
      </x:c>
      <x:c r="C5541" s="24" t="e">
        <x:f>HYPERLINK("https://365nails.com/products/365nails-my-melody-mermaid-ocean-handmade-press-on-nails","365nails: ""My Melody mermaid ocean"" – Nail Art Stickers")</x:f>
        <x:v>HYPERLINK is not implemented. linkLocation=https://365nails.com/products/365nails-my-melody-mermaid-ocean-handmade-press-on-nails, friendlyName=365nails: "My Melody mermaid ocean" – Nail Art Stickers</x:v>
      </x:c>
      <x:c r="D5541" s="18" t="str">
        <x:v>Specification type: San025</x:v>
      </x:c>
      <x:c r="E5541" s="25" t="str">
        <x:v>$1.16</x:v>
      </x:c>
      <x:c r="F5541" s="19" t="str">
        <x:v>5</x:v>
      </x:c>
    </x:row>
    <x:row r="5542" ht="93" customHeight="1">
      <x:c r="A5542" s="19" t="n">
        <x:v>5539</x:v>
      </x:c>
      <x:c r="B5542" s="22" t="e">
        <x:f>HYPERLINK("https://cdn.shopify.com/s/files/1/0918/6066/4603/files/O1CN01cqvLTi1HlX9qm6cE0__2545140798-0-cib_70adab21-482e-45a3-847f-13e6a087516c.jpg?v=1774601002","Open")</x:f>
        <x:v>HYPERLINK is not implemented. linkLocation=https://cdn.shopify.com/s/files/1/0918/6066/4603/files/O1CN01cqvLTi1HlX9qm6cE0__2545140798-0-cib_70adab21-482e-45a3-847f-13e6a087516c.jpg?v=1774601002, friendlyName=Open</x:v>
      </x:c>
      <x:c r="C5542" s="24" t="e">
        <x:f>HYPERLINK("https://365nails.com/products/365nails-cute-cat-face-doodle-handmade-press-on-nails","365nails: ""cute cat face doodle"" – Nail Art Stickers")</x:f>
        <x:v>HYPERLINK is not implemented. linkLocation=https://365nails.com/products/365nails-cute-cat-face-doodle-handmade-press-on-nails, friendlyName=365nails: "cute cat face doodle" – Nail Art Stickers</x:v>
      </x:c>
      <x:c r="D5542" s="18" t="str">
        <x:v>Specification type: To5351 / To5407</x:v>
      </x:c>
      <x:c r="E5542" s="25" t="str">
        <x:v>$1.00</x:v>
      </x:c>
      <x:c r="F5542" s="19" t="str">
        <x:v>5</x:v>
      </x:c>
    </x:row>
    <x:row r="5543" ht="93" customHeight="1">
      <x:c r="A5543" s="19" t="n">
        <x:v>5540</x:v>
      </x:c>
      <x:c r="B5543" s="22" t="e">
        <x:f>HYPERLINK("https://cdn.shopify.com/s/files/1/0918/6066/4603/files/O1CN01LbUwSf1HlWyA88wfm__2545140798-0-cib.jpg?v=1774602869","Open")</x:f>
        <x:v>HYPERLINK is not implemented. linkLocation=https://cdn.shopify.com/s/files/1/0918/6066/4603/files/O1CN01LbUwSf1HlWyA88wfm__2545140798-0-cib.jpg?v=1774602869, friendlyName=Open</x:v>
      </x:c>
      <x:c r="C5543" s="24" t="e">
        <x:f>HYPERLINK("https://365nails.com/products/365nails-chinese-lucky-talisman-handmade-press-on-nails","365nails: ""chinese lucky talisman"" – Nail Art Stickers")</x:f>
        <x:v>HYPERLINK is not implemented. linkLocation=https://365nails.com/products/365nails-chinese-lucky-talisman-handmade-press-on-nails, friendlyName=365nails: "chinese lucky talisman" – Nail Art Stickers</x:v>
      </x:c>
      <x:c r="D5543" s="18" t="str">
        <x:v>Specification type: To3634 / To3635 / To3636</x:v>
      </x:c>
      <x:c r="E5543" s="25" t="str">
        <x:v>$1.09</x:v>
      </x:c>
      <x:c r="F5543" s="19" t="str">
        <x:v>5</x:v>
      </x:c>
    </x:row>
    <x:row r="5544" ht="93" customHeight="1">
      <x:c r="A5544" s="19" t="n">
        <x:v>5541</x:v>
      </x:c>
      <x:c r="B5544" s="22" t="e">
        <x:f>HYPERLINK("https://cdn.shopify.com/s/files/1/0918/6066/4603/files/O1CN013BaLbB1HlWjkBOMBv__2545140798-0-cib.jpg?v=1774595772","Open")</x:f>
        <x:v>HYPERLINK is not implemented. linkLocation=https://cdn.shopify.com/s/files/1/0918/6066/4603/files/O1CN013BaLbB1HlWjkBOMBv__2545140798-0-cib.jpg?v=1774595772, friendlyName=Open</x:v>
      </x:c>
      <x:c r="C5544" s="24" t="e">
        <x:f>HYPERLINK("https://365nails.com/products/365nails-vintage-framed-art-nouveau-lady-handmade-press-on-nails","365nails: ""vintage framed art nouveau lady"" – Nail Art Stickers")</x:f>
        <x:v>HYPERLINK is not implemented. linkLocation=https://365nails.com/products/365nails-vintage-framed-art-nouveau-lady-handmade-press-on-nails, friendlyName=365nails: "vintage framed art nouveau lady" – Nail Art Stickers</x:v>
      </x:c>
      <x:c r="D5544" s="18" t="str">
        <x:v>Specification type: Ta 802 / Ta 803 / Ta 804</x:v>
      </x:c>
      <x:c r="E5544" s="25" t="str">
        <x:v>$1.23</x:v>
      </x:c>
      <x:c r="F5544" s="19" t="str">
        <x:v>5</x:v>
      </x:c>
    </x:row>
    <x:row r="5545" ht="93" customHeight="1">
      <x:c r="A5545" s="19" t="n">
        <x:v>5542</x:v>
      </x:c>
      <x:c r="B5545" s="22" t="e">
        <x:f>HYPERLINK("https://cdn.shopify.com/s/files/1/0918/6066/4603/files/O1CN014qxHBD1HlWqVzDh3n__2545140798-0-cib_69221091-4f8c-41e5-be09-5d7542265fc9.jpg?v=1774600509","Open")</x:f>
        <x:v>HYPERLINK is not implemented. linkLocation=https://cdn.shopify.com/s/files/1/0918/6066/4603/files/O1CN014qxHBD1HlWqVzDh3n__2545140798-0-cib_69221091-4f8c-41e5-be09-5d7542265fc9.jpg?v=1774600509, friendlyName=Open</x:v>
      </x:c>
      <x:c r="C5545" s="24" t="e">
        <x:f>HYPERLINK("https://365nails.com/products/365nails-white-lace-and-floral-ornament-handmade-press-on-nails","365nails: ""white lace and floral ornament"" – Nail Art Stickers")</x:f>
        <x:v>HYPERLINK is not implemented. linkLocation=https://365nails.com/products/365nails-white-lace-and-floral-ornament-handmade-press-on-nails, friendlyName=365nails: "white lace and floral ornament" – Nail Art Stickers</x:v>
      </x:c>
      <x:c r="D5545" s="18" t="str">
        <x:v>Specification type: To2421 / To2423</x:v>
      </x:c>
      <x:c r="E5545" s="25" t="str">
        <x:v>$1.09</x:v>
      </x:c>
      <x:c r="F5545" s="19" t="str">
        <x:v>5</x:v>
      </x:c>
    </x:row>
    <x:row r="5546" ht="93" customHeight="1">
      <x:c r="A5546" s="19" t="n">
        <x:v>5543</x:v>
      </x:c>
      <x:c r="B5546" s="22" t="e">
        <x:f>HYPERLINK("https://cdn.shopify.com/s/files/1/0918/6066/4603/files/O1CN01BmCQxV1HlX9d40G7n__2545140798-0-cib_f0b3b8e2-c7b1-4b54-9df6-6105505595a4.jpg?v=1774595542","Open")</x:f>
        <x:v>HYPERLINK is not implemented. linkLocation=https://cdn.shopify.com/s/files/1/0918/6066/4603/files/O1CN01BmCQxV1HlX9d40G7n__2545140798-0-cib_f0b3b8e2-c7b1-4b54-9df6-6105505595a4.jpg?v=1774595542, friendlyName=Open</x:v>
      </x:c>
      <x:c r="C5546" s="24" t="e">
        <x:f>HYPERLINK("https://365nails.com/products/365nails-halloween-pumpkin-spider-web-handmade-press-on-nails","365nails: ""halloween pumpkin &amp; spider web"" – Nail Art Stickers")</x:f>
        <x:v>HYPERLINK is not implemented. linkLocation=https://365nails.com/products/365nails-halloween-pumpkin-spider-web-handmade-press-on-nails, friendlyName=365nails: "halloween pumpkin &amp; spider web" – Nail Art Stickers</x:v>
      </x:c>
      <x:c r="D5546" s="18" t="str">
        <x:v>Specification type: Ms872-relief</x:v>
      </x:c>
      <x:c r="E5546" s="25" t="str">
        <x:v>$1.23</x:v>
      </x:c>
      <x:c r="F5546" s="19" t="str">
        <x:v>5</x:v>
      </x:c>
    </x:row>
    <x:row r="5547" ht="93" customHeight="1">
      <x:c r="A5547" s="19" t="n">
        <x:v>5544</x:v>
      </x:c>
      <x:c r="B5547" s="22" t="e">
        <x:f>HYPERLINK("https://cdn.shopify.com/s/files/1/0918/6066/4603/files/O1CN01oDK4oV1HlXA158VsZ__2545140798-0-cib_4503dfa8-e40d-48e0-8471-62e5d130b419.jpg?v=1774598114","Open")</x:f>
        <x:v>HYPERLINK is not implemented. linkLocation=https://cdn.shopify.com/s/files/1/0918/6066/4603/files/O1CN01oDK4oV1HlXA158VsZ__2545140798-0-cib_4503dfa8-e40d-48e0-8471-62e5d130b419.jpg?v=1774598114, friendlyName=Open</x:v>
      </x:c>
      <x:c r="C5547" s="24" t="e">
        <x:f>HYPERLINK("https://365nails.com/products/365nails-christmas-pet-holiday-handmade-press-on-nails","365nails: ""Christmas pet &amp; holiday"" – Nail Art Stickers")</x:f>
        <x:v>HYPERLINK is not implemented. linkLocation=https://365nails.com/products/365nails-christmas-pet-holiday-handmade-press-on-nails, friendlyName=365nails: "Christmas pet &amp; holiday" – Nail Art Stickers</x:v>
      </x:c>
      <x:c r="D5547" s="18" t="str">
        <x:v>Specification type: To5324-relief / To5410-relief</x:v>
      </x:c>
      <x:c r="E5547" s="25" t="str">
        <x:v>$1.23</x:v>
      </x:c>
      <x:c r="F5547" s="19" t="str">
        <x:v>5</x:v>
      </x:c>
    </x:row>
    <x:row r="5548" ht="93" customHeight="1">
      <x:c r="A5548" s="19" t="n">
        <x:v>5545</x:v>
      </x:c>
      <x:c r="B5548" s="22" t="e">
        <x:f>HYPERLINK("https://cdn.shopify.com/s/files/1/0918/6066/4603/files/O1CN01C0EpWy1HlX6a1EphP__2545140798-0-cib_4d7864ef-affc-4194-9076-afc9b2b66444.jpg?v=1774597782","Open")</x:f>
        <x:v>HYPERLINK is not implemented. linkLocation=https://cdn.shopify.com/s/files/1/0918/6066/4603/files/O1CN01C0EpWy1HlX6a1EphP__2545140798-0-cib_4d7864ef-affc-4194-9076-afc9b2b66444.jpg?v=1774597782, friendlyName=Open</x:v>
      </x:c>
      <x:c r="C5548" s="24" t="e">
        <x:f>HYPERLINK("https://365nails.com/products/365nails-disney-mickey-minnie-fruit-picnic-handmade-press-on-nails","365nails: ""Disney Mickey &amp; Minnie Fruit Picnic"" – Nail Art Stickers")</x:f>
        <x:v>HYPERLINK is not implemented. linkLocation=https://365nails.com/products/365nails-disney-mickey-minnie-fruit-picnic-handmade-press-on-nails, friendlyName=365nails: "Disney Mickey &amp; Minnie Fruit Picnic" – Nail Art Stickers</x:v>
      </x:c>
      <x:c r="D5548" s="18" t="str">
        <x:v>Specification type: Td009m-1-shell light / Td009m-2-shell light</x:v>
      </x:c>
      <x:c r="E5548" s="25" t="str">
        <x:v>$1.23</x:v>
      </x:c>
      <x:c r="F5548" s="19" t="str">
        <x:v>5</x:v>
      </x:c>
    </x:row>
    <x:row r="5549" ht="93" customHeight="1">
      <x:c r="A5549" s="19" t="n">
        <x:v>5546</x:v>
      </x:c>
      <x:c r="B5549" s="22" t="e">
        <x:f>HYPERLINK("https://cdn.shopify.com/s/files/1/0918/6066/4603/files/O1CN0149h0OX1HlWqaNXSnr__2545140798-0-cib_f22fba37-ad05-4557-ae58-a9fb3786102f.jpg?v=1774596210","Open")</x:f>
        <x:v>HYPERLINK is not implemented. linkLocation=https://cdn.shopify.com/s/files/1/0918/6066/4603/files/O1CN0149h0OX1HlWqaNXSnr__2545140798-0-cib_f22fba37-ad05-4557-ae58-a9fb3786102f.jpg?v=1774596210, friendlyName=Open</x:v>
      </x:c>
      <x:c r="C5549" s="24" t="e">
        <x:f>HYPERLINK("https://365nails.com/products/365nails-white-lace-floral-ornament-handmade-press-on-nails","365nails: ""white lace &amp; floral ornament"" – Nail Art Stickers")</x:f>
        <x:v>HYPERLINK is not implemented. linkLocation=https://365nails.com/products/365nails-white-lace-floral-ornament-handmade-press-on-nails, friendlyName=365nails: "white lace &amp; floral ornament" – Nail Art Stickers</x:v>
      </x:c>
      <x:c r="D5549" s="18" t="str">
        <x:v>Specification type: To2420 / To2422</x:v>
      </x:c>
      <x:c r="E5549" s="25" t="str">
        <x:v>$1.23</x:v>
      </x:c>
      <x:c r="F5549" s="19" t="str">
        <x:v>5</x:v>
      </x:c>
    </x:row>
    <x:row r="5550" ht="93" customHeight="1">
      <x:c r="A5550" s="19" t="n">
        <x:v>5547</x:v>
      </x:c>
      <x:c r="B5550" s="22" t="e">
        <x:f>HYPERLINK("https://cdn.shopify.com/s/files/1/0918/6066/4603/files/O1CN01baYwio1HlWpdiZ2qO__2545140798-0-cib.jpg?v=1774596590","Open")</x:f>
        <x:v>HYPERLINK is not implemented. linkLocation=https://cdn.shopify.com/s/files/1/0918/6066/4603/files/O1CN01baYwio1HlWpdiZ2qO__2545140798-0-cib.jpg?v=1774596590, friendlyName=Open</x:v>
      </x:c>
      <x:c r="C5550" s="24" t="e">
        <x:f>HYPERLINK("https://365nails.com/products/365nails-chinese-ink-wash-lotus-calligraphy-handmade-press-on-nails","365nails: ""chinese ink wash lotus &amp; calligraphy"" – Nail Art Stickers")</x:f>
        <x:v>HYPERLINK is not implemented. linkLocation=https://365nails.com/products/365nails-chinese-ink-wash-lotus-calligraphy-handmade-press-on-nails, friendlyName=365nails: "chinese ink wash lotus &amp; calligraphy" – Nail Art Stickers</x:v>
      </x:c>
      <x:c r="D5550" s="18" t="str">
        <x:v>Specification type: To2016 / To2042 / To2041</x:v>
      </x:c>
      <x:c r="E5550" s="25" t="str">
        <x:v>$1.09</x:v>
      </x:c>
      <x:c r="F5550" s="19" t="str">
        <x:v>5</x:v>
      </x:c>
    </x:row>
    <x:row r="5551" ht="93" customHeight="1">
      <x:c r="A5551" s="19" t="n">
        <x:v>5548</x:v>
      </x:c>
      <x:c r="B5551" s="22" t="e">
        <x:f>HYPERLINK("https://cdn.shopify.com/s/files/1/0918/6066/4603/files/O1CN01TP6wc81HlWzYge0Rb__2545140798-0-cib.jpg?v=1774603294","Open")</x:f>
        <x:v>HYPERLINK is not implemented. linkLocation=https://cdn.shopify.com/s/files/1/0918/6066/4603/files/O1CN01TP6wc81HlWzYge0Rb__2545140798-0-cib.jpg?v=1774603294, friendlyName=Open</x:v>
      </x:c>
      <x:c r="C5551" s="24" t="e">
        <x:f>HYPERLINK("https://365nails.com/products/365nails-fairy-tale-princess-prince-handmade-press-on-nails","365nails: ""fairy tale princess &amp; prince"" – Nail Art Stickers")</x:f>
        <x:v>HYPERLINK is not implemented. linkLocation=https://365nails.com/products/365nails-fairy-tale-princess-prince-handmade-press-on-nails, friendlyName=365nails: "fairy tale princess &amp; prince" – Nail Art Stickers</x:v>
      </x:c>
      <x:c r="D5551" s="18" t="str">
        <x:v>Specification type: To3782-relief / To3789-relief</x:v>
      </x:c>
      <x:c r="E5551" s="25" t="str">
        <x:v>$1.23</x:v>
      </x:c>
      <x:c r="F5551" s="19" t="str">
        <x:v>5</x:v>
      </x:c>
    </x:row>
    <x:row r="5552" ht="93" customHeight="1">
      <x:c r="A5552" s="19" t="n">
        <x:v>5549</x:v>
      </x:c>
      <x:c r="B5552" s="22" t="e">
        <x:f>HYPERLINK("https://cdn.shopify.com/s/files/1/0918/6066/4603/files/O1CN01AXgadk1HlXAZJ0upH__2545140798-0-cib_a163f25f-a6e7-4c93-ae37-332213a48ca2.jpg?v=1774595931","Open")</x:f>
        <x:v>HYPERLINK is not implemented. linkLocation=https://cdn.shopify.com/s/files/1/0918/6066/4603/files/O1CN01AXgadk1HlXAZJ0upH__2545140798-0-cib_a163f25f-a6e7-4c93-ae37-332213a48ca2.jpg?v=1774595931, friendlyName=Open</x:v>
      </x:c>
      <x:c r="C5552" s="24" t="e">
        <x:f>HYPERLINK("https://365nails.com/products/365nails-multicolor-rhinestone-bow-handmade-press-on-nails","365nails: ""multicolor rhinestone bow"" – Nail Art Stickers")</x:f>
        <x:v>HYPERLINK is not implemented. linkLocation=https://365nails.com/products/365nails-multicolor-rhinestone-bow-handmade-press-on-nails, friendlyName=365nails: "multicolor rhinestone bow" – Nail Art Stickers</x:v>
      </x:c>
      <x:c r="D5552" s="18" t="str">
        <x:v>Specification type: Md 006 / Md 008 / Md 012 / Md 013</x:v>
      </x:c>
      <x:c r="E5552" s="25" t="str">
        <x:v>$2.90</x:v>
      </x:c>
      <x:c r="F5552" s="19" t="str">
        <x:v>5</x:v>
      </x:c>
    </x:row>
    <x:row r="5553" ht="93" customHeight="1">
      <x:c r="A5553" s="19" t="n">
        <x:v>5550</x:v>
      </x:c>
      <x:c r="B5553" s="22" t="e">
        <x:f>HYPERLINK("https://cdn.shopify.com/s/files/1/0918/6066/4603/files/O1CN01GbSXxv1HlWpJmRVDs__2545140798-0-cib.jpg?v=1774596358","Open")</x:f>
        <x:v>HYPERLINK is not implemented. linkLocation=https://cdn.shopify.com/s/files/1/0918/6066/4603/files/O1CN01GbSXxv1HlWpJmRVDs__2545140798-0-cib.jpg?v=1774596358, friendlyName=Open</x:v>
      </x:c>
      <x:c r="C5553" s="24" t="e">
        <x:f>HYPERLINK("https://365nails.com/products/365nails-iridescent-chinese-dragon-handmade-press-on-nails","365nails: ""iridescent chinese dragon"" – Nail Art Stickers")</x:f>
        <x:v>HYPERLINK is not implemented. linkLocation=https://365nails.com/products/365nails-iridescent-chinese-dragon-handmade-press-on-nails, friendlyName=365nails: "iridescent chinese dragon" – Nail Art Stickers</x:v>
      </x:c>
      <x:c r="D5553" s="18" t="str">
        <x:v>Specification type: To1780 laser silver / To1780 new hot stamping / To1780 silver</x:v>
      </x:c>
      <x:c r="E5553" s="25" t="str">
        <x:v>$1.23</x:v>
      </x:c>
      <x:c r="F5553" s="19" t="str">
        <x:v>5</x:v>
      </x:c>
    </x:row>
    <x:row r="5554" ht="93" customHeight="1">
      <x:c r="A5554" s="19" t="n">
        <x:v>5551</x:v>
      </x:c>
      <x:c r="B5554" s="22" t="e">
        <x:f>HYPERLINK("https://cdn.shopify.com/s/files/1/0918/6066/4603/files/O1CN013nQwjK1HlWmOR5gyh__2545140798-0-cib.jpg?v=1774596001","Open")</x:f>
        <x:v>HYPERLINK is not implemented. linkLocation=https://cdn.shopify.com/s/files/1/0918/6066/4603/files/O1CN013nQwjK1HlWmOR5gyh__2545140798-0-cib.jpg?v=1774596001, friendlyName=Open</x:v>
      </x:c>
      <x:c r="C5554" s="24" t="e">
        <x:f>HYPERLINK("https://365nails.com/products/365nails-winnie-the-pooh-toy-story-handmade-press-on-nails","365nails: ""Winnie the Pooh &amp; Toy Story"" – Nail Art Stickers")</x:f>
        <x:v>HYPERLINK is not implemented. linkLocation=https://365nails.com/products/365nails-winnie-the-pooh-toy-story-handmade-press-on-nails, friendlyName=365nails: "Winnie the Pooh &amp; Toy Story" – Nail Art Stickers</x:v>
      </x:c>
      <x:c r="D5554" s="18" t="str">
        <x:v>Specification type: To400</x:v>
      </x:c>
      <x:c r="E5554" s="25" t="str">
        <x:v>$1.23</x:v>
      </x:c>
      <x:c r="F5554" s="19" t="str">
        <x:v>5</x:v>
      </x:c>
    </x:row>
    <x:row r="5555" ht="93" customHeight="1">
      <x:c r="A5555" s="19" t="n">
        <x:v>5552</x:v>
      </x:c>
      <x:c r="B5555" s="22" t="e">
        <x:f>HYPERLINK("https://cdn.shopify.com/s/files/1/0918/6066/4603/files/O1CN01UpuNrU1HlWtfulEif__2545140798-0-cib.jpg?v=1774602126","Open")</x:f>
        <x:v>HYPERLINK is not implemented. linkLocation=https://cdn.shopify.com/s/files/1/0918/6066/4603/files/O1CN01UpuNrU1HlWtfulEif__2545140798-0-cib.jpg?v=1774602126, friendlyName=Open</x:v>
      </x:c>
      <x:c r="C5555" s="24" t="e">
        <x:f>HYPERLINK("https://365nails.com/products/365nails-holographic-rainbow-celestial-handmade-press-on-nails","365nails: ""holographic rainbow celestial"" – Nail Art Stickers")</x:f>
        <x:v>HYPERLINK is not implemented. linkLocation=https://365nails.com/products/365nails-holographic-rainbow-celestial-handmade-press-on-nails, friendlyName=365nails: "holographic rainbow celestial" – Nail Art Stickers</x:v>
      </x:c>
      <x:c r="D5555" s="18" t="str">
        <x:v>Specification type: To2775-relief / To2776-thin tough / To2777-relief / To2778-thin tough</x:v>
      </x:c>
      <x:c r="E5555" s="25" t="str">
        <x:v>$1.23</x:v>
      </x:c>
      <x:c r="F5555" s="19" t="str">
        <x:v>5</x:v>
      </x:c>
    </x:row>
    <x:row r="5556" ht="93" customHeight="1">
      <x:c r="A5556" s="19" t="n">
        <x:v>5553</x:v>
      </x:c>
      <x:c r="B5556" s="22" t="e">
        <x:f>HYPERLINK("https://cdn.shopify.com/s/files/1/0918/6066/4603/files/O1CN01iODhjJ1HlWwDPKlzi__2545140798-0-cib.jpg?v=1774602304","Open")</x:f>
        <x:v>HYPERLINK is not implemented. linkLocation=https://cdn.shopify.com/s/files/1/0918/6066/4603/files/O1CN01iODhjJ1HlWwDPKlzi__2545140798-0-cib.jpg?v=1774602304, friendlyName=Open</x:v>
      </x:c>
      <x:c r="C5556" s="24" t="e">
        <x:f>HYPERLINK("https://365nails.com/products/365nails-vintage-rose-frame-crystal-handmade-press-on-nails","365nails: ""vintage rose &amp; frame crystal"" – Nail Art Stickers")</x:f>
        <x:v>HYPERLINK is not implemented. linkLocation=https://365nails.com/products/365nails-vintage-rose-frame-crystal-handmade-press-on-nails, friendlyName=365nails: "vintage rose &amp; frame crystal" – Nail Art Stickers</x:v>
      </x:c>
      <x:c r="D5556" s="18" t="str">
        <x:v>Specification type: Ms 442</x:v>
      </x:c>
      <x:c r="E5556" s="25" t="str">
        <x:v>$1.30</x:v>
      </x:c>
      <x:c r="F5556" s="19" t="str">
        <x:v>5</x:v>
      </x:c>
    </x:row>
    <x:row r="5557" ht="93" customHeight="1">
      <x:c r="A5557" s="19" t="n">
        <x:v>5554</x:v>
      </x:c>
      <x:c r="B5557" s="22" t="e">
        <x:f>HYPERLINK("https://cdn.shopify.com/s/files/1/0918/6066/4603/files/O1CN01jZUw101HlWwAEk6QD__2545140798-0-cib.jpg?v=1774602251","Open")</x:f>
        <x:v>HYPERLINK is not implemented. linkLocation=https://cdn.shopify.com/s/files/1/0918/6066/4603/files/O1CN01jZUw101HlWwAEk6QD__2545140798-0-cib.jpg?v=1774602251, friendlyName=Open</x:v>
      </x:c>
      <x:c r="C5557" s="24" t="e">
        <x:f>HYPERLINK("https://365nails.com/products/365nails-gold-foil-pink-butterfly-vintage-handmade-press-on-nails","365nails: ""gold foil pink butterfly vintage"" – Nail Art Stickers")</x:f>
        <x:v>HYPERLINK is not implemented. linkLocation=https://365nails.com/products/365nails-gold-foil-pink-butterfly-vintage-handmade-press-on-nails, friendlyName=365nails: "gold foil pink butterfly vintage" – Nail Art Stickers</x:v>
      </x:c>
      <x:c r="D5557" s="18" t="str">
        <x:v>Specification type: To3291-new hot stamping / To3292-shell light / To3293-new hot stamping / To3294-shell light</x:v>
      </x:c>
      <x:c r="E5557" s="25" t="str">
        <x:v>$1.23</x:v>
      </x:c>
      <x:c r="F5557" s="19" t="str">
        <x:v>5</x:v>
      </x:c>
    </x:row>
    <x:row r="5558" ht="93" customHeight="1">
      <x:c r="A5558" s="19" t="n">
        <x:v>5555</x:v>
      </x:c>
      <x:c r="B5558" s="22" t="e">
        <x:f>HYPERLINK("https://cdn.shopify.com/s/files/1/0918/6066/4603/files/O1CN01l6R0nU1HlWihZovo9__2545140798-0-cib.jpg?v=1774258054","Open")</x:f>
        <x:v>HYPERLINK is not implemented. linkLocation=https://cdn.shopify.com/s/files/1/0918/6066/4603/files/O1CN01l6R0nU1HlWihZovo9__2545140798-0-cib.jpg?v=1774258054, friendlyName=Open</x:v>
      </x:c>
      <x:c r="C5558" s="24" t="e">
        <x:f>HYPERLINK("https://365nails.com/products/365nails-lucky-mahjong-tile-handmade-press-on-nails","365nails: ""lucky mahjong tile"" – Nail Art Stickers")</x:f>
        <x:v>HYPERLINK is not implemented. linkLocation=https://365nails.com/products/365nails-lucky-mahjong-tile-handmade-press-on-nails, friendlyName=365nails: "lucky mahjong tile" – Nail Art Stickers</x:v>
      </x:c>
      <x:c r="D5558" s="18" t="str">
        <x:v>Color: Tomoni 347 / Tomoni 348 / Tomoni 364</x:v>
      </x:c>
      <x:c r="E5558" s="25" t="str">
        <x:v>$1.23</x:v>
      </x:c>
      <x:c r="F5558" s="19" t="str">
        <x:v>5</x:v>
      </x:c>
    </x:row>
    <x:row r="5559" ht="93" customHeight="1">
      <x:c r="A5559" s="19" t="n">
        <x:v>5556</x:v>
      </x:c>
      <x:c r="B5559" s="22" t="e">
        <x:f>HYPERLINK("https://cdn.shopify.com/s/files/1/0918/6066/4603/files/O1CN01W03Uyl1HlWxeroYNJ__2545140798-0-cib.jpg?v=1774602809","Open")</x:f>
        <x:v>HYPERLINK is not implemented. linkLocation=https://cdn.shopify.com/s/files/1/0918/6066/4603/files/O1CN01W03Uyl1HlWxeroYNJ__2545140798-0-cib.jpg?v=1774602809, friendlyName=Open</x:v>
      </x:c>
      <x:c r="C5559" s="24" t="e">
        <x:f>HYPERLINK("https://365nails.com/products/365nails-crystal-heart-bow-jewelry-handmade-press-on-nails","365nails: ""crystal heart bow jewelry"" – Nail Art Stickers")</x:f>
        <x:v>HYPERLINK is not implemented. linkLocation=https://365nails.com/products/365nails-crystal-heart-bow-jewelry-handmade-press-on-nails, friendlyName=365nails: "crystal heart bow jewelry" – Nail Art Stickers</x:v>
      </x:c>
      <x:c r="D5559" s="18" t="str">
        <x:v>Specification type: To3526-crystal diamond / To3527-crystal diamond</x:v>
      </x:c>
      <x:c r="E5559" s="25" t="str">
        <x:v>$1.30</x:v>
      </x:c>
      <x:c r="F5559" s="19" t="str">
        <x:v>5</x:v>
      </x:c>
    </x:row>
    <x:row r="5560" ht="93" customHeight="1">
      <x:c r="A5560" s="19" t="n">
        <x:v>5557</x:v>
      </x:c>
      <x:c r="B5560" s="22" t="e">
        <x:f>HYPERLINK("https://cdn.shopify.com/s/files/1/0918/6066/4603/files/O1CN01uxY6a71HlWzicPUTL__2545140798-0-cib.jpg?v=1774603354","Open")</x:f>
        <x:v>HYPERLINK is not implemented. linkLocation=https://cdn.shopify.com/s/files/1/0918/6066/4603/files/O1CN01uxY6a71HlWzicPUTL__2545140798-0-cib.jpg?v=1774603354, friendlyName=Open</x:v>
      </x:c>
      <x:c r="C5560" s="24" t="e">
        <x:f>HYPERLINK("https://365nails.com/products/365nails-ink-wash-plant-butterfly-chinese-style-handmade-press-on-nails","365nails: ""ink wash plant &amp; butterfly chinese style"" – Nail Art Stickers")</x:f>
        <x:v>HYPERLINK is not implemented. linkLocation=https://365nails.com/products/365nails-ink-wash-plant-butterfly-chinese-style-handmade-press-on-nails, friendlyName=365nails: "ink wash plant &amp; butterfly chinese style" – Nail Art Stickers</x:v>
      </x:c>
      <x:c r="D5560" s="18" t="str">
        <x:v>Specification type: To3810 / To3811</x:v>
      </x:c>
      <x:c r="E5560" s="25" t="str">
        <x:v>$1.09</x:v>
      </x:c>
      <x:c r="F5560" s="19" t="str">
        <x:v>5</x:v>
      </x:c>
    </x:row>
    <x:row r="5561" ht="93" customHeight="1">
      <x:c r="A5561" s="19" t="n">
        <x:v>5558</x:v>
      </x:c>
      <x:c r="B5561" s="22" t="e">
        <x:f>HYPERLINK("https://cdn.shopify.com/s/files/1/0918/6066/4603/files/O1CN01sfRJiP1HlX0Y35IEm__2545140798-0-cib_e67244d0-71e5-46cc-b47a-95cacc1874ff.jpg?v=1774596654","Open")</x:f>
        <x:v>HYPERLINK is not implemented. linkLocation=https://cdn.shopify.com/s/files/1/0918/6066/4603/files/O1CN01sfRJiP1HlX0Y35IEm__2545140798-0-cib_e67244d0-71e5-46cc-b47a-95cacc1874ff.jpg?v=1774596654, friendlyName=Open</x:v>
      </x:c>
      <x:c r="C5561" s="24" t="e">
        <x:f>HYPERLINK("https://365nails.com/products/365nails-crystal-chrysanthemum-butterfly-handmade-press-on-nails","365nails: ""crystal chrysanthemum &amp; butterfly"" – Nail Art Stickers")</x:f>
        <x:v>HYPERLINK is not implemented. linkLocation=https://365nails.com/products/365nails-crystal-chrysanthemum-butterfly-handmade-press-on-nails, friendlyName=365nails: "crystal chrysanthemum &amp; butterfly" – Nail Art Stickers</x:v>
      </x:c>
      <x:c r="D5561" s="18" t="str">
        <x:v>Specification type: To3884-crystal diamond / To3885-crystal diamond / To3886-crystal diamond / To3887-crystal diamond</x:v>
      </x:c>
      <x:c r="E5561" s="25" t="str">
        <x:v>$1.30</x:v>
      </x:c>
      <x:c r="F5561" s="19" t="str">
        <x:v>5</x:v>
      </x:c>
    </x:row>
    <x:row r="5562" ht="93" customHeight="1">
      <x:c r="A5562" s="19" t="n">
        <x:v>5559</x:v>
      </x:c>
      <x:c r="B5562" s="22" t="e">
        <x:f>HYPERLINK("https://cdn.shopify.com/s/files/1/0918/6066/4603/files/O1CN01clv4lj1HlWzBn6uVP__2545140798-0-cib.jpg?v=1774603092","Open")</x:f>
        <x:v>HYPERLINK is not implemented. linkLocation=https://cdn.shopify.com/s/files/1/0918/6066/4603/files/O1CN01clv4lj1HlWzBn6uVP__2545140798-0-cib.jpg?v=1774603092, friendlyName=Open</x:v>
      </x:c>
      <x:c r="C5562" s="24" t="e">
        <x:f>HYPERLINK("https://365nails.com/products/365nails-chinese-knot-pearl-vintage-handmade-press-on-nails","365nails: ""chinese knot pearl vintage"" – Nail Art Stickers")</x:f>
        <x:v>HYPERLINK is not implemented. linkLocation=https://365nails.com/products/365nails-chinese-knot-pearl-vintage-handmade-press-on-nails, friendlyName=365nails: "chinese knot pearl vintage" – Nail Art Stickers</x:v>
      </x:c>
      <x:c r="D5562" s="18" t="str">
        <x:v>Specification type: Ms525-crystal diamond / Ms526-crystal diamond</x:v>
      </x:c>
      <x:c r="E5562" s="25" t="str">
        <x:v>$1.30</x:v>
      </x:c>
      <x:c r="F5562" s="19" t="str">
        <x:v>5</x:v>
      </x:c>
    </x:row>
    <x:row r="5563" ht="93" customHeight="1">
      <x:c r="A5563" s="19" t="n">
        <x:v>5560</x:v>
      </x:c>
      <x:c r="B5563" s="22" t="e">
        <x:f>HYPERLINK("https://cdn.shopify.com/s/files/1/0918/6066/4603/files/2f69d31133fedb1793fbe65d380daf84.jpg?v=1771391514","Open")</x:f>
        <x:v>HYPERLINK is not implemented. linkLocation=https://cdn.shopify.com/s/files/1/0918/6066/4603/files/2f69d31133fedb1793fbe65d380daf84.jpg?v=1771391514, friendlyName=Open</x:v>
      </x:c>
      <x:c r="C5563" s="24" t="e">
        <x:f>HYPERLINK("https://365nails.com/products/viper-saint-femme-fatale-collection","Femme Fatale: ""Viper Saint"" – Grey Cat Eye with White Lace, Animal Print &amp; Gothic Cross Long Stiletto Nails")</x:f>
        <x:v>HYPERLINK is not implemented. linkLocation=https://365nails.com/products/viper-saint-femme-fatale-collection, friendlyName=Femme Fatale: "Viper Saint" – Grey Cat Eye with White Lace, Animal Print &amp; Gothic Cross Long Stiletto Nails</x:v>
      </x:c>
      <x:c r="D5563" s="18" t="str">
        <x:v>Size: XS / S / M / L</x:v>
      </x:c>
      <x:c r="E5563" s="25" t="str">
        <x:v>$3.99</x:v>
      </x:c>
      <x:c r="F5563" s="19" t="str">
        <x:v>5</x:v>
      </x:c>
    </x:row>
    <x:row r="5564" ht="93" customHeight="1">
      <x:c r="A5564" s="19" t="n">
        <x:v>5561</x:v>
      </x:c>
      <x:c r="B5564" s="22" t="e">
        <x:f>HYPERLINK("https://cdn.shopify.com/s/files/1/0918/6066/4603/files/O1CN01vYxD6o1HlWvP7afzQ__2545140798-0-cib.jpg?v=1776494193","Open")</x:f>
        <x:v>HYPERLINK is not implemented. linkLocation=https://cdn.shopify.com/s/files/1/0918/6066/4603/files/O1CN01vYxD6o1HlWvP7afzQ__2545140798-0-cib.jpg?v=1776494193, friendlyName=Open</x:v>
      </x:c>
      <x:c r="C5564" s="24" t="e">
        <x:f>HYPERLINK("https://365nails.com/products/365nails-cute-beverage-and-snack-nail-art-stickers","365nails: ""Cute Beverage and Snack"" – nail art stickers")</x:f>
        <x:v>HYPERLINK is not implemented. linkLocation=https://365nails.com/products/365nails-cute-beverage-and-snack-nail-art-stickers, friendlyName=365nails: "Cute Beverage and Snack" – nail art stickers</x:v>
      </x:c>
      <x:c r="D5564" s="18" t="str">
        <x:v>Specification type: To3201</x:v>
      </x:c>
      <x:c r="E5564" s="25" t="str">
        <x:v>$1.23</x:v>
      </x:c>
      <x:c r="F5564" s="19" t="str">
        <x:v>5</x:v>
      </x:c>
    </x:row>
    <x:row r="5565" ht="93" customHeight="1">
      <x:c r="A5565" s="19" t="n">
        <x:v>5562</x:v>
      </x:c>
      <x:c r="B5565" s="22" t="e">
        <x:f>HYPERLINK("https://cdn.shopify.com/s/files/1/0918/6066/4603/files/O1CN01fSJYNk1HlWu4eLJMo__2545140798-0-cib.jpg?v=1776493777","Open")</x:f>
        <x:v>HYPERLINK is not implemented. linkLocation=https://cdn.shopify.com/s/files/1/0918/6066/4603/files/O1CN01fSJYNk1HlWu4eLJMo__2545140798-0-cib.jpg?v=1776493777, friendlyName=Open</x:v>
      </x:c>
      <x:c r="C5565" s="24" t="e">
        <x:f>HYPERLINK("https://365nails.com/products/365nails-vintage-lily-and-mixed-floral-nail-art-stickers","365nails: ""Vintage Lily and Mixed Floral"" – nail art stickers")</x:f>
        <x:v>HYPERLINK is not implemented. linkLocation=https://365nails.com/products/365nails-vintage-lily-and-mixed-floral-nail-art-stickers, friendlyName=365nails: "Vintage Lily and Mixed Floral" – nail art stickers</x:v>
      </x:c>
      <x:c r="D5565" s="18" t="str">
        <x:v>Specification type: To3039 / To3040-laser</x:v>
      </x:c>
      <x:c r="E5565" s="25" t="str">
        <x:v>$1.23</x:v>
      </x:c>
      <x:c r="F5565" s="19" t="str">
        <x:v>5</x:v>
      </x:c>
    </x:row>
    <x:row r="5566" ht="93" customHeight="1">
      <x:c r="A5566" s="19" t="n">
        <x:v>5563</x:v>
      </x:c>
      <x:c r="B5566" s="22" t="e">
        <x:f>HYPERLINK("https://cdn.shopify.com/s/files/1/0918/6066/4603/files/O1CN01NFHtPi1HlWvz0uSxs__2545140798-0-cib.jpg?v=1776494480","Open")</x:f>
        <x:v>HYPERLINK is not implemented. linkLocation=https://cdn.shopify.com/s/files/1/0918/6066/4603/files/O1CN01NFHtPi1HlWvz0uSxs__2545140798-0-cib.jpg?v=1776494480, friendlyName=Open</x:v>
      </x:c>
      <x:c r="C5566" s="24" t="e">
        <x:f>HYPERLINK("https://365nails.com/products/365nails-pink-dessert-and-cute-character-nail-art-stickers","365nails: ""Pink Dessert and Cute Character"" – nail art stickers")</x:f>
        <x:v>HYPERLINK is not implemented. linkLocation=https://365nails.com/products/365nails-pink-dessert-and-cute-character-nail-art-stickers, friendlyName=365nails: "Pink Dessert and Cute Character" – nail art stickers</x:v>
      </x:c>
      <x:c r="D5566" s="18" t="str">
        <x:v>Specification type: To3227-relief / To3228-diandian laser</x:v>
      </x:c>
      <x:c r="E5566" s="25" t="str">
        <x:v>$1.23</x:v>
      </x:c>
      <x:c r="F5566" s="19" t="str">
        <x:v>5</x:v>
      </x:c>
    </x:row>
    <x:row r="5567" ht="93" customHeight="1">
      <x:c r="A5567" s="19" t="n">
        <x:v>5564</x:v>
      </x:c>
      <x:c r="B5567" s="22" t="e">
        <x:f>HYPERLINK("https://cdn.shopify.com/s/files/1/0918/6066/4603/files/O1CN01QFEMeM1HlWvJzNSwY__2545140798-0-cib.jpg?v=1776494097","Open")</x:f>
        <x:v>HYPERLINK is not implemented. linkLocation=https://cdn.shopify.com/s/files/1/0918/6066/4603/files/O1CN01QFEMeM1HlWvJzNSwY__2545140798-0-cib.jpg?v=1776494097, friendlyName=Open</x:v>
      </x:c>
      <x:c r="C5567" s="24" t="e">
        <x:f>HYPERLINK("https://365nails.com/products/365nails-rainy-day-animal-and-plant-nail-art-stickers","365nails: ""Rainy Day Animal and Plant"" – nail art stickers")</x:f>
        <x:v>HYPERLINK is not implemented. linkLocation=https://365nails.com/products/365nails-rainy-day-animal-and-plant-nail-art-stickers, friendlyName=365nails: "Rainy Day Animal and Plant" – nail art stickers</x:v>
      </x:c>
      <x:c r="D5567" s="18" t="str">
        <x:v>Specification type: To3161 / To3176 / To3180</x:v>
      </x:c>
      <x:c r="E5567" s="25" t="str">
        <x:v>$1.23</x:v>
      </x:c>
      <x:c r="F5567" s="19" t="str">
        <x:v>5</x:v>
      </x:c>
    </x:row>
    <x:row r="5568" ht="93" customHeight="1">
      <x:c r="A5568" s="19" t="n">
        <x:v>5565</x:v>
      </x:c>
      <x:c r="B5568" s="22" t="e">
        <x:f>HYPERLINK("https://cdn.shopify.com/s/files/1/0918/6066/4603/files/O1CN01L55gj61HlWkkUT3Oo__2545140798-0-cib_b7c3f213-40c7-4ff2-987a-d6d7aead1d4e.jpg?v=1774604194","Open")</x:f>
        <x:v>HYPERLINK is not implemented. linkLocation=https://cdn.shopify.com/s/files/1/0918/6066/4603/files/O1CN01L55gj61HlWkkUT3Oo__2545140798-0-cib_b7c3f213-40c7-4ff2-987a-d6d7aead1d4e.jpg?v=1774604194, friendlyName=Open</x:v>
      </x:c>
      <x:c r="C5568" s="24" t="e">
        <x:f>HYPERLINK("https://365nails.com/products/365nails-watercolor-pink-purple-flower-handmade-press-on-nails","365nails: ""watercolor pink &amp; purple flower"" – Nail Art Stickers")</x:f>
        <x:v>HYPERLINK is not implemented. linkLocation=https://365nails.com/products/365nails-watercolor-pink-purple-flower-handmade-press-on-nails, friendlyName=365nails: "watercolor pink &amp; purple flower" – Nail Art Stickers</x:v>
      </x:c>
      <x:c r="D5568" s="18" t="str">
        <x:v>Color: Pro–002 / Pro–003 / Pro–005 / Pro-010 / Pro–011 / Pro-012 / Pro–013 / Pro–014 / Pro–015 / Pro–016 / Pro–018 / Pro-019en / Pro-020 / Pro–023 / Pro–025 / Pro–028 / Pro–029 / Pro–030 / Pro–031 / Pro–032 / Pro-033 / Pro–034 / Pro–036 / Pro–037 / Pro–039 / Pro–040 / Pro–042 / Pro–043 / Pro–045 / Pro–046 / Pro–047 / Pro–049 / Pro–051 / Pro–055 / Pro–059</x:v>
      </x:c>
      <x:c r="E5568" s="25" t="str">
        <x:v>$1.09</x:v>
      </x:c>
      <x:c r="F5568" s="19" t="str">
        <x:v>5</x:v>
      </x:c>
    </x:row>
    <x:row r="5569" ht="93" customHeight="1">
      <x:c r="A5569" s="19" t="n">
        <x:v>5566</x:v>
      </x:c>
      <x:c r="B5569" s="22" t="e">
        <x:f>HYPERLINK("https://cdn.shopify.com/s/files/1/0918/6066/4603/files/O1CN01l5gSNM1HlX9qPJeUa__2545140798-0-cib_ad44e9e3-dab5-4e83-9568-3349ba81a108.jpg?v=1774598039","Open")</x:f>
        <x:v>HYPERLINK is not implemented. linkLocation=https://cdn.shopify.com/s/files/1/0918/6066/4603/files/O1CN01l5gSNM1HlX9qPJeUa__2545140798-0-cib_ad44e9e3-dab5-4e83-9568-3349ba81a108.jpg?v=1774598039, friendlyName=Open</x:v>
      </x:c>
      <x:c r="C5569" s="24" t="e">
        <x:f>HYPERLINK("https://365nails.com/products/365nails-iridescent-holographic-christmas-tree-handmade-press-on-nails","365nails: ""iridescent holographic Christmas tree"" – Nail Art Stickers")</x:f>
        <x:v>HYPERLINK is not implemented. linkLocation=https://365nails.com/products/365nails-iridescent-holographic-christmas-tree-handmade-press-on-nails, friendlyName=365nails: "iridescent holographic Christmas tree" – Nail Art Stickers</x:v>
      </x:c>
      <x:c r="D5569" s="18" t="str">
        <x:v>Specification type: Ms846-metal / Ms847-laser powder / Ms847-silver / Ms847-green gold / Ms847-new hot stamping / Ms856-metal</x:v>
      </x:c>
      <x:c r="E5569" s="25" t="str">
        <x:v>$1.23</x:v>
      </x:c>
      <x:c r="F5569" s="19" t="str">
        <x:v>5</x:v>
      </x:c>
    </x:row>
    <x:row r="5570" ht="93" customHeight="1">
      <x:c r="A5570" s="19" t="n">
        <x:v>5567</x:v>
      </x:c>
      <x:c r="B5570" s="22" t="e">
        <x:f>HYPERLINK("https://cdn.shopify.com/s/files/1/0918/6066/4603/files/O1CN018Yp7Oz1HlX66HkxTr__2545140798-0-cib_3ce93723-3b17-4c7c-b25c-49f2722fc77b.jpg?v=1774258124","Open")</x:f>
        <x:v>HYPERLINK is not implemented. linkLocation=https://cdn.shopify.com/s/files/1/0918/6066/4603/files/O1CN018Yp7Oz1HlX66HkxTr__2545140798-0-cib_3ce93723-3b17-4c7c-b25c-49f2722fc77b.jpg?v=1774258124, friendlyName=Open</x:v>
      </x:c>
      <x:c r="C5570" s="24" t="e">
        <x:f>HYPERLINK("https://365nails.com/products/365nails-whimsical-calico-cat-garden-handmade-press-on-nails","365nails: ""whimsical calico cat garden"" – Nail Art Stickers")</x:f>
        <x:v>HYPERLINK is not implemented. linkLocation=https://365nails.com/products/365nails-whimsical-calico-cat-garden-handmade-press-on-nails, friendlyName=365nails: "whimsical calico cat garden" – Nail Art Stickers</x:v>
      </x:c>
      <x:c r="D5570" s="18" t="str">
        <x:v>Specification type: To4993-relief</x:v>
      </x:c>
      <x:c r="E5570" s="25" t="str">
        <x:v>$1.23</x:v>
      </x:c>
      <x:c r="F5570" s="19" t="str">
        <x:v>5</x:v>
      </x:c>
    </x:row>
    <x:row r="5571" ht="93" customHeight="1">
      <x:c r="A5571" s="19" t="n">
        <x:v>5568</x:v>
      </x:c>
      <x:c r="B5571" s="22" t="e">
        <x:f>HYPERLINK("https://cdn.shopify.com/s/files/1/0918/6066/4603/files/O1CN01OgrR0z1HlX4qq81Li__2545140798-0-cib_d99f4e79-4a12-4646-8e38-abc5c9bb883e.jpg?v=1774254837","Open")</x:f>
        <x:v>HYPERLINK is not implemented. linkLocation=https://cdn.shopify.com/s/files/1/0918/6066/4603/files/O1CN01OgrR0z1HlX4qq81Li__2545140798-0-cib_d99f4e79-4a12-4646-8e38-abc5c9bb883e.jpg?v=1774254837, friendlyName=Open</x:v>
      </x:c>
      <x:c r="C5571" s="24" t="e">
        <x:f>HYPERLINK("https://365nails.com/products/365nails-cozy-winter-shiba-inu-handmade-press-on-nails","365nails: ""cozy winter shiba inu"" – Nail Art Stickers")</x:f>
        <x:v>HYPERLINK is not implemented. linkLocation=https://365nails.com/products/365nails-cozy-winter-shiba-inu-handmade-press-on-nails, friendlyName=365nails: "cozy winter shiba inu" – Nail Art Stickers</x:v>
      </x:c>
      <x:c r="D5571" s="18" t="str">
        <x:v>Specification type: To4797 / To4798</x:v>
      </x:c>
      <x:c r="E5571" s="25" t="str">
        <x:v>$1.09</x:v>
      </x:c>
      <x:c r="F5571" s="19" t="str">
        <x:v>5</x:v>
      </x:c>
    </x:row>
    <x:row r="5572" ht="93" customHeight="1">
      <x:c r="A5572" s="19" t="n">
        <x:v>5569</x:v>
      </x:c>
      <x:c r="B5572" s="22" t="e">
        <x:f>HYPERLINK("https://cdn.shopify.com/s/files/1/0918/6066/4603/files/b4b562377e459541bcf8130d3d62967c.jpg?v=1771473264","Open")</x:f>
        <x:v>HYPERLINK is not implemented. linkLocation=https://cdn.shopify.com/s/files/1/0918/6066/4603/files/b4b562377e459541bcf8130d3d62967c.jpg?v=1771473264, friendlyName=Open</x:v>
      </x:c>
      <x:c r="C5572" s="24" t="e">
        <x:f>HYPERLINK("https://365nails.com/products/pastel-garden-rhapsody-sculpted-flora-series","Sculpted Flora: ""Pastel Garden Rhapsody"" – 3D Gradient Pink &amp; Orange Flowers with Dewdrops on Mixed French Nails")</x:f>
        <x:v>HYPERLINK is not implemented. linkLocation=https://365nails.com/products/pastel-garden-rhapsody-sculpted-flora-series, friendlyName=Sculpted Flora: "Pastel Garden Rhapsody" – 3D Gradient Pink &amp; Orange Flowers with Dewdrops on Mixed French Nails</x:v>
      </x:c>
      <x:c r="D5572" s="18" t="str">
        <x:v>Size: XS / S / M / L</x:v>
      </x:c>
      <x:c r="E5572" s="25" t="str">
        <x:v>$3.99</x:v>
      </x:c>
      <x:c r="F5572" s="19" t="str">
        <x:v>5</x:v>
      </x:c>
    </x:row>
    <x:row r="5573" ht="93" customHeight="1">
      <x:c r="A5573" s="19" t="n">
        <x:v>5570</x:v>
      </x:c>
      <x:c r="B5573" s="22" t="e">
        <x:f>HYPERLINK("https://cdn.shopify.com/s/files/1/0918/6066/4603/files/O1CN01my58Xj1HlX6ZIRlrO__2545140798-0-cib.jpg?v=1774794525","Open")</x:f>
        <x:v>HYPERLINK is not implemented. linkLocation=https://cdn.shopify.com/s/files/1/0918/6066/4603/files/O1CN01my58Xj1HlX6ZIRlrO__2545140798-0-cib.jpg?v=1774794525, friendlyName=Open</x:v>
      </x:c>
      <x:c r="C5573" s="24" t="e">
        <x:f>HYPERLINK("https://365nails.com/products/365nails-watercolor-pink-rose-handmade-press-on-nails","365nails: ""Watercolor Pink Rose"" – Nail Art Stickers")</x:f>
        <x:v>HYPERLINK is not implemented. linkLocation=https://365nails.com/products/365nails-watercolor-pink-rose-handmade-press-on-nails, friendlyName=365nails: "Watercolor Pink Rose" – Nail Art Stickers</x:v>
      </x:c>
      <x:c r="D5573" s="18" t="str">
        <x:v>Specification type: Pro010 / Pro029 / Pro052 / Pro079 / Pro 101 / Pro 111 / Pro 112 / Pro 124 / Pro 130 / Pro 147 / Pro155 / To1229 / To106 / To175 / To218 / To203 / To245 / To297 / To308 / To315 / To316 / To317 / To326 / To328 / To330 / To337 / To341 / To362-relief / To389-relief / To393 / To431 / To433 / To435 / To469 / To478 / To486 / To487 / To496 / To525 / To530-relief / To537 / To545 / To556 / To563-relief / To565-relief / To566-relief / To569-relief / To570-relief / To571 / To572 / To580 / To581 / To272 / To593 / To594 / To595 / To633 / To638 / To646-relief / To673 / To682 / To688 / To693 / To702 / To703 / To746 / To747 / To882 / To885 / To886 / To891 / To925 / To943-relief / To944 / To1011 / To1106 / To1110 / To1153 / To1262 / To639</x:v>
      </x:c>
      <x:c r="E5573" s="25" t="str">
        <x:v>$1.01</x:v>
      </x:c>
      <x:c r="F5573" s="19" t="str">
        <x:v>5</x:v>
      </x:c>
    </x:row>
    <x:row r="5574" ht="93" customHeight="1">
      <x:c r="A5574" s="19" t="n">
        <x:v>5571</x:v>
      </x:c>
      <x:c r="B5574" s="22" t="e">
        <x:f>HYPERLINK("https://cdn.shopify.com/s/files/1/0918/6066/4603/files/O1CN01Bo2Yaq1HlX7pa4ogG__2545140798-0-cib.jpg?v=1774795199","Open")</x:f>
        <x:v>HYPERLINK is not implemented. linkLocation=https://cdn.shopify.com/s/files/1/0918/6066/4603/files/O1CN01Bo2Yaq1HlX7pa4ogG__2545140798-0-cib.jpg?v=1774795199, friendlyName=Open</x:v>
      </x:c>
      <x:c r="C5574" s="24" t="e">
        <x:f>HYPERLINK("https://365nails.com/products/365nails-pastel-rainbow-blossom-flower-handmade-press-on-nails","365nails: ""Pastel Rainbow Blossom Flower"" – Nail Art Stickers")</x:f>
        <x:v>HYPERLINK is not implemented. linkLocation=https://365nails.com/products/365nails-pastel-rainbow-blossom-flower-handmade-press-on-nails, friendlyName=365nails: "Pastel Rainbow Blossom Flower" – Nail Art Stickers</x:v>
      </x:c>
      <x:c r="D5574" s="18" t="str">
        <x:v>Specification type: To5170-relief</x:v>
      </x:c>
      <x:c r="E5574" s="25" t="str">
        <x:v>$1.23</x:v>
      </x:c>
      <x:c r="F5574" s="19" t="str">
        <x:v>5</x:v>
      </x:c>
    </x:row>
    <x:row r="5575" ht="93" customHeight="1">
      <x:c r="A5575" s="19" t="n">
        <x:v>5572</x:v>
      </x:c>
      <x:c r="B5575" s="22" t="e">
        <x:f>HYPERLINK("https://cdn.shopify.com/s/files/1/0918/6066/4603/files/O1CN01N0O2p51HlX5NT5bn8__2545140798-0-cib_8b9138db-6a53-4e6d-a59c-5bb672b826b2.jpg?v=1774257249","Open")</x:f>
        <x:v>HYPERLINK is not implemented. linkLocation=https://cdn.shopify.com/s/files/1/0918/6066/4603/files/O1CN01N0O2p51HlX5NT5bn8__2545140798-0-cib_8b9138db-6a53-4e6d-a59c-5bb672b826b2.jpg?v=1774257249, friendlyName=Open</x:v>
      </x:c>
      <x:c r="C5575" s="24" t="e">
        <x:f>HYPERLINK("https://365nails.com/products/365nails-lotus-blossom-serenity-handmade-press-on-nails","365nails: ""lotus blossom serenity"" – Nail Art Stickers")</x:f>
        <x:v>HYPERLINK is not implemented. linkLocation=https://365nails.com/products/365nails-lotus-blossom-serenity-handmade-press-on-nails, friendlyName=365nails: "lotus blossom serenity" – Nail Art Stickers</x:v>
      </x:c>
      <x:c r="D5575" s="18" t="str">
        <x:v>Specification type: To4837-relief / To4841-relief</x:v>
      </x:c>
      <x:c r="E5575" s="25" t="str">
        <x:v>$1.23</x:v>
      </x:c>
      <x:c r="F5575" s="19" t="str">
        <x:v>5</x:v>
      </x:c>
    </x:row>
    <x:row r="5576" ht="93" customHeight="1">
      <x:c r="A5576" s="19" t="n">
        <x:v>5573</x:v>
      </x:c>
      <x:c r="B5576" s="22" t="e">
        <x:f>HYPERLINK("https://cdn.shopify.com/s/files/1/0918/6066/4603/files/O1CN01a5Qfs81HlX5IA8DvK__2545140798-0-cib_d1b5ffc2-e7c9-4df9-937d-2333a3ad5a55.jpg?v=1774256284","Open")</x:f>
        <x:v>HYPERLINK is not implemented. linkLocation=https://cdn.shopify.com/s/files/1/0918/6066/4603/files/O1CN01a5Qfs81HlX5IA8DvK__2545140798-0-cib_d1b5ffc2-e7c9-4df9-937d-2333a3ad5a55.jpg?v=1774256284, friendlyName=Open</x:v>
      </x:c>
      <x:c r="C5576" s="24" t="e">
        <x:f>HYPERLINK("https://365nails.com/products/365nails-autumn-chrysanthemum-poetry-handmade-press-on-nails","365nails: ""autumn chrysanthemum poetry"" – Nail Art Stickers")</x:f>
        <x:v>HYPERLINK is not implemented. linkLocation=https://365nails.com/products/365nails-autumn-chrysanthemum-poetry-handmade-press-on-nails, friendlyName=365nails: "autumn chrysanthemum poetry" – Nail Art Stickers</x:v>
      </x:c>
      <x:c r="D5576" s="18" t="str">
        <x:v>Specification type: To4643 / To4836</x:v>
      </x:c>
      <x:c r="E5576" s="25" t="str">
        <x:v>$1.09</x:v>
      </x:c>
      <x:c r="F5576" s="19" t="str">
        <x:v>5</x:v>
      </x:c>
    </x:row>
    <x:row r="5577" ht="93" customHeight="1">
      <x:c r="A5577" s="19" t="n">
        <x:v>5574</x:v>
      </x:c>
      <x:c r="B5577" s="22" t="e">
        <x:f>HYPERLINK("https://cdn.shopify.com/s/files/1/0918/6066/4603/files/O1CN01XsYZ7V1HlX59IYTNj__2545140798-0-cib.jpg?v=1774793955","Open")</x:f>
        <x:v>HYPERLINK is not implemented. linkLocation=https://cdn.shopify.com/s/files/1/0918/6066/4603/files/O1CN01XsYZ7V1HlX59IYTNj__2545140798-0-cib.jpg?v=1774793955, friendlyName=Open</x:v>
      </x:c>
      <x:c r="C5577" s="24" t="e">
        <x:f>HYPERLINK("https://365nails.com/products/365nails-glitter-pink-snowflake-with-rhinestone-handmade-press-on-nails","365nails: ""Glitter Pink Snowflake with Rhinestone"" – Nail Art Stickers")</x:f>
        <x:v>HYPERLINK is not implemented. linkLocation=https://365nails.com/products/365nails-glitter-pink-snowflake-with-rhinestone-handmade-press-on-nails, friendlyName=365nails: "Glitter Pink Snowflake with Rhinestone" – Nail Art Stickers</x:v>
      </x:c>
      <x:c r="D5577" s="18" t="str">
        <x:v>Specification type: Ms750 glitter-crystal diamond / Ms750 flash silver-crystal diamond / Ms750 new hot stamping-crystal diamond / Ms751-crystal diamond</x:v>
      </x:c>
      <x:c r="E5577" s="25" t="str">
        <x:v>$1.30</x:v>
      </x:c>
      <x:c r="F5577" s="19" t="str">
        <x:v>5</x:v>
      </x:c>
    </x:row>
    <x:row r="5578" ht="93" customHeight="1">
      <x:c r="A5578" s="19" t="n">
        <x:v>5575</x:v>
      </x:c>
      <x:c r="B5578" s="22" t="e">
        <x:f>HYPERLINK("https://cdn.shopify.com/s/files/1/0918/6066/4603/files/O1CN01IXH8uF1HlX6wEANbY__2545140798-0-cib.jpg?v=1774794911","Open")</x:f>
        <x:v>HYPERLINK is not implemented. linkLocation=https://cdn.shopify.com/s/files/1/0918/6066/4603/files/O1CN01IXH8uF1HlX6wEANbY__2545140798-0-cib.jpg?v=1774794911, friendlyName=Open</x:v>
      </x:c>
      <x:c r="C5578" s="24" t="e">
        <x:f>HYPERLINK("https://365nails.com/products/365nails-dainty-pink-blossom-flower-handmade-press-on-nails","365nails: ""Dainty Pink Blossom Flower"" – Nail Art Stickers")</x:f>
        <x:v>HYPERLINK is not implemented. linkLocation=https://365nails.com/products/365nails-dainty-pink-blossom-flower-handmade-press-on-nails, friendlyName=365nails: "Dainty Pink Blossom Flower" – Nail Art Stickers</x:v>
      </x:c>
      <x:c r="D5578" s="18" t="str">
        <x:v>Specification type: To5088-relief / To5102-metal</x:v>
      </x:c>
      <x:c r="E5578" s="25" t="str">
        <x:v>$1.23</x:v>
      </x:c>
      <x:c r="F5578" s="19" t="str">
        <x:v>5</x:v>
      </x:c>
    </x:row>
    <x:row r="5579" ht="93" customHeight="1">
      <x:c r="A5579" s="19" t="n">
        <x:v>5576</x:v>
      </x:c>
      <x:c r="B5579" s="22" t="e">
        <x:f>HYPERLINK("https://cdn.shopify.com/s/files/1/0918/6066/4603/files/d50e1a20e4768e4654d8d40b6a09ce6e_8a9d3add-7658-4416-827b-2f431ac52a4e.jpg?v=1769503373","Open")</x:f>
        <x:v>HYPERLINK is not implemented. linkLocation=https://cdn.shopify.com/s/files/1/0918/6066/4603/files/d50e1a20e4768e4654d8d40b6a09ce6e_8a9d3add-7658-4416-827b-2f431ac52a4e.jpg?v=1769503373, friendlyName=Open</x:v>
      </x:c>
      <x:c r="C5579" s="24" t="e">
        <x:f>HYPERLINK("https://365nails.com/products/timeless-classic-handmade-white-french-tip-press-on-nails","Timeless Classic: Handmade White French Tip Press-On Nails")</x:f>
        <x:v>HYPERLINK is not implemented. linkLocation=https://365nails.com/products/timeless-classic-handmade-white-french-tip-press-on-nails, friendlyName=Timeless Classic: Handmade White French Tip Press-On Nails</x:v>
      </x:c>
      <x:c r="D5579" s="18" t="str">
        <x:v>Size: XS / S / M / L</x:v>
      </x:c>
      <x:c r="E5579" s="25" t="str">
        <x:v>$2.99</x:v>
      </x:c>
      <x:c r="F5579" s="19" t="str">
        <x:v>10</x:v>
      </x:c>
    </x:row>
    <x:row r="5580" ht="93" customHeight="1">
      <x:c r="A5580" s="19" t="n">
        <x:v>5577</x:v>
      </x:c>
      <x:c r="B5580" s="22" t="e">
        <x:f>HYPERLINK("https://cdn.shopify.com/s/files/1/0918/6066/4603/files/c634821ce6097b4410f3afd7b3a5fcf3.jpg?v=1765434988","Open")</x:f>
        <x:v>HYPERLINK is not implemented. linkLocation=https://cdn.shopify.com/s/files/1/0918/6066/4603/files/c634821ce6097b4410f3afd7b3a5fcf3.jpg?v=1765434988, friendlyName=Open</x:v>
      </x:c>
      <x:c r="C5580" s="24" t="e">
        <x:f>HYPERLINK("https://365nails.com/products/chrome-studded-press-on-nails-metallic-silver-stiletto-starry-glitter-sparkling-series","Chrome Studded Press On Nails｜Metallic Silver Stiletto | Crystal Armor Series")</x:f>
        <x:v>HYPERLINK is not implemented. linkLocation=https://365nails.com/products/chrome-studded-press-on-nails-metallic-silver-stiletto-starry-glitter-sparkling-series, friendlyName=Chrome Studded Press On Nails｜Metallic Silver Stiletto | Crystal Armor Series</x:v>
      </x:c>
      <x:c r="D5580" s="18" t="str">
        <x:v>shape: almond / square; Size: XS / S / M / L; length: 45mm / 30mm</x:v>
      </x:c>
      <x:c r="E5580" s="25" t="str">
        <x:v>$19.00</x:v>
      </x:c>
      <x:c r="F5580" s="19" t="str">
        <x:v>1</x:v>
      </x:c>
    </x:row>
    <x:row r="5581" ht="93" customHeight="1">
      <x:c r="A5581" s="19" t="n">
        <x:v>5578</x:v>
      </x:c>
      <x:c r="B5581" s="22" t="e">
        <x:f>HYPERLINK("https://cdn.shopify.com/s/files/1/0918/6066/4603/files/2868c7979b702bef571de0df669d2aed.jpg?v=1771835519","Open")</x:f>
        <x:v>HYPERLINK is not implemented. linkLocation=https://cdn.shopify.com/s/files/1/0918/6066/4603/files/2868c7979b702bef571de0df669d2aed.jpg?v=1771835519, friendlyName=Open</x:v>
      </x:c>
      <x:c r="C5581" s="24" t="e">
        <x:f>HYPERLINK("https://365nails.com/products/tropical-punch-party-sculpted-flora-series","Sculpted Flora: ""Tropical Punch Party"" – 3D Orange &amp; Blue Flowers with Leopard Print &amp; Shell Texture Nails")</x:f>
        <x:v>HYPERLINK is not implemented. linkLocation=https://365nails.com/products/tropical-punch-party-sculpted-flora-series, friendlyName=Sculpted Flora: "Tropical Punch Party" – 3D Orange &amp; Blue Flowers with Leopard Print &amp; Shell Texture Nails</x:v>
      </x:c>
      <x:c r="D5581" s="18" t="str">
        <x:v>Size: XS / S / M / L</x:v>
      </x:c>
      <x:c r="E5581" s="25" t="str">
        <x:v>$3.99</x:v>
      </x:c>
      <x:c r="F5581" s="19" t="str">
        <x:v>5</x:v>
      </x:c>
    </x:row>
    <x:row r="5582" ht="93" customHeight="1">
      <x:c r="A5582" s="19" t="n">
        <x:v>5579</x:v>
      </x:c>
      <x:c r="B5582" s="22" t="e">
        <x:f>HYPERLINK("https://cdn.shopify.com/s/files/1/0918/6066/4603/files/O1CN01tY5Rzi1HlX2TYWIQz__2545140798-0-cib.jpg?v=1774361342","Open")</x:f>
        <x:v>HYPERLINK is not implemented. linkLocation=https://cdn.shopify.com/s/files/1/0918/6066/4603/files/O1CN01tY5Rzi1HlX2TYWIQz__2545140798-0-cib.jpg?v=1774361342, friendlyName=Open</x:v>
      </x:c>
      <x:c r="C5582" s="24" t="e">
        <x:f>HYPERLINK("https://365nails.com/products/365nails-hello-kitty-summer-beach-embossed-set-handmade-press-on-nails","365nails: ""hello kitty summer beach embossed set"" – Nail Art Stickers")</x:f>
        <x:v>HYPERLINK is not implemented. linkLocation=https://365nails.com/products/365nails-hello-kitty-summer-beach-embossed-set-handmade-press-on-nails, friendlyName=365nails: "hello kitty summer beach embossed set" – Nail Art Stickers</x:v>
      </x:c>
      <x:c r="D5582" s="18" t="str">
        <x:v>Specification type: Mn 010 / Mn 017</x:v>
      </x:c>
      <x:c r="E5582" s="25" t="str">
        <x:v>$1.09</x:v>
      </x:c>
      <x:c r="F5582" s="19" t="str">
        <x:v>5</x:v>
      </x:c>
    </x:row>
    <x:row r="5583" ht="93" customHeight="1">
      <x:c r="A5583" s="19" t="n">
        <x:v>5580</x:v>
      </x:c>
      <x:c r="B5583" s="22" t="e">
        <x:f>HYPERLINK("https://cdn.shopify.com/s/files/1/0918/6066/4603/files/7dcbaae9455f45e41397d715c8486fd5_7c44002c-830f-426a-aed2-c555534a4816.jpg?v=1764664691","Open")</x:f>
        <x:v>HYPERLINK is not implemented. linkLocation=https://cdn.shopify.com/s/files/1/0918/6066/4603/files/7dcbaae9455f45e41397d715c8486fd5_7c44002c-830f-426a-aed2-c555534a4816.jpg?v=1764664691, friendlyName=Open</x:v>
      </x:c>
      <x:c r="C5583" s="24" t="e">
        <x:f>HYPERLINK("https://365nails.com/products/bloody-rose-dragon-claw-stiletto-clear-jelly-with-red-ink-marble-metal-studs-365nails-premium-handmade-dragon-nail","Bloody Rose Dragon Claw Stiletto Clear Jelly with Red Ink Marble &amp; Metal Studs｜365Nails Premium Handmade Dragon Nail")</x:f>
        <x:v>HYPERLINK is not implemented. linkLocation=https://365nails.com/products/bloody-rose-dragon-claw-stiletto-clear-jelly-with-red-ink-marble-metal-studs-365nails-premium-handmade-dragon-nail, friendlyName=Bloody Rose Dragon Claw Stiletto Clear Jelly with Red Ink Marble &amp; Metal Studs｜365Nails Premium Handmade Dragon Nail</x:v>
      </x:c>
      <x:c r="D5583" s="18" t="str">
        <x:v>Size: XS / S / M / L; length: 40mm / 25mm</x:v>
      </x:c>
      <x:c r="E5583" s="25" t="str">
        <x:v>$9.99</x:v>
      </x:c>
      <x:c r="F5583" s="19" t="str">
        <x:v>1</x:v>
      </x:c>
    </x:row>
    <x:row r="5584" ht="93" customHeight="1">
      <x:c r="A5584" s="19" t="n">
        <x:v>5581</x:v>
      </x:c>
      <x:c r="B5584" s="22" t="e">
        <x:f>HYPERLINK("https://cdn.shopify.com/s/files/1/0918/6066/4603/files/O1CN01UseZu72NGI3NWcOyQ__4234819935-0-cib.jpg?v=1779436490","Open")</x:f>
        <x:v>HYPERLINK is not implemented. linkLocation=https://cdn.shopify.com/s/files/1/0918/6066/4603/files/O1CN01UseZu72NGI3NWcOyQ__4234819935-0-cib.jpg?v=1779436490, friendlyName=Open</x:v>
      </x:c>
      <x:c r="C5584" s="24" t="e">
        <x:f>HYPERLINK("https://365nails.com/products/365nails-soft-sky-blue-short-square-glossy-solid-press-on-nails","365nails: ""Soft Sky Blue Short Square"" – Glossy Solid Press-on Nails")</x:f>
        <x:v>HYPERLINK is not implemented. linkLocation=https://365nails.com/products/365nails-soft-sky-blue-short-square-glossy-solid-press-on-nails, friendlyName=365nails: "Soft Sky Blue Short Square" – Glossy Solid Press-on Nails</x:v>
      </x:c>
      <x:c r="D5584" s="18" t="str">
        <x:v>Color: Jp 4428</x:v>
      </x:c>
      <x:c r="E5584" s="25" t="str">
        <x:v>$1.13</x:v>
      </x:c>
      <x:c r="F5584" s="19" t="str">
        <x:v>1</x:v>
      </x:c>
    </x:row>
    <x:row r="5585" ht="93" customHeight="1">
      <x:c r="A5585" s="19" t="n">
        <x:v>5582</x:v>
      </x:c>
      <x:c r="B5585" s="22" t="e">
        <x:f>HYPERLINK("https://cdn.shopify.com/s/files/1/0918/6066/4603/files/O1CN01f5IO0a1HlX9L6inPM__2545140798-0-cib.jpg?v=1774363522","Open")</x:f>
        <x:v>HYPERLINK is not implemented. linkLocation=https://cdn.shopify.com/s/files/1/0918/6066/4603/files/O1CN01f5IO0a1HlX9L6inPM__2545140798-0-cib.jpg?v=1774363522, friendlyName=Open</x:v>
      </x:c>
      <x:c r="C5585" s="24" t="e">
        <x:f>HYPERLINK("https://365nails.com/products/365nails-frozen-elsa-anna-embossed-set-handmade-press-on-nails","365nails: ""Frozen Elsa &amp; Anna Embossed Set"" – Nail Art Stickers")</x:f>
        <x:v>HYPERLINK is not implemented. linkLocation=https://365nails.com/products/365nails-frozen-elsa-anna-embossed-set-handmade-press-on-nails, friendlyName=365nails: "Frozen Elsa &amp; Anna Embossed Set" – Nail Art Stickers</x:v>
      </x:c>
      <x:c r="D5585" s="18" t="str">
        <x:v>Specification type: Td028w-shell light</x:v>
      </x:c>
      <x:c r="E5585" s="25" t="str">
        <x:v>$1.30</x:v>
      </x:c>
      <x:c r="F5585" s="19" t="str">
        <x:v>5</x:v>
      </x:c>
    </x:row>
    <x:row r="5586" ht="93" customHeight="1">
      <x:c r="A5586" s="19" t="n">
        <x:v>5583</x:v>
      </x:c>
      <x:c r="B5586" s="22" t="e">
        <x:f>HYPERLINK("https://cdn.shopify.com/s/files/1/0918/6066/4603/files/O1CN01syetcC2NGI3Is0aQK__4234819935-0-cib.jpg?v=1779434811","Open")</x:f>
        <x:v>HYPERLINK is not implemented. linkLocation=https://cdn.shopify.com/s/files/1/0918/6066/4603/files/O1CN01syetcC2NGI3Is0aQK__4234819935-0-cib.jpg?v=1779434811, friendlyName=Open</x:v>
      </x:c>
      <x:c r="C5586" s="24" t="e">
        <x:f>HYPERLINK("https://365nails.com/products/365nails-beige-polka-dot-almond-classic-nude-press-on-nails","365nails: ""Beige Polka Dot Almond"" – Classic Nude Press-on Nails")</x:f>
        <x:v>HYPERLINK is not implemented. linkLocation=https://365nails.com/products/365nails-beige-polka-dot-almond-classic-nude-press-on-nails, friendlyName=365nails: "Beige Polka Dot Almond" – Classic Nude Press-on Nails</x:v>
      </x:c>
      <x:c r="D5586" s="18" t="str">
        <x:v>Color: Japan 4399</x:v>
      </x:c>
      <x:c r="E5586" s="25" t="str">
        <x:v>$0.80</x:v>
      </x:c>
      <x:c r="F5586" s="19" t="str">
        <x:v>1</x:v>
      </x:c>
    </x:row>
    <x:row r="5587" ht="93" customHeight="1">
      <x:c r="A5587" s="19" t="n">
        <x:v>5584</x:v>
      </x:c>
      <x:c r="B5587" s="22" t="e">
        <x:f>HYPERLINK("https://cdn.shopify.com/s/files/1/0918/6066/4603/files/9300f8e1634fa0bf49bba5a90cdc6a5a.jpg?v=1771473354","Open")</x:f>
        <x:v>HYPERLINK is not implemented. linkLocation=https://cdn.shopify.com/s/files/1/0918/6066/4603/files/9300f8e1634fa0bf49bba5a90cdc6a5a.jpg?v=1771473354, friendlyName=Open</x:v>
      </x:c>
      <x:c r="C5587" s="24" t="e">
        <x:f>HYPERLINK("https://365nails.com/products/tribal-jungle-safari-sculpted-flora-series","Sculpted Flora: ""Tribal Jungle Safari"" – 3D Flower &amp; Animal Print with Antique Gold Chrome Stiletto Nails")</x:f>
        <x:v>HYPERLINK is not implemented. linkLocation=https://365nails.com/products/tribal-jungle-safari-sculpted-flora-series, friendlyName=Sculpted Flora: "Tribal Jungle Safari" – 3D Flower &amp; Animal Print with Antique Gold Chrome Stiletto Nails</x:v>
      </x:c>
      <x:c r="D5587" s="18" t="str">
        <x:v>Size: XS / S / M / L</x:v>
      </x:c>
      <x:c r="E5587" s="25" t="str">
        <x:v>$3.99</x:v>
      </x:c>
      <x:c r="F5587" s="19" t="str">
        <x:v>5</x:v>
      </x:c>
    </x:row>
    <x:row r="5588" ht="93" customHeight="1">
      <x:c r="A5588" s="19" t="n">
        <x:v>5585</x:v>
      </x:c>
      <x:c r="B5588" s="22" t="e">
        <x:f>HYPERLINK("https://cdn.shopify.com/s/files/1/0918/6066/4603/files/O1CN016sqSt41HlX3oS0hEl__2545140798-0-cib.jpg?v=1776521692","Open")</x:f>
        <x:v>HYPERLINK is not implemented. linkLocation=https://cdn.shopify.com/s/files/1/0918/6066/4603/files/O1CN016sqSt41HlX3oS0hEl__2545140798-0-cib.jpg?v=1776521692, friendlyName=Open</x:v>
      </x:c>
      <x:c r="C5588" s="24" t="e">
        <x:f>HYPERLINK("https://365nails.com/products/365nails-cozy-winter-holiday-nail-art-stickers","365nails: ""Cozy Winter Holiday"" – nail art stickers")</x:f>
        <x:v>HYPERLINK is not implemented. linkLocation=https://365nails.com/products/365nails-cozy-winter-holiday-nail-art-stickers, friendlyName=365nails: "Cozy Winter Holiday" – nail art stickers</x:v>
      </x:c>
      <x:c r="D5588" s="18" t="str">
        <x:v>Specification type: To4493 / To4587</x:v>
      </x:c>
      <x:c r="E5588" s="25" t="str">
        <x:v>$1.09</x:v>
      </x:c>
      <x:c r="F5588" s="19" t="str">
        <x:v>5</x:v>
      </x:c>
    </x:row>
    <x:row r="5589" ht="93" customHeight="1">
      <x:c r="A5589" s="19" t="n">
        <x:v>5586</x:v>
      </x:c>
      <x:c r="B5589" s="22" t="e">
        <x:f>HYPERLINK("https://cdn.shopify.com/s/files/1/0918/6066/4603/files/O1CN01qw2cBS2NGI3NJeh6a__4234819935-0-cib.jpg?v=1779453460","Open")</x:f>
        <x:v>HYPERLINK is not implemented. linkLocation=https://cdn.shopify.com/s/files/1/0918/6066/4603/files/O1CN01qw2cBS2NGI3NJeh6a__4234819935-0-cib.jpg?v=1779453460, friendlyName=Open</x:v>
      </x:c>
      <x:c r="C5589" s="24" t="e">
        <x:f>HYPERLINK("https://365nails.com/products/365nails-ladybug-polka-dot-french-square-cute-press-on-nails","365nails: ""Ladybug Polka Dot French Square"" – Cute Press-on Nails")</x:f>
        <x:v>HYPERLINK is not implemented. linkLocation=https://365nails.com/products/365nails-ladybug-polka-dot-french-square-cute-press-on-nails, friendlyName=365nails: "Ladybug Polka Dot French Square" – Cute Press-on Nails</x:v>
      </x:c>
      <x:c r="D5589" s="18" t="str">
        <x:v>Color: Jp 4400</x:v>
      </x:c>
      <x:c r="E5589" s="25" t="str">
        <x:v>$0.73</x:v>
      </x:c>
      <x:c r="F5589" s="19" t="str">
        <x:v>1</x:v>
      </x:c>
    </x:row>
    <x:row r="5590" ht="93" customHeight="1">
      <x:c r="A5590" s="19" t="n">
        <x:v>5587</x:v>
      </x:c>
      <x:c r="B5590" s="22" t="e">
        <x:f>HYPERLINK("https://cdn.shopify.com/s/files/1/0918/6066/4603/files/O1CN01Efqwf82NGI3OIuXms__4234819935-0-cib.jpg?v=1779453632","Open")</x:f>
        <x:v>HYPERLINK is not implemented. linkLocation=https://cdn.shopify.com/s/files/1/0918/6066/4603/files/O1CN01Efqwf82NGI3OIuXms__4234819935-0-cib.jpg?v=1779453632, friendlyName=Open</x:v>
      </x:c>
      <x:c r="C5590" s="24" t="e">
        <x:f>HYPERLINK("https://365nails.com/products/365nails-white-polka-dot-almond-minimalist-press-on-nails","365nails: ""White Polka Dot Almond"" – Minimalist Press-on Nails")</x:f>
        <x:v>HYPERLINK is not implemented. linkLocation=https://365nails.com/products/365nails-white-polka-dot-almond-minimalist-press-on-nails, friendlyName=365nails: "White Polka Dot Almond" – Minimalist Press-on Nails</x:v>
      </x:c>
      <x:c r="D5590" s="18" t="str">
        <x:v>Color: Jp 4411</x:v>
      </x:c>
      <x:c r="E5590" s="25" t="str">
        <x:v>$1.13</x:v>
      </x:c>
      <x:c r="F5590" s="19" t="str">
        <x:v>1</x:v>
      </x:c>
    </x:row>
    <x:row r="5591" ht="93" customHeight="1">
      <x:c r="A5591" s="19" t="n">
        <x:v>5588</x:v>
      </x:c>
      <x:c r="B5591" s="22" t="e">
        <x:f>HYPERLINK("https://cdn.shopify.com/s/files/1/0918/6066/4603/files/O1CN01leYZEf1HlWq7nHiOd__2545140798-0-cib_695eea90-d33d-4f70-992e-8287b27e5a53.jpg?v=1774613052","Open")</x:f>
        <x:v>HYPERLINK is not implemented. linkLocation=https://cdn.shopify.com/s/files/1/0918/6066/4603/files/O1CN01leYZEf1HlWq7nHiOd__2545140798-0-cib_695eea90-d33d-4f70-992e-8287b27e5a53.jpg?v=1774613052, friendlyName=Open</x:v>
      </x:c>
      <x:c r="C5591" s="24" t="e">
        <x:f>HYPERLINK("https://365nails.com/products/365nails-kikis-delivery-service-anime-character-handmade-press-on-nails","365nails: ""Kiki's Delivery Service anime character"" – Nail Art Stickers")</x:f>
        <x:v>HYPERLINK is not implemented. linkLocation=https://365nails.com/products/365nails-kikis-delivery-service-anime-character-handmade-press-on-nails, friendlyName=365nails: "Kiki's Delivery Service anime character" – Nail Art Stickers</x:v>
      </x:c>
      <x:c r="D5591" s="18" t="str">
        <x:v>Specification type: To2236 / To2239</x:v>
      </x:c>
      <x:c r="E5591" s="25" t="str">
        <x:v>$1.23</x:v>
      </x:c>
      <x:c r="F5591" s="19" t="str">
        <x:v>5</x:v>
      </x:c>
    </x:row>
    <x:row r="5592" ht="93" customHeight="1">
      <x:c r="A5592" s="19" t="n">
        <x:v>5589</x:v>
      </x:c>
      <x:c r="B5592" s="22" t="e">
        <x:f>HYPERLINK("https://cdn.shopify.com/s/files/1/0918/6066/4603/files/140f5c7bf4140073e78609c6e4c61e86.jpg?v=1771391965","Open")</x:f>
        <x:v>HYPERLINK is not implemented. linkLocation=https://cdn.shopify.com/s/files/1/0918/6066/4603/files/140f5c7bf4140073e78609c6e4c61e86.jpg?v=1771391965, friendlyName=Open</x:v>
      </x:c>
      <x:c r="C5592" s="24" t="e">
        <x:f>HYPERLINK("https://365nails.com/products/frozen-stigmata-femme-fatale-collection","Femme Fatale: ""Frozen Stigmata"" – Icy Blue Cat Eye with Silver Cross Charm, Black Smudge &amp; Crimson Thorn Art Long Stiletto Nails")</x:f>
        <x:v>HYPERLINK is not implemented. linkLocation=https://365nails.com/products/frozen-stigmata-femme-fatale-collection, friendlyName=Femme Fatale: "Frozen Stigmata" – Icy Blue Cat Eye with Silver Cross Charm, Black Smudge &amp; Crimson Thorn Art Long Stiletto Nails</x:v>
      </x:c>
      <x:c r="D5592" s="18" t="str">
        <x:v>Size: XS / S / M / L</x:v>
      </x:c>
      <x:c r="E5592" s="25" t="str">
        <x:v>$3.99</x:v>
      </x:c>
      <x:c r="F5592" s="19" t="str">
        <x:v>5</x:v>
      </x:c>
    </x:row>
    <x:row r="5593" ht="93" customHeight="1">
      <x:c r="A5593" s="19" t="n">
        <x:v>5590</x:v>
      </x:c>
      <x:c r="B5593" s="22" t="e">
        <x:f>HYPERLINK("https://cdn.shopify.com/s/files/1/0918/6066/4603/files/O1CN01Ug8edC1HlX1N4MNgB__2545140798-0-cib.jpg?v=1776511051","Open")</x:f>
        <x:v>HYPERLINK is not implemented. linkLocation=https://cdn.shopify.com/s/files/1/0918/6066/4603/files/O1CN01Ug8edC1HlX1N4MNgB__2545140798-0-cib.jpg?v=1776511051, friendlyName=Open</x:v>
      </x:c>
      <x:c r="C5593" s="24" t="e">
        <x:f>HYPERLINK("https://365nails.com/products/365nails-pastel-five-petal-flower-nail-art-stickers","365nails: ""Pastel Five-Petal Flower"" – nail art stickers")</x:f>
        <x:v>HYPERLINK is not implemented. linkLocation=https://365nails.com/products/365nails-pastel-five-petal-flower-nail-art-stickers, friendlyName=365nails: "Pastel Five-Petal Flower" – nail art stickers</x:v>
      </x:c>
      <x:c r="D5593" s="18" t="str">
        <x:v>Specification type: Ta 345 / Ta 348</x:v>
      </x:c>
      <x:c r="E5593" s="25" t="str">
        <x:v>$1.09</x:v>
      </x:c>
      <x:c r="F5593" s="19" t="str">
        <x:v>5</x:v>
      </x:c>
    </x:row>
    <x:row r="5594" ht="93" customHeight="1">
      <x:c r="A5594" s="19" t="n">
        <x:v>5591</x:v>
      </x:c>
      <x:c r="B5594" s="22" t="e">
        <x:f>HYPERLINK("https://cdn.shopify.com/s/files/1/0918/6066/4603/files/575e1e76362aa3b17dc40c4584df37f1.jpg?v=1773476857","Open")</x:f>
        <x:v>HYPERLINK is not implemented. linkLocation=https://cdn.shopify.com/s/files/1/0918/6066/4603/files/575e1e76362aa3b17dc40c4584df37f1.jpg?v=1773476857, friendlyName=Open</x:v>
      </x:c>
      <x:c r="C5594" s="24" t="e">
        <x:f>HYPERLINK("https://365nails.com/products/frangipani-fresh-collection-tropical-frangipani-3d-embossed-nail-sticker","Frangipani Fresh Collection: ""Tropical Frangipani"" – 3D Embossed Nail Sticker")</x:f>
        <x:v>HYPERLINK is not implemented. linkLocation=https://365nails.com/products/frangipani-fresh-collection-tropical-frangipani-3d-embossed-nail-sticker, friendlyName=Frangipani Fresh Collection: "Tropical Frangipani" – 3D Embossed Nail Sticker</x:v>
      </x:c>
      <x:c r="D5594" s="18" t="str">
        <x:v>Specification type: To5173-relief / To5174-relief</x:v>
      </x:c>
      <x:c r="E5594" s="25" t="str">
        <x:v>$1.23</x:v>
      </x:c>
      <x:c r="F5594" s="19" t="str">
        <x:v>5</x:v>
      </x:c>
    </x:row>
    <x:row r="5595" ht="93" customHeight="1">
      <x:c r="A5595" s="19" t="n">
        <x:v>5592</x:v>
      </x:c>
      <x:c r="B5595" s="22" t="e">
        <x:f>HYPERLINK("https://cdn.shopify.com/s/files/1/0918/6066/4603/files/O1CN01QthRaW2NGI3KEGC8y__4234819935-0-cib.jpg?v=1779454363","Open")</x:f>
        <x:v>HYPERLINK is not implemented. linkLocation=https://cdn.shopify.com/s/files/1/0918/6066/4603/files/O1CN01QthRaW2NGI3KEGC8y__4234819935-0-cib.jpg?v=1779454363, friendlyName=Open</x:v>
      </x:c>
      <x:c r="C5595" s="24" t="e">
        <x:f>HYPERLINK("https://365nails.com/products/365nails-french-with-white-flower-oval-elegant-press-on-nails","365nails: ""French with White Flower Oval"" – Elegant Press-on Nails")</x:f>
        <x:v>HYPERLINK is not implemented. linkLocation=https://365nails.com/products/365nails-french-with-white-flower-oval-elegant-press-on-nails, friendlyName=365nails: "French with White Flower Oval" – Elegant Press-on Nails</x:v>
      </x:c>
      <x:c r="D5595" s="18" t="str">
        <x:v>Color: Jp 4416</x:v>
      </x:c>
      <x:c r="E5595" s="25" t="str">
        <x:v>$1.76</x:v>
      </x:c>
      <x:c r="F5595" s="19" t="str">
        <x:v>1</x:v>
      </x:c>
    </x:row>
    <x:row r="5596" ht="93" customHeight="1">
      <x:c r="A5596" s="19" t="n">
        <x:v>5593</x:v>
      </x:c>
      <x:c r="B5596" s="22" t="e">
        <x:f>HYPERLINK("https://cdn.shopify.com/s/files/1/0918/6066/4603/files/O1CN01tw3eW71HlX24maXoS__2545140798-0-cib.jpg?v=1776512021","Open")</x:f>
        <x:v>HYPERLINK is not implemented. linkLocation=https://cdn.shopify.com/s/files/1/0918/6066/4603/files/O1CN01tw3eW71HlX24maXoS__2545140798-0-cib.jpg?v=1776512021, friendlyName=Open</x:v>
      </x:c>
      <x:c r="C5596" s="24" t="e">
        <x:f>HYPERLINK("https://365nails.com/products/365nails-rainbow-mini-doodle-nail-art-stickers","365nails: ""Rainbow &amp; Mini Doodle"" – nail art stickers")</x:f>
        <x:v>HYPERLINK is not implemented. linkLocation=https://365nails.com/products/365nails-rainbow-mini-doodle-nail-art-stickers, friendlyName=365nails: "Rainbow &amp; Mini Doodle" – nail art stickers</x:v>
      </x:c>
      <x:c r="D5596" s="18" t="str">
        <x:v>Specification type: To3986 / To3992 / To4219</x:v>
      </x:c>
      <x:c r="E5596" s="25" t="str">
        <x:v>$1.09</x:v>
      </x:c>
      <x:c r="F5596" s="19" t="str">
        <x:v>5</x:v>
      </x:c>
    </x:row>
    <x:row r="5597" ht="93" customHeight="1">
      <x:c r="A5597" s="19" t="n">
        <x:v>5594</x:v>
      </x:c>
      <x:c r="B5597" s="22" t="e">
        <x:f>HYPERLINK("https://cdn.shopify.com/s/files/1/0918/6066/4603/files/O1CN01d3jLkg1HlX1KDtXbV__2545140798-0-cib.jpg?v=1776506253","Open")</x:f>
        <x:v>HYPERLINK is not implemented. linkLocation=https://cdn.shopify.com/s/files/1/0918/6066/4603/files/O1CN01d3jLkg1HlX1KDtXbV__2545140798-0-cib.jpg?v=1776506253, friendlyName=Open</x:v>
      </x:c>
      <x:c r="C5597" s="24" t="e">
        <x:f>HYPERLINK("https://365nails.com/products/365nails-color-center-mini-flower-nail-art-stickers","365nails: ""Color Center Mini Flower"" – nail art stickers")</x:f>
        <x:v>HYPERLINK is not implemented. linkLocation=https://365nails.com/products/365nails-color-center-mini-flower-nail-art-stickers, friendlyName=365nails: "Color Center Mini Flower" – nail art stickers</x:v>
      </x:c>
      <x:c r="D5597" s="18" t="str">
        <x:v>Specification type: To4102-crystal diamond</x:v>
      </x:c>
      <x:c r="E5597" s="25" t="str">
        <x:v>$1.30</x:v>
      </x:c>
      <x:c r="F5597" s="19" t="str">
        <x:v>5</x:v>
      </x:c>
    </x:row>
    <x:row r="5598" ht="93" customHeight="1">
      <x:c r="A5598" s="19" t="n">
        <x:v>5595</x:v>
      </x:c>
      <x:c r="B5598" s="22" t="e">
        <x:f>HYPERLINK("https://cdn.shopify.com/s/files/1/0918/6066/4603/files/d9dd152ce5d05eb6a84075cc11f348be.jpg?v=1771473569","Open")</x:f>
        <x:v>HYPERLINK is not implemented. linkLocation=https://cdn.shopify.com/s/files/1/0918/6066/4603/files/d9dd152ce5d05eb6a84075cc11f348be.jpg?v=1771473569, friendlyName=Open</x:v>
      </x:c>
      <x:c r="C5598" s="24" t="e">
        <x:f>HYPERLINK("https://365nails.com/products/caramel-leopard-noir-sculpted-flora-series","Sculpted Flora: ""Caramel Leopard Noir"" – 3D Caramel Flowers, Pink Leopard Print &amp; Dewdrops on Black Stiletto Nails")</x:f>
        <x:v>HYPERLINK is not implemented. linkLocation=https://365nails.com/products/caramel-leopard-noir-sculpted-flora-series, friendlyName=Sculpted Flora: "Caramel Leopard Noir" – 3D Caramel Flowers, Pink Leopard Print &amp; Dewdrops on Black Stiletto Nails</x:v>
      </x:c>
      <x:c r="D5598" s="18" t="str">
        <x:v>Size: XS / S / M / L</x:v>
      </x:c>
      <x:c r="E5598" s="25" t="str">
        <x:v>$3.99</x:v>
      </x:c>
      <x:c r="F5598" s="19" t="str">
        <x:v>5</x:v>
      </x:c>
    </x:row>
    <x:row r="5599" ht="93" customHeight="1">
      <x:c r="A5599" s="19" t="n">
        <x:v>5596</x:v>
      </x:c>
      <x:c r="B5599" s="22" t="e">
        <x:f>HYPERLINK("https://cdn.shopify.com/s/files/1/0918/6066/4603/files/O1CN01uWPB9S1HlX1e6FZoq__2545140798-0-cib.jpg?v=1776511476","Open")</x:f>
        <x:v>HYPERLINK is not implemented. linkLocation=https://cdn.shopify.com/s/files/1/0918/6066/4603/files/O1CN01uWPB9S1HlX1e6FZoq__2545140798-0-cib.jpg?v=1776511476, friendlyName=Open</x:v>
      </x:c>
      <x:c r="C5599" s="24" t="e">
        <x:f>HYPERLINK("https://365nails.com/products/365nails-iridescent-lily-star-nail-art-stickers","365nails: ""Iridescent Lily Star"" – nail art stickers")</x:f>
        <x:v>HYPERLINK is not implemented. linkLocation=https://365nails.com/products/365nails-iridescent-lily-star-nail-art-stickers, friendlyName=365nails: "Iridescent Lily Star" – nail art stickers</x:v>
      </x:c>
      <x:c r="D5599" s="18" t="str">
        <x:v>Specification type: Ta360-jelly / Ta361-relief / Ta362-relief</x:v>
      </x:c>
      <x:c r="E5599" s="25" t="str">
        <x:v>$1.23</x:v>
      </x:c>
      <x:c r="F5599" s="19" t="str">
        <x:v>5</x:v>
      </x:c>
    </x:row>
    <x:row r="5600" ht="93" customHeight="1">
      <x:c r="A5600" s="19" t="n">
        <x:v>5597</x:v>
      </x:c>
      <x:c r="B5600" s="22" t="e">
        <x:f>HYPERLINK("https://cdn.shopify.com/s/files/1/0918/6066/4603/files/O1CN01vivFRb1HlX2njjdG5__2545140798-0-cib.jpg?v=1776513067","Open")</x:f>
        <x:v>HYPERLINK is not implemented. linkLocation=https://cdn.shopify.com/s/files/1/0918/6066/4603/files/O1CN01vivFRb1HlX2njjdG5__2545140798-0-cib.jpg?v=1776513067, friendlyName=Open</x:v>
      </x:c>
      <x:c r="C5600" s="24" t="e">
        <x:f>HYPERLINK("https://365nails.com/products/365nails-watercolor-ink-butterfly-nail-art-stickers","365nails: ""Watercolor Ink Butterfly"" – nail art stickers")</x:f>
        <x:v>HYPERLINK is not implemented. linkLocation=https://365nails.com/products/365nails-watercolor-ink-butterfly-nail-art-stickers, friendlyName=365nails: "Watercolor Ink Butterfly" – nail art stickers</x:v>
      </x:c>
      <x:c r="D5600" s="18" t="str">
        <x:v>Specification type: Wy-36 / Wy-37 / Wy–39</x:v>
      </x:c>
      <x:c r="E5600" s="25" t="str">
        <x:v>$1.09</x:v>
      </x:c>
      <x:c r="F5600" s="19" t="str">
        <x:v>5</x:v>
      </x:c>
    </x:row>
    <x:row r="5601" ht="93" customHeight="1">
      <x:c r="A5601" s="19" t="n">
        <x:v>5598</x:v>
      </x:c>
      <x:c r="B5601" s="22" t="e">
        <x:f>HYPERLINK("https://cdn.shopify.com/s/files/1/0918/6066/4603/files/O1CN01lOx7uh1HlX1PyAL5T__2545140798-0-cib.jpg?v=1776511320","Open")</x:f>
        <x:v>HYPERLINK is not implemented. linkLocation=https://cdn.shopify.com/s/files/1/0918/6066/4603/files/O1CN01lOx7uh1HlX1PyAL5T__2545140798-0-cib.jpg?v=1776511320, friendlyName=Open</x:v>
      </x:c>
      <x:c r="C5601" s="24" t="e">
        <x:f>HYPERLINK("https://365nails.com/products/365nails-silver-abstract-line-art-nail-art-stickers","365nails: ""Silver Abstract Line Art"" – nail art stickers")</x:f>
        <x:v>HYPERLINK is not implemented. linkLocation=https://365nails.com/products/365nails-silver-abstract-line-art-nail-art-stickers, friendlyName=365nails: "Silver Abstract Line Art" – nail art stickers</x:v>
      </x:c>
      <x:c r="D5601" s="18" t="str">
        <x:v>Specification type: San066</x:v>
      </x:c>
      <x:c r="E5601" s="25" t="str">
        <x:v>$1.16</x:v>
      </x:c>
      <x:c r="F5601" s="19" t="str">
        <x:v>5</x:v>
      </x:c>
    </x:row>
    <x:row r="5602" ht="93" customHeight="1">
      <x:c r="A5602" s="19" t="n">
        <x:v>5599</x:v>
      </x:c>
      <x:c r="B5602" s="22" t="e">
        <x:f>HYPERLINK("https://cdn.shopify.com/s/files/1/0918/6066/4603/files/O1CN01RmcP1q1HlX1Q7wETC__2545140798-0-cib.jpg?v=1776506003","Open")</x:f>
        <x:v>HYPERLINK is not implemented. linkLocation=https://cdn.shopify.com/s/files/1/0918/6066/4603/files/O1CN01RmcP1q1HlX1Q7wETC__2545140798-0-cib.jpg?v=1776506003, friendlyName=Open</x:v>
      </x:c>
      <x:c r="C5602" s="24" t="e">
        <x:f>HYPERLINK("https://365nails.com/products/tomoni%E8%96%84%E9%9F%A7%E7%BE%8E%E7%94%B2%E8%B4%B4%E7%BA%B8%E7%88%86%E6%AC%BE%E5%8F%AF%E7%88%B1%E6%8C%87%E7%94%B2%E8%B4%B4%E5%B7%A5%E5%8E%82%E6%89%B9%E5%8F%91%E6%97%A5%E7%B3%BB%E7%8C%AB%E5%92%AA%E6%B4%BE%E5%AF%B9%E8%B4%B4%E7%BA%B84023","365nails: ""Playful Cat Party"" – nail art stickers")</x:f>
        <x:v>HYPERLINK is not implemented. linkLocation=https://365nails.com/products/tomoni%E8%96%84%E9%9F%A7%E7%BE%8E%E7%94%B2%E8%B4%B4%E7%BA%B8%E7%88%86%E6%AC%BE%E5%8F%AF%E7%88%B1%E6%8C%87%E7%94%B2%E8%B4%B4%E5%B7%A5%E5%8E%82%E6%89%B9%E5%8F%91%E6%97%A5%E7%B3%BB%E7%8C%AB%E5%92%AA%E6%B4%BE%E5%AF%B9%E8%B4%B4%E7%BA%B84023, friendlyName=365nails: "Playful Cat Party" – nail art stickers</x:v>
      </x:c>
      <x:c r="D5602" s="18" t="str">
        <x:v>Specification type: To4023 / To4077</x:v>
      </x:c>
      <x:c r="E5602" s="25" t="str">
        <x:v>$1.09</x:v>
      </x:c>
      <x:c r="F5602" s="19" t="str">
        <x:v>5</x:v>
      </x:c>
    </x:row>
    <x:row r="5603" ht="93" customHeight="1">
      <x:c r="A5603" s="19" t="n">
        <x:v>5600</x:v>
      </x:c>
      <x:c r="B5603" s="22" t="e">
        <x:f>HYPERLINK("https://cdn.shopify.com/s/files/1/0918/6066/4603/files/O1CN01fjrAoi1HlX17bYpaR__2545140798-0-cib.jpg?v=1776505391","Open")</x:f>
        <x:v>HYPERLINK is not implemented. linkLocation=https://cdn.shopify.com/s/files/1/0918/6066/4603/files/O1CN01fjrAoi1HlX17bYpaR__2545140798-0-cib.jpg?v=1776505391, friendlyName=Open</x:v>
      </x:c>
      <x:c r="C5603" s="24" t="e">
        <x:f>HYPERLINK("https://365nails.com/products/365nails-bamboo-and-calligraphy-nail-art-stickers","365nails: ""Bamboo and Calligraphy"" – nail art stickers")</x:f>
        <x:v>HYPERLINK is not implemented. linkLocation=https://365nails.com/products/365nails-bamboo-and-calligraphy-nail-art-stickers, friendlyName=365nails: "Bamboo and Calligraphy" – nail art stickers</x:v>
      </x:c>
      <x:c r="D5603" s="18" t="str">
        <x:v>Specification type: To4002 / To4009</x:v>
      </x:c>
      <x:c r="E5603" s="25" t="str">
        <x:v>$1.09</x:v>
      </x:c>
      <x:c r="F5603" s="19" t="str">
        <x:v>5</x:v>
      </x:c>
    </x:row>
    <x:row r="5604" ht="93" customHeight="1">
      <x:c r="A5604" s="19" t="n">
        <x:v>5601</x:v>
      </x:c>
      <x:c r="B5604" s="22" t="e">
        <x:f>HYPERLINK("https://cdn.shopify.com/s/files/1/0918/6066/4603/files/7a9853af9ec87ae65a19a96430619b54.jpg?v=1771473868","Open")</x:f>
        <x:v>HYPERLINK is not implemented. linkLocation=https://cdn.shopify.com/s/files/1/0918/6066/4603/files/7a9853af9ec87ae65a19a96430619b54.jpg?v=1771473868, friendlyName=Open</x:v>
      </x:c>
      <x:c r="C5604" s="24" t="e">
        <x:f>HYPERLINK("https://365nails.com/products/primary-bloom-pop-sculpted-flora-series","Sculpted Flora: ""Primary Bloom Pop"" – 3D Blue &amp; Yellow Flowers on Bold Red French Square Nails")</x:f>
        <x:v>HYPERLINK is not implemented. linkLocation=https://365nails.com/products/primary-bloom-pop-sculpted-flora-series, friendlyName=Sculpted Flora: "Primary Bloom Pop" – 3D Blue &amp; Yellow Flowers on Bold Red French Square Nails</x:v>
      </x:c>
      <x:c r="D5604" s="18" t="str">
        <x:v>Size: XS / S / M / L</x:v>
      </x:c>
      <x:c r="E5604" s="25" t="str">
        <x:v>$3.99</x:v>
      </x:c>
      <x:c r="F5604" s="19" t="str">
        <x:v>5</x:v>
      </x:c>
    </x:row>
    <x:row r="5605" ht="93" customHeight="1">
      <x:c r="A5605" s="19" t="n">
        <x:v>5602</x:v>
      </x:c>
      <x:c r="B5605" s="22" t="e">
        <x:f>HYPERLINK("https://cdn.shopify.com/s/files/1/0918/6066/4603/files/9f8e93fd7cfecea76341a9f437b6f3de.jpg?v=1771473757","Open")</x:f>
        <x:v>HYPERLINK is not implemented. linkLocation=https://cdn.shopify.com/s/files/1/0918/6066/4603/files/9f8e93fd7cfecea76341a9f437b6f3de.jpg?v=1771473757, friendlyName=Open</x:v>
      </x:c>
      <x:c r="C5605" s="24" t="e">
        <x:f>HYPERLINK("https://365nails.com/products/velvet-autumn-bloom-sculpted-flora-series","Sculpted Flora: ""Velvet Autumn Bloom"" – 3D Translucent Mauve Flowers &amp; Flocked Velvet Vines on Gradient Square Nails")</x:f>
        <x:v>HYPERLINK is not implemented. linkLocation=https://365nails.com/products/velvet-autumn-bloom-sculpted-flora-series, friendlyName=Sculpted Flora: "Velvet Autumn Bloom" – 3D Translucent Mauve Flowers &amp; Flocked Velvet Vines on Gradient Square Nails</x:v>
      </x:c>
      <x:c r="D5605" s="18" t="str">
        <x:v>Size: XS / S / M / L</x:v>
      </x:c>
      <x:c r="E5605" s="25" t="str">
        <x:v>$3.99</x:v>
      </x:c>
      <x:c r="F5605" s="19" t="str">
        <x:v>5</x:v>
      </x:c>
    </x:row>
    <x:row r="5606" ht="93" customHeight="1">
      <x:c r="A5606" s="19" t="n">
        <x:v>5603</x:v>
      </x:c>
      <x:c r="B5606" s="22" t="e">
        <x:f>HYPERLINK("https://cdn.shopify.com/s/files/1/0918/6066/4603/files/O1CN01s2qBdY1HlWzMS3woN__2545140798-0-cib.jpg?v=1776512583","Open")</x:f>
        <x:v>HYPERLINK is not implemented. linkLocation=https://cdn.shopify.com/s/files/1/0918/6066/4603/files/O1CN01s2qBdY1HlWzMS3woN__2545140798-0-cib.jpg?v=1776512583, friendlyName=Open</x:v>
      </x:c>
      <x:c r="C5606" s="24" t="e">
        <x:f>HYPERLINK("https://365nails.com/products/365nails-greenery-white-dove-nail-art-stickers","365nails: ""Greenery &amp; White Dove"" – nail art stickers")</x:f>
        <x:v>HYPERLINK is not implemented. linkLocation=https://365nails.com/products/365nails-greenery-white-dove-nail-art-stickers, friendlyName=365nails: "Greenery &amp; White Dove" – nail art stickers</x:v>
      </x:c>
      <x:c r="D5606" s="18" t="str">
        <x:v>Specification type: To3760-relief / To3780-relief</x:v>
      </x:c>
      <x:c r="E5606" s="25" t="str">
        <x:v>$1.99</x:v>
      </x:c>
      <x:c r="F5606" s="19" t="str">
        <x:v>5</x:v>
      </x:c>
    </x:row>
    <x:row r="5607" ht="93" customHeight="1">
      <x:c r="A5607" s="19" t="n">
        <x:v>5604</x:v>
      </x:c>
      <x:c r="B5607" s="22" t="e">
        <x:f>HYPERLINK("https://cdn.shopify.com/s/files/1/0918/6066/4603/files/O1CN01EUn1HA1HlX26Va8xl__2545140798-0-cib.jpg?v=1776511653","Open")</x:f>
        <x:v>HYPERLINK is not implemented. linkLocation=https://cdn.shopify.com/s/files/1/0918/6066/4603/files/O1CN01EUn1HA1HlX26Va8xl__2545140798-0-cib.jpg?v=1776511653, friendlyName=Open</x:v>
      </x:c>
      <x:c r="C5607" s="24" t="e">
        <x:f>HYPERLINK("https://365nails.com/products/365nails-iridescent-white-butterfly-nail-art-stickers","365nails: ""Iridescent White Butterfly"" – nail art stickers")</x:f>
        <x:v>HYPERLINK is not implemented. linkLocation=https://365nails.com/products/365nails-iridescent-white-butterfly-nail-art-stickers, friendlyName=365nails: "Iridescent White Butterfly" – nail art stickers</x:v>
      </x:c>
      <x:c r="D5607" s="18" t="str">
        <x:v>Specification type: To4251-jelly</x:v>
      </x:c>
      <x:c r="E5607" s="25" t="str">
        <x:v>$1.23</x:v>
      </x:c>
      <x:c r="F5607" s="19" t="str">
        <x:v>5</x:v>
      </x:c>
    </x:row>
    <x:row r="5608" ht="93" customHeight="1">
      <x:c r="A5608" s="19" t="n">
        <x:v>5605</x:v>
      </x:c>
      <x:c r="B5608" s="22" t="e">
        <x:f>HYPERLINK("https://cdn.shopify.com/s/files/1/0918/6066/4603/files/f5e646695ac90067d035c0034cfd15e0.jpg?v=1771473948","Open")</x:f>
        <x:v>HYPERLINK is not implemented. linkLocation=https://cdn.shopify.com/s/files/1/0918/6066/4603/files/f5e646695ac90067d035c0034cfd15e0.jpg?v=1771473948, friendlyName=Open</x:v>
      </x:c>
      <x:c r="C5608" s="24" t="e">
        <x:f>HYPERLINK("https://365nails.com/products/aurora-peach-blossom-sculpted-flora-series","Sculpted Flora: ""Aurora Peach Blossom"" – 3D Translucent Pink Flowers on Pearlescent White Stiletto Nails")</x:f>
        <x:v>HYPERLINK is not implemented. linkLocation=https://365nails.com/products/aurora-peach-blossom-sculpted-flora-series, friendlyName=Sculpted Flora: "Aurora Peach Blossom" – 3D Translucent Pink Flowers on Pearlescent White Stiletto Nails</x:v>
      </x:c>
      <x:c r="D5608" s="18" t="str">
        <x:v>Size: XS / S / M / L</x:v>
      </x:c>
      <x:c r="E5608" s="25" t="str">
        <x:v>$3.99</x:v>
      </x:c>
      <x:c r="F5608" s="19" t="str">
        <x:v>5</x:v>
      </x:c>
    </x:row>
    <x:row r="5609" ht="93" customHeight="1">
      <x:c r="A5609" s="19" t="n">
        <x:v>5606</x:v>
      </x:c>
      <x:c r="B5609" s="22" t="e">
        <x:f>HYPERLINK("https://cdn.shopify.com/s/files/1/0918/6066/4603/files/O1CN01tnj3lC1HlX6xT3QgY__2545140798-0-cib.jpg?v=1776694119","Open")</x:f>
        <x:v>HYPERLINK is not implemented. linkLocation=https://cdn.shopify.com/s/files/1/0918/6066/4603/files/O1CN01tnj3lC1HlX6xT3QgY__2545140798-0-cib.jpg?v=1776694119, friendlyName=Open</x:v>
      </x:c>
      <x:c r="C5609" s="24" t="e">
        <x:f>HYPERLINK("https://365nails.com/products/365nails-natural-vintage-nail-display-board-kit-nail-art-photography-props","365nails: ""Natural Vintage Nail Display Board Kit"" – nail art photography props")</x:f>
        <x:v>HYPERLINK is not implemented. linkLocation=https://365nails.com/products/365nails-natural-vintage-nail-display-board-kit-nail-art-photography-props, friendlyName=365nails: "Natural Vintage Nail Display Board Kit" – nail art photography props</x:v>
      </x:c>
      <x:c r="D5609" s="18" t="str">
        <x:v>Specification type: W41_moon shadow yarn / W42_coffee dye / W43_emotional value</x:v>
      </x:c>
      <x:c r="E5609" s="25" t="str">
        <x:v>$2.87</x:v>
      </x:c>
      <x:c r="F5609" s="19" t="str">
        <x:v>1</x:v>
      </x:c>
    </x:row>
    <x:row r="5610" ht="93" customHeight="1">
      <x:c r="A5610" s="19" t="n">
        <x:v>5607</x:v>
      </x:c>
      <x:c r="B5610" s="22" t="e">
        <x:f>HYPERLINK("https://cdn.shopify.com/s/files/1/0918/6066/4603/files/O1CN01A1giA82NGI073p7WI__4234819935-0-cib_82d1417f-0cd4-4b43-abd5-b67702471bf5.jpg?v=1776691844","Open")</x:f>
        <x:v>HYPERLINK is not implemented. linkLocation=https://cdn.shopify.com/s/files/1/0918/6066/4603/files/O1CN01A1giA82NGI073p7WI__4234819935-0-cib_82d1417f-0cd4-4b43-abd5-b67702471bf5.jpg?v=1776691844, friendlyName=Open</x:v>
      </x:c>
      <x:c r="C5610" s="24" t="e">
        <x:f>HYPERLINK("https://365nails.com/products/365nails-blush-petal-almond-floral-hand-painted-almond-nails","365nails: ""Blush Petal Almond"" – Floral Hand-painted Almond Nails")</x:f>
        <x:v>HYPERLINK is not implemented. linkLocation=https://365nails.com/products/365nails-blush-petal-almond-floral-hand-painted-almond-nails, friendlyName=365nails: "Blush Petal Almond" – Floral Hand-painted Almond Nails</x:v>
      </x:c>
      <x:c r="D5610" s="18" t="str">
        <x:v>Color: Jp 4048</x:v>
      </x:c>
      <x:c r="E5610" s="25" t="str">
        <x:v>$1.99</x:v>
      </x:c>
      <x:c r="F5610" s="19" t="str">
        <x:v>1</x:v>
      </x:c>
    </x:row>
    <x:row r="5611" ht="93" customHeight="1">
      <x:c r="A5611" s="19" t="n">
        <x:v>5608</x:v>
      </x:c>
      <x:c r="B5611" s="22" t="e">
        <x:f>HYPERLINK("https://cdn.shopify.com/s/files/1/0918/6066/4603/files/O1CN01A1giA82NGI073p7WI__4234819935-0-cib_9afebfa7-a37f-4600-b4dc-a636a2d96a35.jpg?v=1776673788","Open")</x:f>
        <x:v>HYPERLINK is not implemented. linkLocation=https://cdn.shopify.com/s/files/1/0918/6066/4603/files/O1CN01A1giA82NGI073p7WI__4234819935-0-cib_9afebfa7-a37f-4600-b4dc-a636a2d96a35.jpg?v=1776673788, friendlyName=Open</x:v>
      </x:c>
      <x:c r="C5611" s="24" t="e">
        <x:f>HYPERLINK("https://365nails.com/products/365nails-blush-petal-almond-3d-floral-hand-painted-almond-nails","365nails: ""Blush Petal Almond"" – 3D Floral Hand-painted Almond Nails")</x:f>
        <x:v>HYPERLINK is not implemented. linkLocation=https://365nails.com/products/365nails-blush-petal-almond-3d-floral-hand-painted-almond-nails, friendlyName=365nails: "Blush Petal Almond" – 3D Floral Hand-painted Almond Nails</x:v>
      </x:c>
      <x:c r="D5611" s="18" t="str">
        <x:v>Color: Jp 4048</x:v>
      </x:c>
      <x:c r="E5611" s="25" t="str">
        <x:v>$1.99</x:v>
      </x:c>
      <x:c r="F5611" s="19" t="str">
        <x:v>1</x:v>
      </x:c>
    </x:row>
    <x:row r="5612" ht="93" customHeight="1">
      <x:c r="A5612" s="19" t="n">
        <x:v>5609</x:v>
      </x:c>
      <x:c r="B5612" s="22" t="e">
        <x:f>HYPERLINK("https://cdn.shopify.com/s/files/1/0918/6066/4603/files/073e7bff90dd8cdbdc64bfe6df52cc60.jpg?v=1771413430","Open")</x:f>
        <x:v>HYPERLINK is not implemented. linkLocation=https://cdn.shopify.com/s/files/1/0918/6066/4603/files/073e7bff90dd8cdbdc64bfe6df52cc60.jpg?v=1771413430, friendlyName=Open</x:v>
      </x:c>
      <x:c r="C5612" s="24" t="e">
        <x:f>HYPERLINK("https://365nails.com/products/taro-rose-mist-ethereal-ink-series","Ethereal Ink: ""Taro Rose Mist"" – Dusty Mauve Cat Eye &amp; Milky Purple Marble with Gold Shimmer Oval Nails")</x:f>
        <x:v>HYPERLINK is not implemented. linkLocation=https://365nails.com/products/taro-rose-mist-ethereal-ink-series, friendlyName=Ethereal Ink: "Taro Rose Mist" – Dusty Mauve Cat Eye &amp; Milky Purple Marble with Gold Shimmer Oval Nails</x:v>
      </x:c>
      <x:c r="D5612" s="18" t="str">
        <x:v>Size: XS / S / M / L</x:v>
      </x:c>
      <x:c r="E5612" s="25" t="str">
        <x:v>$3.99</x:v>
      </x:c>
      <x:c r="F5612" s="19" t="str">
        <x:v>30</x:v>
      </x:c>
    </x:row>
    <x:row r="5613" ht="93" customHeight="1">
      <x:c r="A5613" s="19" t="n">
        <x:v>5610</x:v>
      </x:c>
      <x:c r="B5613" s="22" t="e">
        <x:f>HYPERLINK("https://cdn.shopify.com/s/files/1/0918/6066/4603/files/fc48f8642b01f75aa50e2f6ff8b6e972.jpg?v=1771412982","Open")</x:f>
        <x:v>HYPERLINK is not implemented. linkLocation=https://cdn.shopify.com/s/files/1/0918/6066/4603/files/fc48f8642b01f75aa50e2f6ff8b6e972.jpg?v=1771412982, friendlyName=Open</x:v>
      </x:c>
      <x:c r="C5613" s="24" t="e">
        <x:f>HYPERLINK("https://365nails.com/products/gilded-teal-cinnabar-ethereal-ink-series","""Gilded Teal Cinnabar"" – Deep Teal Cat Eye &amp; Red-Blue Marble with Melting Gold Chrome Tip Oval Nails")</x:f>
        <x:v>HYPERLINK is not implemented. linkLocation=https://365nails.com/products/gilded-teal-cinnabar-ethereal-ink-series, friendlyName="Gilded Teal Cinnabar" – Deep Teal Cat Eye &amp; Red-Blue Marble with Melting Gold Chrome Tip Oval Nails</x:v>
      </x:c>
      <x:c r="D5613" s="18" t="str">
        <x:v>Size: XS / S / M / L</x:v>
      </x:c>
      <x:c r="E5613" s="25" t="str">
        <x:v>$3.99</x:v>
      </x:c>
      <x:c r="F5613" s="19" t="str">
        <x:v>30</x:v>
      </x:c>
    </x:row>
    <x:row r="5614" ht="93" customHeight="1">
      <x:c r="A5614" s="19" t="n">
        <x:v>5611</x:v>
      </x:c>
      <x:c r="B5614" s="22" t="e">
        <x:f>HYPERLINK("https://cdn.shopify.com/s/files/1/0918/6066/4603/files/O1CN01fq68pK2NGI3SMlEiv__4234819935-0-cib.jpg?v=1779454029","Open")</x:f>
        <x:v>HYPERLINK is not implemented. linkLocation=https://cdn.shopify.com/s/files/1/0918/6066/4603/files/O1CN01fq68pK2NGI3SMlEiv__4234819935-0-cib.jpg?v=1779454029, friendlyName=Open</x:v>
      </x:c>
      <x:c r="C5614" s="24" t="e">
        <x:f>HYPERLINK("https://365nails.com/products/365nails-pastel-plaid-short-square-spring-press-on-nails","365nails: ""Pastel Plaid Short Square"" – Spring Press-on Nails")</x:f>
        <x:v>HYPERLINK is not implemented. linkLocation=https://365nails.com/products/365nails-pastel-plaid-short-square-spring-press-on-nails, friendlyName=365nails: "Pastel Plaid Short Square" – Spring Press-on Nails</x:v>
      </x:c>
      <x:c r="D5614" s="18" t="str">
        <x:v>Color: Jp 4413</x:v>
      </x:c>
      <x:c r="E5614" s="25" t="str">
        <x:v>$0.73</x:v>
      </x:c>
      <x:c r="F5614" s="19" t="str">
        <x:v>1</x:v>
      </x:c>
    </x:row>
    <x:row r="5615" ht="93" customHeight="1">
      <x:c r="A5615" s="19" t="n">
        <x:v>5612</x:v>
      </x:c>
      <x:c r="B5615" s="22" t="e">
        <x:f>HYPERLINK("https://cdn.shopify.com/s/files/1/0918/6066/4603/files/e63747ce5e2a8fc72566059337575dfc.jpg?v=1771474735","Open")</x:f>
        <x:v>HYPERLINK is not implemented. linkLocation=https://cdn.shopify.com/s/files/1/0918/6066/4603/files/e63747ce5e2a8fc72566059337575dfc.jpg?v=1771474735, friendlyName=Open</x:v>
      </x:c>
      <x:c r="C5615" s="24" t="e">
        <x:f>HYPERLINK("https://365nails.com/products/tropical-sunset-cocktail-sculpted-flora-series","Sculpted Flora: ""Tropical Sunset Cocktail"" – 3D Pink &amp; Yellow Hibiscus with Abstract Swirls Stiletto Nails")</x:f>
        <x:v>HYPERLINK is not implemented. linkLocation=https://365nails.com/products/tropical-sunset-cocktail-sculpted-flora-series, friendlyName=Sculpted Flora: "Tropical Sunset Cocktail" – 3D Pink &amp; Yellow Hibiscus with Abstract Swirls Stiletto Nails</x:v>
      </x:c>
      <x:c r="D5615" s="18" t="str">
        <x:v>Size: XS / S / M / L</x:v>
      </x:c>
      <x:c r="E5615" s="25" t="str">
        <x:v>$3.99</x:v>
      </x:c>
      <x:c r="F5615" s="19" t="str">
        <x:v>5</x:v>
      </x:c>
    </x:row>
    <x:row r="5616" ht="93" customHeight="1">
      <x:c r="A5616" s="19" t="n">
        <x:v>5613</x:v>
      </x:c>
      <x:c r="B5616" s="22" t="e">
        <x:f>HYPERLINK("https://cdn.shopify.com/s/files/1/0918/6066/4603/files/56ee1af9a2f18f25b2d2c128b4f171a6.jpg?v=1771413127","Open")</x:f>
        <x:v>HYPERLINK is not implemented. linkLocation=https://cdn.shopify.com/s/files/1/0918/6066/4603/files/56ee1af9a2f18f25b2d2c128b4f171a6.jpg?v=1771413127, friendlyName=Open</x:v>
      </x:c>
      <x:c r="C5616" s="24" t="e">
        <x:f>HYPERLINK("https://365nails.com/products/aurora-jade-amber-ethereal-ink-series","Ethereal Ink: ""Aurora Jade Amber"" – Deep Burgundy Cat Eye &amp; Teal-Brown Marble with Silver Shimmer Almond Nails")</x:f>
        <x:v>HYPERLINK is not implemented. linkLocation=https://365nails.com/products/aurora-jade-amber-ethereal-ink-series, friendlyName=Ethereal Ink: "Aurora Jade Amber" – Deep Burgundy Cat Eye &amp; Teal-Brown Marble with Silver Shimmer Almond Nails</x:v>
      </x:c>
      <x:c r="D5616" s="18" t="str">
        <x:v>Size: XS / S / M / L</x:v>
      </x:c>
      <x:c r="E5616" s="25" t="str">
        <x:v>$3.99</x:v>
      </x:c>
      <x:c r="F5616" s="19" t="str">
        <x:v>30</x:v>
      </x:c>
    </x:row>
    <x:row r="5617" ht="93" customHeight="1">
      <x:c r="A5617" s="19" t="n">
        <x:v>5614</x:v>
      </x:c>
      <x:c r="B5617" s="22" t="e">
        <x:f>HYPERLINK("https://cdn.shopify.com/s/files/1/0918/6066/4603/files/2f650765cb6d457f644d1bb01f26474b_9753a1b6-34bf-4b86-ba04-0378c2633763.jpg?v=1771415092","Open")</x:f>
        <x:v>HYPERLINK is not implemented. linkLocation=https://cdn.shopify.com/s/files/1/0918/6066/4603/files/2f650765cb6d457f644d1bb01f26474b_9753a1b6-34bf-4b86-ba04-0378c2633763.jpg?v=1771415092, friendlyName=Open</x:v>
      </x:c>
      <x:c r="C5617" s="24" t="e">
        <x:f>HYPERLINK("https://365nails.com/products/deep-sea-mineral-ethereal-ink-series","Ethereal Ink: ""Deep Sea Mineral"" – Peacock Teal Cat Eye &amp; Bronze Brown Marble Short Oval Nails")</x:f>
        <x:v>HYPERLINK is not implemented. linkLocation=https://365nails.com/products/deep-sea-mineral-ethereal-ink-series, friendlyName=Ethereal Ink: "Deep Sea Mineral" – Peacock Teal Cat Eye &amp; Bronze Brown Marble Short Oval Nails</x:v>
      </x:c>
      <x:c r="D5617" s="18" t="str">
        <x:v>Size: XS / S / M / L</x:v>
      </x:c>
      <x:c r="E5617" s="25" t="str">
        <x:v>$3.99</x:v>
      </x:c>
      <x:c r="F5617" s="19" t="str">
        <x:v>30</x:v>
      </x:c>
    </x:row>
    <x:row r="5618" ht="93" customHeight="1">
      <x:c r="A5618" s="19" t="n">
        <x:v>5615</x:v>
      </x:c>
      <x:c r="B5618" s="22" t="e">
        <x:f>HYPERLINK("https://cdn.shopify.com/s/files/1/0918/6066/4603/files/6aec87a719d8a9491924fbb4651c2df0.jpg?v=1771474555","Open")</x:f>
        <x:v>HYPERLINK is not implemented. linkLocation=https://cdn.shopify.com/s/files/1/0918/6066/4603/files/6aec87a719d8a9491924fbb4651c2df0.jpg?v=1771474555, friendlyName=Open</x:v>
      </x:c>
      <x:c r="C5618" s="24" t="e">
        <x:f>HYPERLINK("https://365nails.com/products/polka-pink-sakura-sculpted-flora-series","Sculpted Flora: ""Polka Pink Sakura"" – 3D Pink Flowers on Silver Glitter Polka Dot French Nails")</x:f>
        <x:v>HYPERLINK is not implemented. linkLocation=https://365nails.com/products/polka-pink-sakura-sculpted-flora-series, friendlyName=Sculpted Flora: "Polka Pink Sakura" – 3D Pink Flowers on Silver Glitter Polka Dot French Nails</x:v>
      </x:c>
      <x:c r="D5618" s="18" t="str">
        <x:v>Size: XS / S / M / L</x:v>
      </x:c>
      <x:c r="E5618" s="25" t="str">
        <x:v>$3.99</x:v>
      </x:c>
      <x:c r="F5618" s="19" t="str">
        <x:v>5</x:v>
      </x:c>
    </x:row>
    <x:row r="5619" ht="93" customHeight="1">
      <x:c r="A5619" s="19" t="n">
        <x:v>5616</x:v>
      </x:c>
      <x:c r="B5619" s="22" t="e">
        <x:f>HYPERLINK("https://cdn.shopify.com/s/files/1/0918/6066/4603/files/25e9f0437e7862044d4b3be51ff51d4a.jpg?v=1771474420","Open")</x:f>
        <x:v>HYPERLINK is not implemented. linkLocation=https://cdn.shopify.com/s/files/1/0918/6066/4603/files/25e9f0437e7862044d4b3be51ff51d4a.jpg?v=1771474420, friendlyName=Open</x:v>
      </x:c>
      <x:c r="C5619" s="24" t="e">
        <x:f>HYPERLINK("https://365nails.com/products/mulberry-wildflower-sculpted-flora-series","Sculpted Flora: ""Mulberry Wildflower"" – 3D Deep Magenta Flowers &amp; Abstract Lines on Leopard Print Stiletto Nails")</x:f>
        <x:v>HYPERLINK is not implemented. linkLocation=https://365nails.com/products/mulberry-wildflower-sculpted-flora-series, friendlyName=Sculpted Flora: "Mulberry Wildflower" – 3D Deep Magenta Flowers &amp; Abstract Lines on Leopard Print Stiletto Nails</x:v>
      </x:c>
      <x:c r="D5619" s="18" t="str">
        <x:v>Size: XS / S / M / L</x:v>
      </x:c>
      <x:c r="E5619" s="25" t="str">
        <x:v>$3.99</x:v>
      </x:c>
      <x:c r="F5619" s="19" t="str">
        <x:v>5</x:v>
      </x:c>
    </x:row>
    <x:row r="5620" ht="93" customHeight="1">
      <x:c r="A5620" s="19" t="n">
        <x:v>5617</x:v>
      </x:c>
      <x:c r="B5620" s="22" t="e">
        <x:f>HYPERLINK("https://cdn.shopify.com/s/files/1/0918/6066/4603/files/1b7de84541899e681667998e3b90d65c.jpg?v=1771474647","Open")</x:f>
        <x:v>HYPERLINK is not implemented. linkLocation=https://cdn.shopify.com/s/files/1/0918/6066/4603/files/1b7de84541899e681667998e3b90d65c.jpg?v=1771474647, friendlyName=Open</x:v>
      </x:c>
      <x:c r="C5620" s="24" t="e">
        <x:f>HYPERLINK("https://365nails.com/products/polka-noir-bow-sculpted-flora-series","Sculpted Flora: ""Polka Noir Bow"" – 3D Red Flowers, Pink Bows &amp; Rhinestones on Black Polka Dot Nails")</x:f>
        <x:v>HYPERLINK is not implemented. linkLocation=https://365nails.com/products/polka-noir-bow-sculpted-flora-series, friendlyName=Sculpted Flora: "Polka Noir Bow" – 3D Red Flowers, Pink Bows &amp; Rhinestones on Black Polka Dot Nails</x:v>
      </x:c>
      <x:c r="D5620" s="18" t="str">
        <x:v>Size: XS / S / M / L</x:v>
      </x:c>
      <x:c r="E5620" s="25" t="str">
        <x:v>$3.99</x:v>
      </x:c>
      <x:c r="F5620" s="19" t="str">
        <x:v>5</x:v>
      </x:c>
    </x:row>
    <x:row r="5621" ht="93" customHeight="1">
      <x:c r="A5621" s="19" t="n">
        <x:v>5618</x:v>
      </x:c>
      <x:c r="B5621" s="22" t="e">
        <x:f>HYPERLINK("https://cdn.shopify.com/s/files/1/0918/6066/4603/files/O1CN01vj1X2O2NGI3N7iicC__4234819935-0-cib.jpg?v=1779453248","Open")</x:f>
        <x:v>HYPERLINK is not implemented. linkLocation=https://cdn.shopify.com/s/files/1/0918/6066/4603/files/O1CN01vj1X2O2NGI3N7iicC__4234819935-0-cib.jpg?v=1779453248, friendlyName=Open</x:v>
      </x:c>
      <x:c r="C5621" s="24" t="e">
        <x:f>HYPERLINK("https://365nails.com/products/365nails-soft-pink-ombre-oval-natural-press-on-nails","365nails: ""Soft Pink Ombre Oval"" – Natural Press-on Nails")</x:f>
        <x:v>HYPERLINK is not implemented. linkLocation=https://365nails.com/products/365nails-soft-pink-ombre-oval-natural-press-on-nails, friendlyName=365nails: "Soft Pink Ombre Oval" – Natural Press-on Nails</x:v>
      </x:c>
      <x:c r="D5621" s="18" t="str">
        <x:v>Color: Jp 4397</x:v>
      </x:c>
      <x:c r="E5621" s="25" t="str">
        <x:v>$1.13</x:v>
      </x:c>
      <x:c r="F5621" s="19" t="str">
        <x:v>1</x:v>
      </x:c>
    </x:row>
    <x:row r="5622" ht="93" customHeight="1">
      <x:c r="A5622" s="19" t="n">
        <x:v>5619</x:v>
      </x:c>
      <x:c r="B5622" s="22" t="e">
        <x:f>HYPERLINK("https://cdn.shopify.com/s/files/1/0918/6066/4603/files/O1CN018ZoZLA1HlWlb6cw3p__2545140798-0-cib_f7c6f6e5-609d-4352-8e26-0c7b0ff71969.jpg?v=1775743124","Open")</x:f>
        <x:v>HYPERLINK is not implemented. linkLocation=https://cdn.shopify.com/s/files/1/0918/6066/4603/files/O1CN018ZoZLA1HlWlb6cw3p__2545140798-0-cib_f7c6f6e5-609d-4352-8e26-0c7b0ff71969.jpg?v=1775743124, friendlyName=Open</x:v>
      </x:c>
      <x:c r="C5622" s="24" t="e">
        <x:f>HYPERLINK("https://365nails.com/products/365nails-pastel-bunny-rabbit-handmade-press-on-nails","365nails: ""Pastel Bunny Rabbit"" – Nail Art Stickers")</x:f>
        <x:v>HYPERLINK is not implemented. linkLocation=https://365nails.com/products/365nails-pastel-bunny-rabbit-handmade-press-on-nails, friendlyName=365nails: "Pastel Bunny Rabbit" – Nail Art Stickers</x:v>
      </x:c>
      <x:c r="D5622" s="18" t="str">
        <x:v>Specification type: To800 / To801</x:v>
      </x:c>
      <x:c r="E5622" s="25" t="str">
        <x:v>$1.23</x:v>
      </x:c>
      <x:c r="F5622" s="19" t="str">
        <x:v>5</x:v>
      </x:c>
    </x:row>
    <x:row r="5623" ht="93" customHeight="1">
      <x:c r="A5623" s="19" t="n">
        <x:v>5620</x:v>
      </x:c>
      <x:c r="B5623" s="22" t="e">
        <x:f>HYPERLINK("https://cdn.shopify.com/s/files/1/0918/6066/4603/files/O1CN01wHomEc1HlWzZ8ifhr__2545140798-0-cib_f46010d1-6a7b-41e7-9c6b-efeec305d278.jpg?v=1775808579","Open")</x:f>
        <x:v>HYPERLINK is not implemented. linkLocation=https://cdn.shopify.com/s/files/1/0918/6066/4603/files/O1CN01wHomEc1HlWzZ8ifhr__2545140798-0-cib_f46010d1-6a7b-41e7-9c6b-efeec305d278.jpg?v=1775808579, friendlyName=Open</x:v>
      </x:c>
      <x:c r="C5623" s="24" t="e">
        <x:f>HYPERLINK("https://365nails.com/products/365nails-holographic-crystal-butterfly-handmade-press-on-nails-1","365nails: ""Holographic Crystal Butterfly"" – Nail Art Stickers")</x:f>
        <x:v>HYPERLINK is not implemented. linkLocation=https://365nails.com/products/365nails-holographic-crystal-butterfly-handmade-press-on-nails-1, friendlyName=365nails: "Holographic Crystal Butterfly" – Nail Art Stickers</x:v>
      </x:c>
      <x:c r="D5623" s="18" t="str">
        <x:v>Specification type: To3637-crystal diamond</x:v>
      </x:c>
      <x:c r="E5623" s="25" t="str">
        <x:v>$1.30</x:v>
      </x:c>
      <x:c r="F5623" s="19" t="str">
        <x:v>5</x:v>
      </x:c>
    </x:row>
    <x:row r="5624" ht="93" customHeight="1">
      <x:c r="A5624" s="19" t="n">
        <x:v>5621</x:v>
      </x:c>
      <x:c r="B5624" s="22" t="e">
        <x:f>HYPERLINK("https://cdn.shopify.com/s/files/1/0918/6066/4603/files/O1CN01snzzek1HlX9QVT5me__2545140798-0-cib_4cb5465c-e15a-464b-b25b-68194d456058.jpg?v=1775741447","Open")</x:f>
        <x:v>HYPERLINK is not implemented. linkLocation=https://cdn.shopify.com/s/files/1/0918/6066/4603/files/O1CN01snzzek1HlX9QVT5me__2545140798-0-cib_4cb5465c-e15a-464b-b25b-68194d456058.jpg?v=1775741447, friendlyName=Open</x:v>
      </x:c>
      <x:c r="C5624" s="24" t="e">
        <x:f>HYPERLINK("https://365nails.com/products/365nails-white-embossed-butterfly-handmade-press-on-nails-1","365nails: ""White Embossed Butterfly"" –Nail Art Stickers")</x:f>
        <x:v>HYPERLINK is not implemented. linkLocation=https://365nails.com/products/365nails-white-embossed-butterfly-handmade-press-on-nails-1, friendlyName=365nails: "White Embossed Butterfly" –Nail Art Stickers</x:v>
      </x:c>
      <x:c r="D5624" s="18" t="str">
        <x:v>Specification type: Ms 871</x:v>
      </x:c>
      <x:c r="E5624" s="25" t="str">
        <x:v>$1.00</x:v>
      </x:c>
      <x:c r="F5624" s="19" t="str">
        <x:v>5</x:v>
      </x:c>
    </x:row>
    <x:row r="5625" ht="93" customHeight="1">
      <x:c r="A5625" s="19" t="n">
        <x:v>5622</x:v>
      </x:c>
      <x:c r="B5625" s="22" t="e">
        <x:f>HYPERLINK("https://cdn.shopify.com/s/files/1/0918/6066/4603/files/O1CN01ZJQry31HlWiqZwSH1__2545140798-0-cib_e73d85a8-ac41-430b-9440-9e30ee1aedac.jpg?v=1775811354","Open")</x:f>
        <x:v>HYPERLINK is not implemented. linkLocation=https://cdn.shopify.com/s/files/1/0918/6066/4603/files/O1CN01ZJQry31HlWiqZwSH1__2545140798-0-cib_e73d85a8-ac41-430b-9440-9e30ee1aedac.jpg?v=1775811354, friendlyName=Open</x:v>
      </x:c>
      <x:c r="C5625" s="24" t="e">
        <x:f>HYPERLINK("https://365nails.com/products/365nails-grape-soda-plaid-handmade-press-on-nails","365nails: ""Grape Soda Plaid"" – Nail Art Stickers")</x:f>
        <x:v>HYPERLINK is not implemented. linkLocation=https://365nails.com/products/365nails-grape-soda-plaid-handmade-press-on-nails, friendlyName=365nails: "Grape Soda Plaid" – Nail Art Stickers</x:v>
      </x:c>
      <x:c r="D5625" s="18" t="str">
        <x:v>Specification type: Tomo 368 / Tomoni 369 / Tomoni 370 / Tomo 371 / Tomoni 372 / Tomoni 373 / Tomoni 384 / Tomo 385</x:v>
      </x:c>
      <x:c r="E5625" s="25" t="str">
        <x:v>$1.09</x:v>
      </x:c>
      <x:c r="F5625" s="19" t="str">
        <x:v>5</x:v>
      </x:c>
    </x:row>
    <x:row r="5626" ht="93" customHeight="1">
      <x:c r="A5626" s="19" t="n">
        <x:v>5623</x:v>
      </x:c>
      <x:c r="B5626" s="22" t="e">
        <x:f>HYPERLINK("https://cdn.shopify.com/s/files/1/0918/6066/4603/files/O1CN01PkvL8c1HlWsCmK8zy__2545140798-0-cib_9cea984a-a18f-4797-a687-ad34c4c3e02c.jpg?v=1775808434","Open")</x:f>
        <x:v>HYPERLINK is not implemented. linkLocation=https://cdn.shopify.com/s/files/1/0918/6066/4603/files/O1CN01PkvL8c1HlWsCmK8zy__2545140798-0-cib_9cea984a-a18f-4797-a687-ad34c4c3e02c.jpg?v=1775808434, friendlyName=Open</x:v>
      </x:c>
      <x:c r="C5626" s="24" t="e">
        <x:f>HYPERLINK("https://365nails.com/products/365nails-gingham-french-tip-handmade-press-on-nails","365nails: ""Gingham French Tip"" – Nail Art Stickers")</x:f>
        <x:v>HYPERLINK is not implemented. linkLocation=https://365nails.com/products/365nails-gingham-french-tip-handmade-press-on-nails, friendlyName=365nails: "Gingham French Tip" – Nail Art Stickers</x:v>
      </x:c>
      <x:c r="D5626" s="18" t="str">
        <x:v>Specification type: Ms 324 / Ms 325 / Ms 332 / Ms 334 / Ms 336</x:v>
      </x:c>
      <x:c r="E5626" s="25" t="str">
        <x:v>$1.09</x:v>
      </x:c>
      <x:c r="F5626" s="19" t="str">
        <x:v>5</x:v>
      </x:c>
    </x:row>
    <x:row r="5627" ht="93" customHeight="1">
      <x:c r="A5627" s="19" t="n">
        <x:v>5624</x:v>
      </x:c>
      <x:c r="B5627" s="22" t="e">
        <x:f>HYPERLINK("https://cdn.shopify.com/s/files/1/0918/6066/4603/files/O1CN01PwsC5p2NGHoRZZeJZ__4234819935-0-cib_6ec18d87-cbcb-4e3f-8b6c-5aa365eb6066.jpg?v=1776675883","Open")</x:f>
        <x:v>HYPERLINK is not implemented. linkLocation=https://cdn.shopify.com/s/files/1/0918/6066/4603/files/O1CN01PwsC5p2NGHoRZZeJZ__4234819935-0-cib_6ec18d87-cbcb-4e3f-8b6c-5aa365eb6066.jpg?v=1776675883, friendlyName=Open</x:v>
      </x:c>
      <x:c r="C5627" s="24" t="e">
        <x:f>HYPERLINK("https://365nails.com/products/365nails-starlight-blush-square-rhinestone-star-accent-press-on-nails","365nails: ""Starlight Blush Square"" – Rhinestone &amp; Star Accent Press-on Nails")</x:f>
        <x:v>HYPERLINK is not implemented. linkLocation=https://365nails.com/products/365nails-starlight-blush-square-rhinestone-star-accent-press-on-nails, friendlyName=365nails: "Starlight Blush Square" – Rhinestone &amp; Star Accent Press-on Nails</x:v>
      </x:c>
      <x:c r="D5627" s="18" t="str">
        <x:v>Color: Jp2974 [glue type] / Jp2974 [including wearing tool kit]</x:v>
      </x:c>
      <x:c r="E5627" s="25" t="str">
        <x:v>$1.49</x:v>
      </x:c>
      <x:c r="F5627" s="19" t="str">
        <x:v>1</x:v>
      </x:c>
    </x:row>
    <x:row r="5628" ht="93" customHeight="1">
      <x:c r="A5628" s="19" t="n">
        <x:v>5625</x:v>
      </x:c>
      <x:c r="B5628" s="22" t="e">
        <x:f>HYPERLINK("https://cdn.shopify.com/s/files/1/0918/6066/4603/files/O1CN01ti2ghm2NGI3BRxfHN__4234819935-0-cib.jpg?v=1779454779","Open")</x:f>
        <x:v>HYPERLINK is not implemented. linkLocation=https://cdn.shopify.com/s/files/1/0918/6066/4603/files/O1CN01ti2ghm2NGI3BRxfHN__4234819935-0-cib.jpg?v=1779454779, friendlyName=Open</x:v>
      </x:c>
      <x:c r="C5628" s="24" t="e">
        <x:f>HYPERLINK("https://365nails.com/products/365nails-pink-floral-lace-french-oval-delicate-press-on-nails","365nails: ""Pink Floral Lace French Oval"" – Delicate Press-on Nails")</x:f>
        <x:v>HYPERLINK is not implemented. linkLocation=https://365nails.com/products/365nails-pink-floral-lace-french-oval-delicate-press-on-nails, friendlyName=365nails: "Pink Floral Lace French Oval" – Delicate Press-on Nails</x:v>
      </x:c>
      <x:c r="D5628" s="18" t="str">
        <x:v>Color: Jp 4359</x:v>
      </x:c>
      <x:c r="E5628" s="25" t="str">
        <x:v>$1.63</x:v>
      </x:c>
      <x:c r="F5628" s="19" t="str">
        <x:v>1</x:v>
      </x:c>
    </x:row>
    <x:row r="5629" ht="93" customHeight="1">
      <x:c r="A5629" s="19" t="n">
        <x:v>5626</x:v>
      </x:c>
      <x:c r="B5629" s="22" t="e">
        <x:f>HYPERLINK("https://cdn.shopify.com/s/files/1/0918/6066/4603/files/O1CN01R994pY1HlX6PIvEjM__2545140798-0-cib_0e19508b-6b6e-4af1-a6f7-5f9fbdb51b88.jpg?v=1775810947","Open")</x:f>
        <x:v>HYPERLINK is not implemented. linkLocation=https://cdn.shopify.com/s/files/1/0918/6066/4603/files/O1CN01R994pY1HlX6PIvEjM__2545140798-0-cib_0e19508b-6b6e-4af1-a6f7-5f9fbdb51b88.jpg?v=1775810947, friendlyName=Open</x:v>
      </x:c>
      <x:c r="C5629" s="24" t="e">
        <x:f>HYPERLINK("https://365nails.com/products/365nails-french-tip-guide-sticker-a1-large-handmade-press-on-nails","365nails: ""French Tip Guide Sticker A1 Large"" – Nail Art Stickers")</x:f>
        <x:v>HYPERLINK is not implemented. linkLocation=https://365nails.com/products/365nails-french-tip-guide-sticker-a1-large-handmade-press-on-nails, friendlyName=365nails: "French Tip Guide Sticker A1 Large" – Nail Art Stickers</x:v>
      </x:c>
      <x:c r="D5629" s="18" t="str">
        <x:v>Specification type: French a1 large / French a2 small / French b1 large / French b2 small / French c1 large / French c2 small / French d / French e</x:v>
      </x:c>
      <x:c r="E5629" s="25" t="str">
        <x:v>$1.23</x:v>
      </x:c>
      <x:c r="F5629" s="19" t="str">
        <x:v>5</x:v>
      </x:c>
    </x:row>
    <x:row r="5630" ht="93" customHeight="1">
      <x:c r="A5630" s="19" t="n">
        <x:v>5627</x:v>
      </x:c>
      <x:c r="B5630" s="22" t="e">
        <x:f>HYPERLINK("https://cdn.shopify.com/s/files/1/0918/6066/4603/files/O1CN01vYYrDY1HlXAzbLLLw__2545140798-0-cib_6e667af7-844e-4204-9e97-277f566c49c2.jpg?v=1775743052","Open")</x:f>
        <x:v>HYPERLINK is not implemented. linkLocation=https://cdn.shopify.com/s/files/1/0918/6066/4603/files/O1CN01vYYrDY1HlXAzbLLLw__2545140798-0-cib_6e667af7-844e-4204-9e97-277f566c49c2.jpg?v=1775743052, friendlyName=Open</x:v>
      </x:c>
      <x:c r="C5630" s="24" t="e">
        <x:f>HYPERLINK("https://365nails.com/products/365nails-crystal-ribbon-bow-handmade-press-on-nails","365nails: ""Crystal Ribbon Bow"" – Nail Art Stickers")</x:f>
        <x:v>HYPERLINK is not implemented. linkLocation=https://365nails.com/products/365nails-crystal-ribbon-bow-handmade-press-on-nails, friendlyName=365nails: "Crystal Ribbon Bow" – Nail Art Stickers</x:v>
      </x:c>
      <x:c r="D5630" s="18" t="str">
        <x:v>Specification type: Ms920-crystal diamond / Ms921-crystal diamond</x:v>
      </x:c>
      <x:c r="E5630" s="25" t="str">
        <x:v>$1.34</x:v>
      </x:c>
      <x:c r="F5630" s="19" t="str">
        <x:v>5</x:v>
      </x:c>
    </x:row>
    <x:row r="5631" ht="93" customHeight="1">
      <x:c r="A5631" s="19" t="n">
        <x:v>5628</x:v>
      </x:c>
      <x:c r="B5631" s="22" t="e">
        <x:f>HYPERLINK("https://cdn.shopify.com/s/files/1/0918/6066/4603/files/O1CN01jfA0rX1HlWswfSMxA__2545140798-0-cib_1c9ac259-7f4d-4cbf-9c57-e68cbcd56562.jpg?v=1775804462","Open")</x:f>
        <x:v>HYPERLINK is not implemented. linkLocation=https://cdn.shopify.com/s/files/1/0918/6066/4603/files/O1CN01jfA0rX1HlWswfSMxA__2545140798-0-cib_1c9ac259-7f4d-4cbf-9c57-e68cbcd56562.jpg?v=1775804462, friendlyName=Open</x:v>
      </x:c>
      <x:c r="C5631" s="24" t="e">
        <x:f>HYPERLINK("https://365nails.com/products/365nails-panda-peach-blossom-bamboo-handmade-press-on-nails","365nails: ""Panda Peach Blossom Bamboo"" – Nail Art Stickers")</x:f>
        <x:v>HYPERLINK is not implemented. linkLocation=https://365nails.com/products/365nails-panda-peach-blossom-bamboo-handmade-press-on-nails, friendlyName=365nails: "Panda Peach Blossom Bamboo" – Nail Art Stickers</x:v>
      </x:c>
      <x:c r="D5631" s="18" t="str">
        <x:v>Specification type: To2871</x:v>
      </x:c>
      <x:c r="E5631" s="25" t="str">
        <x:v>$1.09</x:v>
      </x:c>
      <x:c r="F5631" s="19" t="str">
        <x:v>5</x:v>
      </x:c>
    </x:row>
    <x:row r="5632" ht="93" customHeight="1">
      <x:c r="A5632" s="19" t="n">
        <x:v>5629</x:v>
      </x:c>
      <x:c r="B5632" s="22" t="e">
        <x:f>HYPERLINK("https://cdn.shopify.com/s/files/1/0918/6066/4603/files/e8124730166b8ba604521747ef1ac5cb.jpg?v=1771413818","Open")</x:f>
        <x:v>HYPERLINK is not implemented. linkLocation=https://cdn.shopify.com/s/files/1/0918/6066/4603/files/e8124730166b8ba604521747ef1ac5cb.jpg?v=1771413818, friendlyName=Open</x:v>
      </x:c>
      <x:c r="C5632" s="24" t="e">
        <x:f>HYPERLINK("https://365nails.com/products/magnolia-lake-ripples-ethereal-ink-series","Ethereal Ink: ""Magnolia Lake Ripples"" – Teal Blue Cat Eye with Hand-Painted White Floral &amp; Amber Ombre Almond Nails")</x:f>
        <x:v>HYPERLINK is not implemented. linkLocation=https://365nails.com/products/magnolia-lake-ripples-ethereal-ink-series, friendlyName=Ethereal Ink: "Magnolia Lake Ripples" – Teal Blue Cat Eye with Hand-Painted White Floral &amp; Amber Ombre Almond Nails</x:v>
      </x:c>
      <x:c r="D5632" s="18" t="str">
        <x:v>Size: XS / S / M / L</x:v>
      </x:c>
      <x:c r="E5632" s="25" t="str">
        <x:v>$3.99</x:v>
      </x:c>
      <x:c r="F5632" s="19" t="str">
        <x:v>30</x:v>
      </x:c>
    </x:row>
    <x:row r="5633" ht="93" customHeight="1">
      <x:c r="A5633" s="19" t="n">
        <x:v>5630</x:v>
      </x:c>
      <x:c r="B5633" s="22" t="e">
        <x:f>HYPERLINK("https://cdn.shopify.com/s/files/1/0918/6066/4603/files/O1CN01Az2jc81HlX98Y2AYA__2545140798-0-cib_f12e6a45-b280-47b7-81f2-bdbdbb35b326.jpg?v=1775741311","Open")</x:f>
        <x:v>HYPERLINK is not implemented. linkLocation=https://cdn.shopify.com/s/files/1/0918/6066/4603/files/O1CN01Az2jc81HlX98Y2AYA__2545140798-0-cib_f12e6a45-b280-47b7-81f2-bdbdbb35b326.jpg?v=1775741311, friendlyName=Open</x:v>
      </x:c>
      <x:c r="C5633" s="24" t="e">
        <x:f>HYPERLINK("https://365nails.com/products/365nails-crystal-bow-ribbon-handmade-press-on-nails","365nails: ""Crystal Bow Ribbon"" –Nail Art Stickers")</x:f>
        <x:v>HYPERLINK is not implemented. linkLocation=https://365nails.com/products/365nails-crystal-bow-ribbon-handmade-press-on-nails, friendlyName=365nails: "Crystal Bow Ribbon" –Nail Art Stickers</x:v>
      </x:c>
      <x:c r="D5633" s="18" t="str">
        <x:v>Specification type: To5030-crystal diamond / To5031-crystal diamond</x:v>
      </x:c>
      <x:c r="E5633" s="25" t="str">
        <x:v>$1.34</x:v>
      </x:c>
      <x:c r="F5633" s="19" t="str">
        <x:v>5</x:v>
      </x:c>
    </x:row>
    <x:row r="5634" ht="93" customHeight="1">
      <x:c r="A5634" s="19" t="n">
        <x:v>5631</x:v>
      </x:c>
      <x:c r="B5634" s="22" t="e">
        <x:f>HYPERLINK("https://cdn.shopify.com/s/files/1/0918/6066/4603/files/O1CN01vfzeYQ1HlWmRZ4J5A__2545140798-0-cib_2f1ced82-ee19-4220-a0e8-2fdc437c10db.jpg?v=1775830364","Open")</x:f>
        <x:v>HYPERLINK is not implemented. linkLocation=https://cdn.shopify.com/s/files/1/0918/6066/4603/files/O1CN01vfzeYQ1HlWmRZ4J5A__2545140798-0-cib_2f1ced82-ee19-4220-a0e8-2fdc437c10db.jpg?v=1775830364, friendlyName=Open</x:v>
      </x:c>
      <x:c r="C5634" s="24" t="e">
        <x:f>HYPERLINK("https://365nails.com/products/365nails-pastel-argyle-plaid-sweater-handmade-press-on-nails","365nails: ""Pastel Argyle Plaid Sweater"" – Nail Art Stickers")</x:f>
        <x:v>HYPERLINK is not implemented. linkLocation=https://365nails.com/products/365nails-pastel-argyle-plaid-sweater-handmade-press-on-nails, friendlyName=365nails: "Pastel Argyle Plaid Sweater" – Nail Art Stickers</x:v>
      </x:c>
      <x:c r="D5634" s="18" t="str">
        <x:v>Specification type: To918 / To919 / To920 / To921 / To922</x:v>
      </x:c>
      <x:c r="E5634" s="25" t="str">
        <x:v>$1.09</x:v>
      </x:c>
      <x:c r="F5634" s="19" t="str">
        <x:v>5</x:v>
      </x:c>
    </x:row>
    <x:row r="5635" ht="93" customHeight="1">
      <x:c r="A5635" s="19" t="n">
        <x:v>5632</x:v>
      </x:c>
      <x:c r="B5635" s="22" t="e">
        <x:f>HYPERLINK("https://cdn.shopify.com/s/files/1/0918/6066/4603/files/O1CN018V7Ga21HlWrMqB6qr__2545140798-0-cib_c1fda96b-95ea-4390-8ff2-f7ddd56e0344.jpg?v=1775743767","Open")</x:f>
        <x:v>HYPERLINK is not implemented. linkLocation=https://cdn.shopify.com/s/files/1/0918/6066/4603/files/O1CN018V7Ga21HlWrMqB6qr__2545140798-0-cib_c1fda96b-95ea-4390-8ff2-f7ddd56e0344.jpg?v=1775743767, friendlyName=Open</x:v>
      </x:c>
      <x:c r="C5635" s="24" t="e">
        <x:f>HYPERLINK("https://365nails.com/products/365nails-vintage-love-rose-handmade-press-on-nails","365nails: ""Vintage Love Rose"" – Nail Art Stickers")</x:f>
        <x:v>HYPERLINK is not implemented. linkLocation=https://365nails.com/products/365nails-vintage-love-rose-handmade-press-on-nails, friendlyName=365nails: "Vintage Love Rose" – Nail Art Stickers</x:v>
      </x:c>
      <x:c r="D5635" s="18" t="str">
        <x:v>Specification type: To2583-relief / To2584-thin tough / To2585-relief / To2586-thin tough</x:v>
      </x:c>
      <x:c r="E5635" s="25" t="str">
        <x:v>$1.09</x:v>
      </x:c>
      <x:c r="F5635" s="19" t="str">
        <x:v>5</x:v>
      </x:c>
    </x:row>
    <x:row r="5636" ht="93" customHeight="1">
      <x:c r="A5636" s="19" t="n">
        <x:v>5633</x:v>
      </x:c>
      <x:c r="B5636" s="22" t="e">
        <x:f>HYPERLINK("https://cdn.shopify.com/s/files/1/0918/6066/4603/files/O1CN013UsMYw1HlX8oCz2Ks__2545140798-0-cib_ce80219d-5320-432c-9408-03eeff41fda7.jpg?v=1775808774","Open")</x:f>
        <x:v>HYPERLINK is not implemented. linkLocation=https://cdn.shopify.com/s/files/1/0918/6066/4603/files/O1CN013UsMYw1HlX8oCz2Ks__2545140798-0-cib_ce80219d-5320-432c-9408-03eeff41fda7.jpg?v=1775808774, friendlyName=Open</x:v>
      </x:c>
      <x:c r="C5636" s="24" t="e">
        <x:f>HYPERLINK("https://365nails.com/products/365nails-jelly-holographic-butterfly-handmade-press-on-nails-1","365nails: ""Jelly Holographic Butterfly"" – Nail Art Stickers")</x:f>
        <x:v>HYPERLINK is not implemented. linkLocation=https://365nails.com/products/365nails-jelly-holographic-butterfly-handmade-press-on-nails-1, friendlyName=365nails: "Jelly Holographic Butterfly" – Nail Art Stickers</x:v>
      </x:c>
      <x:c r="D5636" s="18" t="str">
        <x:v>Specification type: Ms844-jelly / Ms845-jelly</x:v>
      </x:c>
      <x:c r="E5636" s="25" t="str">
        <x:v>$1.23</x:v>
      </x:c>
      <x:c r="F5636" s="19" t="str">
        <x:v>5</x:v>
      </x:c>
    </x:row>
    <x:row r="5637" ht="93" customHeight="1">
      <x:c r="A5637" s="19" t="n">
        <x:v>5634</x:v>
      </x:c>
      <x:c r="B5637" s="22" t="e">
        <x:f>HYPERLINK("https://cdn.shopify.com/s/files/1/0918/6066/4603/files/16cdc46c1b062e107ad3861bbf5294b5.jpg?v=1771412892","Open")</x:f>
        <x:v>HYPERLINK is not implemented. linkLocation=https://cdn.shopify.com/s/files/1/0918/6066/4603/files/16cdc46c1b062e107ad3861bbf5294b5.jpg?v=1771412892, friendlyName=Open</x:v>
      </x:c>
      <x:c r="C5637" s="24" t="e">
        <x:f>HYPERLINK("https://365nails.com/products/rosy-cloud-mist-ethereal-ink-series","Ethereal Ink: ""Rosy Cloud Mist"" – Translucent Pink Blush Ombre &amp; Milky Smoke Marble with Silver Glitter Almond Nails")</x:f>
        <x:v>HYPERLINK is not implemented. linkLocation=https://365nails.com/products/rosy-cloud-mist-ethereal-ink-series, friendlyName=Ethereal Ink: "Rosy Cloud Mist" – Translucent Pink Blush Ombre &amp; Milky Smoke Marble with Silver Glitter Almond Nails</x:v>
      </x:c>
      <x:c r="D5637" s="18" t="str">
        <x:v>Size: XS / S / M / L</x:v>
      </x:c>
      <x:c r="E5637" s="25" t="str">
        <x:v>$3.99</x:v>
      </x:c>
      <x:c r="F5637" s="19" t="str">
        <x:v>30</x:v>
      </x:c>
    </x:row>
    <x:row r="5638" ht="93" customHeight="1">
      <x:c r="A5638" s="19" t="n">
        <x:v>5635</x:v>
      </x:c>
      <x:c r="B5638" s="22" t="e">
        <x:f>HYPERLINK("https://cdn.shopify.com/s/files/1/0918/6066/4603/files/O1CN01seaZA61HlWm3gUgvR__2545140798-0-cib_5218efb3-9dc1-4179-a250-ff79c0eb5307.jpg?v=1775743627","Open")</x:f>
        <x:v>HYPERLINK is not implemented. linkLocation=https://cdn.shopify.com/s/files/1/0918/6066/4603/files/O1CN01seaZA61HlWm3gUgvR__2545140798-0-cib_5218efb3-9dc1-4179-a250-ff79c0eb5307.jpg?v=1775743627, friendlyName=Open</x:v>
      </x:c>
      <x:c r="C5638" s="24" t="e">
        <x:f>HYPERLINK("https://365nails.com/products/365nails-bohemian-floral-mandala-handmade-press-on-nails","365nails: ""Bohemian Floral Mandala"" – Nail Art Stickers")</x:f>
        <x:v>HYPERLINK is not implemented. linkLocation=https://365nails.com/products/365nails-bohemian-floral-mandala-handmade-press-on-nails, friendlyName=365nails: "Bohemian Floral Mandala" – Nail Art Stickers</x:v>
      </x:c>
      <x:c r="D5638" s="18" t="str">
        <x:v>Specification type: L04 / L07 / L10th</x:v>
      </x:c>
      <x:c r="E5638" s="25" t="str">
        <x:v>$1.23</x:v>
      </x:c>
      <x:c r="F5638" s="19" t="str">
        <x:v>5</x:v>
      </x:c>
    </x:row>
    <x:row r="5639" ht="93" customHeight="1">
      <x:c r="A5639" s="19" t="n">
        <x:v>5636</x:v>
      </x:c>
      <x:c r="B5639" s="22" t="e">
        <x:f>HYPERLINK("https://cdn.shopify.com/s/files/1/0918/6066/4603/files/O1CN01gSIXA51HlWjZyiGN0__2545140798-0-cib_bd83e3e4-dd5c-4f5e-9bce-4c4e06d8d842.jpg?v=1775811959","Open")</x:f>
        <x:v>HYPERLINK is not implemented. linkLocation=https://cdn.shopify.com/s/files/1/0918/6066/4603/files/O1CN01gSIXA51HlWjZyiGN0__2545140798-0-cib_bd83e3e4-dd5c-4f5e-9bce-4c4e06d8d842.jpg?v=1775811959, friendlyName=Open</x:v>
      </x:c>
      <x:c r="C5639" s="24" t="e">
        <x:f>HYPERLINK("https://365nails.com/products/365nails-fresh-strawberry-handmade-press-on-nails","365nails: ""Fresh Strawberry"" – Nail Art Stickers")</x:f>
        <x:v>HYPERLINK is not implemented. linkLocation=https://365nails.com/products/365nails-fresh-strawberry-handmade-press-on-nails, friendlyName=365nails: "Fresh Strawberry" – Nail Art Stickers</x:v>
      </x:c>
      <x:c r="D5639" s="18" t="str">
        <x:v>Specification type: Relief ms53 / Ms 54 / Relief ms55</x:v>
      </x:c>
      <x:c r="E5639" s="25" t="str">
        <x:v>$1.23</x:v>
      </x:c>
      <x:c r="F5639" s="19" t="str">
        <x:v>5</x:v>
      </x:c>
    </x:row>
    <x:row r="5640" ht="93" customHeight="1">
      <x:c r="A5640" s="19" t="n">
        <x:v>5637</x:v>
      </x:c>
      <x:c r="B5640" s="22" t="e">
        <x:f>HYPERLINK("https://cdn.shopify.com/s/files/1/0918/6066/4603/files/O1CN016DJSNA1HlX93jASwm__2545140798-0-cib.jpg?v=1775741221","Open")</x:f>
        <x:v>HYPERLINK is not implemented. linkLocation=https://cdn.shopify.com/s/files/1/0918/6066/4603/files/O1CN016DJSNA1HlX93jASwm__2545140798-0-cib.jpg?v=1775741221, friendlyName=Open</x:v>
      </x:c>
      <x:c r="C5640" s="24" t="e">
        <x:f>HYPERLINK("https://365nails.com/products/365nails-y2k-pink-anime-handmade-press-on-nails","365nails: ""Y2K Pink Anime"" –Nail Art Stickers")</x:f>
        <x:v>HYPERLINK is not implemented. linkLocation=https://365nails.com/products/365nails-y2k-pink-anime-handmade-press-on-nails, friendlyName=365nails: "Y2K Pink Anime" –Nail Art Stickers</x:v>
      </x:c>
      <x:c r="D5640" s="18" t="str">
        <x:v>Specification type: To4053-relief / To4055-relief</x:v>
      </x:c>
      <x:c r="E5640" s="25" t="str">
        <x:v>$1.23</x:v>
      </x:c>
      <x:c r="F5640" s="19" t="str">
        <x:v>5</x:v>
      </x:c>
    </x:row>
    <x:row r="5641" ht="93" customHeight="1">
      <x:c r="A5641" s="19" t="n">
        <x:v>5638</x:v>
      </x:c>
      <x:c r="B5641" s="22" t="e">
        <x:f>HYPERLINK("https://cdn.shopify.com/s/files/1/0918/6066/4603/files/O1CN01F0OkZ41HlWrylMP9Q__2545140798-0-cib_bef9301f-bc3a-4740-9713-7112bc6b5069.jpg?v=1775745788","Open")</x:f>
        <x:v>HYPERLINK is not implemented. linkLocation=https://cdn.shopify.com/s/files/1/0918/6066/4603/files/O1CN01F0OkZ41HlWrylMP9Q__2545140798-0-cib_bef9301f-bc3a-4740-9713-7112bc6b5069.jpg?v=1775745788, friendlyName=Open</x:v>
      </x:c>
      <x:c r="C5641" s="24" t="e">
        <x:f>HYPERLINK("https://365nails.com/products/365nails-easter-bunny-lace-tulip-handmade-press-on-nails","365nails: ""Easter Bunny Lace Tulip"" – Nail Art Stickers")</x:f>
        <x:v>HYPERLINK is not implemented. linkLocation=https://365nails.com/products/365nails-easter-bunny-lace-tulip-handmade-press-on-nails, friendlyName=365nails: "Easter Bunny Lace Tulip" – Nail Art Stickers</x:v>
      </x:c>
      <x:c r="D5641" s="18" t="str">
        <x:v>Specification type: To2754 / To2755 / To2756 / To2757</x:v>
      </x:c>
      <x:c r="E5641" s="25" t="str">
        <x:v>$1.23</x:v>
      </x:c>
      <x:c r="F5641" s="19" t="str">
        <x:v>5</x:v>
      </x:c>
    </x:row>
    <x:row r="5642" ht="93" customHeight="1">
      <x:c r="A5642" s="19" t="n">
        <x:v>5639</x:v>
      </x:c>
      <x:c r="B5642" s="22" t="e">
        <x:f>HYPERLINK("https://cdn.shopify.com/s/files/1/0918/6066/4603/files/O1CN01MTl1Zi2NGI07poTfe__4234819935-0-cib_7fa1993c-87e0-401b-aadd-1cfa3b14d1dd.jpg?v=1776674238","Open")</x:f>
        <x:v>HYPERLINK is not implemented. linkLocation=https://cdn.shopify.com/s/files/1/0918/6066/4603/files/O1CN01MTl1Zi2NGI07poTfe__4234819935-0-cib_7fa1993c-87e0-401b-aadd-1cfa3b14d1dd.jpg?v=1776674238, friendlyName=Open</x:v>
      </x:c>
      <x:c r="C5642" s="24" t="e">
        <x:f>HYPERLINK("https://365nails.com/products/365nails-leopard-hibiscus-almond-floral-rhinestone-accent-press-on-nails","365nails: ""Leopard Hibiscus Almond"" – Floral &amp; Rhinestone Accent Press-on Nails")</x:f>
        <x:v>HYPERLINK is not implemented. linkLocation=https://365nails.com/products/365nails-leopard-hibiscus-almond-floral-rhinestone-accent-press-on-nails, friendlyName=365nails: "Leopard Hibiscus Almond" – Floral &amp; Rhinestone Accent Press-on Nails</x:v>
      </x:c>
      <x:c r="D5642" s="18" t="str">
        <x:v>Color: Jp 4021</x:v>
      </x:c>
      <x:c r="E5642" s="25" t="str">
        <x:v>$1.99</x:v>
      </x:c>
      <x:c r="F5642" s="19" t="str">
        <x:v>1</x:v>
      </x:c>
    </x:row>
    <x:row r="5643" ht="93" customHeight="1">
      <x:c r="A5643" s="19" t="n">
        <x:v>5640</x:v>
      </x:c>
      <x:c r="B5643" s="22" t="e">
        <x:f>HYPERLINK("https://cdn.shopify.com/s/files/1/0918/6066/4603/files/O1CN019kBPm01HlWlyGUsyl__2545140798-0-cib_f3d253fc-83d0-47bd-bd81-1f4477ea8ff4.jpg?v=1775743553","Open")</x:f>
        <x:v>HYPERLINK is not implemented. linkLocation=https://cdn.shopify.com/s/files/1/0918/6066/4603/files/O1CN019kBPm01HlWlyGUsyl__2545140798-0-cib_f3d253fc-83d0-47bd-bd81-1f4477ea8ff4.jpg?v=1775743553, friendlyName=Open</x:v>
      </x:c>
      <x:c r="C5643" s="24" t="e">
        <x:f>HYPERLINK("https://365nails.com/products/365nails-holographic-heart-handmade-press-on-nails","365nails: ""Holographic Heart"" – Nail Art Stickers")</x:f>
        <x:v>HYPERLINK is not implemented. linkLocation=https://365nails.com/products/365nails-holographic-heart-handmade-press-on-nails, friendlyName=365nails: "Holographic Heart" – Nail Art Stickers</x:v>
      </x:c>
      <x:c r="D5643" s="18" t="str">
        <x:v>Specification type: Laser love</x:v>
      </x:c>
      <x:c r="E5643" s="25" t="str">
        <x:v>$1.06</x:v>
      </x:c>
      <x:c r="F5643" s="19" t="str">
        <x:v>5</x:v>
      </x:c>
    </x:row>
    <x:row r="5644" ht="93" customHeight="1">
      <x:c r="A5644" s="19" t="n">
        <x:v>5641</x:v>
      </x:c>
      <x:c r="B5644" s="22" t="e">
        <x:f>HYPERLINK("https://cdn.shopify.com/s/files/1/0918/6066/4603/files/O1CN01F1Hbt81HlX2FTjoLL__2545140798-0-cib_38d4e351-bd2d-499b-b906-fb506d6cd9b1.jpg?v=1775453403","Open")</x:f>
        <x:v>HYPERLINK is not implemented. linkLocation=https://cdn.shopify.com/s/files/1/0918/6066/4603/files/O1CN01F1Hbt81HlX2FTjoLL__2545140798-0-cib_38d4e351-bd2d-499b-b906-fb506d6cd9b1.jpg?v=1775453403, friendlyName=Open</x:v>
      </x:c>
      <x:c r="C5644" s="24" t="e">
        <x:f>HYPERLINK("https://365nails.com/products/365nails-holographic-pink-crystal-bows-handmade-press-on-nails","365nails: ""Holographic Pink Crystal Bows"" – Nail Art Stickers")</x:f>
        <x:v>HYPERLINK is not implemented. linkLocation=https://365nails.com/products/365nails-holographic-pink-crystal-bows-handmade-press-on-nails, friendlyName=365nails: "Holographic Pink Crystal Bows" – Nail Art Stickers</x:v>
      </x:c>
      <x:c r="D5644" s="18" t="str">
        <x:v>Specification type: To4270-laser pink crystal diamond / To4270-laser silver crystal diamond / To4270-rose gold crystal diamond / To4270-new hot stamping crystal diamond / To4270-silver crystal diamond</x:v>
      </x:c>
      <x:c r="E5644" s="25" t="str">
        <x:v>$1.30</x:v>
      </x:c>
      <x:c r="F5644" s="19" t="str">
        <x:v>5</x:v>
      </x:c>
    </x:row>
    <x:row r="5645" ht="93" customHeight="1">
      <x:c r="A5645" s="19" t="n">
        <x:v>5642</x:v>
      </x:c>
      <x:c r="B5645" s="22" t="e">
        <x:f>HYPERLINK("https://cdn.shopify.com/s/files/1/0918/6066/4603/files/O1CN01uUBc8s1HlWnKzxpJs__2545140798-0-cib_f42332b8-f914-4491-a7b7-327d38dbb1c7.jpg?v=1775743198","Open")</x:f>
        <x:v>HYPERLINK is not implemented. linkLocation=https://cdn.shopify.com/s/files/1/0918/6066/4603/files/O1CN01uUBc8s1HlWnKzxpJs__2545140798-0-cib_f42332b8-f914-4491-a7b7-327d38dbb1c7.jpg?v=1775743198, friendlyName=Open</x:v>
      </x:c>
      <x:c r="C5645" s="24" t="e">
        <x:f>HYPERLINK("https://365nails.com/products/365nails-holographic-frame-border-handmade-press-on-nails","365nails: ""Holographic Frame Border"" – Nail Art Stickers")</x:f>
        <x:v>HYPERLINK is not implemented. linkLocation=https://365nails.com/products/365nails-holographic-frame-border-handmade-press-on-nails, friendlyName=365nails: "Holographic Frame Border" – Nail Art Stickers</x:v>
      </x:c>
      <x:c r="D5645" s="18" t="str">
        <x:v>Specification type: Ta67 laser silver / Ta67 new hot stamping / Ta67 rose gold</x:v>
      </x:c>
      <x:c r="E5645" s="25" t="str">
        <x:v>$1.23</x:v>
      </x:c>
      <x:c r="F5645" s="19" t="str">
        <x:v>5</x:v>
      </x:c>
    </x:row>
    <x:row r="5646" ht="93" customHeight="1">
      <x:c r="A5646" s="19" t="n">
        <x:v>5643</x:v>
      </x:c>
      <x:c r="B5646" s="22" t="e">
        <x:f>HYPERLINK("https://cdn.shopify.com/s/files/1/0918/6066/4603/files/O1CN01dMs0bv1HlWsQsRK0S__2545140798-0-cib_24184392-7b6b-483d-8a47-8de4febd1443.jpg?v=1775746850","Open")</x:f>
        <x:v>HYPERLINK is not implemented. linkLocation=https://cdn.shopify.com/s/files/1/0918/6066/4603/files/O1CN01dMs0bv1HlWsQsRK0S__2545140798-0-cib_24184392-7b6b-483d-8a47-8de4febd1443.jpg?v=1775746850, friendlyName=Open</x:v>
      </x:c>
      <x:c r="C5646" s="24" t="e">
        <x:f>HYPERLINK("https://365nails.com/products/365nails-red-gradient-cloud-star-handmade-press-on-nails","365nails: ""Red Gradient Cloud Star"" – Nail Art Stickers")</x:f>
        <x:v>HYPERLINK is not implemented. linkLocation=https://365nails.com/products/365nails-red-gradient-cloud-star-handmade-press-on-nails, friendlyName=365nails: "Red Gradient Cloud Star" – Nail Art Stickers</x:v>
      </x:c>
      <x:c r="D5646" s="18" t="str">
        <x:v>Specification type: To2785</x:v>
      </x:c>
      <x:c r="E5646" s="25" t="str">
        <x:v>$1.23</x:v>
      </x:c>
      <x:c r="F5646" s="19" t="str">
        <x:v>5</x:v>
      </x:c>
    </x:row>
    <x:row r="5647" ht="93" customHeight="1">
      <x:c r="A5647" s="19" t="n">
        <x:v>5644</x:v>
      </x:c>
      <x:c r="B5647" s="22" t="e">
        <x:f>HYPERLINK("https://cdn.shopify.com/s/files/1/0918/6066/4603/files/O1CN01P4zpZC1HlWphm8Wc9__2545140798-0-cib_dda09b16-fd4f-46e0-b563-e42449c4c1d2.jpg?v=1775831930","Open")</x:f>
        <x:v>HYPERLINK is not implemented. linkLocation=https://cdn.shopify.com/s/files/1/0918/6066/4603/files/O1CN01P4zpZC1HlWphm8Wc9__2545140798-0-cib_dda09b16-fd4f-46e0-b563-e42449c4c1d2.jpg?v=1775831930, friendlyName=Open</x:v>
      </x:c>
      <x:c r="C5647" s="24" t="e">
        <x:f>HYPERLINK("https://365nails.com/products/365nails-mini-pastel-daisy-flower-handmade-press-on-nails","365nails: ""Mini Pastel Daisy Flower"" – Nail Art Stickers")</x:f>
        <x:v>HYPERLINK is not implemented. linkLocation=https://365nails.com/products/365nails-mini-pastel-daisy-flower-handmade-press-on-nails, friendlyName=365nails: "Mini Pastel Daisy Flower" – Nail Art Stickers</x:v>
      </x:c>
      <x:c r="D5647" s="18" t="str">
        <x:v>Specification type: To1538</x:v>
      </x:c>
      <x:c r="E5647" s="25" t="str">
        <x:v>$1.23</x:v>
      </x:c>
      <x:c r="F5647" s="19" t="str">
        <x:v>5</x:v>
      </x:c>
    </x:row>
    <x:row r="5648" ht="93" customHeight="1">
      <x:c r="A5648" s="19" t="n">
        <x:v>5645</x:v>
      </x:c>
      <x:c r="B5648" s="22" t="e">
        <x:f>HYPERLINK("https://cdn.shopify.com/s/files/1/0918/6066/4603/files/O1CN013UsMYw1HlX8oCz2Ks__2545140798-0-cib_24e33004-81ed-471c-866d-3a3703909f98.jpg?v=1775741086","Open")</x:f>
        <x:v>HYPERLINK is not implemented. linkLocation=https://cdn.shopify.com/s/files/1/0918/6066/4603/files/O1CN013UsMYw1HlX8oCz2Ks__2545140798-0-cib_24e33004-81ed-471c-866d-3a3703909f98.jpg?v=1775741086, friendlyName=Open</x:v>
      </x:c>
      <x:c r="C5648" s="24" t="e">
        <x:f>HYPERLINK("https://365nails.com/products/365nails-aurora-jelly-butterfly-handmade-press-on-nails","365nails: ""Aurora Jelly Butterfly"" –Nail Art Stickers")</x:f>
        <x:v>HYPERLINK is not implemented. linkLocation=https://365nails.com/products/365nails-aurora-jelly-butterfly-handmade-press-on-nails, friendlyName=365nails: "Aurora Jelly Butterfly" –Nail Art Stickers</x:v>
      </x:c>
      <x:c r="D5648" s="18" t="str">
        <x:v>Specification type: Ms844-jelly</x:v>
      </x:c>
      <x:c r="E5648" s="25" t="str">
        <x:v>$1.16</x:v>
      </x:c>
      <x:c r="F5648" s="19" t="str">
        <x:v>5</x:v>
      </x:c>
    </x:row>
    <x:row r="5649" ht="93" customHeight="1">
      <x:c r="A5649" s="19" t="n">
        <x:v>5646</x:v>
      </x:c>
      <x:c r="B5649" s="22" t="e">
        <x:f>HYPERLINK("https://cdn.shopify.com/s/files/1/0918/6066/4603/files/O1CN01dMs0bv1HlWsQsRK0S__2545140798-0-cib_54a4925e-e9be-4b7e-8da1-f2df108879d0.jpg?v=1776343907","Open")</x:f>
        <x:v>HYPERLINK is not implemented. linkLocation=https://cdn.shopify.com/s/files/1/0918/6066/4603/files/O1CN01dMs0bv1HlWsQsRK0S__2545140798-0-cib_54a4925e-e9be-4b7e-8da1-f2df108879d0.jpg?v=1776343907, friendlyName=Open</x:v>
      </x:c>
      <x:c r="C5649" s="24" t="e">
        <x:f>HYPERLINK("https://365nails.com/products/365nails-red-gradient-cloud-star-nail-art-stickers","365nails: ""Red Gradient Cloud Star"" –nail art stickers")</x:f>
        <x:v>HYPERLINK is not implemented. linkLocation=https://365nails.com/products/365nails-red-gradient-cloud-star-nail-art-stickers, friendlyName=365nails: "Red Gradient Cloud Star" –nail art stickers</x:v>
      </x:c>
      <x:c r="D5649" s="18" t="str">
        <x:v>Specification type: To2785</x:v>
      </x:c>
      <x:c r="E5649" s="25" t="str">
        <x:v>$1.23</x:v>
      </x:c>
      <x:c r="F5649" s="19" t="str">
        <x:v>5</x:v>
      </x:c>
    </x:row>
    <x:row r="5650" ht="93" customHeight="1">
      <x:c r="A5650" s="19" t="n">
        <x:v>5647</x:v>
      </x:c>
      <x:c r="B5650" s="22" t="e">
        <x:f>HYPERLINK("https://cdn.shopify.com/s/files/1/0918/6066/4603/files/O1CN0166qDkB1HlWqLd6qVB__2545140798-0-cib_79e83722-d499-4d9c-8ba9-43d5aa846140.jpg?v=1775832293","Open")</x:f>
        <x:v>HYPERLINK is not implemented. linkLocation=https://cdn.shopify.com/s/files/1/0918/6066/4603/files/O1CN0166qDkB1HlWqLd6qVB__2545140798-0-cib_79e83722-d499-4d9c-8ba9-43d5aa846140.jpg?v=1775832293, friendlyName=Open</x:v>
      </x:c>
      <x:c r="C5650" s="24" t="e">
        <x:f>HYPERLINK("https://365nails.com/products/365nails-pastel-lace-border-embossed-handmade-press-on-nails","365nails: ""Pastel Lace Border Embossed"" – Nail Art Stickers")</x:f>
        <x:v>HYPERLINK is not implemented. linkLocation=https://365nails.com/products/365nails-pastel-lace-border-embossed-handmade-press-on-nails, friendlyName=365nails: "Pastel Lace Border Embossed" – Nail Art Stickers</x:v>
      </x:c>
      <x:c r="D5650" s="18" t="str">
        <x:v>Specification type: Ms 227 / Ms 226</x:v>
      </x:c>
      <x:c r="E5650" s="25" t="str">
        <x:v>$1.23</x:v>
      </x:c>
      <x:c r="F5650" s="19" t="str">
        <x:v>5</x:v>
      </x:c>
    </x:row>
    <x:row r="5651" ht="93" customHeight="1">
      <x:c r="A5651" s="19" t="n">
        <x:v>5648</x:v>
      </x:c>
      <x:c r="B5651" s="22" t="e">
        <x:f>HYPERLINK("https://cdn.shopify.com/s/files/1/0918/6066/4603/files/21808055392_1801976554_86b4606a-7bb2-4ba3-913e-28824239d6fc.jpg?v=1775807172","Open")</x:f>
        <x:v>HYPERLINK is not implemented. linkLocation=https://cdn.shopify.com/s/files/1/0918/6066/4603/files/21808055392_1801976554_86b4606a-7bb2-4ba3-913e-28824239d6fc.jpg?v=1775807172, friendlyName=Open</x:v>
      </x:c>
      <x:c r="C5651" s="24" t="e">
        <x:f>HYPERLINK("https://365nails.com/products/365nails-minimalist-english-text-handmade-press-on-nails","365nails: ""Minimalist English Text"" – Nail Art Stickers")</x:f>
        <x:v>HYPERLINK is not implemented. linkLocation=https://365nails.com/products/365nails-minimalist-english-text-handmade-press-on-nails, friendlyName=365nails: "Minimalist English Text" – Nail Art Stickers</x:v>
      </x:c>
      <x:c r="D5651" s="18" t="str">
        <x:v>Color: Tomoni 196 / Tomoni 197</x:v>
      </x:c>
      <x:c r="E5651" s="25" t="str">
        <x:v>$1.06</x:v>
      </x:c>
      <x:c r="F5651" s="19" t="str">
        <x:v>5</x:v>
      </x:c>
    </x:row>
    <x:row r="5652" ht="93" customHeight="1">
      <x:c r="A5652" s="19" t="n">
        <x:v>5649</x:v>
      </x:c>
      <x:c r="B5652" s="22" t="e">
        <x:f>HYPERLINK("https://cdn.shopify.com/s/files/1/0918/6066/4603/files/O1CN01C7VHve1HlWnfTjAb2__2545140798-0-cib_cbb0a09d-3f4d-490b-844c-5091531a1737.jpg?v=1775830818","Open")</x:f>
        <x:v>HYPERLINK is not implemented. linkLocation=https://cdn.shopify.com/s/files/1/0918/6066/4603/files/O1CN01C7VHve1HlWnfTjAb2__2545140798-0-cib_cbb0a09d-3f4d-490b-844c-5091531a1737.jpg?v=1775830818, friendlyName=Open</x:v>
      </x:c>
      <x:c r="C5652" s="24" t="e">
        <x:f>HYPERLINK("https://365nails.com/products/365nails-copper-blossom-flower-script-handmade-press-on-nails","365nails: ""Copper Blossom Flower Script"" – Nail Art Stickers")</x:f>
        <x:v>HYPERLINK is not implemented. linkLocation=https://365nails.com/products/365nails-copper-blossom-flower-script-handmade-press-on-nails, friendlyName=365nails: "Copper Blossom Flower Script" – Nail Art Stickers</x:v>
      </x:c>
      <x:c r="D5652" s="18" t="str">
        <x:v>Specification type: To1300</x:v>
      </x:c>
      <x:c r="E5652" s="25" t="str">
        <x:v>$1.09</x:v>
      </x:c>
      <x:c r="F5652" s="19" t="str">
        <x:v>5</x:v>
      </x:c>
    </x:row>
    <x:row r="5653" ht="93" customHeight="1">
      <x:c r="A5653" s="19" t="n">
        <x:v>5650</x:v>
      </x:c>
      <x:c r="B5653" s="22" t="e">
        <x:f>HYPERLINK("https://cdn.shopify.com/s/files/1/0918/6066/4603/files/O1CN01ko3X2P1HlX6bsB4JP__2545140798-0-cib.jpg?v=1773746913","Open")</x:f>
        <x:v>HYPERLINK is not implemented. linkLocation=https://cdn.shopify.com/s/files/1/0918/6066/4603/files/O1CN01ko3X2P1HlX6bsB4JP__2545140798-0-cib.jpg?v=1773746913, friendlyName=Open</x:v>
      </x:c>
      <x:c r="C5653" s="24" t="e">
        <x:f>HYPERLINK("https://365nails.com/products/moschino-big-head-teddy-bear-luxury-teddy-crew-5d-embossed-nail-sticker","Moschino Big Head Teddy Bear: ""Luxury Teddy Crew"" – 5D Embossed Nail Sticker")</x:f>
        <x:v>HYPERLINK is not implemented. linkLocation=https://365nails.com/products/moschino-big-head-teddy-bear-luxury-teddy-crew-5d-embossed-nail-sticker, friendlyName=Moschino Big Head Teddy Bear: "Luxury Teddy Crew" – 5D Embossed Nail Sticker</x:v>
      </x:c>
      <x:c r="D5653" s="18" t="str">
        <x:v>Color: Pro019 / Pro 107 / Pro 163 / Pro 165 / Pro 166 / Pro 131 / To180 / To208 / To209 / To220 / To222 / To253 / To258 / To298 / To277 / To280 / To281 / To313 / To314 / To331 / To332 / To334 / To335 / To336 / To343 / To346 / To352 / To359 / To363 / To365 / To367 / To382 / To397 / To412 / To413 / To422 / To432 / To434 / To451 / To463 / To466 / To467 / To476 / To477 / To502-relief / To512-relief / To517 / To527 / To535 / To536 / To540 / To562-relief / To1146 / To2578 / To2580 / Ms 294 / To472</x:v>
      </x:c>
      <x:c r="E5653" s="25" t="str">
        <x:v>$1.01</x:v>
      </x:c>
      <x:c r="F5653" s="19" t="str">
        <x:v>5</x:v>
      </x:c>
    </x:row>
    <x:row r="5654" ht="93" customHeight="1">
      <x:c r="A5654" s="19" t="n">
        <x:v>5651</x:v>
      </x:c>
      <x:c r="B5654" s="22" t="e">
        <x:f>HYPERLINK("https://cdn.shopify.com/s/files/1/0918/6066/4603/files/O1CN01eOB0Fu1HlWt1UQCUh__2545140798-0-cib_3ec5a0d4-b1f8-4b25-90bc-cac19f8e9a2a.jpg?v=1775804907","Open")</x:f>
        <x:v>HYPERLINK is not implemented. linkLocation=https://cdn.shopify.com/s/files/1/0918/6066/4603/files/O1CN01eOB0Fu1HlWt1UQCUh__2545140798-0-cib_3ec5a0d4-b1f8-4b25-90bc-cac19f8e9a2a.jpg?v=1775804907, friendlyName=Open</x:v>
      </x:c>
      <x:c r="C5654" s="24" t="e">
        <x:f>HYPERLINK("https://365nails.com/products/365nails-vintage-portrait-frame-handmade-press-on-nails","365nails: ""Vintage Portrait Frame"" – Nail Art Stickers")</x:f>
        <x:v>HYPERLINK is not implemented. linkLocation=https://365nails.com/products/365nails-vintage-portrait-frame-handmade-press-on-nails, friendlyName=365nails: "Vintage Portrait Frame" – Nail Art Stickers</x:v>
      </x:c>
      <x:c r="D5654" s="18" t="str">
        <x:v>Specification type: Ms 308 / Ms 310</x:v>
      </x:c>
      <x:c r="E5654" s="25" t="str">
        <x:v>$1.09</x:v>
      </x:c>
      <x:c r="F5654" s="19" t="str">
        <x:v>5</x:v>
      </x:c>
    </x:row>
    <x:row r="5655" ht="93" customHeight="1">
      <x:c r="A5655" s="19" t="n">
        <x:v>5652</x:v>
      </x:c>
      <x:c r="B5655" s="22" t="e">
        <x:f>HYPERLINK("https://cdn.shopify.com/s/files/1/0918/6066/4603/files/O1CN018imyjl1HlWpy9Wmry__2545140798-0-cib_e3b931ae-d4dd-4784-9e36-37bb79b00816.jpg?v=1775745562","Open")</x:f>
        <x:v>HYPERLINK is not implemented. linkLocation=https://cdn.shopify.com/s/files/1/0918/6066/4603/files/O1CN018imyjl1HlWpy9Wmry__2545140798-0-cib_e3b931ae-d4dd-4784-9e36-37bb79b00816.jpg?v=1775745562, friendlyName=Open</x:v>
      </x:c>
      <x:c r="C5655" s="24" t="e">
        <x:f>HYPERLINK("https://365nails.com/products/365nails-vintage-lace-floral-border-handmade-press-on-nails","365nails: ""Vintage Lace Floral Border"" – Nail Art Stickers")</x:f>
        <x:v>HYPERLINK is not implemented. linkLocation=https://365nails.com/products/365nails-vintage-lace-floral-border-handmade-press-on-nails, friendlyName=365nails: "Vintage Lace Floral Border" – Nail Art Stickers</x:v>
      </x:c>
      <x:c r="D5655" s="18" t="str">
        <x:v>Specification type: Ta 131 / Ta 132 / Ta 133 / Ta 134 / Ta 135 / Ta 136</x:v>
      </x:c>
      <x:c r="E5655" s="25" t="str">
        <x:v>$1.09</x:v>
      </x:c>
      <x:c r="F5655" s="19" t="str">
        <x:v>5</x:v>
      </x:c>
    </x:row>
    <x:row r="5656" ht="93" customHeight="1">
      <x:c r="A5656" s="19" t="n">
        <x:v>5653</x:v>
      </x:c>
      <x:c r="B5656" s="22" t="e">
        <x:f>HYPERLINK("https://cdn.shopify.com/s/files/1/0918/6066/4603/files/O1CN01VlCEt91HlX9AfYhGT__2545140798-0-cib_3c5e048d-fe01-42d5-bd14-c75b4688e02d.jpg?v=1775742497","Open")</x:f>
        <x:v>HYPERLINK is not implemented. linkLocation=https://cdn.shopify.com/s/files/1/0918/6066/4603/files/O1CN01VlCEt91HlX9AfYhGT__2545140798-0-cib_3c5e048d-fe01-42d5-bd14-c75b4688e02d.jpg?v=1775742497, friendlyName=Open</x:v>
      </x:c>
      <x:c r="C5656" s="24" t="e">
        <x:f>HYPERLINK("https://365nails.com/products/365nails-aurora-crystal-flower-handmade-press-on-nails","365nails: ""Aurora Crystal Flower"" –Nail Art Stickers")</x:f>
        <x:v>HYPERLINK is not implemented. linkLocation=https://365nails.com/products/365nails-aurora-crystal-flower-handmade-press-on-nails, friendlyName=365nails: "Aurora Crystal Flower" –Nail Art Stickers</x:v>
      </x:c>
      <x:c r="D5656" s="18" t="str">
        <x:v>Specification type: To4941-crystal diamond / To4942-crystal diamond / To5252-crystal diamond</x:v>
      </x:c>
      <x:c r="E5656" s="25" t="str">
        <x:v>$1.30</x:v>
      </x:c>
      <x:c r="F5656" s="19" t="str">
        <x:v>5</x:v>
      </x:c>
    </x:row>
    <x:row r="5657" ht="93" customHeight="1">
      <x:c r="A5657" s="19" t="n">
        <x:v>5654</x:v>
      </x:c>
      <x:c r="B5657" s="22" t="e">
        <x:f>HYPERLINK("https://cdn.shopify.com/s/files/1/0918/6066/4603/files/O1CN01kIkjCw1HlWo97KfKz__2545140798-0-cib_a355fed2-5b2b-4fff-a4c3-abd36620b606.jpg?v=1775831169","Open")</x:f>
        <x:v>HYPERLINK is not implemented. linkLocation=https://cdn.shopify.com/s/files/1/0918/6066/4603/files/O1CN01kIkjCw1HlWo97KfKz__2545140798-0-cib_a355fed2-5b2b-4fff-a4c3-abd36620b606.jpg?v=1775831169, friendlyName=Open</x:v>
      </x:c>
      <x:c r="C5657" s="24" t="e">
        <x:f>HYPERLINK("https://365nails.com/products/365nails-smiley-daisy-flower-bow-lollipop-handmade-press-on-nails","365nails: ""Smiley Daisy Flower Bow Lollipop"" – Nail Art Stickers")</x:f>
        <x:v>HYPERLINK is not implemented. linkLocation=https://365nails.com/products/365nails-smiley-daisy-flower-bow-lollipop-handmade-press-on-nails, friendlyName=365nails: "Smiley Daisy Flower Bow Lollipop" – Nail Art Stickers</x:v>
      </x:c>
      <x:c r="D5657" s="18" t="str">
        <x:v>Specification type: To1296 / To1270</x:v>
      </x:c>
      <x:c r="E5657" s="25" t="str">
        <x:v>$1.23</x:v>
      </x:c>
      <x:c r="F5657" s="19" t="str">
        <x:v>5</x:v>
      </x:c>
    </x:row>
    <x:row r="5658" ht="93" customHeight="1">
      <x:c r="A5658" s="19" t="n">
        <x:v>5655</x:v>
      </x:c>
      <x:c r="B5658" s="22" t="e">
        <x:f>HYPERLINK("https://cdn.shopify.com/s/files/1/0918/6066/4603/files/O1CN0187kyGg1HlX9Guw2V6__2545140798-0-cib_9c58f5e8-c2de-4da1-a010-f6c18567b607.jpg?v=1775741391","Open")</x:f>
        <x:v>HYPERLINK is not implemented. linkLocation=https://cdn.shopify.com/s/files/1/0918/6066/4603/files/O1CN0187kyGg1HlX9Guw2V6__2545140798-0-cib_9c58f5e8-c2de-4da1-a010-f6c18567b607.jpg?v=1775741391, friendlyName=Open</x:v>
      </x:c>
      <x:c r="C5658" s="24" t="e">
        <x:f>HYPERLINK("https://365nails.com/products/365nails-gold-butterfly-snowflake-handmade-press-on-nails","365nails: ""Gold Butterfly Snowflake"" –Nail Art Stickers")</x:f>
        <x:v>HYPERLINK is not implemented. linkLocation=https://365nails.com/products/365nails-gold-butterfly-snowflake-handmade-press-on-nails, friendlyName=365nails: "Gold Butterfly Snowflake" –Nail Art Stickers</x:v>
      </x:c>
      <x:c r="D5658" s="18" t="str">
        <x:v>Specification type: To5312 new hot stamping-jelly / To5312 silver-jelly</x:v>
      </x:c>
      <x:c r="E5658" s="25" t="str">
        <x:v>$1.23</x:v>
      </x:c>
      <x:c r="F5658" s="19" t="str">
        <x:v>5</x:v>
      </x:c>
    </x:row>
    <x:row r="5659" ht="93" customHeight="1">
      <x:c r="A5659" s="19" t="n">
        <x:v>5656</x:v>
      </x:c>
      <x:c r="B5659" s="22" t="e">
        <x:f>HYPERLINK("https://cdn.shopify.com/s/files/1/0918/6066/4603/files/O1CN019A0tic1HlX1yJwPDu__2545140798-0-cib_be729e59-19b2-4c0c-8f71-1e63979ab32e.jpg?v=1775452743","Open")</x:f>
        <x:v>HYPERLINK is not implemented. linkLocation=https://cdn.shopify.com/s/files/1/0918/6066/4603/files/O1CN019A0tic1HlX1yJwPDu__2545140798-0-cib_be729e59-19b2-4c0c-8f71-1e63979ab32e.jpg?v=1775452743, friendlyName=Open</x:v>
      </x:c>
      <x:c r="C5659" s="24" t="e">
        <x:f>HYPERLINK("https://365nails.com/products/365nails-crystal-white-floral-handmade-press-on-nails","365nails: ""Crystal White Floral"" – Nail Art Stickers")</x:f>
        <x:v>HYPERLINK is not implemented. linkLocation=https://365nails.com/products/365nails-crystal-white-floral-handmade-press-on-nails, friendlyName=365nails: "Crystal White Floral" – Nail Art Stickers</x:v>
      </x:c>
      <x:c r="D5659" s="18" t="str">
        <x:v>Specification type: To4082-crystal diamond</x:v>
      </x:c>
      <x:c r="E5659" s="25" t="str">
        <x:v>$1.30</x:v>
      </x:c>
      <x:c r="F5659" s="19" t="str">
        <x:v>5</x:v>
      </x:c>
    </x:row>
    <x:row r="5660" ht="93" customHeight="1">
      <x:c r="A5660" s="19" t="n">
        <x:v>5657</x:v>
      </x:c>
      <x:c r="B5660" s="22" t="e">
        <x:f>HYPERLINK("https://cdn.shopify.com/s/files/1/0918/6066/4603/files/O1CN01xXXXA61HlX0VXeGi9__2545140798-0-cib_4a61bd1b-f456-434d-a42a-8665dd838087.jpg?v=1775810072","Open")</x:f>
        <x:v>HYPERLINK is not implemented. linkLocation=https://cdn.shopify.com/s/files/1/0918/6066/4603/files/O1CN01xXXXA61HlX0VXeGi9__2545140798-0-cib_4a61bd1b-f456-434d-a42a-8665dd838087.jpg?v=1775810072, friendlyName=Open</x:v>
      </x:c>
      <x:c r="C5660" s="24" t="e">
        <x:f>HYPERLINK("https://365nails.com/products/365nails-crystal-french-tip-heart-handmade-press-on-nails","365nails: ""Crystal French Tip &amp; Heart"" – Nail Art Stickers")</x:f>
        <x:v>HYPERLINK is not implemented. linkLocation=https://365nails.com/products/365nails-crystal-french-tip-heart-handmade-press-on-nails, friendlyName=365nails: "Crystal French Tip &amp; Heart" – Nail Art Stickers</x:v>
      </x:c>
      <x:c r="D5660" s="18" t="str">
        <x:v>Specification type: To3908-crystal diamond / To3909-platinum crystal diamond / To3909-mint gold crystal diamond / To3909-laser pink crystal diamond</x:v>
      </x:c>
      <x:c r="E5660" s="25" t="str">
        <x:v>$1.30</x:v>
      </x:c>
      <x:c r="F5660" s="19" t="str">
        <x:v>5</x:v>
      </x:c>
    </x:row>
    <x:row r="5661" ht="93" customHeight="1">
      <x:c r="A5661" s="19" t="n">
        <x:v>5658</x:v>
      </x:c>
      <x:c r="B5661" s="22" t="e">
        <x:f>HYPERLINK("https://cdn.shopify.com/s/files/1/0918/6066/4603/files/O1CN01j0Rvyz1HlWpMza6fV__2545140798-0-cib_020bde69-a697-4adf-957c-3552f99390d2.jpg?v=1775743420","Open")</x:f>
        <x:v>HYPERLINK is not implemented. linkLocation=https://cdn.shopify.com/s/files/1/0918/6066/4603/files/O1CN01j0Rvyz1HlWpMza6fV__2545140798-0-cib_020bde69-a697-4adf-957c-3552f99390d2.jpg?v=1775743420, friendlyName=Open</x:v>
      </x:c>
      <x:c r="C5661" s="24" t="e">
        <x:f>HYPERLINK("https://365nails.com/products/365nails-5d-floral-alphabet-handmade-press-on-nails","365nails: ""5D Floral Alphabet"" – Nail Art Stickers")</x:f>
        <x:v>HYPERLINK is not implemented. linkLocation=https://365nails.com/products/365nails-5d-floral-alphabet-handmade-press-on-nails, friendlyName=365nails: "5D Floral Alphabet" – Nail Art Stickers</x:v>
      </x:c>
      <x:c r="D5661" s="18" t="str">
        <x:v>Specification type: Ms 248 / Ms 260</x:v>
      </x:c>
      <x:c r="E5661" s="25" t="str">
        <x:v>$1.23</x:v>
      </x:c>
      <x:c r="F5661" s="19" t="str">
        <x:v>5</x:v>
      </x:c>
    </x:row>
    <x:row r="5662" ht="93" customHeight="1">
      <x:c r="A5662" s="19" t="n">
        <x:v>5659</x:v>
      </x:c>
      <x:c r="B5662" s="22" t="e">
        <x:f>HYPERLINK("https://cdn.shopify.com/s/files/1/0918/6066/4603/files/O1CN01jM28kq1HlWj6u2lrJ__2545140798-0-cib_2b40cbd5-7575-4227-a2f3-d227bebdf5a2.jpg?v=1775811416","Open")</x:f>
        <x:v>HYPERLINK is not implemented. linkLocation=https://cdn.shopify.com/s/files/1/0918/6066/4603/files/O1CN01jM28kq1HlWj6u2lrJ__2545140798-0-cib_2b40cbd5-7575-4227-a2f3-d227bebdf5a2.jpg?v=1775811416, friendlyName=Open</x:v>
      </x:c>
      <x:c r="C5662" s="24" t="e">
        <x:f>HYPERLINK("https://365nails.com/products/365nails-sakura-lantern-handmade-press-on-nails","365nails: ""Sakura &amp; Lantern"" – Nail Art Stickers")</x:f>
        <x:v>HYPERLINK is not implemented. linkLocation=https://365nails.com/products/365nails-sakura-lantern-handmade-press-on-nails, friendlyName=365nails: "Sakura &amp; Lantern" – Nail Art Stickers</x:v>
      </x:c>
      <x:c r="D5662" s="18" t="str">
        <x:v>Specification type: Ms40 thin and tough / Ms41 relief / Ms42 is thin and tough</x:v>
      </x:c>
      <x:c r="E5662" s="25" t="str">
        <x:v>$1.00–$1.23</x:v>
      </x:c>
      <x:c r="F5662" s="19" t="str">
        <x:v>5</x:v>
      </x:c>
    </x:row>
    <x:row r="5663" ht="93" customHeight="1">
      <x:c r="A5663" s="19" t="n">
        <x:v>5660</x:v>
      </x:c>
      <x:c r="B5663" s="22" t="e">
        <x:f>HYPERLINK("https://cdn.shopify.com/s/files/1/0918/6066/4603/files/O1CN01jmiICe1HlWy8RWo7P__2545140798-0-cib_5b17300e-0fa7-45f8-93cd-b5ea4ab91f5e.jpg?v=1775742048","Open")</x:f>
        <x:v>HYPERLINK is not implemented. linkLocation=https://cdn.shopify.com/s/files/1/0918/6066/4603/files/O1CN01jmiICe1HlWy8RWo7P__2545140798-0-cib_5b17300e-0fa7-45f8-93cd-b5ea4ab91f5e.jpg?v=1775742048, friendlyName=Open</x:v>
      </x:c>
      <x:c r="C5663" s="24" t="e">
        <x:f>HYPERLINK("https://365nails.com/products/365nails-vintage-rose-lady-handmade-press-on-nails","365nails: ""Vintage Rose Lady"" –Nail Art Stickers")</x:f>
        <x:v>HYPERLINK is not implemented. linkLocation=https://365nails.com/products/365nails-vintage-rose-lady-handmade-press-on-nails, friendlyName=365nails: "Vintage Rose Lady" –Nail Art Stickers</x:v>
      </x:c>
      <x:c r="D5663" s="18" t="str">
        <x:v>Specification type: Ta 266 / Ta 268</x:v>
      </x:c>
      <x:c r="E5663" s="25" t="str">
        <x:v>$1.09</x:v>
      </x:c>
      <x:c r="F5663" s="19" t="str">
        <x:v>5</x:v>
      </x:c>
    </x:row>
    <x:row r="5664" ht="93" customHeight="1">
      <x:c r="A5664" s="19" t="n">
        <x:v>5661</x:v>
      </x:c>
      <x:c r="B5664" s="22" t="e">
        <x:f>HYPERLINK("https://cdn.shopify.com/s/files/1/0918/6066/4603/files/O1CN01Jgxb2p1HlWm4OWJsS__2545140798-0-cib_fc2db608-f488-45d8-b84d-18cc1f026163.jpg?v=1775830243","Open")</x:f>
        <x:v>HYPERLINK is not implemented. linkLocation=https://cdn.shopify.com/s/files/1/0918/6066/4603/files/O1CN01Jgxb2p1HlWm4OWJsS__2545140798-0-cib_fc2db608-f488-45d8-b84d-18cc1f026163.jpg?v=1775830243, friendlyName=Open</x:v>
      </x:c>
      <x:c r="C5664" s="24" t="e">
        <x:f>HYPERLINK("https://365nails.com/products/365nails-holographic-iridescent-flame-handmade-press-on-nails","365nails: ""Holographic Iridescent Flame"" – Nail Art Stickers")</x:f>
        <x:v>HYPERLINK is not implemented. linkLocation=https://365nails.com/products/365nails-holographic-iridescent-flame-handmade-press-on-nails, friendlyName=365nails: "Holographic Iridescent Flame" – Nail Art Stickers</x:v>
      </x:c>
      <x:c r="D5664" s="18" t="str">
        <x:v>Specification type: Ta66 new hot stamping / Ta66 new rose gold / Ta66 new laser silver / Ta182 silver</x:v>
      </x:c>
      <x:c r="E5664" s="25" t="str">
        <x:v>$1.23</x:v>
      </x:c>
      <x:c r="F5664" s="19" t="str">
        <x:v>5</x:v>
      </x:c>
    </x:row>
    <x:row r="5665" ht="93" customHeight="1">
      <x:c r="A5665" s="19" t="n">
        <x:v>5662</x:v>
      </x:c>
      <x:c r="B5665" s="22" t="e">
        <x:f>HYPERLINK("https://cdn.shopify.com/s/files/1/0918/6066/4603/files/O1CN01RUoMcK1HlWihFdh0q__2545140798-0-cib.jpg?v=1775811279","Open")</x:f>
        <x:v>HYPERLINK is not implemented. linkLocation=https://cdn.shopify.com/s/files/1/0918/6066/4603/files/O1CN01RUoMcK1HlWihFdh0q__2545140798-0-cib.jpg?v=1775811279, friendlyName=Open</x:v>
      </x:c>
      <x:c r="C5665" s="24" t="e">
        <x:f>HYPERLINK("https://365nails.com/products/365nails-fresh-fruit-handmade-press-on-nails","365nails: ""Fresh Fruit"" – Nail Art Stickers")</x:f>
        <x:v>HYPERLINK is not implemented. linkLocation=https://365nails.com/products/365nails-fresh-fruit-handmade-press-on-nails, friendlyName=365nails: "Fresh Fruit" – Nail Art Stickers</x:v>
      </x:c>
      <x:c r="D5665" s="18" t="str">
        <x:v>Specification type: Ad 26 / Ad 27 / Ad 28 / Ad 29</x:v>
      </x:c>
      <x:c r="E5665" s="25" t="str">
        <x:v>$1.23</x:v>
      </x:c>
      <x:c r="F5665" s="19" t="str">
        <x:v>5</x:v>
      </x:c>
    </x:row>
    <x:row r="5666" ht="93" customHeight="1">
      <x:c r="A5666" s="19" t="n">
        <x:v>5663</x:v>
      </x:c>
      <x:c r="B5666" s="22" t="e">
        <x:f>HYPERLINK("https://cdn.shopify.com/s/files/1/0918/6066/4603/files/O1CN01ryxiuK1HlX2aWIm6U__2545140798-0-cib_86952b5e-a433-43e4-bdf5-4848ba098240.jpg?v=1775829966","Open")</x:f>
        <x:v>HYPERLINK is not implemented. linkLocation=https://cdn.shopify.com/s/files/1/0918/6066/4603/files/O1CN01ryxiuK1HlX2aWIm6U__2545140798-0-cib_86952b5e-a433-43e4-bdf5-4848ba098240.jpg?v=1775829966, friendlyName=Open</x:v>
      </x:c>
      <x:c r="C5666" s="24" t="e">
        <x:f>HYPERLINK("https://365nails.com/products/365nails-pastel-crystal-bow-ribbon-handmade-press-on-nails","365nails: ""Pastel Crystal Bow Ribbon"" – Nail Art Stickers")</x:f>
        <x:v>HYPERLINK is not implemented. linkLocation=https://365nails.com/products/365nails-pastel-crystal-bow-ribbon-handmade-press-on-nails, friendlyName=365nails: "Pastel Crystal Bow Ribbon" – Nail Art Stickers</x:v>
      </x:c>
      <x:c r="D5666" s="18" t="str">
        <x:v>Specification type: Ms660-crystal diamond / Ms661-crystal diamond</x:v>
      </x:c>
      <x:c r="E5666" s="25" t="str">
        <x:v>$1.30</x:v>
      </x:c>
      <x:c r="F5666" s="19" t="str">
        <x:v>5</x:v>
      </x:c>
    </x:row>
    <x:row r="5667" ht="93" customHeight="1">
      <x:c r="A5667" s="19" t="n">
        <x:v>5664</x:v>
      </x:c>
      <x:c r="B5667" s="22" t="e">
        <x:f>HYPERLINK("https://cdn.shopify.com/s/files/1/0918/6066/4603/files/O1CN01d8cR6F1HlWxMU4KQL__2545140798-0-cib_d4bd1476-3d09-4e3c-acb7-0a42f04c2d2f.jpg?v=1775741518","Open")</x:f>
        <x:v>HYPERLINK is not implemented. linkLocation=https://cdn.shopify.com/s/files/1/0918/6066/4603/files/O1CN01d8cR6F1HlWxMU4KQL__2545140798-0-cib_d4bd1476-3d09-4e3c-acb7-0a42f04c2d2f.jpg?v=1775741518, friendlyName=Open</x:v>
      </x:c>
      <x:c r="C5667" s="24" t="e">
        <x:f>HYPERLINK("https://365nails.com/products/365nails-crystal-plaid-heart-bow-handmade-press-on-nails","365nails: ""Crystal Plaid Heart Bow"" –Nail Art Stickers")</x:f>
        <x:v>HYPERLINK is not implemented. linkLocation=https://365nails.com/products/365nails-crystal-plaid-heart-bow-handmade-press-on-nails, friendlyName=365nails: "Crystal Plaid Heart Bow" –Nail Art Stickers</x:v>
      </x:c>
      <x:c r="D5667" s="18" t="str">
        <x:v>Specification type: To3514-crystal diamond</x:v>
      </x:c>
      <x:c r="E5667" s="25" t="str">
        <x:v>$1.30</x:v>
      </x:c>
      <x:c r="F5667" s="19" t="str">
        <x:v>5</x:v>
      </x:c>
    </x:row>
    <x:row r="5668" ht="93" customHeight="1">
      <x:c r="A5668" s="19" t="n">
        <x:v>5665</x:v>
      </x:c>
      <x:c r="B5668" s="22" t="e">
        <x:f>HYPERLINK("https://cdn.shopify.com/s/files/1/0918/6066/4603/files/O1CN01wPMW6q1HlWvegojvg__2545140798-0-cib_3fa09d08-5cdd-4f5a-80b4-baacc4e78cf0.jpg?v=1775830303","Open")</x:f>
        <x:v>HYPERLINK is not implemented. linkLocation=https://cdn.shopify.com/s/files/1/0918/6066/4603/files/O1CN01wPMW6q1HlWvegojvg__2545140798-0-cib_3fa09d08-5cdd-4f5a-80b4-baacc4e78cf0.jpg?v=1775830303, friendlyName=Open</x:v>
      </x:c>
      <x:c r="C5668" s="24" t="e">
        <x:f>HYPERLINK("https://365nails.com/products/365nails-rose-gold-european-scroll-baroque-handmade-press-on-nails","365nails: ""Rose Gold European Scroll Baroque"" – Nail Art Stickers")</x:f>
        <x:v>HYPERLINK is not implemented. linkLocation=https://365nails.com/products/365nails-rose-gold-european-scroll-baroque-handmade-press-on-nails, friendlyName=365nails: "Rose Gold European Scroll Baroque" – Nail Art Stickers</x:v>
      </x:c>
      <x:c r="D5668" s="18" t="str">
        <x:v>Specification type: To852 new hot stamping / To852 rose gold / To852 laser silver</x:v>
      </x:c>
      <x:c r="E5668" s="25" t="str">
        <x:v>$1.23</x:v>
      </x:c>
      <x:c r="F5668" s="19" t="str">
        <x:v>5</x:v>
      </x:c>
    </x:row>
    <x:row r="5669" ht="93" customHeight="1">
      <x:c r="A5669" s="19" t="n">
        <x:v>5666</x:v>
      </x:c>
      <x:c r="B5669" s="22" t="e">
        <x:f>HYPERLINK("https://cdn.shopify.com/s/files/1/0918/6066/4603/files/O1CN01ghwqse1HlWnvJpcNg__2545140798-0-cib_5c1e056a-5b4c-415e-92b2-d07a84ba7f60.jpg?v=1775831048","Open")</x:f>
        <x:v>HYPERLINK is not implemented. linkLocation=https://cdn.shopify.com/s/files/1/0918/6066/4603/files/O1CN01ghwqse1HlWnvJpcNg__2545140798-0-cib_5c1e056a-5b4c-415e-92b2-d07a84ba7f60.jpg?v=1775831048, friendlyName=Open</x:v>
      </x:c>
      <x:c r="C5669" s="24" t="e">
        <x:f>HYPERLINK("https://365nails.com/products/365nails-celestial-unicorn-star-moon-butterfly-handmade-press-on-nails","365nails: ""Celestial Unicorn Star Moon Butterfly"" – Nail Art Stickers")</x:f>
        <x:v>HYPERLINK is not implemented. linkLocation=https://365nails.com/products/365nails-celestial-unicorn-star-moon-butterfly-handmade-press-on-nails, friendlyName=365nails: "Celestial Unicorn Star Moon Butterfly" – Nail Art Stickers</x:v>
      </x:c>
      <x:c r="D5669" s="18" t="str">
        <x:v>Specification type: To1412 / To1413 / To1415</x:v>
      </x:c>
      <x:c r="E5669" s="25" t="str">
        <x:v>$1.23</x:v>
      </x:c>
      <x:c r="F5669" s="19" t="str">
        <x:v>5</x:v>
      </x:c>
    </x:row>
    <x:row r="5670" ht="93" customHeight="1">
      <x:c r="A5670" s="19" t="n">
        <x:v>5667</x:v>
      </x:c>
      <x:c r="B5670" s="22" t="e">
        <x:f>HYPERLINK("https://cdn.shopify.com/s/files/1/0918/6066/4603/files/O1CN01YE3pmd1HlX1fZ7q6W__2545140798-0-cib_a5ad69c2-6523-4c91-a8af-2e7652fc155e.jpg?v=1775806466","Open")</x:f>
        <x:v>HYPERLINK is not implemented. linkLocation=https://cdn.shopify.com/s/files/1/0918/6066/4603/files/O1CN01YE3pmd1HlX1fZ7q6W__2545140798-0-cib_a5ad69c2-6523-4c91-a8af-2e7652fc155e.jpg?v=1775806466, friendlyName=Open</x:v>
      </x:c>
      <x:c r="C5670" s="24" t="e">
        <x:f>HYPERLINK("https://365nails.com/products/365nails-embossed-cute-panda-handmade-press-on-nails","365nails: ""Embossed Cute Panda"" – Nail Art Stickers")</x:f>
        <x:v>HYPERLINK is not implemented. linkLocation=https://365nails.com/products/365nails-embossed-cute-panda-handmade-press-on-nails, friendlyName=365nails: "Embossed Cute Panda" – Nail Art Stickers</x:v>
      </x:c>
      <x:c r="D5670" s="18" t="str">
        <x:v>Specification type: To4157-relief</x:v>
      </x:c>
      <x:c r="E5670" s="25" t="str">
        <x:v>$1.23</x:v>
      </x:c>
      <x:c r="F5670" s="19" t="str">
        <x:v>5</x:v>
      </x:c>
    </x:row>
    <x:row r="5671" ht="93" customHeight="1">
      <x:c r="A5671" s="19" t="n">
        <x:v>5668</x:v>
      </x:c>
      <x:c r="B5671" s="22" t="e">
        <x:f>HYPERLINK("https://cdn.shopify.com/s/files/1/0918/6066/4603/files/O1CN01XXJobY1HlWpaoq6ul__2545140798-0-cib_24ef271c-7dd9-4e33-9ea7-b408b0a61f34.jpg?v=1775832169","Open")</x:f>
        <x:v>HYPERLINK is not implemented. linkLocation=https://cdn.shopify.com/s/files/1/0918/6066/4603/files/O1CN01XXJobY1HlWpaoq6ul__2545140798-0-cib_24ef271c-7dd9-4e33-9ea7-b408b0a61f34.jpg?v=1775832169, friendlyName=Open</x:v>
      </x:c>
      <x:c r="C5671" s="24" t="e">
        <x:f>HYPERLINK("https://365nails.com/products/365nails-kawaii-kirby-sweet-treats-handmade-press-on-nails","365nails: ""Kawaii Kirby Sweet Treats"" – Nail Art Stickers")</x:f>
        <x:v>HYPERLINK is not implemented. linkLocation=https://365nails.com/products/365nails-kawaii-kirby-sweet-treats-handmade-press-on-nails, friendlyName=365nails: "Kawaii Kirby Sweet Treats" – Nail Art Stickers</x:v>
      </x:c>
      <x:c r="D5671" s="18" t="str">
        <x:v>Specification type: To2072</x:v>
      </x:c>
      <x:c r="E5671" s="25" t="str">
        <x:v>$1.23</x:v>
      </x:c>
      <x:c r="F5671" s="19" t="str">
        <x:v>5</x:v>
      </x:c>
    </x:row>
    <x:row r="5672" ht="93" customHeight="1">
      <x:c r="A5672" s="19" t="n">
        <x:v>5669</x:v>
      </x:c>
      <x:c r="B5672" s="22" t="e">
        <x:f>HYPERLINK("https://cdn.shopify.com/s/files/1/0918/6066/4603/files/O1CN01jTv1jB1HlWrGEUOCR__2545140798-0-cib_b0c68e07-0854-447c-9c48-fb00c86ce1ac.jpg?v=1775832641","Open")</x:f>
        <x:v>HYPERLINK is not implemented. linkLocation=https://cdn.shopify.com/s/files/1/0918/6066/4603/files/O1CN01jTv1jB1HlWrGEUOCR__2545140798-0-cib_b0c68e07-0854-447c-9c48-fb00c86ce1ac.jpg?v=1775832641, friendlyName=Open</x:v>
      </x:c>
      <x:c r="C5672" s="24" t="e">
        <x:f>HYPERLINK("https://365nails.com/products/365nails-gothic-bunny-skull-butterfly-handmade-press-on-nails","365nails: ""Gothic Bunny Skull Butterfly"" –Nail Art Stickers")</x:f>
        <x:v>HYPERLINK is not implemented. linkLocation=https://365nails.com/products/365nails-gothic-bunny-skull-butterfly-handmade-press-on-nails, friendlyName=365nails: "Gothic Bunny Skull Butterfly" –Nail Art Stickers</x:v>
      </x:c>
      <x:c r="D5672" s="18" t="str">
        <x:v>Specification type: Ms 295 / To2577 / To2579</x:v>
      </x:c>
      <x:c r="E5672" s="25" t="str">
        <x:v>$1.09</x:v>
      </x:c>
      <x:c r="F5672" s="19" t="str">
        <x:v>5</x:v>
      </x:c>
    </x:row>
    <x:row r="5673" ht="93" customHeight="1">
      <x:c r="A5673" s="19" t="n">
        <x:v>5670</x:v>
      </x:c>
      <x:c r="B5673" s="22" t="e">
        <x:f>HYPERLINK("https://cdn.shopify.com/s/files/1/0918/6066/4603/files/O1CN01HuKSzt1HlWmtmKrnm__2545140798-0-cib_43eeb752-53ed-483e-9cb3-31c0b802201f.jpg?v=1775830481","Open")</x:f>
        <x:v>HYPERLINK is not implemented. linkLocation=https://cdn.shopify.com/s/files/1/0918/6066/4603/files/O1CN01HuKSzt1HlWmtmKrnm__2545140798-0-cib_43eeb752-53ed-483e-9cb3-31c0b802201f.jpg?v=1775830481, friendlyName=Open</x:v>
      </x:c>
      <x:c r="C5673" s="24" t="e">
        <x:f>HYPERLINK("https://365nails.com/products/365nails-kawaii-kirby-cute-character-handmade-press-on-nails","365nails: ""Kawaii Kirby Cute Character"" – Nail Art Stickers")</x:f>
        <x:v>HYPERLINK is not implemented. linkLocation=https://365nails.com/products/365nails-kawaii-kirby-cute-character-handmade-press-on-nails, friendlyName=365nails: "Kawaii Kirby Cute Character" – Nail Art Stickers</x:v>
      </x:c>
      <x:c r="D5673" s="18" t="str">
        <x:v>Specification type: To1098</x:v>
      </x:c>
      <x:c r="E5673" s="25" t="str">
        <x:v>$1.09</x:v>
      </x:c>
      <x:c r="F5673" s="19" t="str">
        <x:v>5</x:v>
      </x:c>
    </x:row>
    <x:row r="5674" ht="93" customHeight="1">
      <x:c r="A5674" s="19" t="n">
        <x:v>5671</x:v>
      </x:c>
      <x:c r="B5674" s="22" t="e">
        <x:f>HYPERLINK("https://cdn.shopify.com/s/files/1/0918/6066/4603/files/O1CN01BzFjfF1HlWlSUcfin__2545140798-0-cib_723a47dd-f67c-4fa7-8a87-428e60bdcad0.jpg?v=1775830026","Open")</x:f>
        <x:v>HYPERLINK is not implemented. linkLocation=https://cdn.shopify.com/s/files/1/0918/6066/4603/files/O1CN01BzFjfF1HlWlSUcfin__2545140798-0-cib_723a47dd-f67c-4fa7-8a87-428e60bdcad0.jpg?v=1775830026, friendlyName=Open</x:v>
      </x:c>
      <x:c r="C5674" s="24" t="e">
        <x:f>HYPERLINK("https://365nails.com/products/365nails-cute-care-bear-rainbow-handmade-press-on-nails","365nails: ""Cute Care Bear Rainbow"" – Nail Art Stickers")</x:f>
        <x:v>HYPERLINK is not implemented. linkLocation=https://365nails.com/products/365nails-cute-care-bear-rainbow-handmade-press-on-nails, friendlyName=365nails: "Cute Care Bear Rainbow" – Nail Art Stickers</x:v>
      </x:c>
      <x:c r="D5674" s="18" t="str">
        <x:v>Specification type: To434 / To451 / To453</x:v>
      </x:c>
      <x:c r="E5674" s="25" t="str">
        <x:v>$1.09</x:v>
      </x:c>
      <x:c r="F5674" s="19" t="str">
        <x:v>5</x:v>
      </x:c>
    </x:row>
    <x:row r="5675" ht="93" customHeight="1">
      <x:c r="A5675" s="19" t="n">
        <x:v>5672</x:v>
      </x:c>
      <x:c r="B5675" s="22" t="e">
        <x:f>HYPERLINK("https://cdn.shopify.com/s/files/1/0918/6066/4603/files/O1CN01XzKjlr1HlX9oV7KWG__2545140798-0-cib_05b50d2d-cf08-4b0b-a1df-b46bbdb947a1.jpg?v=1775742667","Open")</x:f>
        <x:v>HYPERLINK is not implemented. linkLocation=https://cdn.shopify.com/s/files/1/0918/6066/4603/files/O1CN01XzKjlr1HlX9oV7KWG__2545140798-0-cib_05b50d2d-cf08-4b0b-a1df-b46bbdb947a1.jpg?v=1775742667, friendlyName=Open</x:v>
      </x:c>
      <x:c r="C5675" s="24" t="e">
        <x:f>HYPERLINK("https://365nails.com/products/365nails-apricot-rose-butterfly-bow-handmade-press-on-nails","365nails: ""Apricot Rose Butterfly Bow"" –Nail Art Stickers")</x:f>
        <x:v>HYPERLINK is not implemented. linkLocation=https://365nails.com/products/365nails-apricot-rose-butterfly-bow-handmade-press-on-nails, friendlyName=365nails: "Apricot Rose Butterfly Bow" –Nail Art Stickers</x:v>
      </x:c>
      <x:c r="D5675" s="18" t="str">
        <x:v>Specification type: Ms878-crystal diamond</x:v>
      </x:c>
      <x:c r="E5675" s="25" t="str">
        <x:v>$1.34</x:v>
      </x:c>
      <x:c r="F5675" s="19" t="str">
        <x:v>5</x:v>
      </x:c>
    </x:row>
    <x:row r="5676" ht="93" customHeight="1">
      <x:c r="A5676" s="19" t="n">
        <x:v>5673</x:v>
      </x:c>
      <x:c r="B5676" s="22" t="e">
        <x:f>HYPERLINK("https://cdn.shopify.com/s/files/1/0918/6066/4603/files/O1CN01cT7vA41HlWtFgQum5__2545140798-0-cib.jpg?v=1775833131","Open")</x:f>
        <x:v>HYPERLINK is not implemented. linkLocation=https://cdn.shopify.com/s/files/1/0918/6066/4603/files/O1CN01cT7vA41HlWtFgQum5__2545140798-0-cib.jpg?v=1775833131, friendlyName=Open</x:v>
      </x:c>
      <x:c r="C5676" s="24" t="e">
        <x:f>HYPERLINK("https://365nails.com/products/365nails-retro-smile-face-rainbow-heart-handmade-press-on-nails","365nails: ""Retro Smile Face Rainbow Heart"" –Nail Art Stickers")</x:f>
        <x:v>HYPERLINK is not implemented. linkLocation=https://365nails.com/products/365nails-retro-smile-face-rainbow-heart-handmade-press-on-nails, friendlyName=365nails: "Retro Smile Face Rainbow Heart" –Nail Art Stickers</x:v>
      </x:c>
      <x:c r="D5676" s="18" t="str">
        <x:v>Specification type: To2920 / To2925</x:v>
      </x:c>
      <x:c r="E5676" s="25" t="str">
        <x:v>$1.23</x:v>
      </x:c>
      <x:c r="F5676" s="19" t="str">
        <x:v>5</x:v>
      </x:c>
    </x:row>
    <x:row r="5677" ht="93" customHeight="1">
      <x:c r="A5677" s="19" t="n">
        <x:v>5674</x:v>
      </x:c>
      <x:c r="B5677" s="22" t="e">
        <x:f>HYPERLINK("https://cdn.shopify.com/s/files/1/0918/6066/4603/files/O1CN01yeUSwH1HlX2OIvtY0__2545140798-0-cib_cff2448d-f24e-4629-9c7c-f643f9985db5.jpg?v=1775453667","Open")</x:f>
        <x:v>HYPERLINK is not implemented. linkLocation=https://cdn.shopify.com/s/files/1/0918/6066/4603/files/O1CN01yeUSwH1HlX2OIvtY0__2545140798-0-cib_cff2448d-f24e-4629-9c7c-f643f9985db5.jpg?v=1775453667, friendlyName=Open</x:v>
      </x:c>
      <x:c r="C5677" s="24" t="e">
        <x:f>HYPERLINK("https://365nails.com/products/365nails-holographic-ocean-life-handmade-press-on-nails","365nails: ""Holographic Ocean Life"" – Nail Art Stickers")</x:f>
        <x:v>HYPERLINK is not implemented. linkLocation=https://365nails.com/products/365nails-holographic-ocean-life-handmade-press-on-nails, friendlyName=365nails: "Holographic Ocean Life" – Nail Art Stickers</x:v>
      </x:c>
      <x:c r="D5677" s="18" t="str">
        <x:v>Specification type: To4315 / To4316</x:v>
      </x:c>
      <x:c r="E5677" s="25" t="str">
        <x:v>$1.23</x:v>
      </x:c>
      <x:c r="F5677" s="19" t="str">
        <x:v>5</x:v>
      </x:c>
    </x:row>
    <x:row r="5678" ht="93" customHeight="1">
      <x:c r="A5678" s="19" t="n">
        <x:v>5675</x:v>
      </x:c>
      <x:c r="B5678" s="22" t="e">
        <x:f>HYPERLINK("https://cdn.shopify.com/s/files/1/0918/6066/4603/files/O1CN01d7byCK1HlWnUDJYXr__2545140798-0-cib_e6d27957-ab54-4162-90ff-2643e82be454.jpg?v=1775830676","Open")</x:f>
        <x:v>HYPERLINK is not implemented. linkLocation=https://cdn.shopify.com/s/files/1/0918/6066/4603/files/O1CN01d7byCK1HlWnUDJYXr__2545140798-0-cib_e6d27957-ab54-4162-90ff-2643e82be454.jpg?v=1775830676, friendlyName=Open</x:v>
      </x:c>
      <x:c r="C5678" s="24" t="e">
        <x:f>HYPERLINK("https://365nails.com/products/365nails-chrome-hearts-gothic-cross-skull-handmade-press-on-nails","365nails: ""Chrome Hearts Gothic Cross Skull"" – Nail Art Stickers")</x:f>
        <x:v>HYPERLINK is not implemented. linkLocation=https://365nails.com/products/365nails-chrome-hearts-gothic-cross-skull-handmade-press-on-nails, friendlyName=365nails: "Chrome Hearts Gothic Cross Skull" – Nail Art Stickers</x:v>
      </x:c>
      <x:c r="D5678" s="18" t="str">
        <x:v>Specification type: To1194</x:v>
      </x:c>
      <x:c r="E5678" s="25" t="str">
        <x:v>$1.23</x:v>
      </x:c>
      <x:c r="F5678" s="19" t="str">
        <x:v>5</x:v>
      </x:c>
    </x:row>
    <x:row r="5679" ht="93" customHeight="1">
      <x:c r="A5679" s="19" t="n">
        <x:v>5676</x:v>
      </x:c>
      <x:c r="B5679" s="22" t="e">
        <x:f>HYPERLINK("https://cdn.shopify.com/s/files/1/0918/6066/4603/files/O1CN01egbqJX1HlWudtGbZ8__2545140798-0-cib_ffb1df91-8a84-4e47-a522-bb761dc00c07.jpg?v=1775805063","Open")</x:f>
        <x:v>HYPERLINK is not implemented. linkLocation=https://cdn.shopify.com/s/files/1/0918/6066/4603/files/O1CN01egbqJX1HlWudtGbZ8__2545140798-0-cib_ffb1df91-8a84-4e47-a522-bb761dc00c07.jpg?v=1775805063, friendlyName=Open</x:v>
      </x:c>
      <x:c r="C5679" s="24" t="e">
        <x:f>HYPERLINK("https://365nails.com/products/365nails-chinese-ancient-figure-landscape-handmade-press-on-nails","365nails: ""Chinese Ancient Figure Landscape"" – Nail Art Stickers")</x:f>
        <x:v>HYPERLINK is not implemented. linkLocation=https://365nails.com/products/365nails-chinese-ancient-figure-landscape-handmade-press-on-nails, friendlyName=365nails: "Chinese Ancient Figure Landscape" – Nail Art Stickers</x:v>
      </x:c>
      <x:c r="D5679" s="18" t="str">
        <x:v>Specification type: Ms381-silver / Ms387-new hot stamping</x:v>
      </x:c>
      <x:c r="E5679" s="25" t="str">
        <x:v>$1.23</x:v>
      </x:c>
      <x:c r="F5679" s="19" t="str">
        <x:v>5</x:v>
      </x:c>
    </x:row>
    <x:row r="5680" ht="93" customHeight="1">
      <x:c r="A5680" s="19" t="n">
        <x:v>5677</x:v>
      </x:c>
      <x:c r="B5680" s="22" t="e">
        <x:f>HYPERLINK("https://cdn.shopify.com/s/files/1/0918/6066/4603/files/O1CN01yVfhSm1HlX4ZQzGT1__2545140798-0-cib.jpg?v=1776523168","Open")</x:f>
        <x:v>HYPERLINK is not implemented. linkLocation=https://cdn.shopify.com/s/files/1/0918/6066/4603/files/O1CN01yVfhSm1HlX4ZQzGT1__2545140798-0-cib.jpg?v=1776523168, friendlyName=Open</x:v>
      </x:c>
      <x:c r="C5680" s="24" t="e">
        <x:f>HYPERLINK("https://365nails.com/products/365nails-lucky-koi-fortune-nail-art-stickers","365nails: ""Lucky Koi &amp; Fortune"" – nail art stickers")</x:f>
        <x:v>HYPERLINK is not implemented. linkLocation=https://365nails.com/products/365nails-lucky-koi-fortune-nail-art-stickers, friendlyName=365nails: "Lucky Koi &amp; Fortune" – nail art stickers</x:v>
      </x:c>
      <x:c r="D5680" s="18" t="str">
        <x:v>Specification type: To4720-shell light</x:v>
      </x:c>
      <x:c r="E5680" s="25" t="str">
        <x:v>$1.23</x:v>
      </x:c>
      <x:c r="F5680" s="19" t="str">
        <x:v>5</x:v>
      </x:c>
    </x:row>
    <x:row r="5681" ht="93" customHeight="1">
      <x:c r="A5681" s="19" t="n">
        <x:v>5678</x:v>
      </x:c>
      <x:c r="B5681" s="22" t="e">
        <x:f>HYPERLINK("https://cdn.shopify.com/s/files/1/0918/6066/4603/files/O1CN01pIzvoK1HlX1JfArXa__2545140798-0-cib_01ec3863-0d88-43f8-8213-825d016be1d0.jpg?v=1775451158","Open")</x:f>
        <x:v>HYPERLINK is not implemented. linkLocation=https://cdn.shopify.com/s/files/1/0918/6066/4603/files/O1CN01pIzvoK1HlX1JfArXa__2545140798-0-cib_01ec3863-0d88-43f8-8213-825d016be1d0.jpg?v=1775451158, friendlyName=Open</x:v>
      </x:c>
      <x:c r="C5681" s="24" t="e">
        <x:f>HYPERLINK("https://365nails.com/products/365nails-holographic-lemon-slices-handmade-press-on-nails","365nails: ""Holographic Lemon Slices"" – Nail Art Stickers")</x:f>
        <x:v>HYPERLINK is not implemented. linkLocation=https://365nails.com/products/365nails-holographic-lemon-slices-handmade-press-on-nails, friendlyName=365nails: "Holographic Lemon Slices" – Nail Art Stickers</x:v>
      </x:c>
      <x:c r="D5681" s="18" t="str">
        <x:v>Specification type: To3269-shell light</x:v>
      </x:c>
      <x:c r="E5681" s="25" t="str">
        <x:v>$1.23</x:v>
      </x:c>
      <x:c r="F5681" s="19" t="str">
        <x:v>5</x:v>
      </x:c>
    </x:row>
    <x:row r="5682" ht="93" customHeight="1">
      <x:c r="A5682" s="19" t="n">
        <x:v>5679</x:v>
      </x:c>
      <x:c r="B5682" s="22" t="e">
        <x:f>HYPERLINK("https://cdn.shopify.com/s/files/1/0918/6066/4603/files/O1CN01OVEWUK1HlWlipv9Mw__2545140798-0-cib.jpg?v=1775830184","Open")</x:f>
        <x:v>HYPERLINK is not implemented. linkLocation=https://cdn.shopify.com/s/files/1/0918/6066/4603/files/O1CN01OVEWUK1HlWlipv9Mw__2545140798-0-cib.jpg?v=1775830184, friendlyName=Open</x:v>
      </x:c>
      <x:c r="C5682" s="24" t="e">
        <x:f>HYPERLINK("https://365nails.com/products/365nails-retro-green-vintage-flower-handmade-press-on-nails","365nails: ""Retro Green Vintage Flower"" – Nail Art Stickers")</x:f>
        <x:v>HYPERLINK is not implemented. linkLocation=https://365nails.com/products/365nails-retro-green-vintage-flower-handmade-press-on-nails, friendlyName=365nails: "Retro Green Vintage Flower" – Nail Art Stickers</x:v>
      </x:c>
      <x:c r="D5682" s="18" t="str">
        <x:v>Specification type: To818 / To819 / To817</x:v>
      </x:c>
      <x:c r="E5682" s="25" t="str">
        <x:v>$1.09</x:v>
      </x:c>
      <x:c r="F5682" s="19" t="str">
        <x:v>5</x:v>
      </x:c>
    </x:row>
    <x:row r="5683" ht="93" customHeight="1">
      <x:c r="A5683" s="19" t="n">
        <x:v>5680</x:v>
      </x:c>
      <x:c r="B5683" s="22" t="e">
        <x:f>HYPERLINK("https://cdn.shopify.com/s/files/1/0918/6066/4603/files/O1CN01cEexeE1HlWnqvxl4o__2545140798-0-cib_c151263d-6433-4b42-8e01-37749a072245.jpg?v=1775830991","Open")</x:f>
        <x:v>HYPERLINK is not implemented. linkLocation=https://cdn.shopify.com/s/files/1/0918/6066/4603/files/O1CN01cEexeE1HlWnqvxl4o__2545140798-0-cib_c151263d-6433-4b42-8e01-37749a072245.jpg?v=1775830991, friendlyName=Open</x:v>
      </x:c>
      <x:c r="C5683" s="24" t="e">
        <x:f>HYPERLINK("https://365nails.com/products/365nails-pikachu-pokemon-cute-character-handmade-press-on-nails","365nails: ""Pikachu Pokemon Cute Character"" – Nail Art Stickers")</x:f>
        <x:v>HYPERLINK is not implemented. linkLocation=https://365nails.com/products/365nails-pikachu-pokemon-cute-character-handmade-press-on-nails, friendlyName=365nails: "Pikachu Pokemon Cute Character" – Nail Art Stickers</x:v>
      </x:c>
      <x:c r="D5683" s="18" t="str">
        <x:v>Specification type: To1391 / To1388</x:v>
      </x:c>
      <x:c r="E5683" s="25" t="str">
        <x:v>$1.23</x:v>
      </x:c>
      <x:c r="F5683" s="19" t="str">
        <x:v>5</x:v>
      </x:c>
    </x:row>
    <x:row r="5684" ht="93" customHeight="1">
      <x:c r="A5684" s="19" t="n">
        <x:v>5681</x:v>
      </x:c>
      <x:c r="B5684" s="22" t="e">
        <x:f>HYPERLINK("https://cdn.shopify.com/s/files/1/0918/6066/4603/files/O1CN01rXJUfP1HlX1NLPGwy__2545140798-0-cib_12899764-bde3-4be1-ac5e-09685f2da4f7.jpg?v=1775812548","Open")</x:f>
        <x:v>HYPERLINK is not implemented. linkLocation=https://cdn.shopify.com/s/files/1/0918/6066/4603/files/O1CN01rXJUfP1HlX1NLPGwy__2545140798-0-cib_12899764-bde3-4be1-ac5e-09685f2da4f7.jpg?v=1775812548, friendlyName=Open</x:v>
      </x:c>
      <x:c r="C5684" s="24" t="e">
        <x:f>HYPERLINK("https://365nails.com/products/365nails-blue-green-crystal-butterfly-gold-foil-handmade-press-on-nails","365nails: ""Blue Green Crystal Butterfly Gold Foil"" – Nail Art Stickers")</x:f>
        <x:v>HYPERLINK is not implemented. linkLocation=https://365nails.com/products/365nails-blue-green-crystal-butterfly-gold-foil-handmade-press-on-nails, friendlyName=365nails: "Blue Green Crystal Butterfly Gold Foil" – Nail Art Stickers</x:v>
      </x:c>
      <x:c r="D5684" s="18" t="str">
        <x:v>Specification type: To4107-new hot stamping-crystal diamond / To4107-silver-crystal diamond</x:v>
      </x:c>
      <x:c r="E5684" s="25" t="str">
        <x:v>$1.30</x:v>
      </x:c>
      <x:c r="F5684" s="19" t="str">
        <x:v>5</x:v>
      </x:c>
    </x:row>
    <x:row r="5685" ht="93" customHeight="1">
      <x:c r="A5685" s="19" t="n">
        <x:v>5682</x:v>
      </x:c>
      <x:c r="B5685" s="22" t="e">
        <x:f>HYPERLINK("https://cdn.shopify.com/s/files/1/0918/6066/4603/files/O1CN01mvp6zr1HlX0bi9nKX__2545140798-0-cib_18d13454-87b9-4686-ad39-8ff82adaf85d.jpg?v=1775806150","Open")</x:f>
        <x:v>HYPERLINK is not implemented. linkLocation=https://cdn.shopify.com/s/files/1/0918/6066/4603/files/O1CN01mvp6zr1HlX0bi9nKX__2545140798-0-cib_18d13454-87b9-4686-ad39-8ff82adaf85d.jpg?v=1775806150, friendlyName=Open</x:v>
      </x:c>
      <x:c r="C5685" s="24" t="e">
        <x:f>HYPERLINK("https://365nails.com/products/365nails-embossed-white-lily-handmade-press-on-nails","365nails: ""Embossed White Lily"" – Nail Art Stickers")</x:f>
        <x:v>HYPERLINK is not implemented. linkLocation=https://365nails.com/products/365nails-embossed-white-lily-handmade-press-on-nails, friendlyName=365nails: "Embossed White Lily" – Nail Art Stickers</x:v>
      </x:c>
      <x:c r="D5685" s="18" t="str">
        <x:v>Specification type: To3903</x:v>
      </x:c>
      <x:c r="E5685" s="25" t="str">
        <x:v>$1.09</x:v>
      </x:c>
      <x:c r="F5685" s="19" t="str">
        <x:v>5</x:v>
      </x:c>
    </x:row>
    <x:row r="5686" ht="93" customHeight="1">
      <x:c r="A5686" s="19" t="n">
        <x:v>5683</x:v>
      </x:c>
      <x:c r="B5686" s="22" t="e">
        <x:f>HYPERLINK("https://cdn.shopify.com/s/files/1/0918/6066/4603/files/O1CN01jEkmWx1HlWq70tr8r__2545140798-0-cib_612ac796-937a-432f-9e39-75a3c3e58cb0.jpg?v=1775832359","Open")</x:f>
        <x:v>HYPERLINK is not implemented. linkLocation=https://cdn.shopify.com/s/files/1/0918/6066/4603/files/O1CN01jEkmWx1HlWq70tr8r__2545140798-0-cib_612ac796-937a-432f-9e39-75a3c3e58cb0.jpg?v=1775832359, friendlyName=Open</x:v>
      </x:c>
      <x:c r="C5686" s="24" t="e">
        <x:f>HYPERLINK("https://365nails.com/products/365nails-red-spider-lily-manjusaka-embossed-handmade-press-on-nails","365nails: ""Red Spider Lily Manjusaka Embossed"" –Nail Art Stickers")</x:f>
        <x:v>HYPERLINK is not implemented. linkLocation=https://365nails.com/products/365nails-red-spider-lily-manjusaka-embossed-handmade-press-on-nails, friendlyName=365nails: "Red Spider Lily Manjusaka Embossed" –Nail Art Stickers</x:v>
      </x:c>
      <x:c r="D5686" s="18" t="str">
        <x:v>Specification type: To2254 / To2272</x:v>
      </x:c>
      <x:c r="E5686" s="25" t="str">
        <x:v>$1.23</x:v>
      </x:c>
      <x:c r="F5686" s="19" t="str">
        <x:v>5</x:v>
      </x:c>
    </x:row>
    <x:row r="5687" ht="93" customHeight="1">
      <x:c r="A5687" s="19" t="n">
        <x:v>5684</x:v>
      </x:c>
      <x:c r="B5687" s="22" t="e">
        <x:f>HYPERLINK("https://cdn.shopify.com/s/files/1/0918/6066/4603/files/O1CN019Fv6lT1HlX94n0IlF__2545140798-0-cib_9b63abe2-6b9c-427d-8d58-1d46c4b53b7f.jpg?v=1775741162","Open")</x:f>
        <x:v>HYPERLINK is not implemented. linkLocation=https://cdn.shopify.com/s/files/1/0918/6066/4603/files/O1CN019Fv6lT1HlX94n0IlF__2545140798-0-cib_9b63abe2-6b9c-427d-8d58-1d46c4b53b7f.jpg?v=1775741162, friendlyName=Open</x:v>
      </x:c>
      <x:c r="C5687" s="24" t="e">
        <x:f>HYPERLINK("https://365nails.com/products/365nails-miiiiichan-tea-party-handmade-press-on-nails","365nails: ""Miiiiichan Tea Party"" –Nail Art Stickers")</x:f>
        <x:v>HYPERLINK is not implemented. linkLocation=https://365nails.com/products/365nails-miiiiichan-tea-party-handmade-press-on-nails, friendlyName=365nails: "Miiiiichan Tea Party" –Nail Art Stickers</x:v>
      </x:c>
      <x:c r="D5687" s="18" t="str">
        <x:v>Specification type: Mc69-relief / Mc71-relief</x:v>
      </x:c>
      <x:c r="E5687" s="25" t="str">
        <x:v>$1.34</x:v>
      </x:c>
      <x:c r="F5687" s="19" t="str">
        <x:v>5</x:v>
      </x:c>
    </x:row>
    <x:row r="5688" ht="93" customHeight="1">
      <x:c r="A5688" s="19" t="n">
        <x:v>5685</x:v>
      </x:c>
      <x:c r="B5688" s="22" t="e">
        <x:f>HYPERLINK("https://cdn.shopify.com/s/files/1/0918/6066/4603/files/O1CN01GCKUwR1HlX714P4aP__2545140798-0-cib_26cb5dad-efcf-4fc5-9797-66dfa784e9a7.jpg?v=1775808838","Open")</x:f>
        <x:v>HYPERLINK is not implemented. linkLocation=https://cdn.shopify.com/s/files/1/0918/6066/4603/files/O1CN01GCKUwR1HlX714P4aP__2545140798-0-cib_26cb5dad-efcf-4fc5-9797-66dfa784e9a7.jpg?v=1775808838, friendlyName=Open</x:v>
      </x:c>
      <x:c r="C5688" s="24" t="e">
        <x:f>HYPERLINK("https://365nails.com/products/365nails-watercolor-rose-handmade-press-on-nails","365nails: ""Watercolor Rose"" – Nail Art Stickers")</x:f>
        <x:v>HYPERLINK is not implemented. linkLocation=https://365nails.com/products/365nails-watercolor-rose-handmade-press-on-nails, friendlyName=365nails: "Watercolor Rose" – Nail Art Stickers</x:v>
      </x:c>
      <x:c r="D5688" s="18" t="str">
        <x:v>Specification type: To5096</x:v>
      </x:c>
      <x:c r="E5688" s="25" t="str">
        <x:v>$1.09</x:v>
      </x:c>
      <x:c r="F5688" s="19" t="str">
        <x:v>5</x:v>
      </x:c>
    </x:row>
    <x:row r="5689" ht="93" customHeight="1">
      <x:c r="A5689" s="19" t="n">
        <x:v>5686</x:v>
      </x:c>
      <x:c r="B5689" s="22" t="e">
        <x:f>HYPERLINK("https://cdn.shopify.com/s/files/1/0918/6066/4603/files/O1CN01RXUsM91HlWzxZbbMM__2545140798-0-cib_96182d79-385a-4047-a170-a998450b8f3f.jpg?v=1775805810","Open")</x:f>
        <x:v>HYPERLINK is not implemented. linkLocation=https://cdn.shopify.com/s/files/1/0918/6066/4603/files/O1CN01RXUsM91HlWzxZbbMM__2545140798-0-cib_96182d79-385a-4047-a170-a998450b8f3f.jpg?v=1775805810, friendlyName=Open</x:v>
      </x:c>
      <x:c r="C5689" s="24" t="e">
        <x:f>HYPERLINK("https://365nails.com/products/365nails-embossed-butterfly-rose-handmade-press-on-nails","365nails: ""Embossed Butterfly Rose"" – Nail Art Stickers")</x:f>
        <x:v>HYPERLINK is not implemented. linkLocation=https://365nails.com/products/365nails-embossed-butterfly-rose-handmade-press-on-nails, friendlyName=365nails: "Embossed Butterfly Rose" – Nail Art Stickers</x:v>
      </x:c>
      <x:c r="D5689" s="18" t="str">
        <x:v>Specification type: To3820-relief</x:v>
      </x:c>
      <x:c r="E5689" s="25" t="str">
        <x:v>$1.23</x:v>
      </x:c>
      <x:c r="F5689" s="19" t="str">
        <x:v>5</x:v>
      </x:c>
    </x:row>
    <x:row r="5690" ht="93" customHeight="1">
      <x:c r="A5690" s="19" t="n">
        <x:v>5687</x:v>
      </x:c>
      <x:c r="B5690" s="22" t="e">
        <x:f>HYPERLINK("https://cdn.shopify.com/s/files/1/0918/6066/4603/files/O1CN01mIZtku1HlX1u2eRqO__2545140798-0-cib_02e5c713-0457-4b3b-9603-02acddbc33a1.jpg?v=1775452681","Open")</x:f>
        <x:v>HYPERLINK is not implemented. linkLocation=https://cdn.shopify.com/s/files/1/0918/6066/4603/files/O1CN01mIZtku1HlX1u2eRqO__2545140798-0-cib_02e5c713-0457-4b3b-9603-02acddbc33a1.jpg?v=1775452681, friendlyName=Open</x:v>
      </x:c>
      <x:c r="C5690" s="24" t="e">
        <x:f>HYPERLINK("https://365nails.com/products/365nails-gold-foil-positive-vibes-handmade-press-on-nails","365nails: ""Gold Foil Positive Vibes"" – Nail Art Stickers")</x:f>
        <x:v>HYPERLINK is not implemented. linkLocation=https://365nails.com/products/365nails-gold-foil-positive-vibes-handmade-press-on-nails, friendlyName=365nails: "Gold Foil Positive Vibes" – Nail Art Stickers</x:v>
      </x:c>
      <x:c r="D5690" s="18" t="str">
        <x:v>Specification type: To4188-new hot stamping / To4188-silver</x:v>
      </x:c>
      <x:c r="E5690" s="25" t="str">
        <x:v>$1.23</x:v>
      </x:c>
      <x:c r="F5690" s="19" t="str">
        <x:v>5</x:v>
      </x:c>
    </x:row>
    <x:row r="5691" ht="93" customHeight="1">
      <x:c r="A5691" s="19" t="n">
        <x:v>5688</x:v>
      </x:c>
      <x:c r="B5691" s="22" t="e">
        <x:f>HYPERLINK("https://cdn.shopify.com/s/files/1/0918/6066/4603/files/O1CN01iZc5QL1HlWpyvwajt__2545140798-0-cib_8968b7f2-ab76-4f46-8bdf-c11437b3a727.jpg?v=1775832234","Open")</x:f>
        <x:v>HYPERLINK is not implemented. linkLocation=https://cdn.shopify.com/s/files/1/0918/6066/4603/files/O1CN01iZc5QL1HlWpyvwajt__2545140798-0-cib_8968b7f2-ab76-4f46-8bdf-c11437b3a727.jpg?v=1775832234, friendlyName=Open</x:v>
      </x:c>
      <x:c r="C5691" s="24" t="e">
        <x:f>HYPERLINK("https://365nails.com/products/365nails-bambi-thumper-cute-character-handmade-press-on-nails","365nails: ""Bambi &amp; Thumper Cute Character"" – Nail Art Stickers")</x:f>
        <x:v>HYPERLINK is not implemented. linkLocation=https://365nails.com/products/365nails-bambi-thumper-cute-character-handmade-press-on-nails, friendlyName=365nails: "Bambi &amp; Thumper Cute Character" – Nail Art Stickers</x:v>
      </x:c>
      <x:c r="D5691" s="18" t="str">
        <x:v>Specification type: To2147 / To2164</x:v>
      </x:c>
      <x:c r="E5691" s="25" t="str">
        <x:v>$1.23</x:v>
      </x:c>
      <x:c r="F5691" s="19" t="str">
        <x:v>5</x:v>
      </x:c>
    </x:row>
    <x:row r="5692" ht="93" customHeight="1">
      <x:c r="A5692" s="19" t="n">
        <x:v>5689</x:v>
      </x:c>
      <x:c r="B5692" s="22" t="e">
        <x:f>HYPERLINK("https://cdn.shopify.com/s/files/1/0918/6066/4603/files/O1CN0128L6F21HlWwmeLjTX__2545140798-0-cib_94d68f68-983a-498f-ad0a-89dc8efaf7bf.jpg?v=1775812648","Open")</x:f>
        <x:v>HYPERLINK is not implemented. linkLocation=https://cdn.shopify.com/s/files/1/0918/6066/4603/files/O1CN0128L6F21HlWwmeLjTX__2545140798-0-cib_94d68f68-983a-498f-ad0a-89dc8efaf7bf.jpg?v=1775812648, friendlyName=Open</x:v>
      </x:c>
      <x:c r="C5692" s="24" t="e">
        <x:f>HYPERLINK("https://365nails.com/products/365nails-bohemian-lotus-embossed-crystal-handmade-press-on-nails","365nails: ""Bohemian Lotus Embossed Crystal"" – Nail Art Stickers")</x:f>
        <x:v>HYPERLINK is not implemented. linkLocation=https://365nails.com/products/365nails-bohemian-lotus-embossed-crystal-handmade-press-on-nails, friendlyName=365nails: "Bohemian Lotus Embossed Crystal" – Nail Art Stickers</x:v>
      </x:c>
      <x:c r="D5692" s="18" t="str">
        <x:v>Specification type: L20-crystal diamond</x:v>
      </x:c>
      <x:c r="E5692" s="25" t="str">
        <x:v>$1.30</x:v>
      </x:c>
      <x:c r="F5692" s="19" t="str">
        <x:v>5</x:v>
      </x:c>
    </x:row>
    <x:row r="5693" ht="93" customHeight="1">
      <x:c r="A5693" s="19" t="n">
        <x:v>5690</x:v>
      </x:c>
      <x:c r="B5693" s="22" t="e">
        <x:f>HYPERLINK("https://cdn.shopify.com/s/files/1/0918/6066/4603/files/O1CN01zgszXZ1HlWojoyaTL__2545140798-0-cib_ed497332-b2e2-4529-97d7-3cba108a512a.jpg?v=1775831480","Open")</x:f>
        <x:v>HYPERLINK is not implemented. linkLocation=https://cdn.shopify.com/s/files/1/0918/6066/4603/files/O1CN01zgszXZ1HlWojoyaTL__2545140798-0-cib_ed497332-b2e2-4529-97d7-3cba108a512a.jpg?v=1775831480, friendlyName=Open</x:v>
      </x:c>
      <x:c r="C5693" s="24" t="e">
        <x:f>HYPERLINK("https://365nails.com/products/365nails-happy-birthday-kawaii-bunny-cake-border-handmade-press-on-nails","365nails: ""Happy Birthday Kawaii Bunny Cake Border"" – Nail Art Stickers")</x:f>
        <x:v>HYPERLINK is not implemented. linkLocation=https://365nails.com/products/365nails-happy-birthday-kawaii-bunny-cake-border-handmade-press-on-nails, friendlyName=365nails: "Happy Birthday Kawaii Bunny Cake Border" – Nail Art Stickers</x:v>
      </x:c>
      <x:c r="D5693" s="18" t="str">
        <x:v>Specification type: Ms 205 / Ms 206</x:v>
      </x:c>
      <x:c r="E5693" s="25" t="str">
        <x:v>$1.23</x:v>
      </x:c>
      <x:c r="F5693" s="19" t="str">
        <x:v>5</x:v>
      </x:c>
    </x:row>
    <x:row r="5694" ht="93" customHeight="1">
      <x:c r="A5694" s="19" t="n">
        <x:v>5691</x:v>
      </x:c>
      <x:c r="B5694" s="22" t="e">
        <x:f>HYPERLINK("https://cdn.shopify.com/s/files/1/0918/6066/4603/files/O1CN018cxAXa1HlX7qOd8K7__2545140798-0-cib_6348468a-3897-4966-a8c5-d62d24bc8908.jpg?v=1775811009","Open")</x:f>
        <x:v>HYPERLINK is not implemented. linkLocation=https://cdn.shopify.com/s/files/1/0918/6066/4603/files/O1CN018cxAXa1HlX7qOd8K7__2545140798-0-cib_6348468a-3897-4966-a8c5-d62d24bc8908.jpg?v=1775811009, friendlyName=Open</x:v>
      </x:c>
      <x:c r="C5694" s="24" t="e">
        <x:f>HYPERLINK("https://365nails.com/products/365nails-girl-puppy-daily-handmade-press-on-nails","365nails: ""Girl &amp; Puppy Daily"" – Nail Art Stickers")</x:f>
        <x:v>HYPERLINK is not implemented. linkLocation=https://365nails.com/products/365nails-girl-puppy-daily-handmade-press-on-nails, friendlyName=365nails: "Girl &amp; Puppy Daily" – Nail Art Stickers</x:v>
      </x:c>
      <x:c r="D5694" s="18" t="str">
        <x:v>Specification type: Mc62</x:v>
      </x:c>
      <x:c r="E5694" s="25" t="str">
        <x:v>$1.16</x:v>
      </x:c>
      <x:c r="F5694" s="19" t="str">
        <x:v>5</x:v>
      </x:c>
    </x:row>
    <x:row r="5695" ht="93" customHeight="1">
      <x:c r="A5695" s="19" t="n">
        <x:v>5692</x:v>
      </x:c>
      <x:c r="B5695" s="22" t="e">
        <x:f>HYPERLINK("https://cdn.shopify.com/s/files/1/0918/6066/4603/files/O1CN01kavvjw1HlWoSG9Gke__2545140798-0-cib_053e6e87-ade8-43de-a7b3-3d3039070a89.jpg?v=1775831811","Open")</x:f>
        <x:v>HYPERLINK is not implemented. linkLocation=https://cdn.shopify.com/s/files/1/0918/6066/4603/files/O1CN01kavvjw1HlWoSG9Gke__2545140798-0-cib_053e6e87-ade8-43de-a7b3-3d3039070a89.jpg?v=1775831811, friendlyName=Open</x:v>
      </x:c>
      <x:c r="C5695" s="24" t="e">
        <x:f>HYPERLINK("https://365nails.com/products/365nails-super-mario-luigi-cute-character-handmade-press-on-nails","365nails: ""Super Mario &amp; Luigi Cute Character"" – Nail Art Stickers")</x:f>
        <x:v>HYPERLINK is not implemented. linkLocation=https://365nails.com/products/365nails-super-mario-luigi-cute-character-handmade-press-on-nails, friendlyName=365nails: "Super Mario &amp; Luigi Cute Character" – Nail Art Stickers</x:v>
      </x:c>
      <x:c r="D5695" s="18" t="str">
        <x:v>Specification type: To1559 / To1629</x:v>
      </x:c>
      <x:c r="E5695" s="25" t="str">
        <x:v>$1.23</x:v>
      </x:c>
      <x:c r="F5695" s="19" t="str">
        <x:v>5</x:v>
      </x:c>
    </x:row>
    <x:row r="5696" ht="93" customHeight="1">
      <x:c r="A5696" s="19" t="n">
        <x:v>5693</x:v>
      </x:c>
      <x:c r="B5696" s="22" t="e">
        <x:f>HYPERLINK("https://cdn.shopify.com/s/files/1/0918/6066/4603/files/O1CN01oJhIfW1HlX7ZwTbur__2545140798-0-cib_8c61f2f2-6777-48e0-8a10-eb3ef705789f.jpg?v=1775812489","Open")</x:f>
        <x:v>HYPERLINK is not implemented. linkLocation=https://cdn.shopify.com/s/files/1/0918/6066/4603/files/O1CN01oJhIfW1HlX7ZwTbur__2545140798-0-cib_8c61f2f2-6777-48e0-8a10-eb3ef705789f.jpg?v=1775812489, friendlyName=Open</x:v>
      </x:c>
      <x:c r="C5696" s="24" t="e">
        <x:f>HYPERLINK("https://365nails.com/products/365nails-cute-shiba-inu-dog-summer-fruit-handmade-press-on-nails","365nails: ""Cute Shiba Inu Dog Summer Fruit"" – Nail Art Stickers")</x:f>
        <x:v>HYPERLINK is not implemented. linkLocation=https://365nails.com/products/365nails-cute-shiba-inu-dog-summer-fruit-handmade-press-on-nails, friendlyName=365nails: "Cute Shiba Inu Dog Summer Fruit" – Nail Art Stickers</x:v>
      </x:c>
      <x:c r="D5696" s="18" t="str">
        <x:v>Specification type: To5145</x:v>
      </x:c>
      <x:c r="E5696" s="25" t="str">
        <x:v>$1.09</x:v>
      </x:c>
      <x:c r="F5696" s="19" t="str">
        <x:v>5</x:v>
      </x:c>
    </x:row>
    <x:row r="5697" ht="93" customHeight="1">
      <x:c r="A5697" s="19" t="n">
        <x:v>5694</x:v>
      </x:c>
      <x:c r="B5697" s="22" t="e">
        <x:f>HYPERLINK("https://cdn.shopify.com/s/files/1/0918/6066/4603/files/O1CN01G7o2SG1HlX0mfuLgr__2545140798-0-cib.jpg?v=1775806216","Open")</x:f>
        <x:v>HYPERLINK is not implemented. linkLocation=https://cdn.shopify.com/s/files/1/0918/6066/4603/files/O1CN01G7o2SG1HlX0mfuLgr__2545140798-0-cib.jpg?v=1775806216, friendlyName=Open</x:v>
      </x:c>
      <x:c r="C5697" s="24" t="e">
        <x:f>HYPERLINK("https://365nails.com/products/365nails-embossed-pink-flower-rabbit-handmade-press-on-nails","365nails: ""Embossed Pink Flower Rabbit"" – Nail Art Stickers")</x:f>
        <x:v>HYPERLINK is not implemented. linkLocation=https://365nails.com/products/365nails-embossed-pink-flower-rabbit-handmade-press-on-nails, friendlyName=365nails: "Embossed Pink Flower Rabbit" – Nail Art Stickers</x:v>
      </x:c>
      <x:c r="D5697" s="18" t="str">
        <x:v>Specification type: To3956-relief</x:v>
      </x:c>
      <x:c r="E5697" s="25" t="str">
        <x:v>$1.23</x:v>
      </x:c>
      <x:c r="F5697" s="19" t="str">
        <x:v>5</x:v>
      </x:c>
    </x:row>
    <x:row r="5698" ht="93" customHeight="1">
      <x:c r="A5698" s="19" t="n">
        <x:v>5695</x:v>
      </x:c>
      <x:c r="B5698" s="22" t="e">
        <x:f>HYPERLINK("https://cdn.shopify.com/s/files/1/0918/6066/4603/files/265ba561c52ab861637fd4afb1025a4a.jpg?v=1771476674","Open")</x:f>
        <x:v>HYPERLINK is not implemented. linkLocation=https://cdn.shopify.com/s/files/1/0918/6066/4603/files/265ba561c52ab861637fd4afb1025a4a.jpg?v=1771476674, friendlyName=Open</x:v>
      </x:c>
      <x:c r="C5698" s="24" t="e">
        <x:f>HYPERLINK("https://365nails.com/products/lace-orchid-blush-sculpted-flora-series","Sculpted Flora: ""Lace Orchid Blush"" – 3D Magenta Flowers &amp; Delicate White Lace on Ombre Stiletto Nails")</x:f>
        <x:v>HYPERLINK is not implemented. linkLocation=https://365nails.com/products/lace-orchid-blush-sculpted-flora-series, friendlyName=Sculpted Flora: "Lace Orchid Blush" – 3D Magenta Flowers &amp; Delicate White Lace on Ombre Stiletto Nails</x:v>
      </x:c>
      <x:c r="D5698" s="18" t="str">
        <x:v>Size: XS / S / M / L</x:v>
      </x:c>
      <x:c r="E5698" s="25" t="str">
        <x:v>$3.99</x:v>
      </x:c>
      <x:c r="F5698" s="19" t="str">
        <x:v>5</x:v>
      </x:c>
    </x:row>
    <x:row r="5699" ht="93" customHeight="1">
      <x:c r="A5699" s="19" t="n">
        <x:v>5696</x:v>
      </x:c>
      <x:c r="B5699" s="22" t="e">
        <x:f>HYPERLINK("https://cdn.shopify.com/s/files/1/0918/6066/4603/files/O1CN01JANcal1HlWq90LSMK__2545140798-0-cib_e65ea4bc-4a24-4e77-b6a0-ae743b2caf5e.jpg?v=1775830625","Open")</x:f>
        <x:v>HYPERLINK is not implemented. linkLocation=https://cdn.shopify.com/s/files/1/0918/6066/4603/files/O1CN01JANcal1HlWq90LSMK__2545140798-0-cib_e65ea4bc-4a24-4e77-b6a0-ae743b2caf5e.jpg?v=1775830625, friendlyName=Open</x:v>
      </x:c>
      <x:c r="C5699" s="24" t="e">
        <x:f>HYPERLINK("https://365nails.com/products/365nails-pastel-bow-cute-animal-dessert-handmade-press-on-nails","365nails: ""Pastel Bow Cute Animal Dessert"" – Nail Art Stickers")</x:f>
        <x:v>HYPERLINK is not implemented. linkLocation=https://365nails.com/products/365nails-pastel-bow-cute-animal-dessert-handmade-press-on-nails, friendlyName=365nails: "Pastel Bow Cute Animal Dessert" – Nail Art Stickers</x:v>
      </x:c>
      <x:c r="D5699" s="18" t="str">
        <x:v>Specification type: To1070 / To1072 / To1016</x:v>
      </x:c>
      <x:c r="E5699" s="25" t="str">
        <x:v>$1.23</x:v>
      </x:c>
      <x:c r="F5699" s="19" t="str">
        <x:v>5</x:v>
      </x:c>
    </x:row>
    <x:row r="5700" ht="93" customHeight="1">
      <x:c r="A5700" s="19" t="n">
        <x:v>5697</x:v>
      </x:c>
      <x:c r="B5700" s="22" t="e">
        <x:f>HYPERLINK("https://cdn.shopify.com/s/files/1/0918/6066/4603/files/O1CN01RiOfNS1HlX9zGh8Fz__2545140798-0-cib_4ff6dacc-2e53-4cb3-86ab-cedcd5430eb1.jpg?v=1775810825","Open")</x:f>
        <x:v>HYPERLINK is not implemented. linkLocation=https://cdn.shopify.com/s/files/1/0918/6066/4603/files/O1CN01RiOfNS1HlX9zGh8Fz__2545140798-0-cib_4ff6dacc-2e53-4cb3-86ab-cedcd5430eb1.jpg?v=1775810825, friendlyName=Open</x:v>
      </x:c>
      <x:c r="C5700" s="24" t="e">
        <x:f>HYPERLINK("https://365nails.com/products/365nails-christmas-fairy-tale-handmade-press-on-nails","365nails: ""Christmas Fairy Tale"" – Nail Art Stickers")</x:f>
        <x:v>HYPERLINK is not implemented. linkLocation=https://365nails.com/products/365nails-christmas-fairy-tale-handmade-press-on-nails, friendlyName=365nails: "Christmas Fairy Tale" – Nail Art Stickers</x:v>
      </x:c>
      <x:c r="D5700" s="18" t="str">
        <x:v>Specification type: To5377-relief / To5378-relief</x:v>
      </x:c>
      <x:c r="E5700" s="25" t="str">
        <x:v>$1.23</x:v>
      </x:c>
      <x:c r="F5700" s="19" t="str">
        <x:v>5</x:v>
      </x:c>
    </x:row>
    <x:row r="5701" ht="93" customHeight="1">
      <x:c r="A5701" s="19" t="n">
        <x:v>5698</x:v>
      </x:c>
      <x:c r="B5701" s="22" t="e">
        <x:f>HYPERLINK("https://cdn.shopify.com/s/files/1/0918/6066/4603/files/O1CN01cYTxN41HlX9p9dokc__2545140798-0-cib_2936ec98-e4ce-4b3b-97af-3ac7b5dc620d.jpg?v=1775810765","Open")</x:f>
        <x:v>HYPERLINK is not implemented. linkLocation=https://cdn.shopify.com/s/files/1/0918/6066/4603/files/O1CN01cYTxN41HlX9p9dokc__2545140798-0-cib_2936ec98-e4ce-4b3b-97af-3ac7b5dc620d.jpg?v=1775810765, friendlyName=Open</x:v>
      </x:c>
      <x:c r="C5701" s="24" t="e">
        <x:f>HYPERLINK("https://365nails.com/products/365nails-sweet-heart-cherry-handmade-press-on-nails","365nails: ""Sweet Heart &amp; Cherry"" – Nail Art Stickers")</x:f>
        <x:v>HYPERLINK is not implemented. linkLocation=https://365nails.com/products/365nails-sweet-heart-cherry-handmade-press-on-nails, friendlyName=365nails: "Sweet Heart &amp; Cherry" – Nail Art Stickers</x:v>
      </x:c>
      <x:c r="D5701" s="18" t="str">
        <x:v>Specification type: To5348 / To5381</x:v>
      </x:c>
      <x:c r="E5701" s="25" t="str">
        <x:v>$1.09</x:v>
      </x:c>
      <x:c r="F5701" s="19" t="str">
        <x:v>5</x:v>
      </x:c>
    </x:row>
    <x:row r="5702" ht="93" customHeight="1">
      <x:c r="A5702" s="19" t="n">
        <x:v>5699</x:v>
      </x:c>
      <x:c r="B5702" s="22" t="e">
        <x:f>HYPERLINK("https://cdn.shopify.com/s/files/1/0918/6066/4603/files/O1CN01Wiu8jm1HlWzODgymo__2545140798-0-cib_fc37f2bb-d418-4285-a745-8319761e9425.jpg?v=1775805752","Open")</x:f>
        <x:v>HYPERLINK is not implemented. linkLocation=https://cdn.shopify.com/s/files/1/0918/6066/4603/files/O1CN01Wiu8jm1HlWzODgymo__2545140798-0-cib_fc37f2bb-d418-4285-a745-8319761e9425.jpg?v=1775805752, friendlyName=Open</x:v>
      </x:c>
      <x:c r="C5702" s="24" t="e">
        <x:f>HYPERLINK("https://365nails.com/products/365nails-holographic-chinese-dragon-crystal-handmade-press-on-nails","365nails: ""Holographic Chinese Dragon Crystal"" – Nail Art Stickers")</x:f>
        <x:v>HYPERLINK is not implemented. linkLocation=https://365nails.com/products/365nails-holographic-chinese-dragon-crystal-handmade-press-on-nails, friendlyName=365nails: "Holographic Chinese Dragon Crystal" – Nail Art Stickers</x:v>
      </x:c>
      <x:c r="D5702" s="18" t="str">
        <x:v>Specification type: Ms534-crystal diamond</x:v>
      </x:c>
      <x:c r="E5702" s="25" t="str">
        <x:v>$1.30</x:v>
      </x:c>
      <x:c r="F5702" s="19" t="str">
        <x:v>5</x:v>
      </x:c>
    </x:row>
    <x:row r="5703" ht="93" customHeight="1">
      <x:c r="A5703" s="19" t="n">
        <x:v>5700</x:v>
      </x:c>
      <x:c r="B5703" s="22" t="e">
        <x:f>HYPERLINK("https://cdn.shopify.com/s/files/1/0918/6066/4603/files/O1CN017mnXfD1HlWtYFBWA1__2545140798-0-cib_45a0a411-0582-4dc8-961c-5fabf59a0a9d.jpg?v=1775805142","Open")</x:f>
        <x:v>HYPERLINK is not implemented. linkLocation=https://cdn.shopify.com/s/files/1/0918/6066/4603/files/O1CN017mnXfD1HlWtYFBWA1__2545140798-0-cib_45a0a411-0582-4dc8-961c-5fabf59a0a9d.jpg?v=1775805142, friendlyName=Open</x:v>
      </x:c>
      <x:c r="C5703" s="24" t="e">
        <x:f>HYPERLINK("https://365nails.com/products/365nails-chinese-mythical-figure-handmade-press-on-nails","365nails: ""Chinese Mythical Figure"" – Nail Art Stickers")</x:f>
        <x:v>HYPERLINK is not implemented. linkLocation=https://365nails.com/products/365nails-chinese-mythical-figure-handmade-press-on-nails, friendlyName=365nails: "Chinese Mythical Figure" – Nail Art Stickers</x:v>
      </x:c>
      <x:c r="D5703" s="18" t="str">
        <x:v>Specification type: To1878 / To2928</x:v>
      </x:c>
      <x:c r="E5703" s="25" t="str">
        <x:v>$1.23</x:v>
      </x:c>
      <x:c r="F5703" s="19" t="str">
        <x:v>5</x:v>
      </x:c>
    </x:row>
    <x:row r="5704" ht="93" customHeight="1">
      <x:c r="A5704" s="19" t="n">
        <x:v>5701</x:v>
      </x:c>
      <x:c r="B5704" s="22" t="e">
        <x:f>HYPERLINK("https://cdn.shopify.com/s/files/1/0918/6066/4603/files/c675ed8668e468992d9186208a9d7702.jpg?v=1771476993","Open")</x:f>
        <x:v>HYPERLINK is not implemented. linkLocation=https://cdn.shopify.com/s/files/1/0918/6066/4603/files/c675ed8668e468992d9186208a9d7702.jpg?v=1771476993, friendlyName=Open</x:v>
      </x:c>
      <x:c r="C5704" s="24" t="e">
        <x:f>HYPERLINK("https://365nails.com/products/midnight-blue-vanda-sculpted-flora-series","Sculpted Flora: ""Midnight Blue Vanda"" – 3D Royal Blue Orchids on Galaxy Cat Eye Stiletto Nails")</x:f>
        <x:v>HYPERLINK is not implemented. linkLocation=https://365nails.com/products/midnight-blue-vanda-sculpted-flora-series, friendlyName=Sculpted Flora: "Midnight Blue Vanda" – 3D Royal Blue Orchids on Galaxy Cat Eye Stiletto Nails</x:v>
      </x:c>
      <x:c r="D5704" s="18" t="str">
        <x:v>Size: XS / S / M / L</x:v>
      </x:c>
      <x:c r="E5704" s="25" t="str">
        <x:v>$3.99</x:v>
      </x:c>
      <x:c r="F5704" s="19" t="str">
        <x:v>5</x:v>
      </x:c>
    </x:row>
    <x:row r="5705" ht="93" customHeight="1">
      <x:c r="A5705" s="19" t="n">
        <x:v>5702</x:v>
      </x:c>
      <x:c r="B5705" s="22" t="e">
        <x:f>HYPERLINK("https://cdn.shopify.com/s/files/1/0918/6066/4603/files/O1CN01FrLztb1HlX1nF1axa__2545140798-0-cib_99ddc234-68d3-4efa-8334-0e88cbe8c60b.jpg?v=1775806398","Open")</x:f>
        <x:v>HYPERLINK is not implemented. linkLocation=https://cdn.shopify.com/s/files/1/0918/6066/4603/files/O1CN01FrLztb1HlX1nF1axa__2545140798-0-cib_99ddc234-68d3-4efa-8334-0e88cbe8c60b.jpg?v=1775806398, friendlyName=Open</x:v>
      </x:c>
      <x:c r="C5705" s="24" t="e">
        <x:f>HYPERLINK("https://365nails.com/products/365nails-holographic-clover-cross-handmade-press-on-nails","365nails: ""Holographic Clover Cross"" – Nail Art Stickers")</x:f>
        <x:v>HYPERLINK is not implemented. linkLocation=https://365nails.com/products/365nails-holographic-clover-cross-handmade-press-on-nails, friendlyName=365nails: "Holographic Clover Cross" – Nail Art Stickers</x:v>
      </x:c>
      <x:c r="D5705" s="18" t="str">
        <x:v>Specification type: To4014-shell light / To4014-1-shell light</x:v>
      </x:c>
      <x:c r="E5705" s="25" t="str">
        <x:v>$1.23</x:v>
      </x:c>
      <x:c r="F5705" s="19" t="str">
        <x:v>5</x:v>
      </x:c>
    </x:row>
    <x:row r="5706" ht="93" customHeight="1">
      <x:c r="A5706" s="19" t="n">
        <x:v>5703</x:v>
      </x:c>
      <x:c r="B5706" s="22" t="e">
        <x:f>HYPERLINK("https://cdn.shopify.com/s/files/1/0918/6066/4603/files/O1CN01PK91kS1HlX4XAZefy__2545140798-0-cib.jpg?v=1776522741","Open")</x:f>
        <x:v>HYPERLINK is not implemented. linkLocation=https://cdn.shopify.com/s/files/1/0918/6066/4603/files/O1CN01PK91kS1HlX4XAZefy__2545140798-0-cib.jpg?v=1776522741, friendlyName=Open</x:v>
      </x:c>
      <x:c r="C5706" s="24" t="e">
        <x:f>HYPERLINK("https://365nails.com/products/365nails-cute-santa-snowman-nail-art-stickers","365nails: ""Cute Santa &amp; Snowman"" – nail art stickers")</x:f>
        <x:v>HYPERLINK is not implemented. linkLocation=https://365nails.com/products/365nails-cute-santa-snowman-nail-art-stickers, friendlyName=365nails: "Cute Santa &amp; Snowman" – nail art stickers</x:v>
      </x:c>
      <x:c r="D5706" s="18" t="str">
        <x:v>Specification type: To4715 / To4723</x:v>
      </x:c>
      <x:c r="E5706" s="25" t="str">
        <x:v>$1.09</x:v>
      </x:c>
      <x:c r="F5706" s="19" t="str">
        <x:v>5</x:v>
      </x:c>
    </x:row>
    <x:row r="5707" ht="93" customHeight="1">
      <x:c r="A5707" s="19" t="n">
        <x:v>5704</x:v>
      </x:c>
      <x:c r="B5707" s="22" t="e">
        <x:f>HYPERLINK("https://cdn.shopify.com/s/files/1/0918/6066/4603/files/O1CN01PMaETG1HlX3xnWCBd__2545140798-0-cib.jpg?v=1776522391","Open")</x:f>
        <x:v>HYPERLINK is not implemented. linkLocation=https://cdn.shopify.com/s/files/1/0918/6066/4603/files/O1CN01PMaETG1HlX3xnWCBd__2545140798-0-cib.jpg?v=1776522391, friendlyName=Open</x:v>
      </x:c>
      <x:c r="C5707" s="24" t="e">
        <x:f>HYPERLINK("https://365nails.com/products/365nails-colorful-mini-christmas-nail-art-stickers","365nails: ""Colorful Mini Christmas"" – nail art stickers")</x:f>
        <x:v>HYPERLINK is not implemented. linkLocation=https://365nails.com/products/365nails-colorful-mini-christmas-nail-art-stickers, friendlyName=365nails: "Colorful Mini Christmas" – nail art stickers</x:v>
      </x:c>
      <x:c r="D5707" s="18" t="str">
        <x:v>Specification type: To4608-relief / To4636-shell light</x:v>
      </x:c>
      <x:c r="E5707" s="25" t="str">
        <x:v>$1.23</x:v>
      </x:c>
      <x:c r="F5707" s="19" t="str">
        <x:v>5</x:v>
      </x:c>
    </x:row>
    <x:row r="5708" ht="93" customHeight="1">
      <x:c r="A5708" s="19" t="n">
        <x:v>5705</x:v>
      </x:c>
      <x:c r="B5708" s="22" t="e">
        <x:f>HYPERLINK("https://cdn.shopify.com/s/files/1/0918/6066/4603/files/O1CN01eOaUCz1HlWxxqnrTY__2545140798-0-cib_57246d56-59fb-44e8-ac4c-5c699a7377ed.jpg?v=1775805312","Open")</x:f>
        <x:v>HYPERLINK is not implemented. linkLocation=https://cdn.shopify.com/s/files/1/0918/6066/4603/files/O1CN01eOaUCz1HlWxxqnrTY__2545140798-0-cib_57246d56-59fb-44e8-ac4c-5c699a7377ed.jpg?v=1775805312, friendlyName=Open</x:v>
      </x:c>
      <x:c r="C5708" s="24" t="e">
        <x:f>HYPERLINK("https://365nails.com/products/365nails-chinese-orchid-qipao-crystal-handmade-press-on-nails","365nails: ""Chinese Orchid Qipao Crystal"" – Nail Art Stickers")</x:f>
        <x:v>HYPERLINK is not implemented. linkLocation=https://365nails.com/products/365nails-chinese-orchid-qipao-crystal-handmade-press-on-nails, friendlyName=365nails: "Chinese Orchid Qipao Crystal" – Nail Art Stickers</x:v>
      </x:c>
      <x:c r="D5708" s="18" t="str">
        <x:v>Specification type: To3596-crystal diamond</x:v>
      </x:c>
      <x:c r="E5708" s="25" t="str">
        <x:v>$1.30</x:v>
      </x:c>
      <x:c r="F5708" s="19" t="str">
        <x:v>5</x:v>
      </x:c>
    </x:row>
    <x:row r="5709" ht="93" customHeight="1">
      <x:c r="A5709" s="19" t="n">
        <x:v>5706</x:v>
      </x:c>
      <x:c r="B5709" s="22" t="e">
        <x:f>HYPERLINK("https://cdn.shopify.com/s/files/1/0918/6066/4603/files/O1CN01hB4x3Q1HlX4RMBUel__2545140798-0-cib.jpg?v=1776522563","Open")</x:f>
        <x:v>HYPERLINK is not implemented. linkLocation=https://cdn.shopify.com/s/files/1/0918/6066/4603/files/O1CN01hB4x3Q1HlX4RMBUel__2545140798-0-cib.jpg?v=1776522563, friendlyName=Open</x:v>
      </x:c>
      <x:c r="C5709" s="24" t="e">
        <x:f>HYPERLINK("https://365nails.com/products/365nails-cozy-winter-forest-nail-art-stickers","365nails: ""Cozy Winter Forest"" – nail art stickers")</x:f>
        <x:v>HYPERLINK is not implemented. linkLocation=https://365nails.com/products/365nails-cozy-winter-forest-nail-art-stickers, friendlyName=365nails: "Cozy Winter Forest" – nail art stickers</x:v>
      </x:c>
      <x:c r="D5709" s="18" t="str">
        <x:v>Specification type: To4706-relief / To4708-relief</x:v>
      </x:c>
      <x:c r="E5709" s="25" t="str">
        <x:v>$1.23</x:v>
      </x:c>
      <x:c r="F5709" s="19" t="str">
        <x:v>5</x:v>
      </x:c>
    </x:row>
    <x:row r="5710" ht="93" customHeight="1">
      <x:c r="A5710" s="19" t="n">
        <x:v>5707</x:v>
      </x:c>
      <x:c r="B5710" s="22" t="e">
        <x:f>HYPERLINK("https://cdn.shopify.com/s/files/1/0918/6066/4603/files/61620e3f15d86cda4e68144830fccb34.jpg?v=1771413637","Open")</x:f>
        <x:v>HYPERLINK is not implemented. linkLocation=https://cdn.shopify.com/s/files/1/0918/6066/4603/files/61620e3f15d86cda4e68144830fccb34.jpg?v=1771413637, friendlyName=Open</x:v>
      </x:c>
      <x:c r="C5710" s="24" t="e">
        <x:f>HYPERLINK("https://365nails.com/products/amethyst-cocoa-ethereal-ink-series","Ethereal Ink: ""Amethyst Cocoa"" – Deep Cocoa Purple Cat Eye &amp; Dusty Pink Marble with Gold Foil Oval Nails")</x:f>
        <x:v>HYPERLINK is not implemented. linkLocation=https://365nails.com/products/amethyst-cocoa-ethereal-ink-series, friendlyName=Ethereal Ink: "Amethyst Cocoa" – Deep Cocoa Purple Cat Eye &amp; Dusty Pink Marble with Gold Foil Oval Nails</x:v>
      </x:c>
      <x:c r="D5710" s="18" t="str">
        <x:v>Size: XS / S / M / L</x:v>
      </x:c>
      <x:c r="E5710" s="25" t="str">
        <x:v>$3.99</x:v>
      </x:c>
      <x:c r="F5710" s="19" t="str">
        <x:v>30</x:v>
      </x:c>
    </x:row>
    <x:row r="5711" ht="93" customHeight="1">
      <x:c r="A5711" s="19" t="n">
        <x:v>5708</x:v>
      </x:c>
      <x:c r="B5711" s="22" t="e">
        <x:f>HYPERLINK("https://cdn.shopify.com/s/files/1/0918/6066/4603/files/O1CN01fYpog01HlX4RNMT98__2545140798-0-cib.jpg?v=1776523078","Open")</x:f>
        <x:v>HYPERLINK is not implemented. linkLocation=https://cdn.shopify.com/s/files/1/0918/6066/4603/files/O1CN01fYpog01HlX4RNMT98__2545140798-0-cib.jpg?v=1776523078, friendlyName=Open</x:v>
      </x:c>
      <x:c r="C5711" s="24" t="e">
        <x:f>HYPERLINK("https://365nails.com/products/365nails-silver-outline-heart-star-nail-art-stickers","365nails: ""Silver Outline Heart &amp; Star"" – nail art stickers")</x:f>
        <x:v>HYPERLINK is not implemented. linkLocation=https://365nails.com/products/365nails-silver-outline-heart-star-nail-art-stickers, friendlyName=365nails: "Silver Outline Heart &amp; Star" – nail art stickers</x:v>
      </x:c>
      <x:c r="D5711" s="18" t="str">
        <x:v>Specification type: To4728-mirror / To4729-mirror</x:v>
      </x:c>
      <x:c r="E5711" s="25" t="str">
        <x:v>$1.34</x:v>
      </x:c>
      <x:c r="F5711" s="19" t="str">
        <x:v>5</x:v>
      </x:c>
    </x:row>
    <x:row r="5712" ht="93" customHeight="1">
      <x:c r="A5712" s="19" t="n">
        <x:v>5709</x:v>
      </x:c>
      <x:c r="B5712" s="22" t="e">
        <x:f>HYPERLINK("https://cdn.shopify.com/s/files/1/0918/6066/4603/files/O1CN01S9sqLs1HlX0NjmYqb__2545140798-0-cib.jpg?v=1776496719","Open")</x:f>
        <x:v>HYPERLINK is not implemented. linkLocation=https://cdn.shopify.com/s/files/1/0918/6066/4603/files/O1CN01S9sqLs1HlX0NjmYqb__2545140798-0-cib.jpg?v=1776496719, friendlyName=Open</x:v>
      </x:c>
      <x:c r="C5712" s="24" t="e">
        <x:f>HYPERLINK("https://365nails.com/products/365nails-cute-cat-expression-nail-art-stickers","365nails: ""Cute Cat Expression"" – nail art stickers")</x:f>
        <x:v>HYPERLINK is not implemented. linkLocation=https://365nails.com/products/365nails-cute-cat-expression-nail-art-stickers, friendlyName=365nails: "Cute Cat Expression" – nail art stickers</x:v>
      </x:c>
      <x:c r="D5712" s="18" t="str">
        <x:v>Specification type: To3906</x:v>
      </x:c>
      <x:c r="E5712" s="25" t="str">
        <x:v>$1.23</x:v>
      </x:c>
      <x:c r="F5712" s="19" t="str">
        <x:v>5</x:v>
      </x:c>
    </x:row>
    <x:row r="5713" ht="93" customHeight="1">
      <x:c r="A5713" s="19" t="n">
        <x:v>5710</x:v>
      </x:c>
      <x:c r="B5713" s="22" t="e">
        <x:f>HYPERLINK("https://cdn.shopify.com/s/files/1/0918/6066/4603/files/09946a8fee25dd25ba3b6eb4d0df1638.jpg?v=1771476891","Open")</x:f>
        <x:v>HYPERLINK is not implemented. linkLocation=https://cdn.shopify.com/s/files/1/0918/6066/4603/files/09946a8fee25dd25ba3b6eb4d0df1638.jpg?v=1771476891, friendlyName=Open</x:v>
      </x:c>
      <x:c r="C5713" s="24" t="e">
        <x:f>HYPERLINK("https://365nails.com/products/cyber-orchid-sculpted-flora-series","Sculpted Flora: ""Cyber Orchid"" – 3D Purple Flowers &amp; Ruffled Textures on Silver Metallic Ombre Stiletto Nails")</x:f>
        <x:v>HYPERLINK is not implemented. linkLocation=https://365nails.com/products/cyber-orchid-sculpted-flora-series, friendlyName=Sculpted Flora: "Cyber Orchid" – 3D Purple Flowers &amp; Ruffled Textures on Silver Metallic Ombre Stiletto Nails</x:v>
      </x:c>
      <x:c r="D5713" s="18" t="str">
        <x:v>Size: XS / S / M / L</x:v>
      </x:c>
      <x:c r="E5713" s="25" t="str">
        <x:v>$3.99</x:v>
      </x:c>
      <x:c r="F5713" s="19" t="str">
        <x:v>5</x:v>
      </x:c>
    </x:row>
    <x:row r="5714" ht="93" customHeight="1">
      <x:c r="A5714" s="19" t="n">
        <x:v>5711</x:v>
      </x:c>
      <x:c r="B5714" s="22" t="e">
        <x:f>HYPERLINK("https://cdn.shopify.com/s/files/1/0918/6066/4603/files/O1CN01ETqfhJ1HlX0zIXTlH__2545140798-0-cib.jpg?v=1776498578","Open")</x:f>
        <x:v>HYPERLINK is not implemented. linkLocation=https://cdn.shopify.com/s/files/1/0918/6066/4603/files/O1CN01ETqfhJ1HlX0zIXTlH__2545140798-0-cib.jpg?v=1776498578, friendlyName=Open</x:v>
      </x:c>
      <x:c r="C5714" s="24" t="e">
        <x:f>HYPERLINK("https://365nails.com/products/365nails-vintage-rabbit-garden-nail-art-stickers","365nails: ""Vintage Rabbit Garden"" – nail art stickers")</x:f>
        <x:v>HYPERLINK is not implemented. linkLocation=https://365nails.com/products/365nails-vintage-rabbit-garden-nail-art-stickers, friendlyName=365nails: "Vintage Rabbit Garden" – nail art stickers</x:v>
      </x:c>
      <x:c r="D5714" s="18" t="str">
        <x:v>Specification type: To3930-relief / To3932-jelly</x:v>
      </x:c>
      <x:c r="E5714" s="25" t="str">
        <x:v>$1.23</x:v>
      </x:c>
      <x:c r="F5714" s="19" t="str">
        <x:v>5</x:v>
      </x:c>
    </x:row>
    <x:row r="5715" ht="93" customHeight="1">
      <x:c r="A5715" s="19" t="n">
        <x:v>5712</x:v>
      </x:c>
      <x:c r="B5715" s="22" t="e">
        <x:f>HYPERLINK("https://cdn.shopify.com/s/files/1/0918/6066/4603/files/O1CN01YjeleA1HlX3rCPT9T__2545140798-0-cib.jpg?v=1776522092","Open")</x:f>
        <x:v>HYPERLINK is not implemented. linkLocation=https://cdn.shopify.com/s/files/1/0918/6066/4603/files/O1CN01YjeleA1HlX3rCPT9T__2545140798-0-cib.jpg?v=1776522092, friendlyName=Open</x:v>
      </x:c>
      <x:c r="C5715" s="24" t="e">
        <x:f>HYPERLINK("https://365nails.com/products/365nails-elegant-camellia-bird-nail-art-stickers","365nails: ""Elegant Camellia &amp; Bird"" – nail art stickers")</x:f>
        <x:v>HYPERLINK is not implemented. linkLocation=https://365nails.com/products/365nails-elegant-camellia-bird-nail-art-stickers, friendlyName=365nails: "Elegant Camellia &amp; Bird" – nail art stickers</x:v>
      </x:c>
      <x:c r="D5715" s="18" t="str">
        <x:v>Specification type: To4623</x:v>
      </x:c>
      <x:c r="E5715" s="25" t="str">
        <x:v>$1.09</x:v>
      </x:c>
      <x:c r="F5715" s="19" t="str">
        <x:v>5</x:v>
      </x:c>
    </x:row>
    <x:row r="5716" ht="93" customHeight="1">
      <x:c r="A5716" s="19" t="n">
        <x:v>5713</x:v>
      </x:c>
      <x:c r="B5716" s="22" t="e">
        <x:f>HYPERLINK("https://cdn.shopify.com/s/files/1/0918/6066/4603/files/O1CN01ETmEUI1HlX0zCmS9E__2545140798-0-cib.jpg?v=1776498677","Open")</x:f>
        <x:v>HYPERLINK is not implemented. linkLocation=https://cdn.shopify.com/s/files/1/0918/6066/4603/files/O1CN01ETmEUI1HlX0zCmS9E__2545140798-0-cib.jpg?v=1776498677, friendlyName=Open</x:v>
      </x:c>
      <x:c r="C5716" s="24" t="e">
        <x:f>HYPERLINK("https://365nails.com/products/365nails-cute-bear-and-friend-nail-art-stickers","365nails: ""Cute Bear and Friend"" – nail art stickers")</x:f>
        <x:v>HYPERLINK is not implemented. linkLocation=https://365nails.com/products/365nails-cute-bear-and-friend-nail-art-stickers, friendlyName=365nails: "Cute Bear and Friend" – nail art stickers</x:v>
      </x:c>
      <x:c r="D5716" s="18" t="str">
        <x:v>Specification type: Mc15-crystal diamond / Mc16-relief</x:v>
      </x:c>
      <x:c r="E5716" s="25" t="str">
        <x:v>$1.30</x:v>
      </x:c>
      <x:c r="F5716" s="19" t="str">
        <x:v>5</x:v>
      </x:c>
    </x:row>
    <x:row r="5717" ht="93" customHeight="1">
      <x:c r="A5717" s="19" t="n">
        <x:v>5714</x:v>
      </x:c>
      <x:c r="B5717" s="22" t="e">
        <x:f>HYPERLINK("https://cdn.shopify.com/s/files/1/0918/6066/4603/files/O1CN01sg0NXO1HlX0bJ9vSs__2545140798-0-cib.jpg?v=1776497640","Open")</x:f>
        <x:v>HYPERLINK is not implemented. linkLocation=https://cdn.shopify.com/s/files/1/0918/6066/4603/files/O1CN01sg0NXO1HlX0bJ9vSs__2545140798-0-cib.jpg?v=1776497640, friendlyName=Open</x:v>
      </x:c>
      <x:c r="C5717" s="24" t="e">
        <x:f>HYPERLINK("https://365nails.com/products/365nails-floral-corgi-nail-art-stickers-1","365nails: ""Floral Corgi"" – nail art stickers")</x:f>
        <x:v>HYPERLINK is not implemented. linkLocation=https://365nails.com/products/365nails-floral-corgi-nail-art-stickers-1, friendlyName=365nails: "Floral Corgi" – nail art stickers</x:v>
      </x:c>
      <x:c r="D5717" s="18" t="str">
        <x:v>Specification type: To3899-relief / To3948-relief</x:v>
      </x:c>
      <x:c r="E5717" s="25" t="str">
        <x:v>$1.23</x:v>
      </x:c>
      <x:c r="F5717" s="19" t="str">
        <x:v>5</x:v>
      </x:c>
    </x:row>
    <x:row r="5718" ht="93" customHeight="1">
      <x:c r="A5718" s="19" t="n">
        <x:v>5715</x:v>
      </x:c>
      <x:c r="B5718" s="22" t="e">
        <x:f>HYPERLINK("https://cdn.shopify.com/s/files/1/0918/6066/4603/files/O1CN01CcZgmf1HlX0dYDSk6__2545140798-0-cib.jpg?v=1776497537","Open")</x:f>
        <x:v>HYPERLINK is not implemented. linkLocation=https://cdn.shopify.com/s/files/1/0918/6066/4603/files/O1CN01CcZgmf1HlX0dYDSk6__2545140798-0-cib.jpg?v=1776497537, friendlyName=Open</x:v>
      </x:c>
      <x:c r="C5718" s="24" t="e">
        <x:f>HYPERLINK("https://365nails.com/products/365nails-holographic-rainbow-heart-nail-art-stickers","365nails: ""Holographic Rainbow Heart"" – nail art stickers")</x:f>
        <x:v>HYPERLINK is not implemented. linkLocation=https://365nails.com/products/365nails-holographic-rainbow-heart-nail-art-stickers, friendlyName=365nails: "Holographic Rainbow Heart" – nail art stickers</x:v>
      </x:c>
      <x:c r="D5718" s="18" t="str">
        <x:v>Specification type: To3934-jelly / To3935-shell light</x:v>
      </x:c>
      <x:c r="E5718" s="25" t="str">
        <x:v>$1.23</x:v>
      </x:c>
      <x:c r="F5718" s="19" t="str">
        <x:v>5</x:v>
      </x:c>
    </x:row>
    <x:row r="5719" ht="93" customHeight="1">
      <x:c r="A5719" s="19" t="n">
        <x:v>5716</x:v>
      </x:c>
      <x:c r="B5719" s="22" t="e">
        <x:f>HYPERLINK("https://cdn.shopify.com/s/files/1/0918/6066/4603/files/O1CN01NPdICI1HlWjTgJGRc__2545140798-0-cib_f5b2f094-55ae-4363-8303-883e8a52800e.jpg?v=1775812719","Open")</x:f>
        <x:v>HYPERLINK is not implemented. linkLocation=https://cdn.shopify.com/s/files/1/0918/6066/4603/files/O1CN01NPdICI1HlWjTgJGRc__2545140798-0-cib_f5b2f094-55ae-4363-8303-883e8a52800e.jpg?v=1775812719, friendlyName=Open</x:v>
      </x:c>
      <x:c r="C5719" s="24" t="e">
        <x:f>HYPERLINK("https://365nails.com/products/365nails-watercolor-peach-fruit-handmade-press-on-nails","365nails: ""Watercolor Peach Fruit"" – Nail Art Stickers")</x:f>
        <x:v>HYPERLINK is not implemented. linkLocation=https://365nails.com/products/365nails-watercolor-peach-fruit-handmade-press-on-nails, friendlyName=365nails: "Watercolor Peach Fruit" – Nail Art Stickers</x:v>
      </x:c>
      <x:c r="D5719" s="18" t="str">
        <x:v>Color: Ta601 embossed peach / Ta602 embossed cherry / Ta603 embossed peach</x:v>
      </x:c>
      <x:c r="E5719" s="25" t="str">
        <x:v>$1.23</x:v>
      </x:c>
      <x:c r="F5719" s="19" t="str">
        <x:v>5</x:v>
      </x:c>
    </x:row>
    <x:row r="5720" ht="93" customHeight="1">
      <x:c r="A5720" s="19" t="n">
        <x:v>5717</x:v>
      </x:c>
      <x:c r="B5720" s="22" t="e">
        <x:f>HYPERLINK("https://cdn.shopify.com/s/files/1/0918/6066/4603/files/O1CN01foNfTy2NGHpcSirtu__4234819935-0-cib_465f122d-48fe-496e-994f-c85daf5bfb13.jpg?v=1776676975","Open")</x:f>
        <x:v>HYPERLINK is not implemented. linkLocation=https://cdn.shopify.com/s/files/1/0918/6066/4603/files/O1CN01foNfTy2NGHpcSirtu__4234819935-0-cib_465f122d-48fe-496e-994f-c85daf5bfb13.jpg?v=1776676975, friendlyName=Open</x:v>
      </x:c>
      <x:c r="C5720" s="24" t="e">
        <x:f>HYPERLINK("https://365nails.com/products/365nails-cinnamoroll-lemon-floral-oval-3d-bow-hand-painted-press-on-nails","365nails: ""Cinnamoroll Lemon Floral Oval"" – 3D Bow &amp; Hand-painted Press-on Nails")</x:f>
        <x:v>HYPERLINK is not implemented. linkLocation=https://365nails.com/products/365nails-cinnamoroll-lemon-floral-oval-3d-bow-hand-painted-press-on-nails, friendlyName=365nails: "Cinnamoroll Lemon Floral Oval" – 3D Bow &amp; Hand-painted Press-on Nails</x:v>
      </x:c>
      <x:c r="D5720" s="18" t="str">
        <x:v>Color: Jp1375 [glue type] / Jp1375 [including wearing tool kit]</x:v>
      </x:c>
      <x:c r="E5720" s="25" t="str">
        <x:v>$1.49</x:v>
      </x:c>
      <x:c r="F5720" s="19" t="str">
        <x:v>1</x:v>
      </x:c>
    </x:row>
    <x:row r="5721" ht="93" customHeight="1">
      <x:c r="A5721" s="19" t="n">
        <x:v>5718</x:v>
      </x:c>
      <x:c r="B5721" s="22" t="e">
        <x:f>HYPERLINK("https://cdn.shopify.com/s/files/1/0918/6066/4603/files/95ab44dfd55d2adffc88febf4cee8cf2.jpg?v=1771481030","Open")</x:f>
        <x:v>HYPERLINK is not implemented. linkLocation=https://cdn.shopify.com/s/files/1/0918/6066/4603/files/95ab44dfd55d2adffc88febf4cee8cf2.jpg?v=1771481030, friendlyName=Open</x:v>
      </x:c>
      <x:c r="C5721" s="24" t="e">
        <x:f>HYPERLINK("https://365nails.com/products/cyber-petals-sunset-zebra-sculpted-flora-series","Sculpted Flora: ""Cyber Petals &amp; Sunset Zebra"" – 3D Pink Flowers with Silver Chrome Armor &amp; Gradient Animal Print")</x:f>
        <x:v>HYPERLINK is not implemented. linkLocation=https://365nails.com/products/cyber-petals-sunset-zebra-sculpted-flora-series, friendlyName=Sculpted Flora: "Cyber Petals &amp; Sunset Zebra" – 3D Pink Flowers with Silver Chrome Armor &amp; Gradient Animal Print</x:v>
      </x:c>
      <x:c r="D5721" s="18" t="str">
        <x:v>Size: XS / S / M / L</x:v>
      </x:c>
      <x:c r="E5721" s="25" t="str">
        <x:v>$3.99</x:v>
      </x:c>
      <x:c r="F5721" s="19" t="str">
        <x:v>5</x:v>
      </x:c>
    </x:row>
    <x:row r="5722" ht="93" customHeight="1">
      <x:c r="A5722" s="19" t="n">
        <x:v>5719</x:v>
      </x:c>
      <x:c r="B5722" s="22" t="e">
        <x:f>HYPERLINK("https://cdn.shopify.com/s/files/1/0918/6066/4603/files/50be3c257eb0de530a787adc1e36d936.jpg?v=1771413739","Open")</x:f>
        <x:v>HYPERLINK is not implemented. linkLocation=https://cdn.shopify.com/s/files/1/0918/6066/4603/files/50be3c257eb0de530a787adc1e36d936.jpg?v=1771413739, friendlyName=Open</x:v>
      </x:c>
      <x:c r="C5722" s="24" t="e">
        <x:f>HYPERLINK("https://365nails.com/products/chestnut-earth-marble-ethereal-ink-series","Ethereal Ink: ""Chestnut Earth Marble"" – Toffee Brown Cat Eye &amp; Rust-Green Smudge with Gold Foil Oval Nails")</x:f>
        <x:v>HYPERLINK is not implemented. linkLocation=https://365nails.com/products/chestnut-earth-marble-ethereal-ink-series, friendlyName=Ethereal Ink: "Chestnut Earth Marble" – Toffee Brown Cat Eye &amp; Rust-Green Smudge with Gold Foil Oval Nails</x:v>
      </x:c>
      <x:c r="D5722" s="18" t="str">
        <x:v>Size: XS / S / M / L</x:v>
      </x:c>
      <x:c r="E5722" s="25" t="str">
        <x:v>$3.99</x:v>
      </x:c>
      <x:c r="F5722" s="19" t="str">
        <x:v>30</x:v>
      </x:c>
    </x:row>
    <x:row r="5723" ht="93" customHeight="1">
      <x:c r="A5723" s="19" t="n">
        <x:v>5720</x:v>
      </x:c>
      <x:c r="B5723" s="22" t="e">
        <x:f>HYPERLINK("https://cdn.shopify.com/s/files/1/0918/6066/4603/files/dd7eda2f0c6afb72677e18214e43350e.jpg?v=1768891452","Open")</x:f>
        <x:v>HYPERLINK is not implemented. linkLocation=https://cdn.shopify.com/s/files/1/0918/6066/4603/files/dd7eda2f0c6afb72677e18214e43350e.jpg?v=1768891452, friendlyName=Open</x:v>
      </x:c>
      <x:c r="C5723" s="24" t="e">
        <x:f>HYPERLINK("https://365nails.com/products/bloody-rose-ombre-dragon-nail-vintage-gradient-red-long-short-options","Bloody Rose Ombre Dragon Nail｜Vintage Gradient Red (Long/Short Options)")</x:f>
        <x:v>HYPERLINK is not implemented. linkLocation=https://365nails.com/products/bloody-rose-ombre-dragon-nail-vintage-gradient-red-long-short-options, friendlyName=Bloody Rose Ombre Dragon Nail｜Vintage Gradient Red (Long/Short Options)</x:v>
      </x:c>
      <x:c r="D5723" s="18" t="str">
        <x:v>Size: XS / S / M / L; length: 25mm / 40mm</x:v>
      </x:c>
      <x:c r="E5723" s="25" t="str">
        <x:v>$6.99</x:v>
      </x:c>
      <x:c r="F5723" s="19" t="str">
        <x:v>1</x:v>
      </x:c>
    </x:row>
    <x:row r="5724" ht="93" customHeight="1">
      <x:c r="A5724" s="19" t="n">
        <x:v>5721</x:v>
      </x:c>
      <x:c r="B5724" s="22" t="e">
        <x:f>HYPERLINK("https://cdn.shopify.com/s/files/1/0918/6066/4603/files/O1CN012WU9Xp2NGHoJfLNnD__4234819935-0-cib_69ffd276-bcff-44c2-bb4f-050d706b53f3.jpg?v=1776676034","Open")</x:f>
        <x:v>HYPERLINK is not implemented. linkLocation=https://cdn.shopify.com/s/files/1/0918/6066/4603/files/O1CN012WU9Xp2NGHoJfLNnD__4234819935-0-cib_69ffd276-bcff-44c2-bb4f-050d706b53f3.jpg?v=1776676034, friendlyName=Open</x:v>
      </x:c>
      <x:c r="C5724" s="24" t="e">
        <x:f>HYPERLINK("https://365nails.com/products/mint-heart-charm-coffin-color-block-rhinestone-press-on-nails","""Mint Heart Charm Coffin"" – Color-block &amp; Rhinestone Press-on Nails")</x:f>
        <x:v>HYPERLINK is not implemented. linkLocation=https://365nails.com/products/mint-heart-charm-coffin-color-block-rhinestone-press-on-nails, friendlyName="Mint Heart Charm Coffin" – Color-block &amp; Rhinestone Press-on Nails</x:v>
      </x:c>
      <x:c r="D5724" s="18" t="str">
        <x:v>Color: Jp2971 [glue type] / Jp2971 [including wearing tool kit]</x:v>
      </x:c>
      <x:c r="E5724" s="25" t="str">
        <x:v>$1.49</x:v>
      </x:c>
      <x:c r="F5724" s="19" t="str">
        <x:v>1</x:v>
      </x:c>
    </x:row>
    <x:row r="5725" ht="93" customHeight="1">
      <x:c r="A5725" s="19" t="n">
        <x:v>5722</x:v>
      </x:c>
      <x:c r="B5725" s="22" t="e">
        <x:f>HYPERLINK("https://cdn.shopify.com/s/files/1/0918/6066/4603/files/7a575ae88de4686c075a5fafbaced860.jpg?v=1771477071","Open")</x:f>
        <x:v>HYPERLINK is not implemented. linkLocation=https://cdn.shopify.com/s/files/1/0918/6066/4603/files/7a575ae88de4686c075a5fafbaced860.jpg?v=1771477071, friendlyName=Open</x:v>
      </x:c>
      <x:c r="C5725" s="24" t="e">
        <x:f>HYPERLINK("https://365nails.com/products/crimson-petal-pink-bloom-sculpted-flora-series","Sculpted Flora: ""Crimson Petal &amp; Pink Bloom"" – 3D Pink Flowers &amp; Deep Red Petals on Textured White Coffin Nails")</x:f>
        <x:v>HYPERLINK is not implemented. linkLocation=https://365nails.com/products/crimson-petal-pink-bloom-sculpted-flora-series, friendlyName=Sculpted Flora: "Crimson Petal &amp; Pink Bloom" – 3D Pink Flowers &amp; Deep Red Petals on Textured White Coffin Nails</x:v>
      </x:c>
      <x:c r="D5725" s="18" t="str">
        <x:v>Size: XS / S / M / L</x:v>
      </x:c>
      <x:c r="E5725" s="25" t="str">
        <x:v>$3.99</x:v>
      </x:c>
      <x:c r="F5725" s="19" t="str">
        <x:v>5</x:v>
      </x:c>
    </x:row>
    <x:row r="5726" ht="93" customHeight="1">
      <x:c r="A5726" s="19" t="n">
        <x:v>5723</x:v>
      </x:c>
      <x:c r="B5726" s="22" t="e">
        <x:f>HYPERLINK("https://cdn.shopify.com/s/files/1/0918/6066/4603/files/9d1abd277187c327ef794ca5af3d6681.jpg?v=1771476760","Open")</x:f>
        <x:v>HYPERLINK is not implemented. linkLocation=https://cdn.shopify.com/s/files/1/0918/6066/4603/files/9d1abd277187c327ef794ca5af3d6681.jpg?v=1771476760, friendlyName=Open</x:v>
      </x:c>
      <x:c r="C5726" s="24" t="e">
        <x:f>HYPERLINK("https://365nails.com/products/wild-pink-milkshake-sculpted-flora-series","Sculpted Flora: ""Wild Pink Milkshake"" – 3D Polka Dot Flower on Mixed Animal Print &amp; Nude French Nails")</x:f>
        <x:v>HYPERLINK is not implemented. linkLocation=https://365nails.com/products/wild-pink-milkshake-sculpted-flora-series, friendlyName=Sculpted Flora: "Wild Pink Milkshake" – 3D Polka Dot Flower on Mixed Animal Print &amp; Nude French Nails</x:v>
      </x:c>
      <x:c r="D5726" s="18" t="str">
        <x:v>Size: XS / S / M / L</x:v>
      </x:c>
      <x:c r="E5726" s="25" t="str">
        <x:v>$3.99</x:v>
      </x:c>
      <x:c r="F5726" s="19" t="str">
        <x:v>5</x:v>
      </x:c>
    </x:row>
    <x:row r="5727" ht="93" customHeight="1">
      <x:c r="A5727" s="19" t="n">
        <x:v>5724</x:v>
      </x:c>
      <x:c r="B5727" s="22" t="e">
        <x:f>HYPERLINK("https://cdn.shopify.com/s/files/1/0918/6066/4603/files/78a336f7bcd14b9dc205a40bcc36f283.jpg?v=1771481101","Open")</x:f>
        <x:v>HYPERLINK is not implemented. linkLocation=https://cdn.shopify.com/s/files/1/0918/6066/4603/files/78a336f7bcd14b9dc205a40bcc36f283.jpg?v=1771481101, friendlyName=Open</x:v>
      </x:c>
      <x:c r="C5727" s="24" t="e">
        <x:f>HYPERLINK("https://365nails.com/products/peachy-sunset-swirls-sculpted-flora-series","Sculpted Flora: ""Peachy Sunset Swirls"" – 3D Coral Gradient Flowers &amp; Textured Cream Ridges with Pearl Accents")</x:f>
        <x:v>HYPERLINK is not implemented. linkLocation=https://365nails.com/products/peachy-sunset-swirls-sculpted-flora-series, friendlyName=Sculpted Flora: "Peachy Sunset Swirls" – 3D Coral Gradient Flowers &amp; Textured Cream Ridges with Pearl Accents</x:v>
      </x:c>
      <x:c r="D5727" s="18" t="str">
        <x:v>Size: XS / S / M / L</x:v>
      </x:c>
      <x:c r="E5727" s="25" t="str">
        <x:v>$3.99</x:v>
      </x:c>
      <x:c r="F5727" s="19" t="str">
        <x:v>5</x:v>
      </x:c>
    </x:row>
    <x:row r="5728" ht="93" customHeight="1">
      <x:c r="A5728" s="19" t="n">
        <x:v>5725</x:v>
      </x:c>
      <x:c r="B5728" s="22" t="e">
        <x:f>HYPERLINK("https://cdn.shopify.com/s/files/1/0918/6066/4603/files/7eb1f72ce43e74bbc15fd8d4fc5d3d25.jpg?v=1771480941","Open")</x:f>
        <x:v>HYPERLINK is not implemented. linkLocation=https://cdn.shopify.com/s/files/1/0918/6066/4603/files/7eb1f72ce43e74bbc15fd8d4fc5d3d25.jpg?v=1771480941, friendlyName=Open</x:v>
      </x:c>
      <x:c r="C5728" s="24" t="e">
        <x:f>HYPERLINK("https://365nails.com/products/wild-pink-zebra-sculpted-flora-series","Sculpted Flora: ""Wild Pink Zebra"" – 3D Bows &amp; Hot Pink Flowers on Zebra Print &amp; Chain Detail Coffin Nails")</x:f>
        <x:v>HYPERLINK is not implemented. linkLocation=https://365nails.com/products/wild-pink-zebra-sculpted-flora-series, friendlyName=Sculpted Flora: "Wild Pink Zebra" – 3D Bows &amp; Hot Pink Flowers on Zebra Print &amp; Chain Detail Coffin Nails</x:v>
      </x:c>
      <x:c r="D5728" s="18" t="str">
        <x:v>Size: XS / S / M / L</x:v>
      </x:c>
      <x:c r="E5728" s="25" t="str">
        <x:v>$3.99</x:v>
      </x:c>
      <x:c r="F5728" s="19" t="str">
        <x:v>5</x:v>
      </x:c>
    </x:row>
    <x:row r="5729" ht="93" customHeight="1">
      <x:c r="A5729" s="19" t="n">
        <x:v>5726</x:v>
      </x:c>
      <x:c r="B5729" s="22" t="e">
        <x:f>HYPERLINK("https://cdn.shopify.com/s/files/1/0918/6066/4603/files/b14d8467b066e148d7ca2e96b76384b7.jpg?v=1771480776","Open")</x:f>
        <x:v>HYPERLINK is not implemented. linkLocation=https://cdn.shopify.com/s/files/1/0918/6066/4603/files/b14d8467b066e148d7ca2e96b76384b7.jpg?v=1771480776, friendlyName=Open</x:v>
      </x:c>
      <x:c r="C5729" s="24" t="e">
        <x:f>HYPERLINK("https://365nails.com/products/pastel-dreamscape-sculpted-flora-series","Sculpted Flora: ""Pastel Dreamscape"" – 3D Yellow Watercolor Flower &amp; Embossed Stars on Creamy Pink Gradient Coffin Nails")</x:f>
        <x:v>HYPERLINK is not implemented. linkLocation=https://365nails.com/products/pastel-dreamscape-sculpted-flora-series, friendlyName=Sculpted Flora: "Pastel Dreamscape" – 3D Yellow Watercolor Flower &amp; Embossed Stars on Creamy Pink Gradient Coffin Nails</x:v>
      </x:c>
      <x:c r="D5729" s="18" t="str">
        <x:v>Size: XS / S / M / L</x:v>
      </x:c>
      <x:c r="E5729" s="25" t="str">
        <x:v>$3.99</x:v>
      </x:c>
      <x:c r="F5729" s="19" t="str">
        <x:v>5</x:v>
      </x:c>
    </x:row>
    <x:row r="5730" ht="93" customHeight="1">
      <x:c r="A5730" s="19" t="n">
        <x:v>5727</x:v>
      </x:c>
      <x:c r="B5730" s="22" t="e">
        <x:f>HYPERLINK("https://cdn.shopify.com/s/files/1/0918/6066/4603/files/acac51e1266180a057919ae6926f7881.jpg?v=1771480691","Open")</x:f>
        <x:v>HYPERLINK is not implemented. linkLocation=https://cdn.shopify.com/s/files/1/0918/6066/4603/files/acac51e1266180a057919ae6926f7881.jpg?v=1771480691, friendlyName=Open</x:v>
      </x:c>
      <x:c r="C5730" s="24" t="e">
        <x:f>HYPERLINK("https://365nails.com/products/tropical-dewdrops-sculpted-flora-series","Sculpted Flora: ""Tropical Dewdrops"" – 3D Colorful Flowers &amp; Water Droplets on Juicy Gradient Stiletto Nails")</x:f>
        <x:v>HYPERLINK is not implemented. linkLocation=https://365nails.com/products/tropical-dewdrops-sculpted-flora-series, friendlyName=Sculpted Flora: "Tropical Dewdrops" – 3D Colorful Flowers &amp; Water Droplets on Juicy Gradient Stiletto Nails</x:v>
      </x:c>
      <x:c r="D5730" s="18" t="str">
        <x:v>Size: XS / S / M / L</x:v>
      </x:c>
      <x:c r="E5730" s="25" t="str">
        <x:v>$3.99</x:v>
      </x:c>
      <x:c r="F5730" s="19" t="str">
        <x:v>5</x:v>
      </x:c>
    </x:row>
    <x:row r="5731" ht="93" customHeight="1">
      <x:c r="A5731" s="19" t="n">
        <x:v>5728</x:v>
      </x:c>
      <x:c r="B5731" s="22" t="e">
        <x:f>HYPERLINK("https://cdn.shopify.com/s/files/1/0918/6066/4603/files/O1CN01M5SJ2l1HlX1rQrvwx__2545140798-0-cib.jpg?v=1776521842","Open")</x:f>
        <x:v>HYPERLINK is not implemented. linkLocation=https://cdn.shopify.com/s/files/1/0918/6066/4603/files/O1CN01M5SJ2l1HlX1rQrvwx__2545140798-0-cib.jpg?v=1776521842, friendlyName=Open</x:v>
      </x:c>
      <x:c r="C5731" s="24" t="e">
        <x:f>HYPERLINK("https://365nails.com/products/365nails-miiiiichan-puppy-friend-nail-art-stickers","365nails: ""Miiiiichan Puppy Friend"" – nail art stickers")</x:f>
        <x:v>HYPERLINK is not implemented. linkLocation=https://365nails.com/products/365nails-miiiiichan-puppy-friend-nail-art-stickers, friendlyName=365nails: "Miiiiichan Puppy Friend" – nail art stickers</x:v>
      </x:c>
      <x:c r="D5731" s="18" t="str">
        <x:v>Specification type: Mc32-relief</x:v>
      </x:c>
      <x:c r="E5731" s="25" t="str">
        <x:v>$1.30</x:v>
      </x:c>
      <x:c r="F5731" s="19" t="str">
        <x:v>5</x:v>
      </x:c>
    </x:row>
    <x:row r="5732" ht="93" customHeight="1">
      <x:c r="A5732" s="19" t="n">
        <x:v>5729</x:v>
      </x:c>
      <x:c r="B5732" s="22" t="e">
        <x:f>HYPERLINK("https://cdn.shopify.com/s/files/1/0918/6066/4603/files/9dc0af82bfe11df38cb686c63c9dc804.jpg?v=1771482219","Open")</x:f>
        <x:v>HYPERLINK is not implemented. linkLocation=https://cdn.shopify.com/s/files/1/0918/6066/4603/files/9dc0af82bfe11df38cb686c63c9dc804.jpg?v=1771482219, friendlyName=Open</x:v>
      </x:c>
      <x:c r="C5732" s="24" t="e">
        <x:f>HYPERLINK("https://365nails.com/products/blushing-peach-ink-flower-sculpted-flora-series","Sculpted Flora: ""Blushing Peach &amp; Ink Flower"" – 3D Hand-Painted Pink Floral Accent on Soft Nude Ombre Stiletto Nails")</x:f>
        <x:v>HYPERLINK is not implemented. linkLocation=https://365nails.com/products/blushing-peach-ink-flower-sculpted-flora-series, friendlyName=Sculpted Flora: "Blushing Peach &amp; Ink Flower" – 3D Hand-Painted Pink Floral Accent on Soft Nude Ombre Stiletto Nails</x:v>
      </x:c>
      <x:c r="D5732" s="18" t="str">
        <x:v>Size: XS / S / M / L</x:v>
      </x:c>
      <x:c r="E5732" s="25" t="str">
        <x:v>$3.99</x:v>
      </x:c>
      <x:c r="F5732" s="19" t="str">
        <x:v>5</x:v>
      </x:c>
    </x:row>
    <x:row r="5733" ht="93" customHeight="1">
      <x:c r="A5733" s="19" t="n">
        <x:v>5730</x:v>
      </x:c>
      <x:c r="B5733" s="22" t="e">
        <x:f>HYPERLINK("https://cdn.shopify.com/s/files/1/0918/6066/4603/files/b62f1bbdd8d383152810717201e29613.jpg?v=1771482142","Open")</x:f>
        <x:v>HYPERLINK is not implemented. linkLocation=https://cdn.shopify.com/s/files/1/0918/6066/4603/files/b62f1bbdd8d383152810717201e29613.jpg?v=1771482142, friendlyName=Open</x:v>
      </x:c>
      <x:c r="C5733" s="24" t="e">
        <x:f>HYPERLINK("https://365nails.com/products/wild-plum-leopard-sculpted-flora-series","Sculpted Flora: ""Wild Plum &amp; Leopard"" – 3D Deep Magenta Flowers with Abstract Animal Print &amp; Sculpted Swirls")</x:f>
        <x:v>HYPERLINK is not implemented. linkLocation=https://365nails.com/products/wild-plum-leopard-sculpted-flora-series, friendlyName=Sculpted Flora: "Wild Plum &amp; Leopard" – 3D Deep Magenta Flowers with Abstract Animal Print &amp; Sculpted Swirls</x:v>
      </x:c>
      <x:c r="D5733" s="18" t="str">
        <x:v>Size: XS / S / M / L</x:v>
      </x:c>
      <x:c r="E5733" s="25" t="str">
        <x:v>$3.99</x:v>
      </x:c>
      <x:c r="F5733" s="19" t="str">
        <x:v>5</x:v>
      </x:c>
    </x:row>
    <x:row r="5734" ht="93" customHeight="1">
      <x:c r="A5734" s="19" t="n">
        <x:v>5731</x:v>
      </x:c>
      <x:c r="B5734" s="22" t="e">
        <x:f>HYPERLINK("https://cdn.shopify.com/s/files/1/0918/6066/4603/files/1b860857949933742a027b26fe7030b0.png?v=1762510281","Open")</x:f>
        <x:v>HYPERLINK is not implemented. linkLocation=https://cdn.shopify.com/s/files/1/0918/6066/4603/files/1b860857949933742a027b26fe7030b0.png?v=1762510281, friendlyName=Open</x:v>
      </x:c>
      <x:c r="C5734" s="24" t="e">
        <x:f>HYPERLINK("https://365nails.com/products/custom-nail-tips-nail-strips-choose-color-shape-length-quantity","Custom Nail Tips &amp; Nail Strips | Choose Color, Shape, Length, Quantity")</x:f>
        <x:v>HYPERLINK is not implemented. linkLocation=https://365nails.com/products/custom-nail-tips-nail-strips-choose-color-shape-length-quantity, friendlyName=Custom Nail Tips &amp; Nail Strips | Choose Color, Shape, Length, Quantity</x:v>
      </x:c>
      <x:c r="D5734" s="18" t="str">
        <x:v>Standard</x:v>
      </x:c>
      <x:c r="E5734" s="25" t="str">
        <x:v>$1.00</x:v>
      </x:c>
      <x:c r="F5734" s="19" t="str">
        <x:v>1</x:v>
      </x:c>
    </x:row>
    <x:row r="5735" ht="93" customHeight="1">
      <x:c r="A5735" s="19" t="n">
        <x:v>5732</x:v>
      </x:c>
      <x:c r="B5735" s="22" t="e">
        <x:f>HYPERLINK("https://cdn.shopify.com/s/files/1/0918/6066/4603/files/0d14cfe8b525d09d2b5856f31bb2665d.jpg?v=1780043257","Open")</x:f>
        <x:v>HYPERLINK is not implemented. linkLocation=https://cdn.shopify.com/s/files/1/0918/6066/4603/files/0d14cfe8b525d09d2b5856f31bb2665d.jpg?v=1780043257, friendlyName=Open</x:v>
      </x:c>
      <x:c r="C5735" s="24" t="e">
        <x:f>HYPERLINK("https://365nails.com/products/pink-leopard-flower-wholesale-ultra-soft-flexible-fit-handmade-nails-moq-100","""Pink Leopard Flower"" - Wholesale Ultra-Soft Flexible Fit Handmade Nails (MOQ=100)")</x:f>
        <x:v>HYPERLINK is not implemented. linkLocation=https://365nails.com/products/pink-leopard-flower-wholesale-ultra-soft-flexible-fit-handmade-nails-moq-100, friendlyName="Pink Leopard Flower" - Wholesale Ultra-Soft Flexible Fit Handmade Nails (MOQ=100)</x:v>
      </x:c>
      <x:c r="D5735" s="18" t="str">
        <x:v>Size: XS / S / M / L</x:v>
      </x:c>
      <x:c r="E5735" s="25" t="str">
        <x:v>$1.99</x:v>
      </x:c>
      <x:c r="F5735" s="19" t="str">
        <x:v>100</x:v>
      </x:c>
    </x:row>
    <x:row r="5736" ht="93" customHeight="1">
      <x:c r="A5736" s="19" t="n">
        <x:v>5733</x:v>
      </x:c>
      <x:c r="B5736" s="22" t="e">
        <x:f>HYPERLINK("https://cdn.shopify.com/s/files/1/0918/6066/4603/files/f752def0dc3b3c263cfe20a41a829ef2.jpg?v=1771481852","Open")</x:f>
        <x:v>HYPERLINK is not implemented. linkLocation=https://cdn.shopify.com/s/files/1/0918/6066/4603/files/f752def0dc3b3c263cfe20a41a829ef2.jpg?v=1771481852, friendlyName=Open</x:v>
      </x:c>
      <x:c r="C5736" s="24" t="e">
        <x:f>HYPERLINK("https://365nails.com/products/baroque-tiger-pink-flora-sculpted-flora-series","Sculpted Flora: ""Baroque Tiger &amp; Pink Flora"" – 3D Pink Flowers on Tiger Print with Blue Jeweled Cross Stiletto Nails")</x:f>
        <x:v>HYPERLINK is not implemented. linkLocation=https://365nails.com/products/baroque-tiger-pink-flora-sculpted-flora-series, friendlyName=Sculpted Flora: "Baroque Tiger &amp; Pink Flora" – 3D Pink Flowers on Tiger Print with Blue Jeweled Cross Stiletto Nails</x:v>
      </x:c>
      <x:c r="D5736" s="18" t="str">
        <x:v>Size: XS / S / M / L</x:v>
      </x:c>
      <x:c r="E5736" s="25" t="str">
        <x:v>$3.99</x:v>
      </x:c>
      <x:c r="F5736" s="19" t="str">
        <x:v>5</x:v>
      </x:c>
    </x:row>
    <x:row r="5737" ht="93" customHeight="1">
      <x:c r="A5737" s="19" t="n">
        <x:v>5734</x:v>
      </x:c>
      <x:c r="B5737" s="22" t="e">
        <x:f>HYPERLINK("https://cdn.shopify.com/s/files/1/0918/6066/4603/files/O1CN01YTw5Ul2NGI3IqZEi3__4234819935-0-cib.jpg?v=1779435554","Open")</x:f>
        <x:v>HYPERLINK is not implemented. linkLocation=https://cdn.shopify.com/s/files/1/0918/6066/4603/files/O1CN01YTw5Ul2NGI3IqZEi3__4234819935-0-cib.jpg?v=1779435554, friendlyName=Open</x:v>
      </x:c>
      <x:c r="C5737" s="24" t="e">
        <x:f>HYPERLINK("https://365nails.com/products/365nails-gothic-cross-lace-stiletto-rhinestone-letter-press-on-nails","365nails: ""Gothic Cross Lace Stiletto"" – Rhinestone &amp; Letter Press-on Nails")</x:f>
        <x:v>HYPERLINK is not implemented. linkLocation=https://365nails.com/products/365nails-gothic-cross-lace-stiletto-rhinestone-letter-press-on-nails, friendlyName=365nails: "Gothic Cross Lace Stiletto" – Rhinestone &amp; Letter Press-on Nails</x:v>
      </x:c>
      <x:c r="D5737" s="18" t="str">
        <x:v>Color: Jp 4395</x:v>
      </x:c>
      <x:c r="E5737" s="25" t="str">
        <x:v>$1.99</x:v>
      </x:c>
      <x:c r="F5737" s="19" t="str">
        <x:v>1</x:v>
      </x:c>
    </x:row>
    <x:row r="5738" ht="93" customHeight="1">
      <x:c r="A5738" s="19" t="n">
        <x:v>5735</x:v>
      </x:c>
      <x:c r="B5738" s="22" t="e">
        <x:f>HYPERLINK("https://cdn.shopify.com/s/files/1/0918/6066/4603/files/O1CN01OrLjVa2NGI3DQM2ed__4234819935-0-cib.jpg?v=1779435264","Open")</x:f>
        <x:v>HYPERLINK is not implemented. linkLocation=https://cdn.shopify.com/s/files/1/0918/6066/4603/files/O1CN01OrLjVa2NGI3DQM2ed__4234819935-0-cib.jpg?v=1779435264, friendlyName=Open</x:v>
      </x:c>
      <x:c r="C5738" s="24" t="e">
        <x:f>HYPERLINK("https://365nails.com/products/365nails-bronze-star-ombre-almond-rhinestone-chain-press-on-nails","365nails: ""Bronze Star Ombre Almond"" – Rhinestone Chain Press-on Nails")</x:f>
        <x:v>HYPERLINK is not implemented. linkLocation=https://365nails.com/products/365nails-bronze-star-ombre-almond-rhinestone-chain-press-on-nails, friendlyName=365nails: "Bronze Star Ombre Almond" – Rhinestone Chain Press-on Nails</x:v>
      </x:c>
      <x:c r="D5738" s="18" t="str">
        <x:v>Color: Jp 4391</x:v>
      </x:c>
      <x:c r="E5738" s="25" t="str">
        <x:v>$1.63</x:v>
      </x:c>
      <x:c r="F5738" s="19" t="str">
        <x:v>1</x:v>
      </x:c>
    </x:row>
    <x:row r="5739" ht="93" customHeight="1">
      <x:c r="A5739" s="19" t="n">
        <x:v>5736</x:v>
      </x:c>
      <x:c r="B5739" s="22" t="e">
        <x:f>HYPERLINK("https://cdn.shopify.com/s/files/1/0918/6066/4603/files/O1CN012Pp60K2NGHpYQ5TPF__4234819935-0-cib_8e2acc17-e6d8-4ff1-8d75-9759e3b7ebb1.jpg?v=1776676523","Open")</x:f>
        <x:v>HYPERLINK is not implemented. linkLocation=https://cdn.shopify.com/s/files/1/0918/6066/4603/files/O1CN012Pp60K2NGHpYQ5TPF__4234819935-0-cib_8e2acc17-e6d8-4ff1-8d75-9759e3b7ebb1.jpg?v=1776676523, friendlyName=Open</x:v>
      </x:c>
      <x:c r="C5739" s="24" t="e">
        <x:f>HYPERLINK("https://365nails.com/products/365nails-y2k-heartbeat-pink-coffin-3d-crystal-star-accent-press-on-nails","365nails: ""Y2K Heartbeat Pink Coffin"" – 3D Crystal &amp; Star Accent Press-on Nails")</x:f>
        <x:v>HYPERLINK is not implemented. linkLocation=https://365nails.com/products/365nails-y2k-heartbeat-pink-coffin-3d-crystal-star-accent-press-on-nails, friendlyName=365nails: "Y2K Heartbeat Pink Coffin" – 3D Crystal &amp; Star Accent Press-on Nails</x:v>
      </x:c>
      <x:c r="D5739" s="18" t="str">
        <x:v>Color: Jp2254 [glue type] / Jp2254 [including wearing tool kit]</x:v>
      </x:c>
      <x:c r="E5739" s="25" t="str">
        <x:v>$0.99</x:v>
      </x:c>
      <x:c r="F5739" s="19" t="str">
        <x:v>1</x:v>
      </x:c>
    </x:row>
    <x:row r="5740" ht="93" customHeight="1">
      <x:c r="A5740" s="19" t="n">
        <x:v>5737</x:v>
      </x:c>
      <x:c r="B5740" s="22" t="e">
        <x:f>HYPERLINK("https://cdn.shopify.com/s/files/1/0918/6066/4603/files/4351139490c373596f8cfff7fdfdd89e.jpg?v=1772016908","Open")</x:f>
        <x:v>HYPERLINK is not implemented. linkLocation=https://cdn.shopify.com/s/files/1/0918/6066/4603/files/4351139490c373596f8cfff7fdfdd89e.jpg?v=1772016908, friendlyName=Open</x:v>
      </x:c>
      <x:c r="C5740" s="24" t="e">
        <x:f>HYPERLINK("https://365nails.com/products/plum-velvet-bloom-sculpted-flora-series","Sculpted Flora: ""Plum Velvet Bloom"" – 3D Floral &amp; Sheer Magenta Gradient on Long Stiletto Nails")</x:f>
        <x:v>HYPERLINK is not implemented. linkLocation=https://365nails.com/products/plum-velvet-bloom-sculpted-flora-series, friendlyName=Sculpted Flora: "Plum Velvet Bloom" – 3D Floral &amp; Sheer Magenta Gradient on Long Stiletto Nails</x:v>
      </x:c>
      <x:c r="D5740" s="18" t="str">
        <x:v>Size: XS / S / M / L</x:v>
      </x:c>
      <x:c r="E5740" s="25" t="str">
        <x:v>$3.99</x:v>
      </x:c>
      <x:c r="F5740" s="19" t="str">
        <x:v>5</x:v>
      </x:c>
    </x:row>
    <x:row r="5741" ht="93" customHeight="1">
      <x:c r="A5741" s="19" t="n">
        <x:v>5738</x:v>
      </x:c>
      <x:c r="B5741" s="22" t="e">
        <x:f>HYPERLINK("https://cdn.shopify.com/s/files/1/0918/6066/4603/files/6d5f3f51f87d4678c43ee22d7e69b492.jpg?v=1771482367","Open")</x:f>
        <x:v>HYPERLINK is not implemented. linkLocation=https://cdn.shopify.com/s/files/1/0918/6066/4603/files/6d5f3f51f87d4678c43ee22d7e69b492.jpg?v=1771482367, friendlyName=Open</x:v>
      </x:c>
      <x:c r="C5741" s="24" t="e">
        <x:f>HYPERLINK("https://365nails.com/products/blue-iris-french-crystal-sculpted-flora-series","Sculpted Flora: ""Blue Iris &amp; French Crystal"" – 3D Purple Iris Flowers on Bright Blue French Tip Coffin Nails")</x:f>
        <x:v>HYPERLINK is not implemented. linkLocation=https://365nails.com/products/blue-iris-french-crystal-sculpted-flora-series, friendlyName=Sculpted Flora: "Blue Iris &amp; French Crystal" – 3D Purple Iris Flowers on Bright Blue French Tip Coffin Nails</x:v>
      </x:c>
      <x:c r="D5741" s="18" t="str">
        <x:v>Size: XS / S / M / L</x:v>
      </x:c>
      <x:c r="E5741" s="25" t="str">
        <x:v>$3.99</x:v>
      </x:c>
      <x:c r="F5741" s="19" t="str">
        <x:v>5</x:v>
      </x:c>
    </x:row>
    <x:row r="5742" ht="93" customHeight="1">
      <x:c r="A5742" s="19" t="n">
        <x:v>5739</x:v>
      </x:c>
      <x:c r="B5742" s="22" t="e">
        <x:f>HYPERLINK("https://cdn.shopify.com/s/files/1/0918/6066/4603/files/151f3681c6dec3dde8b7414302226dbe.jpg?v=1771482298","Open")</x:f>
        <x:v>HYPERLINK is not implemented. linkLocation=https://cdn.shopify.com/s/files/1/0918/6066/4603/files/151f3681c6dec3dde8b7414302226dbe.jpg?v=1771482298, friendlyName=Open</x:v>
      </x:c>
      <x:c r="C5742" s="24" t="e">
        <x:f>HYPERLINK("https://365nails.com/products/dreamy-pastel-flora-sculpted-flora-series","Sculpted Flora: ""Dreamy Pastel Flora"" – 3D Gradient Purple &amp; Blue Flowers on Yellow-Pink Ombre Coffin Nails with Textured Ribs")</x:f>
        <x:v>HYPERLINK is not implemented. linkLocation=https://365nails.com/products/dreamy-pastel-flora-sculpted-flora-series, friendlyName=Sculpted Flora: "Dreamy Pastel Flora" – 3D Gradient Purple &amp; Blue Flowers on Yellow-Pink Ombre Coffin Nails with Textured Ribs</x:v>
      </x:c>
      <x:c r="D5742" s="18" t="str">
        <x:v>Size: XS / S / M / L</x:v>
      </x:c>
      <x:c r="E5742" s="25" t="str">
        <x:v>$3.99</x:v>
      </x:c>
      <x:c r="F5742" s="19" t="str">
        <x:v>5</x:v>
      </x:c>
    </x:row>
    <x:row r="5743" ht="93" customHeight="1">
      <x:c r="A5743" s="19" t="n">
        <x:v>5740</x:v>
      </x:c>
      <x:c r="B5743" s="22" t="e">
        <x:f>HYPERLINK("https://cdn.shopify.com/s/files/1/0918/6066/4603/files/328be32d44dd8073cbbbc5e6bdbf5657.jpg?v=1771481996","Open")</x:f>
        <x:v>HYPERLINK is not implemented. linkLocation=https://cdn.shopify.com/s/files/1/0918/6066/4603/files/328be32d44dd8073cbbbc5e6bdbf5657.jpg?v=1771481996, friendlyName=Open</x:v>
      </x:c>
      <x:c r="C5743" s="24" t="e">
        <x:f>HYPERLINK("https://365nails.com/products/gothic-garden-purple-green-sculpted-flora-series","Sculpted Flora: ""Gothic Garden"" – Mismatched 3D Purple &amp; Green Flowers on Black Stiletto Nails with Textured Ribs")</x:f>
        <x:v>HYPERLINK is not implemented. linkLocation=https://365nails.com/products/gothic-garden-purple-green-sculpted-flora-series, friendlyName=Sculpted Flora: "Gothic Garden" – Mismatched 3D Purple &amp; Green Flowers on Black Stiletto Nails with Textured Ribs</x:v>
      </x:c>
      <x:c r="D5743" s="18" t="str">
        <x:v>Size: XS / S / M / L</x:v>
      </x:c>
      <x:c r="E5743" s="25" t="str">
        <x:v>$3.99</x:v>
      </x:c>
      <x:c r="F5743" s="19" t="str">
        <x:v>5</x:v>
      </x:c>
    </x:row>
    <x:row r="5744" ht="93" customHeight="1">
      <x:c r="A5744" s="19" t="n">
        <x:v>5741</x:v>
      </x:c>
      <x:c r="B5744" s="22" t="e">
        <x:f>HYPERLINK("https://cdn.shopify.com/s/files/1/0918/6066/4603/files/5765ef93f17ba0f310967605857c1e64.jpg?v=1771482065","Open")</x:f>
        <x:v>HYPERLINK is not implemented. linkLocation=https://cdn.shopify.com/s/files/1/0918/6066/4603/files/5765ef93f17ba0f310967605857c1e64.jpg?v=1771482065, friendlyName=Open</x:v>
      </x:c>
      <x:c r="C5744" s="24" t="e">
        <x:f>HYPERLINK("https://365nails.com/products/ink-blue-lotus-icy-dew-sculpted-flora-series","Sculpted Flora: ""Ink Blue Lotus &amp; Icy Dew"" – 3D Blue &amp; Black Flowers on Ombre Stiletto Nails with Dewdrops")</x:f>
        <x:v>HYPERLINK is not implemented. linkLocation=https://365nails.com/products/ink-blue-lotus-icy-dew-sculpted-flora-series, friendlyName=Sculpted Flora: "Ink Blue Lotus &amp; Icy Dew" – 3D Blue &amp; Black Flowers on Ombre Stiletto Nails with Dewdrops</x:v>
      </x:c>
      <x:c r="D5744" s="18" t="str">
        <x:v>Size: XS / S / M / L</x:v>
      </x:c>
      <x:c r="E5744" s="25" t="str">
        <x:v>$3.99</x:v>
      </x:c>
      <x:c r="F5744" s="19" t="str">
        <x:v>5</x:v>
      </x:c>
    </x:row>
    <x:row r="5745" ht="93" customHeight="1">
      <x:c r="A5745" s="19" t="n">
        <x:v>5742</x:v>
      </x:c>
      <x:c r="B5745" s="22" t="e">
        <x:f>HYPERLINK("https://cdn.shopify.com/s/files/1/0918/6066/4603/files/3465ef6361fc8d714c5b7e6c875d2279.jpg?v=1777802560","Open")</x:f>
        <x:v>HYPERLINK is not implemented. linkLocation=https://cdn.shopify.com/s/files/1/0918/6066/4603/files/3465ef6361fc8d714c5b7e6c875d2279.jpg?v=1777802560, friendlyName=Open</x:v>
      </x:c>
      <x:c r="C5745" s="24" t="e">
        <x:f>HYPERLINK("https://365nails.com/products/365nails-mixed-color-3d-wave-abstract-handmade-short-squoval-press-on-nails","365nails: ""Mixed Color 3D Wave Abstract"" – Handmade Short Squoval Press-On Nails")</x:f>
        <x:v>HYPERLINK is not implemented. linkLocation=https://365nails.com/products/365nails-mixed-color-3d-wave-abstract-handmade-short-squoval-press-on-nails, friendlyName=365nails: "Mixed Color 3D Wave Abstract" – Handmade Short Squoval Press-On Nails</x:v>
      </x:c>
      <x:c r="D5745" s="18" t="str">
        <x:v>Size: XS / S / M / L</x:v>
      </x:c>
      <x:c r="E5745" s="25" t="str">
        <x:v>$3.49</x:v>
      </x:c>
      <x:c r="F5745" s="19" t="str">
        <x:v>5</x:v>
      </x:c>
    </x:row>
    <x:row r="5746" ht="93" customHeight="1">
      <x:c r="A5746" s="19" t="n">
        <x:v>5743</x:v>
      </x:c>
      <x:c r="B5746" s="22" t="e">
        <x:f>HYPERLINK("https://cdn.shopify.com/s/files/1/0918/6066/4603/files/ae34feeaae4540caef8e18ba75ff0d14.jpg?v=1781011704","Open")</x:f>
        <x:v>HYPERLINK is not implemented. linkLocation=https://cdn.shopify.com/s/files/1/0918/6066/4603/files/ae34feeaae4540caef8e18ba75ff0d14.jpg?v=1781011704, friendlyName=Open</x:v>
      </x:c>
      <x:c r="C5746" s="24" t="e">
        <x:f>HYPERLINK("https://365nails.com/products/365nails-vintage-polka-dot-mix-hand-painted-press-on-medium-almond-handmade-nails","365nails: ""Vintage Polka Dot Mix"" – Hand Painted Press On Medium  Almond Handmade Nails")</x:f>
        <x:v>HYPERLINK is not implemented. linkLocation=https://365nails.com/products/365nails-vintage-polka-dot-mix-hand-painted-press-on-medium-almond-handmade-nails, friendlyName=365nails: "Vintage Polka Dot Mix" – Hand Painted Press On Medium  Almond Handmade Nails</x:v>
      </x:c>
      <x:c r="D5746" s="18" t="str">
        <x:v>Size: XS / S / M / L</x:v>
      </x:c>
      <x:c r="E5746" s="25" t="str">
        <x:v>$1.99</x:v>
      </x:c>
      <x:c r="F5746" s="19" t="str">
        <x:v>3</x:v>
      </x:c>
    </x:row>
    <x:row r="5747" ht="93" customHeight="1">
      <x:c r="A5747" s="19" t="n">
        <x:v>5744</x:v>
      </x:c>
      <x:c r="B5747" s="22" t="e">
        <x:f>HYPERLINK("https://cdn.shopify.com/s/files/1/0918/6066/4603/files/O1CN01F71jLu1HlX5P1m85B__2545140798-0-cib_c9bd51d0-dbf4-4f4d-aa44-f8f5c17aa13d.jpg?v=1775479333","Open")</x:f>
        <x:v>HYPERLINK is not implemented. linkLocation=https://cdn.shopify.com/s/files/1/0918/6066/4603/files/O1CN01F71jLu1HlX5P1m85B__2545140798-0-cib_c9bd51d0-dbf4-4f4d-aa44-f8f5c17aa13d.jpg?v=1775479333, friendlyName=Open</x:v>
      </x:c>
      <x:c r="C5747" s="24" t="e">
        <x:f>HYPERLINK("https://365nails.com/products/365nails-miiiiichan-autumn-puppy-handmade-press-on-nails","365nails: ""Miiiiichan Autumn Puppy"" –Nail Art Stickers")</x:f>
        <x:v>HYPERLINK is not implemented. linkLocation=https://365nails.com/products/365nails-miiiiichan-autumn-puppy-handmade-press-on-nails, friendlyName=365nails: "Miiiiichan Autumn Puppy" –Nail Art Stickers</x:v>
      </x:c>
      <x:c r="D5747" s="18" t="str">
        <x:v>Specification type: Mc60</x:v>
      </x:c>
      <x:c r="E5747" s="25" t="str">
        <x:v>$1.16</x:v>
      </x:c>
      <x:c r="F5747" s="19" t="str">
        <x:v>5</x:v>
      </x:c>
    </x:row>
    <x:row r="5748" ht="93" customHeight="1">
      <x:c r="A5748" s="19" t="n">
        <x:v>5745</x:v>
      </x:c>
      <x:c r="B5748" s="22" t="e">
        <x:f>HYPERLINK("https://cdn.shopify.com/s/files/1/0918/6066/4603/files/9e7bfe861f8529cbcc03253953d6daa9.jpg?v=1777809208","Open")</x:f>
        <x:v>HYPERLINK is not implemented. linkLocation=https://cdn.shopify.com/s/files/1/0918/6066/4603/files/9e7bfe861f8529cbcc03253953d6daa9.jpg?v=1777809208, friendlyName=Open</x:v>
      </x:c>
      <x:c r="C5748" s="24" t="e">
        <x:f>HYPERLINK("https://365nails.com/products/365nails-zodiac-star-sign-handmade-short-stiletto-press-on-nails","365nails: ""Zodiac Star Sign"" – Handmade Short Stiletto Press-On Nails")</x:f>
        <x:v>HYPERLINK is not implemented. linkLocation=https://365nails.com/products/365nails-zodiac-star-sign-handmade-short-stiletto-press-on-nails, friendlyName=365nails: "Zodiac Star Sign" – Handmade Short Stiletto Press-On Nails</x:v>
      </x:c>
      <x:c r="D5748" s="18" t="str">
        <x:v>Size: XS / S / M / L</x:v>
      </x:c>
      <x:c r="E5748" s="25" t="str">
        <x:v>$2.99</x:v>
      </x:c>
      <x:c r="F5748" s="19" t="str">
        <x:v>5</x:v>
      </x:c>
    </x:row>
    <x:row r="5749" ht="93" customHeight="1">
      <x:c r="A5749" s="19" t="n">
        <x:v>5746</x:v>
      </x:c>
      <x:c r="B5749" s="22" t="e">
        <x:f>HYPERLINK("https://cdn.shopify.com/s/files/1/0918/6066/4603/files/O1CN01i4lJGW2NGHpQlFsMQ__4234819935-0-cib_449ddcc7-380c-4653-91f5-279419b094ca.jpg?v=1776676418","Open")</x:f>
        <x:v>HYPERLINK is not implemented. linkLocation=https://cdn.shopify.com/s/files/1/0918/6066/4603/files/O1CN01i4lJGW2NGHpQlFsMQ__4234819935-0-cib_449ddcc7-380c-4653-91f5-279419b094ca.jpg?v=1776676418, friendlyName=Open</x:v>
      </x:c>
      <x:c r="C5749" s="24" t="e">
        <x:f>HYPERLINK("https://365nails.com/products/365nails-blush-ombre-crystal-oval-rhinestone-accent-press-on-nails","365nails: ""Blush Ombre Crystal Oval"" – Rhinestone Accent Press-on Nails")</x:f>
        <x:v>HYPERLINK is not implemented. linkLocation=https://365nails.com/products/365nails-blush-ombre-crystal-oval-rhinestone-accent-press-on-nails, friendlyName=365nails: "Blush Ombre Crystal Oval" – Rhinestone Accent Press-on Nails</x:v>
      </x:c>
      <x:c r="D5749" s="18" t="str">
        <x:v>Color: Jp2972 [glue type]</x:v>
      </x:c>
      <x:c r="E5749" s="25" t="str">
        <x:v>$0.99</x:v>
      </x:c>
      <x:c r="F5749" s="19" t="str">
        <x:v>1</x:v>
      </x:c>
    </x:row>
    <x:row r="5750" ht="93" customHeight="1">
      <x:c r="A5750" s="19" t="n">
        <x:v>5747</x:v>
      </x:c>
      <x:c r="B5750" s="22" t="e">
        <x:f>HYPERLINK("https://cdn.shopify.com/s/files/1/0918/6066/4603/files/O1CN01zNpATA1HlX377uz2P__2545140798-0-cib_c065e5d8-ac9b-4b8a-b8c8-b68b6126f31f.jpg?v=1775455850","Open")</x:f>
        <x:v>HYPERLINK is not implemented. linkLocation=https://cdn.shopify.com/s/files/1/0918/6066/4603/files/O1CN01zNpATA1HlX377uz2P__2545140798-0-cib_c065e5d8-ac9b-4b8a-b8c8-b68b6126f31f.jpg?v=1775455850, friendlyName=Open</x:v>
      </x:c>
      <x:c r="C5750" s="24" t="e">
        <x:f>HYPERLINK("https://365nails.com/products/365nails-vintage-white-floral-silhouette-handmade-press-on-nails","365nails: ""Vintage White Floral Silhouette"" –Nail Art Stickers")</x:f>
        <x:v>HYPERLINK is not implemented. linkLocation=https://365nails.com/products/365nails-vintage-white-floral-silhouette-handmade-press-on-nails, friendlyName=365nails: "Vintage White Floral Silhouette" –Nail Art Stickers</x:v>
      </x:c>
      <x:c r="D5750" s="18" t="str">
        <x:v>Specification type: To4235 / To4236 / To4238 / To4239</x:v>
      </x:c>
      <x:c r="E5750" s="25" t="str">
        <x:v>$1.09</x:v>
      </x:c>
      <x:c r="F5750" s="19" t="str">
        <x:v>5</x:v>
      </x:c>
    </x:row>
    <x:row r="5751" ht="93" customHeight="1">
      <x:c r="A5751" s="19" t="n">
        <x:v>5748</x:v>
      </x:c>
      <x:c r="B5751" s="22" t="e">
        <x:f>HYPERLINK("https://cdn.shopify.com/s/files/1/0918/6066/4603/files/d3ef02268081a8557362240d936d7610.jpg?v=1777801971","Open")</x:f>
        <x:v>HYPERLINK is not implemented. linkLocation=https://cdn.shopify.com/s/files/1/0918/6066/4603/files/d3ef02268081a8557362240d936d7610.jpg?v=1777801971, friendlyName=Open</x:v>
      </x:c>
      <x:c r="C5751" s="24" t="e">
        <x:f>HYPERLINK("https://365nails.com/products/365nails-honey-bee-3d-flower-stripe-handmade-medium-stiletto-press-on-nails","365nails: ""Honey Bee 3D Flower Stripe"" – Handmade Medium Stiletto Press-On Nails")</x:f>
        <x:v>HYPERLINK is not implemented. linkLocation=https://365nails.com/products/365nails-honey-bee-3d-flower-stripe-handmade-medium-stiletto-press-on-nails, friendlyName=365nails: "Honey Bee 3D Flower Stripe" – Handmade Medium Stiletto Press-On Nails</x:v>
      </x:c>
      <x:c r="D5751" s="18" t="str">
        <x:v>Size: XS / S / M / L</x:v>
      </x:c>
      <x:c r="E5751" s="25" t="str">
        <x:v>$3.49</x:v>
      </x:c>
      <x:c r="F5751" s="19" t="str">
        <x:v>5</x:v>
      </x:c>
    </x:row>
    <x:row r="5752" ht="93" customHeight="1">
      <x:c r="A5752" s="19" t="n">
        <x:v>5749</x:v>
      </x:c>
      <x:c r="B5752" s="22" t="e">
        <x:f>HYPERLINK("https://cdn.shopify.com/s/files/1/0918/6066/4603/files/c943101cf3fd3792f2ad2bc407fe47ab.jpg?v=1777809006","Open")</x:f>
        <x:v>HYPERLINK is not implemented. linkLocation=https://cdn.shopify.com/s/files/1/0918/6066/4603/files/c943101cf3fd3792f2ad2bc407fe47ab.jpg?v=1777809006, friendlyName=Open</x:v>
      </x:c>
      <x:c r="C5752" s="24" t="e">
        <x:f>HYPERLINK("https://365nails.com/products/365nails-sapphire-crystal-french-handmade-medium-coffin-press-on-nails","365nails: ""Sapphire Crystal French"" – Handmade Medium Coffin Press-On Nails")</x:f>
        <x:v>HYPERLINK is not implemented. linkLocation=https://365nails.com/products/365nails-sapphire-crystal-french-handmade-medium-coffin-press-on-nails, friendlyName=365nails: "Sapphire Crystal French" – Handmade Medium Coffin Press-On Nails</x:v>
      </x:c>
      <x:c r="D5752" s="18" t="str">
        <x:v>Size: XS / S / M / L</x:v>
      </x:c>
      <x:c r="E5752" s="25" t="str">
        <x:v>$2.99</x:v>
      </x:c>
      <x:c r="F5752" s="19" t="str">
        <x:v>5</x:v>
      </x:c>
    </x:row>
    <x:row r="5753" ht="93" customHeight="1">
      <x:c r="A5753" s="19" t="n">
        <x:v>5750</x:v>
      </x:c>
      <x:c r="B5753" s="22" t="e">
        <x:f>HYPERLINK("https://cdn.shopify.com/s/files/1/0918/6066/4603/files/O1CN01CT3CzC1HlX1fvcHbz__2545140798-0-cib_c529309f-1af4-4267-85a6-538f8a8b63b2.jpg?v=1775449334","Open")</x:f>
        <x:v>HYPERLINK is not implemented. linkLocation=https://cdn.shopify.com/s/files/1/0918/6066/4603/files/O1CN01CT3CzC1HlX1fvcHbz__2545140798-0-cib_c529309f-1af4-4267-85a6-538f8a8b63b2.jpg?v=1775449334, friendlyName=Open</x:v>
      </x:c>
      <x:c r="C5753" s="24" t="e">
        <x:f>HYPERLINK("https://365nails.com/products/365nails-laser-silver-abstract-handmade-press-on-nails","365nails: ""Laser Silver Abstract"" – Nail Art Stickers")</x:f>
        <x:v>HYPERLINK is not implemented. linkLocation=https://365nails.com/products/365nails-laser-silver-abstract-handmade-press-on-nails, friendlyName=365nails: "Laser Silver Abstract" – Nail Art Stickers</x:v>
      </x:c>
      <x:c r="D5753" s="18" t="str">
        <x:v>Specification type: To4179-laser silver / To4179-mist blue gold / To4179-new hot stamping / To4179-silver</x:v>
      </x:c>
      <x:c r="E5753" s="25" t="str">
        <x:v>$1.23</x:v>
      </x:c>
      <x:c r="F5753" s="19" t="str">
        <x:v>5</x:v>
      </x:c>
    </x:row>
    <x:row r="5754" ht="93" customHeight="1">
      <x:c r="A5754" s="19" t="n">
        <x:v>5751</x:v>
      </x:c>
      <x:c r="B5754" s="22" t="e">
        <x:f>HYPERLINK("https://cdn.shopify.com/s/files/1/0918/6066/4603/files/0ce99780bd4bfd848fc374ddf88a8d1e.jpg?v=1777799235","Open")</x:f>
        <x:v>HYPERLINK is not implemented. linkLocation=https://cdn.shopify.com/s/files/1/0918/6066/4603/files/0ce99780bd4bfd848fc374ddf88a8d1e.jpg?v=1777799235, friendlyName=Open</x:v>
      </x:c>
      <x:c r="C5754" s="24" t="e">
        <x:f>HYPERLINK("https://365nails.com/products/365nails-pink-blue-flower-bubble-mix-handmade-medium-stiletto-press-on-nails","365nails: ""Pink Blue Flower Bubble Mix"" – Handmade Medium Stiletto Press-On Nails")</x:f>
        <x:v>HYPERLINK is not implemented. linkLocation=https://365nails.com/products/365nails-pink-blue-flower-bubble-mix-handmade-medium-stiletto-press-on-nails, friendlyName=365nails: "Pink Blue Flower Bubble Mix" – Handmade Medium Stiletto Press-On Nails</x:v>
      </x:c>
      <x:c r="D5754" s="18" t="str">
        <x:v>Size: XS / S / M / L</x:v>
      </x:c>
      <x:c r="E5754" s="25" t="str">
        <x:v>$3.49</x:v>
      </x:c>
      <x:c r="F5754" s="19" t="str">
        <x:v>5</x:v>
      </x:c>
    </x:row>
    <x:row r="5755" ht="93" customHeight="1">
      <x:c r="A5755" s="19" t="n">
        <x:v>5752</x:v>
      </x:c>
      <x:c r="B5755" s="22" t="e">
        <x:f>HYPERLINK("https://cdn.shopify.com/s/files/1/0918/6066/4603/files/O1CN01eRxpRD1HlX0fUm1ru__2545140798-0-cib.jpg?v=1776497362","Open")</x:f>
        <x:v>HYPERLINK is not implemented. linkLocation=https://cdn.shopify.com/s/files/1/0918/6066/4603/files/O1CN01eRxpRD1HlX0fUm1ru__2545140798-0-cib.jpg?v=1776497362, friendlyName=Open</x:v>
      </x:c>
      <x:c r="C5755" s="24" t="e">
        <x:f>HYPERLINK("https://365nails.com/products/365nails-pastel-crystal-bow-nail-art-stickers","365nails: ""Pastel Crystal Bow"" – nail art stickers")</x:f>
        <x:v>HYPERLINK is not implemented. linkLocation=https://365nails.com/products/365nails-pastel-crystal-bow-nail-art-stickers, friendlyName=365nails: "Pastel Crystal Bow" – nail art stickers</x:v>
      </x:c>
      <x:c r="D5755" s="18" t="str">
        <x:v>Specification type: To3926-crystal diamond / To3968-crystal diamond / To3969-crystal diamond</x:v>
      </x:c>
      <x:c r="E5755" s="25" t="str">
        <x:v>$1.30</x:v>
      </x:c>
      <x:c r="F5755" s="19" t="str">
        <x:v>5</x:v>
      </x:c>
    </x:row>
    <x:row r="5756" ht="93" customHeight="1">
      <x:c r="A5756" s="19" t="n">
        <x:v>5753</x:v>
      </x:c>
      <x:c r="B5756" s="22" t="e">
        <x:f>HYPERLINK("https://cdn.shopify.com/s/files/1/0918/6066/4603/files/16ef7aa8ee472b16ef6ad3219052e2c6.jpg?v=1777776586","Open")</x:f>
        <x:v>HYPERLINK is not implemented. linkLocation=https://cdn.shopify.com/s/files/1/0918/6066/4603/files/16ef7aa8ee472b16ef6ad3219052e2c6.jpg?v=1777776586, friendlyName=Open</x:v>
      </x:c>
      <x:c r="C5756" s="24" t="e">
        <x:f>HYPERLINK("https://365nails.com/products/365nails-pink-leopard-pearl-heart-handmade-long-trapezoid-press-on-nails","365nails: ""Pink Leopard Pearl Heart"" – Handmade Long Trapezoid Press-On Nails")</x:f>
        <x:v>HYPERLINK is not implemented. linkLocation=https://365nails.com/products/365nails-pink-leopard-pearl-heart-handmade-long-trapezoid-press-on-nails, friendlyName=365nails: "Pink Leopard Pearl Heart" – Handmade Long Trapezoid Press-On Nails</x:v>
      </x:c>
      <x:c r="D5756" s="18" t="str">
        <x:v>Size: XS / S / M / L</x:v>
      </x:c>
      <x:c r="E5756" s="25" t="str">
        <x:v>$5.99</x:v>
      </x:c>
      <x:c r="F5756" s="19" t="str">
        <x:v>5</x:v>
      </x:c>
    </x:row>
    <x:row r="5757" ht="93" customHeight="1">
      <x:c r="A5757" s="19" t="n">
        <x:v>5754</x:v>
      </x:c>
      <x:c r="B5757" s="22" t="e">
        <x:f>HYPERLINK("https://cdn.shopify.com/s/files/1/0918/6066/4603/files/O1CN01TVIB9E1HlX1Fb9Sor__2545140798-0-cib_8ddda1c6-8909-4443-a35b-1954066e32bf.jpg?v=1775451095","Open")</x:f>
        <x:v>HYPERLINK is not implemented. linkLocation=https://cdn.shopify.com/s/files/1/0918/6066/4603/files/O1CN01TVIB9E1HlX1Fb9Sor__2545140798-0-cib_8ddda1c6-8909-4443-a35b-1954066e32bf.jpg?v=1775451095, friendlyName=Open</x:v>
      </x:c>
      <x:c r="C5757" s="24" t="e">
        <x:f>HYPERLINK("https://365nails.com/products/365nails-miiichan-friends-handmade-press-on-nails","365nails: ""Miiichan &amp; Friends"" – Nail Art Stickers")</x:f>
        <x:v>HYPERLINK is not implemented. linkLocation=https://365nails.com/products/365nails-miiichan-friends-handmade-press-on-nails, friendlyName=365nails: "Miiichan &amp; Friends" – Nail Art Stickers</x:v>
      </x:c>
      <x:c r="D5757" s="18" t="str">
        <x:v>Specification type: Mc18-relief</x:v>
      </x:c>
      <x:c r="E5757" s="25" t="str">
        <x:v>$1.30</x:v>
      </x:c>
      <x:c r="F5757" s="19" t="str">
        <x:v>5</x:v>
      </x:c>
    </x:row>
    <x:row r="5758" ht="93" customHeight="1">
      <x:c r="A5758" s="19" t="n">
        <x:v>5755</x:v>
      </x:c>
      <x:c r="B5758" s="22" t="e">
        <x:f>HYPERLINK("https://cdn.shopify.com/s/files/1/0918/6066/4603/files/O1CN01HGYOBX1HlX5nPi6CQ__2545140798-0-cib_e439ae75-d9da-4a40-8367-f8916c407e5d.jpg?v=1775479419","Open")</x:f>
        <x:v>HYPERLINK is not implemented. linkLocation=https://cdn.shopify.com/s/files/1/0918/6066/4603/files/O1CN01HGYOBX1HlX5nPi6CQ__2545140798-0-cib_e439ae75-d9da-4a40-8367-f8916c407e5d.jpg?v=1775479419, friendlyName=Open</x:v>
      </x:c>
      <x:c r="C5758" s="24" t="e">
        <x:f>HYPERLINK("https://365nails.com/products/365nails-lace-moon-butterfly-silhouette-handmade-press-on-nails","365nails: ""Lace Moon &amp; Butterfly Silhouette"" –Nail Art Stickers")</x:f>
        <x:v>HYPERLINK is not implemented. linkLocation=https://365nails.com/products/365nails-lace-moon-butterfly-silhouette-handmade-press-on-nails, friendlyName=365nails: "Lace Moon &amp; Butterfly Silhouette" –Nail Art Stickers</x:v>
      </x:c>
      <x:c r="D5758" s="18" t="str">
        <x:v>Specification type: Ms 511 / Ms 512</x:v>
      </x:c>
      <x:c r="E5758" s="25" t="str">
        <x:v>$1.09</x:v>
      </x:c>
      <x:c r="F5758" s="19" t="str">
        <x:v>5</x:v>
      </x:c>
    </x:row>
    <x:row r="5759" ht="93" customHeight="1">
      <x:c r="A5759" s="19" t="n">
        <x:v>5756</x:v>
      </x:c>
      <x:c r="B5759" s="22" t="e">
        <x:f>HYPERLINK("https://cdn.shopify.com/s/files/1/0918/6066/4603/files/b6d286864874f230be0ca7ebc0e43b54.jpg?v=1771482627","Open")</x:f>
        <x:v>HYPERLINK is not implemented. linkLocation=https://cdn.shopify.com/s/files/1/0918/6066/4603/files/b6d286864874f230be0ca7ebc0e43b54.jpg?v=1771482627, friendlyName=Open</x:v>
      </x:c>
      <x:c r="C5759" s="24" t="e">
        <x:f>HYPERLINK("https://365nails.com/products/creamy-jasmine-sculpted-flora-series","Sculpted Flora: ""Creamy Jasmine"" – 3D Soft Yellow Flowers with Pearl Accents on Elegant French Tip Almond Nails")</x:f>
        <x:v>HYPERLINK is not implemented. linkLocation=https://365nails.com/products/creamy-jasmine-sculpted-flora-series, friendlyName=Sculpted Flora: "Creamy Jasmine" – 3D Soft Yellow Flowers with Pearl Accents on Elegant French Tip Almond Nails</x:v>
      </x:c>
      <x:c r="D5759" s="18" t="str">
        <x:v>Size: XS / S / M / L</x:v>
      </x:c>
      <x:c r="E5759" s="25" t="str">
        <x:v>$3.99</x:v>
      </x:c>
      <x:c r="F5759" s="19" t="str">
        <x:v>5</x:v>
      </x:c>
    </x:row>
    <x:row r="5760" ht="93" customHeight="1">
      <x:c r="A5760" s="19" t="n">
        <x:v>5757</x:v>
      </x:c>
      <x:c r="B5760" s="22" t="e">
        <x:f>HYPERLINK("https://cdn.shopify.com/s/files/1/0918/6066/4603/files/a06315c610c134d740a01fce32733d44.jpg?v=1777809163","Open")</x:f>
        <x:v>HYPERLINK is not implemented. linkLocation=https://cdn.shopify.com/s/files/1/0918/6066/4603/files/a06315c610c134d740a01fce32733d44.jpg?v=1777809163, friendlyName=Open</x:v>
      </x:c>
      <x:c r="C5760" s="24" t="e">
        <x:f>HYPERLINK("https://365nails.com/products/365nails-hello-kitty-french-3d-hello-kitty-handmade-short-square-press-on-nails","365nails: ""Hello Kitty French"" – 3D Hello Kitty Handmade Short Square Press-On Nails")</x:f>
        <x:v>HYPERLINK is not implemented. linkLocation=https://365nails.com/products/365nails-hello-kitty-french-3d-hello-kitty-handmade-short-square-press-on-nails, friendlyName=365nails: "Hello Kitty French" – 3D Hello Kitty Handmade Short Square Press-On Nails</x:v>
      </x:c>
      <x:c r="D5760" s="18" t="str">
        <x:v>Size: XS / S / M / L</x:v>
      </x:c>
      <x:c r="E5760" s="25" t="str">
        <x:v>$2.99</x:v>
      </x:c>
      <x:c r="F5760" s="19" t="str">
        <x:v>5</x:v>
      </x:c>
    </x:row>
    <x:row r="5761" ht="93" customHeight="1">
      <x:c r="A5761" s="19" t="n">
        <x:v>5758</x:v>
      </x:c>
      <x:c r="B5761" s="22" t="e">
        <x:f>HYPERLINK("https://cdn.shopify.com/s/files/1/0918/6066/4603/files/O1CN01c3hLUi1HlX0eEY1iz__2545140798-0-cib.jpg?v=1776498021","Open")</x:f>
        <x:v>HYPERLINK is not implemented. linkLocation=https://cdn.shopify.com/s/files/1/0918/6066/4603/files/O1CN01c3hLUi1HlX0eEY1iz__2545140798-0-cib.jpg?v=1776498021, friendlyName=Open</x:v>
      </x:c>
      <x:c r="C5761" s="24" t="e">
        <x:f>HYPERLINK("https://365nails.com/products/365nails-pearl-heart-and-gem-nail-art-stickers","365nails: ""Pearl Heart and Gem"" – nail art stickers")</x:f>
        <x:v>HYPERLINK is not implemented. linkLocation=https://365nails.com/products/365nails-pearl-heart-and-gem-nail-art-stickers, friendlyName=365nails: "Pearl Heart and Gem" – nail art stickers</x:v>
      </x:c>
      <x:c r="D5761" s="18" t="str">
        <x:v>Specification type: Ms547-crystal diamond / Ms548-crystal diamond</x:v>
      </x:c>
      <x:c r="E5761" s="25" t="str">
        <x:v>$1.30</x:v>
      </x:c>
      <x:c r="F5761" s="19" t="str">
        <x:v>5</x:v>
      </x:c>
    </x:row>
    <x:row r="5762" ht="93" customHeight="1">
      <x:c r="A5762" s="19" t="n">
        <x:v>5759</x:v>
      </x:c>
      <x:c r="B5762" s="22" t="e">
        <x:f>HYPERLINK("https://cdn.shopify.com/s/files/1/0918/6066/4603/files/f7c204e6a11f5b73e5074906b7a8f187.jpg?v=1771482541","Open")</x:f>
        <x:v>HYPERLINK is not implemented. linkLocation=https://cdn.shopify.com/s/files/1/0918/6066/4603/files/f7c204e6a11f5b73e5074906b7a8f187.jpg?v=1771482541, friendlyName=Open</x:v>
      </x:c>
      <x:c r="C5762" s="24" t="e">
        <x:f>HYPERLINK("https://365nails.com/products/vintage-wine-cream-rose-sculpted-flora-series","Sculpted Flora: ""Vintage Wine &amp; Cream Rose"" – 3D Gradient Floral on Burgundy-White Ombre Coffin Nails with Ribbed Texture")</x:f>
        <x:v>HYPERLINK is not implemented. linkLocation=https://365nails.com/products/vintage-wine-cream-rose-sculpted-flora-series, friendlyName=Sculpted Flora: "Vintage Wine &amp; Cream Rose" – 3D Gradient Floral on Burgundy-White Ombre Coffin Nails with Ribbed Texture</x:v>
      </x:c>
      <x:c r="D5762" s="18" t="str">
        <x:v>Size: XS / S / M / L</x:v>
      </x:c>
      <x:c r="E5762" s="25" t="str">
        <x:v>$3.99</x:v>
      </x:c>
      <x:c r="F5762" s="19" t="str">
        <x:v>5</x:v>
      </x:c>
    </x:row>
    <x:row r="5763" ht="93" customHeight="1">
      <x:c r="A5763" s="19" t="n">
        <x:v>5760</x:v>
      </x:c>
      <x:c r="B5763" s="22" t="e">
        <x:f>HYPERLINK("https://cdn.shopify.com/s/files/1/0918/6066/4603/files/4c768fc94ea920ffbe1e3153c7a0fe53.jpg?v=1771481927","Open")</x:f>
        <x:v>HYPERLINK is not implemented. linkLocation=https://cdn.shopify.com/s/files/1/0918/6066/4603/files/4c768fc94ea920ffbe1e3153c7a0fe53.jpg?v=1771481927, friendlyName=Open</x:v>
      </x:c>
      <x:c r="C5763" s="24" t="e">
        <x:f>HYPERLINK("https://365nails.com/products/midnight-lotus-blue-dew-sculpted-flora-series","Sculpted Flora: ""Midnight Lotus &amp; Blue Dew"" – 3D Pink Flowers on Deep Blue Cat Eye Gradient Coffin Nails")</x:f>
        <x:v>HYPERLINK is not implemented. linkLocation=https://365nails.com/products/midnight-lotus-blue-dew-sculpted-flora-series, friendlyName=Sculpted Flora: "Midnight Lotus &amp; Blue Dew" – 3D Pink Flowers on Deep Blue Cat Eye Gradient Coffin Nails</x:v>
      </x:c>
      <x:c r="D5763" s="18" t="str">
        <x:v>Size: XS / S / M / L</x:v>
      </x:c>
      <x:c r="E5763" s="25" t="str">
        <x:v>$3.99</x:v>
      </x:c>
      <x:c r="F5763" s="19" t="str">
        <x:v>5</x:v>
      </x:c>
    </x:row>
    <x:row r="5764" ht="93" customHeight="1">
      <x:c r="A5764" s="19" t="n">
        <x:v>5761</x:v>
      </x:c>
      <x:c r="B5764" s="22" t="e">
        <x:f>HYPERLINK("https://cdn.shopify.com/s/files/1/0918/6066/4603/files/O1CN01KUSkEU1HlX094kgWD__2545140798-0-cib.jpg?v=1776496394","Open")</x:f>
        <x:v>HYPERLINK is not implemented. linkLocation=https://cdn.shopify.com/s/files/1/0918/6066/4603/files/O1CN01KUSkEU1HlX094kgWD__2545140798-0-cib.jpg?v=1776496394, friendlyName=Open</x:v>
      </x:c>
      <x:c r="C5764" s="24" t="e">
        <x:f>HYPERLINK("https://365nails.com/products/365nails-minimalist-black-bow-nail-art-stickers","365nails: ""Minimalist Black Bow"" – nail art stickers")</x:f>
        <x:v>HYPERLINK is not implemented. linkLocation=https://365nails.com/products/365nails-minimalist-black-bow-nail-art-stickers, friendlyName=365nails: "Minimalist Black Bow" – nail art stickers</x:v>
      </x:c>
      <x:c r="D5764" s="18" t="str">
        <x:v>Specification type: To3874 / To3876</x:v>
      </x:c>
      <x:c r="E5764" s="25" t="str">
        <x:v>$1.09</x:v>
      </x:c>
      <x:c r="F5764" s="19" t="str">
        <x:v>5</x:v>
      </x:c>
    </x:row>
    <x:row r="5765" ht="93" customHeight="1">
      <x:c r="A5765" s="19" t="n">
        <x:v>5762</x:v>
      </x:c>
      <x:c r="B5765" s="22" t="e">
        <x:f>HYPERLINK("https://cdn.shopify.com/s/files/1/0918/6066/4603/files/O1CN01KOLHjp1HlWw6ZIDw1__2545140798-0-cib.jpg?v=1776494760","Open")</x:f>
        <x:v>HYPERLINK is not implemented. linkLocation=https://cdn.shopify.com/s/files/1/0918/6066/4603/files/O1CN01KOLHjp1HlWw6ZIDw1__2545140798-0-cib.jpg?v=1776494760, friendlyName=Open</x:v>
      </x:c>
      <x:c r="C5765" s="24" t="e">
        <x:f>HYPERLINK("https://365nails.com/products/365nails-vintage-rose-and-ornate-frame-nail-art-stickers","365nails: ""Vintage Rose and Ornate Frame"" – nail art stickers")</x:f>
        <x:v>HYPERLINK is not implemented. linkLocation=https://365nails.com/products/365nails-vintage-rose-and-ornate-frame-nail-art-stickers, friendlyName=365nails: "Vintage Rose and Ornate Frame" – nail art stickers</x:v>
      </x:c>
      <x:c r="D5765" s="18" t="str">
        <x:v>Specification type: Ms445-crystal diamond</x:v>
      </x:c>
      <x:c r="E5765" s="25" t="str">
        <x:v>$1.30</x:v>
      </x:c>
      <x:c r="F5765" s="19" t="str">
        <x:v>5</x:v>
      </x:c>
    </x:row>
    <x:row r="5766" ht="93" customHeight="1">
      <x:c r="A5766" s="19" t="n">
        <x:v>5763</x:v>
      </x:c>
      <x:c r="B5766" s="22" t="e">
        <x:f>HYPERLINK("https://cdn.shopify.com/s/files/1/0918/6066/4603/files/O1CN016Sa5531HlX0mZatUg__2545140798-0-cib.jpg?v=1776497833","Open")</x:f>
        <x:v>HYPERLINK is not implemented. linkLocation=https://cdn.shopify.com/s/files/1/0918/6066/4603/files/O1CN016Sa5531HlX0mZatUg__2545140798-0-cib.jpg?v=1776497833, friendlyName=Open</x:v>
      </x:c>
      <x:c r="C5766" s="24" t="e">
        <x:f>HYPERLINK("https://365nails.com/products/365nails-vintage-floral-border-nail-art-stickers","365nails: ""Vintage Floral Border"" – nail art stickers")</x:f>
        <x:v>HYPERLINK is not implemented. linkLocation=https://365nails.com/products/365nails-vintage-floral-border-nail-art-stickers, friendlyName=365nails: "Vintage Floral Border" – nail art stickers</x:v>
      </x:c>
      <x:c r="D5766" s="18" t="str">
        <x:v>Specification type: To3970-relief</x:v>
      </x:c>
      <x:c r="E5766" s="25" t="str">
        <x:v>$1.23</x:v>
      </x:c>
      <x:c r="F5766" s="19" t="str">
        <x:v>5</x:v>
      </x:c>
    </x:row>
    <x:row r="5767" ht="93" customHeight="1">
      <x:c r="A5767" s="19" t="n">
        <x:v>5764</x:v>
      </x:c>
      <x:c r="B5767" s="22" t="e">
        <x:f>HYPERLINK("https://cdn.shopify.com/s/files/1/0918/6066/4603/files/O1CN01Xa5TKt1HlX0yjU3x9__2545140798-0-cib.jpg?v=1776497921","Open")</x:f>
        <x:v>HYPERLINK is not implemented. linkLocation=https://cdn.shopify.com/s/files/1/0918/6066/4603/files/O1CN01Xa5TKt1HlX0yjU3x9__2545140798-0-cib.jpg?v=1776497921, friendlyName=Open</x:v>
      </x:c>
      <x:c r="C5767" s="24" t="e">
        <x:f>HYPERLINK("https://365nails.com/products/365nails-pink-crystal-butterfly-nail-art-stickers","365nails: ""Pink Crystal Butterfly"" – nail art stickers")</x:f>
        <x:v>HYPERLINK is not implemented. linkLocation=https://365nails.com/products/365nails-pink-crystal-butterfly-nail-art-stickers, friendlyName=365nails: "Pink Crystal Butterfly" – nail art stickers</x:v>
      </x:c>
      <x:c r="D5767" s="18" t="str">
        <x:v>Specification type: To3914-crystal diamond</x:v>
      </x:c>
      <x:c r="E5767" s="25" t="str">
        <x:v>$1.30</x:v>
      </x:c>
      <x:c r="F5767" s="19" t="str">
        <x:v>5</x:v>
      </x:c>
    </x:row>
    <x:row r="5768" ht="93" customHeight="1">
      <x:c r="A5768" s="19" t="n">
        <x:v>5765</x:v>
      </x:c>
      <x:c r="B5768" s="22" t="e">
        <x:f>HYPERLINK("https://cdn.shopify.com/s/files/1/0918/6066/4603/files/O1CN01LbsA3H1HlX6j68lJc__2545140798-0-cib_db66b864-3c6f-4dcf-8641-fe323ba06e97.jpg?v=1775486805","Open")</x:f>
        <x:v>HYPERLINK is not implemented. linkLocation=https://cdn.shopify.com/s/files/1/0918/6066/4603/files/O1CN01LbsA3H1HlX6j68lJc__2545140798-0-cib_db66b864-3c6f-4dcf-8641-fe323ba06e97.jpg?v=1775486805, friendlyName=Open</x:v>
      </x:c>
      <x:c r="C5768" s="24" t="e">
        <x:f>HYPERLINK("https://365nails.com/products/365nails-watercolor-fruit-slice-handmade-press-on-nails","365nails: ""Watercolor Fruit Slice"" –Nail Art Stickers")</x:f>
        <x:v>HYPERLINK is not implemented. linkLocation=https://365nails.com/products/365nails-watercolor-fruit-slice-handmade-press-on-nails, friendlyName=365nails: "Watercolor Fruit Slice" –Nail Art Stickers</x:v>
      </x:c>
      <x:c r="D5768" s="18" t="str">
        <x:v>Specification type: To4362</x:v>
      </x:c>
      <x:c r="E5768" s="25" t="str">
        <x:v>$1.09</x:v>
      </x:c>
      <x:c r="F5768" s="19" t="str">
        <x:v>5</x:v>
      </x:c>
    </x:row>
    <x:row r="5769" ht="93" customHeight="1">
      <x:c r="A5769" s="19" t="n">
        <x:v>5766</x:v>
      </x:c>
      <x:c r="B5769" s="22" t="e">
        <x:f>HYPERLINK("https://cdn.shopify.com/s/files/1/0918/6066/4603/files/O1CN01vUic431HlX88ueVJe__2545140798-0-cib_91554b42-3ea5-4208-96bc-b2ef77608a6a.jpg?v=1775486111","Open")</x:f>
        <x:v>HYPERLINK is not implemented. linkLocation=https://cdn.shopify.com/s/files/1/0918/6066/4603/files/O1CN01vUic431HlX88ueVJe__2545140798-0-cib_91554b42-3ea5-4208-96bc-b2ef77608a6a.jpg?v=1775486111, friendlyName=Open</x:v>
      </x:c>
      <x:c r="C5769" s="24" t="e">
        <x:f>HYPERLINK("https://365nails.com/products/365nails-pastel-watercolor-lily-handmade-press-on-nails","365nails: ""Pastel Watercolor Lily"" –Nail Art Stickers")</x:f>
        <x:v>HYPERLINK is not implemented. linkLocation=https://365nails.com/products/365nails-pastel-watercolor-lily-handmade-press-on-nails, friendlyName=365nails: "Pastel Watercolor Lily" –Nail Art Stickers</x:v>
      </x:c>
      <x:c r="D5769" s="18" t="str">
        <x:v>Specification type: To5180-relief / To5181-relief / To5183-relief</x:v>
      </x:c>
      <x:c r="E5769" s="25" t="str">
        <x:v>$1.23</x:v>
      </x:c>
      <x:c r="F5769" s="19" t="str">
        <x:v>5</x:v>
      </x:c>
    </x:row>
    <x:row r="5770" ht="93" customHeight="1">
      <x:c r="A5770" s="19" t="n">
        <x:v>5767</x:v>
      </x:c>
      <x:c r="B5770" s="22" t="e">
        <x:f>HYPERLINK("https://cdn.shopify.com/s/files/1/0918/6066/4603/files/O1CN01HGgvBw1HlX10700eh__2545140798-0-cib.jpg?v=1776498501","Open")</x:f>
        <x:v>HYPERLINK is not implemented. linkLocation=https://cdn.shopify.com/s/files/1/0918/6066/4603/files/O1CN01HGgvBw1HlX10700eh__2545140798-0-cib.jpg?v=1776498501, friendlyName=Open</x:v>
      </x:c>
      <x:c r="C5770" s="24" t="e">
        <x:f>HYPERLINK("https://365nails.com/products/365nails-white-lace-and-heart-nail-art-stickers","365nails: ""White Lace and Heart"" – nail art stickers")</x:f>
        <x:v>HYPERLINK is not implemented. linkLocation=https://365nails.com/products/365nails-white-lace-and-heart-nail-art-stickers, friendlyName=365nails: "White Lace and Heart" – nail art stickers</x:v>
      </x:c>
      <x:c r="D5770" s="18" t="str">
        <x:v>Specification type: To3844-relief / To3929-relief</x:v>
      </x:c>
      <x:c r="E5770" s="25" t="str">
        <x:v>$1.23</x:v>
      </x:c>
      <x:c r="F5770" s="19" t="str">
        <x:v>5</x:v>
      </x:c>
    </x:row>
    <x:row r="5771" ht="93" customHeight="1">
      <x:c r="A5771" s="19" t="n">
        <x:v>5768</x:v>
      </x:c>
      <x:c r="B5771" s="22" t="e">
        <x:f>HYPERLINK("https://cdn.shopify.com/s/files/1/0918/6066/4603/files/O1CN01t0wjJU1HlX6jcLoft__2545140798-0-cib_2624f12a-8931-44be-bfca-84bf6b517913.jpg?v=1775485551","Open")</x:f>
        <x:v>HYPERLINK is not implemented. linkLocation=https://cdn.shopify.com/s/files/1/0918/6066/4603/files/O1CN01t0wjJU1HlX6jcLoft__2545140798-0-cib_2624f12a-8931-44be-bfca-84bf6b517913.jpg?v=1775485551, friendlyName=Open</x:v>
      </x:c>
      <x:c r="C5771" s="24" t="e">
        <x:f>HYPERLINK("https://365nails.com/products/365nails-twinkle-star-moon-streamer-handmade-press-on-nails","365nails: ""Twinkle Star Moon Streamer"" –Nail Art Stickers")</x:f>
        <x:v>HYPERLINK is not implemented. linkLocation=https://365nails.com/products/365nails-twinkle-star-moon-streamer-handmade-press-on-nails, friendlyName=365nails: "Twinkle Star Moon Streamer" –Nail Art Stickers</x:v>
      </x:c>
      <x:c r="D5771" s="18" t="str">
        <x:v>Specification type: To5055-jelly</x:v>
      </x:c>
      <x:c r="E5771" s="25" t="str">
        <x:v>$1.23</x:v>
      </x:c>
      <x:c r="F5771" s="19" t="str">
        <x:v>5</x:v>
      </x:c>
    </x:row>
    <x:row r="5772" ht="93" customHeight="1">
      <x:c r="A5772" s="19" t="n">
        <x:v>5769</x:v>
      </x:c>
      <x:c r="B5772" s="22" t="e">
        <x:f>HYPERLINK("https://cdn.shopify.com/s/files/1/0918/6066/4603/files/O1CN01grx1Gh1HlX0CbDsUq__2545140798-0-cib.jpg?v=1776496859","Open")</x:f>
        <x:v>HYPERLINK is not implemented. linkLocation=https://cdn.shopify.com/s/files/1/0918/6066/4603/files/O1CN01grx1Gh1HlX0CbDsUq__2545140798-0-cib.jpg?v=1776496859, friendlyName=Open</x:v>
      </x:c>
      <x:c r="C5772" s="24" t="e">
        <x:f>HYPERLINK("https://365nails.com/products/365nails-delicate-pink-butterfly-nail-art-stickers","365nails: ""Delicate Pink Butterfly"" – nail art stickers")</x:f>
        <x:v>HYPERLINK is not implemented. linkLocation=https://365nails.com/products/365nails-delicate-pink-butterfly-nail-art-stickers, friendlyName=365nails: "Delicate Pink Butterfly" – nail art stickers</x:v>
      </x:c>
      <x:c r="D5772" s="18" t="str">
        <x:v>Specification type: To3845 / To3846-shell light</x:v>
      </x:c>
      <x:c r="E5772" s="25" t="str">
        <x:v>$1.23</x:v>
      </x:c>
      <x:c r="F5772" s="19" t="str">
        <x:v>5</x:v>
      </x:c>
    </x:row>
    <x:row r="5773" ht="93" customHeight="1">
      <x:c r="A5773" s="19" t="n">
        <x:v>5770</x:v>
      </x:c>
      <x:c r="B5773" s="22" t="e">
        <x:f>HYPERLINK("https://cdn.shopify.com/s/files/1/0918/6066/4603/files/O1CN016qwp0q1HlWvsn0ItS__2545140798-0-cib.jpg?v=1776494273","Open")</x:f>
        <x:v>HYPERLINK is not implemented. linkLocation=https://cdn.shopify.com/s/files/1/0918/6066/4603/files/O1CN016qwp0q1HlWvsn0ItS__2545140798-0-cib.jpg?v=1776494273, friendlyName=Open</x:v>
      </x:c>
      <x:c r="C5773" s="24" t="e">
        <x:f>HYPERLINK("https://365nails.com/products/365nails-gradient-heart-with-crystal-accent-nail-art-stickers","365nails: ""Gradient Heart with Crystal Accent"" – nail art stickers")</x:f>
        <x:v>HYPERLINK is not implemented. linkLocation=https://365nails.com/products/365nails-gradient-heart-with-crystal-accent-nail-art-stickers, friendlyName=365nails: "Gradient Heart with Crystal Accent" – nail art stickers</x:v>
      </x:c>
      <x:c r="D5773" s="18" t="str">
        <x:v>Specification type: Ms427-crystal diamond</x:v>
      </x:c>
      <x:c r="E5773" s="25" t="str">
        <x:v>$1.30</x:v>
      </x:c>
      <x:c r="F5773" s="19" t="str">
        <x:v>5</x:v>
      </x:c>
    </x:row>
    <x:row r="5774" ht="93" customHeight="1">
      <x:c r="A5774" s="19" t="n">
        <x:v>5771</x:v>
      </x:c>
      <x:c r="B5774" s="22" t="e">
        <x:f>HYPERLINK("https://cdn.shopify.com/s/files/1/0918/6066/4603/files/O1CN01P8C74H1HlWzFXIhpp__2545140798-0-cib.jpg?v=1776495258","Open")</x:f>
        <x:v>HYPERLINK is not implemented. linkLocation=https://cdn.shopify.com/s/files/1/0918/6066/4603/files/O1CN01P8C74H1HlWzFXIhpp__2545140798-0-cib.jpg?v=1776495258, friendlyName=Open</x:v>
      </x:c>
      <x:c r="C5774" s="24" t="e">
        <x:f>HYPERLINK("https://365nails.com/products/365nails-cute-floral-bunny-nail-art-stickers","365nails: ""Cute Floral Bunny"" – nail art stickers")</x:f>
        <x:v>HYPERLINK is not implemented. linkLocation=https://365nails.com/products/365nails-cute-floral-bunny-nail-art-stickers, friendlyName=365nails: "Cute Floral Bunny" – nail art stickers</x:v>
      </x:c>
      <x:c r="D5774" s="18" t="str">
        <x:v>Specification type: To3741 / To3757</x:v>
      </x:c>
      <x:c r="E5774" s="25" t="str">
        <x:v>$1.99</x:v>
      </x:c>
      <x:c r="F5774" s="19" t="str">
        <x:v>5</x:v>
      </x:c>
    </x:row>
    <x:row r="5775" ht="93" customHeight="1">
      <x:c r="A5775" s="19" t="n">
        <x:v>5772</x:v>
      </x:c>
      <x:c r="B5775" s="22" t="e">
        <x:f>HYPERLINK("https://cdn.shopify.com/s/files/1/0918/6066/4603/files/19e76b6cb9996.png?v=1780108374","Open")</x:f>
        <x:v>HYPERLINK is not implemented. linkLocation=https://cdn.shopify.com/s/files/1/0918/6066/4603/files/19e76b6cb9996.png?v=1780108374, friendlyName=Open</x:v>
      </x:c>
      <x:c r="C5775" s="24" t="e">
        <x:f>HYPERLINK("https://365nails.com/products/wholesale-solid-color-press-on-nails-custom-mix-match-60-colors-x-6-shapes-available","Wholesale Solid Color Press-on Nails - Custom Mix &amp; Match (60 Colors x 6 Shapes Available)")</x:f>
        <x:v>HYPERLINK is not implemented. linkLocation=https://365nails.com/products/wholesale-solid-color-press-on-nails-custom-mix-match-60-colors-x-6-shapes-available, friendlyName=Wholesale Solid Color Press-on Nails - Custom Mix &amp; Match (60 Colors x 6 Shapes Available)</x:v>
      </x:c>
      <x:c r="D5775" s="18" t="str">
        <x:v>Quantity: 50pcs(1.5/pcs) / 100pcs(1.3/pcs) / 300pcs(1.2/pcs) / 500pcs(1.1/pcs) / 1000pcs(1/pcs) / 1pcs (Don't order this specification)</x:v>
      </x:c>
      <x:c r="E5775" s="25" t="str">
        <x:v>$1.00–$1000.00</x:v>
      </x:c>
      <x:c r="F5775" s="19" t="str">
        <x:v>1</x:v>
      </x:c>
    </x:row>
    <x:row r="5776" ht="93" customHeight="1">
      <x:c r="A5776" s="19" t="n">
        <x:v>5773</x:v>
      </x:c>
      <x:c r="B5776" s="22" t="e">
        <x:f>HYPERLINK("https://cdn.shopify.com/s/files/1/0918/6066/4603/files/31325f85eaad87536a1f37170b8eb05c.jpg?v=1777776499","Open")</x:f>
        <x:v>HYPERLINK is not implemented. linkLocation=https://cdn.shopify.com/s/files/1/0918/6066/4603/files/31325f85eaad87536a1f37170b8eb05c.jpg?v=1777776499, friendlyName=Open</x:v>
      </x:c>
      <x:c r="C5776" s="24" t="e">
        <x:f>HYPERLINK("https://365nails.com/products/365nails-blue-silver-rhinestone-handmade-long-stiletto-press-on-nails","365nails: ""Blue Silver Rhinestone"" – Handmade Long Stiletto Press-On Nails")</x:f>
        <x:v>HYPERLINK is not implemented. linkLocation=https://365nails.com/products/365nails-blue-silver-rhinestone-handmade-long-stiletto-press-on-nails, friendlyName=365nails: "Blue Silver Rhinestone" – Handmade Long Stiletto Press-On Nails</x:v>
      </x:c>
      <x:c r="D5776" s="18" t="str">
        <x:v>Size: XS / S / M / L</x:v>
      </x:c>
      <x:c r="E5776" s="25" t="str">
        <x:v>$5.99</x:v>
      </x:c>
      <x:c r="F5776" s="19" t="str">
        <x:v>5</x:v>
      </x:c>
    </x:row>
    <x:row r="5777" ht="93" customHeight="1">
      <x:c r="A5777" s="19" t="n">
        <x:v>5774</x:v>
      </x:c>
      <x:c r="B5777" s="22" t="e">
        <x:f>HYPERLINK("https://cdn.shopify.com/s/files/1/0918/6066/4603/files/O1CN011uqEjb1HlX7xEFxF3__2545140798-0-cib_2e203989-5623-4abc-8324-e74c8006defb.jpg?v=1775487248","Open")</x:f>
        <x:v>HYPERLINK is not implemented. linkLocation=https://cdn.shopify.com/s/files/1/0918/6066/4603/files/O1CN011uqEjb1HlX7xEFxF3__2545140798-0-cib_2e203989-5623-4abc-8324-e74c8006defb.jpg?v=1775487248, friendlyName=Open</x:v>
      </x:c>
      <x:c r="C5777" s="24" t="e">
        <x:f>HYPERLINK("https://365nails.com/products/365nails-holographic-bubble-text-handmade-press-on-nails","365nails: ""Holographic Bubble &amp; Text"" –Nail Art Stickers")</x:f>
        <x:v>HYPERLINK is not implemented. linkLocation=https://365nails.com/products/365nails-holographic-bubble-text-handmade-press-on-nails, friendlyName=365nails: "Holographic Bubble &amp; Text" –Nail Art Stickers</x:v>
      </x:c>
      <x:c r="D5777" s="18" t="str">
        <x:v>Specification type: Ms828-shell light / Ms829-shell light / Ms830-relief</x:v>
      </x:c>
      <x:c r="E5777" s="25" t="str">
        <x:v>$1.23</x:v>
      </x:c>
      <x:c r="F5777" s="19" t="str">
        <x:v>5</x:v>
      </x:c>
    </x:row>
    <x:row r="5778" ht="93" customHeight="1">
      <x:c r="A5778" s="19" t="n">
        <x:v>5775</x:v>
      </x:c>
      <x:c r="B5778" s="22" t="e">
        <x:f>HYPERLINK("https://cdn.shopify.com/s/files/1/0918/6066/4603/files/O1CN01JVCC1o1HlX0E0ducT__2545140798-0-cib.jpg?v=1776496646","Open")</x:f>
        <x:v>HYPERLINK is not implemented. linkLocation=https://cdn.shopify.com/s/files/1/0918/6066/4603/files/O1CN01JVCC1o1HlX0E0ducT__2545140798-0-cib.jpg?v=1776496646, friendlyName=Open</x:v>
      </x:c>
      <x:c r="C5778" s="24" t="e">
        <x:f>HYPERLINK("https://365nails.com/products/365nails-traditional-peach-blossom-nail-art-stickers","365nails: ""Traditional Peach Blossom"" – nail art stickers")</x:f>
        <x:v>HYPERLINK is not implemented. linkLocation=https://365nails.com/products/365nails-traditional-peach-blossom-nail-art-stickers, friendlyName=365nails: "Traditional Peach Blossom" – nail art stickers</x:v>
      </x:c>
      <x:c r="D5778" s="18" t="str">
        <x:v>Specification type: To3822 / To3839 / To3867</x:v>
      </x:c>
      <x:c r="E5778" s="25" t="str">
        <x:v>$1.09</x:v>
      </x:c>
      <x:c r="F5778" s="19" t="str">
        <x:v>5</x:v>
      </x:c>
    </x:row>
    <x:row r="5779" ht="93" customHeight="1">
      <x:c r="A5779" s="19" t="n">
        <x:v>5776</x:v>
      </x:c>
      <x:c r="B5779" s="22" t="e">
        <x:f>HYPERLINK("https://cdn.shopify.com/s/files/1/0918/6066/4603/files/O1CN01KXljYO1HlX1BauAIM__2545140798-0-cib.jpg?v=1776499046","Open")</x:f>
        <x:v>HYPERLINK is not implemented. linkLocation=https://cdn.shopify.com/s/files/1/0918/6066/4603/files/O1CN01KXljYO1HlX1BauAIM__2545140798-0-cib.jpg?v=1776499046, friendlyName=Open</x:v>
      </x:c>
      <x:c r="C5779" s="24" t="e">
        <x:f>HYPERLINK("https://365nails.com/products/365nails-golden-chinese-calligraphy-bamboo-nail-art-stickers","365nails: ""Golden Chinese Calligraphy &amp; Bamboo"" – nail art stickers")</x:f>
        <x:v>HYPERLINK is not implemented. linkLocation=https://365nails.com/products/365nails-golden-chinese-calligraphy-bamboo-nail-art-stickers, friendlyName=365nails: "Golden Chinese Calligraphy &amp; Bamboo" – nail art stickers</x:v>
      </x:c>
      <x:c r="D5779" s="18" t="str">
        <x:v>Specification type: To4037-new hot stamping</x:v>
      </x:c>
      <x:c r="E5779" s="25" t="str">
        <x:v>$1.23</x:v>
      </x:c>
      <x:c r="F5779" s="19" t="str">
        <x:v>5</x:v>
      </x:c>
    </x:row>
    <x:row r="5780" ht="93" customHeight="1">
      <x:c r="A5780" s="19" t="n">
        <x:v>5777</x:v>
      </x:c>
      <x:c r="B5780" s="22" t="e">
        <x:f>HYPERLINK("https://cdn.shopify.com/s/files/1/0918/6066/4603/files/O1CN010LFoOm1HlWwAu0lwx__2545140798-0-cib.jpg?v=1776494580","Open")</x:f>
        <x:v>HYPERLINK is not implemented. linkLocation=https://cdn.shopify.com/s/files/1/0918/6066/4603/files/O1CN010LFoOm1HlWwAu0lwx__2545140798-0-cib.jpg?v=1776494580, friendlyName=Open</x:v>
      </x:c>
      <x:c r="C5780" s="24" t="e">
        <x:f>HYPERLINK("https://365nails.com/products/365nails-pastel-wax-seal-alphabet-nail-art-stickers","365nails: ""Pastel Wax Seal Alphabet"" – nail art stickers")</x:f>
        <x:v>HYPERLINK is not implemented. linkLocation=https://365nails.com/products/365nails-pastel-wax-seal-alphabet-nail-art-stickers, friendlyName=365nails: "Pastel Wax Seal Alphabet" – nail art stickers</x:v>
      </x:c>
      <x:c r="D5780" s="18" t="str">
        <x:v>Specification type: Ms448-new hot stamping / Ms455-new hot stamping / Ms456-new hot stamping</x:v>
      </x:c>
      <x:c r="E5780" s="25" t="str">
        <x:v>$1.23</x:v>
      </x:c>
      <x:c r="F5780" s="19" t="str">
        <x:v>5</x:v>
      </x:c>
    </x:row>
    <x:row r="5781" ht="93" customHeight="1">
      <x:c r="A5781" s="19" t="n">
        <x:v>5778</x:v>
      </x:c>
      <x:c r="B5781" s="22" t="e">
        <x:f>HYPERLINK("https://cdn.shopify.com/s/files/1/0918/6066/4603/files/O1CN01SJn3EG1HlX0xvVw7X__2545140798-0-cib.jpg?v=1776498264","Open")</x:f>
        <x:v>HYPERLINK is not implemented. linkLocation=https://cdn.shopify.com/s/files/1/0918/6066/4603/files/O1CN01SJn3EG1HlX0xvVw7X__2545140798-0-cib.jpg?v=1776498264, friendlyName=Open</x:v>
      </x:c>
      <x:c r="C5781" s="24" t="e">
        <x:f>HYPERLINK("https://365nails.com/products/365nails-white-lace-and-crystal-heart-nail-art-stickers","365nails: ""White Lace and Crystal Heart"" – nail art stickers")</x:f>
        <x:v>HYPERLINK is not implemented. linkLocation=https://365nails.com/products/365nails-white-lace-and-crystal-heart-nail-art-stickers, friendlyName=365nails: "White Lace and Crystal Heart" – nail art stickers</x:v>
      </x:c>
      <x:c r="D5781" s="18" t="str">
        <x:v>Specification type: To3843-crystal diamond / To3843-pearl</x:v>
      </x:c>
      <x:c r="E5781" s="25" t="str">
        <x:v>$1.30</x:v>
      </x:c>
      <x:c r="F5781" s="19" t="str">
        <x:v>5</x:v>
      </x:c>
    </x:row>
    <x:row r="5782" ht="93" customHeight="1">
      <x:c r="A5782" s="19" t="n">
        <x:v>5779</x:v>
      </x:c>
      <x:c r="B5782" s="22" t="e">
        <x:f>HYPERLINK("https://cdn.shopify.com/s/files/1/0918/6066/4603/files/O1CN01ulpipz1HlWu9zmV64__2545140798-0-cib.jpg?v=1776493319","Open")</x:f>
        <x:v>HYPERLINK is not implemented. linkLocation=https://cdn.shopify.com/s/files/1/0918/6066/4603/files/O1CN01ulpipz1HlWu9zmV64__2545140798-0-cib.jpg?v=1776493319, friendlyName=Open</x:v>
      </x:c>
      <x:c r="C5782" s="24" t="e">
        <x:f>HYPERLINK("https://365nails.com/products/365nails-holographic-silver-butterfly-nail-art-stickers","365nails: ""Holographic Silver Butterfly"" – nail art stickers")</x:f>
        <x:v>HYPERLINK is not implemented. linkLocation=https://365nails.com/products/365nails-holographic-silver-butterfly-nail-art-stickers, friendlyName=365nails: "Holographic Silver Butterfly" – nail art stickers</x:v>
      </x:c>
      <x:c r="D5782" s="18" t="str">
        <x:v>Specification type: To3042 laser silver / To3042-pink gold / To3042 new hot stamping / To3042 silver / To3051-relief / To3055-colorful / To3041-thin tough / To3056-relief laser / To3055-1 colorful small version / To3056-1 embossed laser small version</x:v>
      </x:c>
      <x:c r="E5782" s="25" t="str">
        <x:v>$1.23</x:v>
      </x:c>
      <x:c r="F5782" s="19" t="str">
        <x:v>5</x:v>
      </x:c>
    </x:row>
    <x:row r="5783" ht="93" customHeight="1">
      <x:c r="A5783" s="19" t="n">
        <x:v>5780</x:v>
      </x:c>
      <x:c r="B5783" s="22" t="e">
        <x:f>HYPERLINK("https://cdn.shopify.com/s/files/1/0918/6066/4603/files/f3e9fce77dbda23a216c19d5b93c698b.jpg?v=1777807200","Open")</x:f>
        <x:v>HYPERLINK is not implemented. linkLocation=https://cdn.shopify.com/s/files/1/0918/6066/4603/files/f3e9fce77dbda23a216c19d5b93c698b.jpg?v=1777807200, friendlyName=Open</x:v>
      </x:c>
      <x:c r="C5783" s="24" t="e">
        <x:f>HYPERLINK("https://365nails.com/products/365nails-blush-peach-butterfly-flower-handmade-medium-stiletto-press-on-nails","365nails: ""Blush Peach Butterfly Flower"" – Handmade Medium Stiletto Press-On Nails")</x:f>
        <x:v>HYPERLINK is not implemented. linkLocation=https://365nails.com/products/365nails-blush-peach-butterfly-flower-handmade-medium-stiletto-press-on-nails, friendlyName=365nails: "Blush Peach Butterfly Flower" – Handmade Medium Stiletto Press-On Nails</x:v>
      </x:c>
      <x:c r="D5783" s="18" t="str">
        <x:v>Size: XS / S / M / L</x:v>
      </x:c>
      <x:c r="E5783" s="25" t="str">
        <x:v>$3.49</x:v>
      </x:c>
      <x:c r="F5783" s="19" t="str">
        <x:v>5</x:v>
      </x:c>
    </x:row>
    <x:row r="5784" ht="93" customHeight="1">
      <x:c r="A5784" s="19" t="n">
        <x:v>5781</x:v>
      </x:c>
      <x:c r="B5784" s="22" t="e">
        <x:f>HYPERLINK("https://cdn.shopify.com/s/files/1/0918/6066/4603/files/O1CN0136ovwq1HlWsoxg4H6__2545140798-0-cib.jpg?v=1776492324","Open")</x:f>
        <x:v>HYPERLINK is not implemented. linkLocation=https://cdn.shopify.com/s/files/1/0918/6066/4603/files/O1CN0136ovwq1HlWsoxg4H6__2545140798-0-cib.jpg?v=1776492324, friendlyName=Open</x:v>
      </x:c>
      <x:c r="C5784" s="24" t="e">
        <x:f>HYPERLINK("https://365nails.com/products/365nails-gothic-dark-skeleton-coffin-butterfly-nail-art-stickers","365nails: ""Gothic Dark Skeleton Coffin Butterfly"" – nail art stickers")</x:f>
        <x:v>HYPERLINK is not implemented. linkLocation=https://365nails.com/products/365nails-gothic-dark-skeleton-coffin-butterfly-nail-art-stickers, friendlyName=365nails: "Gothic Dark Skeleton Coffin Butterfly" – nail art stickers</x:v>
      </x:c>
      <x:c r="D5784" s="18" t="str">
        <x:v>Specification type: To2841 / To2846</x:v>
      </x:c>
      <x:c r="E5784" s="25" t="str">
        <x:v>$1.23</x:v>
      </x:c>
      <x:c r="F5784" s="19" t="str">
        <x:v>5</x:v>
      </x:c>
    </x:row>
    <x:row r="5785" ht="93" customHeight="1">
      <x:c r="A5785" s="19" t="n">
        <x:v>5782</x:v>
      </x:c>
      <x:c r="B5785" s="22" t="e">
        <x:f>HYPERLINK("https://cdn.shopify.com/s/files/1/0918/6066/4603/files/O1CN01AxwHBI1HlX7Frm7fP__2545140798-0-cib_cee038d6-8a6f-470e-8673-d2dc6a9fc3e1.jpg?v=1775486626","Open")</x:f>
        <x:v>HYPERLINK is not implemented. linkLocation=https://cdn.shopify.com/s/files/1/0918/6066/4603/files/O1CN01AxwHBI1HlX7Frm7fP__2545140798-0-cib_cee038d6-8a6f-470e-8673-d2dc6a9fc3e1.jpg?v=1775486626, friendlyName=Open</x:v>
      </x:c>
      <x:c r="C5785" s="24" t="e">
        <x:f>HYPERLINK("https://365nails.com/products/365nails-black-cat-summer-vacation-handmade-press-on-nails","365nails: ""Black Cat Summer Vacation"" –Nail Art Stickers")</x:f>
        <x:v>HYPERLINK is not implemented. linkLocation=https://365nails.com/products/365nails-black-cat-summer-vacation-handmade-press-on-nails, friendlyName=365nails: "Black Cat Summer Vacation" –Nail Art Stickers</x:v>
      </x:c>
      <x:c r="D5785" s="18" t="str">
        <x:v>Specification type: To5117 / To5123</x:v>
      </x:c>
      <x:c r="E5785" s="25" t="str">
        <x:v>$1.09</x:v>
      </x:c>
      <x:c r="F5785" s="19" t="str">
        <x:v>5</x:v>
      </x:c>
    </x:row>
    <x:row r="5786" ht="93" customHeight="1">
      <x:c r="A5786" s="19" t="n">
        <x:v>5783</x:v>
      </x:c>
      <x:c r="B5786" s="22" t="e">
        <x:f>HYPERLINK("https://cdn.shopify.com/s/files/1/0918/6066/4603/files/O1CN01hm2hKI1HlWsjz4v81__2545140798-0-cib.jpg?v=1776493125","Open")</x:f>
        <x:v>HYPERLINK is not implemented. linkLocation=https://cdn.shopify.com/s/files/1/0918/6066/4603/files/O1CN01hm2hKI1HlWsjz4v81__2545140798-0-cib.jpg?v=1776493125, friendlyName=Open</x:v>
      </x:c>
      <x:c r="C5786" s="24" t="e">
        <x:f>HYPERLINK("https://365nails.com/products/365nails-vintage-rabbit-girl-butterfly-nail-art-stickers","365nails: ""Vintage Rabbit Girl Butterfly"" – nail art stickers")</x:f>
        <x:v>HYPERLINK is not implemented. linkLocation=https://365nails.com/products/365nails-vintage-rabbit-girl-butterfly-nail-art-stickers, friendlyName=365nails: "Vintage Rabbit Girl Butterfly" – nail art stickers</x:v>
      </x:c>
      <x:c r="D5786" s="18" t="str">
        <x:v>Specification type: To2849 / To2851</x:v>
      </x:c>
      <x:c r="E5786" s="25" t="str">
        <x:v>$1.23</x:v>
      </x:c>
      <x:c r="F5786" s="19" t="str">
        <x:v>5</x:v>
      </x:c>
    </x:row>
    <x:row r="5787" ht="93" customHeight="1">
      <x:c r="A5787" s="19" t="n">
        <x:v>5784</x:v>
      </x:c>
      <x:c r="B5787" s="22" t="e">
        <x:f>HYPERLINK("https://cdn.shopify.com/s/files/1/0918/6066/4603/files/O1CN01Rc8M9a1HlWwA2VorD__2545140798-0-cib.jpg?v=1776494930","Open")</x:f>
        <x:v>HYPERLINK is not implemented. linkLocation=https://cdn.shopify.com/s/files/1/0918/6066/4603/files/O1CN01Rc8M9a1HlWwA2VorD__2545140798-0-cib.jpg?v=1776494930, friendlyName=Open</x:v>
      </x:c>
      <x:c r="C5787" s="24" t="e">
        <x:f>HYPERLINK("https://365nails.com/products/365nails-kitsune-and-traditional-chinese-ornament-nail-art-stickers","365nails: ""Kitsune and Traditional Chinese Ornament"" – nail art stickers")</x:f>
        <x:v>HYPERLINK is not implemented. linkLocation=https://365nails.com/products/365nails-kitsune-and-traditional-chinese-ornament-nail-art-stickers, friendlyName=365nails: "Kitsune and Traditional Chinese Ornament" – nail art stickers</x:v>
      </x:c>
      <x:c r="D5787" s="18" t="str">
        <x:v>Specification type: To3281 / To3282</x:v>
      </x:c>
      <x:c r="E5787" s="25" t="str">
        <x:v>$1.23</x:v>
      </x:c>
      <x:c r="F5787" s="19" t="str">
        <x:v>5</x:v>
      </x:c>
    </x:row>
    <x:row r="5788" ht="93" customHeight="1">
      <x:c r="A5788" s="19" t="n">
        <x:v>5785</x:v>
      </x:c>
      <x:c r="B5788" s="22" t="e">
        <x:f>HYPERLINK("https://cdn.shopify.com/s/files/1/0918/6066/4603/files/O1CN01H2EVDE1HlWtu2AD83__2545140798-0-cib.jpg?v=1776493213","Open")</x:f>
        <x:v>HYPERLINK is not implemented. linkLocation=https://cdn.shopify.com/s/files/1/0918/6066/4603/files/O1CN01H2EVDE1HlWtu2AD83__2545140798-0-cib.jpg?v=1776493213, friendlyName=Open</x:v>
      </x:c>
      <x:c r="C5788" s="24" t="e">
        <x:f>HYPERLINK("https://365nails.com/products/365nails-cute-jelly-bunny-monster-nail-art-stickers","365nails: ""Cute Jelly Bunny Monster"" – nail art stickers")</x:f>
        <x:v>HYPERLINK is not implemented. linkLocation=https://365nails.com/products/365nails-cute-jelly-bunny-monster-nail-art-stickers, friendlyName=365nails: "Cute Jelly Bunny Monster" – nail art stickers</x:v>
      </x:c>
      <x:c r="D5788" s="18" t="str">
        <x:v>Specification type: To3021 / To3025 / To3028 / To3031</x:v>
      </x:c>
      <x:c r="E5788" s="25" t="str">
        <x:v>$1.23</x:v>
      </x:c>
      <x:c r="F5788" s="19" t="str">
        <x:v>5</x:v>
      </x:c>
    </x:row>
    <x:row r="5789" ht="93" customHeight="1">
      <x:c r="A5789" s="19" t="n">
        <x:v>5786</x:v>
      </x:c>
      <x:c r="B5789" s="22" t="e">
        <x:f>HYPERLINK("https://cdn.shopify.com/s/files/1/0918/6066/4603/files/O1CN01SHgkMS1HlX0J0CAoH__2545140798-0-cib.jpg?v=1776496999","Open")</x:f>
        <x:v>HYPERLINK is not implemented. linkLocation=https://cdn.shopify.com/s/files/1/0918/6066/4603/files/O1CN01SHgkMS1HlX0J0CAoH__2545140798-0-cib.jpg?v=1776496999, friendlyName=Open</x:v>
      </x:c>
      <x:c r="C5789" s="24" t="e">
        <x:f>HYPERLINK("https://365nails.com/products/365nails-peach-blossom-and-fruit-nail-art-stickers","365nails: ""Peach Blossom and Fruit"" – nail art stickers")</x:f>
        <x:v>HYPERLINK is not implemented. linkLocation=https://365nails.com/products/365nails-peach-blossom-and-fruit-nail-art-stickers, friendlyName=365nails: "Peach Blossom and Fruit" – nail art stickers</x:v>
      </x:c>
      <x:c r="D5789" s="18" t="str">
        <x:v>Specification type: To3880-crystal diamond</x:v>
      </x:c>
      <x:c r="E5789" s="25" t="str">
        <x:v>$1.30</x:v>
      </x:c>
      <x:c r="F5789" s="19" t="str">
        <x:v>5</x:v>
      </x:c>
    </x:row>
    <x:row r="5790" ht="93" customHeight="1">
      <x:c r="A5790" s="19" t="n">
        <x:v>5787</x:v>
      </x:c>
      <x:c r="B5790" s="22" t="e">
        <x:f>HYPERLINK("https://cdn.shopify.com/s/files/1/0918/6066/4603/files/941a7bed053c70a6506d15415b0844a9.jpg?v=1777800887","Open")</x:f>
        <x:v>HYPERLINK is not implemented. linkLocation=https://cdn.shopify.com/s/files/1/0918/6066/4603/files/941a7bed053c70a6506d15415b0844a9.jpg?v=1777800887, friendlyName=Open</x:v>
      </x:c>
      <x:c r="C5790" s="24" t="e">
        <x:f>HYPERLINK("https://365nails.com/products/365nails-nude-yellow-orange-flower-3d-mix-handmade-short-almond-press-on-nails","365nails: ""Nude Yellow Orange Flower 3D Mix"" – Handmade Short Almond Press-On Nails")</x:f>
        <x:v>HYPERLINK is not implemented. linkLocation=https://365nails.com/products/365nails-nude-yellow-orange-flower-3d-mix-handmade-short-almond-press-on-nails, friendlyName=365nails: "Nude Yellow Orange Flower 3D Mix" – Handmade Short Almond Press-On Nails</x:v>
      </x:c>
      <x:c r="D5790" s="18" t="str">
        <x:v>Size: XS / S / M / L</x:v>
      </x:c>
      <x:c r="E5790" s="25" t="str">
        <x:v>$3.49</x:v>
      </x:c>
      <x:c r="F5790" s="19" t="str">
        <x:v>5</x:v>
      </x:c>
    </x:row>
    <x:row r="5791" ht="93" customHeight="1">
      <x:c r="A5791" s="19" t="n">
        <x:v>5788</x:v>
      </x:c>
      <x:c r="B5791" s="22" t="e">
        <x:f>HYPERLINK("https://cdn.shopify.com/s/files/1/0918/6066/4603/files/O1CN01qAXMxI1HlWuRLsAr5__2545140798-0-cib.jpg?v=1776260716","Open")</x:f>
        <x:v>HYPERLINK is not implemented. linkLocation=https://cdn.shopify.com/s/files/1/0918/6066/4603/files/O1CN01qAXMxI1HlWuRLsAr5__2545140798-0-cib.jpg?v=1776260716, friendlyName=Open</x:v>
      </x:c>
      <x:c r="C5791" s="24" t="e">
        <x:f>HYPERLINK("https://365nails.com/products/365nails-ink-wash-koi-fish-lotus-oriental-nail-art-stickers","365nails: ""Ink Wash Koi Fish Lotus Oriental"" – nail art stickers")</x:f>
        <x:v>HYPERLINK is not implemented. linkLocation=https://365nails.com/products/365nails-ink-wash-koi-fish-lotus-oriental-nail-art-stickers, friendlyName=365nails: "Ink Wash Koi Fish Lotus Oriental" – nail art stickers</x:v>
      </x:c>
      <x:c r="D5791" s="18" t="str">
        <x:v>Specification type: To3061-relief / Ms376-new hot stamping / Ms377-silver</x:v>
      </x:c>
      <x:c r="E5791" s="25" t="str">
        <x:v>$1.23</x:v>
      </x:c>
      <x:c r="F5791" s="19" t="str">
        <x:v>5</x:v>
      </x:c>
    </x:row>
    <x:row r="5792" ht="93" customHeight="1">
      <x:c r="A5792" s="19" t="n">
        <x:v>5789</x:v>
      </x:c>
      <x:c r="B5792" s="22" t="e">
        <x:f>HYPERLINK("https://cdn.shopify.com/s/files/1/0918/6066/4603/files/f5aa862485f9ea3d870d8e807d66954e.jpg?v=1777810587","Open")</x:f>
        <x:v>HYPERLINK is not implemented. linkLocation=https://cdn.shopify.com/s/files/1/0918/6066/4603/files/f5aa862485f9ea3d870d8e807d66954e.jpg?v=1777810587, friendlyName=Open</x:v>
      </x:c>
      <x:c r="C5792" s="24" t="e">
        <x:f>HYPERLINK("https://365nails.com/products/365nails-pink-gun-star-long-handmade-long-stiletto-press-on-nails","365nails: ""Pink Gun Star Long"" – Handmade Long Stiletto Press-On Nails")</x:f>
        <x:v>HYPERLINK is not implemented. linkLocation=https://365nails.com/products/365nails-pink-gun-star-long-handmade-long-stiletto-press-on-nails, friendlyName=365nails: "Pink Gun Star Long" – Handmade Long Stiletto Press-On Nails</x:v>
      </x:c>
      <x:c r="D5792" s="18" t="str">
        <x:v>Size: XS / S / M / L</x:v>
      </x:c>
      <x:c r="E5792" s="25" t="str">
        <x:v>$4.49</x:v>
      </x:c>
      <x:c r="F5792" s="19" t="str">
        <x:v>5</x:v>
      </x:c>
    </x:row>
    <x:row r="5793" ht="93" customHeight="1">
      <x:c r="A5793" s="19" t="n">
        <x:v>5790</x:v>
      </x:c>
      <x:c r="B5793" s="22" t="e">
        <x:f>HYPERLINK("https://cdn.shopify.com/s/files/1/0918/6066/4603/files/O1CN01dE6OUi1HlX6ZwK2gn__2545140798-0-cib_d84d7223-f495-452d-9bee-9c56bc9bb5eb.jpg?v=1775485230","Open")</x:f>
        <x:v>HYPERLINK is not implemented. linkLocation=https://cdn.shopify.com/s/files/1/0918/6066/4603/files/O1CN01dE6OUi1HlX6ZwK2gn__2545140798-0-cib_d84d7223-f495-452d-9bee-9c56bc9bb5eb.jpg?v=1775485230, friendlyName=Open</x:v>
      </x:c>
      <x:c r="C5793" s="24" t="e">
        <x:f>HYPERLINK("https://365nails.com/products/365nails-luminous-crystal-bow-handmade-press-on-nails","365nails: ""Luminous Crystal Bow"" –Nail Art Stickers")</x:f>
        <x:v>HYPERLINK is not implemented. linkLocation=https://365nails.com/products/365nails-luminous-crystal-bow-handmade-press-on-nails, friendlyName=365nails: "Luminous Crystal Bow" –Nail Art Stickers</x:v>
      </x:c>
      <x:c r="D5793" s="18" t="str">
        <x:v>Specification type: To3258-crystal diamond</x:v>
      </x:c>
      <x:c r="E5793" s="25" t="str">
        <x:v>$1.30</x:v>
      </x:c>
      <x:c r="F5793" s="19" t="str">
        <x:v>5</x:v>
      </x:c>
    </x:row>
    <x:row r="5794" ht="93" customHeight="1">
      <x:c r="A5794" s="19" t="n">
        <x:v>5791</x:v>
      </x:c>
      <x:c r="B5794" s="22" t="e">
        <x:f>HYPERLINK("https://cdn.shopify.com/s/files/1/0918/6066/4603/files/O1CN01beieex1HlWrktq4vB__2545140798-0-cib_ed93a14d-319f-4d0b-8e22-e10fda480871.jpg?v=1776258408","Open")</x:f>
        <x:v>HYPERLINK is not implemented. linkLocation=https://cdn.shopify.com/s/files/1/0918/6066/4603/files/O1CN01beieex1HlWrktq4vB__2545140798-0-cib_ed93a14d-319f-4d0b-8e22-e10fda480871.jpg?v=1776258408, friendlyName=Open</x:v>
      </x:c>
      <x:c r="C5794" s="24" t="e">
        <x:f>HYPERLINK("https://365nails.com/products/365nails-sweet-chocolate-bear-puppy-cherry-nail-art-stickers","365nails: ""Sweet Chocolate Bear Puppy Cherry"" – nail art stickers")</x:f>
        <x:v>HYPERLINK is not implemented. linkLocation=https://365nails.com/products/365nails-sweet-chocolate-bear-puppy-cherry-nail-art-stickers, friendlyName=365nails: "Sweet Chocolate Bear Puppy Cherry" – nail art stickers</x:v>
      </x:c>
      <x:c r="D5794" s="18" t="str">
        <x:v>Specification type: To2677 / To2709 / To2713</x:v>
      </x:c>
      <x:c r="E5794" s="25" t="str">
        <x:v>$1.23</x:v>
      </x:c>
      <x:c r="F5794" s="19" t="str">
        <x:v>5</x:v>
      </x:c>
    </x:row>
    <x:row r="5795" ht="93" customHeight="1">
      <x:c r="A5795" s="19" t="n">
        <x:v>5792</x:v>
      </x:c>
      <x:c r="B5795" s="22" t="e">
        <x:f>HYPERLINK("https://cdn.shopify.com/s/files/1/0918/6066/4603/files/O1CN01Bct2Vn1HlWsbODB21__2545140798-0-cib.jpg?v=1776263757","Open")</x:f>
        <x:v>HYPERLINK is not implemented. linkLocation=https://cdn.shopify.com/s/files/1/0918/6066/4603/files/O1CN01Bct2Vn1HlWsbODB21__2545140798-0-cib.jpg?v=1776263757, friendlyName=Open</x:v>
      </x:c>
      <x:c r="C5795" s="24" t="e">
        <x:f>HYPERLINK("https://365nails.com/products/365nails-cute-stitch-cartoon-character-nail-art-stickers","365nails: ""Cute Stitch Cartoon Character"" – nail art stickers")</x:f>
        <x:v>HYPERLINK is not implemented. linkLocation=https://365nails.com/products/365nails-cute-stitch-cartoon-character-nail-art-stickers, friendlyName=365nails: "Cute Stitch Cartoon Character" – nail art stickers</x:v>
      </x:c>
      <x:c r="D5795" s="18" t="str">
        <x:v>Specification type: To2791 / To2834</x:v>
      </x:c>
      <x:c r="E5795" s="25" t="str">
        <x:v>$1.23</x:v>
      </x:c>
      <x:c r="F5795" s="19" t="str">
        <x:v>5</x:v>
      </x:c>
    </x:row>
    <x:row r="5796" ht="93" customHeight="1">
      <x:c r="A5796" s="19" t="n">
        <x:v>5793</x:v>
      </x:c>
      <x:c r="B5796" s="22" t="e">
        <x:f>HYPERLINK("https://cdn.shopify.com/s/files/1/0918/6066/4603/files/O1CN01qnUUrm1HlWsxJ9Sae__2545140798-0-cib.jpg?v=1776492570","Open")</x:f>
        <x:v>HYPERLINK is not implemented. linkLocation=https://cdn.shopify.com/s/files/1/0918/6066/4603/files/O1CN01qnUUrm1HlWsxJ9Sae__2545140798-0-cib.jpg?v=1776492570, friendlyName=Open</x:v>
      </x:c>
      <x:c r="C5796" s="24" t="e">
        <x:f>HYPERLINK("https://365nails.com/products/365nails-traditional-chinese-lotus-cloud-swallow-nail-art-stickers","365nails: ""Traditional Chinese Lotus Cloud Swallow"" – nail art stickers")</x:f>
        <x:v>HYPERLINK is not implemented. linkLocation=https://365nails.com/products/365nails-traditional-chinese-lotus-cloud-swallow-nail-art-stickers, friendlyName=365nails: "Traditional Chinese Lotus Cloud Swallow" – nail art stickers</x:v>
      </x:c>
      <x:c r="D5796" s="18" t="str">
        <x:v>Specification type: Ms 311 / Ms 312</x:v>
      </x:c>
      <x:c r="E5796" s="25" t="str">
        <x:v>$1.23</x:v>
      </x:c>
      <x:c r="F5796" s="19" t="str">
        <x:v>5</x:v>
      </x:c>
    </x:row>
    <x:row r="5797" ht="93" customHeight="1">
      <x:c r="A5797" s="19" t="n">
        <x:v>5794</x:v>
      </x:c>
      <x:c r="B5797" s="22" t="e">
        <x:f>HYPERLINK("https://cdn.shopify.com/s/files/1/0918/6066/4603/files/0c4d5b5663c82ab378db6b4d24859fea.jpg?v=1777777296","Open")</x:f>
        <x:v>HYPERLINK is not implemented. linkLocation=https://cdn.shopify.com/s/files/1/0918/6066/4603/files/0c4d5b5663c82ab378db6b4d24859fea.jpg?v=1777777296, friendlyName=Open</x:v>
      </x:c>
      <x:c r="C5797" s="24" t="e">
        <x:f>HYPERLINK("https://365nails.com/products/365nails-pink-white-flower-handmade-short-trapezoid-press-on-nails","365nails: ""Pink White Flower"" – Handmade Short Trapezoid Press-On Nails")</x:f>
        <x:v>HYPERLINK is not implemented. linkLocation=https://365nails.com/products/365nails-pink-white-flower-handmade-short-trapezoid-press-on-nails, friendlyName=365nails: "Pink White Flower" – Handmade Short Trapezoid Press-On Nails</x:v>
      </x:c>
      <x:c r="D5797" s="18" t="str">
        <x:v>Size: XS / S / M / L</x:v>
      </x:c>
      <x:c r="E5797" s="25" t="str">
        <x:v>$4.49</x:v>
      </x:c>
      <x:c r="F5797" s="19" t="str">
        <x:v>5</x:v>
      </x:c>
    </x:row>
    <x:row r="5798" ht="93" customHeight="1">
      <x:c r="A5798" s="19" t="n">
        <x:v>5795</x:v>
      </x:c>
      <x:c r="B5798" s="22" t="e">
        <x:f>HYPERLINK("https://cdn.shopify.com/s/files/1/0918/6066/4603/files/221aa2491be2e726d5e0f19b1afe5402.jpg?v=1777780644","Open")</x:f>
        <x:v>HYPERLINK is not implemented. linkLocation=https://cdn.shopify.com/s/files/1/0918/6066/4603/files/221aa2491be2e726d5e0f19b1afe5402.jpg?v=1777780644, friendlyName=Open</x:v>
      </x:c>
      <x:c r="C5798" s="24" t="e">
        <x:f>HYPERLINK("https://365nails.com/products/365nails-pink-black-animal-print-long-handmade-long-trapezoid-press-on-nails","365nails: ""Pink Black Animal Print Long"" – Handmade Long Trapezoid Press-On Nails")</x:f>
        <x:v>HYPERLINK is not implemented. linkLocation=https://365nails.com/products/365nails-pink-black-animal-print-long-handmade-long-trapezoid-press-on-nails, friendlyName=365nails: "Pink Black Animal Print Long" – Handmade Long Trapezoid Press-On Nails</x:v>
      </x:c>
      <x:c r="D5798" s="18" t="str">
        <x:v>Size: XS / S / M / L</x:v>
      </x:c>
      <x:c r="E5798" s="25" t="str">
        <x:v>$4.49</x:v>
      </x:c>
      <x:c r="F5798" s="19" t="str">
        <x:v>5</x:v>
      </x:c>
    </x:row>
    <x:row r="5799" ht="93" customHeight="1">
      <x:c r="A5799" s="19" t="n">
        <x:v>5796</x:v>
      </x:c>
      <x:c r="B5799" s="22" t="e">
        <x:f>HYPERLINK("https://cdn.shopify.com/s/files/1/0918/6066/4603/files/d19784cb47a3ce63e8749608b27e32ab.jpg?v=1777806656","Open")</x:f>
        <x:v>HYPERLINK is not implemented. linkLocation=https://cdn.shopify.com/s/files/1/0918/6066/4603/files/d19784cb47a3ce63e8749608b27e32ab.jpg?v=1777806656, friendlyName=Open</x:v>
      </x:c>
      <x:c r="C5799" s="24" t="e">
        <x:f>HYPERLINK("https://365nails.com/products/365nails-blush-pink-sakura-wave-3d-flower-wave-handmade-medium-stiletto-press-on-nails","365nails: ""Blush Pink Sakura Wave"" – 3D Flower &amp; Wave Handmade Medium Stiletto Press-On Nails")</x:f>
        <x:v>HYPERLINK is not implemented. linkLocation=https://365nails.com/products/365nails-blush-pink-sakura-wave-3d-flower-wave-handmade-medium-stiletto-press-on-nails, friendlyName=365nails: "Blush Pink Sakura Wave" – 3D Flower &amp; Wave Handmade Medium Stiletto Press-On Nails</x:v>
      </x:c>
      <x:c r="D5799" s="18" t="str">
        <x:v>Size: XS / S / M / L</x:v>
      </x:c>
      <x:c r="E5799" s="25" t="str">
        <x:v>$3.49</x:v>
      </x:c>
      <x:c r="F5799" s="19" t="str">
        <x:v>5</x:v>
      </x:c>
    </x:row>
    <x:row r="5800" ht="93" customHeight="1">
      <x:c r="A5800" s="19" t="n">
        <x:v>5797</x:v>
      </x:c>
      <x:c r="B5800" s="22" t="e">
        <x:f>HYPERLINK("https://cdn.shopify.com/s/files/1/0918/6066/4603/files/O1CN013EhYXY1HlX8uN7srx__2545140798-0-cib_043830b3-2400-417a-a505-9db4a025588e.jpg?v=1776257432","Open")</x:f>
        <x:v>HYPERLINK is not implemented. linkLocation=https://cdn.shopify.com/s/files/1/0918/6066/4603/files/O1CN013EhYXY1HlX8uN7srx__2545140798-0-cib_043830b3-2400-417a-a505-9db4a025588e.jpg?v=1776257432, friendlyName=Open</x:v>
      </x:c>
      <x:c r="C5800" s="24" t="e">
        <x:f>HYPERLINK("https://365nails.com/products/365nails-fairy-tale-unicorn-swan-sweet-treat-nail-art-stickers","365nails: ""Fairy Tale Unicorn Swan Sweet Treat"" – nail art stickers")</x:f>
        <x:v>HYPERLINK is not implemented. linkLocation=https://365nails.com/products/365nails-fairy-tale-unicorn-swan-sweet-treat-nail-art-stickers, friendlyName=365nails: "Fairy Tale Unicorn Swan Sweet Treat" – nail art stickers</x:v>
      </x:c>
      <x:c r="D5800" s="18" t="str">
        <x:v>Specification type: To2363 / To2365</x:v>
      </x:c>
      <x:c r="E5800" s="25" t="str">
        <x:v>$1.23</x:v>
      </x:c>
      <x:c r="F5800" s="19" t="str">
        <x:v>5</x:v>
      </x:c>
    </x:row>
    <x:row r="5801" ht="93" customHeight="1">
      <x:c r="A5801" s="19" t="n">
        <x:v>5798</x:v>
      </x:c>
      <x:c r="B5801" s="22" t="e">
        <x:f>HYPERLINK("https://cdn.shopify.com/s/files/1/0918/6066/4603/files/f0bd64399e405fbad42297cd46a9ca5c.jpg?v=1777780754","Open")</x:f>
        <x:v>HYPERLINK is not implemented. linkLocation=https://cdn.shopify.com/s/files/1/0918/6066/4603/files/f0bd64399e405fbad42297cd46a9ca5c.jpg?v=1777780754, friendlyName=Open</x:v>
      </x:c>
      <x:c r="C5801" s="24" t="e">
        <x:f>HYPERLINK("https://365nails.com/products/365nails-hot-pink-butterfly-heart-medium-handmade-medium-trapezoid-press-on-nails","365nails: ""Hot Pink Butterfly Heart Medium"" – Handmade Medium Trapezoid Press-On Nails")</x:f>
        <x:v>HYPERLINK is not implemented. linkLocation=https://365nails.com/products/365nails-hot-pink-butterfly-heart-medium-handmade-medium-trapezoid-press-on-nails, friendlyName=365nails: "Hot Pink Butterfly Heart Medium" – Handmade Medium Trapezoid Press-On Nails</x:v>
      </x:c>
      <x:c r="D5801" s="18" t="str">
        <x:v>Size: XS / S / M / L</x:v>
      </x:c>
      <x:c r="E5801" s="25" t="str">
        <x:v>$4.49</x:v>
      </x:c>
      <x:c r="F5801" s="19" t="str">
        <x:v>5</x:v>
      </x:c>
    </x:row>
    <x:row r="5802" ht="93" customHeight="1">
      <x:c r="A5802" s="19" t="n">
        <x:v>5799</x:v>
      </x:c>
      <x:c r="B5802" s="22" t="e">
        <x:f>HYPERLINK("https://cdn.shopify.com/s/files/1/0918/6066/4603/files/f247e4f4c4aac999c572398483a5f8b9.jpg?v=1777807756","Open")</x:f>
        <x:v>HYPERLINK is not implemented. linkLocation=https://cdn.shopify.com/s/files/1/0918/6066/4603/files/f247e4f4c4aac999c572398483a5f8b9.jpg?v=1777807756, friendlyName=Open</x:v>
      </x:c>
      <x:c r="C5802" s="24" t="e">
        <x:f>HYPERLINK("https://365nails.com/products/365nails-fairy-tale-mushroom-daisy-3d-mushroom-daisy-handmedium-stiletto-press-on-nails","365nails: ""Fairy Tale Mushroom Daisy"" – 3D Mushroom &amp; Daisy Handmedium Stiletto Press-On Nails")</x:f>
        <x:v>HYPERLINK is not implemented. linkLocation=https://365nails.com/products/365nails-fairy-tale-mushroom-daisy-3d-mushroom-daisy-handmedium-stiletto-press-on-nails, friendlyName=365nails: "Fairy Tale Mushroom Daisy" – 3D Mushroom &amp; Daisy Handmedium Stiletto Press-On Nails</x:v>
      </x:c>
      <x:c r="D5802" s="18" t="str">
        <x:v>Size: XS / S / M / L</x:v>
      </x:c>
      <x:c r="E5802" s="25" t="str">
        <x:v>$3.49</x:v>
      </x:c>
      <x:c r="F5802" s="19" t="str">
        <x:v>5</x:v>
      </x:c>
    </x:row>
    <x:row r="5803" ht="93" customHeight="1">
      <x:c r="A5803" s="19" t="n">
        <x:v>5800</x:v>
      </x:c>
      <x:c r="B5803" s="22" t="e">
        <x:f>HYPERLINK("https://cdn.shopify.com/s/files/1/0918/6066/4603/files/7fe6123547d96699e25fc38a58241242.jpg?v=1777779194","Open")</x:f>
        <x:v>HYPERLINK is not implemented. linkLocation=https://cdn.shopify.com/s/files/1/0918/6066/4603/files/7fe6123547d96699e25fc38a58241242.jpg?v=1777779194, friendlyName=Open</x:v>
      </x:c>
      <x:c r="C5803" s="24" t="e">
        <x:f>HYPERLINK("https://365nails.com/products/365nails-pink-heart-rhinestone-long-handmade-long-trapezoid-press-on-nails","365nails: ""Pink Heart Rhinestone Long"" – Handmade Long Trapezoid Press-On Nails")</x:f>
        <x:v>HYPERLINK is not implemented. linkLocation=https://365nails.com/products/365nails-pink-heart-rhinestone-long-handmade-long-trapezoid-press-on-nails, friendlyName=365nails: "Pink Heart Rhinestone Long" – Handmade Long Trapezoid Press-On Nails</x:v>
      </x:c>
      <x:c r="D5803" s="18" t="str">
        <x:v>Size: XS / S / M / L</x:v>
      </x:c>
      <x:c r="E5803" s="25" t="str">
        <x:v>$4.49</x:v>
      </x:c>
      <x:c r="F5803" s="19" t="str">
        <x:v>5</x:v>
      </x:c>
    </x:row>
    <x:row r="5804" ht="93" customHeight="1">
      <x:c r="A5804" s="19" t="n">
        <x:v>5801</x:v>
      </x:c>
      <x:c r="B5804" s="22" t="e">
        <x:f>HYPERLINK("https://cdn.shopify.com/s/files/1/0918/6066/4603/files/c054c359db687f0c98fcc662b807f761.jpg?v=1777807530","Open")</x:f>
        <x:v>HYPERLINK is not implemented. linkLocation=https://cdn.shopify.com/s/files/1/0918/6066/4603/files/c054c359db687f0c98fcc662b807f761.jpg?v=1777807530, friendlyName=Open</x:v>
      </x:c>
      <x:c r="C5804" s="24" t="e">
        <x:f>HYPERLINK("https://365nails.com/products/365nails-ladybug-polka-dot-bow-3d-flower-insect-handmade-medium-stiletto-press-on-nails","365nails: ""Ladybug Polka Dot Bow"" – 3D Flower &amp; Insect Handmade Medium Stiletto Press-On Nails")</x:f>
        <x:v>HYPERLINK is not implemented. linkLocation=https://365nails.com/products/365nails-ladybug-polka-dot-bow-3d-flower-insect-handmade-medium-stiletto-press-on-nails, friendlyName=365nails: "Ladybug Polka Dot Bow" – 3D Flower &amp; Insect Handmade Medium Stiletto Press-On Nails</x:v>
      </x:c>
      <x:c r="D5804" s="18" t="str">
        <x:v>Size: XS / S / M / L</x:v>
      </x:c>
      <x:c r="E5804" s="25" t="str">
        <x:v>$3.49</x:v>
      </x:c>
      <x:c r="F5804" s="19" t="str">
        <x:v>5</x:v>
      </x:c>
    </x:row>
    <x:row r="5805" ht="93" customHeight="1">
      <x:c r="A5805" s="19" t="n">
        <x:v>5802</x:v>
      </x:c>
      <x:c r="B5805" s="22" t="e">
        <x:f>HYPERLINK("https://cdn.shopify.com/s/files/1/0918/6066/4603/files/5ca576b174b3cba1ac6dcfd5a7a1f9c4.jpg?v=1777803363","Open")</x:f>
        <x:v>HYPERLINK is not implemented. linkLocation=https://cdn.shopify.com/s/files/1/0918/6066/4603/files/5ca576b174b3cba1ac6dcfd5a7a1f9c4.jpg?v=1777803363, friendlyName=Open</x:v>
      </x:c>
      <x:c r="C5805" s="24" t="e">
        <x:f>HYPERLINK("https://365nails.com/products/365nails-luxury-gold-chrome-citrus-mix-handmade-medium-stiletto-press-on-nails","365nails: ""Luxury Gold Chrome Citrus Mix"" – Handmade Medium Stiletto Press-On Nails")</x:f>
        <x:v>HYPERLINK is not implemented. linkLocation=https://365nails.com/products/365nails-luxury-gold-chrome-citrus-mix-handmade-medium-stiletto-press-on-nails, friendlyName=365nails: "Luxury Gold Chrome Citrus Mix" – Handmade Medium Stiletto Press-On Nails</x:v>
      </x:c>
      <x:c r="D5805" s="18" t="str">
        <x:v>Size: XS / S / M / L</x:v>
      </x:c>
      <x:c r="E5805" s="25" t="str">
        <x:v>$3.49</x:v>
      </x:c>
      <x:c r="F5805" s="19" t="str">
        <x:v>5</x:v>
      </x:c>
    </x:row>
    <x:row r="5806" ht="93" customHeight="1">
      <x:c r="A5806" s="19" t="n">
        <x:v>5803</x:v>
      </x:c>
      <x:c r="B5806" s="22" t="e">
        <x:f>HYPERLINK("https://cdn.shopify.com/s/files/1/0918/6066/4603/files/4e1a8448a95c06447222d5d09be5aed9.jpg?v=1777807298","Open")</x:f>
        <x:v>HYPERLINK is not implemented. linkLocation=https://cdn.shopify.com/s/files/1/0918/6066/4603/files/4e1a8448a95c06447222d5d09be5aed9.jpg?v=1777807298, friendlyName=Open</x:v>
      </x:c>
      <x:c r="C5806" s="24" t="e">
        <x:f>HYPERLINK("https://365nails.com/products/365nails-blush-pink-sakura-gold-handmade-medium-stiletto-press-on-nails","365nails: ""Blush Pink Sakura Gold"" – Handmade Medium Stiletto Press-On Nails")</x:f>
        <x:v>HYPERLINK is not implemented. linkLocation=https://365nails.com/products/365nails-blush-pink-sakura-gold-handmade-medium-stiletto-press-on-nails, friendlyName=365nails: "Blush Pink Sakura Gold" – Handmade Medium Stiletto Press-On Nails</x:v>
      </x:c>
      <x:c r="D5806" s="18" t="str">
        <x:v>Size: XS / S / M / L</x:v>
      </x:c>
      <x:c r="E5806" s="25" t="str">
        <x:v>$3.49</x:v>
      </x:c>
      <x:c r="F5806" s="19" t="str">
        <x:v>5</x:v>
      </x:c>
    </x:row>
    <x:row r="5807" ht="93" customHeight="1">
      <x:c r="A5807" s="19" t="n">
        <x:v>5804</x:v>
      </x:c>
      <x:c r="B5807" s="22" t="e">
        <x:f>HYPERLINK("https://cdn.shopify.com/s/files/1/0918/6066/4603/files/432336f9d0a426eba30bff1b2947d052.jpg?v=1777778065","Open")</x:f>
        <x:v>HYPERLINK is not implemented. linkLocation=https://cdn.shopify.com/s/files/1/0918/6066/4603/files/432336f9d0a426eba30bff1b2947d052.jpg?v=1777778065, friendlyName=Open</x:v>
      </x:c>
      <x:c r="C5807" s="24" t="e">
        <x:f>HYPERLINK("https://365nails.com/products/365nails-pink-black-marble-snake-cross-handmade-long-trapezoid-press-on-nails","365nails: ""Pink Black Marble Snake Cross"" – Handmade Long Trapezoid Press-On Nails")</x:f>
        <x:v>HYPERLINK is not implemented. linkLocation=https://365nails.com/products/365nails-pink-black-marble-snake-cross-handmade-long-trapezoid-press-on-nails, friendlyName=365nails: "Pink Black Marble Snake Cross" – Handmade Long Trapezoid Press-On Nails</x:v>
      </x:c>
      <x:c r="D5807" s="18" t="str">
        <x:v>Size: XS / S / M / L</x:v>
      </x:c>
      <x:c r="E5807" s="25" t="str">
        <x:v>$4.49</x:v>
      </x:c>
      <x:c r="F5807" s="19" t="str">
        <x:v>5</x:v>
      </x:c>
    </x:row>
    <x:row r="5808" ht="93" customHeight="1">
      <x:c r="A5808" s="19" t="n">
        <x:v>5805</x:v>
      </x:c>
      <x:c r="B5808" s="22" t="e">
        <x:f>HYPERLINK("https://cdn.shopify.com/s/files/1/0918/6066/4603/files/c9055f290bc05941bea9a216b48786ff.jpg?v=1777810544","Open")</x:f>
        <x:v>HYPERLINK is not implemented. linkLocation=https://cdn.shopify.com/s/files/1/0918/6066/4603/files/c9055f290bc05941bea9a216b48786ff.jpg?v=1777810544, friendlyName=Open</x:v>
      </x:c>
      <x:c r="C5808" s="24" t="e">
        <x:f>HYPERLINK("https://365nails.com/products/365nails-yellow-stripe-pearl-handmade-medium-stiletto-press-on-nails","365nails: ""Yellow Stripe Pearl"" – Handmade Medium Stiletto Press-On Nails")</x:f>
        <x:v>HYPERLINK is not implemented. linkLocation=https://365nails.com/products/365nails-yellow-stripe-pearl-handmade-medium-stiletto-press-on-nails, friendlyName=365nails: "Yellow Stripe Pearl" – Handmade Medium Stiletto Press-On Nails</x:v>
      </x:c>
      <x:c r="D5808" s="18" t="str">
        <x:v>Size: XS / S / M / L</x:v>
      </x:c>
      <x:c r="E5808" s="25" t="str">
        <x:v>$4.49</x:v>
      </x:c>
      <x:c r="F5808" s="19" t="str">
        <x:v>5</x:v>
      </x:c>
    </x:row>
    <x:row r="5809" ht="93" customHeight="1">
      <x:c r="A5809" s="19" t="n">
        <x:v>5806</x:v>
      </x:c>
      <x:c r="B5809" s="22" t="e">
        <x:f>HYPERLINK("https://cdn.shopify.com/s/files/1/0918/6066/4603/files/6509c88228ff164886f9428607d355f9.jpg?v=1777806712","Open")</x:f>
        <x:v>HYPERLINK is not implemented. linkLocation=https://cdn.shopify.com/s/files/1/0918/6066/4603/files/6509c88228ff164886f9428607d355f9.jpg?v=1777806712, friendlyName=Open</x:v>
      </x:c>
      <x:c r="C5809" s="24" t="e">
        <x:f>HYPERLINK("https://365nails.com/products/365nails-glam-tweed-pearl-bow-3d-bow-pearl-handmade-medium-coffin-press-on-nails","365nails: ""Glam Tweed Pearl Bow"" – 3D Bow &amp; Pearl Handmade Medium Coffin Press-On Nails")</x:f>
        <x:v>HYPERLINK is not implemented. linkLocation=https://365nails.com/products/365nails-glam-tweed-pearl-bow-3d-bow-pearl-handmade-medium-coffin-press-on-nails, friendlyName=365nails: "Glam Tweed Pearl Bow" – 3D Bow &amp; Pearl Handmade Medium Coffin Press-On Nails</x:v>
      </x:c>
      <x:c r="D5809" s="18" t="str">
        <x:v>Size: XS / S / M / L</x:v>
      </x:c>
      <x:c r="E5809" s="25" t="str">
        <x:v>$3.49</x:v>
      </x:c>
      <x:c r="F5809" s="19" t="str">
        <x:v>5</x:v>
      </x:c>
    </x:row>
    <x:row r="5810" ht="93" customHeight="1">
      <x:c r="A5810" s="19" t="n">
        <x:v>5807</x:v>
      </x:c>
      <x:c r="B5810" s="22" t="e">
        <x:f>HYPERLINK("https://cdn.shopify.com/s/files/1/0918/6066/4603/files/1d8e38516559adbee24c667cf0bdf5a8.jpg?v=1777792882","Open")</x:f>
        <x:v>HYPERLINK is not implemented. linkLocation=https://cdn.shopify.com/s/files/1/0918/6066/4603/files/1d8e38516559adbee24c667cf0bdf5a8.jpg?v=1777792882, friendlyName=Open</x:v>
      </x:c>
      <x:c r="C5810" s="24" t="e">
        <x:f>HYPERLINK("https://365nails.com/products/365nails-white-black-leopard-flower-mix-handmade-medium-stiletto-press-on-nails","365nails: ""White Black Leopard Flower Mix"" – Handmade Medium Stiletto Press-On Nails")</x:f>
        <x:v>HYPERLINK is not implemented. linkLocation=https://365nails.com/products/365nails-white-black-leopard-flower-mix-handmade-medium-stiletto-press-on-nails, friendlyName=365nails: "White Black Leopard Flower Mix" – Handmade Medium Stiletto Press-On Nails</x:v>
      </x:c>
      <x:c r="D5810" s="18" t="str">
        <x:v>Size: XS / S / M / L</x:v>
      </x:c>
      <x:c r="E5810" s="25" t="str">
        <x:v>$3.49</x:v>
      </x:c>
      <x:c r="F5810" s="19" t="str">
        <x:v>5</x:v>
      </x:c>
    </x:row>
    <x:row r="5811" ht="93" customHeight="1">
      <x:c r="A5811" s="19" t="n">
        <x:v>5808</x:v>
      </x:c>
      <x:c r="B5811" s="22" t="e">
        <x:f>HYPERLINK("https://cdn.shopify.com/s/files/1/0918/6066/4603/files/af930c83f84723aadcead7d7ca80b122.jpg?v=1777788532","Open")</x:f>
        <x:v>HYPERLINK is not implemented. linkLocation=https://cdn.shopify.com/s/files/1/0918/6066/4603/files/af930c83f84723aadcead7d7ca80b122.jpg?v=1777788532, friendlyName=Open</x:v>
      </x:c>
      <x:c r="C5811" s="24" t="e">
        <x:f>HYPERLINK("https://365nails.com/products/365nails-colorful-fruit-flower-3d-handmade-medium-stiletto-press-on-nails","365nails: ""Colorful Fruit Flower 3D"" – Handmade Medium Stiletto Press-On Nails")</x:f>
        <x:v>HYPERLINK is not implemented. linkLocation=https://365nails.com/products/365nails-colorful-fruit-flower-3d-handmade-medium-stiletto-press-on-nails, friendlyName=365nails: "Colorful Fruit Flower 3D" – Handmade Medium Stiletto Press-On Nails</x:v>
      </x:c>
      <x:c r="D5811" s="18" t="str">
        <x:v>Size: XS / S / M / L</x:v>
      </x:c>
      <x:c r="E5811" s="25" t="str">
        <x:v>$3.49</x:v>
      </x:c>
      <x:c r="F5811" s="19" t="str">
        <x:v>5</x:v>
      </x:c>
    </x:row>
    <x:row r="5812" ht="93" customHeight="1">
      <x:c r="A5812" s="19" t="n">
        <x:v>5809</x:v>
      </x:c>
      <x:c r="B5812" s="22" t="e">
        <x:f>HYPERLINK("https://cdn.shopify.com/s/files/1/0918/6066/4603/files/696c67799d4dd9cc4d182944728af4cc.jpg?v=1777802999","Open")</x:f>
        <x:v>HYPERLINK is not implemented. linkLocation=https://cdn.shopify.com/s/files/1/0918/6066/4603/files/696c67799d4dd9cc4d182944728af4cc.jpg?v=1777802999, friendlyName=Open</x:v>
      </x:c>
      <x:c r="C5812" s="24" t="e">
        <x:f>HYPERLINK("https://365nails.com/products/365nails-aurora-strawberry-flower-mix-3d-fruit-flower-handmade-medium-oval-press-on-nails","365nails: ""Aurora Strawberry Flower Mix"" – 3D Fruit &amp; Flower Handmade Medium Oval Press-On Nails")</x:f>
        <x:v>HYPERLINK is not implemented. linkLocation=https://365nails.com/products/365nails-aurora-strawberry-flower-mix-3d-fruit-flower-handmade-medium-oval-press-on-nails, friendlyName=365nails: "Aurora Strawberry Flower Mix" – 3D Fruit &amp; Flower Handmade Medium Oval Press-On Nails</x:v>
      </x:c>
      <x:c r="D5812" s="18" t="str">
        <x:v>Size: XS / S / M / L</x:v>
      </x:c>
      <x:c r="E5812" s="25" t="str">
        <x:v>$3.49</x:v>
      </x:c>
      <x:c r="F5812" s="19" t="str">
        <x:v>5</x:v>
      </x:c>
    </x:row>
    <x:row r="5813" ht="93" customHeight="1">
      <x:c r="A5813" s="19" t="n">
        <x:v>5810</x:v>
      </x:c>
      <x:c r="B5813" s="22" t="e">
        <x:f>HYPERLINK("https://cdn.shopify.com/s/files/1/0918/6066/4603/files/71a4204d1f2b76c8775040e708b4f61a.jpg?v=1777778263","Open")</x:f>
        <x:v>HYPERLINK is not implemented. linkLocation=https://cdn.shopify.com/s/files/1/0918/6066/4603/files/71a4204d1f2b76c8775040e708b4f61a.jpg?v=1777778263, friendlyName=Open</x:v>
      </x:c>
      <x:c r="C5813" s="24" t="e">
        <x:f>HYPERLINK("https://365nails.com/products/365nails-silver-white-cyber-handmade-long-stiletto-press-on-nails","365nails: ""Silver White Cyber"" – Handmade Long Stiletto Press-On Nails")</x:f>
        <x:v>HYPERLINK is not implemented. linkLocation=https://365nails.com/products/365nails-silver-white-cyber-handmade-long-stiletto-press-on-nails, friendlyName=365nails: "Silver White Cyber" – Handmade Long Stiletto Press-On Nails</x:v>
      </x:c>
      <x:c r="D5813" s="18" t="str">
        <x:v>Size: XS / S / M / L</x:v>
      </x:c>
      <x:c r="E5813" s="25" t="str">
        <x:v>$4.49</x:v>
      </x:c>
      <x:c r="F5813" s="19" t="str">
        <x:v>5</x:v>
      </x:c>
    </x:row>
    <x:row r="5814" ht="93" customHeight="1">
      <x:c r="A5814" s="19" t="n">
        <x:v>5811</x:v>
      </x:c>
      <x:c r="B5814" s="22" t="e">
        <x:f>HYPERLINK("https://cdn.shopify.com/s/files/1/0918/6066/4603/files/0c2c0771a975d9cd41524e710758ee49.jpg?v=1777793817","Open")</x:f>
        <x:v>HYPERLINK is not implemented. linkLocation=https://cdn.shopify.com/s/files/1/0918/6066/4603/files/0c2c0771a975d9cd41524e710758ee49.jpg?v=1777793817, friendlyName=Open</x:v>
      </x:c>
      <x:c r="C5814" s="24" t="e">
        <x:f>HYPERLINK("https://365nails.com/products/365nails-silver-pink-heart-rhinestone-mix-handmade-medium-coffin-press-on-nails","365nails: ""Silver Pink Heart Rhinestone Mix"" – Handmade Medium Coffin Press-On Nails")</x:f>
        <x:v>HYPERLINK is not implemented. linkLocation=https://365nails.com/products/365nails-silver-pink-heart-rhinestone-mix-handmade-medium-coffin-press-on-nails, friendlyName=365nails: "Silver Pink Heart Rhinestone Mix" – Handmade Medium Coffin Press-On Nails</x:v>
      </x:c>
      <x:c r="D5814" s="18" t="str">
        <x:v>Size: XS / S / M / L</x:v>
      </x:c>
      <x:c r="E5814" s="25" t="str">
        <x:v>$3.49</x:v>
      </x:c>
      <x:c r="F5814" s="19" t="str">
        <x:v>5</x:v>
      </x:c>
    </x:row>
    <x:row r="5815" ht="93" customHeight="1">
      <x:c r="A5815" s="19" t="n">
        <x:v>5812</x:v>
      </x:c>
      <x:c r="B5815" s="22" t="e">
        <x:f>HYPERLINK("https://cdn.shopify.com/s/files/1/0918/6066/4603/files/c63b024116b679d91ba9aafb626cf8df.jpg?v=1777779685","Open")</x:f>
        <x:v>HYPERLINK is not implemented. linkLocation=https://cdn.shopify.com/s/files/1/0918/6066/4603/files/c63b024116b679d91ba9aafb626cf8df.jpg?v=1777779685, friendlyName=Open</x:v>
      </x:c>
      <x:c r="C5815" s="24" t="e">
        <x:f>HYPERLINK("https://365nails.com/products/365nails-green-flower-star-short-handmade-short-trapezoid-press-on-nails","365nails: ""Green Flower Star Short"" – Handmade Short Trapezoid Press-On Nails")</x:f>
        <x:v>HYPERLINK is not implemented. linkLocation=https://365nails.com/products/365nails-green-flower-star-short-handmade-short-trapezoid-press-on-nails, friendlyName=365nails: "Green Flower Star Short" – Handmade Short Trapezoid Press-On Nails</x:v>
      </x:c>
      <x:c r="D5815" s="18" t="str">
        <x:v>Size: XS / S / M / L</x:v>
      </x:c>
      <x:c r="E5815" s="25" t="str">
        <x:v>$4.49</x:v>
      </x:c>
      <x:c r="F5815" s="19" t="str">
        <x:v>5</x:v>
      </x:c>
    </x:row>
    <x:row r="5816" ht="93" customHeight="1">
      <x:c r="A5816" s="19" t="n">
        <x:v>5813</x:v>
      </x:c>
      <x:c r="B5816" s="22" t="e">
        <x:f>HYPERLINK("https://cdn.shopify.com/s/files/1/0918/6066/4603/files/1d1b7840a44809e6a9e4e8c01e562656.jpg?v=1777793251","Open")</x:f>
        <x:v>HYPERLINK is not implemented. linkLocation=https://cdn.shopify.com/s/files/1/0918/6066/4603/files/1d1b7840a44809e6a9e4e8c01e562656.jpg?v=1777793251, friendlyName=Open</x:v>
      </x:c>
      <x:c r="C5816" s="24" t="e">
        <x:f>HYPERLINK("https://365nails.com/products/365nails-pink-white-heart-drip-rhinestone-handmade-medium-coffin-press-on-nails","365nails: ""Pink White Heart Drip Rhinestone"" – Handmade Medium Coffin Press-On Nails")</x:f>
        <x:v>HYPERLINK is not implemented. linkLocation=https://365nails.com/products/365nails-pink-white-heart-drip-rhinestone-handmade-medium-coffin-press-on-nails, friendlyName=365nails: "Pink White Heart Drip Rhinestone" – Handmade Medium Coffin Press-On Nails</x:v>
      </x:c>
      <x:c r="D5816" s="18" t="str">
        <x:v>Size: XS / S / M / L</x:v>
      </x:c>
      <x:c r="E5816" s="25" t="str">
        <x:v>$3.49</x:v>
      </x:c>
      <x:c r="F5816" s="19" t="str">
        <x:v>5</x:v>
      </x:c>
    </x:row>
    <x:row r="5817" ht="93" customHeight="1">
      <x:c r="A5817" s="19" t="n">
        <x:v>5814</x:v>
      </x:c>
      <x:c r="B5817" s="22" t="e">
        <x:f>HYPERLINK("https://cdn.shopify.com/s/files/1/0918/6066/4603/files/4fed73b71d43c37ffb300dccc9930c30.jpg?v=1777798673","Open")</x:f>
        <x:v>HYPERLINK is not implemented. linkLocation=https://cdn.shopify.com/s/files/1/0918/6066/4603/files/4fed73b71d43c37ffb300dccc9930c30.jpg?v=1777798673, friendlyName=Open</x:v>
      </x:c>
      <x:c r="C5817" s="24" t="e">
        <x:f>HYPERLINK("https://365nails.com/products/365nails-nude-pink-flower-pearl-3d-handmade-medium-stiletto-press-on-nails","365nails: ""Nude Pink Flower Pearl 3D"" – Handmade Medium Stiletto Press-On Nails")</x:f>
        <x:v>HYPERLINK is not implemented. linkLocation=https://365nails.com/products/365nails-nude-pink-flower-pearl-3d-handmade-medium-stiletto-press-on-nails, friendlyName=365nails: "Nude Pink Flower Pearl 3D" – Handmade Medium Stiletto Press-On Nails</x:v>
      </x:c>
      <x:c r="D5817" s="18" t="str">
        <x:v>Size: XS / S / M / L</x:v>
      </x:c>
      <x:c r="E5817" s="25" t="str">
        <x:v>$3.49</x:v>
      </x:c>
      <x:c r="F5817" s="19" t="str">
        <x:v>5</x:v>
      </x:c>
    </x:row>
    <x:row r="5818" ht="93" customHeight="1">
      <x:c r="A5818" s="19" t="n">
        <x:v>5815</x:v>
      </x:c>
      <x:c r="B5818" s="22" t="e">
        <x:f>HYPERLINK("https://cdn.shopify.com/s/files/1/0918/6066/4603/files/e1e6b45d2560853eb44fe52cfbb4ae4b.jpg?v=1776413247","Open")</x:f>
        <x:v>HYPERLINK is not implemented. linkLocation=https://cdn.shopify.com/s/files/1/0918/6066/4603/files/e1e6b45d2560853eb44fe52cfbb4ae4b.jpg?v=1776413247, friendlyName=Open</x:v>
      </x:c>
      <x:c r="C5818" s="24" t="e">
        <x:f>HYPERLINK("https://365nails.com/products/365nails-sukuna-anime-red-black-handmade-medium-trapezoid-press-on-nails","365nails: ""Sukuna Anime Red Black"" – Handmade Medium Trapezoid Press-On Nails")</x:f>
        <x:v>HYPERLINK is not implemented. linkLocation=https://365nails.com/products/365nails-sukuna-anime-red-black-handmade-medium-trapezoid-press-on-nails, friendlyName=365nails: "Sukuna Anime Red Black" – Handmade Medium Trapezoid Press-On Nails</x:v>
      </x:c>
      <x:c r="D5818" s="18" t="str">
        <x:v>Size: XS / S / M</x:v>
      </x:c>
      <x:c r="E5818" s="25" t="str">
        <x:v>$3.49</x:v>
      </x:c>
      <x:c r="F5818" s="19" t="str">
        <x:v>5</x:v>
      </x:c>
    </x:row>
    <x:row r="5819" ht="93" customHeight="1">
      <x:c r="A5819" s="19" t="n">
        <x:v>5816</x:v>
      </x:c>
      <x:c r="B5819" s="22" t="e">
        <x:f>HYPERLINK("https://cdn.shopify.com/s/files/1/0918/6066/4603/files/b9c0324d07e05c9a7480cc509ff8e046.jpg?v=1777777757","Open")</x:f>
        <x:v>HYPERLINK is not implemented. linkLocation=https://cdn.shopify.com/s/files/1/0918/6066/4603/files/b9c0324d07e05c9a7480cc509ff8e046.jpg?v=1777777757, friendlyName=Open</x:v>
      </x:c>
      <x:c r="C5819" s="24" t="e">
        <x:f>HYPERLINK("https://365nails.com/products/365nails-pink-green-leopard-pom-pom-handmade-long-trapezoid-press-on-nails","365nails: ""Pink Green Leopard Pom Pom"" – Handmade Long Trapezoid Press-On Nails")</x:f>
        <x:v>HYPERLINK is not implemented. linkLocation=https://365nails.com/products/365nails-pink-green-leopard-pom-pom-handmade-long-trapezoid-press-on-nails, friendlyName=365nails: "Pink Green Leopard Pom Pom" – Handmade Long Trapezoid Press-On Nails</x:v>
      </x:c>
      <x:c r="D5819" s="18" t="str">
        <x:v>Size: XS / S / M / L</x:v>
      </x:c>
      <x:c r="E5819" s="25" t="str">
        <x:v>$4.49</x:v>
      </x:c>
      <x:c r="F5819" s="19" t="str">
        <x:v>5</x:v>
      </x:c>
    </x:row>
    <x:row r="5820" ht="93" customHeight="1">
      <x:c r="A5820" s="19" t="n">
        <x:v>5817</x:v>
      </x:c>
      <x:c r="B5820" s="22" t="e">
        <x:f>HYPERLINK("https://cdn.shopify.com/s/files/1/0918/6066/4603/files/a756a1c974a81bd2771825af53351a79.jpg?v=1777801752","Open")</x:f>
        <x:v>HYPERLINK is not implemented. linkLocation=https://cdn.shopify.com/s/files/1/0918/6066/4603/files/a756a1c974a81bd2771825af53351a79.jpg?v=1777801752, friendlyName=Open</x:v>
      </x:c>
      <x:c r="C5820" s="24" t="e">
        <x:f>HYPERLINK("https://365nails.com/products/365nails-ocean-blue-white-starfish-shell-mix-handmade-medium-stiletto-press-on-nails","365nails: ""Ocean Blue White Starfish Shell Mix"" – Handmade Medium Stiletto Press-On Nails")</x:f>
        <x:v>HYPERLINK is not implemented. linkLocation=https://365nails.com/products/365nails-ocean-blue-white-starfish-shell-mix-handmade-medium-stiletto-press-on-nails, friendlyName=365nails: "Ocean Blue White Starfish Shell Mix" – Handmade Medium Stiletto Press-On Nails</x:v>
      </x:c>
      <x:c r="D5820" s="18" t="str">
        <x:v>Size: XS / S / M / L</x:v>
      </x:c>
      <x:c r="E5820" s="25" t="str">
        <x:v>$3.49</x:v>
      </x:c>
      <x:c r="F5820" s="19" t="str">
        <x:v>5</x:v>
      </x:c>
    </x:row>
    <x:row r="5821" ht="93" customHeight="1">
      <x:c r="A5821" s="19" t="n">
        <x:v>5818</x:v>
      </x:c>
      <x:c r="B5821" s="22" t="e">
        <x:f>HYPERLINK("https://cdn.shopify.com/s/files/1/0918/6066/4603/files/89dd040ea557789c28b485c1699477d2.jpg?v=1777791715","Open")</x:f>
        <x:v>HYPERLINK is not implemented. linkLocation=https://cdn.shopify.com/s/files/1/0918/6066/4603/files/89dd040ea557789c28b485c1699477d2.jpg?v=1777791715, friendlyName=Open</x:v>
      </x:c>
      <x:c r="C5821" s="24" t="e">
        <x:f>HYPERLINK("https://365nails.com/products/365nails-colorful-fruit-mix-3d-handmade-medium-stiletto-press-on-nails","365nails: ""Colorful Fruit Mix 3D"" – Handmade Medium Stiletto Press-On Nails")</x:f>
        <x:v>HYPERLINK is not implemented. linkLocation=https://365nails.com/products/365nails-colorful-fruit-mix-3d-handmade-medium-stiletto-press-on-nails, friendlyName=365nails: "Colorful Fruit Mix 3D" – Handmade Medium Stiletto Press-On Nails</x:v>
      </x:c>
      <x:c r="D5821" s="18" t="str">
        <x:v>Size: XS / S / M / L</x:v>
      </x:c>
      <x:c r="E5821" s="25" t="str">
        <x:v>$3.49</x:v>
      </x:c>
      <x:c r="F5821" s="19" t="str">
        <x:v>5</x:v>
      </x:c>
    </x:row>
    <x:row r="5822" ht="93" customHeight="1">
      <x:c r="A5822" s="19" t="n">
        <x:v>5819</x:v>
      </x:c>
      <x:c r="B5822" s="22" t="e">
        <x:f>HYPERLINK("https://cdn.shopify.com/s/files/1/0918/6066/4603/files/617b238f467450f5af3ff9ad1555f75a.jpg?v=1777800208","Open")</x:f>
        <x:v>HYPERLINK is not implemented. linkLocation=https://cdn.shopify.com/s/files/1/0918/6066/4603/files/617b238f467450f5af3ff9ad1555f75a.jpg?v=1777800208, friendlyName=Open</x:v>
      </x:c>
      <x:c r="C5822" s="24" t="e">
        <x:f>HYPERLINK("https://365nails.com/products/365nails-nude-pink-rose-gold-mix-handmade-medium-stiletto-press-on-nails","365nails: ""Nude Pink Rose Gold Mix"" – Handmade Medium Stiletto Press-On Nails")</x:f>
        <x:v>HYPERLINK is not implemented. linkLocation=https://365nails.com/products/365nails-nude-pink-rose-gold-mix-handmade-medium-stiletto-press-on-nails, friendlyName=365nails: "Nude Pink Rose Gold Mix" – Handmade Medium Stiletto Press-On Nails</x:v>
      </x:c>
      <x:c r="D5822" s="18" t="str">
        <x:v>Size: XS / S / M / L</x:v>
      </x:c>
      <x:c r="E5822" s="25" t="str">
        <x:v>$3.49</x:v>
      </x:c>
      <x:c r="F5822" s="19" t="str">
        <x:v>5</x:v>
      </x:c>
    </x:row>
    <x:row r="5823" ht="93" customHeight="1">
      <x:c r="A5823" s="19" t="n">
        <x:v>5820</x:v>
      </x:c>
      <x:c r="B5823" s="22" t="e">
        <x:f>HYPERLINK("https://cdn.shopify.com/s/files/1/0918/6066/4603/files/5b9673ad7728a7071e535180d5837882.jpg?v=1777778185","Open")</x:f>
        <x:v>HYPERLINK is not implemented. linkLocation=https://cdn.shopify.com/s/files/1/0918/6066/4603/files/5b9673ad7728a7071e535180d5837882.jpg?v=1777778185, friendlyName=Open</x:v>
      </x:c>
      <x:c r="C5823" s="24" t="e">
        <x:f>HYPERLINK("https://365nails.com/products/365nails-nude-gold-glitter-flower-handmade-long-trapezoid-press-on-nails","365nails: ""Nude Gold Glitter Flower"" – Handmade Long Trapezoid Press-On Nails")</x:f>
        <x:v>HYPERLINK is not implemented. linkLocation=https://365nails.com/products/365nails-nude-gold-glitter-flower-handmade-long-trapezoid-press-on-nails, friendlyName=365nails: "Nude Gold Glitter Flower" – Handmade Long Trapezoid Press-On Nails</x:v>
      </x:c>
      <x:c r="D5823" s="18" t="str">
        <x:v>Size: XS / S / M / L</x:v>
      </x:c>
      <x:c r="E5823" s="25" t="str">
        <x:v>$4.49</x:v>
      </x:c>
      <x:c r="F5823" s="19" t="str">
        <x:v>5</x:v>
      </x:c>
    </x:row>
    <x:row r="5824" ht="93" customHeight="1">
      <x:c r="A5824" s="19" t="n">
        <x:v>5821</x:v>
      </x:c>
      <x:c r="B5824" s="22" t="e">
        <x:f>HYPERLINK("https://cdn.shopify.com/s/files/1/0918/6066/4603/files/71bcf979dbee330bca2aa5037082dd0b.jpg?v=1777801107","Open")</x:f>
        <x:v>HYPERLINK is not implemented. linkLocation=https://cdn.shopify.com/s/files/1/0918/6066/4603/files/71bcf979dbee330bca2aa5037082dd0b.jpg?v=1777801107, friendlyName=Open</x:v>
      </x:c>
      <x:c r="C5824" s="24" t="e">
        <x:f>HYPERLINK("https://365nails.com/products/365nails-pale-pink-green-leaf-3d-mix-handmade-medium-stiletto-press-on-nails","365nails: ""Pale Pink Green Leaf 3D Mix"" – Handmade Medium Stiletto Press-On Nails")</x:f>
        <x:v>HYPERLINK is not implemented. linkLocation=https://365nails.com/products/365nails-pale-pink-green-leaf-3d-mix-handmade-medium-stiletto-press-on-nails, friendlyName=365nails: "Pale Pink Green Leaf 3D Mix" – Handmade Medium Stiletto Press-On Nails</x:v>
      </x:c>
      <x:c r="D5824" s="18" t="str">
        <x:v>Size: XS / S / M / L</x:v>
      </x:c>
      <x:c r="E5824" s="25" t="str">
        <x:v>$3.49</x:v>
      </x:c>
      <x:c r="F5824" s="19" t="str">
        <x:v>5</x:v>
      </x:c>
    </x:row>
    <x:row r="5825" ht="93" customHeight="1">
      <x:c r="A5825" s="19" t="n">
        <x:v>5822</x:v>
      </x:c>
      <x:c r="B5825" s="22" t="e">
        <x:f>HYPERLINK("https://cdn.shopify.com/s/files/1/0918/6066/4603/files/b4cd03031b4d58f612242318fefd1615.jpg?v=1777802294","Open")</x:f>
        <x:v>HYPERLINK is not implemented. linkLocation=https://cdn.shopify.com/s/files/1/0918/6066/4603/files/b4cd03031b4d58f612242318fefd1615.jpg?v=1777802294, friendlyName=Open</x:v>
      </x:c>
      <x:c r="C5825" s="24" t="e">
        <x:f>HYPERLINK("https://365nails.com/products/365nails-pale-yellow-leopard-flower-handmade-medium-almond-press-on-nails","365nails: ""Pale Yellow Leopard Flower"" – Handmade Medium Almond Press-On Nails")</x:f>
        <x:v>HYPERLINK is not implemented. linkLocation=https://365nails.com/products/365nails-pale-yellow-leopard-flower-handmade-medium-almond-press-on-nails, friendlyName=365nails: "Pale Yellow Leopard Flower" – Handmade Medium Almond Press-On Nails</x:v>
      </x:c>
      <x:c r="D5825" s="18" t="str">
        <x:v>Size: XS / S / M / L</x:v>
      </x:c>
      <x:c r="E5825" s="25" t="str">
        <x:v>$3.49</x:v>
      </x:c>
      <x:c r="F5825" s="19" t="str">
        <x:v>5</x:v>
      </x:c>
    </x:row>
    <x:row r="5826" ht="93" customHeight="1">
      <x:c r="A5826" s="19" t="n">
        <x:v>5823</x:v>
      </x:c>
      <x:c r="B5826" s="22" t="e">
        <x:f>HYPERLINK("https://cdn.shopify.com/s/files/1/0918/6066/4603/files/50392d671f94ce9d63581934348e1e40.jpg?v=1777779492","Open")</x:f>
        <x:v>HYPERLINK is not implemented. linkLocation=https://cdn.shopify.com/s/files/1/0918/6066/4603/files/50392d671f94ce9d63581934348e1e40.jpg?v=1777779492, friendlyName=Open</x:v>
      </x:c>
      <x:c r="C5826" s="24" t="e">
        <x:f>HYPERLINK("https://365nails.com/products/365nails-pink-flower-bow-short-handmade-short-trapezoid-press-on-nails","365nails: ""Pink Flower Bow Short"" – Handmade Short Trapezoid Press-On Nails")</x:f>
        <x:v>HYPERLINK is not implemented. linkLocation=https://365nails.com/products/365nails-pink-flower-bow-short-handmade-short-trapezoid-press-on-nails, friendlyName=365nails: "Pink Flower Bow Short" – Handmade Short Trapezoid Press-On Nails</x:v>
      </x:c>
      <x:c r="D5826" s="18" t="str">
        <x:v>Size: XS / S / M / L</x:v>
      </x:c>
      <x:c r="E5826" s="25" t="str">
        <x:v>$4.49</x:v>
      </x:c>
      <x:c r="F5826" s="19" t="str">
        <x:v>5</x:v>
      </x:c>
    </x:row>
    <x:row r="5827" ht="93" customHeight="1">
      <x:c r="A5827" s="19" t="n">
        <x:v>5824</x:v>
      </x:c>
      <x:c r="B5827" s="22" t="e">
        <x:f>HYPERLINK("https://cdn.shopify.com/s/files/1/0918/6066/4603/files/c6d51b2704c493decc65f6f31deb3b22.jpg?v=1777780196","Open")</x:f>
        <x:v>HYPERLINK is not implemented. linkLocation=https://cdn.shopify.com/s/files/1/0918/6066/4603/files/c6d51b2704c493decc65f6f31deb3b22.jpg?v=1777780196, friendlyName=Open</x:v>
      </x:c>
      <x:c r="C5827" s="24" t="e">
        <x:f>HYPERLINK("https://365nails.com/products/365nails-purple-blue-bow-flower-long-handmade-long-stiletto-press-on-nails","365nails: ""Purple Blue Bow Flower Long"" – Handmade Long Stiletto Press-On Nails")</x:f>
        <x:v>HYPERLINK is not implemented. linkLocation=https://365nails.com/products/365nails-purple-blue-bow-flower-long-handmade-long-stiletto-press-on-nails, friendlyName=365nails: "Purple Blue Bow Flower Long" – Handmade Long Stiletto Press-On Nails</x:v>
      </x:c>
      <x:c r="D5827" s="18" t="str">
        <x:v>Size: XS / S / M / L</x:v>
      </x:c>
      <x:c r="E5827" s="25" t="str">
        <x:v>$4.49</x:v>
      </x:c>
      <x:c r="F5827" s="19" t="str">
        <x:v>5</x:v>
      </x:c>
    </x:row>
    <x:row r="5828" ht="93" customHeight="1">
      <x:c r="A5828" s="19" t="n">
        <x:v>5825</x:v>
      </x:c>
      <x:c r="B5828" s="22" t="e">
        <x:f>HYPERLINK("https://cdn.shopify.com/s/files/1/0918/6066/4603/files/cef14edf3de8f6262a8cafc24aff6655_a706c4da-e84f-48e6-9bd9-255b8600d3d1.jpg?v=1776416806","Open")</x:f>
        <x:v>HYPERLINK is not implemented. linkLocation=https://cdn.shopify.com/s/files/1/0918/6066/4603/files/cef14edf3de8f6262a8cafc24aff6655_a706c4da-e84f-48e6-9bd9-255b8600d3d1.jpg?v=1776416806, friendlyName=Open</x:v>
      </x:c>
      <x:c r="C5828" s="24" t="e">
        <x:f>HYPERLINK("https://365nails.com/products/365nails-demon-slayer-douma-handmade-medium-almond-press-on-nails","365nails: ""Demon Slayer Douma"" – Handmade short Almond Press-On Nails")</x:f>
        <x:v>HYPERLINK is not implemented. linkLocation=https://365nails.com/products/365nails-demon-slayer-douma-handmade-medium-almond-press-on-nails, friendlyName=365nails: "Demon Slayer Douma" – Handmade short Almond Press-On Nails</x:v>
      </x:c>
      <x:c r="D5828" s="18" t="str">
        <x:v>Size: XS / S / M</x:v>
      </x:c>
      <x:c r="E5828" s="25" t="str">
        <x:v>$3.49</x:v>
      </x:c>
      <x:c r="F5828" s="19" t="str">
        <x:v>5</x:v>
      </x:c>
    </x:row>
    <x:row r="5829" ht="93" customHeight="1">
      <x:c r="A5829" s="19" t="n">
        <x:v>5826</x:v>
      </x:c>
      <x:c r="B5829" s="22" t="e">
        <x:f>HYPERLINK("https://cdn.shopify.com/s/files/1/0918/6066/4603/files/006483dd6e9d3f2af09fd719e2c62578.jpg?v=1777803144","Open")</x:f>
        <x:v>HYPERLINK is not implemented. linkLocation=https://cdn.shopify.com/s/files/1/0918/6066/4603/files/006483dd6e9d3f2af09fd719e2c62578.jpg?v=1777803144, friendlyName=Open</x:v>
      </x:c>
      <x:c r="C5829" s="24" t="e">
        <x:f>HYPERLINK("https://365nails.com/products/365nails-blush-pink-gradient-dew-drop-chain-handmade-medium-stiletto-press-on-nails","365nails: ""Blush Pink Gradient Dew Drop Chain"" – Handmade Medium Stiletto Press-On Nails")</x:f>
        <x:v>HYPERLINK is not implemented. linkLocation=https://365nails.com/products/365nails-blush-pink-gradient-dew-drop-chain-handmade-medium-stiletto-press-on-nails, friendlyName=365nails: "Blush Pink Gradient Dew Drop Chain" – Handmade Medium Stiletto Press-On Nails</x:v>
      </x:c>
      <x:c r="D5829" s="18" t="str">
        <x:v>Size: XS / S / M / L</x:v>
      </x:c>
      <x:c r="E5829" s="25" t="str">
        <x:v>$3.49</x:v>
      </x:c>
      <x:c r="F5829" s="19" t="str">
        <x:v>5</x:v>
      </x:c>
    </x:row>
    <x:row r="5830" ht="93" customHeight="1">
      <x:c r="A5830" s="19" t="n">
        <x:v>5827</x:v>
      </x:c>
      <x:c r="B5830" s="22" t="e">
        <x:f>HYPERLINK("https://cdn.shopify.com/s/files/1/0918/6066/4603/files/dfc45553a029c2722c991cca043797fc.jpg?v=1777806957","Open")</x:f>
        <x:v>HYPERLINK is not implemented. linkLocation=https://cdn.shopify.com/s/files/1/0918/6066/4603/files/dfc45553a029c2722c991cca043797fc.jpg?v=1777806957, friendlyName=Open</x:v>
      </x:c>
      <x:c r="C5830" s="24" t="e">
        <x:f>HYPERLINK("https://365nails.com/products/365nails-ocean-breeze-beach-mix-handmade-stiletto-press-on-nails","365Nails: ""Ocean Breeze Beach Mix"" – Handmade Stiletto Press-On Nails")</x:f>
        <x:v>HYPERLINK is not implemented. linkLocation=https://365nails.com/products/365nails-ocean-breeze-beach-mix-handmade-stiletto-press-on-nails, friendlyName=365Nails: "Ocean Breeze Beach Mix" – Handmade Stiletto Press-On Nails</x:v>
      </x:c>
      <x:c r="D5830" s="18" t="str">
        <x:v>Size: XS / S / M / L</x:v>
      </x:c>
      <x:c r="E5830" s="25" t="str">
        <x:v>$3.49</x:v>
      </x:c>
      <x:c r="F5830" s="19" t="str">
        <x:v>1</x:v>
      </x:c>
    </x:row>
    <x:row r="5831" ht="93" customHeight="1">
      <x:c r="A5831" s="19" t="n">
        <x:v>5828</x:v>
      </x:c>
      <x:c r="B5831" s="22" t="e">
        <x:f>HYPERLINK("https://cdn.shopify.com/s/files/1/0918/6066/4603/files/8bb97d8f7c67cce207587fcd919f8daf.jpg?v=1777808490","Open")</x:f>
        <x:v>HYPERLINK is not implemented. linkLocation=https://cdn.shopify.com/s/files/1/0918/6066/4603/files/8bb97d8f7c67cce207587fcd919f8daf.jpg?v=1777808490, friendlyName=Open</x:v>
      </x:c>
      <x:c r="C5831" s="24" t="e">
        <x:f>HYPERLINK("https://365nails.com/products/365nails-cyber-heart-gradient-handmade-medium-stiletto-press-on-nails","365nails: ""Cyber Heart Gradient"" – Handmade Medium Stiletto Press-On Nails")</x:f>
        <x:v>HYPERLINK is not implemented. linkLocation=https://365nails.com/products/365nails-cyber-heart-gradient-handmade-medium-stiletto-press-on-nails, friendlyName=365nails: "Cyber Heart Gradient" – Handmade Medium Stiletto Press-On Nails</x:v>
      </x:c>
      <x:c r="D5831" s="18" t="str">
        <x:v>Size: XS / S / M / L</x:v>
      </x:c>
      <x:c r="E5831" s="25" t="str">
        <x:v>$2.99</x:v>
      </x:c>
      <x:c r="F5831" s="19" t="str">
        <x:v>5</x:v>
      </x:c>
    </x:row>
    <x:row r="5832" ht="93" customHeight="1">
      <x:c r="A5832" s="19" t="n">
        <x:v>5829</x:v>
      </x:c>
      <x:c r="B5832" s="22" t="e">
        <x:f>HYPERLINK("https://cdn.shopify.com/s/files/1/0918/6066/4603/files/93ac8306c943cf5555d123c3ee501b50.jpg?v=1776417077","Open")</x:f>
        <x:v>HYPERLINK is not implemented. linkLocation=https://cdn.shopify.com/s/files/1/0918/6066/4603/files/93ac8306c943cf5555d123c3ee501b50.jpg?v=1776417077, friendlyName=Open</x:v>
      </x:c>
      <x:c r="C5832" s="24" t="e">
        <x:f>HYPERLINK("https://365nails.com/products/365nails-demon-slayer-inosuke-hashibira-handmade-medium-trapezoid-press-on-nails","365nails: ""Demon Slayer Inosuke Hashibira"" – Handmade Medium Trapezoid Press-On Nails")</x:f>
        <x:v>HYPERLINK is not implemented. linkLocation=https://365nails.com/products/365nails-demon-slayer-inosuke-hashibira-handmade-medium-trapezoid-press-on-nails, friendlyName=365nails: "Demon Slayer Inosuke Hashibira" – Handmade Medium Trapezoid Press-On Nails</x:v>
      </x:c>
      <x:c r="D5832" s="18" t="str">
        <x:v>Size: XS / S / M</x:v>
      </x:c>
      <x:c r="E5832" s="25" t="str">
        <x:v>$3.49</x:v>
      </x:c>
      <x:c r="F5832" s="19" t="str">
        <x:v>5</x:v>
      </x:c>
    </x:row>
    <x:row r="5833" ht="93" customHeight="1">
      <x:c r="A5833" s="19" t="n">
        <x:v>5830</x:v>
      </x:c>
      <x:c r="B5833" s="22" t="e">
        <x:f>HYPERLINK("https://cdn.shopify.com/s/files/1/0918/6066/4603/files/d96a01ec0cefa4f971b95e1dbe9276bd.jpg?v=1776413640","Open")</x:f>
        <x:v>HYPERLINK is not implemented. linkLocation=https://cdn.shopify.com/s/files/1/0918/6066/4603/files/d96a01ec0cefa4f971b95e1dbe9276bd.jpg?v=1776413640, friendlyName=Open</x:v>
      </x:c>
      <x:c r="C5833" s="24" t="e">
        <x:f>HYPERLINK("https://365nails.com/products/365nails-demon-slayer-douma-kotoha-handmade-medium-almond-press-on-nails","365nails: ""Demon Slayer Douma &amp; Kotoha"" – Handmade Medium Almond Press-On Nails")</x:f>
        <x:v>HYPERLINK is not implemented. linkLocation=https://365nails.com/products/365nails-demon-slayer-douma-kotoha-handmade-medium-almond-press-on-nails, friendlyName=365nails: "Demon Slayer Douma &amp; Kotoha" – Handmade Medium Almond Press-On Nails</x:v>
      </x:c>
      <x:c r="D5833" s="18" t="str">
        <x:v>Size: XS / S / M</x:v>
      </x:c>
      <x:c r="E5833" s="25" t="str">
        <x:v>$3.49</x:v>
      </x:c>
      <x:c r="F5833" s="19" t="str">
        <x:v>5</x:v>
      </x:c>
    </x:row>
    <x:row r="5834" ht="93" customHeight="1">
      <x:c r="A5834" s="19" t="n">
        <x:v>5831</x:v>
      </x:c>
      <x:c r="B5834" s="22" t="e">
        <x:f>HYPERLINK("https://cdn.shopify.com/s/files/1/0918/6066/4603/files/115a41d47446652ca2e08e827409e7ef.jpg?v=1776416213","Open")</x:f>
        <x:v>HYPERLINK is not implemented. linkLocation=https://cdn.shopify.com/s/files/1/0918/6066/4603/files/115a41d47446652ca2e08e827409e7ef.jpg?v=1776416213, friendlyName=Open</x:v>
      </x:c>
      <x:c r="C5834" s="24" t="e">
        <x:f>HYPERLINK("https://365nails.com/products/365nails-demon-slayer-giyu-tomioka-handmade-short-almond-press-on-nails","365nails: ""Demon Slayer Giyu Tomioka"" – Handmade Short Almond Press-On Nails")</x:f>
        <x:v>HYPERLINK is not implemented. linkLocation=https://365nails.com/products/365nails-demon-slayer-giyu-tomioka-handmade-short-almond-press-on-nails, friendlyName=365nails: "Demon Slayer Giyu Tomioka" – Handmade Short Almond Press-On Nails</x:v>
      </x:c>
      <x:c r="D5834" s="18" t="str">
        <x:v>Size: XS / S / M</x:v>
      </x:c>
      <x:c r="E5834" s="25" t="str">
        <x:v>$3.49</x:v>
      </x:c>
      <x:c r="F5834" s="19" t="str">
        <x:v>5</x:v>
      </x:c>
    </x:row>
    <x:row r="5835" ht="93" customHeight="1">
      <x:c r="A5835" s="19" t="n">
        <x:v>5832</x:v>
      </x:c>
      <x:c r="B5835" s="22" t="e">
        <x:f>HYPERLINK("https://cdn.shopify.com/s/files/1/0918/6066/4603/files/8bc6398761e5ee6f3ccfa65e8a41f11e.jpg?v=1777799543","Open")</x:f>
        <x:v>HYPERLINK is not implemented. linkLocation=https://cdn.shopify.com/s/files/1/0918/6066/4603/files/8bc6398761e5ee6f3ccfa65e8a41f11e.jpg?v=1777799543, friendlyName=Open</x:v>
      </x:c>
      <x:c r="C5835" s="24" t="e">
        <x:f>HYPERLINK("https://365nails.com/products/365nails-nude-black-cross-flower-mix-handmade-medium-coffin-press-on-nails","365nails: ""Nude Black Cross Flower Mix"" – Handmade Medium Coffin Press-On Nails")</x:f>
        <x:v>HYPERLINK is not implemented. linkLocation=https://365nails.com/products/365nails-nude-black-cross-flower-mix-handmade-medium-coffin-press-on-nails, friendlyName=365nails: "Nude Black Cross Flower Mix" – Handmade Medium Coffin Press-On Nails</x:v>
      </x:c>
      <x:c r="D5835" s="18" t="str">
        <x:v>Size: XS / S / M / L</x:v>
      </x:c>
      <x:c r="E5835" s="25" t="str">
        <x:v>$3.49</x:v>
      </x:c>
      <x:c r="F5835" s="19" t="str">
        <x:v>5</x:v>
      </x:c>
    </x:row>
    <x:row r="5836" ht="93" customHeight="1">
      <x:c r="A5836" s="19" t="n">
        <x:v>5833</x:v>
      </x:c>
      <x:c r="B5836" s="22" t="e">
        <x:f>HYPERLINK("https://cdn.shopify.com/s/files/1/0918/6066/4603/files/0ceca329101c98edf62a46c80b867d8c.jpg?v=1777808448","Open")</x:f>
        <x:v>HYPERLINK is not implemented. linkLocation=https://cdn.shopify.com/s/files/1/0918/6066/4603/files/0ceca329101c98edf62a46c80b867d8c.jpg?v=1777808448, friendlyName=Open</x:v>
      </x:c>
      <x:c r="C5836" s="24" t="e">
        <x:f>HYPERLINK("https://365nails.com/products/365nails-blush-petal-shimmer-handmade-short-oval-press-on-nails","365nails: ""Blush Petal Shimmer"" – Handmade Short Oval Press-On Nails")</x:f>
        <x:v>HYPERLINK is not implemented. linkLocation=https://365nails.com/products/365nails-blush-petal-shimmer-handmade-short-oval-press-on-nails, friendlyName=365nails: "Blush Petal Shimmer" – Handmade Short Oval Press-On Nails</x:v>
      </x:c>
      <x:c r="D5836" s="18" t="str">
        <x:v>Size: XS / S / M / L</x:v>
      </x:c>
      <x:c r="E5836" s="25" t="str">
        <x:v>$2.99</x:v>
      </x:c>
      <x:c r="F5836" s="19" t="str">
        <x:v>5</x:v>
      </x:c>
    </x:row>
    <x:row r="5837" ht="93" customHeight="1">
      <x:c r="A5837" s="19" t="n">
        <x:v>5834</x:v>
      </x:c>
      <x:c r="B5837" s="22" t="e">
        <x:f>HYPERLINK("https://cdn.shopify.com/s/files/1/0918/6066/4603/files/a4fbe65702d1512c6aede4fe67c6db7e.jpg?v=1776414119","Open")</x:f>
        <x:v>HYPERLINK is not implemented. linkLocation=https://cdn.shopify.com/s/files/1/0918/6066/4603/files/a4fbe65702d1512c6aede4fe67c6db7e.jpg?v=1776414119, friendlyName=Open</x:v>
      </x:c>
      <x:c r="C5837" s="24" t="e">
        <x:f>HYPERLINK("https://365nails.com/products/365nails-sailor-moon-chibiusa-handmade-medium-trapezoid-press-on-nails","365nails: ""Sailor Moon Chibiusa"" – Handmade Medium Trapezoid Press-On Nails")</x:f>
        <x:v>HYPERLINK is not implemented. linkLocation=https://365nails.com/products/365nails-sailor-moon-chibiusa-handmade-medium-trapezoid-press-on-nails, friendlyName=365nails: "Sailor Moon Chibiusa" – Handmade Medium Trapezoid Press-On Nails</x:v>
      </x:c>
      <x:c r="D5837" s="18" t="str">
        <x:v>Size: XS / S / M</x:v>
      </x:c>
      <x:c r="E5837" s="25" t="str">
        <x:v>$3.49</x:v>
      </x:c>
      <x:c r="F5837" s="19" t="str">
        <x:v>5</x:v>
      </x:c>
    </x:row>
    <x:row r="5838" ht="93" customHeight="1">
      <x:c r="A5838" s="19" t="n">
        <x:v>5835</x:v>
      </x:c>
      <x:c r="B5838" s="22" t="e">
        <x:f>HYPERLINK("https://cdn.shopify.com/s/files/1/0918/6066/4603/files/819da1ab50d7a1a372c27cddf335e498.jpg?v=1776414888","Open")</x:f>
        <x:v>HYPERLINK is not implemented. linkLocation=https://cdn.shopify.com/s/files/1/0918/6066/4603/files/819da1ab50d7a1a372c27cddf335e498.jpg?v=1776414888, friendlyName=Open</x:v>
      </x:c>
      <x:c r="C5838" s="24" t="e">
        <x:f>HYPERLINK("https://365nails.com/products/365nails-demon-slayer-nezuko-handmade-short-almond-press-on-nails","365nails: ""Demon Slayer Nezuko"" – Handmade Short Almond Press-On Nails")</x:f>
        <x:v>HYPERLINK is not implemented. linkLocation=https://365nails.com/products/365nails-demon-slayer-nezuko-handmade-short-almond-press-on-nails, friendlyName=365nails: "Demon Slayer Nezuko" – Handmade Short Almond Press-On Nails</x:v>
      </x:c>
      <x:c r="D5838" s="18" t="str">
        <x:v>Size: XS / S / M</x:v>
      </x:c>
      <x:c r="E5838" s="25" t="str">
        <x:v>$3.49</x:v>
      </x:c>
      <x:c r="F5838" s="19" t="str">
        <x:v>5</x:v>
      </x:c>
    </x:row>
    <x:row r="5839" ht="93" customHeight="1">
      <x:c r="A5839" s="19" t="n">
        <x:v>5836</x:v>
      </x:c>
      <x:c r="B5839" s="22" t="e">
        <x:f>HYPERLINK("https://cdn.shopify.com/s/files/1/0918/6066/4603/files/62692bca0cda1a360f4cfafb688c7d75.jpg?v=1777791997","Open")</x:f>
        <x:v>HYPERLINK is not implemented. linkLocation=https://cdn.shopify.com/s/files/1/0918/6066/4603/files/62692bca0cda1a360f4cfafb688c7d75.jpg?v=1777791997, friendlyName=Open</x:v>
      </x:c>
      <x:c r="C5839" s="24" t="e">
        <x:f>HYPERLINK("https://365nails.com/products/365nails-pink-zebra-flower-mix-3d-handmade-medium-square-press-on-nails","365nails: ""Pink Zebra Flower Mix 3D"" – Handmade Medium Square Press-On Nails")</x:f>
        <x:v>HYPERLINK is not implemented. linkLocation=https://365nails.com/products/365nails-pink-zebra-flower-mix-3d-handmade-medium-square-press-on-nails, friendlyName=365nails: "Pink Zebra Flower Mix 3D" – Handmade Medium Square Press-On Nails</x:v>
      </x:c>
      <x:c r="D5839" s="18" t="str">
        <x:v>Size: XS / S / M / L</x:v>
      </x:c>
      <x:c r="E5839" s="25" t="str">
        <x:v>$3.49</x:v>
      </x:c>
      <x:c r="F5839" s="19" t="str">
        <x:v>5</x:v>
      </x:c>
    </x:row>
    <x:row r="5840" ht="93" customHeight="1">
      <x:c r="A5840" s="19" t="n">
        <x:v>5837</x:v>
      </x:c>
      <x:c r="B5840" s="22" t="e">
        <x:f>HYPERLINK("https://cdn.shopify.com/s/files/1/0918/6066/4603/files/779a69b325563c09a36b4ca4e77126d5.jpg?v=1777799692","Open")</x:f>
        <x:v>HYPERLINK is not implemented. linkLocation=https://cdn.shopify.com/s/files/1/0918/6066/4603/files/779a69b325563c09a36b4ca4e77126d5.jpg?v=1777799692, friendlyName=Open</x:v>
      </x:c>
      <x:c r="C5840" s="24" t="e">
        <x:f>HYPERLINK("https://365nails.com/products/365nails-pink-black-lily-gradient-handmade-medium-stiletto-press-on-nails","365nails: ""Pink Black Lily Gradient"" – Handmade Medium Stiletto Press-On Nails")</x:f>
        <x:v>HYPERLINK is not implemented. linkLocation=https://365nails.com/products/365nails-pink-black-lily-gradient-handmade-medium-stiletto-press-on-nails, friendlyName=365nails: "Pink Black Lily Gradient" – Handmade Medium Stiletto Press-On Nails</x:v>
      </x:c>
      <x:c r="D5840" s="18" t="str">
        <x:v>Size: XS / S / M / L</x:v>
      </x:c>
      <x:c r="E5840" s="25" t="str">
        <x:v>$3.49</x:v>
      </x:c>
      <x:c r="F5840" s="19" t="str">
        <x:v>5</x:v>
      </x:c>
    </x:row>
    <x:row r="5841" ht="93" customHeight="1">
      <x:c r="A5841" s="19" t="n">
        <x:v>5838</x:v>
      </x:c>
      <x:c r="B5841" s="22" t="e">
        <x:f>HYPERLINK("https://cdn.shopify.com/s/files/1/0918/6066/4603/files/O1CN01QALRjI1HlX5HCbZP2__2545140798-0-cib_09501d59-16cb-4ab0-b8ae-767dafa7cf1a.jpg?v=1775460684","Open")</x:f>
        <x:v>HYPERLINK is not implemented. linkLocation=https://cdn.shopify.com/s/files/1/0918/6066/4603/files/O1CN01QALRjI1HlX5HCbZP2__2545140798-0-cib_09501d59-16cb-4ab0-b8ae-767dafa7cf1a.jpg?v=1775460684, friendlyName=Open</x:v>
      </x:c>
      <x:c r="C5841" s="24" t="e">
        <x:f>HYPERLINK("https://365nails.com/products/365nails-crystal-white-butterfly-handmade-press-on-nails","365nails: ""Crystal White Butterfly"" –Nail Art Stickers")</x:f>
        <x:v>HYPERLINK is not implemented. linkLocation=https://365nails.com/products/365nails-crystal-white-butterfly-handmade-press-on-nails, friendlyName=365nails: "Crystal White Butterfly" –Nail Art Stickers</x:v>
      </x:c>
      <x:c r="D5841" s="18" t="str">
        <x:v>Specification type: To4807-crystal diamond / To4808-crystal diamond</x:v>
      </x:c>
      <x:c r="E5841" s="25" t="str">
        <x:v>$1.30</x:v>
      </x:c>
      <x:c r="F5841" s="19" t="str">
        <x:v>5</x:v>
      </x:c>
    </x:row>
    <x:row r="5842" ht="93" customHeight="1">
      <x:c r="A5842" s="19" t="n">
        <x:v>5839</x:v>
      </x:c>
      <x:c r="B5842" s="22" t="e">
        <x:f>HYPERLINK("https://cdn.shopify.com/s/files/1/0918/6066/4603/files/88f15d8140a141cded9e51751b4b6221.jpg?v=1777780817","Open")</x:f>
        <x:v>HYPERLINK is not implemented. linkLocation=https://cdn.shopify.com/s/files/1/0918/6066/4603/files/88f15d8140a141cded9e51751b4b6221.jpg?v=1777780817, friendlyName=Open</x:v>
      </x:c>
      <x:c r="C5842" s="24" t="e">
        <x:f>HYPERLINK("https://365nails.com/products/365nails-white-bear-bow-flower-long-handmade-long-trapezoid-press-on-nails","365nails: ""White Bear Bow Flower Long"" – Handmade Long Trapezoid Press-On Nails")</x:f>
        <x:v>HYPERLINK is not implemented. linkLocation=https://365nails.com/products/365nails-white-bear-bow-flower-long-handmade-long-trapezoid-press-on-nails, friendlyName=365nails: "White Bear Bow Flower Long" – Handmade Long Trapezoid Press-On Nails</x:v>
      </x:c>
      <x:c r="D5842" s="18" t="str">
        <x:v>Size: XS / S / M / L</x:v>
      </x:c>
      <x:c r="E5842" s="25" t="str">
        <x:v>$4.49</x:v>
      </x:c>
      <x:c r="F5842" s="19" t="str">
        <x:v>5</x:v>
      </x:c>
    </x:row>
    <x:row r="5843" ht="93" customHeight="1">
      <x:c r="A5843" s="19" t="n">
        <x:v>5840</x:v>
      </x:c>
      <x:c r="B5843" s="22" t="e">
        <x:f>HYPERLINK("https://cdn.shopify.com/s/files/1/0918/6066/4603/files/35206ec193154d49398ab8e456256c16.jpg?v=1777785108","Open")</x:f>
        <x:v>HYPERLINK is not implemented. linkLocation=https://cdn.shopify.com/s/files/1/0918/6066/4603/files/35206ec193154d49398ab8e456256c16.jpg?v=1777785108, friendlyName=Open</x:v>
      </x:c>
      <x:c r="C5843" s="24" t="e">
        <x:f>HYPERLINK("https://365nails.com/products/365nails-pink-purple-bow-star-long-handmade-long-stiletto-press-on-nails","365nails: ""Pink Purple Bow Star Long"" – Handmade Long Stiletto Press-On Nails")</x:f>
        <x:v>HYPERLINK is not implemented. linkLocation=https://365nails.com/products/365nails-pink-purple-bow-star-long-handmade-long-stiletto-press-on-nails, friendlyName=365nails: "Pink Purple Bow Star Long" – Handmade Long Stiletto Press-On Nails</x:v>
      </x:c>
      <x:c r="D5843" s="18" t="str">
        <x:v>Size: XS / S / M / L</x:v>
      </x:c>
      <x:c r="E5843" s="25" t="str">
        <x:v>$4.49</x:v>
      </x:c>
      <x:c r="F5843" s="19" t="str">
        <x:v>5</x:v>
      </x:c>
    </x:row>
    <x:row r="5844" ht="93" customHeight="1">
      <x:c r="A5844" s="19" t="n">
        <x:v>5841</x:v>
      </x:c>
      <x:c r="B5844" s="22" t="e">
        <x:f>HYPERLINK("https://cdn.shopify.com/s/files/1/0918/6066/4603/files/436f4301cfbb1f85661047a5cd3dc570.jpg?v=1777780446","Open")</x:f>
        <x:v>HYPERLINK is not implemented. linkLocation=https://cdn.shopify.com/s/files/1/0918/6066/4603/files/436f4301cfbb1f85661047a5cd3dc570.jpg?v=1777780446, friendlyName=Open</x:v>
      </x:c>
      <x:c r="C5844" s="24" t="e">
        <x:f>HYPERLINK("https://365nails.com/products/365nails-pink-glitter-butterfly-long-handmade-long-stiletto-press-on-nails","365nails: ""Pink Glitter Butterfly Long"" – Handmade Long Stiletto Press-On Nails")</x:f>
        <x:v>HYPERLINK is not implemented. linkLocation=https://365nails.com/products/365nails-pink-glitter-butterfly-long-handmade-long-stiletto-press-on-nails, friendlyName=365nails: "Pink Glitter Butterfly Long" – Handmade Long Stiletto Press-On Nails</x:v>
      </x:c>
      <x:c r="D5844" s="18" t="str">
        <x:v>Size: XS / S / M / L</x:v>
      </x:c>
      <x:c r="E5844" s="25" t="str">
        <x:v>$4.49</x:v>
      </x:c>
      <x:c r="F5844" s="19" t="str">
        <x:v>5</x:v>
      </x:c>
    </x:row>
    <x:row r="5845" ht="93" customHeight="1">
      <x:c r="A5845" s="19" t="n">
        <x:v>5842</x:v>
      </x:c>
      <x:c r="B5845" s="22" t="e">
        <x:f>HYPERLINK("https://cdn.shopify.com/s/files/1/0918/6066/4603/files/O1CN01Vh40CU1HlX6QQzS62__2545140798-0-cib_d64afec5-8819-42ad-98f6-2098d59ae7dc.jpg?v=1775485016","Open")</x:f>
        <x:v>HYPERLINK is not implemented. linkLocation=https://cdn.shopify.com/s/files/1/0918/6066/4603/files/O1CN01Vh40CU1HlX6QQzS62__2545140798-0-cib_d64afec5-8819-42ad-98f6-2098d59ae7dc.jpg?v=1775485016, friendlyName=Open</x:v>
      </x:c>
      <x:c r="C5845" s="24" t="e">
        <x:f>HYPERLINK("https://365nails.com/products/365nails-y2k-multicolor-cross-handmade-press-on-nails","365nails: ""Y2K Multicolor Cross"" –Nail Art Stickers")</x:f>
        <x:v>HYPERLINK is not implemented. linkLocation=https://365nails.com/products/365nails-y2k-multicolor-cross-handmade-press-on-nails, friendlyName=365nails: "Y2K Multicolor Cross" –Nail Art Stickers</x:v>
      </x:c>
      <x:c r="D5845" s="18" t="str">
        <x:v>Specification type: To5027-relief / To5028-relief</x:v>
      </x:c>
      <x:c r="E5845" s="25" t="str">
        <x:v>$1.23</x:v>
      </x:c>
      <x:c r="F5845" s="19" t="str">
        <x:v>5</x:v>
      </x:c>
    </x:row>
    <x:row r="5846" ht="93" customHeight="1">
      <x:c r="A5846" s="19" t="n">
        <x:v>5843</x:v>
      </x:c>
      <x:c r="B5846" s="22" t="e">
        <x:f>HYPERLINK("https://cdn.shopify.com/s/files/1/0918/6066/4603/files/O1CN01C29SxZ1HlX1egCqTm__2545140798-0-cib_531840eb-c095-4241-92f6-f1cb05d8f5a9.jpg?v=1775452108","Open")</x:f>
        <x:v>HYPERLINK is not implemented. linkLocation=https://cdn.shopify.com/s/files/1/0918/6066/4603/files/O1CN01C29SxZ1HlX1egCqTm__2545140798-0-cib_531840eb-c095-4241-92f6-f1cb05d8f5a9.jpg?v=1775452108, friendlyName=Open</x:v>
      </x:c>
      <x:c r="C5846" s="24" t="e">
        <x:f>HYPERLINK("https://365nails.com/products/365nails-aurora-mermaid-tail-handmade-press-on-nail","365nails: ""Aurora Mermaid Tail""")</x:f>
        <x:v>HYPERLINK is not implemented. linkLocation=https://365nails.com/products/365nails-aurora-mermaid-tail-handmade-press-on-nail, friendlyName=365nails: "Aurora Mermaid Tail"</x:v>
      </x:c>
      <x:c r="D5846" s="18" t="str">
        <x:v>Specification type: Ms594-shell light</x:v>
      </x:c>
      <x:c r="E5846" s="25" t="str">
        <x:v>$1.23</x:v>
      </x:c>
      <x:c r="F5846" s="19" t="str">
        <x:v>5</x:v>
      </x:c>
    </x:row>
    <x:row r="5847" ht="93" customHeight="1">
      <x:c r="A5847" s="19" t="n">
        <x:v>5844</x:v>
      </x:c>
      <x:c r="B5847" s="22" t="e">
        <x:f>HYPERLINK("https://cdn.shopify.com/s/files/1/0918/6066/4603/files/ed65924aa9d663d4c50a48f161d77170.jpg?v=1777777190","Open")</x:f>
        <x:v>HYPERLINK is not implemented. linkLocation=https://cdn.shopify.com/s/files/1/0918/6066/4603/files/ed65924aa9d663d4c50a48f161d77170.jpg?v=1777777190, friendlyName=Open</x:v>
      </x:c>
      <x:c r="C5847" s="24" t="e">
        <x:f>HYPERLINK("https://365nails.com/products/365nails-lavender-ice-cream-bear-handmade-long-trapezoid-press-on-nails","365nails: ""Lavender Ice Cream Bear"" – Handmade Long Trapezoid Press-On Nails")</x:f>
        <x:v>HYPERLINK is not implemented. linkLocation=https://365nails.com/products/365nails-lavender-ice-cream-bear-handmade-long-trapezoid-press-on-nails, friendlyName=365nails: "Lavender Ice Cream Bear" – Handmade Long Trapezoid Press-On Nails</x:v>
      </x:c>
      <x:c r="D5847" s="18" t="str">
        <x:v>Size: XS / S / M / L</x:v>
      </x:c>
      <x:c r="E5847" s="25" t="str">
        <x:v>$4.49</x:v>
      </x:c>
      <x:c r="F5847" s="19" t="str">
        <x:v>5</x:v>
      </x:c>
    </x:row>
    <x:row r="5848" ht="93" customHeight="1">
      <x:c r="A5848" s="19" t="n">
        <x:v>5845</x:v>
      </x:c>
      <x:c r="B5848" s="22" t="e">
        <x:f>HYPERLINK("https://cdn.shopify.com/s/files/1/0918/6066/4603/files/eda652cdb194181a31629fcefce31b0c.jpg?v=1777792178","Open")</x:f>
        <x:v>HYPERLINK is not implemented. linkLocation=https://cdn.shopify.com/s/files/1/0918/6066/4603/files/eda652cdb194181a31629fcefce31b0c.jpg?v=1777792178, friendlyName=Open</x:v>
      </x:c>
      <x:c r="C5848" s="24" t="e">
        <x:f>HYPERLINK("https://365nails.com/products/365nails-green-pink-flower-butterfly-3d-handmade-medium-stiletto-press-on-nails","365nails: ""Green Pink Flower Butterfly 3D"" – Handmade Medium Stiletto Press-On Nails")</x:f>
        <x:v>HYPERLINK is not implemented. linkLocation=https://365nails.com/products/365nails-green-pink-flower-butterfly-3d-handmade-medium-stiletto-press-on-nails, friendlyName=365nails: "Green Pink Flower Butterfly 3D" – Handmade Medium Stiletto Press-On Nails</x:v>
      </x:c>
      <x:c r="D5848" s="18" t="str">
        <x:v>Size: XS / S / M / L</x:v>
      </x:c>
      <x:c r="E5848" s="25" t="str">
        <x:v>$3.49</x:v>
      </x:c>
      <x:c r="F5848" s="19" t="str">
        <x:v>5</x:v>
      </x:c>
    </x:row>
    <x:row r="5849" ht="93" customHeight="1">
      <x:c r="A5849" s="19" t="n">
        <x:v>5846</x:v>
      </x:c>
      <x:c r="B5849" s="22" t="e">
        <x:f>HYPERLINK("https://cdn.shopify.com/s/files/1/0918/6066/4603/files/a7f29bde2204c842bdf739410cbcfbe2.jpg?v=1777783052","Open")</x:f>
        <x:v>HYPERLINK is not implemented. linkLocation=https://cdn.shopify.com/s/files/1/0918/6066/4603/files/a7f29bde2204c842bdf739410cbcfbe2.jpg?v=1777783052, friendlyName=Open</x:v>
      </x:c>
      <x:c r="C5849" s="24" t="e">
        <x:f>HYPERLINK("https://365nails.com/products/365nails-white-pearl-heart-long-handmade-long-trapezoid-press-on-nails","365nails: ""White Pearl Heart Long"" – Handmade Long Trapezoid Press-On Nails")</x:f>
        <x:v>HYPERLINK is not implemented. linkLocation=https://365nails.com/products/365nails-white-pearl-heart-long-handmade-long-trapezoid-press-on-nails, friendlyName=365nails: "White Pearl Heart Long" – Handmade Long Trapezoid Press-On Nails</x:v>
      </x:c>
      <x:c r="D5849" s="18" t="str">
        <x:v>Size: XS / S / M / L</x:v>
      </x:c>
      <x:c r="E5849" s="25" t="str">
        <x:v>$4.49</x:v>
      </x:c>
      <x:c r="F5849" s="19" t="str">
        <x:v>5</x:v>
      </x:c>
    </x:row>
    <x:row r="5850" ht="93" customHeight="1">
      <x:c r="A5850" s="19" t="n">
        <x:v>5847</x:v>
      </x:c>
      <x:c r="B5850" s="22" t="e">
        <x:f>HYPERLINK("https://cdn.shopify.com/s/files/1/0918/6066/4603/files/99ab837de51d0fbd8f4b20519d4a16d8.jpg?v=1777809365","Open")</x:f>
        <x:v>HYPERLINK is not implemented. linkLocation=https://cdn.shopify.com/s/files/1/0918/6066/4603/files/99ab837de51d0fbd8f4b20519d4a16d8.jpg?v=1777809365, friendlyName=Open</x:v>
      </x:c>
      <x:c r="C5850" s="24" t="e">
        <x:f>HYPERLINK("https://365nails.com/products/365nails-pink-cherry-blossom-ombre-3d-flower-handmade-short-almond-press-on-nails","365nails: ""Pink Cherry Blossom Ombré"" – 3D Flower Handmade Short Almond Press-On Nails")</x:f>
        <x:v>HYPERLINK is not implemented. linkLocation=https://365nails.com/products/365nails-pink-cherry-blossom-ombre-3d-flower-handmade-short-almond-press-on-nails, friendlyName=365nails: "Pink Cherry Blossom Ombré" – 3D Flower Handmade Short Almond Press-On Nails</x:v>
      </x:c>
      <x:c r="D5850" s="18" t="str">
        <x:v>Size: XS / S / M / L</x:v>
      </x:c>
      <x:c r="E5850" s="25" t="str">
        <x:v>$2.99</x:v>
      </x:c>
      <x:c r="F5850" s="19" t="str">
        <x:v>5</x:v>
      </x:c>
    </x:row>
    <x:row r="5851" ht="93" customHeight="1">
      <x:c r="A5851" s="19" t="n">
        <x:v>5848</x:v>
      </x:c>
      <x:c r="B5851" s="22" t="e">
        <x:f>HYPERLINK("https://cdn.shopify.com/s/files/1/0918/6066/4603/files/61ce317a1da739ad98912560ae40e224.jpg?v=1776070326","Open")</x:f>
        <x:v>HYPERLINK is not implemented. linkLocation=https://cdn.shopify.com/s/files/1/0918/6066/4603/files/61ce317a1da739ad98912560ae40e224.jpg?v=1776070326, friendlyName=Open</x:v>
      </x:c>
      <x:c r="C5851" s="24" t="e">
        <x:f>HYPERLINK("https://365nails.com/products/365nails-i-love-me-lip-lingerie-short-handmade-short-trapezoid-press-on-nails","365nails: ""I Love Me Lip Lingerie Short"" – Handmade Short Trapezoid Press-On Nails")</x:f>
        <x:v>HYPERLINK is not implemented. linkLocation=https://365nails.com/products/365nails-i-love-me-lip-lingerie-short-handmade-short-trapezoid-press-on-nails, friendlyName=365nails: "I Love Me Lip Lingerie Short" – Handmade Short Trapezoid Press-On Nails</x:v>
      </x:c>
      <x:c r="D5851" s="18" t="str">
        <x:v>Size: XS / S / M / L</x:v>
      </x:c>
      <x:c r="E5851" s="25" t="str">
        <x:v>$4.49</x:v>
      </x:c>
      <x:c r="F5851" s="19" t="str">
        <x:v>5</x:v>
      </x:c>
    </x:row>
    <x:row r="5852" ht="93" customHeight="1">
      <x:c r="A5852" s="19" t="n">
        <x:v>5849</x:v>
      </x:c>
      <x:c r="B5852" s="22" t="e">
        <x:f>HYPERLINK("https://cdn.shopify.com/s/files/1/0918/6066/4603/files/924b3f35efd04a0154c84fd32be985e3.jpg?v=1777808381","Open")</x:f>
        <x:v>HYPERLINK is not implemented. linkLocation=https://cdn.shopify.com/s/files/1/0918/6066/4603/files/924b3f35efd04a0154c84fd32be985e3.jpg?v=1777808381, friendlyName=Open</x:v>
      </x:c>
      <x:c r="C5852" s="24" t="e">
        <x:f>HYPERLINK("https://365nails.com/products/365nails-cherry-bow-shimmer-handmade-medium-stiletto-press-on-nails","365nails: ""Cherry Bow Shimmer"" – Handmade Medium Stiletto Press-On Nails")</x:f>
        <x:v>HYPERLINK is not implemented. linkLocation=https://365nails.com/products/365nails-cherry-bow-shimmer-handmade-medium-stiletto-press-on-nails, friendlyName=365nails: "Cherry Bow Shimmer" – Handmade Medium Stiletto Press-On Nails</x:v>
      </x:c>
      <x:c r="D5852" s="18" t="str">
        <x:v>Size: XS / S / M / L</x:v>
      </x:c>
      <x:c r="E5852" s="25" t="str">
        <x:v>$2.99</x:v>
      </x:c>
      <x:c r="F5852" s="19" t="str">
        <x:v>5</x:v>
      </x:c>
    </x:row>
    <x:row r="5853" ht="93" customHeight="1">
      <x:c r="A5853" s="19" t="n">
        <x:v>5850</x:v>
      </x:c>
      <x:c r="B5853" s="22" t="e">
        <x:f>HYPERLINK("https://cdn.shopify.com/s/files/1/0918/6066/4603/files/O1CN01YhMGNo1HlX1o2SYGf__2545140798-0-cib_a1a2e415-eca5-48bd-be27-1fb64ba6be38.jpg?v=1775452310","Open")</x:f>
        <x:v>HYPERLINK is not implemented. linkLocation=https://cdn.shopify.com/s/files/1/0918/6066/4603/files/O1CN01YhMGNo1HlX1o2SYGf__2545140798-0-cib_a1a2e415-eca5-48bd-be27-1fb64ba6be38.jpg?v=1775452310, friendlyName=Open</x:v>
      </x:c>
      <x:c r="C5853" s="24" t="e">
        <x:f>HYPERLINK("https://365nails.com/products/365nails-aurora-seashell-cove-handmade-press-on-nails","365nails: ""Aurora Seashell Cove"" – Nail Art Stickers")</x:f>
        <x:v>HYPERLINK is not implemented. linkLocation=https://365nails.com/products/365nails-aurora-seashell-cove-handmade-press-on-nails, friendlyName=365nails: "Aurora Seashell Cove" – Nail Art Stickers</x:v>
      </x:c>
      <x:c r="D5853" s="18" t="str">
        <x:v>Specification type: To3978-shell light</x:v>
      </x:c>
      <x:c r="E5853" s="25" t="str">
        <x:v>$1.23</x:v>
      </x:c>
      <x:c r="F5853" s="19" t="str">
        <x:v>5</x:v>
      </x:c>
    </x:row>
    <x:row r="5854" ht="93" customHeight="1">
      <x:c r="A5854" s="19" t="n">
        <x:v>5851</x:v>
      </x:c>
      <x:c r="B5854" s="22" t="e">
        <x:f>HYPERLINK("https://cdn.shopify.com/s/files/1/0918/6066/4603/files/08bebab2f51f737e94c6302c4418a8a2.jpg?v=1776413002","Open")</x:f>
        <x:v>HYPERLINK is not implemented. linkLocation=https://cdn.shopify.com/s/files/1/0918/6066/4603/files/08bebab2f51f737e94c6302c4418a8a2.jpg?v=1776413002, friendlyName=Open</x:v>
      </x:c>
      <x:c r="C5854" s="24" t="e">
        <x:f>HYPERLINK("https://365nails.com/products/365nails-demon-slayer-douma-anime-handmade-medium-trapezoid-press-on-nails","365nails: ""Demon Slayer Douma Anime"" – Handmade Medium Trapezoid Press-On Nails")</x:f>
        <x:v>HYPERLINK is not implemented. linkLocation=https://365nails.com/products/365nails-demon-slayer-douma-anime-handmade-medium-trapezoid-press-on-nails, friendlyName=365nails: "Demon Slayer Douma Anime" – Handmade Medium Trapezoid Press-On Nails</x:v>
      </x:c>
      <x:c r="D5854" s="18" t="str">
        <x:v>Size: XS / S / M</x:v>
      </x:c>
      <x:c r="E5854" s="25" t="str">
        <x:v>$3.49</x:v>
      </x:c>
      <x:c r="F5854" s="19" t="str">
        <x:v>5</x:v>
      </x:c>
    </x:row>
    <x:row r="5855" ht="93" customHeight="1">
      <x:c r="A5855" s="19" t="n">
        <x:v>5852</x:v>
      </x:c>
      <x:c r="B5855" s="22" t="e">
        <x:f>HYPERLINK("https://cdn.shopify.com/s/files/1/0918/6066/4603/files/7211b749af899f4804f6f59bcb42b5fe.jpg?v=1777778435","Open")</x:f>
        <x:v>HYPERLINK is not implemented. linkLocation=https://cdn.shopify.com/s/files/1/0918/6066/4603/files/7211b749af899f4804f6f59bcb42b5fe.jpg?v=1777778435, friendlyName=Open</x:v>
      </x:c>
      <x:c r="C5855" s="24" t="e">
        <x:f>HYPERLINK("https://365nails.com/products/365nails-mermaid-tail-blue-handmade-long-stiletto-press-on-nails","365nails: ""Mermaid Tail Blue"" – Handmade Long Stiletto Press-On Nails")</x:f>
        <x:v>HYPERLINK is not implemented. linkLocation=https://365nails.com/products/365nails-mermaid-tail-blue-handmade-long-stiletto-press-on-nails, friendlyName=365nails: "Mermaid Tail Blue" – Handmade Long Stiletto Press-On Nails</x:v>
      </x:c>
      <x:c r="D5855" s="18" t="str">
        <x:v>Size: XS / S / M / L</x:v>
      </x:c>
      <x:c r="E5855" s="25" t="str">
        <x:v>$4.49</x:v>
      </x:c>
      <x:c r="F5855" s="19" t="str">
        <x:v>5</x:v>
      </x:c>
    </x:row>
    <x:row r="5856" ht="93" customHeight="1">
      <x:c r="A5856" s="19" t="n">
        <x:v>5853</x:v>
      </x:c>
      <x:c r="B5856" s="22" t="e">
        <x:f>HYPERLINK("https://cdn.shopify.com/s/files/1/0918/6066/4603/files/d5ef570f8f5a2888a2daddd12a47f536.jpg?v=1777800391","Open")</x:f>
        <x:v>HYPERLINK is not implemented. linkLocation=https://cdn.shopify.com/s/files/1/0918/6066/4603/files/d5ef570f8f5a2888a2daddd12a47f536.jpg?v=1777800391, friendlyName=Open</x:v>
      </x:c>
      <x:c r="C5856" s="24" t="e">
        <x:f>HYPERLINK("https://365nails.com/products/365nails-orange-green-lily-carrot-3d-mix-handmade-medium-stiletto-press-on-nails","365nails: ""Orange Green Lily Carrot 3D Mix"" – Handmade Medium Stiletto Press-On Nails")</x:f>
        <x:v>HYPERLINK is not implemented. linkLocation=https://365nails.com/products/365nails-orange-green-lily-carrot-3d-mix-handmade-medium-stiletto-press-on-nails, friendlyName=365nails: "Orange Green Lily Carrot 3D Mix" – Handmade Medium Stiletto Press-On Nails</x:v>
      </x:c>
      <x:c r="D5856" s="18" t="str">
        <x:v>Size: XS / S / M / L</x:v>
      </x:c>
      <x:c r="E5856" s="25" t="str">
        <x:v>$3.49</x:v>
      </x:c>
      <x:c r="F5856" s="19" t="str">
        <x:v>5</x:v>
      </x:c>
    </x:row>
    <x:row r="5857" ht="93" customHeight="1">
      <x:c r="A5857" s="19" t="n">
        <x:v>5854</x:v>
      </x:c>
      <x:c r="B5857" s="22" t="e">
        <x:f>HYPERLINK("https://cdn.shopify.com/s/files/1/0918/6066/4603/files/b2eb8cdc155855601fc6442e833bebc8.jpg?v=1776414515","Open")</x:f>
        <x:v>HYPERLINK is not implemented. linkLocation=https://cdn.shopify.com/s/files/1/0918/6066/4603/files/b2eb8cdc155855601fc6442e833bebc8.jpg?v=1776414515, friendlyName=Open</x:v>
      </x:c>
      <x:c r="C5857" s="24" t="e">
        <x:f>HYPERLINK("https://365nails.com/products/365nails-demon-slayer-shinobu-kocho-handmade-short-almond-press-on-nails","365nails: ""Demon Slayer Shinobu Kocho"" – Handmade Short Almond Press-On Nails")</x:f>
        <x:v>HYPERLINK is not implemented. linkLocation=https://365nails.com/products/365nails-demon-slayer-shinobu-kocho-handmade-short-almond-press-on-nails, friendlyName=365nails: "Demon Slayer Shinobu Kocho" – Handmade Short Almond Press-On Nails</x:v>
      </x:c>
      <x:c r="D5857" s="18" t="str">
        <x:v>Size: XS / S / M</x:v>
      </x:c>
      <x:c r="E5857" s="25" t="str">
        <x:v>$3.49</x:v>
      </x:c>
      <x:c r="F5857" s="19" t="str">
        <x:v>5</x:v>
      </x:c>
    </x:row>
    <x:row r="5858" ht="93" customHeight="1">
      <x:c r="A5858" s="19" t="n">
        <x:v>5855</x:v>
      </x:c>
      <x:c r="B5858" s="22" t="e">
        <x:f>HYPERLINK("https://cdn.shopify.com/s/files/1/0918/6066/4603/files/O1CN01R3hMEO1HlX7OSKZDX__2545140798-0-cib_b18a83a6-fd37-4bf8-9573-3229d33e41d3.jpg?v=1775485803","Open")</x:f>
        <x:v>HYPERLINK is not implemented. linkLocation=https://cdn.shopify.com/s/files/1/0918/6066/4603/files/O1CN01R3hMEO1HlX7OSKZDX__2545140798-0-cib_b18a83a6-fd37-4bf8-9573-3229d33e41d3.jpg?v=1775485803, friendlyName=Open</x:v>
      </x:c>
      <x:c r="C5858" s="24" t="e">
        <x:f>HYPERLINK("https://365nails.com/products/365nails-red-outline-heart-handmade-press-on-nails","365nails: ""Red Outline Heart"" –Nail Art Stickers")</x:f>
        <x:v>HYPERLINK is not implemented. linkLocation=https://365nails.com/products/365nails-red-outline-heart-handmade-press-on-nails, friendlyName=365nails: "Red Outline Heart" –Nail Art Stickers</x:v>
      </x:c>
      <x:c r="D5858" s="18" t="str">
        <x:v>Specification type: To318 / To342 / To353 / Tomoni 349 / To354 / To356 / To383-relief / To407 / To408 / To423 / To424 / To509 / To614-relief / To615-relief / To616 / To617 / To628 / To629 / To640 / To641 / To687-relief / To895-relief / To658 / To659 / To680 / To683 / To684 / To685 / To686 / To732 / To736-relief / To991-relief</x:v>
      </x:c>
      <x:c r="E5858" s="25" t="str">
        <x:v>$1.01</x:v>
      </x:c>
      <x:c r="F5858" s="19" t="str">
        <x:v>5</x:v>
      </x:c>
    </x:row>
    <x:row r="5859" ht="93" customHeight="1">
      <x:c r="A5859" s="19" t="n">
        <x:v>5856</x:v>
      </x:c>
      <x:c r="B5859" s="22" t="e">
        <x:f>HYPERLINK("https://cdn.shopify.com/s/files/1/0918/6066/4603/files/9ad1c78ae07c3e5bbe75020e43a9e910.jpg?v=1777779850","Open")</x:f>
        <x:v>HYPERLINK is not implemented. linkLocation=https://cdn.shopify.com/s/files/1/0918/6066/4603/files/9ad1c78ae07c3e5bbe75020e43a9e910.jpg?v=1777779850, friendlyName=Open</x:v>
      </x:c>
      <x:c r="C5859" s="24" t="e">
        <x:f>HYPERLINK("https://365nails.com/products/365nails-pink-white-butterfly-long-handmade-long-trapezoid-press-on-nails","365nails: ""Pink White Butterfly Long"" – Handmade Long Trapezoid Press-On Nails")</x:f>
        <x:v>HYPERLINK is not implemented. linkLocation=https://365nails.com/products/365nails-pink-white-butterfly-long-handmade-long-trapezoid-press-on-nails, friendlyName=365nails: "Pink White Butterfly Long" – Handmade Long Trapezoid Press-On Nails</x:v>
      </x:c>
      <x:c r="D5859" s="18" t="str">
        <x:v>Size: XS / S / M / L</x:v>
      </x:c>
      <x:c r="E5859" s="25" t="str">
        <x:v>$4.49</x:v>
      </x:c>
      <x:c r="F5859" s="19" t="str">
        <x:v>5</x:v>
      </x:c>
    </x:row>
    <x:row r="5860" ht="93" customHeight="1">
      <x:c r="A5860" s="19" t="n">
        <x:v>5857</x:v>
      </x:c>
      <x:c r="B5860" s="22" t="e">
        <x:f>HYPERLINK("https://cdn.shopify.com/s/files/1/0918/6066/4603/files/014c9e94734887061c5a36ccb628137b.jpg?v=1777785700","Open")</x:f>
        <x:v>HYPERLINK is not implemented. linkLocation=https://cdn.shopify.com/s/files/1/0918/6066/4603/files/014c9e94734887061c5a36ccb628137b.jpg?v=1777785700, friendlyName=Open</x:v>
      </x:c>
      <x:c r="C5860" s="24" t="e">
        <x:f>HYPERLINK("https://365nails.com/products/365nails-pink-black-bunny-star-flame-short-handmade-short-trapezoid-press-on-nails","365nails: ""Pink Black Bunny Star Flame Short"" – Handmade Short Trapezoid Press-On Nails")</x:f>
        <x:v>HYPERLINK is not implemented. linkLocation=https://365nails.com/products/365nails-pink-black-bunny-star-flame-short-handmade-short-trapezoid-press-on-nails, friendlyName=365nails: "Pink Black Bunny Star Flame Short" – Handmade Short Trapezoid Press-On Nails</x:v>
      </x:c>
      <x:c r="D5860" s="18" t="str">
        <x:v>Size: XS / S / M / L</x:v>
      </x:c>
      <x:c r="E5860" s="25" t="str">
        <x:v>$4.49</x:v>
      </x:c>
      <x:c r="F5860" s="19" t="str">
        <x:v>5</x:v>
      </x:c>
    </x:row>
    <x:row r="5861" ht="93" customHeight="1">
      <x:c r="A5861" s="19" t="n">
        <x:v>5858</x:v>
      </x:c>
      <x:c r="B5861" s="22" t="e">
        <x:f>HYPERLINK("https://cdn.shopify.com/s/files/1/0918/6066/4603/files/O1CN011NHMRI1HlX65Pd298__2545140798-0-cib_f3c7ddb8-6e0a-44a9-9e40-f2f30af6e385.jpg?v=1775484809","Open")</x:f>
        <x:v>HYPERLINK is not implemented. linkLocation=https://cdn.shopify.com/s/files/1/0918/6066/4603/files/O1CN011NHMRI1HlX65Pd298__2545140798-0-cib_f3c7ddb8-6e0a-44a9-9e40-f2f30af6e385.jpg?v=1775484809, friendlyName=Open</x:v>
      </x:c>
      <x:c r="C5861" s="24" t="e">
        <x:f>HYPERLINK("https://365nails.com/products/365nails-vintage-rose-bouquet-handmade-press-on-nails","365nails: ""Vintage Rose Bouquet"" –Nail Art Stickers")</x:f>
        <x:v>HYPERLINK is not implemented. linkLocation=https://365nails.com/products/365nails-vintage-rose-bouquet-handmade-press-on-nails, friendlyName=365nails: "Vintage Rose Bouquet" –Nail Art Stickers</x:v>
      </x:c>
      <x:c r="D5861" s="18" t="str">
        <x:v>Specification type: To4915-relief / To4928-relief</x:v>
      </x:c>
      <x:c r="E5861" s="25" t="str">
        <x:v>$1.23</x:v>
      </x:c>
      <x:c r="F5861" s="19" t="str">
        <x:v>5</x:v>
      </x:c>
    </x:row>
    <x:row r="5862" ht="93" customHeight="1">
      <x:c r="A5862" s="19" t="n">
        <x:v>5859</x:v>
      </x:c>
      <x:c r="B5862" s="22" t="e">
        <x:f>HYPERLINK("https://cdn.shopify.com/s/files/1/0918/6066/4603/files/1ddb111a2706d5ee16d7c6b5dfee0021.jpg?v=1777782508","Open")</x:f>
        <x:v>HYPERLINK is not implemented. linkLocation=https://cdn.shopify.com/s/files/1/0918/6066/4603/files/1ddb111a2706d5ee16d7c6b5dfee0021.jpg?v=1777782508, friendlyName=Open</x:v>
      </x:c>
      <x:c r="C5862" s="24" t="e">
        <x:f>HYPERLINK("https://365nails.com/products/365nails-mint-green-strawberry-cherry-long-handmade-long-stiletto-press-on-nails","365nails: ""Mint Green Strawberry Cherry Long"" – Handmade Long Stiletto Press-On Nails")</x:f>
        <x:v>HYPERLINK is not implemented. linkLocation=https://365nails.com/products/365nails-mint-green-strawberry-cherry-long-handmade-long-stiletto-press-on-nails, friendlyName=365nails: "Mint Green Strawberry Cherry Long" – Handmade Long Stiletto Press-On Nails</x:v>
      </x:c>
      <x:c r="D5862" s="18" t="str">
        <x:v>Size: XS / S / M / L</x:v>
      </x:c>
      <x:c r="E5862" s="25" t="str">
        <x:v>$4.49</x:v>
      </x:c>
      <x:c r="F5862" s="19" t="str">
        <x:v>5</x:v>
      </x:c>
    </x:row>
    <x:row r="5863" ht="93" customHeight="1">
      <x:c r="A5863" s="19" t="n">
        <x:v>5860</x:v>
      </x:c>
      <x:c r="B5863" s="22" t="e">
        <x:f>HYPERLINK("https://cdn.shopify.com/s/files/1/0918/6066/4603/files/O1CN01y9ghIx1HlX6QD7CHh__2545140798-0-cib_a62744ae-cdf6-49ca-b110-86ae1aee813a.jpg?v=1775486283","Open")</x:f>
        <x:v>HYPERLINK is not implemented. linkLocation=https://cdn.shopify.com/s/files/1/0918/6066/4603/files/O1CN01y9ghIx1HlX6QD7CHh__2545140798-0-cib_a62744ae-cdf6-49ca-b110-86ae1aee813a.jpg?v=1775486283, friendlyName=Open</x:v>
      </x:c>
      <x:c r="C5863" s="24" t="e">
        <x:f>HYPERLINK("https://365nails.com/products/365nails-gold-foil-bow-star-handmade-press-on-nails","365nails: ""Gold Foil Bow &amp; Star"" –Nail Art Stickers")</x:f>
        <x:v>HYPERLINK is not implemented. linkLocation=https://365nails.com/products/365nails-gold-foil-bow-star-handmade-press-on-nails, friendlyName=365nails: "Gold Foil Bow &amp; Star" –Nail Art Stickers</x:v>
      </x:c>
      <x:c r="D5863" s="18" t="str">
        <x:v>Specification type: To4559-new hot stamping / To4559-silver / To4559-purple gold</x:v>
      </x:c>
      <x:c r="E5863" s="25" t="str">
        <x:v>$1.23</x:v>
      </x:c>
      <x:c r="F5863" s="19" t="str">
        <x:v>5</x:v>
      </x:c>
    </x:row>
    <x:row r="5864" ht="93" customHeight="1">
      <x:c r="A5864" s="19" t="n">
        <x:v>5861</x:v>
      </x:c>
      <x:c r="B5864" s="22" t="e">
        <x:f>HYPERLINK("https://cdn.shopify.com/s/files/1/0918/6066/4603/files/O1CN01IdqkTW1HlWjf9LMgl__2545140798-0-cib.jpg?v=1776578964","Open")</x:f>
        <x:v>HYPERLINK is not implemented. linkLocation=https://cdn.shopify.com/s/files/1/0918/6066/4603/files/O1CN01IdqkTW1HlWjf9LMgl__2545140798-0-cib.jpg?v=1776578964, friendlyName=Open</x:v>
      </x:c>
      <x:c r="C5864" s="24" t="e">
        <x:f>HYPERLINK("https://365nails.com/products/365nails-colorful-smiley-daisy-nail-art-stickers","365nails: ""Colorful Smiley &amp; Daisy"" – nail art stickers")</x:f>
        <x:v>HYPERLINK is not implemented. linkLocation=https://365nails.com/products/365nails-colorful-smiley-daisy-nail-art-stickers, friendlyName=365nails: "Colorful Smiley &amp; Daisy" – nail art stickers</x:v>
      </x:c>
      <x:c r="D5864" s="18" t="str">
        <x:v>Specification type: Tomon470 / Tomon483 / Tomon490</x:v>
      </x:c>
      <x:c r="E5864" s="25" t="str">
        <x:v>$1.23</x:v>
      </x:c>
      <x:c r="F5864" s="19" t="str">
        <x:v>5</x:v>
      </x:c>
    </x:row>
    <x:row r="5865" ht="93" customHeight="1">
      <x:c r="A5865" s="19" t="n">
        <x:v>5862</x:v>
      </x:c>
      <x:c r="B5865" s="22" t="e">
        <x:f>HYPERLINK("https://cdn.shopify.com/s/files/1/0918/6066/4603/files/O1CN019Yywgk1HlX6EUi0De__2545140798-0-cib_598b0a8d-6bcd-4618-9522-c22cbc5a31de.jpg?v=1775484875","Open")</x:f>
        <x:v>HYPERLINK is not implemented. linkLocation=https://cdn.shopify.com/s/files/1/0918/6066/4603/files/O1CN019Yywgk1HlX6EUi0De__2545140798-0-cib_598b0a8d-6bcd-4618-9522-c22cbc5a31de.jpg?v=1775484875, friendlyName=Open</x:v>
      </x:c>
      <x:c r="C5865" s="24" t="e">
        <x:f>HYPERLINK("https://365nails.com/products/365nails-lunar-white-butterfly-silhouette-handmade-press-on-nails","365nails: ""Lunar White Butterfly Silhouette"" –Nail Art Stickers")</x:f>
        <x:v>HYPERLINK is not implemented. linkLocation=https://365nails.com/products/365nails-lunar-white-butterfly-silhouette-handmade-press-on-nails, friendlyName=365nails: "Lunar White Butterfly Silhouette" –Nail Art Stickers</x:v>
      </x:c>
      <x:c r="D5865" s="18" t="str">
        <x:v>Specification type: To4923 / To4931</x:v>
      </x:c>
      <x:c r="E5865" s="25" t="str">
        <x:v>$1.09</x:v>
      </x:c>
      <x:c r="F5865" s="19" t="str">
        <x:v>5</x:v>
      </x:c>
    </x:row>
    <x:row r="5866" ht="93" customHeight="1">
      <x:c r="A5866" s="19" t="n">
        <x:v>5863</x:v>
      </x:c>
      <x:c r="B5866" s="22" t="e">
        <x:f>HYPERLINK("https://cdn.shopify.com/s/files/1/0918/6066/4603/files/O1CN01bDeLfg1HlX5x4d63V__2545140798-0-cib_c64beee6-df54-4353-adf3-17f460c2437d.jpg?v=1775479484","Open")</x:f>
        <x:v>HYPERLINK is not implemented. linkLocation=https://cdn.shopify.com/s/files/1/0918/6066/4603/files/O1CN01bDeLfg1HlX5x4d63V__2545140798-0-cib_c64beee6-df54-4353-adf3-17f460c2437d.jpg?v=1775479484, friendlyName=Open</x:v>
      </x:c>
      <x:c r="C5866" s="24" t="e">
        <x:f>HYPERLINK("https://365nails.com/products/365nails-lavender-crystal-butterfly-handmade-press-on-nails","365nails: ""Lavender Crystal Butterfly"" –Nail Art Stickers")</x:f>
        <x:v>HYPERLINK is not implemented. linkLocation=https://365nails.com/products/365nails-lavender-crystal-butterfly-handmade-press-on-nails, friendlyName=365nails: "Lavender Crystal Butterfly" –Nail Art Stickers</x:v>
      </x:c>
      <x:c r="D5866" s="18" t="str">
        <x:v>Specification type: Ms775-crystal diamond / Ms776-crystal diamond / Ms775-1-crystal diamond</x:v>
      </x:c>
      <x:c r="E5866" s="25" t="str">
        <x:v>$1.30</x:v>
      </x:c>
      <x:c r="F5866" s="19" t="str">
        <x:v>5</x:v>
      </x:c>
    </x:row>
    <x:row r="5867" ht="93" customHeight="1">
      <x:c r="A5867" s="19" t="n">
        <x:v>5864</x:v>
      </x:c>
      <x:c r="B5867" s="22" t="e">
        <x:f>HYPERLINK("https://cdn.shopify.com/s/files/1/0918/6066/4603/files/4ce41d28b3ddf1c42b52b6b8bb62296e.jpg?v=1776412528","Open")</x:f>
        <x:v>HYPERLINK is not implemented. linkLocation=https://cdn.shopify.com/s/files/1/0918/6066/4603/files/4ce41d28b3ddf1c42b52b6b8bb62296e.jpg?v=1776412528, friendlyName=Open</x:v>
      </x:c>
      <x:c r="C5867" s="24" t="e">
        <x:f>HYPERLINK("https://365nails.com/products/365nails-purple-anime-butterfly-handmade-medium-trapezoid-press-on-nails","365nails: ""Purple Anime Butterfly"" – Handmade Medium Trapezoid Press-On Nails")</x:f>
        <x:v>HYPERLINK is not implemented. linkLocation=https://365nails.com/products/365nails-purple-anime-butterfly-handmade-medium-trapezoid-press-on-nails, friendlyName=365nails: "Purple Anime Butterfly" – Handmade Medium Trapezoid Press-On Nails</x:v>
      </x:c>
      <x:c r="D5867" s="18" t="str">
        <x:v>Size: XS / S / M</x:v>
      </x:c>
      <x:c r="E5867" s="25" t="str">
        <x:v>$3.49</x:v>
      </x:c>
      <x:c r="F5867" s="19" t="str">
        <x:v>5</x:v>
      </x:c>
    </x:row>
    <x:row r="5868" ht="93" customHeight="1">
      <x:c r="A5868" s="19" t="n">
        <x:v>5865</x:v>
      </x:c>
      <x:c r="B5868" s="22" t="e">
        <x:f>HYPERLINK("https://cdn.shopify.com/s/files/1/0918/6066/4603/files/O1CN01O8Hfc81HlWqHiDgbm__2545140798-0-cib.jpg?v=1776579059","Open")</x:f>
        <x:v>HYPERLINK is not implemented. linkLocation=https://cdn.shopify.com/s/files/1/0918/6066/4603/files/O1CN01O8Hfc81HlWqHiDgbm__2545140798-0-cib.jpg?v=1776579059, friendlyName=Open</x:v>
      </x:c>
      <x:c r="C5868" s="24" t="e">
        <x:f>HYPERLINK("https://365nails.com/products/365nails-bright-smiley-heart-nail-art-stickers","365nails: ""Bright Smiley &amp; Heart"" – nail art stickers")</x:f>
        <x:v>HYPERLINK is not implemented. linkLocation=https://365nails.com/products/365nails-bright-smiley-heart-nail-art-stickers, friendlyName=365nails: "Bright Smiley &amp; Heart" – nail art stickers</x:v>
      </x:c>
      <x:c r="D5868" s="18" t="str">
        <x:v>Specification type: To1210 / To1263 / To1243 / To1268 / To1212</x:v>
      </x:c>
      <x:c r="E5868" s="25" t="str">
        <x:v>$1.23</x:v>
      </x:c>
      <x:c r="F5868" s="19" t="str">
        <x:v>5</x:v>
      </x:c>
    </x:row>
    <x:row r="5869" ht="93" customHeight="1">
      <x:c r="A5869" s="19" t="n">
        <x:v>5866</x:v>
      </x:c>
      <x:c r="B5869" s="22" t="e">
        <x:f>HYPERLINK("https://cdn.shopify.com/s/files/1/0918/6066/4603/files/5fe514bd6d9b7b431e5d16a46162d82d.jpg?v=1777808674","Open")</x:f>
        <x:v>HYPERLINK is not implemented. linkLocation=https://cdn.shopify.com/s/files/1/0918/6066/4603/files/5fe514bd6d9b7b431e5d16a46162d82d.jpg?v=1777808674, friendlyName=Open</x:v>
      </x:c>
      <x:c r="C5869" s="24" t="e">
        <x:f>HYPERLINK("https://365nails.com/products/365nails-sunny-daisy-grid-3d-flower-handmade-short-oval-press-on-nails","365nails: ""Sunny Daisy Grid"" – 3D Flower Handmade Short Oval Press-On Nails")</x:f>
        <x:v>HYPERLINK is not implemented. linkLocation=https://365nails.com/products/365nails-sunny-daisy-grid-3d-flower-handmade-short-oval-press-on-nails, friendlyName=365nails: "Sunny Daisy Grid" – 3D Flower Handmade Short Oval Press-On Nails</x:v>
      </x:c>
      <x:c r="D5869" s="18" t="str">
        <x:v>Size: XS / S / M / L</x:v>
      </x:c>
      <x:c r="E5869" s="25" t="str">
        <x:v>$2.99</x:v>
      </x:c>
      <x:c r="F5869" s="19" t="str">
        <x:v>5</x:v>
      </x:c>
    </x:row>
    <x:row r="5870" ht="93" customHeight="1">
      <x:c r="A5870" s="19" t="n">
        <x:v>5867</x:v>
      </x:c>
      <x:c r="B5870" s="22" t="e">
        <x:f>HYPERLINK("https://cdn.shopify.com/s/files/1/0918/6066/4603/files/8bce3572dc1dde744cbeb4e8ee57c944.jpg?v=1777776133","Open")</x:f>
        <x:v>HYPERLINK is not implemented. linkLocation=https://cdn.shopify.com/s/files/1/0918/6066/4603/files/8bce3572dc1dde744cbeb4e8ee57c944.jpg?v=1777776133, friendlyName=Open</x:v>
      </x:c>
      <x:c r="C5870" s="24" t="e">
        <x:f>HYPERLINK("https://365nails.com/products/365nails-pink-black-y2k-cross-handmade-short-trapezoid-press-on-nails","365nails: ""Pink Black Y2K Cross"" – Handmade Short Trapezoid Press-On Nails")</x:f>
        <x:v>HYPERLINK is not implemented. linkLocation=https://365nails.com/products/365nails-pink-black-y2k-cross-handmade-short-trapezoid-press-on-nails, friendlyName=365nails: "Pink Black Y2K Cross" – Handmade Short Trapezoid Press-On Nails</x:v>
      </x:c>
      <x:c r="D5870" s="18" t="str">
        <x:v>Size: XS / S / M / L</x:v>
      </x:c>
      <x:c r="E5870" s="25" t="str">
        <x:v>$5.99</x:v>
      </x:c>
      <x:c r="F5870" s="19" t="str">
        <x:v>5</x:v>
      </x:c>
    </x:row>
    <x:row r="5871" ht="93" customHeight="1">
      <x:c r="A5871" s="19" t="n">
        <x:v>5868</x:v>
      </x:c>
      <x:c r="B5871" s="22" t="e">
        <x:f>HYPERLINK("https://cdn.shopify.com/s/files/1/0918/6066/4603/files/O1CN01c1CS3m1HlX6hwNTf7__2545140798-0-cib_e39f767d-e7be-42b4-ab85-fe1196d157cf.jpg?v=1775486563","Open")</x:f>
        <x:v>HYPERLINK is not implemented. linkLocation=https://cdn.shopify.com/s/files/1/0918/6066/4603/files/O1CN01c1CS3m1HlX6hwNTf7__2545140798-0-cib_e39f767d-e7be-42b4-ab85-fe1196d157cf.jpg?v=1775486563, friendlyName=Open</x:v>
      </x:c>
      <x:c r="C5871" s="24" t="e">
        <x:f>HYPERLINK("https://365nails.com/products/365nails-mickey-friends-character-handmade-press-on-nails","365nails: ""Mickey &amp; Friends Character"" –Nail Art Stickers")</x:f>
        <x:v>HYPERLINK is not implemented. linkLocation=https://365nails.com/products/365nails-mickey-friends-character-handmade-press-on-nails, friendlyName=365nails: "Mickey &amp; Friends Character" –Nail Art Stickers</x:v>
      </x:c>
      <x:c r="D5871" s="18" t="str">
        <x:v>Specification type: Td008m-relief</x:v>
      </x:c>
      <x:c r="E5871" s="25" t="str">
        <x:v>$1.23</x:v>
      </x:c>
      <x:c r="F5871" s="19" t="str">
        <x:v>5</x:v>
      </x:c>
    </x:row>
    <x:row r="5872" ht="93" customHeight="1">
      <x:c r="A5872" s="19" t="n">
        <x:v>5869</x:v>
      </x:c>
      <x:c r="B5872" s="22" t="e">
        <x:f>HYPERLINK("https://cdn.shopify.com/s/files/1/0918/6066/4603/files/40b0237ea7f7395a8ef07a6a1a5c1fcd.jpg?v=1777808795","Open")</x:f>
        <x:v>HYPERLINK is not implemented. linkLocation=https://cdn.shopify.com/s/files/1/0918/6066/4603/files/40b0237ea7f7395a8ef07a6a1a5c1fcd.jpg?v=1777808795, friendlyName=Open</x:v>
      </x:c>
      <x:c r="C5872" s="24" t="e">
        <x:f>HYPERLINK("https://365nails.com/products/365nails-cherry-blossom-french-3d-flower-handmade-short-oval-press-on-nails","365nails: ""Cherry Blossom French"" – 3D Flower Handmade Short Oval Press-On Nails")</x:f>
        <x:v>HYPERLINK is not implemented. linkLocation=https://365nails.com/products/365nails-cherry-blossom-french-3d-flower-handmade-short-oval-press-on-nails, friendlyName=365nails: "Cherry Blossom French" – 3D Flower Handmade Short Oval Press-On Nails</x:v>
      </x:c>
      <x:c r="D5872" s="18" t="str">
        <x:v>Size: XS / S / M / L</x:v>
      </x:c>
      <x:c r="E5872" s="25" t="str">
        <x:v>$2.99</x:v>
      </x:c>
      <x:c r="F5872" s="19" t="str">
        <x:v>5</x:v>
      </x:c>
    </x:row>
    <x:row r="5873" ht="93" customHeight="1">
      <x:c r="A5873" s="19" t="n">
        <x:v>5870</x:v>
      </x:c>
      <x:c r="B5873" s="22" t="e">
        <x:f>HYPERLINK("https://cdn.shopify.com/s/files/1/0918/6066/4603/files/O1CN01HV1vvz1HlWxI0SYeg__2545140798-0-cib.jpg?v=1776583883","Open")</x:f>
        <x:v>HYPERLINK is not implemented. linkLocation=https://cdn.shopify.com/s/files/1/0918/6066/4603/files/O1CN01HV1vvz1HlWxI0SYeg__2545140798-0-cib.jpg?v=1776583883, friendlyName=Open</x:v>
      </x:c>
      <x:c r="C5873" s="24" t="e">
        <x:f>HYPERLINK("https://365nails.com/products/365nails-fast-food-bear-party-nail-art-stickers","365nails: ""Fast Food Bear Party"" – nail art stickers")</x:f>
        <x:v>HYPERLINK is not implemented. linkLocation=https://365nails.com/products/365nails-fast-food-bear-party-nail-art-stickers, friendlyName=365nails: "Fast Food Bear Party" – nail art stickers</x:v>
      </x:c>
      <x:c r="D5873" s="18" t="str">
        <x:v>Specification type: To3444 / To3478</x:v>
      </x:c>
      <x:c r="E5873" s="25" t="str">
        <x:v>$1.23</x:v>
      </x:c>
      <x:c r="F5873" s="19" t="str">
        <x:v>5</x:v>
      </x:c>
    </x:row>
    <x:row r="5874" ht="93" customHeight="1">
      <x:c r="A5874" s="19" t="n">
        <x:v>5871</x:v>
      </x:c>
      <x:c r="B5874" s="22" t="e">
        <x:f>HYPERLINK("https://cdn.shopify.com/s/files/1/0918/6066/4603/files/O1CN01j2bVMq1HlX6D8XOh8__2545140798-0-cib_f7695a50-aeda-417d-a9a2-c7986d968911.jpg?v=1775484940","Open")</x:f>
        <x:v>HYPERLINK is not implemented. linkLocation=https://cdn.shopify.com/s/files/1/0918/6066/4603/files/O1CN01j2bVMq1HlX6D8XOh8__2545140798-0-cib_f7695a50-aeda-417d-a9a2-c7986d968911.jpg?v=1775484940, friendlyName=Open</x:v>
      </x:c>
      <x:c r="C5874" s="24" t="e">
        <x:f>HYPERLINK("https://365nails.com/products/365nails-pastel-watercolor-petal-handmade-press-on-nails","365nails: ""Pastel Watercolor Petal"" –Nail Art Stickers")</x:f>
        <x:v>HYPERLINK is not implemented. linkLocation=https://365nails.com/products/365nails-pastel-watercolor-petal-handmade-press-on-nails, friendlyName=365nails: "Pastel Watercolor Petal" –Nail Art Stickers</x:v>
      </x:c>
      <x:c r="D5874" s="18" t="str">
        <x:v>Specification type: To5026-metal</x:v>
      </x:c>
      <x:c r="E5874" s="25" t="str">
        <x:v>$1.23</x:v>
      </x:c>
      <x:c r="F5874" s="19" t="str">
        <x:v>5</x:v>
      </x:c>
    </x:row>
    <x:row r="5875" ht="93" customHeight="1">
      <x:c r="A5875" s="19" t="n">
        <x:v>5872</x:v>
      </x:c>
      <x:c r="B5875" s="22" t="e">
        <x:f>HYPERLINK("https://cdn.shopify.com/s/files/1/0918/6066/4603/files/O1CN01hkDoCq1HlX59gaxhA__2545140798-0-cib.jpg?v=1776582117","Open")</x:f>
        <x:v>HYPERLINK is not implemented. linkLocation=https://cdn.shopify.com/s/files/1/0918/6066/4603/files/O1CN01hkDoCq1HlX59gaxhA__2545140798-0-cib.jpg?v=1776582117, friendlyName=Open</x:v>
      </x:c>
      <x:c r="C5875" s="24" t="e">
        <x:f>HYPERLINK("https://365nails.com/products/365nails-cute-3d-bunny-ear-with-eyes-nail-art-stickers","365nails: ""Cute 3D Bunny Ear with Eyes"" – nail art stickers")</x:f>
        <x:v>HYPERLINK is not implemented. linkLocation=https://365nails.com/products/365nails-cute-3d-bunny-ear-with-eyes-nail-art-stickers, friendlyName=365nails: "Cute 3D Bunny Ear with Eyes" – nail art stickers</x:v>
      </x:c>
      <x:c r="D5875" s="18" t="str">
        <x:v>Specification type: To4845-1-crystal diamond / To4845-crystal diamond</x:v>
      </x:c>
      <x:c r="E5875" s="25" t="str">
        <x:v>$1.30</x:v>
      </x:c>
      <x:c r="F5875" s="19" t="str">
        <x:v>5</x:v>
      </x:c>
    </x:row>
    <x:row r="5876" ht="93" customHeight="1">
      <x:c r="A5876" s="19" t="n">
        <x:v>5873</x:v>
      </x:c>
      <x:c r="B5876" s="22" t="e">
        <x:f>HYPERLINK("https://cdn.shopify.com/s/files/1/0918/6066/4603/files/O1CN01isbT3p1HlX9yCWUBj__2545140798-0-cib.jpg?v=1776585704","Open")</x:f>
        <x:v>HYPERLINK is not implemented. linkLocation=https://cdn.shopify.com/s/files/1/0918/6066/4603/files/O1CN01isbT3p1HlX9yCWUBj__2545140798-0-cib.jpg?v=1776585704, friendlyName=Open</x:v>
      </x:c>
      <x:c r="C5876" s="24" t="e">
        <x:f>HYPERLINK("https://365nails.com/products/365nails-gothic-bat-cross-nail-art-stickers","365nails: ""Gothic Bat &amp; Cross"" – nail art stickers")</x:f>
        <x:v>HYPERLINK is not implemented. linkLocation=https://365nails.com/products/365nails-gothic-bat-cross-nail-art-stickers, friendlyName=365nails: "Gothic Bat &amp; Cross" – nail art stickers</x:v>
      </x:c>
      <x:c r="D5876" s="18" t="str">
        <x:v>Specification type: To5448-shell light / To5449-metal</x:v>
      </x:c>
      <x:c r="E5876" s="25" t="str">
        <x:v>$1.23</x:v>
      </x:c>
      <x:c r="F5876" s="19" t="str">
        <x:v>5</x:v>
      </x:c>
    </x:row>
    <x:row r="5877" ht="93" customHeight="1">
      <x:c r="A5877" s="19" t="n">
        <x:v>5874</x:v>
      </x:c>
      <x:c r="B5877" s="22" t="e">
        <x:f>HYPERLINK("https://cdn.shopify.com/s/files/1/0918/6066/4603/files/O1CN01IMSSTV1HlX2BqgEUV__2545140798-0-cib.jpg?v=1776581326","Open")</x:f>
        <x:v>HYPERLINK is not implemented. linkLocation=https://cdn.shopify.com/s/files/1/0918/6066/4603/files/O1CN01IMSSTV1HlX2BqgEUV__2545140798-0-cib.jpg?v=1776581326, friendlyName=Open</x:v>
      </x:c>
      <x:c r="C5877" s="24" t="e">
        <x:f>HYPERLINK("https://365nails.com/products/365nails-iridescent-white-butterfly-nail-art-stickers-1","365nails: ""Iridescent White Butterfly"" – nail art stickers")</x:f>
        <x:v>HYPERLINK is not implemented. linkLocation=https://365nails.com/products/365nails-iridescent-white-butterfly-nail-art-stickers-1, friendlyName=365nails: "Iridescent White Butterfly" – nail art stickers</x:v>
      </x:c>
      <x:c r="D5877" s="18" t="str">
        <x:v>Specification type: To4249-crystal diamond / To4252-crystal diamond</x:v>
      </x:c>
      <x:c r="E5877" s="25" t="str">
        <x:v>$1.30</x:v>
      </x:c>
      <x:c r="F5877" s="19" t="str">
        <x:v>5</x:v>
      </x:c>
    </x:row>
    <x:row r="5878" ht="93" customHeight="1">
      <x:c r="A5878" s="19" t="n">
        <x:v>5875</x:v>
      </x:c>
      <x:c r="B5878" s="22" t="e">
        <x:f>HYPERLINK("https://cdn.shopify.com/s/files/1/0918/6066/4603/files/O1CN01t2OcBP1HlX3uHyTEQ__2545140798-0-cib.jpg?v=1776581757","Open")</x:f>
        <x:v>HYPERLINK is not implemented. linkLocation=https://cdn.shopify.com/s/files/1/0918/6066/4603/files/O1CN01t2OcBP1HlX3uHyTEQ__2545140798-0-cib.jpg?v=1776581757, friendlyName=Open</x:v>
      </x:c>
      <x:c r="C5878" s="24" t="e">
        <x:f>HYPERLINK("https://365nails.com/products/365nails-pastel-argyle-bow-nail-art-stickers","365nails: ""Pastel Argyle Bow"" – nail art stickers")</x:f>
        <x:v>HYPERLINK is not implemented. linkLocation=https://365nails.com/products/365nails-pastel-argyle-bow-nail-art-stickers, friendlyName=365nails: "Pastel Argyle Bow" – nail art stickers</x:v>
      </x:c>
      <x:c r="D5878" s="18" t="str">
        <x:v>Specification type: To4548 / To4565 / To4566</x:v>
      </x:c>
      <x:c r="E5878" s="25" t="str">
        <x:v>$1.09</x:v>
      </x:c>
      <x:c r="F5878" s="19" t="str">
        <x:v>5</x:v>
      </x:c>
    </x:row>
    <x:row r="5879" ht="93" customHeight="1">
      <x:c r="A5879" s="19" t="n">
        <x:v>5876</x:v>
      </x:c>
      <x:c r="B5879" s="22" t="e">
        <x:f>HYPERLINK("https://cdn.shopify.com/s/files/1/0918/6066/4603/files/O1CN01eulte81HlX5zMgUoz__2545140798-0-cib_b338e67d-fc47-4c14-93f2-fd1bd199673e.jpg?v=1775479629","Open")</x:f>
        <x:v>HYPERLINK is not implemented. linkLocation=https://cdn.shopify.com/s/files/1/0918/6066/4603/files/O1CN01eulte81HlX5zMgUoz__2545140798-0-cib_b338e67d-fc47-4c14-93f2-fd1bd199673e.jpg?v=1775479629, friendlyName=Open</x:v>
      </x:c>
      <x:c r="C5879" s="24" t="e">
        <x:f>HYPERLINK("https://365nails.com/products/365nails-dreamy-pastel-butterfly-handmade-press-on-nails","365nails: ""Dreamy Pastel Butterfly"" –Nail Art Stickers")</x:f>
        <x:v>HYPERLINK is not implemented. linkLocation=https://365nails.com/products/365nails-dreamy-pastel-butterfly-handmade-press-on-nails, friendlyName=365nails: "Dreamy Pastel Butterfly" –Nail Art Stickers</x:v>
      </x:c>
      <x:c r="D5879" s="18" t="str">
        <x:v>Specification type: To4960-metal</x:v>
      </x:c>
      <x:c r="E5879" s="25" t="str">
        <x:v>$1.23</x:v>
      </x:c>
      <x:c r="F5879" s="19" t="str">
        <x:v>5</x:v>
      </x:c>
    </x:row>
    <x:row r="5880" ht="93" customHeight="1">
      <x:c r="A5880" s="19" t="n">
        <x:v>5877</x:v>
      </x:c>
      <x:c r="B5880" s="22" t="e">
        <x:f>HYPERLINK("https://cdn.shopify.com/s/files/1/0918/6066/4603/files/O1CN01ZC7Thf1HlWtd8x54G__2545140798-0-cib.jpg?v=1776581081","Open")</x:f>
        <x:v>HYPERLINK is not implemented. linkLocation=https://cdn.shopify.com/s/files/1/0918/6066/4603/files/O1CN01ZC7Thf1HlWtd8x54G__2545140798-0-cib.jpg?v=1776581081, friendlyName=Open</x:v>
      </x:c>
      <x:c r="C5880" s="24" t="e">
        <x:f>HYPERLINK("https://365nails.com/products/365nails-romantic-pink-peony-rose-nail-art-stickers","365nails: ""Romantic Pink Peony &amp; Rose"" – nail art stickers")</x:f>
        <x:v>HYPERLINK is not implemented. linkLocation=https://365nails.com/products/365nails-romantic-pink-peony-rose-nail-art-stickers, friendlyName=365nails: "Romantic Pink Peony &amp; Rose" – nail art stickers</x:v>
      </x:c>
      <x:c r="D5880" s="18" t="str">
        <x:v>Specification type: To2913 / To2932 / To2937 / To2989</x:v>
      </x:c>
      <x:c r="E5880" s="25" t="str">
        <x:v>$1.23</x:v>
      </x:c>
      <x:c r="F5880" s="19" t="str">
        <x:v>5</x:v>
      </x:c>
    </x:row>
    <x:row r="5881" ht="93" customHeight="1">
      <x:c r="A5881" s="19" t="n">
        <x:v>5878</x:v>
      </x:c>
      <x:c r="B5881" s="22" t="e">
        <x:f>HYPERLINK("https://cdn.shopify.com/s/files/1/0918/6066/4603/files/O1CN015YLgFP1HlX0Fpl6sx__2545140798-0-cib.jpg?v=1776580991","Open")</x:f>
        <x:v>HYPERLINK is not implemented. linkLocation=https://cdn.shopify.com/s/files/1/0918/6066/4603/files/O1CN015YLgFP1HlX0Fpl6sx__2545140798-0-cib.jpg?v=1776580991, friendlyName=Open</x:v>
      </x:c>
      <x:c r="C5881" s="24" t="e">
        <x:f>HYPERLINK("https://365nails.com/products/365nails-vintage-purple-butterfly-nail-art-stickers","365nails: ""Vintage Purple Butterfly"" – nail art stickers")</x:f>
        <x:v>HYPERLINK is not implemented. linkLocation=https://365nails.com/products/365nails-vintage-purple-butterfly-nail-art-stickers, friendlyName=365nails: "Vintage Purple Butterfly" – nail art stickers</x:v>
      </x:c>
      <x:c r="D5881" s="18" t="str">
        <x:v>Specification type: Ms 580 / Ms 581</x:v>
      </x:c>
      <x:c r="E5881" s="25" t="str">
        <x:v>$1.09</x:v>
      </x:c>
      <x:c r="F5881" s="19" t="str">
        <x:v>5</x:v>
      </x:c>
    </x:row>
    <x:row r="5882" ht="93" customHeight="1">
      <x:c r="A5882" s="19" t="n">
        <x:v>5879</x:v>
      </x:c>
      <x:c r="B5882" s="22" t="e">
        <x:f>HYPERLINK("https://cdn.shopify.com/s/files/1/0918/6066/4603/files/O1CN01aqDFeq1HlX26S4pVb__2545140798-0-cib.jpg?v=1776581242","Open")</x:f>
        <x:v>HYPERLINK is not implemented. linkLocation=https://cdn.shopify.com/s/files/1/0918/6066/4603/files/O1CN01aqDFeq1HlX26S4pVb__2545140798-0-cib.jpg?v=1776581242, friendlyName=Open</x:v>
      </x:c>
      <x:c r="C5882" s="24" t="e">
        <x:f>HYPERLINK("https://365nails.com/products/365nails-white-embossed-lily-of-the-valley-nail-art-stickers","365nails: ""White Embossed Lily of the Valley"" – nail art stickers")</x:f>
        <x:v>HYPERLINK is not implemented. linkLocation=https://365nails.com/products/365nails-white-embossed-lily-of-the-valley-nail-art-stickers, friendlyName=365nails: "White Embossed Lily of the Valley" – nail art stickers</x:v>
      </x:c>
      <x:c r="D5882" s="18" t="str">
        <x:v>Specification type: To4253-crystal diamond</x:v>
      </x:c>
      <x:c r="E5882" s="25" t="str">
        <x:v>$1.30</x:v>
      </x:c>
      <x:c r="F5882" s="19" t="str">
        <x:v>5</x:v>
      </x:c>
    </x:row>
    <x:row r="5883" ht="93" customHeight="1">
      <x:c r="A5883" s="19" t="n">
        <x:v>5880</x:v>
      </x:c>
      <x:c r="B5883" s="22" t="e">
        <x:f>HYPERLINK("https://cdn.shopify.com/s/files/1/0918/6066/4603/files/O1CN01olUkMD1HlX7F5WQkf__2545140798-0-cib_a8a1036a-0758-4d60-aef6-c32781e24f25.jpg?v=1775485685","Open")</x:f>
        <x:v>HYPERLINK is not implemented. linkLocation=https://cdn.shopify.com/s/files/1/0918/6066/4603/files/O1CN01olUkMD1HlX7F5WQkf__2545140798-0-cib_a8a1036a-0758-4d60-aef6-c32781e24f25.jpg?v=1775485685, friendlyName=Open</x:v>
      </x:c>
      <x:c r="C5883" s="24" t="e">
        <x:f>HYPERLINK("https://365nails.com/products/365nails-holographic-bubble-heart-handmade-press-on-nails","365nails: ""Holographic Bubble &amp; Heart"" –Nail Art Stickers")</x:f>
        <x:v>HYPERLINK is not implemented. linkLocation=https://365nails.com/products/365nails-holographic-bubble-heart-handmade-press-on-nails, friendlyName=365nails: "Holographic Bubble &amp; Heart" –Nail Art Stickers</x:v>
      </x:c>
      <x:c r="D5883" s="18" t="str">
        <x:v>Specification type: To5114-shell light</x:v>
      </x:c>
      <x:c r="E5883" s="25" t="str">
        <x:v>$1.23</x:v>
      </x:c>
      <x:c r="F5883" s="19" t="str">
        <x:v>5</x:v>
      </x:c>
    </x:row>
    <x:row r="5884" ht="93" customHeight="1">
      <x:c r="A5884" s="19" t="n">
        <x:v>5881</x:v>
      </x:c>
      <x:c r="B5884" s="22" t="e">
        <x:f>HYPERLINK("https://cdn.shopify.com/s/files/1/0918/6066/4603/files/O1CN01YjkbkE1HlX0NiZ2BZ__2545140798-0-cib.jpg?v=1776583802","Open")</x:f>
        <x:v>HYPERLINK is not implemented. linkLocation=https://cdn.shopify.com/s/files/1/0918/6066/4603/files/O1CN01YjkbkE1HlX0NiZ2BZ__2545140798-0-cib.jpg?v=1776583802, friendlyName=Open</x:v>
      </x:c>
      <x:c r="C5884" s="24" t="e">
        <x:f>HYPERLINK("https://365nails.com/products/365nails-delicate-pink-rosebud-nail-art-stickers","365nails: ""Delicate Pink Rosebud"" – nail art stickers")</x:f>
        <x:v>HYPERLINK is not implemented. linkLocation=https://365nails.com/products/365nails-delicate-pink-rosebud-nail-art-stickers, friendlyName=365nails: "Delicate Pink Rosebud" – nail art stickers</x:v>
      </x:c>
      <x:c r="D5884" s="18" t="str">
        <x:v>Specification type: To3882</x:v>
      </x:c>
      <x:c r="E5884" s="25" t="str">
        <x:v>$1.23</x:v>
      </x:c>
      <x:c r="F5884" s="19" t="str">
        <x:v>5</x:v>
      </x:c>
    </x:row>
    <x:row r="5885" ht="93" customHeight="1">
      <x:c r="A5885" s="19" t="n">
        <x:v>5882</x:v>
      </x:c>
      <x:c r="B5885" s="22" t="e">
        <x:f>HYPERLINK("https://cdn.shopify.com/s/files/1/0918/6066/4603/files/O1CN016KF8cD1HlWr6WXSPR__2545140798-0-cib.jpg?v=1776580054","Open")</x:f>
        <x:v>HYPERLINK is not implemented. linkLocation=https://cdn.shopify.com/s/files/1/0918/6066/4603/files/O1CN016KF8cD1HlWr6WXSPR__2545140798-0-cib.jpg?v=1776580054, friendlyName=Open</x:v>
      </x:c>
      <x:c r="C5885" s="24" t="e">
        <x:f>HYPERLINK("https://365nails.com/products/365nails-gothic-red-bow-bunny-nail-art-stickers","365nails: ""Gothic Red Bow Bunny"" – nail art stickers")</x:f>
        <x:v>HYPERLINK is not implemented. linkLocation=https://365nails.com/products/365nails-gothic-red-bow-bunny-nail-art-stickers, friendlyName=365nails: "Gothic Red Bow Bunny" – nail art stickers</x:v>
      </x:c>
      <x:c r="D5885" s="18" t="str">
        <x:v>Specification type: To2565-relief / To2566-thin tough</x:v>
      </x:c>
      <x:c r="E5885" s="25" t="str">
        <x:v>$1.09</x:v>
      </x:c>
      <x:c r="F5885" s="19" t="str">
        <x:v>5</x:v>
      </x:c>
    </x:row>
    <x:row r="5886" ht="93" customHeight="1">
      <x:c r="A5886" s="19" t="n">
        <x:v>5883</x:v>
      </x:c>
      <x:c r="B5886" s="22" t="e">
        <x:f>HYPERLINK("https://cdn.shopify.com/s/files/1/0918/6066/4603/files/O1CN01BCdOQl1HlX0MNQvuB__2545140798-0-cib.jpg?v=1776581160","Open")</x:f>
        <x:v>HYPERLINK is not implemented. linkLocation=https://cdn.shopify.com/s/files/1/0918/6066/4603/files/O1CN01BCdOQl1HlX0MNQvuB__2545140798-0-cib.jpg?v=1776581160, friendlyName=Open</x:v>
      </x:c>
      <x:c r="C5886" s="24" t="e">
        <x:f>HYPERLINK("https://365nails.com/products/365nails-blue-floral-dragon-nail-art-stickers","365nails: ""Blue Floral Dragon"" – nail art stickers")</x:f>
        <x:v>HYPERLINK is not implemented. linkLocation=https://365nails.com/products/365nails-blue-floral-dragon-nail-art-stickers, friendlyName=365nails: "Blue Floral Dragon" – nail art stickers</x:v>
      </x:c>
      <x:c r="D5886" s="18" t="str">
        <x:v>Specification type: To3772-relief / To3773-shell light</x:v>
      </x:c>
      <x:c r="E5886" s="25" t="str">
        <x:v>$1.23</x:v>
      </x:c>
      <x:c r="F5886" s="19" t="str">
        <x:v>5</x:v>
      </x:c>
    </x:row>
    <x:row r="5887" ht="93" customHeight="1">
      <x:c r="A5887" s="19" t="n">
        <x:v>5884</x:v>
      </x:c>
      <x:c r="B5887" s="22" t="e">
        <x:f>HYPERLINK("https://cdn.shopify.com/s/files/1/0918/6066/4603/files/O1CN014axh0o1HlWxK6PKgu__2545140798-0-cib.jpg?v=1776580413","Open")</x:f>
        <x:v>HYPERLINK is not implemented. linkLocation=https://cdn.shopify.com/s/files/1/0918/6066/4603/files/O1CN014axh0o1HlWxK6PKgu__2545140798-0-cib.jpg?v=1776580413, friendlyName=Open</x:v>
      </x:c>
      <x:c r="C5887" s="24" t="e">
        <x:f>HYPERLINK("https://365nails.com/products/365nails-vintage-pink-floral-butterfly-nail-art-stickers","365nails: ""Vintage Pink Floral Butterfly"" – nail art stickers")</x:f>
        <x:v>HYPERLINK is not implemented. linkLocation=https://365nails.com/products/365nails-vintage-pink-floral-butterfly-nail-art-stickers, friendlyName=365nails: "Vintage Pink Floral Butterfly" – nail art stickers</x:v>
      </x:c>
      <x:c r="D5887" s="18" t="str">
        <x:v>Specification type: To3441</x:v>
      </x:c>
      <x:c r="E5887" s="25" t="str">
        <x:v>$1.23</x:v>
      </x:c>
      <x:c r="F5887" s="19" t="str">
        <x:v>5</x:v>
      </x:c>
    </x:row>
    <x:row r="5888" ht="93" customHeight="1">
      <x:c r="A5888" s="19" t="n">
        <x:v>5885</x:v>
      </x:c>
      <x:c r="B5888" s="22" t="e">
        <x:f>HYPERLINK("https://cdn.shopify.com/s/files/1/0918/6066/4603/files/O1CN01Z828ZZ1HlX78BbNur__2545140798-0-cib_66a9ee35-c7ae-474d-a917-38cc085469c1.jpg?v=1775485626","Open")</x:f>
        <x:v>HYPERLINK is not implemented. linkLocation=https://cdn.shopify.com/s/files/1/0918/6066/4603/files/O1CN01Z828ZZ1HlX78BbNur__2545140798-0-cib_66a9ee35-c7ae-474d-a917-38cc085469c1.jpg?v=1775485626, friendlyName=Open</x:v>
      </x:c>
      <x:c r="C5888" s="24" t="e">
        <x:f>HYPERLINK("https://365nails.com/products/365nails-coral-pink-ocean-shell-handmade-press-on-nails","365nails: ""Coral Pink Ocean Shell"" –Nail Art Stickers")</x:f>
        <x:v>HYPERLINK is not implemented. linkLocation=https://365nails.com/products/365nails-coral-pink-ocean-shell-handmade-press-on-nails, friendlyName=365nails: "Coral Pink Ocean Shell" –Nail Art Stickers</x:v>
      </x:c>
      <x:c r="D5888" s="18" t="str">
        <x:v>Specification type: To5108-relief</x:v>
      </x:c>
      <x:c r="E5888" s="25" t="str">
        <x:v>$1.23</x:v>
      </x:c>
      <x:c r="F5888" s="19" t="str">
        <x:v>5</x:v>
      </x:c>
    </x:row>
    <x:row r="5889" ht="93" customHeight="1">
      <x:c r="A5889" s="19" t="n">
        <x:v>5886</x:v>
      </x:c>
      <x:c r="B5889" s="22" t="e">
        <x:f>HYPERLINK("https://cdn.shopify.com/s/files/1/0918/6066/4603/files/O1CN019fUNP11HlX6TFIyMb__2545140798-0-cib_60acc087-215e-4067-a9be-8877351eb4f9.jpg?v=1775486342","Open")</x:f>
        <x:v>HYPERLINK is not implemented. linkLocation=https://cdn.shopify.com/s/files/1/0918/6066/4603/files/O1CN019fUNP11HlX6TFIyMb__2545140798-0-cib_60acc087-215e-4067-a9be-8877351eb4f9.jpg?v=1775486342, friendlyName=Open</x:v>
      </x:c>
      <x:c r="C5889" s="24" t="e">
        <x:f>HYPERLINK("https://365nails.com/products/365nails-rainbow-watercolor-floral-handmade-press-on-nails","365nails: ""Rainbow Watercolor Floral"" –Nail Art Stickers")</x:f>
        <x:v>HYPERLINK is not implemented. linkLocation=https://365nails.com/products/365nails-rainbow-watercolor-floral-handmade-press-on-nails, friendlyName=365nails: "Rainbow Watercolor Floral" –Nail Art Stickers</x:v>
      </x:c>
      <x:c r="D5889" s="18" t="str">
        <x:v>Specification type: To5047-relief</x:v>
      </x:c>
      <x:c r="E5889" s="25" t="str">
        <x:v>$1.23</x:v>
      </x:c>
      <x:c r="F5889" s="19" t="str">
        <x:v>5</x:v>
      </x:c>
    </x:row>
    <x:row r="5890" ht="93" customHeight="1">
      <x:c r="A5890" s="19" t="n">
        <x:v>5887</x:v>
      </x:c>
      <x:c r="B5890" s="22" t="e">
        <x:f>HYPERLINK("https://cdn.shopify.com/s/files/1/0918/6066/4603/files/3bd47a78d17f12b8c521424071c9dc05.jpg?v=1771482701","Open")</x:f>
        <x:v>HYPERLINK is not implemented. linkLocation=https://cdn.shopify.com/s/files/1/0918/6066/4603/files/3bd47a78d17f12b8c521424071c9dc05.jpg?v=1771482701, friendlyName=Open</x:v>
      </x:c>
      <x:c r="C5890" s="24" t="e">
        <x:f>HYPERLINK("https://365nails.com/products/denim-baroque-silver-rose-sculpted-flora-series","Sculpted Flora: ""Denim Baroque &amp; Silver Rose"" – 3D Metallic Silver Flower &amp; Cross Charms on Textured Denim Blue Coffin Nails")</x:f>
        <x:v>HYPERLINK is not implemented. linkLocation=https://365nails.com/products/denim-baroque-silver-rose-sculpted-flora-series, friendlyName=Sculpted Flora: "Denim Baroque &amp; Silver Rose" – 3D Metallic Silver Flower &amp; Cross Charms on Textured Denim Blue Coffin Nails</x:v>
      </x:c>
      <x:c r="D5890" s="18" t="str">
        <x:v>Size: XS / S / M / L</x:v>
      </x:c>
      <x:c r="E5890" s="25" t="str">
        <x:v>$3.99</x:v>
      </x:c>
      <x:c r="F5890" s="19" t="str">
        <x:v>5</x:v>
      </x:c>
    </x:row>
    <x:row r="5891" ht="93" customHeight="1">
      <x:c r="A5891" s="19" t="n">
        <x:v>5888</x:v>
      </x:c>
      <x:c r="B5891" s="22" t="e">
        <x:f>HYPERLINK("https://cdn.shopify.com/s/files/1/0918/6066/4603/files/90f6b8199b69acadbfe6acc89be1e152.jpg?v=1771482933","Open")</x:f>
        <x:v>HYPERLINK is not implemented. linkLocation=https://cdn.shopify.com/s/files/1/0918/6066/4603/files/90f6b8199b69acadbfe6acc89be1e152.jpg?v=1771482933, friendlyName=Open</x:v>
      </x:c>
      <x:c r="C5891" s="24" t="e">
        <x:f>HYPERLINK("https://365nails.com/products/electric-blue-leopard-orchid-sculpted-flora-series","Sculpted Flora: ""Electric Blue Leopard &amp; Orchid"" – 3D Gradient Flowers on Royal Blue Aura &amp; Leopard Print Coffin Nails")</x:f>
        <x:v>HYPERLINK is not implemented. linkLocation=https://365nails.com/products/electric-blue-leopard-orchid-sculpted-flora-series, friendlyName=Sculpted Flora: "Electric Blue Leopard &amp; Orchid" – 3D Gradient Flowers on Royal Blue Aura &amp; Leopard Print Coffin Nails</x:v>
      </x:c>
      <x:c r="D5891" s="18" t="str">
        <x:v>Size: XS / S / M / L</x:v>
      </x:c>
      <x:c r="E5891" s="25" t="str">
        <x:v>$3.99</x:v>
      </x:c>
      <x:c r="F5891" s="19" t="str">
        <x:v>5</x:v>
      </x:c>
    </x:row>
    <x:row r="5892" ht="93" customHeight="1">
      <x:c r="A5892" s="19" t="n">
        <x:v>5889</x:v>
      </x:c>
      <x:c r="B5892" s="22" t="e">
        <x:f>HYPERLINK("https://cdn.shopify.com/s/files/1/0918/6066/4603/files/41d1519e503286172eb2152953b48d57.jpg?v=1777786109","Open")</x:f>
        <x:v>HYPERLINK is not implemented. linkLocation=https://cdn.shopify.com/s/files/1/0918/6066/4603/files/41d1519e503286172eb2152953b48d57.jpg?v=1777786109, friendlyName=Open</x:v>
      </x:c>
      <x:c r="C5892" s="24" t="e">
        <x:f>HYPERLINK("https://365nails.com/products/365nails-pink-black-star-gradient-long-handmade-long-trapezoid-press-on-nails","365nails: ""Pink Black Star Gradient Long"" – Handmade Long Trapezoid Press-On Nails")</x:f>
        <x:v>HYPERLINK is not implemented. linkLocation=https://365nails.com/products/365nails-pink-black-star-gradient-long-handmade-long-trapezoid-press-on-nails, friendlyName=365nails: "Pink Black Star Gradient Long" – Handmade Long Trapezoid Press-On Nails</x:v>
      </x:c>
      <x:c r="D5892" s="18" t="str">
        <x:v>Size: XS / S / M / L</x:v>
      </x:c>
      <x:c r="E5892" s="25" t="str">
        <x:v>$4.49</x:v>
      </x:c>
      <x:c r="F5892" s="19" t="str">
        <x:v>5</x:v>
      </x:c>
    </x:row>
    <x:row r="5893" ht="93" customHeight="1">
      <x:c r="A5893" s="19" t="n">
        <x:v>5890</x:v>
      </x:c>
      <x:c r="B5893" s="22" t="e">
        <x:f>HYPERLINK("https://cdn.shopify.com/s/files/1/0918/6066/4603/files/O1CN01Y0fUf71HlX3BYgxjR__2545140798-0-cib_00d40691-6185-4c92-9335-a649499ae65e.jpg?v=1775455941","Open")</x:f>
        <x:v>HYPERLINK is not implemented. linkLocation=https://cdn.shopify.com/s/files/1/0918/6066/4603/files/O1CN01Y0fUf71HlX3BYgxjR__2545140798-0-cib_00d40691-6185-4c92-9335-a649499ae65e.jpg?v=1775455941, friendlyName=Open</x:v>
      </x:c>
      <x:c r="C5893" s="24" t="e">
        <x:f>HYPERLINK("https://365nails.com/products/365nails-monochrome-clover-bloom-handmade-press-on-nails","365nails: ""Monochrome Clover Bloom"" –Nail Art Stickers")</x:f>
        <x:v>HYPERLINK is not implemented. linkLocation=https://365nails.com/products/365nails-monochrome-clover-bloom-handmade-press-on-nails, friendlyName=365nails: "Monochrome Clover Bloom" –Nail Art Stickers</x:v>
      </x:c>
      <x:c r="D5893" s="18" t="str">
        <x:v>Specification type: Ms698-crystal diamond / Ms699-crystal diamond</x:v>
      </x:c>
      <x:c r="E5893" s="25" t="str">
        <x:v>$1.30</x:v>
      </x:c>
      <x:c r="F5893" s="19" t="str">
        <x:v>5</x:v>
      </x:c>
    </x:row>
    <x:row r="5894" ht="93" customHeight="1">
      <x:c r="A5894" s="19" t="n">
        <x:v>5891</x:v>
      </x:c>
      <x:c r="B5894" s="22" t="e">
        <x:f>HYPERLINK("https://cdn.shopify.com/s/files/1/0918/6066/4603/files/O1CN01SaGshs1HlX1MybE6t__2545140798-0-cib_edad4274-2200-4163-8aed-7f3c36b89fce.jpg?v=1775451340","Open")</x:f>
        <x:v>HYPERLINK is not implemented. linkLocation=https://cdn.shopify.com/s/files/1/0918/6066/4603/files/O1CN01SaGshs1HlX1MybE6t__2545140798-0-cib_edad4274-2200-4163-8aed-7f3c36b89fce.jpg?v=1775451340, friendlyName=Open</x:v>
      </x:c>
      <x:c r="C5894" s="24" t="e">
        <x:f>HYPERLINK("https://365nails.com/products/365nails-miiichan-sweet-day-handmade-press-on-nails","365nails: ""Miiichan Sweet Day"" – Nail Art Stickers")</x:f>
        <x:v>HYPERLINK is not implemented. linkLocation=https://365nails.com/products/365nails-miiichan-sweet-day-handmade-press-on-nails, friendlyName=365nails: "Miiichan Sweet Day" – Nail Art Stickers</x:v>
      </x:c>
      <x:c r="D5894" s="18" t="str">
        <x:v>Specification type: Mc 25 / Mc 29</x:v>
      </x:c>
      <x:c r="E5894" s="25" t="str">
        <x:v>$1.16</x:v>
      </x:c>
      <x:c r="F5894" s="19" t="str">
        <x:v>5</x:v>
      </x:c>
    </x:row>
    <x:row r="5895" ht="93" customHeight="1">
      <x:c r="A5895" s="19" t="n">
        <x:v>5892</x:v>
      </x:c>
      <x:c r="B5895" s="22" t="e">
        <x:f>HYPERLINK("https://cdn.shopify.com/s/files/1/0918/6066/4603/files/037166cc0c9836a131b3dbfc1d3792ef.jpg?v=1771482786","Open")</x:f>
        <x:v>HYPERLINK is not implemented. linkLocation=https://cdn.shopify.com/s/files/1/0918/6066/4603/files/037166cc0c9836a131b3dbfc1d3792ef.jpg?v=1771482786, friendlyName=Open</x:v>
      </x:c>
      <x:c r="C5895" s="24" t="e">
        <x:f>HYPERLINK("https://365nails.com/products/spring-swan-green-vine-sculpted-flora-series","Sculpted Flora: ""Spring Swan &amp; Green Vine"" – 3D Green Flower &amp; Black Swan Art on Apple Green Ombre Almond Nails with Metallic Accents")</x:f>
        <x:v>HYPERLINK is not implemented. linkLocation=https://365nails.com/products/spring-swan-green-vine-sculpted-flora-series, friendlyName=Sculpted Flora: "Spring Swan &amp; Green Vine" – 3D Green Flower &amp; Black Swan Art on Apple Green Ombre Almond Nails with Metallic Accents</x:v>
      </x:c>
      <x:c r="D5895" s="18" t="str">
        <x:v>Size: XS / S / M / L</x:v>
      </x:c>
      <x:c r="E5895" s="25" t="str">
        <x:v>$3.99</x:v>
      </x:c>
      <x:c r="F5895" s="19" t="str">
        <x:v>5</x:v>
      </x:c>
    </x:row>
    <x:row r="5896" ht="93" customHeight="1">
      <x:c r="A5896" s="19" t="n">
        <x:v>5893</x:v>
      </x:c>
      <x:c r="B5896" s="22" t="e">
        <x:f>HYPERLINK("https://cdn.shopify.com/s/files/1/0918/6066/4603/files/fd347a7fbecc2313c39f59e277732509.jpg?v=1777803732","Open")</x:f>
        <x:v>HYPERLINK is not implemented. linkLocation=https://cdn.shopify.com/s/files/1/0918/6066/4603/files/fd347a7fbecc2313c39f59e277732509.jpg?v=1777803732, friendlyName=Open</x:v>
      </x:c>
      <x:c r="C5896" s="24" t="e">
        <x:f>HYPERLINK("https://365nails.com/products/365nails-cute-3d-flower-cherry-mix-handmade-short-squoval-press-on-nails","365nails: ""Cute 3D Flower Cherry Mix"" – Handmade Short Squoval Press-On Nails")</x:f>
        <x:v>HYPERLINK is not implemented. linkLocation=https://365nails.com/products/365nails-cute-3d-flower-cherry-mix-handmade-short-squoval-press-on-nails, friendlyName=365nails: "Cute 3D Flower Cherry Mix" – Handmade Short Squoval Press-On Nails</x:v>
      </x:c>
      <x:c r="D5896" s="18" t="str">
        <x:v>Size: XS / S / M / L</x:v>
      </x:c>
      <x:c r="E5896" s="25" t="str">
        <x:v>$3.49</x:v>
      </x:c>
      <x:c r="F5896" s="19" t="str">
        <x:v>5</x:v>
      </x:c>
    </x:row>
    <x:row r="5897" ht="93" customHeight="1">
      <x:c r="A5897" s="19" t="n">
        <x:v>5894</x:v>
      </x:c>
      <x:c r="B5897" s="22" t="e">
        <x:f>HYPERLINK("https://cdn.shopify.com/s/files/1/0918/6066/4603/files/O1CN01D7Et7Z1HlWqAquz2n__2545140798-0-cib_e7bea17e-741e-4eb6-bf3f-c0591ceed77e.jpg?v=1774614217","Open")</x:f>
        <x:v>HYPERLINK is not implemented. linkLocation=https://cdn.shopify.com/s/files/1/0918/6066/4603/files/O1CN01D7Et7Z1HlWqAquz2n__2545140798-0-cib_e7bea17e-741e-4eb6-bf3f-c0591ceed77e.jpg?v=1774614217, friendlyName=Open</x:v>
      </x:c>
      <x:c r="C5897" s="24" t="e">
        <x:f>HYPERLINK("https://365nails.com/products/365nails-anime-classic-character-3-in-1-set-handmade-press-on-nails","365nails: ""Anime Classic Character 3-in-1 Set"" – Nail Art Stickers")</x:f>
        <x:v>HYPERLINK is not implemented. linkLocation=https://365nails.com/products/365nails-anime-classic-character-3-in-1-set-handmade-press-on-nails, friendlyName=365nails: "Anime Classic Character 3-in-1 Set" – Nail Art Stickers</x:v>
      </x:c>
      <x:c r="D5897" s="18" t="str">
        <x:v>Specification type: To1548 / To1544 / To1545</x:v>
      </x:c>
      <x:c r="E5897" s="25" t="str">
        <x:v>$1.23</x:v>
      </x:c>
      <x:c r="F5897" s="19" t="str">
        <x:v>5</x:v>
      </x:c>
    </x:row>
    <x:row r="5898" ht="93" customHeight="1">
      <x:c r="A5898" s="19" t="n">
        <x:v>5895</x:v>
      </x:c>
      <x:c r="B5898" s="22" t="e">
        <x:f>HYPERLINK("https://cdn.shopify.com/s/files/1/0918/6066/4603/files/O1CN01cqeMR41HlX1gUQdYp__2545140798-0-cib_b9808ca6-905f-4c04-bfac-403b349e3098.jpg?v=1775452615","Open")</x:f>
        <x:v>HYPERLINK is not implemented. linkLocation=https://cdn.shopify.com/s/files/1/0918/6066/4603/files/O1CN01cqeMR41HlX1gUQdYp__2545140798-0-cib_b9808ca6-905f-4c04-bfac-403b349e3098.jpg?v=1775452615, friendlyName=Open</x:v>
      </x:c>
      <x:c r="C5898" s="24" t="e">
        <x:f>HYPERLINK("https://365nails.com/products/365nails-cute-bunny-summer-handmade-press-on-nails","365nails: ""Cute Bunny Summer"" – Nail Art Stickers")</x:f>
        <x:v>HYPERLINK is not implemented. linkLocation=https://365nails.com/products/365nails-cute-bunny-summer-handmade-press-on-nails, friendlyName=365nails: "Cute Bunny Summer" – Nail Art Stickers</x:v>
      </x:c>
      <x:c r="D5898" s="18" t="str">
        <x:v>Specification type: To3976 / To3997</x:v>
      </x:c>
      <x:c r="E5898" s="25" t="str">
        <x:v>$1.23</x:v>
      </x:c>
      <x:c r="F5898" s="19" t="str">
        <x:v>5</x:v>
      </x:c>
    </x:row>
    <x:row r="5899" ht="93" customHeight="1">
      <x:c r="A5899" s="19" t="n">
        <x:v>5896</x:v>
      </x:c>
      <x:c r="B5899" s="22" t="e">
        <x:f>HYPERLINK("https://cdn.shopify.com/s/files/1/0918/6066/4603/files/2b2625430756b0b7829ec45d0df9a5dd.jpg?v=1776415200","Open")</x:f>
        <x:v>HYPERLINK is not implemented. linkLocation=https://cdn.shopify.com/s/files/1/0918/6066/4603/files/2b2625430756b0b7829ec45d0df9a5dd.jpg?v=1776415200, friendlyName=Open</x:v>
      </x:c>
      <x:c r="C5899" s="24" t="e">
        <x:f>HYPERLINK("https://365nails.com/products/365nails-jujutsu-kaisen-gojo-geto-handmade-short-almond-press-on-nails","365nails: ""Jujutsu Kaisen Gojo &amp; Geto"" – Handmade Short Almond Press-On Nails")</x:f>
        <x:v>HYPERLINK is not implemented. linkLocation=https://365nails.com/products/365nails-jujutsu-kaisen-gojo-geto-handmade-short-almond-press-on-nails, friendlyName=365nails: "Jujutsu Kaisen Gojo &amp; Geto" – Handmade Short Almond Press-On Nails</x:v>
      </x:c>
      <x:c r="D5899" s="18" t="str">
        <x:v>Size: XS / S / M</x:v>
      </x:c>
      <x:c r="E5899" s="25" t="str">
        <x:v>$3.49</x:v>
      </x:c>
      <x:c r="F5899" s="19" t="str">
        <x:v>5</x:v>
      </x:c>
    </x:row>
    <x:row r="5900" ht="93" customHeight="1">
      <x:c r="A5900" s="19" t="n">
        <x:v>5897</x:v>
      </x:c>
      <x:c r="B5900" s="22" t="e">
        <x:f>HYPERLINK("https://cdn.shopify.com/s/files/1/0918/6066/4603/files/8b3a6ead4dcf9fd9cba1a396f1f81e79.jpg?v=1777785895","Open")</x:f>
        <x:v>HYPERLINK is not implemented. linkLocation=https://cdn.shopify.com/s/files/1/0918/6066/4603/files/8b3a6ead4dcf9fd9cba1a396f1f81e79.jpg?v=1777785895, friendlyName=Open</x:v>
      </x:c>
      <x:c r="C5900" s="24" t="e">
        <x:f>HYPERLINK("https://365nails.com/products/365nails-pink-red-flower-starfish-short-handmade-short-trapezoid-press-on-nails","365nails: ""Pink Red Flower Starfish Short"" – Handmade Short Trapezoid Press-On Nails")</x:f>
        <x:v>HYPERLINK is not implemented. linkLocation=https://365nails.com/products/365nails-pink-red-flower-starfish-short-handmade-short-trapezoid-press-on-nails, friendlyName=365nails: "Pink Red Flower Starfish Short" – Handmade Short Trapezoid Press-On Nails</x:v>
      </x:c>
      <x:c r="D5900" s="18" t="str">
        <x:v>Size: XS / S / M / L</x:v>
      </x:c>
      <x:c r="E5900" s="25" t="str">
        <x:v>$4.49</x:v>
      </x:c>
      <x:c r="F5900" s="19" t="str">
        <x:v>5</x:v>
      </x:c>
    </x:row>
    <x:row r="5901" ht="93" customHeight="1">
      <x:c r="A5901" s="19" t="n">
        <x:v>5898</x:v>
      </x:c>
      <x:c r="B5901" s="22" t="e">
        <x:f>HYPERLINK("https://cdn.shopify.com/s/files/1/0918/6066/4603/files/O1CN018CYLhZ1HlX1zPnPKu__2545140798-0-cib_9e1d5d61-a972-45b1-ace4-dd05c001797d.jpg?v=1775453492","Open")</x:f>
        <x:v>HYPERLINK is not implemented. linkLocation=https://cdn.shopify.com/s/files/1/0918/6066/4603/files/O1CN018CYLhZ1HlX1zPnPKu__2545140798-0-cib_9e1d5d61-a972-45b1-ace4-dd05c001797d.jpg?v=1775453492, friendlyName=Open</x:v>
      </x:c>
      <x:c r="C5901" s="24" t="e">
        <x:f>HYPERLINK("https://365nails.com/products/365nails-elegant-tassel-fan-handmade-press-on-nails","365nails: ""Elegant Tassel Fan"" – Nail Art Stickers")</x:f>
        <x:v>HYPERLINK is not implemented. linkLocation=https://365nails.com/products/365nails-elegant-tassel-fan-handmade-press-on-nails, friendlyName=365nails: "Elegant Tassel Fan" – Nail Art Stickers</x:v>
      </x:c>
      <x:c r="D5901" s="18" t="str">
        <x:v>Specification type: To4240-relief</x:v>
      </x:c>
      <x:c r="E5901" s="25" t="str">
        <x:v>$1.23</x:v>
      </x:c>
      <x:c r="F5901" s="19" t="str">
        <x:v>5</x:v>
      </x:c>
    </x:row>
    <x:row r="5902" ht="93" customHeight="1">
      <x:c r="A5902" s="19" t="n">
        <x:v>5899</x:v>
      </x:c>
      <x:c r="B5902" s="22" t="e">
        <x:f>HYPERLINK("https://cdn.shopify.com/s/files/1/0918/6066/4603/files/3180fe568bafcd9ef8718d8847971b07.jpg?v=1777787767","Open")</x:f>
        <x:v>HYPERLINK is not implemented. linkLocation=https://cdn.shopify.com/s/files/1/0918/6066/4603/files/3180fe568bafcd9ef8718d8847971b07.jpg?v=1777787767, friendlyName=Open</x:v>
      </x:c>
      <x:c r="C5902" s="24" t="e">
        <x:f>HYPERLINK("https://365nails.com/products/365nails-pink-white-flower-vine-pearl-long-handmade-long-stiletto-press-on-nails","365nails: ""Pink White Flower Vine Pearl Long"" – Handmade Long Stiletto Press-On Nails")</x:f>
        <x:v>HYPERLINK is not implemented. linkLocation=https://365nails.com/products/365nails-pink-white-flower-vine-pearl-long-handmade-long-stiletto-press-on-nails, friendlyName=365nails: "Pink White Flower Vine Pearl Long" – Handmade Long Stiletto Press-On Nails</x:v>
      </x:c>
      <x:c r="D5902" s="18" t="str">
        <x:v>Size: XS / S / M / L</x:v>
      </x:c>
      <x:c r="E5902" s="25" t="str">
        <x:v>$5.99</x:v>
      </x:c>
      <x:c r="F5902" s="19" t="str">
        <x:v>5</x:v>
      </x:c>
    </x:row>
    <x:row r="5903" ht="93" customHeight="1">
      <x:c r="A5903" s="19" t="n">
        <x:v>5900</x:v>
      </x:c>
      <x:c r="B5903" s="22" t="e">
        <x:f>HYPERLINK("https://cdn.shopify.com/s/files/1/0918/6066/4603/files/dfbc050e15b86a443aac236363b6b9a1.jpg?v=1777791058","Open")</x:f>
        <x:v>HYPERLINK is not implemented. linkLocation=https://cdn.shopify.com/s/files/1/0918/6066/4603/files/dfbc050e15b86a443aac236363b6b9a1.jpg?v=1777791058, friendlyName=Open</x:v>
      </x:c>
      <x:c r="C5903" s="24" t="e">
        <x:f>HYPERLINK("https://365nails.com/products/365nails-white-black-denim-chain-rhinestone-short-handmade-short-square-press-on-nails","365nails: ""White Black Denim Chain Rhinestone Short"" – Handmade Short Square Press-On Nails")</x:f>
        <x:v>HYPERLINK is not implemented. linkLocation=https://365nails.com/products/365nails-white-black-denim-chain-rhinestone-short-handmade-short-square-press-on-nails, friendlyName=365nails: "White Black Denim Chain Rhinestone Short" – Handmade Short Square Press-On Nails</x:v>
      </x:c>
      <x:c r="D5903" s="18" t="str">
        <x:v>Size: XS / S / M / L</x:v>
      </x:c>
      <x:c r="E5903" s="25" t="str">
        <x:v>$3.49</x:v>
      </x:c>
      <x:c r="F5903" s="19" t="str">
        <x:v>5</x:v>
      </x:c>
    </x:row>
    <x:row r="5904" ht="93" customHeight="1">
      <x:c r="A5904" s="19" t="n">
        <x:v>5901</x:v>
      </x:c>
      <x:c r="B5904" s="22" t="e">
        <x:f>HYPERLINK("https://cdn.shopify.com/s/files/1/0918/6066/4603/files/9cefea2a04e0d7c2952464df0c57f537.jpg?v=1777791825","Open")</x:f>
        <x:v>HYPERLINK is not implemented. linkLocation=https://cdn.shopify.com/s/files/1/0918/6066/4603/files/9cefea2a04e0d7c2952464df0c57f537.jpg?v=1777791825, friendlyName=Open</x:v>
      </x:c>
      <x:c r="C5904" s="24" t="e">
        <x:f>HYPERLINK("https://365nails.com/products/365nails-colorful-hello-kitty-cartoon-short-handmade-short-square-press-on-nails","365nails: ""Colorful Hello Kitty Cartoon Short"" – Handmade Short Square Press-On Nails")</x:f>
        <x:v>HYPERLINK is not implemented. linkLocation=https://365nails.com/products/365nails-colorful-hello-kitty-cartoon-short-handmade-short-square-press-on-nails, friendlyName=365nails: "Colorful Hello Kitty Cartoon Short" – Handmade Short Square Press-On Nails</x:v>
      </x:c>
      <x:c r="D5904" s="18" t="str">
        <x:v>Size: XS / S / M / L</x:v>
      </x:c>
      <x:c r="E5904" s="25" t="str">
        <x:v>$3.49</x:v>
      </x:c>
      <x:c r="F5904" s="19" t="str">
        <x:v>5</x:v>
      </x:c>
    </x:row>
    <x:row r="5905" ht="93" customHeight="1">
      <x:c r="A5905" s="19" t="n">
        <x:v>5902</x:v>
      </x:c>
      <x:c r="B5905" s="22" t="e">
        <x:f>HYPERLINK("https://cdn.shopify.com/s/files/1/0918/6066/4603/files/3099f416b51481f5e096c8ac5d9e95e0.jpg?v=1777799964","Open")</x:f>
        <x:v>HYPERLINK is not implemented. linkLocation=https://cdn.shopify.com/s/files/1/0918/6066/4603/files/3099f416b51481f5e096c8ac5d9e95e0.jpg?v=1777799964, friendlyName=Open</x:v>
      </x:c>
      <x:c r="C5905" s="24" t="e">
        <x:f>HYPERLINK("https://365nails.com/products/365nails-nude-brown-cherry-flower-mix-handmade-short-almond-press-on-nails","365nails: ""Nude Brown Cherry Flower Mix"" – Handmade Short Almond Press-On Nails")</x:f>
        <x:v>HYPERLINK is not implemented. linkLocation=https://365nails.com/products/365nails-nude-brown-cherry-flower-mix-handmade-short-almond-press-on-nails, friendlyName=365nails: "Nude Brown Cherry Flower Mix" – Handmade Short Almond Press-On Nails</x:v>
      </x:c>
      <x:c r="D5905" s="18" t="str">
        <x:v>Size: XS / S / M / L</x:v>
      </x:c>
      <x:c r="E5905" s="25" t="str">
        <x:v>$3.49</x:v>
      </x:c>
      <x:c r="F5905" s="19" t="str">
        <x:v>5</x:v>
      </x:c>
    </x:row>
    <x:row r="5906" ht="93" customHeight="1">
      <x:c r="A5906" s="19" t="n">
        <x:v>5903</x:v>
      </x:c>
      <x:c r="B5906" s="22" t="e">
        <x:f>HYPERLINK("https://cdn.shopify.com/s/files/1/0918/6066/4603/files/717adcbaf43ae7814ee9ac1851acf45b.jpg?v=1777792607","Open")</x:f>
        <x:v>HYPERLINK is not implemented. linkLocation=https://cdn.shopify.com/s/files/1/0918/6066/4603/files/717adcbaf43ae7814ee9ac1851acf45b.jpg?v=1777792607, friendlyName=Open</x:v>
      </x:c>
      <x:c r="C5906" s="24" t="e">
        <x:f>HYPERLINK("https://365nails.com/products/365nails-pink-bear-strawberry-heart-short-handmade-short-square-press-on-nails","365nails: ""Pink Bear Strawberry Heart Short"" – Handmade Short Square Press-On Nails")</x:f>
        <x:v>HYPERLINK is not implemented. linkLocation=https://365nails.com/products/365nails-pink-bear-strawberry-heart-short-handmade-short-square-press-on-nails, friendlyName=365nails: "Pink Bear Strawberry Heart Short" – Handmade Short Square Press-On Nails</x:v>
      </x:c>
      <x:c r="D5906" s="18" t="str">
        <x:v>Size: XS / S / M / L</x:v>
      </x:c>
      <x:c r="E5906" s="25" t="str">
        <x:v>$3.49</x:v>
      </x:c>
      <x:c r="F5906" s="19" t="str">
        <x:v>5</x:v>
      </x:c>
    </x:row>
    <x:row r="5907" ht="93" customHeight="1">
      <x:c r="A5907" s="19" t="n">
        <x:v>5904</x:v>
      </x:c>
      <x:c r="B5907" s="22" t="e">
        <x:f>HYPERLINK("https://cdn.shopify.com/s/files/1/0918/6066/4603/files/b495058a8b1ffb02c1f8c90f63410e46.jpg?v=1777793511","Open")</x:f>
        <x:v>HYPERLINK is not implemented. linkLocation=https://cdn.shopify.com/s/files/1/0918/6066/4603/files/b495058a8b1ffb02c1f8c90f63410e46.jpg?v=1777793511, friendlyName=Open</x:v>
      </x:c>
      <x:c r="C5907" s="24" t="e">
        <x:f>HYPERLINK("https://365nails.com/products/365nails-nude-pink-flower-butterfly-short-handmade-short-almond-press-on-nails","365nails: ""Nude Pink Flower Butterfly Short"" – Handmade Short Almond Press-On Nails")</x:f>
        <x:v>HYPERLINK is not implemented. linkLocation=https://365nails.com/products/365nails-nude-pink-flower-butterfly-short-handmade-short-almond-press-on-nails, friendlyName=365nails: "Nude Pink Flower Butterfly Short" – Handmade Short Almond Press-On Nails</x:v>
      </x:c>
      <x:c r="D5907" s="18" t="str">
        <x:v>Size: XS / S / M / L</x:v>
      </x:c>
      <x:c r="E5907" s="25" t="str">
        <x:v>$3.49</x:v>
      </x:c>
      <x:c r="F5907" s="19" t="str">
        <x:v>5</x:v>
      </x:c>
    </x:row>
    <x:row r="5908" ht="93" customHeight="1">
      <x:c r="A5908" s="19" t="n">
        <x:v>5905</x:v>
      </x:c>
      <x:c r="B5908" s="22" t="e">
        <x:f>HYPERLINK("https://cdn.shopify.com/s/files/1/0918/6066/4603/files/O1CN01NSwBr61HlX1pAmXbL__2545140798-0-cib_b20574eb-1d6b-4da0-8e11-ff0dc5dfc4f8.jpg?v=1775449908","Open")</x:f>
        <x:v>HYPERLINK is not implemented. linkLocation=https://cdn.shopify.com/s/files/1/0918/6066/4603/files/O1CN01NSwBr61HlX1pAmXbL__2545140798-0-cib_b20574eb-1d6b-4da0-8e11-ff0dc5dfc4f8.jpg?v=1775449908, friendlyName=Open</x:v>
      </x:c>
      <x:c r="C5908" s="24" t="e">
        <x:f>HYPERLINK("https://365nails.com/products/365nails-iridescent-cat-wildflower-field-handmade-press-on-nails","365nails: ""Iridescent Cat &amp; Wildflower Field"" – Nail Art Stickers")</x:f>
        <x:v>HYPERLINK is not implemented. linkLocation=https://365nails.com/products/365nails-iridescent-cat-wildflower-field-handmade-press-on-nails, friendlyName=365nails: "Iridescent Cat &amp; Wildflower Field" – Nail Art Stickers</x:v>
      </x:c>
      <x:c r="D5908" s="18" t="str">
        <x:v>Specification type: To4038-shell light / To4039-relief</x:v>
      </x:c>
      <x:c r="E5908" s="25" t="str">
        <x:v>$1.23</x:v>
      </x:c>
      <x:c r="F5908" s="19" t="str">
        <x:v>5</x:v>
      </x:c>
    </x:row>
    <x:row r="5909" ht="93" customHeight="1">
      <x:c r="A5909" s="19" t="n">
        <x:v>5906</x:v>
      </x:c>
      <x:c r="B5909" s="22" t="e">
        <x:f>HYPERLINK("https://cdn.shopify.com/s/files/1/0918/6066/4603/files/232d9e7f710541f44bb6ecd5ff5c51d5.jpg?v=1777785824","Open")</x:f>
        <x:v>HYPERLINK is not implemented. linkLocation=https://cdn.shopify.com/s/files/1/0918/6066/4603/files/232d9e7f710541f44bb6ecd5ff5c51d5.jpg?v=1777785824, friendlyName=Open</x:v>
      </x:c>
      <x:c r="C5909" s="24" t="e">
        <x:f>HYPERLINK("https://365nails.com/products/365nails-blue-pink-flower-zebra-short-handmade-short-trapezoid-press-on-nails","365nails: ""Blue Pink Flower Zebra Short"" – Handmade Short Trapezoid Press-On Nails")</x:f>
        <x:v>HYPERLINK is not implemented. linkLocation=https://365nails.com/products/365nails-blue-pink-flower-zebra-short-handmade-short-trapezoid-press-on-nails, friendlyName=365nails: "Blue Pink Flower Zebra Short" – Handmade Short Trapezoid Press-On Nails</x:v>
      </x:c>
      <x:c r="D5909" s="18" t="str">
        <x:v>Size: XS / S / M / L</x:v>
      </x:c>
      <x:c r="E5909" s="25" t="str">
        <x:v>$4.49</x:v>
      </x:c>
      <x:c r="F5909" s="19" t="str">
        <x:v>5</x:v>
      </x:c>
    </x:row>
    <x:row r="5910" ht="93" customHeight="1">
      <x:c r="A5910" s="19" t="n">
        <x:v>5907</x:v>
      </x:c>
      <x:c r="B5910" s="22" t="e">
        <x:f>HYPERLINK("https://cdn.shopify.com/s/files/1/0918/6066/4603/files/9fb19db5ff9edcd879484f9ba70735a1.jpg?v=1777791577","Open")</x:f>
        <x:v>HYPERLINK is not implemented. linkLocation=https://cdn.shopify.com/s/files/1/0918/6066/4603/files/9fb19db5ff9edcd879484f9ba70735a1.jpg?v=1777791577, friendlyName=Open</x:v>
      </x:c>
      <x:c r="C5910" s="24" t="e">
        <x:f>HYPERLINK("https://365nails.com/products/365nails-flower-french-tip-short-handmade-short-almond-press-on-nails","365nails: ""Flower French Tip Short"" – Handmade Short Almond Press-On Nails")</x:f>
        <x:v>HYPERLINK is not implemented. linkLocation=https://365nails.com/products/365nails-flower-french-tip-short-handmade-short-almond-press-on-nails, friendlyName=365nails: "Flower French Tip Short" – Handmade Short Almond Press-On Nails</x:v>
      </x:c>
      <x:c r="D5910" s="18" t="str">
        <x:v>Size: XS / S / M / L</x:v>
      </x:c>
      <x:c r="E5910" s="25" t="str">
        <x:v>$3.49</x:v>
      </x:c>
      <x:c r="F5910" s="19" t="str">
        <x:v>5</x:v>
      </x:c>
    </x:row>
    <x:row r="5911" ht="93" customHeight="1">
      <x:c r="A5911" s="19" t="n">
        <x:v>5908</x:v>
      </x:c>
      <x:c r="B5911" s="22" t="e">
        <x:f>HYPERLINK("https://cdn.shopify.com/s/files/1/0918/6066/4603/files/28c5f43da8aae27448c5b056e6e235b2.jpg?v=1777799016","Open")</x:f>
        <x:v>HYPERLINK is not implemented. linkLocation=https://cdn.shopify.com/s/files/1/0918/6066/4603/files/28c5f43da8aae27448c5b056e6e235b2.jpg?v=1777799016, friendlyName=Open</x:v>
      </x:c>
      <x:c r="C5911" s="24" t="e">
        <x:f>HYPERLINK("https://365nails.com/products/365nails-nude-yellow-flower-cow-print-handmade-short-square-press-on-nails","365nails: ""Nude Yellow Flower Cow Print"" – Handmade Short Square Press-On Nails")</x:f>
        <x:v>HYPERLINK is not implemented. linkLocation=https://365nails.com/products/365nails-nude-yellow-flower-cow-print-handmade-short-square-press-on-nails, friendlyName=365nails: "Nude Yellow Flower Cow Print" – Handmade Short Square Press-On Nails</x:v>
      </x:c>
      <x:c r="D5911" s="18" t="str">
        <x:v>Size: XS / S / M / L</x:v>
      </x:c>
      <x:c r="E5911" s="25" t="str">
        <x:v>$3.49</x:v>
      </x:c>
      <x:c r="F5911" s="19" t="str">
        <x:v>5</x:v>
      </x:c>
    </x:row>
    <x:row r="5912" ht="93" customHeight="1">
      <x:c r="A5912" s="19" t="n">
        <x:v>5909</x:v>
      </x:c>
      <x:c r="B5912" s="22" t="e">
        <x:f>HYPERLINK("https://cdn.shopify.com/s/files/1/0918/6066/4603/files/8c92defc598440b2687336e97bce8fe0.jpg?v=1777787462","Open")</x:f>
        <x:v>HYPERLINK is not implemented. linkLocation=https://cdn.shopify.com/s/files/1/0918/6066/4603/files/8c92defc598440b2687336e97bce8fe0.jpg?v=1777787462, friendlyName=Open</x:v>
      </x:c>
      <x:c r="C5912" s="24" t="e">
        <x:f>HYPERLINK("https://365nails.com/products/365nails-elegant-pink-gold-rose-bow-star-medium-handmade-medium-stiletto-press-on-nails","365nails: ""Elegant Pink Gold Rose Bow Star Medium"" – Handmade Medium Stiletto Press-On Nails")</x:f>
        <x:v>HYPERLINK is not implemented. linkLocation=https://365nails.com/products/365nails-elegant-pink-gold-rose-bow-star-medium-handmade-medium-stiletto-press-on-nails, friendlyName=365nails: "Elegant Pink Gold Rose Bow Star Medium" – Handmade Medium Stiletto Press-On Nails</x:v>
      </x:c>
      <x:c r="D5912" s="18" t="str">
        <x:v>Size: XS / S / M / L</x:v>
      </x:c>
      <x:c r="E5912" s="25" t="str">
        <x:v>$4.49</x:v>
      </x:c>
      <x:c r="F5912" s="19" t="str">
        <x:v>5</x:v>
      </x:c>
    </x:row>
    <x:row r="5913" ht="93" customHeight="1">
      <x:c r="A5913" s="19" t="n">
        <x:v>5910</x:v>
      </x:c>
      <x:c r="B5913" s="22" t="e">
        <x:f>HYPERLINK("https://cdn.shopify.com/s/files/1/0918/6066/4603/files/c1d0cf665d17712d65286be65e23331a.jpg?v=1777786594","Open")</x:f>
        <x:v>HYPERLINK is not implemented. linkLocation=https://cdn.shopify.com/s/files/1/0918/6066/4603/files/c1d0cf665d17712d65286be65e23331a.jpg?v=1777786594, friendlyName=Open</x:v>
      </x:c>
      <x:c r="C5913" s="24" t="e">
        <x:f>HYPERLINK("https://365nails.com/products/365nails-gold-white-black-rhinestone-long-handmade-long-trapezoid-press-on-nails","365nails: ""Gold White Black Rhinestone Long"" – Handmade Long Trapezoid Press-On Nails")</x:f>
        <x:v>HYPERLINK is not implemented. linkLocation=https://365nails.com/products/365nails-gold-white-black-rhinestone-long-handmade-long-trapezoid-press-on-nails, friendlyName=365nails: "Gold White Black Rhinestone Long" – Handmade Long Trapezoid Press-On Nails</x:v>
      </x:c>
      <x:c r="D5913" s="18" t="str">
        <x:v>Size: XS / S / M / L</x:v>
      </x:c>
      <x:c r="E5913" s="25" t="str">
        <x:v>$4.49</x:v>
      </x:c>
      <x:c r="F5913" s="19" t="str">
        <x:v>5</x:v>
      </x:c>
    </x:row>
    <x:row r="5914" ht="93" customHeight="1">
      <x:c r="A5914" s="19" t="n">
        <x:v>5911</x:v>
      </x:c>
      <x:c r="B5914" s="22" t="e">
        <x:f>HYPERLINK("https://cdn.shopify.com/s/files/1/0918/6066/4603/files/871ca51184ccacd5dbdd14530326a79d.jpg?v=1776414991","Open")</x:f>
        <x:v>HYPERLINK is not implemented. linkLocation=https://cdn.shopify.com/s/files/1/0918/6066/4603/files/871ca51184ccacd5dbdd14530326a79d.jpg?v=1776414991, friendlyName=Open</x:v>
      </x:c>
      <x:c r="C5914" s="24" t="e">
        <x:f>HYPERLINK("https://365nails.com/products/365nails-mo-dao-zu-shi-wei-wuxian-lan-wangji-handmade-medium-almond-press-on-nails","365nails: ""Mo Dao Zu Shi Wei Wuxian &amp; Lan Wangji"" – Handmade Medium Almond Press-On Nails")</x:f>
        <x:v>HYPERLINK is not implemented. linkLocation=https://365nails.com/products/365nails-mo-dao-zu-shi-wei-wuxian-lan-wangji-handmade-medium-almond-press-on-nails, friendlyName=365nails: "Mo Dao Zu Shi Wei Wuxian &amp; Lan Wangji" – Handmade Medium Almond Press-On Nails</x:v>
      </x:c>
      <x:c r="D5914" s="18" t="str">
        <x:v>Size: XS / S / M</x:v>
      </x:c>
      <x:c r="E5914" s="25" t="str">
        <x:v>$3.49</x:v>
      </x:c>
      <x:c r="F5914" s="19" t="str">
        <x:v>5</x:v>
      </x:c>
    </x:row>
    <x:row r="5915" ht="93" customHeight="1">
      <x:c r="A5915" s="19" t="n">
        <x:v>5912</x:v>
      </x:c>
      <x:c r="B5915" s="22" t="e">
        <x:f>HYPERLINK("https://cdn.shopify.com/s/files/1/0918/6066/4603/files/6d14090d38bdcf7aadd5e94417659580.jpg?v=1777786273","Open")</x:f>
        <x:v>HYPERLINK is not implemented. linkLocation=https://cdn.shopify.com/s/files/1/0918/6066/4603/files/6d14090d38bdcf7aadd5e94417659580.jpg?v=1777786273, friendlyName=Open</x:v>
      </x:c>
      <x:c r="C5915" s="24" t="e">
        <x:f>HYPERLINK("https://365nails.com/products/365nails-pink-black-leopard-butterfly-medium-handmade-medium-trapezoid-press-on-nails","365nails: ""Pink Black Leopard Butterfly Medium"" – Handmade Medium Trapezoid Press-On Nails")</x:f>
        <x:v>HYPERLINK is not implemented. linkLocation=https://365nails.com/products/365nails-pink-black-leopard-butterfly-medium-handmade-medium-trapezoid-press-on-nails, friendlyName=365nails: "Pink Black Leopard Butterfly Medium" – Handmade Medium Trapezoid Press-On Nails</x:v>
      </x:c>
      <x:c r="D5915" s="18" t="str">
        <x:v>Size: XS / S / M / L</x:v>
      </x:c>
      <x:c r="E5915" s="25" t="str">
        <x:v>$4.49</x:v>
      </x:c>
      <x:c r="F5915" s="19" t="str">
        <x:v>5</x:v>
      </x:c>
    </x:row>
    <x:row r="5916" ht="93" customHeight="1">
      <x:c r="A5916" s="19" t="n">
        <x:v>5913</x:v>
      </x:c>
      <x:c r="B5916" s="22" t="e">
        <x:f>HYPERLINK("https://cdn.shopify.com/s/files/1/0918/6066/4603/files/a3b3f25efa816c0ad0014bbdd9c49d9f.jpg?v=1777788079","Open")</x:f>
        <x:v>HYPERLINK is not implemented. linkLocation=https://cdn.shopify.com/s/files/1/0918/6066/4603/files/a3b3f25efa816c0ad0014bbdd9c49d9f.jpg?v=1777788079, friendlyName=Open</x:v>
      </x:c>
      <x:c r="C5916" s="24" t="e">
        <x:f>HYPERLINK("https://365nails.com/products/365nails-elegant-white-flower-rhinestone-long-handmade-long-trapezoid-press-on-nails","365nails: ""Elegant White Flower Rhinestone Long"" – Handmade Long Trapezoid Press-On Nails")</x:f>
        <x:v>HYPERLINK is not implemented. linkLocation=https://365nails.com/products/365nails-elegant-white-flower-rhinestone-long-handmade-long-trapezoid-press-on-nails, friendlyName=365nails: "Elegant White Flower Rhinestone Long" – Handmade Long Trapezoid Press-On Nails</x:v>
      </x:c>
      <x:c r="D5916" s="18" t="str">
        <x:v>Size: XS / S / M / L</x:v>
      </x:c>
      <x:c r="E5916" s="25" t="str">
        <x:v>$5.99</x:v>
      </x:c>
      <x:c r="F5916" s="19" t="str">
        <x:v>5</x:v>
      </x:c>
    </x:row>
    <x:row r="5917" ht="93" customHeight="1">
      <x:c r="A5917" s="19" t="n">
        <x:v>5914</x:v>
      </x:c>
      <x:c r="B5917" s="22" t="e">
        <x:f>HYPERLINK("https://cdn.shopify.com/s/files/1/0918/6066/4603/files/6e3afa7360b2c9a3190251997faa63ee.jpg?v=1777788229","Open")</x:f>
        <x:v>HYPERLINK is not implemented. linkLocation=https://cdn.shopify.com/s/files/1/0918/6066/4603/files/6e3afa7360b2c9a3190251997faa63ee.jpg?v=1777788229, friendlyName=Open</x:v>
      </x:c>
      <x:c r="C5917" s="24" t="e">
        <x:f>HYPERLINK("https://365nails.com/products/365nails-white-pink-leopard-flower-rhinestone-long-handmade-long-trapezoid-press-on-nails","365nails: ""White Pink Leopard Flower Rhinestone Long"" – Handmade Long Trapezoid Press-On Nails")</x:f>
        <x:v>HYPERLINK is not implemented. linkLocation=https://365nails.com/products/365nails-white-pink-leopard-flower-rhinestone-long-handmade-long-trapezoid-press-on-nails, friendlyName=365nails: "White Pink Leopard Flower Rhinestone Long" – Handmade Long Trapezoid Press-On Nails</x:v>
      </x:c>
      <x:c r="D5917" s="18" t="str">
        <x:v>Size: XS / S / M / L</x:v>
      </x:c>
      <x:c r="E5917" s="25" t="str">
        <x:v>$4.99</x:v>
      </x:c>
      <x:c r="F5917" s="19" t="str">
        <x:v>5</x:v>
      </x:c>
    </x:row>
    <x:row r="5918" ht="93" customHeight="1">
      <x:c r="A5918" s="19" t="n">
        <x:v>5915</x:v>
      </x:c>
      <x:c r="B5918" s="22" t="e">
        <x:f>HYPERLINK("https://cdn.shopify.com/s/files/1/0918/6066/4603/files/034f76d4f5f9d0290576fe4df37346bd.jpg?v=1771482458","Open")</x:f>
        <x:v>HYPERLINK is not implemented. linkLocation=https://cdn.shopify.com/s/files/1/0918/6066/4603/files/034f76d4f5f9d0290576fe4df37346bd.jpg?v=1771482458, friendlyName=Open</x:v>
      </x:c>
      <x:c r="C5918" s="24" t="e">
        <x:f>HYPERLINK("https://365nails.com/products/azure-coast-mocha-sculpted-flora-series","Sculpted Flora: ""Azure Coast &amp; Mocha"" – 3D Jelly Flowers on Blue-Brown Gradient Coffin Nails with Dewdrops")</x:f>
        <x:v>HYPERLINK is not implemented. linkLocation=https://365nails.com/products/azure-coast-mocha-sculpted-flora-series, friendlyName=Sculpted Flora: "Azure Coast &amp; Mocha" – 3D Jelly Flowers on Blue-Brown Gradient Coffin Nails with Dewdrops</x:v>
      </x:c>
      <x:c r="D5918" s="18" t="str">
        <x:v>Size: XS / S / M / L</x:v>
      </x:c>
      <x:c r="E5918" s="25" t="str">
        <x:v>$3.99</x:v>
      </x:c>
      <x:c r="F5918" s="19" t="str">
        <x:v>5</x:v>
      </x:c>
    </x:row>
    <x:row r="5919" ht="93" customHeight="1">
      <x:c r="A5919" s="19" t="n">
        <x:v>5916</x:v>
      </x:c>
      <x:c r="B5919" s="22" t="e">
        <x:f>HYPERLINK("https://cdn.shopify.com/s/files/1/0918/6066/4603/files/70fb9d458be5d5c17f61e2225b1e9e69.jpg?v=1777622958","Open")</x:f>
        <x:v>HYPERLINK is not implemented. linkLocation=https://cdn.shopify.com/s/files/1/0918/6066/4603/files/70fb9d458be5d5c17f61e2225b1e9e69.jpg?v=1777622958, friendlyName=Open</x:v>
      </x:c>
      <x:c r="C5919" s="24" t="e">
        <x:f>HYPERLINK("https://365nails.com/products/365nails-red-gradient-floral-handmade-medium-almond-press-on-nails","365nails: ""Red Gradient Floral"" – Handmade Medium Almond Press-On Nails")</x:f>
        <x:v>HYPERLINK is not implemented. linkLocation=https://365nails.com/products/365nails-red-gradient-floral-handmade-medium-almond-press-on-nails, friendlyName=365nails: "Red Gradient Floral" – Handmade Medium Almond Press-On Nails</x:v>
      </x:c>
      <x:c r="D5919" s="18" t="str">
        <x:v>Size: XS / S / M / L</x:v>
      </x:c>
      <x:c r="E5919" s="25" t="str">
        <x:v>$4.99</x:v>
      </x:c>
      <x:c r="F5919" s="19" t="str">
        <x:v>5</x:v>
      </x:c>
    </x:row>
    <x:row r="5920" ht="93" customHeight="1">
      <x:c r="A5920" s="19" t="n">
        <x:v>5917</x:v>
      </x:c>
      <x:c r="B5920" s="22" t="e">
        <x:f>HYPERLINK("https://cdn.shopify.com/s/files/1/0918/6066/4603/files/4bd2a8261cd0b04f75338663869429f0.jpg?v=1777786039","Open")</x:f>
        <x:v>HYPERLINK is not implemented. linkLocation=https://cdn.shopify.com/s/files/1/0918/6066/4603/files/4bd2a8261cd0b04f75338663869429f0.jpg?v=1777786039, friendlyName=Open</x:v>
      </x:c>
      <x:c r="C5920" s="24" t="e">
        <x:f>HYPERLINK("https://365nails.com/products/365nails-black-pink-butterfly-money-short-handmade-short-trapezoid-press-on-nails","365nails: ""Black Pink Butterfly Money Short"" – Handmade Short Trapezoid Press-On Nails")</x:f>
        <x:v>HYPERLINK is not implemented. linkLocation=https://365nails.com/products/365nails-black-pink-butterfly-money-short-handmade-short-trapezoid-press-on-nails, friendlyName=365nails: "Black Pink Butterfly Money Short" – Handmade Short Trapezoid Press-On Nails</x:v>
      </x:c>
      <x:c r="D5920" s="18" t="str">
        <x:v>Size: XS / S / M / L</x:v>
      </x:c>
      <x:c r="E5920" s="25" t="str">
        <x:v>$4.49</x:v>
      </x:c>
      <x:c r="F5920" s="19" t="str">
        <x:v>5</x:v>
      </x:c>
    </x:row>
    <x:row r="5921" ht="93" customHeight="1">
      <x:c r="A5921" s="19" t="n">
        <x:v>5918</x:v>
      </x:c>
      <x:c r="B5921" s="22" t="e">
        <x:f>HYPERLINK("https://cdn.shopify.com/s/files/1/0918/6066/4603/files/37ed8b35d39ab69dd5329582a7c3161d.jpg?v=1777785962","Open")</x:f>
        <x:v>HYPERLINK is not implemented. linkLocation=https://cdn.shopify.com/s/files/1/0918/6066/4603/files/37ed8b35d39ab69dd5329582a7c3161d.jpg?v=1777785962, friendlyName=Open</x:v>
      </x:c>
      <x:c r="C5921" s="24" t="e">
        <x:f>HYPERLINK("https://365nails.com/products/365nails-purple-black-butterfly-rhinestone-short-handmade-short-trapezoid-press-on-nails","365nails: ""Purple Black Butterfly Rhinestone Short"" – Handmade Short Trapezoid Press-On Nails")</x:f>
        <x:v>HYPERLINK is not implemented. linkLocation=https://365nails.com/products/365nails-purple-black-butterfly-rhinestone-short-handmade-short-trapezoid-press-on-nails, friendlyName=365nails: "Purple Black Butterfly Rhinestone Short" – Handmade Short Trapezoid Press-On Nails</x:v>
      </x:c>
      <x:c r="D5921" s="18" t="str">
        <x:v>Size: XS / S / M / L</x:v>
      </x:c>
      <x:c r="E5921" s="25" t="str">
        <x:v>$4.49</x:v>
      </x:c>
      <x:c r="F5921" s="19" t="str">
        <x:v>5</x:v>
      </x:c>
    </x:row>
    <x:row r="5922" ht="93" customHeight="1">
      <x:c r="A5922" s="19" t="n">
        <x:v>5919</x:v>
      </x:c>
      <x:c r="B5922" s="22" t="e">
        <x:f>HYPERLINK("https://cdn.shopify.com/s/files/1/0918/6066/4603/files/9067f88e271e5398523821392cc29035.jpg?v=1777787071","Open")</x:f>
        <x:v>HYPERLINK is not implemented. linkLocation=https://cdn.shopify.com/s/files/1/0918/6066/4603/files/9067f88e271e5398523821392cc29035.jpg?v=1777787071, friendlyName=Open</x:v>
      </x:c>
      <x:c r="C5922" s="24" t="e">
        <x:f>HYPERLINK("https://365nails.com/products/365nails-elegant-white-gold-pearl-shell-medium-handmade-medium-stiletto-press-on-nails","365nails: ""Elegant White Gold Pearl Shell Medium"" – Handmade Medium Stiletto Press-On Nails")</x:f>
        <x:v>HYPERLINK is not implemented. linkLocation=https://365nails.com/products/365nails-elegant-white-gold-pearl-shell-medium-handmade-medium-stiletto-press-on-nails, friendlyName=365nails: "Elegant White Gold Pearl Shell Medium" – Handmade Medium Stiletto Press-On Nails</x:v>
      </x:c>
      <x:c r="D5922" s="18" t="str">
        <x:v>Size: XS / S / M / L</x:v>
      </x:c>
      <x:c r="E5922" s="25" t="str">
        <x:v>$4.49</x:v>
      </x:c>
      <x:c r="F5922" s="19" t="str">
        <x:v>5</x:v>
      </x:c>
    </x:row>
    <x:row r="5923" ht="93" customHeight="1">
      <x:c r="A5923" s="19" t="n">
        <x:v>5920</x:v>
      </x:c>
      <x:c r="B5923" s="22" t="e">
        <x:f>HYPERLINK("https://cdn.shopify.com/s/files/1/0918/6066/4603/files/17da5e3a76c744d4cf0a46aab5ff6b94.jpg?v=1781011979","Open")</x:f>
        <x:v>HYPERLINK is not implemented. linkLocation=https://cdn.shopify.com/s/files/1/0918/6066/4603/files/17da5e3a76c744d4cf0a46aab5ff6b94.jpg?v=1781011979, friendlyName=Open</x:v>
      </x:c>
      <x:c r="C5923" s="24" t="e">
        <x:f>HYPERLINK("https://365nails.com/products/365nails-rock-punk-star-music-spike-rhinestone-3d-metal-charm-handmade-medium-square-nails","365nails: ""Rock Punk Star Music Spike Rhinestone"" – 3D Metal Charm Handmade Medium Square Nails")</x:f>
        <x:v>HYPERLINK is not implemented. linkLocation=https://365nails.com/products/365nails-rock-punk-star-music-spike-rhinestone-3d-metal-charm-handmade-medium-square-nails, friendlyName=365nails: "Rock Punk Star Music Spike Rhinestone" – 3D Metal Charm Handmade Medium Square Nails</x:v>
      </x:c>
      <x:c r="D5923" s="18" t="str">
        <x:v>Size: XS / S / M / L</x:v>
      </x:c>
      <x:c r="E5923" s="25" t="str">
        <x:v>$3.49</x:v>
      </x:c>
      <x:c r="F5923" s="19" t="str">
        <x:v>3</x:v>
      </x:c>
    </x:row>
    <x:row r="5924" ht="93" customHeight="1">
      <x:c r="A5924" s="19" t="n">
        <x:v>5921</x:v>
      </x:c>
      <x:c r="B5924" s="22" t="e">
        <x:f>HYPERLINK("https://cdn.shopify.com/s/files/1/0918/6066/4603/files/f8f065057920b0c8bccfe8fef7a7cf22.jpg?v=1777786440","Open")</x:f>
        <x:v>HYPERLINK is not implemented. linkLocation=https://cdn.shopify.com/s/files/1/0918/6066/4603/files/f8f065057920b0c8bccfe8fef7a7cf22.jpg?v=1777786440, friendlyName=Open</x:v>
      </x:c>
      <x:c r="C5924" s="24" t="e">
        <x:f>HYPERLINK("https://365nails.com/products/365nails-colorful-monster-eye-star-rhinestone-short-handmade-short-trapezoid-press-on-nails","365nails: ""Colorful Monster Eye Star Rhinestone Short"" – Handmade Short Trapezoid Press-On Nails")</x:f>
        <x:v>HYPERLINK is not implemented. linkLocation=https://365nails.com/products/365nails-colorful-monster-eye-star-rhinestone-short-handmade-short-trapezoid-press-on-nails, friendlyName=365nails: "Colorful Monster Eye Star Rhinestone Short" – Handmade Short Trapezoid Press-On Nails</x:v>
      </x:c>
      <x:c r="D5924" s="18" t="str">
        <x:v>Size: XS / S / M / L</x:v>
      </x:c>
      <x:c r="E5924" s="25" t="str">
        <x:v>$4.49</x:v>
      </x:c>
      <x:c r="F5924" s="19" t="str">
        <x:v>5</x:v>
      </x:c>
    </x:row>
    <x:row r="5925" ht="93" customHeight="1">
      <x:c r="A5925" s="19" t="n">
        <x:v>5922</x:v>
      </x:c>
      <x:c r="B5925" s="22" t="e">
        <x:f>HYPERLINK("https://cdn.shopify.com/s/files/1/0918/6066/4603/files/O1CN01vSYxJj1HlX1LQErVQ__2545140798-0-cib_2971bb55-59bb-4844-99f8-7864db887e0b.jpg?v=1775449247","Open")</x:f>
        <x:v>HYPERLINK is not implemented. linkLocation=https://cdn.shopify.com/s/files/1/0918/6066/4603/files/O1CN01vSYxJj1HlX1LQErVQ__2545140798-0-cib_2971bb55-59bb-4844-99f8-7864db887e0b.jpg?v=1775449247, friendlyName=Open</x:v>
      </x:c>
      <x:c r="C5925" s="24" t="e">
        <x:f>HYPERLINK("https://365nails.com/products/365nails-cute-kawaii-panda-handmade-press-on-nails","365nails: ""Cute Kawaii Panda"" – Nail Art Stickers")</x:f>
        <x:v>HYPERLINK is not implemented. linkLocation=https://365nails.com/products/365nails-cute-kawaii-panda-handmade-press-on-nails, friendlyName=365nails: "Cute Kawaii Panda" – Nail Art Stickers</x:v>
      </x:c>
      <x:c r="D5925" s="18" t="str">
        <x:v>Specification type: To4022-relief / To4025-relief</x:v>
      </x:c>
      <x:c r="E5925" s="25" t="str">
        <x:v>$1.23</x:v>
      </x:c>
      <x:c r="F5925" s="19" t="str">
        <x:v>5</x:v>
      </x:c>
    </x:row>
    <x:row r="5926" ht="93" customHeight="1">
      <x:c r="A5926" s="19" t="n">
        <x:v>5923</x:v>
      </x:c>
      <x:c r="B5926" s="22" t="e">
        <x:f>HYPERLINK("https://cdn.shopify.com/s/files/1/0918/6066/4603/files/5bb5188d3f295ba7aeea1a3628c15ddf.jpg?v=1777543396","Open")</x:f>
        <x:v>HYPERLINK is not implemented. linkLocation=https://cdn.shopify.com/s/files/1/0918/6066/4603/files/5bb5188d3f295ba7aeea1a3628c15ddf.jpg?v=1777543396, friendlyName=Open</x:v>
      </x:c>
      <x:c r="C5926" s="24" t="e">
        <x:f>HYPERLINK("https://365nails.com/products/365nails-pink-3d-flower-french-handmade-medium-square-press-on-nails","365nails: ""Pink 3D Flower French"" – Handmade Medium Square Press-On Nails")</x:f>
        <x:v>HYPERLINK is not implemented. linkLocation=https://365nails.com/products/365nails-pink-3d-flower-french-handmade-medium-square-press-on-nails, friendlyName=365nails: "Pink 3D Flower French" – Handmade Medium Square Press-On Nails</x:v>
      </x:c>
      <x:c r="D5926" s="18" t="str">
        <x:v>Size: XS / S / M / L</x:v>
      </x:c>
      <x:c r="E5926" s="25" t="str">
        <x:v>$4.99</x:v>
      </x:c>
      <x:c r="F5926" s="19" t="str">
        <x:v>5</x:v>
      </x:c>
    </x:row>
    <x:row r="5927" ht="93" customHeight="1">
      <x:c r="A5927" s="19" t="n">
        <x:v>5924</x:v>
      </x:c>
      <x:c r="B5927" s="22" t="e">
        <x:f>HYPERLINK("https://cdn.shopify.com/s/files/1/0918/6066/4603/files/759216389f0de0a0c3be363efde3cc1f.jpg?v=1777555059","Open")</x:f>
        <x:v>HYPERLINK is not implemented. linkLocation=https://cdn.shopify.com/s/files/1/0918/6066/4603/files/759216389f0de0a0c3be363efde3cc1f.jpg?v=1777555059, friendlyName=Open</x:v>
      </x:c>
      <x:c r="C5927" s="24" t="e">
        <x:f>HYPERLINK("https://365nails.com/products/365nails-spring-floral-gold-handmade-medium-square-press-on-nails","365nails: ""Spring Floral Gold"" – Handmade Medium Square Press-On Nails")</x:f>
        <x:v>HYPERLINK is not implemented. linkLocation=https://365nails.com/products/365nails-spring-floral-gold-handmade-medium-square-press-on-nails, friendlyName=365nails: "Spring Floral Gold" – Handmade Medium Square Press-On Nails</x:v>
      </x:c>
      <x:c r="D5927" s="18" t="str">
        <x:v>Size: XS / S / M / L</x:v>
      </x:c>
      <x:c r="E5927" s="25" t="str">
        <x:v>$4.99</x:v>
      </x:c>
      <x:c r="F5927" s="19" t="str">
        <x:v>5</x:v>
      </x:c>
    </x:row>
    <x:row r="5928" ht="93" customHeight="1">
      <x:c r="A5928" s="19" t="n">
        <x:v>5925</x:v>
      </x:c>
      <x:c r="B5928" s="22" t="e">
        <x:f>HYPERLINK("https://cdn.shopify.com/s/files/1/0918/6066/4603/files/83fae53bfcf09ede5560ebe301b73b8d.jpg?v=1777561880","Open")</x:f>
        <x:v>HYPERLINK is not implemented. linkLocation=https://cdn.shopify.com/s/files/1/0918/6066/4603/files/83fae53bfcf09ede5560ebe301b73b8d.jpg?v=1777561880, friendlyName=Open</x:v>
      </x:c>
      <x:c r="C5928" s="24" t="e">
        <x:f>HYPERLINK("https://365nails.com/products/365nails-nude-floral-print-handmade-medium-square-press-on-nails","365nails: ""Nude Floral Print"" – Handmade Medium Square Press-On Nails")</x:f>
        <x:v>HYPERLINK is not implemented. linkLocation=https://365nails.com/products/365nails-nude-floral-print-handmade-medium-square-press-on-nails, friendlyName=365nails: "Nude Floral Print" – Handmade Medium Square Press-On Nails</x:v>
      </x:c>
      <x:c r="D5928" s="18" t="str">
        <x:v>Size: XS / S / M / L</x:v>
      </x:c>
      <x:c r="E5928" s="25" t="str">
        <x:v>$4.99</x:v>
      </x:c>
      <x:c r="F5928" s="19" t="str">
        <x:v>5</x:v>
      </x:c>
    </x:row>
    <x:row r="5929" ht="93" customHeight="1">
      <x:c r="A5929" s="19" t="n">
        <x:v>5926</x:v>
      </x:c>
      <x:c r="B5929" s="22" t="e">
        <x:f>HYPERLINK("https://cdn.shopify.com/s/files/1/0918/6066/4603/files/3edfdebbf7cf4ede606f271403c4b372.jpg?v=1776422059","Open")</x:f>
        <x:v>HYPERLINK is not implemented. linkLocation=https://cdn.shopify.com/s/files/1/0918/6066/4603/files/3edfdebbf7cf4ede606f271403c4b372.jpg?v=1776422059, friendlyName=Open</x:v>
      </x:c>
      <x:c r="C5929" s="24" t="e">
        <x:f>HYPERLINK("https://365nails.com/products/365nails-demon-slayer-mitsuri-kanroji-handmade-medium-trapezoid-press-on-nails","365nails: ""Demon Slayer Mitsuri Kanroji"" – Handmade Medium Trapezoid Press-On Nails")</x:f>
        <x:v>HYPERLINK is not implemented. linkLocation=https://365nails.com/products/365nails-demon-slayer-mitsuri-kanroji-handmade-medium-trapezoid-press-on-nails, friendlyName=365nails: "Demon Slayer Mitsuri Kanroji" – Handmade Medium Trapezoid Press-On Nails</x:v>
      </x:c>
      <x:c r="D5929" s="18" t="str">
        <x:v>Size: XS / S / M</x:v>
      </x:c>
      <x:c r="E5929" s="25" t="str">
        <x:v>$3.49</x:v>
      </x:c>
      <x:c r="F5929" s="19" t="str">
        <x:v>5</x:v>
      </x:c>
    </x:row>
    <x:row r="5930" ht="93" customHeight="1">
      <x:c r="A5930" s="19" t="n">
        <x:v>5927</x:v>
      </x:c>
      <x:c r="B5930" s="22" t="e">
        <x:f>HYPERLINK("https://cdn.shopify.com/s/files/1/0918/6066/4603/files/7649c1d6041395ce3a5db47eb4b6e141_f021e028-48bc-4165-a3ed-c191b8ce2ea1.jpg?v=1764323168","Open")</x:f>
        <x:v>HYPERLINK is not implemented. linkLocation=https://cdn.shopify.com/s/files/1/0918/6066/4603/files/7649c1d6041395ce3a5db47eb4b6e141_f021e028-48bc-4165-a3ed-c191b8ce2ea1.jpg?v=1764323168, friendlyName=Open</x:v>
      </x:c>
      <x:c r="C5930" s="24" t="e">
        <x:f>HYPERLINK("https://365nails.com/products/aurora-glitter-dragon-claw-stiletto-clear-crystal-premium-handmade-dragon-nail","Aurora Glitter Dragon Claw Stiletto Clear Crystal Premium Handmade Dragon nail")</x:f>
        <x:v>HYPERLINK is not implemented. linkLocation=https://365nails.com/products/aurora-glitter-dragon-claw-stiletto-clear-crystal-premium-handmade-dragon-nail, friendlyName=Aurora Glitter Dragon Claw Stiletto Clear Crystal Premium Handmade Dragon nail</x:v>
      </x:c>
      <x:c r="D5930" s="18" t="str">
        <x:v>Size: XS / S / M / L; length: 25mm / 40mm</x:v>
      </x:c>
      <x:c r="E5930" s="25" t="str">
        <x:v>$6.99</x:v>
      </x:c>
      <x:c r="F5930" s="19" t="str">
        <x:v>1</x:v>
      </x:c>
    </x:row>
    <x:row r="5931" ht="93" customHeight="1">
      <x:c r="A5931" s="19" t="n">
        <x:v>5928</x:v>
      </x:c>
      <x:c r="B5931" s="22" t="e">
        <x:f>HYPERLINK("https://cdn.shopify.com/s/files/1/0918/6066/4603/files/227595010141da66a87cd84ad85b4665.jpg?v=1777556002","Open")</x:f>
        <x:v>HYPERLINK is not implemented. linkLocation=https://cdn.shopify.com/s/files/1/0918/6066/4603/files/227595010141da66a87cd84ad85b4665.jpg?v=1777556002, friendlyName=Open</x:v>
      </x:c>
      <x:c r="C5931" s="24" t="e">
        <x:f>HYPERLINK("https://365nails.com/products/365nails-black-silver-gothic-handmade-medium-stiletto-press-on-nails","365nails: ""Black &amp; Silver Gothic"" – Handmade Medium Stiletto Press-On Nails")</x:f>
        <x:v>HYPERLINK is not implemented. linkLocation=https://365nails.com/products/365nails-black-silver-gothic-handmade-medium-stiletto-press-on-nails, friendlyName=365nails: "Black &amp; Silver Gothic" – Handmade Medium Stiletto Press-On Nails</x:v>
      </x:c>
      <x:c r="D5931" s="18" t="str">
        <x:v>Size: XS / S / M / L</x:v>
      </x:c>
      <x:c r="E5931" s="25" t="str">
        <x:v>$4.99</x:v>
      </x:c>
      <x:c r="F5931" s="19" t="str">
        <x:v>5</x:v>
      </x:c>
    </x:row>
    <x:row r="5932" ht="93" customHeight="1">
      <x:c r="A5932" s="19" t="n">
        <x:v>5929</x:v>
      </x:c>
      <x:c r="B5932" s="22" t="e">
        <x:f>HYPERLINK("https://cdn.shopify.com/s/files/1/0918/6066/4603/files/1707666ba0f431d686fe3ce7ee853f07.jpg?v=1777554132","Open")</x:f>
        <x:v>HYPERLINK is not implemented. linkLocation=https://cdn.shopify.com/s/files/1/0918/6066/4603/files/1707666ba0f431d686fe3ce7ee853f07.jpg?v=1777554132, friendlyName=Open</x:v>
      </x:c>
      <x:c r="C5932" s="24" t="e">
        <x:f>HYPERLINK("https://365nails.com/products/365nails-tropical-sunset-handmade-medium-almond-press-on-nails","365nails: ""Tropical Sunset"" – Handmade Medium Almond Press-On Nails")</x:f>
        <x:v>HYPERLINK is not implemented. linkLocation=https://365nails.com/products/365nails-tropical-sunset-handmade-medium-almond-press-on-nails, friendlyName=365nails: "Tropical Sunset" – Handmade Medium Almond Press-On Nails</x:v>
      </x:c>
      <x:c r="D5932" s="18" t="str">
        <x:v>Size: XS / S / M / L</x:v>
      </x:c>
      <x:c r="E5932" s="25" t="str">
        <x:v>$4.99</x:v>
      </x:c>
      <x:c r="F5932" s="19" t="str">
        <x:v>5</x:v>
      </x:c>
    </x:row>
    <x:row r="5933" ht="93" customHeight="1">
      <x:c r="A5933" s="19" t="n">
        <x:v>5930</x:v>
      </x:c>
      <x:c r="B5933" s="22" t="e">
        <x:f>HYPERLINK("https://cdn.shopify.com/s/files/1/0918/6066/4603/files/bb7f67a6355dbd6fdc91073df34b9079.jpg?v=1764571903","Open")</x:f>
        <x:v>HYPERLINK is not implemented. linkLocation=https://cdn.shopify.com/s/files/1/0918/6066/4603/files/bb7f67a6355dbd6fdc91073df34b9079.jpg?v=1764571903, friendlyName=Open</x:v>
      </x:c>
      <x:c r="C5933" s="24" t="e">
        <x:f>HYPERLINK("https://365nails.com/products/galaxy-silver-gradient-dragon-claw-stiletto-black-grey-premium-handmade-dragon-nail","Galaxy Silver Gradient Dragon Claw Stiletto Black &amp; Grey Premium Handmade Dragon Nail")</x:f>
        <x:v>HYPERLINK is not implemented. linkLocation=https://365nails.com/products/galaxy-silver-gradient-dragon-claw-stiletto-black-grey-premium-handmade-dragon-nail, friendlyName=Galaxy Silver Gradient Dragon Claw Stiletto Black &amp; Grey Premium Handmade Dragon Nail</x:v>
      </x:c>
      <x:c r="D5933" s="18" t="str">
        <x:v>Size: XS / S / M / L; length: 40mm / 25mm</x:v>
      </x:c>
      <x:c r="E5933" s="25" t="str">
        <x:v>$6.99</x:v>
      </x:c>
      <x:c r="F5933" s="19" t="str">
        <x:v>1</x:v>
      </x:c>
    </x:row>
    <x:row r="5934" ht="93" customHeight="1">
      <x:c r="A5934" s="19" t="n">
        <x:v>5931</x:v>
      </x:c>
      <x:c r="B5934" s="22" t="e">
        <x:f>HYPERLINK("https://cdn.shopify.com/s/files/1/0918/6066/4603/files/cc38e9db9d418b881f6c0a0ff9b606bd.jpg?v=1777554460","Open")</x:f>
        <x:v>HYPERLINK is not implemented. linkLocation=https://cdn.shopify.com/s/files/1/0918/6066/4603/files/cc38e9db9d418b881f6c0a0ff9b606bd.jpg?v=1777554460, friendlyName=Open</x:v>
      </x:c>
      <x:c r="C5934" s="24" t="e">
        <x:f>HYPERLINK("https://365nails.com/products/365nails-pastel-floral-shell-handmade-medium-almond-press-on-nails","365nails: ""Pastel Floral Shell"" – Handmade Medium Almond Press-On Nails")</x:f>
        <x:v>HYPERLINK is not implemented. linkLocation=https://365nails.com/products/365nails-pastel-floral-shell-handmade-medium-almond-press-on-nails, friendlyName=365nails: "Pastel Floral Shell" – Handmade Medium Almond Press-On Nails</x:v>
      </x:c>
      <x:c r="D5934" s="18" t="str">
        <x:v>Size: XS / S / M / L</x:v>
      </x:c>
      <x:c r="E5934" s="25" t="str">
        <x:v>$4.99</x:v>
      </x:c>
      <x:c r="F5934" s="19" t="str">
        <x:v>5</x:v>
      </x:c>
    </x:row>
    <x:row r="5935" ht="93" customHeight="1">
      <x:c r="A5935" s="19" t="n">
        <x:v>5932</x:v>
      </x:c>
      <x:c r="B5935" s="22" t="e">
        <x:f>HYPERLINK("https://cdn.shopify.com/s/files/1/0918/6066/4603/files/6783296269cdb8ad94820d6c2f9fa2f6_eb390d0c-c871-49eb-a5dc-a8a4e787e9ef.jpg?v=1777622922","Open")</x:f>
        <x:v>HYPERLINK is not implemented. linkLocation=https://cdn.shopify.com/s/files/1/0918/6066/4603/files/6783296269cdb8ad94820d6c2f9fa2f6_eb390d0c-c871-49eb-a5dc-a8a4e787e9ef.jpg?v=1777622922, friendlyName=Open</x:v>
      </x:c>
      <x:c r="C5935" s="24" t="e">
        <x:f>HYPERLINK("https://365nails.com/products/365nails-tropical-fruit-butterfly-handmade-medium-stiletto-press-on-nails","365nails: ""Tropical Fruit Butterfly"" – Handmade Medium Stiletto Press-On Nails")</x:f>
        <x:v>HYPERLINK is not implemented. linkLocation=https://365nails.com/products/365nails-tropical-fruit-butterfly-handmade-medium-stiletto-press-on-nails, friendlyName=365nails: "Tropical Fruit Butterfly" – Handmade Medium Stiletto Press-On Nails</x:v>
      </x:c>
      <x:c r="D5935" s="18" t="str">
        <x:v>Size: XS / S / M / L</x:v>
      </x:c>
      <x:c r="E5935" s="25" t="str">
        <x:v>$5.99</x:v>
      </x:c>
      <x:c r="F5935" s="19" t="str">
        <x:v>5</x:v>
      </x:c>
    </x:row>
    <x:row r="5936" ht="93" customHeight="1">
      <x:c r="A5936" s="19" t="n">
        <x:v>5933</x:v>
      </x:c>
      <x:c r="B5936" s="22" t="e">
        <x:f>HYPERLINK("https://cdn.shopify.com/s/files/1/0918/6066/4603/files/d281566612ab9eb9a50f992b36d9bc1d.jpg?v=1777555250","Open")</x:f>
        <x:v>HYPERLINK is not implemented. linkLocation=https://cdn.shopify.com/s/files/1/0918/6066/4603/files/d281566612ab9eb9a50f992b36d9bc1d.jpg?v=1777555250, friendlyName=Open</x:v>
      </x:c>
      <x:c r="C5936" s="24" t="e">
        <x:f>HYPERLINK("https://365nails.com/products/365nails-ocean-blue-bubble-flower-handmade-medium-almond-press-on-nails","365nails: ""Ocean Blue Bubble Flower"" – Handmade Medium Almond Press-On Nails")</x:f>
        <x:v>HYPERLINK is not implemented. linkLocation=https://365nails.com/products/365nails-ocean-blue-bubble-flower-handmade-medium-almond-press-on-nails, friendlyName=365nails: "Ocean Blue Bubble Flower" – Handmade Medium Almond Press-On Nails</x:v>
      </x:c>
      <x:c r="D5936" s="18" t="str">
        <x:v>Size: XS / S / M / L</x:v>
      </x:c>
      <x:c r="E5936" s="25" t="str">
        <x:v>$4.99</x:v>
      </x:c>
      <x:c r="F5936" s="19" t="str">
        <x:v>5</x:v>
      </x:c>
    </x:row>
    <x:row r="5937" ht="93" customHeight="1">
      <x:c r="A5937" s="19" t="n">
        <x:v>5934</x:v>
      </x:c>
      <x:c r="B5937" s="22" t="e">
        <x:f>HYPERLINK("https://cdn.shopify.com/s/files/1/0918/6066/4603/files/4f2e31fd15353725e0bc5039ada8ec94.jpg?v=1776418475","Open")</x:f>
        <x:v>HYPERLINK is not implemented. linkLocation=https://cdn.shopify.com/s/files/1/0918/6066/4603/files/4f2e31fd15353725e0bc5039ada8ec94.jpg?v=1776418475, friendlyName=Open</x:v>
      </x:c>
      <x:c r="C5937" s="24" t="e">
        <x:f>HYPERLINK("https://365nails.com/products/365nails-demon-slayer-zenitsu-agatsuma-handmade-short-almond-press-on-nails","365nails: ""Demon Slayer Zenitsu Agatsuma"" – Handmade Short Almond Press-On Nails")</x:f>
        <x:v>HYPERLINK is not implemented. linkLocation=https://365nails.com/products/365nails-demon-slayer-zenitsu-agatsuma-handmade-short-almond-press-on-nails, friendlyName=365nails: "Demon Slayer Zenitsu Agatsuma" – Handmade Short Almond Press-On Nails</x:v>
      </x:c>
      <x:c r="D5937" s="18" t="str">
        <x:v>Size: XS / S / M</x:v>
      </x:c>
      <x:c r="E5937" s="25" t="str">
        <x:v>$3.49</x:v>
      </x:c>
      <x:c r="F5937" s="19" t="str">
        <x:v>5</x:v>
      </x:c>
    </x:row>
    <x:row r="5938" ht="93" customHeight="1">
      <x:c r="A5938" s="19" t="n">
        <x:v>5935</x:v>
      </x:c>
      <x:c r="B5938" s="22" t="e">
        <x:f>HYPERLINK("https://cdn.shopify.com/s/files/1/0918/6066/4603/files/59d05c5d1b9765751355de3a6aeb2421.jpg?v=1777543184","Open")</x:f>
        <x:v>HYPERLINK is not implemented. linkLocation=https://cdn.shopify.com/s/files/1/0918/6066/4603/files/59d05c5d1b9765751355de3a6aeb2421.jpg?v=1777543184, friendlyName=Open</x:v>
      </x:c>
      <x:c r="C5938" s="24" t="e">
        <x:f>HYPERLINK("https://365nails.com/products/365nails-blue-floral-french-handmade-medium-almond-press-on-nails","365nails: ""Blue Floral French"" – Handmade Medium Almond Press-On Nails")</x:f>
        <x:v>HYPERLINK is not implemented. linkLocation=https://365nails.com/products/365nails-blue-floral-french-handmade-medium-almond-press-on-nails, friendlyName=365nails: "Blue Floral French" – Handmade Medium Almond Press-On Nails</x:v>
      </x:c>
      <x:c r="D5938" s="18" t="str">
        <x:v>Size: XS / S / M / L</x:v>
      </x:c>
      <x:c r="E5938" s="25" t="str">
        <x:v>$4.99</x:v>
      </x:c>
      <x:c r="F5938" s="19" t="str">
        <x:v>5</x:v>
      </x:c>
    </x:row>
    <x:row r="5939" ht="93" customHeight="1">
      <x:c r="A5939" s="19" t="n">
        <x:v>5936</x:v>
      </x:c>
      <x:c r="B5939" s="22" t="e">
        <x:f>HYPERLINK("https://cdn.shopify.com/s/files/1/0918/6066/4603/files/3a02823fe5f0668593498a06b8d33e56.jpg?v=1777555793","Open")</x:f>
        <x:v>HYPERLINK is not implemented. linkLocation=https://cdn.shopify.com/s/files/1/0918/6066/4603/files/3a02823fe5f0668593498a06b8d33e56.jpg?v=1777555793, friendlyName=Open</x:v>
      </x:c>
      <x:c r="C5939" s="24" t="e">
        <x:f>HYPERLINK("https://365nails.com/products/365nails-neon-green-abstract-handmade-medium-square-press-on-nails","365nails: ""Neon Green Abstract"" – Handmade Medium Square Press-On Nails")</x:f>
        <x:v>HYPERLINK is not implemented. linkLocation=https://365nails.com/products/365nails-neon-green-abstract-handmade-medium-square-press-on-nails, friendlyName=365nails: "Neon Green Abstract" – Handmade Medium Square Press-On Nails</x:v>
      </x:c>
      <x:c r="D5939" s="18" t="str">
        <x:v>Size: XS / S / M / L</x:v>
      </x:c>
      <x:c r="E5939" s="25" t="str">
        <x:v>$4.99</x:v>
      </x:c>
      <x:c r="F5939" s="19" t="str">
        <x:v>5</x:v>
      </x:c>
    </x:row>
    <x:row r="5940" ht="93" customHeight="1">
      <x:c r="A5940" s="19" t="n">
        <x:v>5937</x:v>
      </x:c>
      <x:c r="B5940" s="22" t="e">
        <x:f>HYPERLINK("https://cdn.shopify.com/s/files/1/0918/6066/4603/files/3847dd3ce9bc77286c741f5af93994fb.jpg?v=1777559166","Open")</x:f>
        <x:v>HYPERLINK is not implemented. linkLocation=https://cdn.shopify.com/s/files/1/0918/6066/4603/files/3847dd3ce9bc77286c741f5af93994fb.jpg?v=1777559166, friendlyName=Open</x:v>
      </x:c>
      <x:c r="C5940" s="24" t="e">
        <x:f>HYPERLINK("https://365nails.com/products/365nails-green-gothic-silver-handmade-medium-almond-press-on-nails","365nails: ""Green Gothic Silver"" – Handmade Medium Almond Press-On Nails")</x:f>
        <x:v>HYPERLINK is not implemented. linkLocation=https://365nails.com/products/365nails-green-gothic-silver-handmade-medium-almond-press-on-nails, friendlyName=365nails: "Green Gothic Silver" – Handmade Medium Almond Press-On Nails</x:v>
      </x:c>
      <x:c r="D5940" s="18" t="str">
        <x:v>Size: XS / S / M / L</x:v>
      </x:c>
      <x:c r="E5940" s="25" t="str">
        <x:v>$4.99</x:v>
      </x:c>
      <x:c r="F5940" s="19" t="str">
        <x:v>5</x:v>
      </x:c>
    </x:row>
    <x:row r="5941" ht="93" customHeight="1">
      <x:c r="A5941" s="19" t="n">
        <x:v>5938</x:v>
      </x:c>
      <x:c r="B5941" s="22" t="e">
        <x:f>HYPERLINK("https://cdn.shopify.com/s/files/1/0918/6066/4603/files/c45a36fc67167636a7d312dcec288de8.jpg?v=1777542932","Open")</x:f>
        <x:v>HYPERLINK is not implemented. linkLocation=https://cdn.shopify.com/s/files/1/0918/6066/4603/files/c45a36fc67167636a7d312dcec288de8.jpg?v=1777542932, friendlyName=Open</x:v>
      </x:c>
      <x:c r="C5941" s="24" t="e">
        <x:f>HYPERLINK("https://365nails.com/products/365nails-blue-floral-gold-french-handmade-short-almond-press-on-nails","365nails: ""Blue Floral &amp; Gold French"" – Handmade Short Almond Press-On Nails")</x:f>
        <x:v>HYPERLINK is not implemented. linkLocation=https://365nails.com/products/365nails-blue-floral-gold-french-handmade-short-almond-press-on-nails, friendlyName=365nails: "Blue Floral &amp; Gold French" – Handmade Short Almond Press-On Nails</x:v>
      </x:c>
      <x:c r="D5941" s="18" t="str">
        <x:v>Size: XS / S / M / L</x:v>
      </x:c>
      <x:c r="E5941" s="25" t="str">
        <x:v>$4.99</x:v>
      </x:c>
      <x:c r="F5941" s="19" t="str">
        <x:v>5</x:v>
      </x:c>
    </x:row>
    <x:row r="5942" ht="93" customHeight="1">
      <x:c r="A5942" s="19" t="n">
        <x:v>5939</x:v>
      </x:c>
      <x:c r="B5942" s="22" t="e">
        <x:f>HYPERLINK("https://cdn.shopify.com/s/files/1/0918/6066/4603/files/88c44b0633e4985f511ebd2768644965.jpg?v=1777555571","Open")</x:f>
        <x:v>HYPERLINK is not implemented. linkLocation=https://cdn.shopify.com/s/files/1/0918/6066/4603/files/88c44b0633e4985f511ebd2768644965.jpg?v=1777555571, friendlyName=Open</x:v>
      </x:c>
      <x:c r="C5942" s="24" t="e">
        <x:f>HYPERLINK("https://365nails.com/products/365nails-barbie-pink-star-handmade-medium-square-press-on-nails","365nails: ""Barbie Pink Star"" – Handmade Medium Square Press-On Nails")</x:f>
        <x:v>HYPERLINK is not implemented. linkLocation=https://365nails.com/products/365nails-barbie-pink-star-handmade-medium-square-press-on-nails, friendlyName=365nails: "Barbie Pink Star" – Handmade Medium Square Press-On Nails</x:v>
      </x:c>
      <x:c r="D5942" s="18" t="str">
        <x:v>Size: XS / S / M / L</x:v>
      </x:c>
      <x:c r="E5942" s="25" t="str">
        <x:v>$4.99</x:v>
      </x:c>
      <x:c r="F5942" s="19" t="str">
        <x:v>5</x:v>
      </x:c>
    </x:row>
    <x:row r="5943" ht="93" customHeight="1">
      <x:c r="A5943" s="19" t="n">
        <x:v>5940</x:v>
      </x:c>
      <x:c r="B5943" s="22" t="e">
        <x:f>HYPERLINK("https://cdn.shopify.com/s/files/1/0918/6066/4603/files/4cf4ac491b4f6a5ae0c659a08ac96e02.jpg?v=1777561807","Open")</x:f>
        <x:v>HYPERLINK is not implemented. linkLocation=https://cdn.shopify.com/s/files/1/0918/6066/4603/files/4cf4ac491b4f6a5ae0c659a08ac96e02.jpg?v=1777561807, friendlyName=Open</x:v>
      </x:c>
      <x:c r="C5943" s="24" t="e">
        <x:f>HYPERLINK("https://365nails.com/products/365nails-mermaid-shimmer-handmade-medium-stiletto-press-on-nails","365nails: ""Mermaid Shimmer"" – Handmade Medium Stiletto Press-On Nails")</x:f>
        <x:v>HYPERLINK is not implemented. linkLocation=https://365nails.com/products/365nails-mermaid-shimmer-handmade-medium-stiletto-press-on-nails, friendlyName=365nails: "Mermaid Shimmer" – Handmade Medium Stiletto Press-On Nails</x:v>
      </x:c>
      <x:c r="D5943" s="18" t="str">
        <x:v>Size: XS / S / M / L</x:v>
      </x:c>
      <x:c r="E5943" s="25" t="str">
        <x:v>$4.99</x:v>
      </x:c>
      <x:c r="F5943" s="19" t="str">
        <x:v>5</x:v>
      </x:c>
    </x:row>
    <x:row r="5944" ht="93" customHeight="1">
      <x:c r="A5944" s="19" t="n">
        <x:v>5941</x:v>
      </x:c>
      <x:c r="B5944" s="22" t="e">
        <x:f>HYPERLINK("https://cdn.shopify.com/s/files/1/0918/6066/4603/files/f096363e1368b328f685bc13415d08de.jpg?v=1777554897","Open")</x:f>
        <x:v>HYPERLINK is not implemented. linkLocation=https://cdn.shopify.com/s/files/1/0918/6066/4603/files/f096363e1368b328f685bc13415d08de.jpg?v=1777554897, friendlyName=Open</x:v>
      </x:c>
      <x:c r="C5944" s="24" t="e">
        <x:f>HYPERLINK("https://365nails.com/products/365nails-y2k-grunge-cross-flower-handmade-medium-almond-press-on-nails","365nails: ""Y2K Grunge Cross &amp; Flower"" – Handmade Medium Almond Press-On Nails")</x:f>
        <x:v>HYPERLINK is not implemented. linkLocation=https://365nails.com/products/365nails-y2k-grunge-cross-flower-handmade-medium-almond-press-on-nails, friendlyName=365nails: "Y2K Grunge Cross &amp; Flower" – Handmade Medium Almond Press-On Nails</x:v>
      </x:c>
      <x:c r="D5944" s="18" t="str">
        <x:v>Size: XS / S / M / L</x:v>
      </x:c>
      <x:c r="E5944" s="25" t="str">
        <x:v>$4.99</x:v>
      </x:c>
      <x:c r="F5944" s="19" t="str">
        <x:v>5</x:v>
      </x:c>
    </x:row>
    <x:row r="5945" ht="93" customHeight="1">
      <x:c r="A5945" s="19" t="n">
        <x:v>5942</x:v>
      </x:c>
      <x:c r="B5945" s="22" t="e">
        <x:f>HYPERLINK("https://cdn.shopify.com/s/files/1/0918/6066/4603/files/3209288ae0fe1b6ac6421583f25490d0.jpg?v=1777562300","Open")</x:f>
        <x:v>HYPERLINK is not implemented. linkLocation=https://cdn.shopify.com/s/files/1/0918/6066/4603/files/3209288ae0fe1b6ac6421583f25490d0.jpg?v=1777562300, friendlyName=Open</x:v>
      </x:c>
      <x:c r="C5945" s="24" t="e">
        <x:f>HYPERLINK("https://365nails.com/products/365nails-ocean-blue-silver-handmade-medium-stiletto-press-on-nails","365nails: ""Ocean Blue Silver"" – Handmade Medium Stiletto Press-On Nails")</x:f>
        <x:v>HYPERLINK is not implemented. linkLocation=https://365nails.com/products/365nails-ocean-blue-silver-handmade-medium-stiletto-press-on-nails, friendlyName=365nails: "Ocean Blue Silver" – Handmade Medium Stiletto Press-On Nails</x:v>
      </x:c>
      <x:c r="D5945" s="18" t="str">
        <x:v>Size: XS / S / M / L</x:v>
      </x:c>
      <x:c r="E5945" s="25" t="str">
        <x:v>$4.99</x:v>
      </x:c>
      <x:c r="F5945" s="19" t="str">
        <x:v>5</x:v>
      </x:c>
    </x:row>
    <x:row r="5946" ht="93" customHeight="1">
      <x:c r="A5946" s="19" t="n">
        <x:v>5943</x:v>
      </x:c>
      <x:c r="B5946" s="22" t="e">
        <x:f>HYPERLINK("https://cdn.shopify.com/s/files/1/0918/6066/4603/files/e5b492b097bd2901b5e06d47643bb986.jpg?v=1777542651","Open")</x:f>
        <x:v>HYPERLINK is not implemented. linkLocation=https://cdn.shopify.com/s/files/1/0918/6066/4603/files/e5b492b097bd2901b5e06d47643bb986.jpg?v=1777542651, friendlyName=Open</x:v>
      </x:c>
      <x:c r="C5946" s="24" t="e">
        <x:f>HYPERLINK("https://365nails.com/products/365nails-black-purple-gothic-handmade-medium-square-press-on-nails","365nails: ""Black &amp; Purple Gothic"" – Handmade Medium Square Press-On Nails")</x:f>
        <x:v>HYPERLINK is not implemented. linkLocation=https://365nails.com/products/365nails-black-purple-gothic-handmade-medium-square-press-on-nails, friendlyName=365nails: "Black &amp; Purple Gothic" – Handmade Medium Square Press-On Nails</x:v>
      </x:c>
      <x:c r="D5946" s="18" t="str">
        <x:v>Size: XS / S / M / L</x:v>
      </x:c>
      <x:c r="E5946" s="25" t="str">
        <x:v>$2.99</x:v>
      </x:c>
      <x:c r="F5946" s="19" t="str">
        <x:v>5</x:v>
      </x:c>
    </x:row>
    <x:row r="5947" ht="93" customHeight="1">
      <x:c r="A5947" s="19" t="n">
        <x:v>5944</x:v>
      </x:c>
      <x:c r="B5947" s="22" t="e">
        <x:f>HYPERLINK("https://cdn.shopify.com/s/files/1/0918/6066/4603/files/dc979a7967cb9147f70117a732ac9b9d.jpg?v=1776418376","Open")</x:f>
        <x:v>HYPERLINK is not implemented. linkLocation=https://cdn.shopify.com/s/files/1/0918/6066/4603/files/dc979a7967cb9147f70117a732ac9b9d.jpg?v=1776418376, friendlyName=Open</x:v>
      </x:c>
      <x:c r="C5947" s="24" t="e">
        <x:f>HYPERLINK("https://365nails.com/products/365nails-demon-slayer-kyojuro-rengoku-handmade-short-almond-press-on-nails","365nails: ""Demon Slayer Kyojuro Rengoku"" – Handmade Short Almond Press-On Nails")</x:f>
        <x:v>HYPERLINK is not implemented. linkLocation=https://365nails.com/products/365nails-demon-slayer-kyojuro-rengoku-handmade-short-almond-press-on-nails, friendlyName=365nails: "Demon Slayer Kyojuro Rengoku" – Handmade Short Almond Press-On Nails</x:v>
      </x:c>
      <x:c r="D5947" s="18" t="str">
        <x:v>Size: XS / S / M</x:v>
      </x:c>
      <x:c r="E5947" s="25" t="str">
        <x:v>$3.49</x:v>
      </x:c>
      <x:c r="F5947" s="19" t="str">
        <x:v>5</x:v>
      </x:c>
    </x:row>
    <x:row r="5948" ht="93" customHeight="1">
      <x:c r="A5948" s="19" t="n">
        <x:v>5945</x:v>
      </x:c>
      <x:c r="B5948" s="22" t="e">
        <x:f>HYPERLINK("https://cdn.shopify.com/s/files/1/0918/6066/4603/files/e9e04cc78602de944b3ef6b038a86156.jpg?v=1776417685","Open")</x:f>
        <x:v>HYPERLINK is not implemented. linkLocation=https://cdn.shopify.com/s/files/1/0918/6066/4603/files/e9e04cc78602de944b3ef6b038a86156.jpg?v=1776417685, friendlyName=Open</x:v>
      </x:c>
      <x:c r="C5948" s="24" t="e">
        <x:f>HYPERLINK("https://365nails.com/products/365nails-demon-slayer-kokushibo-handmade-short-almond-press-on-nails","365nails: ""Demon Slayer Kokushibo"" – Handmade Short Almond Press-On Nails")</x:f>
        <x:v>HYPERLINK is not implemented. linkLocation=https://365nails.com/products/365nails-demon-slayer-kokushibo-handmade-short-almond-press-on-nails, friendlyName=365nails: "Demon Slayer Kokushibo" – Handmade Short Almond Press-On Nails</x:v>
      </x:c>
      <x:c r="D5948" s="18" t="str">
        <x:v>Size: XS / S / M</x:v>
      </x:c>
      <x:c r="E5948" s="25" t="str">
        <x:v>$3.49</x:v>
      </x:c>
      <x:c r="F5948" s="19" t="str">
        <x:v>5</x:v>
      </x:c>
    </x:row>
    <x:row r="5949" ht="93" customHeight="1">
      <x:c r="A5949" s="19" t="n">
        <x:v>5946</x:v>
      </x:c>
      <x:c r="B5949" s="22" t="e">
        <x:f>HYPERLINK("https://cdn.shopify.com/s/files/1/0918/6066/4603/files/8ac3e08bc8b23db778b07e7c6eb408ff.jpg?v=1776418896","Open")</x:f>
        <x:v>HYPERLINK is not implemented. linkLocation=https://cdn.shopify.com/s/files/1/0918/6066/4603/files/8ac3e08bc8b23db778b07e7c6eb408ff.jpg?v=1776418896, friendlyName=Open</x:v>
      </x:c>
      <x:c r="C5949" s="24" t="e">
        <x:f>HYPERLINK("https://365nails.com/products/365nails-demon-slayer-tengen-uzui-handmade-short-almond-press-on-nails","365nails: ""Demon Slayer Tengen Uzui"" – Handmade Short Almond Press-On Nails")</x:f>
        <x:v>HYPERLINK is not implemented. linkLocation=https://365nails.com/products/365nails-demon-slayer-tengen-uzui-handmade-short-almond-press-on-nails, friendlyName=365nails: "Demon Slayer Tengen Uzui" – Handmade Short Almond Press-On Nails</x:v>
      </x:c>
      <x:c r="D5949" s="18" t="str">
        <x:v>Size: XS / S / M</x:v>
      </x:c>
      <x:c r="E5949" s="25" t="str">
        <x:v>$3.49</x:v>
      </x:c>
      <x:c r="F5949" s="19" t="str">
        <x:v>5</x:v>
      </x:c>
    </x:row>
    <x:row r="5950" ht="93" customHeight="1">
      <x:c r="A5950" s="19" t="n">
        <x:v>5947</x:v>
      </x:c>
      <x:c r="B5950" s="22" t="e">
        <x:f>HYPERLINK("https://cdn.shopify.com/s/files/1/0918/6066/4603/files/O1CN01YmrmqU1HlX7VCEpIE__2545140798-0-cib_9db5f90b-feab-4af9-8273-27bb33177d51.jpg?v=1775485956","Open")</x:f>
        <x:v>HYPERLINK is not implemented. linkLocation=https://cdn.shopify.com/s/files/1/0918/6066/4603/files/O1CN01YmrmqU1HlX7VCEpIE__2545140798-0-cib_9db5f90b-feab-4af9-8273-27bb33177d51.jpg?v=1775485956, friendlyName=Open</x:v>
      </x:c>
      <x:c r="C5950" s="24" t="e">
        <x:f>HYPERLINK("https://365nails.com/products/365nails-lotso-strawberry-bear-handmade-press-on-nails","365nails: ""Lotso Strawberry Bear"" –Nail Art Stickers")</x:f>
        <x:v>HYPERLINK is not implemented. linkLocation=https://365nails.com/products/365nails-lotso-strawberry-bear-handmade-press-on-nails, friendlyName=365nails: "Lotso Strawberry Bear" –Nail Art Stickers</x:v>
      </x:c>
      <x:c r="D5950" s="18" t="str">
        <x:v>Specification type: Td022 t</x:v>
      </x:c>
      <x:c r="E5950" s="25" t="str">
        <x:v>$1.23</x:v>
      </x:c>
      <x:c r="F5950" s="19" t="str">
        <x:v>5</x:v>
      </x:c>
    </x:row>
    <x:row r="5951" ht="93" customHeight="1">
      <x:c r="A5951" s="19" t="n">
        <x:v>5948</x:v>
      </x:c>
      <x:c r="B5951" s="22" t="e">
        <x:f>HYPERLINK("https://cdn.shopify.com/s/files/1/0918/6066/4603/files/af53dc2366b9fb6b09b0863200cb524b.jpg?v=1781051401","Open")</x:f>
        <x:v>HYPERLINK is not implemented. linkLocation=https://cdn.shopify.com/s/files/1/0918/6066/4603/files/af53dc2366b9fb6b09b0863200cb524b.jpg?v=1781051401, friendlyName=Open</x:v>
      </x:c>
      <x:c r="C5951" s="24" t="e">
        <x:f>HYPERLINK("https://365nails.com/products/365nails-luxury-gold-foil-rhinestone-heart-floral-virgin-mary-metal-premium-bling-handmade-medium-square-nails","365nails: ""Luxury Gold Foil Rhinestone Heart Floral Virgin Mary Metal"" – Premium Bling Handmade Medium Square Nails")</x:f>
        <x:v>HYPERLINK is not implemented. linkLocation=https://365nails.com/products/365nails-luxury-gold-foil-rhinestone-heart-floral-virgin-mary-metal-premium-bling-handmade-medium-square-nails, friendlyName=365nails: "Luxury Gold Foil Rhinestone Heart Floral Virgin Mary Metal" – Premium Bling Handmade Medium Square Nails</x:v>
      </x:c>
      <x:c r="D5951" s="18" t="str">
        <x:v>Size: XS / S / M / L</x:v>
      </x:c>
      <x:c r="E5951" s="25" t="str">
        <x:v>$4.99</x:v>
      </x:c>
      <x:c r="F5951" s="19" t="str">
        <x:v>3</x:v>
      </x:c>
    </x:row>
    <x:row r="5952" ht="93" customHeight="1">
      <x:c r="A5952" s="19" t="n">
        <x:v>5949</x:v>
      </x:c>
      <x:c r="B5952" s="22" t="e">
        <x:f>HYPERLINK("https://cdn.shopify.com/s/files/1/0918/6066/4603/files/995d6399d334ae29af6cbee321f8bdf6.jpg?v=1776418572","Open")</x:f>
        <x:v>HYPERLINK is not implemented. linkLocation=https://cdn.shopify.com/s/files/1/0918/6066/4603/files/995d6399d334ae29af6cbee321f8bdf6.jpg?v=1776418572, friendlyName=Open</x:v>
      </x:c>
      <x:c r="C5952" s="24" t="e">
        <x:f>HYPERLINK("https://365nails.com/products/365nails-demon-slayer-main-characters-handmade-medium-trapezoid-press-on-nails","365nails: ""Demon Slayer Main Characters"" – Handmade Medium Trapezoid Press-On Nails")</x:f>
        <x:v>HYPERLINK is not implemented. linkLocation=https://365nails.com/products/365nails-demon-slayer-main-characters-handmade-medium-trapezoid-press-on-nails, friendlyName=365nails: "Demon Slayer Main Characters" – Handmade Medium Trapezoid Press-On Nails</x:v>
      </x:c>
      <x:c r="D5952" s="18" t="str">
        <x:v>Size: XS / S / M</x:v>
      </x:c>
      <x:c r="E5952" s="25" t="str">
        <x:v>$3.49</x:v>
      </x:c>
      <x:c r="F5952" s="19" t="str">
        <x:v>5</x:v>
      </x:c>
    </x:row>
    <x:row r="5953" ht="93" customHeight="1">
      <x:c r="A5953" s="19" t="n">
        <x:v>5950</x:v>
      </x:c>
      <x:c r="B5953" s="22" t="e">
        <x:f>HYPERLINK("https://cdn.shopify.com/s/files/1/0918/6066/4603/files/13e0e04ab3d82409f9e840404a1f0b76.jpg?v=1777778655","Open")</x:f>
        <x:v>HYPERLINK is not implemented. linkLocation=https://cdn.shopify.com/s/files/1/0918/6066/4603/files/13e0e04ab3d82409f9e840404a1f0b76.jpg?v=1777778655, friendlyName=Open</x:v>
      </x:c>
      <x:c r="C5953" s="24" t="e">
        <x:f>HYPERLINK("https://365nails.com/products/365nails-red-heart-rhinestone-handmade-short-trapezoid-press-on-nails","365nails: ""Red Heart Rhinestone"" – Handmade Short Trapezoid Press-On Nails")</x:f>
        <x:v>HYPERLINK is not implemented. linkLocation=https://365nails.com/products/365nails-red-heart-rhinestone-handmade-short-trapezoid-press-on-nails, friendlyName=365nails: "Red Heart Rhinestone" – Handmade Short Trapezoid Press-On Nails</x:v>
      </x:c>
      <x:c r="D5953" s="18" t="str">
        <x:v>Size: XS / S / M / L</x:v>
      </x:c>
      <x:c r="E5953" s="25" t="str">
        <x:v>$4.49</x:v>
      </x:c>
      <x:c r="F5953" s="19" t="str">
        <x:v>5</x:v>
      </x:c>
    </x:row>
    <x:row r="5954" ht="93" customHeight="1">
      <x:c r="A5954" s="19" t="n">
        <x:v>5951</x:v>
      </x:c>
      <x:c r="B5954" s="22" t="e">
        <x:f>HYPERLINK("https://cdn.shopify.com/s/files/1/0918/6066/4603/files/03e1d98f1b67ca44b8aa395d7768f8a7_5ff44788-d42e-4a98-b92c-159a37e6e232.jpg?v=1781011684","Open")</x:f>
        <x:v>HYPERLINK is not implemented. linkLocation=https://cdn.shopify.com/s/files/1/0918/6066/4603/files/03e1d98f1b67ca44b8aa395d7768f8a7_5ff44788-d42e-4a98-b92c-159a37e6e232.jpg?v=1781011684, friendlyName=Open</x:v>
      </x:c>
      <x:c r="C5954" s="24" t="e">
        <x:f>HYPERLINK("https://365nails.com/products/365nails-pink-chrome-mirror-nude-metallic-mirror-handmade-medium-square-nails","365nails: ""Pink Chrome Mirror Nude"" – Metallic Mirror Handmade Medium Square Nails")</x:f>
        <x:v>HYPERLINK is not implemented. linkLocation=https://365nails.com/products/365nails-pink-chrome-mirror-nude-metallic-mirror-handmade-medium-square-nails, friendlyName=365nails: "Pink Chrome Mirror Nude" – Metallic Mirror Handmade Medium Square Nails</x:v>
      </x:c>
      <x:c r="D5954" s="18" t="str">
        <x:v>Size: XS / S / M / L</x:v>
      </x:c>
      <x:c r="E5954" s="25" t="str">
        <x:v>$1.99</x:v>
      </x:c>
      <x:c r="F5954" s="19" t="str">
        <x:v>3</x:v>
      </x:c>
    </x:row>
    <x:row r="5955" ht="93" customHeight="1">
      <x:c r="A5955" s="19" t="n">
        <x:v>5952</x:v>
      </x:c>
      <x:c r="B5955" s="22" t="e">
        <x:f>HYPERLINK("https://cdn.shopify.com/s/files/1/0918/6066/4603/files/O1CN01aYV3zc1HlX7SvKn9u__2545140798-0-cib_dc974704-cb84-4af6-8db3-b10b3e3d98f5.jpg?v=1775487178","Open")</x:f>
        <x:v>HYPERLINK is not implemented. linkLocation=https://cdn.shopify.com/s/files/1/0918/6066/4603/files/O1CN01aYV3zc1HlX7SvKn9u__2545140798-0-cib_dc974704-cb84-4af6-8db3-b10b3e3d98f5.jpg?v=1775487178, friendlyName=Open</x:v>
      </x:c>
      <x:c r="C5955" s="24" t="e">
        <x:f>HYPERLINK("https://365nails.com/products/365nails-lace-lingerie-coquette-handmade-press-on-nails","365nails: ""Lace Lingerie Coquette"" –Nail Art Stickers")</x:f>
        <x:v>HYPERLINK is not implemented. linkLocation=https://365nails.com/products/365nails-lace-lingerie-coquette-handmade-press-on-nails, friendlyName=365nails: "Lace Lingerie Coquette" –Nail Art Stickers</x:v>
      </x:c>
      <x:c r="D5955" s="18" t="str">
        <x:v>Specification type: To5141</x:v>
      </x:c>
      <x:c r="E5955" s="25" t="str">
        <x:v>$1.09</x:v>
      </x:c>
      <x:c r="F5955" s="19" t="str">
        <x:v>5</x:v>
      </x:c>
    </x:row>
    <x:row r="5956" ht="93" customHeight="1">
      <x:c r="A5956" s="19" t="n">
        <x:v>5953</x:v>
      </x:c>
      <x:c r="B5956" s="22" t="e">
        <x:f>HYPERLINK("https://cdn.shopify.com/s/files/1/0918/6066/4603/files/O1CN017zyJGK1HlWyTl8kK4__2545140798-0-cib_0627d916-b74e-4cbe-88c3-13c2ac9a0925.jpg?v=1775397472","Open")</x:f>
        <x:v>HYPERLINK is not implemented. linkLocation=https://cdn.shopify.com/s/files/1/0918/6066/4603/files/O1CN017zyJGK1HlWyTl8kK4__2545140798-0-cib_0627d916-b74e-4cbe-88c3-13c2ac9a0925.jpg?v=1775397472, friendlyName=Open</x:v>
      </x:c>
      <x:c r="C5956" s="24" t="e">
        <x:f>HYPERLINK("https://365nails.com/products/365-nails-lunar-new-year-blessings-festive-word-art-stickers","365 Nails: ""Lunar New Year Blessings"" - Festive Word Art Stickers")</x:f>
        <x:v>HYPERLINK is not implemented. linkLocation=https://365nails.com/products/365-nails-lunar-new-year-blessings-festive-word-art-stickers, friendlyName=365 Nails: "Lunar New Year Blessings" - Festive Word Art Stickers</x:v>
      </x:c>
      <x:c r="D5956" s="18" t="str">
        <x:v>Specification type: To3660 / To3674</x:v>
      </x:c>
      <x:c r="E5956" s="25" t="str">
        <x:v>$1.38</x:v>
      </x:c>
      <x:c r="F5956" s="19" t="str">
        <x:v>Contact us</x:v>
      </x:c>
    </x:row>
    <x:row r="5957" ht="93" customHeight="1">
      <x:c r="A5957" s="19" t="n">
        <x:v>5954</x:v>
      </x:c>
      <x:c r="B5957" s="22" t="e">
        <x:f>HYPERLINK("https://cdn.shopify.com/s/files/1/0918/6066/4603/files/O1CN01gl1bmS1HlX5poMsZv__2545140798-0-cib_ab15d6be-17e4-46a3-bc4b-d54b86bc04e0.jpg?v=1775464340","Open")</x:f>
        <x:v>HYPERLINK is not implemented. linkLocation=https://cdn.shopify.com/s/files/1/0918/6066/4603/files/O1CN01gl1bmS1HlX5poMsZv__2545140798-0-cib_ab15d6be-17e4-46a3-bc4b-d54b86bc04e0.jpg?v=1775464340, friendlyName=Open</x:v>
      </x:c>
      <x:c r="C5957" s="24" t="e">
        <x:f>HYPERLINK("https://365nails.com/products/365nails-romantic-rose-butterfly-handmade-press-on-nails","365nails: ""Romantic Rose &amp; Butterfly"" –Nail Art Stickers")</x:f>
        <x:v>HYPERLINK is not implemented. linkLocation=https://365nails.com/products/365nails-romantic-rose-butterfly-handmade-press-on-nails, friendlyName=365nails: "Romantic Rose &amp; Butterfly" –Nail Art Stickers</x:v>
      </x:c>
      <x:c r="D5957" s="18" t="str">
        <x:v>Specification type: Ms773-crystal diamond / Ms774-crystal diamond</x:v>
      </x:c>
      <x:c r="E5957" s="25" t="str">
        <x:v>$1.30</x:v>
      </x:c>
      <x:c r="F5957" s="19" t="str">
        <x:v>5</x:v>
      </x:c>
    </x:row>
    <x:row r="5958" ht="93" customHeight="1">
      <x:c r="A5958" s="19" t="n">
        <x:v>5955</x:v>
      </x:c>
      <x:c r="B5958" s="22" t="e">
        <x:f>HYPERLINK("https://cdn.shopify.com/s/files/1/0918/6066/4603/files/bdd37c79c807571ed018fd21926c0cf2.jpg?v=1781013024","Open")</x:f>
        <x:v>HYPERLINK is not implemented. linkLocation=https://cdn.shopify.com/s/files/1/0918/6066/4603/files/bdd37c79c807571ed018fd21926c0cf2.jpg?v=1781013024, friendlyName=Open</x:v>
      </x:c>
      <x:c r="C5958" s="24" t="e">
        <x:f>HYPERLINK("https://365nails.com/products/365nails-cute-y2k-ice-cream-star-flame-rhinestone-cartoon-handmade-medium-square-nails","365nails: ""Cute Y2K Ice Cream Star Flame Rhinestone"" – Cartoon Handmade Medium Square Nails")</x:f>
        <x:v>HYPERLINK is not implemented. linkLocation=https://365nails.com/products/365nails-cute-y2k-ice-cream-star-flame-rhinestone-cartoon-handmade-medium-square-nails, friendlyName=365nails: "Cute Y2K Ice Cream Star Flame Rhinestone" – Cartoon Handmade Medium Square Nails</x:v>
      </x:c>
      <x:c r="D5958" s="18" t="str">
        <x:v>Size: XS / S / M / L</x:v>
      </x:c>
      <x:c r="E5958" s="25" t="str">
        <x:v>$3.99</x:v>
      </x:c>
      <x:c r="F5958" s="19" t="str">
        <x:v>3</x:v>
      </x:c>
    </x:row>
    <x:row r="5959" ht="93" customHeight="1">
      <x:c r="A5959" s="19" t="n">
        <x:v>5956</x:v>
      </x:c>
      <x:c r="B5959" s="22" t="e">
        <x:f>HYPERLINK("https://cdn.shopify.com/s/files/1/0918/6066/4603/files/O1CN01rBUMJ51HlWllcnSAC__2545140798-0-cib_2514c08e-b689-4ddf-a048-fdc712477341.jpg?v=1774613618","Open")</x:f>
        <x:v>HYPERLINK is not implemented. linkLocation=https://cdn.shopify.com/s/files/1/0918/6066/4603/files/O1CN01rBUMJ51HlWllcnSAC__2545140798-0-cib_2514c08e-b689-4ddf-a048-fdc712477341.jpg?v=1774613618, friendlyName=Open</x:v>
      </x:c>
      <x:c r="C5959" s="24" t="e">
        <x:f>HYPERLINK("https://365nails.com/products/365nails-luxury-foil-star-rose-holographic-butterfly-handmade-press-on-nails","365nails: ""luxury foil star, rose &amp; holographic butterfly"" – Nail Art Stickers")</x:f>
        <x:v>HYPERLINK is not implemented. linkLocation=https://365nails.com/products/365nails-luxury-foil-star-rose-holographic-butterfly-handmade-press-on-nails, friendlyName=365nails: "luxury foil star, rose &amp; holographic butterfly" – Nail Art Stickers</x:v>
      </x:c>
      <x:c r="D5959" s="18" t="str">
        <x:v>Specification type: 838 new laser silver / 838 new rose gold / 838 new hot stamping / 841 new laser silver / 841 new rose gold / 841 new hot stamping / 849 new laser silver / 849 new rose gold / 849 new hot stamping / 850 new laser silver / 850 new rose gold / 850 new hot stamping / 851 new laser silver / 851 new rose gold / 851 new hot stamping / 838 silver / 851 silver</x:v>
      </x:c>
      <x:c r="E5959" s="25" t="str">
        <x:v>$1.23</x:v>
      </x:c>
      <x:c r="F5959" s="19" t="str">
        <x:v>5</x:v>
      </x:c>
    </x:row>
    <x:row r="5960" ht="93" customHeight="1">
      <x:c r="A5960" s="19" t="n">
        <x:v>5957</x:v>
      </x:c>
      <x:c r="B5960" s="22" t="e">
        <x:f>HYPERLINK("https://cdn.shopify.com/s/files/1/0918/6066/4603/files/910509933b1440506c5feea0bf1b9d7f.jpg?v=1776422231","Open")</x:f>
        <x:v>HYPERLINK is not implemented. linkLocation=https://cdn.shopify.com/s/files/1/0918/6066/4603/files/910509933b1440506c5feea0bf1b9d7f.jpg?v=1776422231, friendlyName=Open</x:v>
      </x:c>
      <x:c r="C5960" s="24" t="e">
        <x:f>HYPERLINK("https://365nails.com/products/365nails-demon-slayer-mitsuri-kanroji-handmade-short-trapezoid-press-on-nails","365nails: ""Demon Slayer Mitsuri Kanroji"" – Handmade short Trapezoid Press-On Nails")</x:f>
        <x:v>HYPERLINK is not implemented. linkLocation=https://365nails.com/products/365nails-demon-slayer-mitsuri-kanroji-handmade-short-trapezoid-press-on-nails, friendlyName=365nails: "Demon Slayer Mitsuri Kanroji" – Handmade short Trapezoid Press-On Nails</x:v>
      </x:c>
      <x:c r="D5960" s="18" t="str">
        <x:v>Size: XS / S / M</x:v>
      </x:c>
      <x:c r="E5960" s="25" t="str">
        <x:v>$3.49</x:v>
      </x:c>
      <x:c r="F5960" s="19" t="str">
        <x:v>5</x:v>
      </x:c>
    </x:row>
    <x:row r="5961" ht="93" customHeight="1">
      <x:c r="A5961" s="19" t="n">
        <x:v>5958</x:v>
      </x:c>
      <x:c r="B5961" s="22" t="e">
        <x:f>HYPERLINK("https://cdn.shopify.com/s/files/1/0918/6066/4603/files/O1CN01KBjmjU1HlX45daoch__2545140798-0-cib_3b7412ae-f843-4752-b8e3-c17289073e0c.jpg?v=1775458815","Open")</x:f>
        <x:v>HYPERLINK is not implemented. linkLocation=https://cdn.shopify.com/s/files/1/0918/6066/4603/files/O1CN01KBjmjU1HlX45daoch__2545140798-0-cib_3b7412ae-f843-4752-b8e3-c17289073e0c.jpg?v=1775458815, friendlyName=Open</x:v>
      </x:c>
      <x:c r="C5961" s="24" t="e">
        <x:f>HYPERLINK("https://365nails.com/products/365nails-cute-pastel-hippo-handmade-press-on-nails","365nails: ""Cute Pastel Hippo"" –Nail Art Stickers")</x:f>
        <x:v>HYPERLINK is not implemented. linkLocation=https://365nails.com/products/365nails-cute-pastel-hippo-handmade-press-on-nails, friendlyName=365nails: "Cute Pastel Hippo" –Nail Art Stickers</x:v>
      </x:c>
      <x:c r="D5961" s="18" t="str">
        <x:v>Specification type: To4670 / To4672</x:v>
      </x:c>
      <x:c r="E5961" s="25" t="str">
        <x:v>$1.09</x:v>
      </x:c>
      <x:c r="F5961" s="19" t="str">
        <x:v>5</x:v>
      </x:c>
    </x:row>
    <x:row r="5962" ht="93" customHeight="1">
      <x:c r="A5962" s="19" t="n">
        <x:v>5959</x:v>
      </x:c>
      <x:c r="B5962" s="22" t="e">
        <x:f>HYPERLINK("https://cdn.shopify.com/s/files/1/0918/6066/4603/files/4cf8a077f64ba77ae81ffbf7d49c9133.jpg?v=1777806362","Open")</x:f>
        <x:v>HYPERLINK is not implemented. linkLocation=https://cdn.shopify.com/s/files/1/0918/6066/4603/files/4cf8a077f64ba77ae81ffbf7d49c9133.jpg?v=1777806362, friendlyName=Open</x:v>
      </x:c>
      <x:c r="C5962" s="24" t="e">
        <x:f>HYPERLINK("https://365nails.com/products/365nails-ocean-mermaid-tail-red-flower-3d-mermaid-flower-handmade-medium-stiletto-press-on-nails","365nails: ""Ocean Mermaid Tail Red Flower"" – 3D Mermaid &amp; Flower Handmade Medium Stiletto Press-On Nails")</x:f>
        <x:v>HYPERLINK is not implemented. linkLocation=https://365nails.com/products/365nails-ocean-mermaid-tail-red-flower-3d-mermaid-flower-handmade-medium-stiletto-press-on-nails, friendlyName=365nails: "Ocean Mermaid Tail Red Flower" – 3D Mermaid &amp; Flower Handmade Medium Stiletto Press-On Nails</x:v>
      </x:c>
      <x:c r="D5962" s="18" t="str">
        <x:v>Size: XS / S / M / L</x:v>
      </x:c>
      <x:c r="E5962" s="25" t="str">
        <x:v>$3.49</x:v>
      </x:c>
      <x:c r="F5962" s="19" t="str">
        <x:v>5</x:v>
      </x:c>
    </x:row>
    <x:row r="5963" ht="93" customHeight="1">
      <x:c r="A5963" s="19" t="n">
        <x:v>5960</x:v>
      </x:c>
      <x:c r="B5963" s="22" t="e">
        <x:f>HYPERLINK("https://cdn.shopify.com/s/files/1/0918/6066/4603/files/O1CN013UroES1HlWxpZsrU8__2545140798-0-cib_6ea81c2b-4623-4c7e-877f-5479702c0cc0.jpg?v=1775396350","Open")</x:f>
        <x:v>HYPERLINK is not implemented. linkLocation=https://cdn.shopify.com/s/files/1/0918/6066/4603/files/O1CN013UroES1HlWxpZsrU8__2545140798-0-cib_6ea81c2b-4623-4c7e-877f-5479702c0cc0.jpg?v=1775396350, friendlyName=Open</x:v>
      </x:c>
      <x:c r="C5963" s="24" t="e">
        <x:f>HYPERLINK("https://365nails.com/products/365nails-vintage-sepia-butterfly-handmade-press-on-nails-1","365nails: ""Vintage Sepia Butterfly"" –  Nail Art Stickers")</x:f>
        <x:v>HYPERLINK is not implemented. linkLocation=https://365nails.com/products/365nails-vintage-sepia-butterfly-handmade-press-on-nails-1, friendlyName=365nails: "Vintage Sepia Butterfly" –  Nail Art Stickers</x:v>
      </x:c>
      <x:c r="D5963" s="18" t="str">
        <x:v>Specification type: To3575</x:v>
      </x:c>
      <x:c r="E5963" s="25" t="str">
        <x:v>$1.23</x:v>
      </x:c>
      <x:c r="F5963" s="19" t="str">
        <x:v>5</x:v>
      </x:c>
    </x:row>
    <x:row r="5964" ht="93" customHeight="1">
      <x:c r="A5964" s="19" t="n">
        <x:v>5961</x:v>
      </x:c>
      <x:c r="B5964" s="22" t="e">
        <x:f>HYPERLINK("https://cdn.shopify.com/s/files/1/0918/6066/4603/files/db3e777c201eba34ecd9a5f99cef8c41.jpg?v=1777517423","Open")</x:f>
        <x:v>HYPERLINK is not implemented. linkLocation=https://cdn.shopify.com/s/files/1/0918/6066/4603/files/db3e777c201eba34ecd9a5f99cef8c41.jpg?v=1777517423, friendlyName=Open</x:v>
      </x:c>
      <x:c r="C5964" s="24" t="e">
        <x:f>HYPERLINK("https://365nails.com/products/365nails-gothic-blood-romance-handmade-press-on-nails","365nails: ""Gothic Blood Romance"" – Handmade Press-On Nails")</x:f>
        <x:v>HYPERLINK is not implemented. linkLocation=https://365nails.com/products/365nails-gothic-blood-romance-handmade-press-on-nails, friendlyName=365nails: "Gothic Blood Romance" – Handmade Press-On Nails</x:v>
      </x:c>
      <x:c r="D5964" s="18" t="str">
        <x:v>Size: XS / S / M / L</x:v>
      </x:c>
      <x:c r="E5964" s="25" t="str">
        <x:v>$4.99</x:v>
      </x:c>
      <x:c r="F5964" s="19" t="str">
        <x:v>3</x:v>
      </x:c>
    </x:row>
    <x:row r="5965" ht="93" customHeight="1">
      <x:c r="A5965" s="19" t="n">
        <x:v>5962</x:v>
      </x:c>
      <x:c r="B5965" s="22" t="e">
        <x:f>HYPERLINK("https://cdn.shopify.com/s/files/1/0918/6066/4603/files/O1CN01PEN01R1HlX5UOasIK__2545140798-0-cib_40338f72-a677-4e5f-a007-c3340358e91b.jpg?v=1775464020","Open")</x:f>
        <x:v>HYPERLINK is not implemented. linkLocation=https://cdn.shopify.com/s/files/1/0918/6066/4603/files/O1CN01PEN01R1HlX5UOasIK__2545140798-0-cib_40338f72-a677-4e5f-a007-c3340358e91b.jpg?v=1775464020, friendlyName=Open</x:v>
      </x:c>
      <x:c r="C5965" s="24" t="e">
        <x:f>HYPERLINK("https://365nails.com/products/365nails-funny-chinese-character-handmade-press-on-nails","365nails: ""Funny Chinese Character"" –Nail Art Stickers")</x:f>
        <x:v>HYPERLINK is not implemented. linkLocation=https://365nails.com/products/365nails-funny-chinese-character-handmade-press-on-nails, friendlyName=365nails: "Funny Chinese Character" –Nail Art Stickers</x:v>
      </x:c>
      <x:c r="D5965" s="18" t="str">
        <x:v>Specification type: To4876</x:v>
      </x:c>
      <x:c r="E5965" s="25" t="str">
        <x:v>$1.09</x:v>
      </x:c>
      <x:c r="F5965" s="19" t="str">
        <x:v>5</x:v>
      </x:c>
    </x:row>
    <x:row r="5966" ht="93" customHeight="1">
      <x:c r="A5966" s="19" t="n">
        <x:v>5963</x:v>
      </x:c>
      <x:c r="B5966" s="22" t="e">
        <x:f>HYPERLINK("https://cdn.shopify.com/s/files/1/0918/6066/4603/files/O1CN01QtXLat1HlX3KajXae__2545140798-0-cib_c55c3d8c-cdf7-4239-8366-6467f1af7834.jpg?v=1775457414","Open")</x:f>
        <x:v>HYPERLINK is not implemented. linkLocation=https://cdn.shopify.com/s/files/1/0918/6066/4603/files/O1CN01QtXLat1HlX3KajXae__2545140798-0-cib_c55c3d8c-cdf7-4239-8366-6467f1af7834.jpg?v=1775457414, friendlyName=Open</x:v>
      </x:c>
      <x:c r="C5966" s="24" t="e">
        <x:f>HYPERLINK("https://365nails.com/products/365nails-delicate-white-cherry-blossom-handmade-press-on-nails","365nails: ""Delicate White Cherry Blossom"" –Nail Art Stickers")</x:f>
        <x:v>HYPERLINK is not implemented. linkLocation=https://365nails.com/products/365nails-delicate-white-cherry-blossom-handmade-press-on-nails, friendlyName=365nails: "Delicate White Cherry Blossom" –Nail Art Stickers</x:v>
      </x:c>
      <x:c r="D5966" s="18" t="str">
        <x:v>Specification type: To4389-relief</x:v>
      </x:c>
      <x:c r="E5966" s="25" t="str">
        <x:v>$1.23</x:v>
      </x:c>
      <x:c r="F5966" s="19" t="str">
        <x:v>5</x:v>
      </x:c>
    </x:row>
    <x:row r="5967" ht="93" customHeight="1">
      <x:c r="A5967" s="19" t="n">
        <x:v>5964</x:v>
      </x:c>
      <x:c r="B5967" s="22" t="e">
        <x:f>HYPERLINK("https://cdn.shopify.com/s/files/1/0918/6066/4603/files/O1CN013UroES1HlWxpZsrU8__2545140798-0-cib_ec8656a1-010f-4b9e-8c71-5ab9b0575e46.jpg?v=1775397590","Open")</x:f>
        <x:v>HYPERLINK is not implemented. linkLocation=https://cdn.shopify.com/s/files/1/0918/6066/4603/files/O1CN013UroES1HlWxpZsrU8__2545140798-0-cib_ec8656a1-010f-4b9e-8c71-5ab9b0575e46.jpg?v=1775397590, friendlyName=Open</x:v>
      </x:c>
      <x:c r="C5967" s="24" t="e">
        <x:f>HYPERLINK("https://365nails.com/products/365nails-vintage-sepia-butterfly-handmade-press-on-nails","365nails: ""Vintage Sepia Butterfly"" – Nail Art Stickers")</x:f>
        <x:v>HYPERLINK is not implemented. linkLocation=https://365nails.com/products/365nails-vintage-sepia-butterfly-handmade-press-on-nails, friendlyName=365nails: "Vintage Sepia Butterfly" – Nail Art Stickers</x:v>
      </x:c>
      <x:c r="D5967" s="18" t="str">
        <x:v>Specification type: To3575</x:v>
      </x:c>
      <x:c r="E5967" s="25" t="str">
        <x:v>$1.23</x:v>
      </x:c>
      <x:c r="F5967" s="19" t="str">
        <x:v>5</x:v>
      </x:c>
    </x:row>
    <x:row r="5968" ht="93" customHeight="1">
      <x:c r="A5968" s="19" t="n">
        <x:v>5965</x:v>
      </x:c>
      <x:c r="B5968" s="22" t="e">
        <x:f>HYPERLINK("https://cdn.shopify.com/s/files/1/0918/6066/4603/files/O1CN01NZgKSd1HlX4EcTon5__2545140798-0-cib_6a5b995b-9941-415d-b70c-6eadce948201.jpg?v=1775459124","Open")</x:f>
        <x:v>HYPERLINK is not implemented. linkLocation=https://cdn.shopify.com/s/files/1/0918/6066/4603/files/O1CN01NZgKSd1HlX4EcTon5__2545140798-0-cib_6a5b995b-9941-415d-b70c-6eadce948201.jpg?v=1775459124, friendlyName=Open</x:v>
      </x:c>
      <x:c r="C5968" s="24" t="e">
        <x:f>HYPERLINK("https://365nails.com/products/365nails-cozy-outfit-cat-handmade-press-on-nails","365nails: ""Cozy Outfit Cat"" –Nail Art Stickers")</x:f>
        <x:v>HYPERLINK is not implemented. linkLocation=https://365nails.com/products/365nails-cozy-outfit-cat-handmade-press-on-nails, friendlyName=365nails: "Cozy Outfit Cat" –Nail Art Stickers</x:v>
      </x:c>
      <x:c r="D5968" s="18" t="str">
        <x:v>Specification type: To4662-relief</x:v>
      </x:c>
      <x:c r="E5968" s="25" t="str">
        <x:v>$1.23</x:v>
      </x:c>
      <x:c r="F5968" s="19" t="str">
        <x:v>5</x:v>
      </x:c>
    </x:row>
    <x:row r="5969" ht="93" customHeight="1">
      <x:c r="A5969" s="19" t="n">
        <x:v>5966</x:v>
      </x:c>
      <x:c r="B5969" s="22" t="e">
        <x:f>HYPERLINK("https://cdn.shopify.com/s/files/1/0918/6066/4603/files/O1CN01c3h6oN1HlX4ObBXGY__2545140798-0-cib_ec8e65b4-9fb0-48a4-983c-8a4e3a004280.jpg?v=1775459206","Open")</x:f>
        <x:v>HYPERLINK is not implemented. linkLocation=https://cdn.shopify.com/s/files/1/0918/6066/4603/files/O1CN01c3h6oN1HlX4ObBXGY__2545140798-0-cib_ec8e65b4-9fb0-48a4-983c-8a4e3a004280.jpg?v=1775459206, friendlyName=Open</x:v>
      </x:c>
      <x:c r="C5969" s="24" t="e">
        <x:f>HYPERLINK("https://365nails.com/products/365nails-iridescent-pink-bow-handmade-press-on-nails","365nails: ""Iridescent Pink Bow"" –Nail Art Stickers")</x:f>
        <x:v>HYPERLINK is not implemented. linkLocation=https://365nails.com/products/365nails-iridescent-pink-bow-handmade-press-on-nails, friendlyName=365nails: "Iridescent Pink Bow" –Nail Art Stickers</x:v>
      </x:c>
      <x:c r="D5969" s="18" t="str">
        <x:v>Specification type: Ta373-shell light / Ta374-shell light</x:v>
      </x:c>
      <x:c r="E5969" s="25" t="str">
        <x:v>$1.23</x:v>
      </x:c>
      <x:c r="F5969" s="19" t="str">
        <x:v>5</x:v>
      </x:c>
    </x:row>
    <x:row r="5970" ht="93" customHeight="1">
      <x:c r="A5970" s="19" t="n">
        <x:v>5967</x:v>
      </x:c>
      <x:c r="B5970" s="22" t="e">
        <x:f>HYPERLINK("https://cdn.shopify.com/s/files/1/0918/6066/4603/files/O1CN01o1DLOC1HlX4QDAXfH__2545140798-0-cib_b16655d1-0e56-4c82-86b1-4f6e852fef8a.jpg?v=1775459288","Open")</x:f>
        <x:v>HYPERLINK is not implemented. linkLocation=https://cdn.shopify.com/s/files/1/0918/6066/4603/files/O1CN01o1DLOC1HlX4QDAXfH__2545140798-0-cib_b16655d1-0e56-4c82-86b1-4f6e852fef8a.jpg?v=1775459288, friendlyName=Open</x:v>
      </x:c>
      <x:c r="C5970" s="24" t="e">
        <x:f>HYPERLINK("https://365nails.com/products/365nails-cute-puppy-party-handmade-press-on-nails","365nails: ""Cute Puppy Party"" –Nail Art Stickers")</x:f>
        <x:v>HYPERLINK is not implemented. linkLocation=https://365nails.com/products/365nails-cute-puppy-party-handmade-press-on-nails, friendlyName=365nails: "Cute Puppy Party" –Nail Art Stickers</x:v>
      </x:c>
      <x:c r="D5970" s="18" t="str">
        <x:v>Specification type: To4695-relief</x:v>
      </x:c>
      <x:c r="E5970" s="25" t="str">
        <x:v>$1.23</x:v>
      </x:c>
      <x:c r="F5970" s="19" t="str">
        <x:v>5</x:v>
      </x:c>
    </x:row>
    <x:row r="5971" ht="93" customHeight="1">
      <x:c r="A5971" s="19" t="n">
        <x:v>5968</x:v>
      </x:c>
      <x:c r="B5971" s="22" t="e">
        <x:f>HYPERLINK("https://cdn.shopify.com/s/files/1/0918/6066/4603/files/O1CN01Zcjtfn1HlX11AS1bf__2545140798-0-cib.jpg?v=1773759385","Open")</x:f>
        <x:v>HYPERLINK is not implemented. linkLocation=https://cdn.shopify.com/s/files/1/0918/6066/4603/files/O1CN01Zcjtfn1HlX11AS1bf__2545140798-0-cib.jpg?v=1773759385, friendlyName=Open</x:v>
      </x:c>
      <x:c r="C5971" s="24" t="e">
        <x:f>HYPERLINK("https://365nails.com/products/kuromi-xoxo-heart-kuromi-goth-cute-5d-embossed-nail-sticker","Kuromi &amp; XOXO Heart: ""Kuromi Goth Cute"" – 5D Embossed Nail Sticker")</x:f>
        <x:v>HYPERLINK is not implemented. linkLocation=https://365nails.com/products/kuromi-xoxo-heart-kuromi-goth-cute-5d-embossed-nail-sticker, friendlyName=Kuromi &amp; XOXO Heart: "Kuromi Goth Cute" – 5D Embossed Nail Sticker</x:v>
      </x:c>
      <x:c r="D5971" s="18" t="str">
        <x:v>Specification type: San010</x:v>
      </x:c>
      <x:c r="E5971" s="25" t="str">
        <x:v>$1.16</x:v>
      </x:c>
      <x:c r="F5971" s="19" t="str">
        <x:v>5</x:v>
      </x:c>
    </x:row>
    <x:row r="5972" ht="93" customHeight="1">
      <x:c r="A5972" s="19" t="n">
        <x:v>5969</x:v>
      </x:c>
      <x:c r="B5972" s="22" t="e">
        <x:f>HYPERLINK("https://cdn.shopify.com/s/files/1/0918/6066/4603/files/e535a90a734e02d8b07ade8b3ed40560.jpg?v=1781012837","Open")</x:f>
        <x:v>HYPERLINK is not implemented. linkLocation=https://cdn.shopify.com/s/files/1/0918/6066/4603/files/e535a90a734e02d8b07ade8b3ed40560.jpg?v=1781012837, friendlyName=Open</x:v>
      </x:c>
      <x:c r="C5972" s="24" t="e">
        <x:f>HYPERLINK("https://365nails.com/products/365nails-champagne-black-french-gold-butterfly-rhinestone-luxury-metal-charm-handmade-medium","365nails: ""Champagne Black French Gold Butterfly Rhinestone"" – Luxury Metal Charm Handmade Medium")</x:f>
        <x:v>HYPERLINK is not implemented. linkLocation=https://365nails.com/products/365nails-champagne-black-french-gold-butterfly-rhinestone-luxury-metal-charm-handmade-medium, friendlyName=365nails: "Champagne Black French Gold Butterfly Rhinestone" – Luxury Metal Charm Handmade Medium</x:v>
      </x:c>
      <x:c r="D5972" s="18" t="str">
        <x:v>Size: XS / S / M / L</x:v>
      </x:c>
      <x:c r="E5972" s="25" t="str">
        <x:v>$3.99</x:v>
      </x:c>
      <x:c r="F5972" s="19" t="str">
        <x:v>3</x:v>
      </x:c>
    </x:row>
    <x:row r="5973" ht="93" customHeight="1">
      <x:c r="A5973" s="19" t="n">
        <x:v>5970</x:v>
      </x:c>
      <x:c r="B5973" s="22" t="e">
        <x:f>HYPERLINK("https://cdn.shopify.com/s/files/1/0918/6066/4603/files/O1CN01Sy7Cgc1HlX3stjGtW__2545140798-0-cib_222b1337-daee-4ec6-957c-b8f045e0fec4.jpg?v=1775459922","Open")</x:f>
        <x:v>HYPERLINK is not implemented. linkLocation=https://cdn.shopify.com/s/files/1/0918/6066/4603/files/O1CN01Sy7Cgc1HlX3stjGtW__2545140798-0-cib_222b1337-daee-4ec6-957c-b8f045e0fec4.jpg?v=1775459922, friendlyName=Open</x:v>
      </x:c>
      <x:c r="C5973" s="24" t="e">
        <x:f>HYPERLINK("https://365nails.com/products/365nails-golden-celestial-amulet-handmade-press-on-nails","365nails: ""Golden Celestial Amulet"" –Nail Art Stickers")</x:f>
        <x:v>HYPERLINK is not implemented. linkLocation=https://365nails.com/products/365nails-golden-celestial-amulet-handmade-press-on-nails, friendlyName=365nails: "Golden Celestial Amulet" –Nail Art Stickers</x:v>
      </x:c>
      <x:c r="D5973" s="18" t="str">
        <x:v>Specification type: To4470-new hot stamping / To4470-rose gold / To4470-silver</x:v>
      </x:c>
      <x:c r="E5973" s="25" t="str">
        <x:v>$1.23</x:v>
      </x:c>
      <x:c r="F5973" s="19" t="str">
        <x:v>5</x:v>
      </x:c>
    </x:row>
    <x:row r="5974" ht="93" customHeight="1">
      <x:c r="A5974" s="19" t="n">
        <x:v>5971</x:v>
      </x:c>
      <x:c r="B5974" s="22" t="e">
        <x:f>HYPERLINK("https://cdn.shopify.com/s/files/1/0918/6066/4603/files/O1CN01eoy7Ih1HlX4FCzaJy__2545140798-0-cib_201315aa-c62d-47da-9d95-eb78695d4a45.jpg?v=1775459042","Open")</x:f>
        <x:v>HYPERLINK is not implemented. linkLocation=https://cdn.shopify.com/s/files/1/0918/6066/4603/files/O1CN01eoy7Ih1HlX4FCzaJy__2545140798-0-cib_201315aa-c62d-47da-9d95-eb78695d4a45.jpg?v=1775459042, friendlyName=Open</x:v>
      </x:c>
      <x:c r="C5974" s="24" t="e">
        <x:f>HYPERLINK("https://365nails.com/products/365nails-vintage-pink-rose-garden-handmade-press-on-nails","365nails: ""Vintage Pink Rose Garden"" –Nail Art Stickers")</x:f>
        <x:v>HYPERLINK is not implemented. linkLocation=https://365nails.com/products/365nails-vintage-pink-rose-garden-handmade-press-on-nails, friendlyName=365nails: "Vintage Pink Rose Garden" –Nail Art Stickers</x:v>
      </x:c>
      <x:c r="D5974" s="18" t="str">
        <x:v>Specification type: To4610-relief</x:v>
      </x:c>
      <x:c r="E5974" s="25" t="str">
        <x:v>$1.23</x:v>
      </x:c>
      <x:c r="F5974" s="19" t="str">
        <x:v>5</x:v>
      </x:c>
    </x:row>
    <x:row r="5975" ht="93" customHeight="1">
      <x:c r="A5975" s="19" t="n">
        <x:v>5972</x:v>
      </x:c>
      <x:c r="B5975" s="22" t="e">
        <x:f>HYPERLINK("https://cdn.shopify.com/s/files/1/0918/6066/4603/files/O1CN01hRgYel1HlX3fLtiZh__2545140798-0-cib_4e54918e-28d1-4879-a873-e7ff1bb4e13d.jpg?v=1775458223","Open")</x:f>
        <x:v>HYPERLINK is not implemented. linkLocation=https://cdn.shopify.com/s/files/1/0918/6066/4603/files/O1CN01hRgYel1HlX3fLtiZh__2545140798-0-cib_4e54918e-28d1-4879-a873-e7ff1bb4e13d.jpg?v=1775458223, friendlyName=Open</x:v>
      </x:c>
      <x:c r="C5975" s="24" t="e">
        <x:f>HYPERLINK("https://365nails.com/products/365nails-vintage-golden-frame-floral-handmade-press-on-nails","365nails: ""Vintage Golden Frame Floral"" –Nail Art Stickers")</x:f>
        <x:v>HYPERLINK is not implemented. linkLocation=https://365nails.com/products/365nails-vintage-golden-frame-floral-handmade-press-on-nails, friendlyName=365nails: "Vintage Golden Frame Floral" –Nail Art Stickers</x:v>
      </x:c>
      <x:c r="D5975" s="18" t="str">
        <x:v>Specification type: Ms492-rose gold / Ms492-new hot stamping / Ms697-new hot stamping</x:v>
      </x:c>
      <x:c r="E5975" s="25" t="str">
        <x:v>$1.23</x:v>
      </x:c>
      <x:c r="F5975" s="19" t="str">
        <x:v>5</x:v>
      </x:c>
    </x:row>
    <x:row r="5976" ht="93" customHeight="1">
      <x:c r="A5976" s="19" t="n">
        <x:v>5973</x:v>
      </x:c>
      <x:c r="B5976" s="22" t="e">
        <x:f>HYPERLINK("https://cdn.shopify.com/s/files/1/0918/6066/4603/files/O1CN01dBkjW41HlX3dmICcl__2545140798-0-cib_c07616b9-fc1f-4900-aee7-c07d44a4d1c7.jpg?v=1775458130","Open")</x:f>
        <x:v>HYPERLINK is not implemented. linkLocation=https://cdn.shopify.com/s/files/1/0918/6066/4603/files/O1CN01dBkjW41HlX3dmICcl__2545140798-0-cib_c07616b9-fc1f-4900-aee7-c07d44a4d1c7.jpg?v=1775458130, friendlyName=Open</x:v>
      </x:c>
      <x:c r="C5976" s="24" t="e">
        <x:f>HYPERLINK("https://365nails.com/products/365nails-vintage-chinese-floral-butterfly-handmade-press-on-nails","365nails: ""Vintage Chinese Floral Butterfly"" –Nail Art Stickers")</x:f>
        <x:v>HYPERLINK is not implemented. linkLocation=https://365nails.com/products/365nails-vintage-chinese-floral-butterfly-handmade-press-on-nails, friendlyName=365nails: "Vintage Chinese Floral Butterfly" –Nail Art Stickers</x:v>
      </x:c>
      <x:c r="D5976" s="18" t="str">
        <x:v>Specification type: To4530-crystal diamond / To4532-crystal diamond</x:v>
      </x:c>
      <x:c r="E5976" s="25" t="str">
        <x:v>$1.30</x:v>
      </x:c>
      <x:c r="F5976" s="19" t="str">
        <x:v>5</x:v>
      </x:c>
    </x:row>
    <x:row r="5977" ht="93" customHeight="1">
      <x:c r="A5977" s="19" t="n">
        <x:v>5974</x:v>
      </x:c>
      <x:c r="B5977" s="22" t="e">
        <x:f>HYPERLINK("https://cdn.shopify.com/s/files/1/0918/6066/4603/files/O1CN01ssgasc1HlX3STchRd__2545140798-0-cib_b24f680c-1fd8-48aa-9d9a-40d46d914553.jpg?v=1775457882","Open")</x:f>
        <x:v>HYPERLINK is not implemented. linkLocation=https://cdn.shopify.com/s/files/1/0918/6066/4603/files/O1CN01ssgasc1HlX3STchRd__2545140798-0-cib_b24f680c-1fd8-48aa-9d9a-40d46d914553.jpg?v=1775457882, friendlyName=Open</x:v>
      </x:c>
      <x:c r="C5977" s="24" t="e">
        <x:f>HYPERLINK("https://365nails.com/products/365nails-vintage-christmas-bear-handmade-press-on-nails","365nails: ""Vintage Christmas Bear"" –Nail Art Stickers")</x:f>
        <x:v>HYPERLINK is not implemented. linkLocation=https://365nails.com/products/365nails-vintage-christmas-bear-handmade-press-on-nails, friendlyName=365nails: "Vintage Christmas Bear" –Nail Art Stickers</x:v>
      </x:c>
      <x:c r="D5977" s="18" t="str">
        <x:v>Specification type: To3567-relief / To3569-relief</x:v>
      </x:c>
      <x:c r="E5977" s="25" t="str">
        <x:v>$1.23</x:v>
      </x:c>
      <x:c r="F5977" s="19" t="str">
        <x:v>5</x:v>
      </x:c>
    </x:row>
    <x:row r="5978" ht="93" customHeight="1">
      <x:c r="A5978" s="19" t="n">
        <x:v>5975</x:v>
      </x:c>
      <x:c r="B5978" s="22" t="e">
        <x:f>HYPERLINK("https://cdn.shopify.com/s/files/1/0918/6066/4603/files/O1CN01YLCh261HlX56sWJOc__2545140798-0-cib_9561e479-f66b-4860-b161-8877056d0ee1.jpg?v=1775460504","Open")</x:f>
        <x:v>HYPERLINK is not implemented. linkLocation=https://cdn.shopify.com/s/files/1/0918/6066/4603/files/O1CN01YLCh261HlX56sWJOc__2545140798-0-cib_9561e479-f66b-4860-b161-8877056d0ee1.jpg?v=1775460504, friendlyName=Open</x:v>
      </x:c>
      <x:c r="C5978" s="24" t="e">
        <x:f>HYPERLINK("https://365nails.com/products/365nails-dark-red-snake-butterfly-handmade-press-on-nails","365nails: ""Dark Red Snake &amp; Butterfly"" –Nail Art Stickers")</x:f>
        <x:v>HYPERLINK is not implemented. linkLocation=https://365nails.com/products/365nails-dark-red-snake-butterfly-handmade-press-on-nails, friendlyName=365nails: "Dark Red Snake &amp; Butterfly" –Nail Art Stickers</x:v>
      </x:c>
      <x:c r="D5978" s="18" t="str">
        <x:v>Specification type: Ms759-crystal diamond</x:v>
      </x:c>
      <x:c r="E5978" s="25" t="str">
        <x:v>$1.30</x:v>
      </x:c>
      <x:c r="F5978" s="19" t="str">
        <x:v>5</x:v>
      </x:c>
    </x:row>
    <x:row r="5979" ht="93" customHeight="1">
      <x:c r="A5979" s="19" t="n">
        <x:v>5976</x:v>
      </x:c>
      <x:c r="B5979" s="22" t="e">
        <x:f>HYPERLINK("https://cdn.shopify.com/s/files/1/0918/6066/4603/files/O1CN01AZUqId1HlX1atjKWV__2545140798-0-cib.jpg?v=1774358876","Open")</x:f>
        <x:v>HYPERLINK is not implemented. linkLocation=https://cdn.shopify.com/s/files/1/0918/6066/4603/files/O1CN01AZUqId1HlX1atjKWV__2545140798-0-cib.jpg?v=1774358876, friendlyName=Open</x:v>
      </x:c>
      <x:c r="C5979" s="24" t="e">
        <x:f>HYPERLINK("https://365nails.com/products/365nails-shiny-gold-starburst-metal-set-handmade-press-on-nails","365nails: ""shiny gold starburst metal set"" – Nail Art Stickers")</x:f>
        <x:v>HYPERLINK is not implemented. linkLocation=https://365nails.com/products/365nails-shiny-gold-starburst-metal-set-handmade-press-on-nails, friendlyName=365nails: "shiny gold starburst metal set" – Nail Art Stickers</x:v>
      </x:c>
      <x:c r="D5979" s="18" t="str">
        <x:v>Specification type: To4165-laser silver / To4165-new hot stamping / To4165-silver / To4165-laser powder</x:v>
      </x:c>
      <x:c r="E5979" s="25" t="str">
        <x:v>$1.23</x:v>
      </x:c>
      <x:c r="F5979" s="19" t="str">
        <x:v>5</x:v>
      </x:c>
    </x:row>
    <x:row r="5980" ht="93" customHeight="1">
      <x:c r="A5980" s="19" t="n">
        <x:v>5977</x:v>
      </x:c>
      <x:c r="B5980" s="22" t="e">
        <x:f>HYPERLINK("https://cdn.shopify.com/s/files/1/0918/6066/4603/files/O1CN01NSNOQ81HlX7rdTY8w__2545140798-0-cib_6d27edf5-9c8b-484e-b05c-2442e36551f4.jpg?v=1774357970","Open")</x:f>
        <x:v>HYPERLINK is not implemented. linkLocation=https://cdn.shopify.com/s/files/1/0918/6066/4603/files/O1CN01NSNOQ81HlX7rdTY8w__2545140798-0-cib_6d27edf5-9c8b-484e-b05c-2442e36551f4.jpg?v=1774357970, friendlyName=Open</x:v>
      </x:c>
      <x:c r="C5980" s="24" t="e">
        <x:f>HYPERLINK("https://365nails.com/products/365nails-blue-morpho-butterfly-set-handmade-press-on-nails","365nails: ""blue morpho butterfly set"" – Nail Art Stickers")</x:f>
        <x:v>HYPERLINK is not implemented. linkLocation=https://365nails.com/products/365nails-blue-morpho-butterfly-set-handmade-press-on-nails, friendlyName=365nails: "blue morpho butterfly set" – Nail Art Stickers</x:v>
      </x:c>
      <x:c r="D5980" s="18" t="str">
        <x:v>Specification type: Ta398-metal / Ta399-metal</x:v>
      </x:c>
      <x:c r="E5980" s="25" t="str">
        <x:v>$1.23</x:v>
      </x:c>
      <x:c r="F5980" s="19" t="str">
        <x:v>5</x:v>
      </x:c>
    </x:row>
    <x:row r="5981" ht="93" customHeight="1">
      <x:c r="A5981" s="19" t="n">
        <x:v>5978</x:v>
      </x:c>
      <x:c r="B5981" s="22" t="e">
        <x:f>HYPERLINK("https://cdn.shopify.com/s/files/1/0918/6066/4603/files/a0b5071cc2fc671714cd10eed92a8434.jpg?v=1777808891","Open")</x:f>
        <x:v>HYPERLINK is not implemented. linkLocation=https://cdn.shopify.com/s/files/1/0918/6066/4603/files/a0b5071cc2fc671714cd10eed92a8434.jpg?v=1777808891, friendlyName=Open</x:v>
      </x:c>
      <x:c r="C5981" s="24" t="e">
        <x:f>HYPERLINK("https://365nails.com/products/365nails-aurora-shimmer-handmade-medium-stiletto-press-on-nails","365nails: Aurora Shimmer – Handmade Medium Stiletto Press-On Nails")</x:f>
        <x:v>HYPERLINK is not implemented. linkLocation=https://365nails.com/products/365nails-aurora-shimmer-handmade-medium-stiletto-press-on-nails, friendlyName=365nails: Aurora Shimmer – Handmade Medium Stiletto Press-On Nails</x:v>
      </x:c>
      <x:c r="D5981" s="18" t="str">
        <x:v>Size: XS / S / M / L</x:v>
      </x:c>
      <x:c r="E5981" s="25" t="str">
        <x:v>$2.99</x:v>
      </x:c>
      <x:c r="F5981" s="19" t="str">
        <x:v>5</x:v>
      </x:c>
    </x:row>
    <x:row r="5982" ht="93" customHeight="1">
      <x:c r="A5982" s="19" t="n">
        <x:v>5979</x:v>
      </x:c>
      <x:c r="B5982" s="22" t="e">
        <x:f>HYPERLINK("https://cdn.shopify.com/s/files/1/0918/6066/4603/files/O1CN010pMAqY1HlWz9Q0UkE__2545140798-0-cib.jpg?v=1774358366","Open")</x:f>
        <x:v>HYPERLINK is not implemented. linkLocation=https://cdn.shopify.com/s/files/1/0918/6066/4603/files/O1CN010pMAqY1HlWz9Q0UkE__2545140798-0-cib.jpg?v=1774358366, friendlyName=Open</x:v>
      </x:c>
      <x:c r="C5982" s="24" t="e">
        <x:f>HYPERLINK("https://365nails.com/products/365nails-strawberry-bunny-embossed-set-handmade-press-on-nails","365nails: ""strawberry bunny embossed set"" – Nail Art Stickers")</x:f>
        <x:v>HYPERLINK is not implemented. linkLocation=https://365nails.com/products/365nails-strawberry-bunny-embossed-set-handmade-press-on-nails, friendlyName=365nails: "strawberry bunny embossed set" – Nail Art Stickers</x:v>
      </x:c>
      <x:c r="D5982" s="18" t="str">
        <x:v>Specification type: To3756-relief</x:v>
      </x:c>
      <x:c r="E5982" s="25" t="str">
        <x:v>$1.23</x:v>
      </x:c>
      <x:c r="F5982" s="19" t="str">
        <x:v>5</x:v>
      </x:c>
    </x:row>
    <x:row r="5983" ht="93" customHeight="1">
      <x:c r="A5983" s="19" t="n">
        <x:v>5980</x:v>
      </x:c>
      <x:c r="B5983" s="22" t="e">
        <x:f>HYPERLINK("https://cdn.shopify.com/s/files/1/0918/6066/4603/files/O1CN01owhZo11HlX9NEb33t__2545140798-0-cib.jpg?v=1774879768","Open")</x:f>
        <x:v>HYPERLINK is not implemented. linkLocation=https://cdn.shopify.com/s/files/1/0918/6066/4603/files/O1CN01owhZo11HlX9NEb33t__2545140798-0-cib.jpg?v=1774879768, friendlyName=Open</x:v>
      </x:c>
      <x:c r="C5983" s="24" t="e">
        <x:f>HYPERLINK("https://365nails.com/products/365nails-oriental-bamboo-leaf-handmade-press-on-nails","365nails: ""Oriental Bamboo Leaf"" – Nail Art Stickers")</x:f>
        <x:v>HYPERLINK is not implemented. linkLocation=https://365nails.com/products/365nails-oriental-bamboo-leaf-handmade-press-on-nails, friendlyName=365nails: "Oriental Bamboo Leaf" – Nail Art Stickers</x:v>
      </x:c>
      <x:c r="D5983" s="18" t="str">
        <x:v>Specification type: To5330-shell light / To5331-shell light / To5332-metal / To5341-metal</x:v>
      </x:c>
      <x:c r="E5983" s="25" t="str">
        <x:v>$1.23</x:v>
      </x:c>
      <x:c r="F5983" s="19" t="str">
        <x:v>5</x:v>
      </x:c>
    </x:row>
    <x:row r="5984" ht="93" customHeight="1">
      <x:c r="A5984" s="19" t="n">
        <x:v>5981</x:v>
      </x:c>
      <x:c r="B5984" s="22" t="e">
        <x:f>HYPERLINK("https://cdn.shopify.com/s/files/1/0918/6066/4603/files/O1CN01GeEYBD1HlX44LFR4m__2545140798-0-cib.jpg?v=1774613306","Open")</x:f>
        <x:v>HYPERLINK is not implemented. linkLocation=https://cdn.shopify.com/s/files/1/0918/6066/4603/files/O1CN01GeEYBD1HlX44LFR4m__2545140798-0-cib.jpg?v=1774613306, friendlyName=Open</x:v>
      </x:c>
      <x:c r="C5984" s="24" t="e">
        <x:f>HYPERLINK("https://365nails.com/products/365nails-red-bow-crystal-heart-handmade-press-on-nails","365nails: ""red bow crystal heart"" – Nail Art Stickers")</x:f>
        <x:v>HYPERLINK is not implemented. linkLocation=https://365nails.com/products/365nails-red-bow-crystal-heart-handmade-press-on-nails, friendlyName=365nails: "red bow crystal heart" – Nail Art Stickers</x:v>
      </x:c>
      <x:c r="D5984" s="18" t="str">
        <x:v>Specification type: To4655-crystal diamond</x:v>
      </x:c>
      <x:c r="E5984" s="25" t="str">
        <x:v>$1.30</x:v>
      </x:c>
      <x:c r="F5984" s="19" t="str">
        <x:v>5</x:v>
      </x:c>
    </x:row>
    <x:row r="5985" ht="93" customHeight="1">
      <x:c r="A5985" s="19" t="n">
        <x:v>5982</x:v>
      </x:c>
      <x:c r="B5985" s="22" t="e">
        <x:f>HYPERLINK("https://cdn.shopify.com/s/files/1/0918/6066/4603/files/O1CN010EYlZd1HlX7z3i3jw__2545140798-0-cib_a47ed956-f45c-42fa-a520-3d2ba4444ce8.jpg?v=1774358083","Open")</x:f>
        <x:v>HYPERLINK is not implemented. linkLocation=https://cdn.shopify.com/s/files/1/0918/6066/4603/files/O1CN010EYlZd1HlX7z3i3jw__2545140798-0-cib_a47ed956-f45c-42fa-a520-3d2ba4444ce8.jpg?v=1774358083, friendlyName=Open</x:v>
      </x:c>
      <x:c r="C5985" s="24" t="e">
        <x:f>HYPERLINK("https://365nails.com/products/365nails-kawaii-bunny-cat-face-embossed-set-handmade-press-on-nails","365nails: ""kawaii bunny &amp; cat face embossed set"" – Nail Art Stickers")</x:f>
        <x:v>HYPERLINK is not implemented. linkLocation=https://365nails.com/products/365nails-kawaii-bunny-cat-face-embossed-set-handmade-press-on-nails, friendlyName=365nails: "kawaii bunny &amp; cat face embossed set" – Nail Art Stickers</x:v>
      </x:c>
      <x:c r="D5985" s="18" t="str">
        <x:v>Specification type: To5169</x:v>
      </x:c>
      <x:c r="E5985" s="25" t="str">
        <x:v>$1.09</x:v>
      </x:c>
      <x:c r="F5985" s="19" t="str">
        <x:v>5</x:v>
      </x:c>
    </x:row>
    <x:row r="5986" ht="93" customHeight="1">
      <x:c r="A5986" s="19" t="n">
        <x:v>5983</x:v>
      </x:c>
      <x:c r="B5986" s="22" t="e">
        <x:f>HYPERLINK("https://cdn.shopify.com/s/files/1/0918/6066/4603/files/O1CN01fsteq31HlX4tKmYQT__2545140798-0-cib.jpg?v=1774615002","Open")</x:f>
        <x:v>HYPERLINK is not implemented. linkLocation=https://cdn.shopify.com/s/files/1/0918/6066/4603/files/O1CN01fsteq31HlX4tKmYQT__2545140798-0-cib.jpg?v=1774615002, friendlyName=Open</x:v>
      </x:c>
      <x:c r="C5986" s="24" t="e">
        <x:f>HYPERLINK("https://365nails.com/products/365nails-kawaii-winter-cat-doodle-handmade-press-on-nails","365nails: ""kawaii winter cat doodle"" – Nail Art Stickers")</x:f>
        <x:v>HYPERLINK is not implemented. linkLocation=https://365nails.com/products/365nails-kawaii-winter-cat-doodle-handmade-press-on-nails, friendlyName=365nails: "kawaii winter cat doodle" – Nail Art Stickers</x:v>
      </x:c>
      <x:c r="D5986" s="18" t="str">
        <x:v>Specification type: To4778-relief / To4784-relief</x:v>
      </x:c>
      <x:c r="E5986" s="25" t="str">
        <x:v>$1.23</x:v>
      </x:c>
      <x:c r="F5986" s="19" t="str">
        <x:v>5</x:v>
      </x:c>
    </x:row>
    <x:row r="5987" ht="93" customHeight="1">
      <x:c r="A5987" s="19" t="n">
        <x:v>5984</x:v>
      </x:c>
      <x:c r="B5987" s="22" t="e">
        <x:f>HYPERLINK("https://cdn.shopify.com/s/files/1/0918/6066/4603/files/O1CN01UZfCYr1HlWxUFV8RQ__2545140798-0-cib_2a4a4ac2-b6c3-49c7-a68c-36fc3d445776.jpg?v=1774881888","Open")</x:f>
        <x:v>HYPERLINK is not implemented. linkLocation=https://cdn.shopify.com/s/files/1/0918/6066/4603/files/O1CN01UZfCYr1HlWxUFV8RQ__2545140798-0-cib_2a4a4ac2-b6c3-49c7-a68c-36fc3d445776.jpg?v=1774881888, friendlyName=Open</x:v>
      </x:c>
      <x:c r="C5987" s="24" t="e">
        <x:f>HYPERLINK("https://365nails.com/products/365nails-cute-traffic-patrol-kawaii-handmade-press-on-nails","365nails: ""Cute Traffic Patrol Kawaii"" – Nail Art Stickers")</x:f>
        <x:v>HYPERLINK is not implemented. linkLocation=https://365nails.com/products/365nails-cute-traffic-patrol-kawaii-handmade-press-on-nails, friendlyName=365nails: "Cute Traffic Patrol Kawaii" – Nail Art Stickers</x:v>
      </x:c>
      <x:c r="D5987" s="18" t="str">
        <x:v>Specification type: To3517 / To3519</x:v>
      </x:c>
      <x:c r="E5987" s="25" t="str">
        <x:v>$1.23</x:v>
      </x:c>
      <x:c r="F5987" s="19" t="str">
        <x:v>5</x:v>
      </x:c>
    </x:row>
    <x:row r="5988" ht="93" customHeight="1">
      <x:c r="A5988" s="19" t="n">
        <x:v>5985</x:v>
      </x:c>
      <x:c r="B5988" s="22" t="e">
        <x:f>HYPERLINK("https://cdn.shopify.com/s/files/1/0918/6066/4603/files/O1CN01ArmIZB1HlX7jOoElt__2545140798-0-cib_7f2748f2-6f6e-49dc-a6db-80c76f9afbdc.jpg?v=1774357900","Open")</x:f>
        <x:v>HYPERLINK is not implemented. linkLocation=https://cdn.shopify.com/s/files/1/0918/6066/4603/files/O1CN01ArmIZB1HlX7jOoElt__2545140798-0-cib_7f2748f2-6f6e-49dc-a6db-80c76f9afbdc.jpg?v=1774357900, friendlyName=Open</x:v>
      </x:c>
      <x:c r="C5988" s="24" t="e">
        <x:f>HYPERLINK("https://365nails.com/products/365nails-summer-fruit-cocktail-drink-set-handmade-press-on-nails","365nails: ""summer fruit cocktail drink set"" – Nail Art Stickers")</x:f>
        <x:v>HYPERLINK is not implemented. linkLocation=https://365nails.com/products/365nails-summer-fruit-cocktail-drink-set-handmade-press-on-nails, friendlyName=365nails: "summer fruit cocktail drink set" – Nail Art Stickers</x:v>
      </x:c>
      <x:c r="D5988" s="18" t="str">
        <x:v>Specification type: Ms823-shell light</x:v>
      </x:c>
      <x:c r="E5988" s="25" t="str">
        <x:v>$1.23</x:v>
      </x:c>
      <x:c r="F5988" s="19" t="str">
        <x:v>5</x:v>
      </x:c>
    </x:row>
    <x:row r="5989" ht="93" customHeight="1">
      <x:c r="A5989" s="19" t="n">
        <x:v>5986</x:v>
      </x:c>
      <x:c r="B5989" s="22" t="e">
        <x:f>HYPERLINK("https://cdn.shopify.com/s/files/1/0918/6066/4603/files/O1CN01AibPqo1HlX2GLDz2q__2545140798-0-cib.jpg?v=1774255768","Open")</x:f>
        <x:v>HYPERLINK is not implemented. linkLocation=https://cdn.shopify.com/s/files/1/0918/6066/4603/files/O1CN01AibPqo1HlX2GLDz2q__2545140798-0-cib.jpg?v=1774255768, friendlyName=Open</x:v>
      </x:c>
      <x:c r="C5989" s="24" t="e">
        <x:f>HYPERLINK("https://365nails.com/products/365nails-sweet-my-melody-handmade-press-on-nails","365nails: ""sweet my melody"" – Nail Art Stickers")</x:f>
        <x:v>HYPERLINK is not implemented. linkLocation=https://365nails.com/products/365nails-sweet-my-melody-handmade-press-on-nails, friendlyName=365nails: "sweet my melody" – Nail Art Stickers</x:v>
      </x:c>
      <x:c r="D5989" s="18" t="str">
        <x:v>Specification type: Mn001-crystal diamond</x:v>
      </x:c>
      <x:c r="E5989" s="25" t="str">
        <x:v>$1.23</x:v>
      </x:c>
      <x:c r="F5989" s="19" t="str">
        <x:v>5</x:v>
      </x:c>
    </x:row>
    <x:row r="5990" ht="93" customHeight="1">
      <x:c r="A5990" s="19" t="n">
        <x:v>5987</x:v>
      </x:c>
      <x:c r="B5990" s="22" t="e">
        <x:f>HYPERLINK("https://cdn.shopify.com/s/files/1/0918/6066/4603/files/O1CN013GTCEp1HlX0x4mxbk__2545140798-0-cib.jpg?v=1773759360","Open")</x:f>
        <x:v>HYPERLINK is not implemented. linkLocation=https://cdn.shopify.com/s/files/1/0918/6066/4603/files/O1CN013GTCEp1HlX0x4mxbk__2545140798-0-cib.jpg?v=1773759360, friendlyName=Open</x:v>
      </x:c>
      <x:c r="C5990" s="24" t="e">
        <x:f>HYPERLINK("https://365nails.com/products/white-camellia-lace-frame-elegant-camellia-embroidery-5d-embossed-nail-sticker","White Camellia &amp; Lace Frame: ""Elegant Camellia Embroidery"" – 5D Embossed Nail Sticker")</x:f>
        <x:v>HYPERLINK is not implemented. linkLocation=https://365nails.com/products/white-camellia-lace-frame-elegant-camellia-embroidery-5d-embossed-nail-sticker, friendlyName=White Camellia &amp; Lace Frame: "Elegant Camellia Embroidery" – 5D Embossed Nail Sticker</x:v>
      </x:c>
      <x:c r="D5990" s="18" t="str">
        <x:v>Specification type: To3891-relief / To3989-relief</x:v>
      </x:c>
      <x:c r="E5990" s="25" t="str">
        <x:v>$1.23</x:v>
      </x:c>
      <x:c r="F5990" s="19" t="str">
        <x:v>5</x:v>
      </x:c>
    </x:row>
    <x:row r="5991" ht="93" customHeight="1">
      <x:c r="A5991" s="19" t="n">
        <x:v>5988</x:v>
      </x:c>
      <x:c r="B5991" s="22" t="e">
        <x:f>HYPERLINK("https://cdn.shopify.com/s/files/1/0918/6066/4603/files/O1CN01VhMPrX1HlX0bJsVDD__2545140798-0-cib.jpg?v=1773759295","Open")</x:f>
        <x:v>HYPERLINK is not implemented. linkLocation=https://cdn.shopify.com/s/files/1/0918/6066/4603/files/O1CN01VhMPrX1HlX0bJsVDD__2545140798-0-cib.jpg?v=1773759295, friendlyName=Open</x:v>
      </x:c>
      <x:c r="C5991" s="24" t="e">
        <x:f>HYPERLINK("https://365nails.com/products/gradient-heart-star-sweetheart-sparkle-y2k-5d-embossed-nail-sticker","Gradient Heart &amp; Star: ""Sweetheart Sparkle Y2K"" – 5D Embossed Nail Sticker")</x:f>
        <x:v>HYPERLINK is not implemented. linkLocation=https://365nails.com/products/gradient-heart-star-sweetheart-sparkle-y2k-5d-embossed-nail-sticker, friendlyName=Gradient Heart &amp; Star: "Sweetheart Sparkle Y2K" – 5D Embossed Nail Sticker</x:v>
      </x:c>
      <x:c r="D5991" s="18" t="str">
        <x:v>Specification type: To3921 / To3960</x:v>
      </x:c>
      <x:c r="E5991" s="25" t="str">
        <x:v>$1.09</x:v>
      </x:c>
      <x:c r="F5991" s="19" t="str">
        <x:v>5</x:v>
      </x:c>
    </x:row>
    <x:row r="5992" ht="93" customHeight="1">
      <x:c r="A5992" s="19" t="n">
        <x:v>5989</x:v>
      </x:c>
      <x:c r="B5992" s="22" t="e">
        <x:f>HYPERLINK("https://cdn.shopify.com/s/files/1/0918/6066/4603/files/O1CN01ImgafC1HlWxxr5WFN__2545140798-0-cib_ed3a3bdc-1118-4de1-b491-16116aa97848.jpg?v=1774439365","Open")</x:f>
        <x:v>HYPERLINK is not implemented. linkLocation=https://cdn.shopify.com/s/files/1/0918/6066/4603/files/O1CN01ImgafC1HlWxxr5WFN__2545140798-0-cib_ed3a3bdc-1118-4de1-b491-16116aa97848.jpg?v=1774439365, friendlyName=Open</x:v>
      </x:c>
      <x:c r="C5992" s="24" t="e">
        <x:f>HYPERLINK("https://365nails.com/products/365nails-plum-blossom-magpie-chinese-ink-painting-handmade-press-on-nails","365nails: ""plum blossom &amp; magpie chinese ink painting"" – Nail Art Stickers")</x:f>
        <x:v>HYPERLINK is not implemented. linkLocation=https://365nails.com/products/365nails-plum-blossom-magpie-chinese-ink-painting-handmade-press-on-nails, friendlyName=365nails: "plum blossom &amp; magpie chinese ink painting" – Nail Art Stickers</x:v>
      </x:c>
      <x:c r="D5992" s="18" t="str">
        <x:v>Specification type: To3598 / To3599</x:v>
      </x:c>
      <x:c r="E5992" s="25" t="str">
        <x:v>$1.09</x:v>
      </x:c>
      <x:c r="F5992" s="19" t="str">
        <x:v>5</x:v>
      </x:c>
    </x:row>
    <x:row r="5993" ht="93" customHeight="1">
      <x:c r="A5993" s="19" t="n">
        <x:v>5990</x:v>
      </x:c>
      <x:c r="B5993" s="22" t="e">
        <x:f>HYPERLINK("https://cdn.shopify.com/s/files/1/0918/6066/4603/files/O1CN01Hssx551HlX0IpYaIS__2545140798-0-cib.jpg?v=1774439102","Open")</x:f>
        <x:v>HYPERLINK is not implemented. linkLocation=https://cdn.shopify.com/s/files/1/0918/6066/4603/files/O1CN01Hssx551HlX0IpYaIS__2545140798-0-cib.jpg?v=1774439102, friendlyName=Open</x:v>
      </x:c>
      <x:c r="C5993" s="24" t="e">
        <x:f>HYPERLINK("https://365nails.com/products/365nails-vintage-rose-embossed-handmade-press-on-nails","365nails: ""Vintage Rose Embossed"" – Nail Art Stickers")</x:f>
        <x:v>HYPERLINK is not implemented. linkLocation=https://365nails.com/products/365nails-vintage-rose-embossed-handmade-press-on-nails, friendlyName=365nails: "Vintage Rose Embossed" – Nail Art Stickers</x:v>
      </x:c>
      <x:c r="D5993" s="18" t="str">
        <x:v>Specification type: To3895-crystal diamond / To3896-crystal diamond / To3901-crystal diamond / To3902-crystal diamond</x:v>
      </x:c>
      <x:c r="E5993" s="25" t="str">
        <x:v>$1.30</x:v>
      </x:c>
      <x:c r="F5993" s="19" t="str">
        <x:v>5</x:v>
      </x:c>
    </x:row>
    <x:row r="5994" ht="93" customHeight="1">
      <x:c r="A5994" s="19" t="n">
        <x:v>5991</x:v>
      </x:c>
      <x:c r="B5994" s="22" t="e">
        <x:f>HYPERLINK("https://cdn.shopify.com/s/files/1/0918/6066/4603/files/O1CN01Y8ccHE1HlX1q5QkaC__2545140798-0-cib.jpg?v=1774448025","Open")</x:f>
        <x:v>HYPERLINK is not implemented. linkLocation=https://cdn.shopify.com/s/files/1/0918/6066/4603/files/O1CN01Y8ccHE1HlX1q5QkaC__2545140798-0-cib.jpg?v=1774448025, friendlyName=Open</x:v>
      </x:c>
      <x:c r="C5994" s="24" t="e">
        <x:f>HYPERLINK("https://365nails.com/products/365nails-plum-blossom-and-magpie-chinese-ink-painting-handmade-press-on-nails","365nails: ""plum blossom and magpie chinese ink painting"" – Nail Art Stickers")</x:f>
        <x:v>HYPERLINK is not implemented. linkLocation=https://365nails.com/products/365nails-plum-blossom-and-magpie-chinese-ink-painting-handmade-press-on-nails, friendlyName=365nails: "plum blossom and magpie chinese ink painting" – Nail Art Stickers</x:v>
      </x:c>
      <x:c r="D5994" s="18" t="str">
        <x:v>Specification type: San043</x:v>
      </x:c>
      <x:c r="E5994" s="25" t="str">
        <x:v>$1.16</x:v>
      </x:c>
      <x:c r="F5994" s="19" t="str">
        <x:v>5</x:v>
      </x:c>
    </x:row>
    <x:row r="5995" ht="93" customHeight="1">
      <x:c r="A5995" s="19" t="n">
        <x:v>5992</x:v>
      </x:c>
      <x:c r="B5995" s="22" t="e">
        <x:f>HYPERLINK("https://cdn.shopify.com/s/files/1/0918/6066/4603/files/O1CN01E2MPxp1HlWzX1fVaw__2545140798-0-cib.jpg?v=1773759252","Open")</x:f>
        <x:v>HYPERLINK is not implemented. linkLocation=https://cdn.shopify.com/s/files/1/0918/6066/4603/files/O1CN01E2MPxp1HlWzX1fVaw__2545140798-0-cib.jpg?v=1773759252, friendlyName=Open</x:v>
      </x:c>
      <x:c r="C5995" s="24" t="e">
        <x:f>HYPERLINK("https://365nails.com/products/holographic-fairy-butterfly-ethereal-crystal-butterfly-5d-embossed-nail-sticker","Holographic Fairy Butterfly: ""Ethereal Crystal Butterfly"" – 5D Embossed Nail Sticker")</x:f>
        <x:v>HYPERLINK is not implemented. linkLocation=https://365nails.com/products/holographic-fairy-butterfly-ethereal-crystal-butterfly-5d-embossed-nail-sticker, friendlyName=Holographic Fairy Butterfly: "Ethereal Crystal Butterfly" – 5D Embossed Nail Sticker</x:v>
      </x:c>
      <x:c r="D5995" s="18" t="str">
        <x:v>Specification type: To3638-shell light</x:v>
      </x:c>
      <x:c r="E5995" s="25" t="str">
        <x:v>$1.23</x:v>
      </x:c>
      <x:c r="F5995" s="19" t="str">
        <x:v>5</x:v>
      </x:c>
    </x:row>
    <x:row r="5996" ht="93" customHeight="1">
      <x:c r="A5996" s="19" t="n">
        <x:v>5993</x:v>
      </x:c>
      <x:c r="B5996" s="22" t="e">
        <x:f>HYPERLINK("https://cdn.shopify.com/s/files/1/0918/6066/4603/files/O1CN01v6UlOd2MQzfmGH9Xd__2219089449823-0-cib.jpg?v=1774521015","Open")</x:f>
        <x:v>HYPERLINK is not implemented. linkLocation=https://cdn.shopify.com/s/files/1/0918/6066/4603/files/O1CN01v6UlOd2MQzfmGH9Xd__2219089449823-0-cib.jpg?v=1774521015, friendlyName=Open</x:v>
      </x:c>
      <x:c r="C5996" s="24" t="e">
        <x:f>HYPERLINK("https://365nails.com/products/petal-glow-buttercup-dream-almond-shape-press-on-nails","Petal Glow: ""Buttercup Dream"" – Almond Shape Press-On Nails")</x:f>
        <x:v>HYPERLINK is not implemented. linkLocation=https://365nails.com/products/petal-glow-buttercup-dream-almond-shape-press-on-nails, friendlyName=Petal Glow: "Buttercup Dream" – Almond Shape Press-On Nails</x:v>
      </x:c>
      <x:c r="D5996" s="18" t="str">
        <x:v>Color: D633; Color classification: Xs / S / M / L</x:v>
      </x:c>
      <x:c r="E5996" s="25" t="str">
        <x:v>$3.49</x:v>
      </x:c>
      <x:c r="F5996" s="19" t="str">
        <x:v>1</x:v>
      </x:c>
    </x:row>
    <x:row r="5997" ht="93" customHeight="1">
      <x:c r="A5997" s="19" t="n">
        <x:v>5994</x:v>
      </x:c>
      <x:c r="B5997" s="22" t="e">
        <x:f>HYPERLINK("https://cdn.shopify.com/s/files/1/0918/6066/4603/files/O1CN01xYKdrs1HlX7KuaIBX__2545140798-0-cib.jpg?v=1773759223","Open")</x:f>
        <x:v>HYPERLINK is not implemented. linkLocation=https://cdn.shopify.com/s/files/1/0918/6066/4603/files/O1CN01xYKdrs1HlX7KuaIBX__2545140798-0-cib.jpg?v=1773759223, friendlyName=Open</x:v>
      </x:c>
      <x:c r="C5997" s="24" t="e">
        <x:f>HYPERLINK("https://365nails.com/products/mini-swimwear-bikini-vacation-beach-vibe-5d-embossed-nail-sticker","Mini Swimwear &amp; Bikini: ""Vacation Beach Vibe"" – 5D Embossed Nail Sticker")</x:f>
        <x:v>HYPERLINK is not implemented. linkLocation=https://365nails.com/products/mini-swimwear-bikini-vacation-beach-vibe-5d-embossed-nail-sticker, friendlyName=Mini Swimwear &amp; Bikini: "Vacation Beach Vibe" – 5D Embossed Nail Sticker</x:v>
      </x:c>
      <x:c r="D5997" s="18" t="str">
        <x:v>Specification type: To5132-relief / To5138-relief</x:v>
      </x:c>
      <x:c r="E5997" s="25" t="str">
        <x:v>$1.23</x:v>
      </x:c>
      <x:c r="F5997" s="19" t="str">
        <x:v>5</x:v>
      </x:c>
    </x:row>
    <x:row r="5998" ht="93" customHeight="1">
      <x:c r="A5998" s="19" t="n">
        <x:v>5995</x:v>
      </x:c>
      <x:c r="B5998" s="22" t="e">
        <x:f>HYPERLINK("https://cdn.shopify.com/s/files/1/0918/6066/4603/files/O1CN01aShT3f1HlXA9J8leX__2545140798-0-cib_b3bdf404-c900-48af-a429-5816f5f43d1c.jpg?v=1775401755","Open")</x:f>
        <x:v>HYPERLINK is not implemented. linkLocation=https://cdn.shopify.com/s/files/1/0918/6066/4603/files/O1CN01aShT3f1HlXA9J8leX__2545140798-0-cib_b3bdf404-c900-48af-a429-5816f5f43d1c.jpg?v=1775401755, friendlyName=Open</x:v>
      </x:c>
      <x:c r="C5998" s="24" t="e">
        <x:f>HYPERLINK("https://365nails.com/products/365nails-vintage-watercolor-butterfly-handmade-press-on-nails","365nails: ""Vintage Watercolor Butterfly"" – Nail Art Stickers")</x:f>
        <x:v>HYPERLINK is not implemented. linkLocation=https://365nails.com/products/365nails-vintage-watercolor-butterfly-handmade-press-on-nails, friendlyName=365nails: "Vintage Watercolor Butterfly" – Nail Art Stickers</x:v>
      </x:c>
      <x:c r="D5998" s="18" t="str">
        <x:v>Specification type: To5441-shell light / To5446-metal</x:v>
      </x:c>
      <x:c r="E5998" s="25" t="str">
        <x:v>$1.23</x:v>
      </x:c>
      <x:c r="F5998" s="19" t="str">
        <x:v>5</x:v>
      </x:c>
    </x:row>
    <x:row r="5999" ht="93" customHeight="1">
      <x:c r="A5999" s="19" t="n">
        <x:v>5996</x:v>
      </x:c>
      <x:c r="B5999" s="22" t="e">
        <x:f>HYPERLINK("https://cdn.shopify.com/s/files/1/0918/6066/4603/files/O1CN01wlL3lv1HlX1IVRjV1__2545140798-0-cib_a516bd9d-1bd2-42b5-a207-eeb333bd68a6.jpg?v=1774448657","Open")</x:f>
        <x:v>HYPERLINK is not implemented. linkLocation=https://cdn.shopify.com/s/files/1/0918/6066/4603/files/O1CN01wlL3lv1HlX1IVRjV1__2545140798-0-cib_a516bd9d-1bd2-42b5-a207-eeb333bd68a6.jpg?v=1774448657, friendlyName=Open</x:v>
      </x:c>
      <x:c r="C5999" s="24" t="e">
        <x:f>HYPERLINK("https://365nails.com/products/365nails-peter-rabbit-garden-handmade-press-on-nails","365nails: ""peter rabbit garden"" – Nail Art Stickers")</x:f>
        <x:v>HYPERLINK is not implemented. linkLocation=https://365nails.com/products/365nails-peter-rabbit-garden-handmade-press-on-nails, friendlyName=365nails: "peter rabbit garden" – Nail Art Stickers</x:v>
      </x:c>
      <x:c r="D5999" s="18" t="str">
        <x:v>Specification type: To4066 / To4068</x:v>
      </x:c>
      <x:c r="E5999" s="25" t="str">
        <x:v>$1.09</x:v>
      </x:c>
      <x:c r="F5999" s="19" t="str">
        <x:v>5</x:v>
      </x:c>
    </x:row>
    <x:row r="6000" ht="93" customHeight="1">
      <x:c r="A6000" s="19" t="n">
        <x:v>5997</x:v>
      </x:c>
      <x:c r="B6000" s="22" t="e">
        <x:f>HYPERLINK("https://cdn.shopify.com/s/files/1/0918/6066/4603/files/225badf56d2bdd03a284b1f63110cfd0.jpg?v=1775887829","Open")</x:f>
        <x:v>HYPERLINK is not implemented. linkLocation=https://cdn.shopify.com/s/files/1/0918/6066/4603/files/225badf56d2bdd03a284b1f63110cfd0.jpg?v=1775887829, friendlyName=Open</x:v>
      </x:c>
      <x:c r="C6000" s="24" t="e">
        <x:f>HYPERLINK("https://365nails.com/products/365nails-pastel-blue-gothic-cross-stiletto-handmade-long-sharp-stiletto-nails","365nails: ""Pastel Blue Gothic Cross Stiletto"" – Handmade Long Sharp Stiletto Nails")</x:f>
        <x:v>HYPERLINK is not implemented. linkLocation=https://365nails.com/products/365nails-pastel-blue-gothic-cross-stiletto-handmade-long-sharp-stiletto-nails, friendlyName=365nails: "Pastel Blue Gothic Cross Stiletto" – Handmade Long Sharp Stiletto Nails</x:v>
      </x:c>
      <x:c r="D6000" s="18" t="str">
        <x:v>Size: XS / S / M / L</x:v>
      </x:c>
      <x:c r="E6000" s="25" t="str">
        <x:v>$3.99</x:v>
      </x:c>
      <x:c r="F6000" s="19" t="str">
        <x:v>3</x:v>
      </x:c>
    </x:row>
    <x:row r="6001" ht="93" customHeight="1">
      <x:c r="A6001" s="19" t="n">
        <x:v>5998</x:v>
      </x:c>
      <x:c r="B6001" s="22" t="e">
        <x:f>HYPERLINK("https://cdn.shopify.com/s/files/1/0918/6066/4603/files/O1CN01lQVv0s1HlWq6STtau__2545140798-0-cib.jpg?v=1774362874","Open")</x:f>
        <x:v>HYPERLINK is not implemented. linkLocation=https://cdn.shopify.com/s/files/1/0918/6066/4603/files/O1CN01lQVv0s1HlWq6STtau__2545140798-0-cib.jpg?v=1774362874, friendlyName=Open</x:v>
      </x:c>
      <x:c r="C6001" s="24" t="e">
        <x:f>HYPERLINK("https://365nails.com/products/365nails-celestial-sun-moon-star-embossed-set-handmade-press-on-nails","365nails: ""Celestial Sun Moon Star Embossed Set"" – Nail Art Stickers")</x:f>
        <x:v>HYPERLINK is not implemented. linkLocation=https://365nails.com/products/365nails-celestial-sun-moon-star-embossed-set-handmade-press-on-nails, friendlyName=365nails: "Celestial Sun Moon Star Embossed Set" – Nail Art Stickers</x:v>
      </x:c>
      <x:c r="D6001" s="18" t="str">
        <x:v>Specification type: To1931 / To1930 / To2002 / To2192</x:v>
      </x:c>
      <x:c r="E6001" s="25" t="str">
        <x:v>$1.23</x:v>
      </x:c>
      <x:c r="F6001" s="19" t="str">
        <x:v>5</x:v>
      </x:c>
    </x:row>
    <x:row r="6002" ht="93" customHeight="1">
      <x:c r="A6002" s="19" t="n">
        <x:v>5999</x:v>
      </x:c>
      <x:c r="B6002" s="22" t="e">
        <x:f>HYPERLINK("https://cdn.shopify.com/s/files/1/0918/6066/4603/files/O1CN01B7YOPy1HlX722E3qD__2545140798-0-cib.jpg?v=1773759199","Open")</x:f>
        <x:v>HYPERLINK is not implemented. linkLocation=https://cdn.shopify.com/s/files/1/0918/6066/4603/files/O1CN01B7YOPy1HlX722E3qD__2545140798-0-cib.jpg?v=1773759199, friendlyName=Open</x:v>
      </x:c>
      <x:c r="C6002" s="24" t="e">
        <x:f>HYPERLINK("https://365nails.com/products/cute-drink-bunny-jar-sweet-summer-beverage-5d-embossed-nail-sticker","Cute Drink &amp; Bunny Jar: ""Sweet Summer Beverage"" – 5D Embossed Nail Sticker")</x:f>
        <x:v>HYPERLINK is not implemented. linkLocation=https://365nails.com/products/cute-drink-bunny-jar-sweet-summer-beverage-5d-embossed-nail-sticker, friendlyName=Cute Drink &amp; Bunny Jar: "Sweet Summer Beverage" – 5D Embossed Nail Sticker</x:v>
      </x:c>
      <x:c r="D6002" s="18" t="str">
        <x:v>Specification type: To3698-shell light / To3952-relief / To4869-relief</x:v>
      </x:c>
      <x:c r="E6002" s="25" t="str">
        <x:v>$1.23</x:v>
      </x:c>
      <x:c r="F6002" s="19" t="str">
        <x:v>5</x:v>
      </x:c>
    </x:row>
    <x:row r="6003" ht="93" customHeight="1">
      <x:c r="A6003" s="19" t="n">
        <x:v>6000</x:v>
      </x:c>
      <x:c r="B6003" s="22" t="e">
        <x:f>HYPERLINK("https://cdn.shopify.com/s/files/1/0918/6066/4603/files/O1CN01csYgXm1HlX6qBA5S5__2545140798-0-cib_550711c0-53c0-4b85-af3e-3864ed1f5558.jpg?v=1774600943","Open")</x:f>
        <x:v>HYPERLINK is not implemented. linkLocation=https://cdn.shopify.com/s/files/1/0918/6066/4603/files/O1CN01csYgXm1HlX6qBA5S5__2545140798-0-cib_550711c0-53c0-4b85-af3e-3864ed1f5558.jpg?v=1774600943, friendlyName=Open</x:v>
      </x:c>
      <x:c r="C6003" s="24" t="e">
        <x:f>HYPERLINK("https://365nails.com/products/365nails-disney-mickey-friends-handmade-press-on-nails","365nails: ""Disney Mickey &amp; Friends"" – Nail Art Stickers")</x:f>
        <x:v>HYPERLINK is not implemented. linkLocation=https://365nails.com/products/365nails-disney-mickey-friends-handmade-press-on-nails, friendlyName=365nails: "Disney Mickey &amp; Friends" – Nail Art Stickers</x:v>
      </x:c>
      <x:c r="D6003" s="18" t="str">
        <x:v>Specification type: Td012m-relief</x:v>
      </x:c>
      <x:c r="E6003" s="25" t="str">
        <x:v>$1.23</x:v>
      </x:c>
      <x:c r="F6003" s="19" t="str">
        <x:v>5</x:v>
      </x:c>
    </x:row>
    <x:row r="6004" ht="93" customHeight="1">
      <x:c r="A6004" s="19" t="n">
        <x:v>6001</x:v>
      </x:c>
      <x:c r="B6004" s="22" t="e">
        <x:f>HYPERLINK("https://cdn.shopify.com/s/files/1/0918/6066/4603/files/O1CN01WMnQeY1HlX0qZZ230__2545140798-0-cib.jpg?v=1773759326","Open")</x:f>
        <x:v>HYPERLINK is not implemented. linkLocation=https://cdn.shopify.com/s/files/1/0918/6066/4603/files/O1CN01WMnQeY1HlX0qZZ230__2545140798-0-cib.jpg?v=1773759326, friendlyName=Open</x:v>
      </x:c>
      <x:c r="C6004" s="24" t="e">
        <x:f>HYPERLINK("https://365nails.com/products/retro-floral-polka-dot-vintage-flower-patch-5d-embossed-nail-sticker","Retro Floral &amp; Polka Dot: ""Vintage Flower Patch"" – 5D Embossed Nail Sticker")</x:f>
        <x:v>HYPERLINK is not implemented. linkLocation=https://365nails.com/products/retro-floral-polka-dot-vintage-flower-patch-5d-embossed-nail-sticker, friendlyName=Retro Floral &amp; Polka Dot: "Vintage Flower Patch" – 5D Embossed Nail Sticker</x:v>
      </x:c>
      <x:c r="D6004" s="18" t="str">
        <x:v>Specification type: To3971</x:v>
      </x:c>
      <x:c r="E6004" s="25" t="str">
        <x:v>$1.09</x:v>
      </x:c>
      <x:c r="F6004" s="19" t="str">
        <x:v>5</x:v>
      </x:c>
    </x:row>
    <x:row r="6005" ht="93" customHeight="1">
      <x:c r="A6005" s="19" t="n">
        <x:v>6002</x:v>
      </x:c>
      <x:c r="B6005" s="22" t="e">
        <x:f>HYPERLINK("https://cdn.shopify.com/s/files/1/0918/6066/4603/files/85bac3b3ccd73af9164b50f070028165.jpg?v=1775886307","Open")</x:f>
        <x:v>HYPERLINK is not implemented. linkLocation=https://cdn.shopify.com/s/files/1/0918/6066/4603/files/85bac3b3ccd73af9164b50f070028165.jpg?v=1775886307, friendlyName=Open</x:v>
      </x:c>
      <x:c r="C6005" s="24" t="e">
        <x:f>HYPERLINK("https://365nails.com/products/365nails-blush-fluid-stiletto-handmade-long-sharp-stiletto-nails","365nails: ""Blush Fluid Stiletto"" – Handmade Long Sharp Stiletto Nails")</x:f>
        <x:v>HYPERLINK is not implemented. linkLocation=https://365nails.com/products/365nails-blush-fluid-stiletto-handmade-long-sharp-stiletto-nails, friendlyName=365nails: "Blush Fluid Stiletto" – Handmade Long Sharp Stiletto Nails</x:v>
      </x:c>
      <x:c r="D6005" s="18" t="str">
        <x:v>Size: XS / S / M / L</x:v>
      </x:c>
      <x:c r="E6005" s="25" t="str">
        <x:v>$3.99</x:v>
      </x:c>
      <x:c r="F6005" s="19" t="str">
        <x:v>3</x:v>
      </x:c>
    </x:row>
    <x:row r="6006" ht="93" customHeight="1">
      <x:c r="A6006" s="19" t="n">
        <x:v>6003</x:v>
      </x:c>
      <x:c r="B6006" s="22" t="e">
        <x:f>HYPERLINK("https://cdn.shopify.com/s/files/1/0918/6066/4603/files/O1CN01Yf3Fqe1HlX5QEBS2r__2545140798-0-cib_848a49ab-3594-4c60-9f94-4a422258abed.jpg?v=1775463784","Open")</x:f>
        <x:v>HYPERLINK is not implemented. linkLocation=https://cdn.shopify.com/s/files/1/0918/6066/4603/files/O1CN01Yf3Fqe1HlX5QEBS2r__2545140798-0-cib_848a49ab-3594-4c60-9f94-4a422258abed.jpg?v=1775463784, friendlyName=Open</x:v>
      </x:c>
      <x:c r="C6006" s="24" t="e">
        <x:f>HYPERLINK("https://365nails.com/products/365nails-holographic-pink-dragon-handmade-press-on-nails","365nails: ""Holographic Pink Dragon"" –Nail Art Stickers")</x:f>
        <x:v>HYPERLINK is not implemented. linkLocation=https://365nails.com/products/365nails-holographic-pink-dragon-handmade-press-on-nails, friendlyName=365nails: "Holographic Pink Dragon" –Nail Art Stickers</x:v>
      </x:c>
      <x:c r="D6006" s="18" t="str">
        <x:v>Specification type: Ms527-metal / Ms528-shell light / Ms529-metal / Ms530 - shell light</x:v>
      </x:c>
      <x:c r="E6006" s="25" t="str">
        <x:v>$1.23</x:v>
      </x:c>
      <x:c r="F6006" s="19" t="str">
        <x:v>5</x:v>
      </x:c>
    </x:row>
    <x:row r="6007" ht="93" customHeight="1">
      <x:c r="A6007" s="19" t="n">
        <x:v>6004</x:v>
      </x:c>
      <x:c r="B6007" s="22" t="e">
        <x:f>HYPERLINK("https://cdn.shopify.com/s/files/1/0918/6066/4603/files/O1CN01EdX6yu1HlX353n9XF__2545140798-0-cib.jpg?v=1776513191","Open")</x:f>
        <x:v>HYPERLINK is not implemented. linkLocation=https://cdn.shopify.com/s/files/1/0918/6066/4603/files/O1CN01EdX6yu1HlX353n9XF__2545140798-0-cib.jpg?v=1776513191, friendlyName=Open</x:v>
      </x:c>
      <x:c r="C6007" s="24" t="e">
        <x:f>HYPERLINK("https://365nails.com/products/365nails-cute-halloween-icons-nail-art-stickers","365nails: ""Cute Halloween Icons"" – nail art stickers")</x:f>
        <x:v>HYPERLINK is not implemented. linkLocation=https://365nails.com/products/365nails-cute-halloween-icons-nail-art-stickers, friendlyName=365nails: "Cute Halloween Icons" – nail art stickers</x:v>
      </x:c>
      <x:c r="D6007" s="18" t="str">
        <x:v>Specification type: To4437-relief</x:v>
      </x:c>
      <x:c r="E6007" s="25" t="str">
        <x:v>$1.23</x:v>
      </x:c>
      <x:c r="F6007" s="19" t="str">
        <x:v>5</x:v>
      </x:c>
    </x:row>
    <x:row r="6008" ht="93" customHeight="1">
      <x:c r="A6008" s="19" t="n">
        <x:v>6005</x:v>
      </x:c>
      <x:c r="B6008" s="22" t="e">
        <x:f>HYPERLINK("https://cdn.shopify.com/s/files/1/0918/6066/4603/files/O1CN01iVIdk11HlWwHEM1hN__2545140798-0-cib.jpg?v=1774357413","Open")</x:f>
        <x:v>HYPERLINK is not implemented. linkLocation=https://cdn.shopify.com/s/files/1/0918/6066/4603/files/O1CN01iVIdk11HlWwHEM1hN__2545140798-0-cib.jpg?v=1774357413, friendlyName=Open</x:v>
      </x:c>
      <x:c r="C6008" s="24" t="e">
        <x:f>HYPERLINK("https://365nails.com/products/365nails-holographic-fairy-wing-star-crystal-set-handmade-press-on-nails","365nails: ""holographic fairy wing star crystal set"" – Nail Art Stickers")</x:f>
        <x:v>HYPERLINK is not implemented. linkLocation=https://365nails.com/products/365nails-holographic-fairy-wing-star-crystal-set-handmade-press-on-nails, friendlyName=365nails: "holographic fairy wing star crystal set" – Nail Art Stickers</x:v>
      </x:c>
      <x:c r="D6008" s="18" t="str">
        <x:v>Specification type: To3229-crystal diamond / To3230-crystal diamond</x:v>
      </x:c>
      <x:c r="E6008" s="25" t="str">
        <x:v>$1.30</x:v>
      </x:c>
      <x:c r="F6008" s="19" t="str">
        <x:v>5</x:v>
      </x:c>
    </x:row>
    <x:row r="6009" ht="93" customHeight="1">
      <x:c r="A6009" s="19" t="n">
        <x:v>6006</x:v>
      </x:c>
      <x:c r="B6009" s="22" t="e">
        <x:f>HYPERLINK("https://cdn.shopify.com/s/files/1/0918/6066/4603/files/O1CN01EIaotf1HlX3FMNX9a__2545140798-0-cib_ea9bfc5d-2f25-4974-ad99-7cd76b5d7b80.jpg?v=1775457160","Open")</x:f>
        <x:v>HYPERLINK is not implemented. linkLocation=https://cdn.shopify.com/s/files/1/0918/6066/4603/files/O1CN01EIaotf1HlX3FMNX9a__2545140798-0-cib_ea9bfc5d-2f25-4974-ad99-7cd76b5d7b80.jpg?v=1775457160, friendlyName=Open</x:v>
      </x:c>
      <x:c r="C6009" s="24" t="e">
        <x:f>HYPERLINK("https://365nails.com/products/365nails-blush-serpent-hologram-butterfly-handmade-press-on-nails","365nails: ""Blush Serpent &amp; Hologram Butterfly"" –Nail Art Stickers")</x:f>
        <x:v>HYPERLINK is not implemented. linkLocation=https://365nails.com/products/365nails-blush-serpent-hologram-butterfly-handmade-press-on-nails, friendlyName=365nails: "Blush Serpent &amp; Hologram Butterfly" –Nail Art Stickers</x:v>
      </x:c>
      <x:c r="D6009" s="18" t="str">
        <x:v>Specification type: To4457-jelly / To4458-jelly</x:v>
      </x:c>
      <x:c r="E6009" s="25" t="str">
        <x:v>$1.23</x:v>
      </x:c>
      <x:c r="F6009" s="19" t="str">
        <x:v>5</x:v>
      </x:c>
    </x:row>
    <x:row r="6010" ht="93" customHeight="1">
      <x:c r="A6010" s="19" t="n">
        <x:v>6007</x:v>
      </x:c>
      <x:c r="B6010" s="22" t="e">
        <x:f>HYPERLINK("https://cdn.shopify.com/s/files/1/0918/6066/4603/files/b39572078e975196bb1f2cec3043a9c2.jpg?v=1775887708","Open")</x:f>
        <x:v>HYPERLINK is not implemented. linkLocation=https://cdn.shopify.com/s/files/1/0918/6066/4603/files/b39572078e975196bb1f2cec3043a9c2.jpg?v=1775887708, friendlyName=Open</x:v>
      </x:c>
      <x:c r="C6010" s="24" t="e">
        <x:f>HYPERLINK("https://365nails.com/products/365nails-lavender-daisy-stiletto-handmade-long-sharp-stiletto-nails","365nails: ""Lavender Daisy Stiletto"" – Handmade Long Sharp Stiletto Nails")</x:f>
        <x:v>HYPERLINK is not implemented. linkLocation=https://365nails.com/products/365nails-lavender-daisy-stiletto-handmade-long-sharp-stiletto-nails, friendlyName=365nails: "Lavender Daisy Stiletto" – Handmade Long Sharp Stiletto Nails</x:v>
      </x:c>
      <x:c r="D6010" s="18" t="str">
        <x:v>Size: XS / S / M / L</x:v>
      </x:c>
      <x:c r="E6010" s="25" t="str">
        <x:v>$3.99</x:v>
      </x:c>
      <x:c r="F6010" s="19" t="str">
        <x:v>3</x:v>
      </x:c>
    </x:row>
    <x:row r="6011" ht="93" customHeight="1">
      <x:c r="A6011" s="19" t="n">
        <x:v>6008</x:v>
      </x:c>
      <x:c r="B6011" s="22" t="e">
        <x:f>HYPERLINK("https://cdn.shopify.com/s/files/1/0918/6066/4603/files/c033b02034d50b425712829ac2b535c6_d5351e7f-7280-483a-beb2-223c6b9e8576.jpg?v=1777644944","Open")</x:f>
        <x:v>HYPERLINK is not implemented. linkLocation=https://cdn.shopify.com/s/files/1/0918/6066/4603/files/c033b02034d50b425712829ac2b535c6_d5351e7f-7280-483a-beb2-223c6b9e8576.jpg?v=1777644944, friendlyName=Open</x:v>
      </x:c>
      <x:c r="C6011" s="24" t="e">
        <x:f>HYPERLINK("https://365nails.com/products/365nails-citrus-splash-3d-sculpted-handmade-medium-almond-press-on-nails","365nails: ""Citrus Splash"" – 3D Sculpted Handmade Medium Almond Press On Nails")</x:f>
        <x:v>HYPERLINK is not implemented. linkLocation=https://365nails.com/products/365nails-citrus-splash-3d-sculpted-handmade-medium-almond-press-on-nails, friendlyName=365nails: "Citrus Splash" – 3D Sculpted Handmade Medium Almond Press On Nails</x:v>
      </x:c>
      <x:c r="D6011" s="18" t="str">
        <x:v>Size: XS / S / M / L</x:v>
      </x:c>
      <x:c r="E6011" s="25" t="str">
        <x:v>$4.99</x:v>
      </x:c>
      <x:c r="F6011" s="19" t="str">
        <x:v>5</x:v>
      </x:c>
    </x:row>
    <x:row r="6012" ht="93" customHeight="1">
      <x:c r="A6012" s="19" t="n">
        <x:v>6009</x:v>
      </x:c>
      <x:c r="B6012" s="22" t="e">
        <x:f>HYPERLINK("https://cdn.shopify.com/s/files/1/0918/6066/4603/files/47f9f02bfd8ca487ca38efe8289c7ff6_d72f7287-cc75-402d-95b8-117f27d880bf.jpg?v=1777645002","Open")</x:f>
        <x:v>HYPERLINK is not implemented. linkLocation=https://cdn.shopify.com/s/files/1/0918/6066/4603/files/47f9f02bfd8ca487ca38efe8289c7ff6_d72f7287-cc75-402d-95b8-117f27d880bf.jpg?v=1777645002, friendlyName=Open</x:v>
      </x:c>
      <x:c r="C6012" s="24" t="e">
        <x:f>HYPERLINK("https://365nails.com/products/365nails-tropical-fruit-medley-3d-citrus-berry-handmade-medium-almond-press-on-nails","365nails: ""Tropical Fruit Medley"" – 3D Citrus &amp; Berry Handmade Medium Almond Press On Nails")</x:f>
        <x:v>HYPERLINK is not implemented. linkLocation=https://365nails.com/products/365nails-tropical-fruit-medley-3d-citrus-berry-handmade-medium-almond-press-on-nails, friendlyName=365nails: "Tropical Fruit Medley" – 3D Citrus &amp; Berry Handmade Medium Almond Press On Nails</x:v>
      </x:c>
      <x:c r="D6012" s="18" t="str">
        <x:v>Size: XS / S / M / L</x:v>
      </x:c>
      <x:c r="E6012" s="25" t="str">
        <x:v>$4.99</x:v>
      </x:c>
      <x:c r="F6012" s="19" t="str">
        <x:v>5</x:v>
      </x:c>
    </x:row>
    <x:row r="6013" ht="93" customHeight="1">
      <x:c r="A6013" s="19" t="n">
        <x:v>6010</x:v>
      </x:c>
      <x:c r="B6013" s="22" t="e">
        <x:f>HYPERLINK("https://cdn.shopify.com/s/files/1/0918/6066/4603/files/b53469df2bbd135c00a3d3f1f2a52e27.jpg?v=1775887913","Open")</x:f>
        <x:v>HYPERLINK is not implemented. linkLocation=https://cdn.shopify.com/s/files/1/0918/6066/4603/files/b53469df2bbd135c00a3d3f1f2a52e27.jpg?v=1775887913, friendlyName=Open</x:v>
      </x:c>
      <x:c r="C6013" s="24" t="e">
        <x:f>HYPERLINK("https://365nails.com/products/365nails-aqua-chrome-drip-stiletto-handmade-long-sharp-stiletto-nails","365nails: ""Aqua Chrome Drip Stiletto"" – Handmade Long Sharp Stiletto Nails")</x:f>
        <x:v>HYPERLINK is not implemented. linkLocation=https://365nails.com/products/365nails-aqua-chrome-drip-stiletto-handmade-long-sharp-stiletto-nails, friendlyName=365nails: "Aqua Chrome Drip Stiletto" – Handmade Long Sharp Stiletto Nails</x:v>
      </x:c>
      <x:c r="D6013" s="18" t="str">
        <x:v>Size: XS / S / M / L</x:v>
      </x:c>
      <x:c r="E6013" s="25" t="str">
        <x:v>$3.99</x:v>
      </x:c>
      <x:c r="F6013" s="19" t="str">
        <x:v>3</x:v>
      </x:c>
    </x:row>
    <x:row r="6014" ht="93" customHeight="1">
      <x:c r="A6014" s="19" t="n">
        <x:v>6011</x:v>
      </x:c>
      <x:c r="B6014" s="22" t="e">
        <x:f>HYPERLINK("https://cdn.shopify.com/s/files/1/0918/6066/4603/files/0203e4d7592a6706668611a092528234.jpg?v=1775808368","Open")</x:f>
        <x:v>HYPERLINK is not implemented. linkLocation=https://cdn.shopify.com/s/files/1/0918/6066/4603/files/0203e4d7592a6706668611a092528234.jpg?v=1775808368, friendlyName=Open</x:v>
      </x:c>
      <x:c r="C6014" s="24" t="e">
        <x:f>HYPERLINK("https://365nails.com/products/365nails-tomoni-nail-art-sticker-storage-album","365nails: Tomoni Nail Art Sticker Storage Album")</x:f>
        <x:v>HYPERLINK is not implemented. linkLocation=https://365nails.com/products/365nails-tomoni-nail-art-sticker-storage-album, friendlyName=365nails: Tomoni Nail Art Sticker Storage Album</x:v>
      </x:c>
      <x:c r="D6014" s="18" t="str">
        <x:v>Color classification: Big green photo album</x:v>
      </x:c>
      <x:c r="E6014" s="25" t="str">
        <x:v>$8.69</x:v>
      </x:c>
      <x:c r="F6014" s="19" t="str">
        <x:v>1</x:v>
      </x:c>
    </x:row>
    <x:row r="6015" ht="93" customHeight="1">
      <x:c r="A6015" s="19" t="n">
        <x:v>6012</x:v>
      </x:c>
      <x:c r="B6015" s="22" t="e">
        <x:f>HYPERLINK("https://cdn.shopify.com/s/files/1/0918/6066/4603/files/150ebf115c1dc8357761044031d53086_1af2df73-48f6-47c9-a2e3-72625bb2b6d8.jpg?v=1777644971","Open")</x:f>
        <x:v>HYPERLINK is not implemented. linkLocation=https://cdn.shopify.com/s/files/1/0918/6066/4603/files/150ebf115c1dc8357761044031d53086_1af2df73-48f6-47c9-a2e3-72625bb2b6d8.jpg?v=1777644971, friendlyName=Open</x:v>
      </x:c>
      <x:c r="C6015" s="24" t="e">
        <x:f>HYPERLINK("https://365nails.com/products/365nails-lucky-clover-3d-floral-gem-handmade-medium-almond-press-on-nails","365nails: ""Lucky Clover"" – 3D Floral &amp; Gem Handmade Medium Almond Press On Nails")</x:f>
        <x:v>HYPERLINK is not implemented. linkLocation=https://365nails.com/products/365nails-lucky-clover-3d-floral-gem-handmade-medium-almond-press-on-nails, friendlyName=365nails: "Lucky Clover" – 3D Floral &amp; Gem Handmade Medium Almond Press On Nails</x:v>
      </x:c>
      <x:c r="D6015" s="18" t="str">
        <x:v>Size: XS / S / M / L</x:v>
      </x:c>
      <x:c r="E6015" s="25" t="str">
        <x:v>$4.99</x:v>
      </x:c>
      <x:c r="F6015" s="19" t="str">
        <x:v>5</x:v>
      </x:c>
    </x:row>
    <x:row r="6016" ht="93" customHeight="1">
      <x:c r="A6016" s="19" t="n">
        <x:v>6013</x:v>
      </x:c>
      <x:c r="B6016" s="22" t="e">
        <x:f>HYPERLINK("https://cdn.shopify.com/s/files/1/0918/6066/4603/files/O1CN01olRg8y1HlWsj6Q2Fo__2545140798-0-cib.jpg?v=1776697284","Open")</x:f>
        <x:v>HYPERLINK is not implemented. linkLocation=https://cdn.shopify.com/s/files/1/0918/6066/4603/files/O1CN01olRg8y1HlWsj6Q2Fo__2545140798-0-cib.jpg?v=1776697284, friendlyName=Open</x:v>
      </x:c>
      <x:c r="C6016" s="24" t="e">
        <x:f>HYPERLINK("https://365nails.com/products/365nails-cute-doodle-summer-nail-art-stickers","365nails: ""Cute Doodle Summer"" – nail art stickers")</x:f>
        <x:v>HYPERLINK is not implemented. linkLocation=https://365nails.com/products/365nails-cute-doodle-summer-nail-art-stickers, friendlyName=365nails: "Cute Doodle Summer" – nail art stickers</x:v>
      </x:c>
      <x:c r="D6016" s="18" t="str">
        <x:v>Specification type: To2779</x:v>
      </x:c>
      <x:c r="E6016" s="25" t="str">
        <x:v>$1.23</x:v>
      </x:c>
      <x:c r="F6016" s="19" t="str">
        <x:v>5</x:v>
      </x:c>
    </x:row>
    <x:row r="6017" ht="93" customHeight="1">
      <x:c r="A6017" s="19" t="n">
        <x:v>6014</x:v>
      </x:c>
      <x:c r="B6017" s="22" t="e">
        <x:f>HYPERLINK("https://cdn.shopify.com/s/files/1/0918/6066/4603/files/O1CN01Scw1H71HlX1gW34QT__2545140798-0-cib_1c8bc800-eeca-47b9-a3de-9fa52f2b7c44.jpg?v=1775452472","Open")</x:f>
        <x:v>HYPERLINK is not implemented. linkLocation=https://cdn.shopify.com/s/files/1/0918/6066/4603/files/O1CN01Scw1H71HlX1gW34QT__2545140798-0-cib_1c8bc800-eeca-47b9-a3de-9fa52f2b7c44.jpg?v=1775452472, friendlyName=Open</x:v>
      </x:c>
      <x:c r="C6017" s="24" t="e">
        <x:f>HYPERLINK("https://365nails.com/products/365-nails-watercolor-cat-crew-handmade-press-on-nails","365 nails: ""Watercolor Cat Crew"" - Nail Art Stickers")</x:f>
        <x:v>HYPERLINK is not implemented. linkLocation=https://365nails.com/products/365-nails-watercolor-cat-crew-handmade-press-on-nails, friendlyName=365 nails: "Watercolor Cat Crew" - Nail Art Stickers</x:v>
      </x:c>
      <x:c r="D6017" s="18" t="str">
        <x:v>Specification type: To4189-jelly</x:v>
      </x:c>
      <x:c r="E6017" s="25" t="str">
        <x:v>$1.23</x:v>
      </x:c>
      <x:c r="F6017" s="19" t="str">
        <x:v>5</x:v>
      </x:c>
    </x:row>
    <x:row r="6018" ht="93" customHeight="1">
      <x:c r="A6018" s="19" t="n">
        <x:v>6015</x:v>
      </x:c>
      <x:c r="B6018" s="22" t="e">
        <x:f>HYPERLINK("https://cdn.shopify.com/s/files/1/0918/6066/4603/files/O1CN017heqjm1HlX37lQe3q__2545140798-0-cib_03f63bf4-2265-4aaa-b544-72feef1048ec.jpg?v=1775806573","Open")</x:f>
        <x:v>HYPERLINK is not implemented. linkLocation=https://cdn.shopify.com/s/files/1/0918/6066/4603/files/O1CN017heqjm1HlX37lQe3q__2545140798-0-cib_03f63bf4-2265-4aaa-b544-72feef1048ec.jpg?v=1775806573, friendlyName=Open</x:v>
      </x:c>
      <x:c r="C6018" s="24" t="e">
        <x:f>HYPERLINK("https://365nails.com/products/365nails-holographic-crystal-butterfly-handmade-press-on-nails","365nails: ""Holographic Crystal Butterfly"" – Nail Art Stickers")</x:f>
        <x:v>HYPERLINK is not implemented. linkLocation=https://365nails.com/products/365nails-holographic-crystal-butterfly-handmade-press-on-nails, friendlyName=365nails: "Holographic Crystal Butterfly" – Nail Art Stickers</x:v>
      </x:c>
      <x:c r="D6018" s="18" t="str">
        <x:v>Specification type: Ms688-crystal diamond / Ms689-crystal diamond</x:v>
      </x:c>
      <x:c r="E6018" s="25" t="str">
        <x:v>$1.30</x:v>
      </x:c>
      <x:c r="F6018" s="19" t="str">
        <x:v>5</x:v>
      </x:c>
    </x:row>
    <x:row r="6019" ht="93" customHeight="1">
      <x:c r="A6019" s="19" t="n">
        <x:v>6016</x:v>
      </x:c>
      <x:c r="B6019" s="22" t="e">
        <x:f>HYPERLINK("https://cdn.shopify.com/s/files/1/0918/6066/4603/files/cf82df94445f8c38a0c93abf9cce11a9.jpg?v=1774074218","Open")</x:f>
        <x:v>HYPERLINK is not implemented. linkLocation=https://cdn.shopify.com/s/files/1/0918/6066/4603/files/cf82df94445f8c38a0c93abf9cce11a9.jpg?v=1774074218, friendlyName=Open</x:v>
      </x:c>
      <x:c r="C6019" s="24" t="e">
        <x:f>HYPERLINK("https://365nails.com/products/cosmic-fatale-midnight-galaxy-glow-long-sharp-stiletto-handmade-press-on-nails","Cosmic Fatale: ""Midnight Galaxy Glow"" – Long Sharp Stiletto Handmade Press On Nails")</x:f>
        <x:v>HYPERLINK is not implemented. linkLocation=https://365nails.com/products/cosmic-fatale-midnight-galaxy-glow-long-sharp-stiletto-handmade-press-on-nails, friendlyName=Cosmic Fatale: "Midnight Galaxy Glow" – Long Sharp Stiletto Handmade Press On Nails</x:v>
      </x:c>
      <x:c r="D6019" s="18" t="str">
        <x:v>Size: XS / S / M / L</x:v>
      </x:c>
      <x:c r="E6019" s="25" t="str">
        <x:v>$3.99</x:v>
      </x:c>
      <x:c r="F6019" s="19" t="str">
        <x:v>5</x:v>
      </x:c>
    </x:row>
    <x:row r="6020" ht="93" customHeight="1">
      <x:c r="A6020" s="19" t="n">
        <x:v>6017</x:v>
      </x:c>
      <x:c r="B6020" s="22" t="e">
        <x:f>HYPERLINK("https://cdn.shopify.com/s/files/1/0918/6066/4603/files/O1CN01c6jH1e1HlX29nYda0__2545140798-0-cib_da0ae5da-7a09-4393-8aab-26706a0d00e5.jpg?v=1772527811","Open")</x:f>
        <x:v>HYPERLINK is not implemented. linkLocation=https://cdn.shopify.com/s/files/1/0918/6066/4603/files/O1CN01c6jH1e1HlX29nYda0__2545140798-0-cib_da0ae5da-7a09-4393-8aab-26706a0d00e5.jpg?v=1772527811, friendlyName=Open</x:v>
      </x:c>
      <x:c r="C6020" s="24" t="e">
        <x:f>HYPERLINK("https://365nails.com/products/3d-embossed-nail-stickers-whimsical-collection","3D Embossed Nail Stickers – Whimsical Collection")</x:f>
        <x:v>HYPERLINK is not implemented. linkLocation=https://365nails.com/products/3d-embossed-nail-stickers-whimsical-collection, friendlyName=3D Embossed Nail Stickers – Whimsical Collection</x:v>
      </x:c>
      <x:c r="D6020" s="18" t="str">
        <x:v>Specification type: To3985-relief / To3991-relief / To4000-relief</x:v>
      </x:c>
      <x:c r="E6020" s="25" t="str">
        <x:v>$1.23</x:v>
      </x:c>
      <x:c r="F6020" s="19" t="str">
        <x:v>5</x:v>
      </x:c>
    </x:row>
    <x:row r="6021" ht="93" customHeight="1">
      <x:c r="A6021" s="19" t="n">
        <x:v>6018</x:v>
      </x:c>
      <x:c r="B6021" s="22" t="e">
        <x:f>HYPERLINK("https://cdn.shopify.com/s/files/1/0918/6066/4603/files/3b41598fe77d3ba83314676282773067.jpg?v=1775219981","Open")</x:f>
        <x:v>HYPERLINK is not implemented. linkLocation=https://cdn.shopify.com/s/files/1/0918/6066/4603/files/3b41598fe77d3ba83314676282773067.jpg?v=1775219981, friendlyName=Open</x:v>
      </x:c>
      <x:c r="C6021" s="24" t="e">
        <x:f>HYPERLINK("https://365nails.com/products/aurora-frost-mint-glow-long-almond-press-on-nails","Aurora Frost: ""Mint Glow"" – Long Almond Press-on Nails")</x:f>
        <x:v>HYPERLINK is not implemented. linkLocation=https://365nails.com/products/aurora-frost-mint-glow-long-almond-press-on-nails, friendlyName=Aurora Frost: "Mint Glow" – Long Almond Press-on Nails</x:v>
      </x:c>
      <x:c r="D6021" s="18" t="str">
        <x:v>Size: XS / S / M / L</x:v>
      </x:c>
      <x:c r="E6021" s="25" t="str">
        <x:v>$3.99</x:v>
      </x:c>
      <x:c r="F6021" s="19" t="str">
        <x:v>3</x:v>
      </x:c>
    </x:row>
    <x:row r="6022" ht="93" customHeight="1">
      <x:c r="A6022" s="19" t="n">
        <x:v>6019</x:v>
      </x:c>
      <x:c r="B6022" s="22" t="e">
        <x:f>HYPERLINK("https://cdn.shopify.com/s/files/1/0918/6066/4603/files/O1CN01KxeoNt2MQzfyyVAZ4__2219089449823-0-cib.jpg?v=1774521054","Open")</x:f>
        <x:v>HYPERLINK is not implemented. linkLocation=https://cdn.shopify.com/s/files/1/0918/6066/4603/files/O1CN01KxeoNt2MQzfyyVAZ4__2219089449823-0-cib.jpg?v=1774521054, friendlyName=Open</x:v>
      </x:c>
      <x:c r="C6022" s="24" t="e">
        <x:f>HYPERLINK("https://365nails.com/products/cherry-blossom-crimson-sakura-almond-shape-press-on-nails","Cherry Blossom: ""Crimson Sakura"" – Almond Shape Press-On Nails")</x:f>
        <x:v>HYPERLINK is not implemented. linkLocation=https://365nails.com/products/cherry-blossom-crimson-sakura-almond-shape-press-on-nails, friendlyName=Cherry Blossom: "Crimson Sakura" – Almond Shape Press-On Nails</x:v>
      </x:c>
      <x:c r="D6022" s="18" t="str">
        <x:v>Color: D635; Color classification: Xs / S / M / L</x:v>
      </x:c>
      <x:c r="E6022" s="25" t="str">
        <x:v>$3.49</x:v>
      </x:c>
      <x:c r="F6022" s="19" t="str">
        <x:v>1</x:v>
      </x:c>
    </x:row>
    <x:row r="6023" ht="93" customHeight="1">
      <x:c r="A6023" s="19" t="n">
        <x:v>6020</x:v>
      </x:c>
      <x:c r="B6023" s="22" t="e">
        <x:f>HYPERLINK("https://cdn.shopify.com/s/files/1/0918/6066/4603/files/O1CN013H7Oc01HlX7INumZr__2545140798-0-cib.jpg?v=1773472913","Open")</x:f>
        <x:v>HYPERLINK is not implemented. linkLocation=https://cdn.shopify.com/s/files/1/0918/6066/4603/files/O1CN013H7Oc01HlX7INumZr__2545140798-0-cib.jpg?v=1773472913, friendlyName=Open</x:v>
      </x:c>
      <x:c r="C6023" s="24" t="e">
        <x:f>HYPERLINK("https://365nails.com/products/summer-drink-collection-refreshing-summer-drink-3d-embossed-nail-sticker","Summer Drink Collection: ""Refreshing Summer Drink"" – 3D Embossed Nail Sticker")</x:f>
        <x:v>HYPERLINK is not implemented. linkLocation=https://365nails.com/products/summer-drink-collection-refreshing-summer-drink-3d-embossed-nail-sticker, friendlyName=Summer Drink Collection: "Refreshing Summer Drink" – 3D Embossed Nail Sticker</x:v>
      </x:c>
      <x:c r="D6023" s="18" t="str">
        <x:v>Specification type: To5112-shell light / To5121-jelly / To5136-shell light</x:v>
      </x:c>
      <x:c r="E6023" s="25" t="str">
        <x:v>$1.23</x:v>
      </x:c>
      <x:c r="F6023" s="19" t="str">
        <x:v>5</x:v>
      </x:c>
    </x:row>
    <x:row r="6024" ht="93" customHeight="1">
      <x:c r="A6024" s="19" t="n">
        <x:v>6021</x:v>
      </x:c>
      <x:c r="B6024" s="22" t="e">
        <x:f>HYPERLINK("https://cdn.shopify.com/s/files/1/0918/6066/4603/files/O1CN01mAKdEo2MQzf3Em0qo__2219089449823-0-cib.jpg?v=1774520981","Open")</x:f>
        <x:v>HYPERLINK is not implemented. linkLocation=https://cdn.shopify.com/s/files/1/0918/6066/4603/files/O1CN01mAKdEo2MQzf3Em0qo__2219089449823-0-cib.jpg?v=1774520981, friendlyName=Open</x:v>
      </x:c>
      <x:c r="C6024" s="24" t="e">
        <x:f>HYPERLINK("https://365nails.com/products/ocean-blue-floral-butterfly-flower-almond-press-on-nails","Ocean Blue Floral: ""Butterfly &amp; Flower"" – Almond Press-On Nails")</x:f>
        <x:v>HYPERLINK is not implemented. linkLocation=https://365nails.com/products/ocean-blue-floral-butterfly-flower-almond-press-on-nails, friendlyName=Ocean Blue Floral: "Butterfly &amp; Flower" – Almond Press-On Nails</x:v>
      </x:c>
      <x:c r="D6024" s="18" t="str">
        <x:v>Color: D313; Color classification: Xs / S / M / L</x:v>
      </x:c>
      <x:c r="E6024" s="25" t="str">
        <x:v>$3.49</x:v>
      </x:c>
      <x:c r="F6024" s="19" t="str">
        <x:v>1</x:v>
      </x:c>
    </x:row>
    <x:row r="6025" ht="93" customHeight="1">
      <x:c r="A6025" s="19" t="n">
        <x:v>6022</x:v>
      </x:c>
      <x:c r="B6025" s="22" t="e">
        <x:f>HYPERLINK("https://cdn.shopify.com/s/files/1/0918/6066/4603/files/O1CN01GPudgp2MQzewcUm7S__2219089449823-0-cib.jpg?v=1774520942","Open")</x:f>
        <x:v>HYPERLINK is not implemented. linkLocation=https://cdn.shopify.com/s/files/1/0918/6066/4603/files/O1CN01GPudgp2MQzewcUm7S__2219089449823-0-cib.jpg?v=1774520942, friendlyName=Open</x:v>
      </x:c>
      <x:c r="C6025" s="24" t="e">
        <x:f>HYPERLINK("https://365nails.com/products/sweet-pink-luxury-heart-floral-square-press-on-nails","Sweet Pink Luxury: ""Heart &amp; Floral"" – Square Press-On Nails")</x:f>
        <x:v>HYPERLINK is not implemented. linkLocation=https://365nails.com/products/sweet-pink-luxury-heart-floral-square-press-on-nails, friendlyName=Sweet Pink Luxury: "Heart &amp; Floral" – Square Press-On Nails</x:v>
      </x:c>
      <x:c r="D6025" s="18" t="str">
        <x:v>Color: Q239; Color classification: Xs / S / M / L</x:v>
      </x:c>
      <x:c r="E6025" s="25" t="str">
        <x:v>$4.99</x:v>
      </x:c>
      <x:c r="F6025" s="19" t="str">
        <x:v>1</x:v>
      </x:c>
    </x:row>
    <x:row r="6026" ht="93" customHeight="1">
      <x:c r="A6026" s="19" t="n">
        <x:v>6023</x:v>
      </x:c>
      <x:c r="B6026" s="22" t="e">
        <x:f>HYPERLINK("https://cdn.shopify.com/s/files/1/0918/6066/4603/files/O1CN01sXbsBd1HlWuarQ7Jy__2545140798-0-cib_7fe390b4-8a11-45a9-a37c-bfdfd984bf19.jpg?v=1774598366","Open")</x:f>
        <x:v>HYPERLINK is not implemented. linkLocation=https://cdn.shopify.com/s/files/1/0918/6066/4603/files/O1CN01sXbsBd1HlWuarQ7Jy__2545140798-0-cib_7fe390b4-8a11-45a9-a37c-bfdfd984bf19.jpg?v=1774598366, friendlyName=Open</x:v>
      </x:c>
      <x:c r="C6026" s="24" t="e">
        <x:f>HYPERLINK("https://365nails.com/products/365nails-ancient-chinese-lady-landscape-handmade-press-on-nails","365nails: ""ancient chinese lady landscape"" – Nail Art Stickers")</x:f>
        <x:v>HYPERLINK is not implemented. linkLocation=https://365nails.com/products/365nails-ancient-chinese-lady-landscape-handmade-press-on-nails, friendlyName=365nails: "ancient chinese lady landscape" – Nail Art Stickers</x:v>
      </x:c>
      <x:c r="D6026" s="18" t="str">
        <x:v>Specification type: To3060 / Ms 371 / Ms 385 / Ms 386</x:v>
      </x:c>
      <x:c r="E6026" s="25" t="str">
        <x:v>$1.09</x:v>
      </x:c>
      <x:c r="F6026" s="19" t="str">
        <x:v>5</x:v>
      </x:c>
    </x:row>
    <x:row r="6027" ht="93" customHeight="1">
      <x:c r="A6027" s="19" t="n">
        <x:v>6024</x:v>
      </x:c>
      <x:c r="B6027" s="22" t="e">
        <x:f>HYPERLINK("https://cdn.shopify.com/s/files/1/0918/6066/4603/files/O1CN01D8mMgU2MQzfq507Hk__2219089449823-0-cib.jpg?v=1774521072","Open")</x:f>
        <x:v>HYPERLINK is not implemented. linkLocation=https://cdn.shopify.com/s/files/1/0918/6066/4603/files/O1CN01D8mMgU2MQzfq507Hk__2219089449823-0-cib.jpg?v=1774521072, friendlyName=Open</x:v>
      </x:c>
      <x:c r="C6027" s="24" t="e">
        <x:f>HYPERLINK("https://365nails.com/products/gothic-bloom-crimson-star-long-stiletto-press-on-nails","Gothic Bloom: ""Crimson Star"" – Long Stiletto Press-On Nails")</x:f>
        <x:v>HYPERLINK is not implemented. linkLocation=https://365nails.com/products/gothic-bloom-crimson-star-long-stiletto-press-on-nails, friendlyName=Gothic Bloom: "Crimson Star" – Long Stiletto Press-On Nails</x:v>
      </x:c>
      <x:c r="D6027" s="18" t="str">
        <x:v>Color: D254; Color classification: Xs / S / M / L</x:v>
      </x:c>
      <x:c r="E6027" s="25" t="str">
        <x:v>$3.49</x:v>
      </x:c>
      <x:c r="F6027" s="19" t="str">
        <x:v>1</x:v>
      </x:c>
    </x:row>
    <x:row r="6028" ht="93" customHeight="1">
      <x:c r="A6028" s="19" t="n">
        <x:v>6025</x:v>
      </x:c>
      <x:c r="B6028" s="22" t="e">
        <x:f>HYPERLINK("https://cdn.shopify.com/s/files/1/0918/6066/4603/files/697108d405c61dfba6c05412a242e0f3.jpg?v=1773147609","Open")</x:f>
        <x:v>HYPERLINK is not implemented. linkLocation=https://cdn.shopify.com/s/files/1/0918/6066/4603/files/697108d405c61dfba6c05412a242e0f3.jpg?v=1773147609, friendlyName=Open</x:v>
      </x:c>
      <x:c r="C6028" s="24" t="e">
        <x:f>HYPERLINK("https://365nails.com/products/cute-cat-emboss-pet-lover-nail-art-set","Cute Cat Emboss – Pet Lover Nail Art Stickers")</x:f>
        <x:v>HYPERLINK is not implemented. linkLocation=https://365nails.com/products/cute-cat-emboss-pet-lover-nail-art-set, friendlyName=Cute Cat Emboss – Pet Lover Nail Art Stickers</x:v>
      </x:c>
      <x:c r="D6028" s="18" t="str">
        <x:v>Specification type: To5177-relief / To5178-relief / To5186-relief</x:v>
      </x:c>
      <x:c r="E6028" s="25" t="str">
        <x:v>$1.23</x:v>
      </x:c>
      <x:c r="F6028" s="19" t="str">
        <x:v>5</x:v>
      </x:c>
    </x:row>
    <x:row r="6029" ht="93" customHeight="1">
      <x:c r="A6029" s="19" t="n">
        <x:v>6026</x:v>
      </x:c>
      <x:c r="B6029" s="22" t="e">
        <x:f>HYPERLINK("https://cdn.shopify.com/s/files/1/0918/6066/4603/files/O1CN01Gbtz3t1HlWwzdp2zV__2545140798-0-cib_01ea3707-f992-4657-8126-55401c3b09fa.jpg?v=1775809308","Open")</x:f>
        <x:v>HYPERLINK is not implemented. linkLocation=https://cdn.shopify.com/s/files/1/0918/6066/4603/files/O1CN01Gbtz3t1HlWwzdp2zV__2545140798-0-cib_01ea3707-f992-4657-8126-55401c3b09fa.jpg?v=1775809308, friendlyName=Open</x:v>
      </x:c>
      <x:c r="C6029" s="24" t="e">
        <x:f>HYPERLINK("https://365nails.com/products/365nails-silver-cursive-alphabet-handmade-press-on-nails","365nails: ""Silver Cursive Alphabet"" – Nail Art Stickers")</x:f>
        <x:v>HYPERLINK is not implemented. linkLocation=https://365nails.com/products/365nails-silver-cursive-alphabet-handmade-press-on-nails, friendlyName=365nails: "Silver Cursive Alphabet" – Nail Art Stickers</x:v>
      </x:c>
      <x:c r="D6029" s="18" t="str">
        <x:v>Specification type: To3453-new hot stamping / To3453-silver</x:v>
      </x:c>
      <x:c r="E6029" s="25" t="str">
        <x:v>$1.23</x:v>
      </x:c>
      <x:c r="F6029" s="19" t="str">
        <x:v>5</x:v>
      </x:c>
    </x:row>
    <x:row r="6030" ht="93" customHeight="1">
      <x:c r="A6030" s="19" t="n">
        <x:v>6027</x:v>
      </x:c>
      <x:c r="B6030" s="22" t="e">
        <x:f>HYPERLINK("https://cdn.shopify.com/s/files/1/0918/6066/4603/files/6439f209cd61888692de4130d743a627.jpg?v=1773321117","Open")</x:f>
        <x:v>HYPERLINK is not implemented. linkLocation=https://cdn.shopify.com/s/files/1/0918/6066/4603/files/6439f209cd61888692de4130d743a627.jpg?v=1773321117, friendlyName=Open</x:v>
      </x:c>
      <x:c r="C6030" s="24" t="e">
        <x:f>HYPERLINK("https://365nails.com/products/spring-floral-bouquet-romantic-vintage-nail-art-set","Spring Floral Bouquet – Romantic Vintage Nail Art Set")</x:f>
        <x:v>HYPERLINK is not implemented. linkLocation=https://365nails.com/products/spring-floral-bouquet-romantic-vintage-nail-art-set, friendlyName=Spring Floral Bouquet – Romantic Vintage Nail Art Set</x:v>
      </x:c>
      <x:c r="D6030" s="18" t="str">
        <x:v>Specification type: To5016-shell light / To5550-shell light</x:v>
      </x:c>
      <x:c r="E6030" s="25" t="str">
        <x:v>$1.23</x:v>
      </x:c>
      <x:c r="F6030" s="19" t="str">
        <x:v>1</x:v>
      </x:c>
    </x:row>
    <x:row r="6031" ht="93" customHeight="1">
      <x:c r="A6031" s="19" t="n">
        <x:v>6028</x:v>
      </x:c>
      <x:c r="B6031" s="22" t="e">
        <x:f>HYPERLINK("https://cdn.shopify.com/s/files/1/0918/6066/4603/files/4fad8f1e7b21b3b417fec7b24e31c3c4.jpg?v=1773151048","Open")</x:f>
        <x:v>HYPERLINK is not implemented. linkLocation=https://cdn.shopify.com/s/files/1/0918/6066/4603/files/4fad8f1e7b21b3b417fec7b24e31c3c4.jpg?v=1773151048, friendlyName=Open</x:v>
      </x:c>
      <x:c r="C6031" s="24" t="e">
        <x:f>HYPERLINK("https://365nails.com/products/red-paper-cut-horse-chinese-new-year-nail-art-set","Red Paper-Cut Horse – Chinese New Year Nail Art Stickers")</x:f>
        <x:v>HYPERLINK is not implemented. linkLocation=https://365nails.com/products/red-paper-cut-horse-chinese-new-year-nail-art-set, friendlyName=Red Paper-Cut Horse – Chinese New Year Nail Art Stickers</x:v>
      </x:c>
      <x:c r="D6031" s="18" t="str">
        <x:v>Specification type: To5506 / To5507 / To5517</x:v>
      </x:c>
      <x:c r="E6031" s="25" t="str">
        <x:v>$1.00</x:v>
      </x:c>
      <x:c r="F6031" s="19" t="str">
        <x:v>5</x:v>
      </x:c>
    </x:row>
    <x:row r="6032" ht="93" customHeight="1">
      <x:c r="A6032" s="19" t="n">
        <x:v>6029</x:v>
      </x:c>
      <x:c r="B6032" s="22" t="e">
        <x:f>HYPERLINK("https://cdn.shopify.com/s/files/1/0918/6066/4603/files/O1CN01QvL5xt1HlWse0kKN1__2545140798-0-cib.jpg?v=1773147739","Open")</x:f>
        <x:v>HYPERLINK is not implemented. linkLocation=https://cdn.shopify.com/s/files/1/0918/6066/4603/files/O1CN01QvL5xt1HlWse0kKN1__2545140798-0-cib.jpg?v=1773147739, friendlyName=Open</x:v>
      </x:c>
      <x:c r="C6032" s="24" t="e">
        <x:f>HYPERLINK("https://365nails.com/products/silver-baroque-emboss-vintage-elegant-nail-art-set","Silver Baroque Emboss – Vintage Elegant Nail Art Stickers")</x:f>
        <x:v>HYPERLINK is not implemented. linkLocation=https://365nails.com/products/silver-baroque-emboss-vintage-elegant-nail-art-set, friendlyName=Silver Baroque Emboss – Vintage Elegant Nail Art Stickers</x:v>
      </x:c>
      <x:c r="D6032" s="18" t="str">
        <x:v>Specification type: Ms344-new hot stamping / Ms344-silver</x:v>
      </x:c>
      <x:c r="E6032" s="25" t="str">
        <x:v>$1.23</x:v>
      </x:c>
      <x:c r="F6032" s="19" t="str">
        <x:v>5</x:v>
      </x:c>
    </x:row>
    <x:row r="6033" ht="93" customHeight="1">
      <x:c r="A6033" s="19" t="n">
        <x:v>6030</x:v>
      </x:c>
      <x:c r="B6033" s="22" t="e">
        <x:f>HYPERLINK("https://cdn.shopify.com/s/files/1/0918/6066/4603/files/O1CN013zeH8W1HlWkZSZ8Yq__2545140798-0-cib_db2c3740-b7e3-4e1f-a1fd-6f585eff0cd1.jpg?v=1775812237","Open")</x:f>
        <x:v>HYPERLINK is not implemented. linkLocation=https://cdn.shopify.com/s/files/1/0918/6066/4603/files/O1CN013zeH8W1HlWkZSZ8Yq__2545140798-0-cib_db2c3740-b7e3-4e1f-a1fd-6f585eff0cd1.jpg?v=1775812237, friendlyName=Open</x:v>
      </x:c>
      <x:c r="C6033" s="24" t="e">
        <x:f>HYPERLINK("https://365nails.com/products/365nails-jellyfish-ocean-handmade-press-on-nails","365nails: ""Jellyfish Ocean"" – Nail Art Stickers")</x:f>
        <x:v>HYPERLINK is not implemented. linkLocation=https://365nails.com/products/365nails-jellyfish-ocean-handmade-press-on-nails, friendlyName=365nails: "Jellyfish Ocean" – Nail Art Stickers</x:v>
      </x:c>
      <x:c r="D6033" s="18" t="str">
        <x:v>Specification type: Ta 60 / Ta61</x:v>
      </x:c>
      <x:c r="E6033" s="25" t="str">
        <x:v>$1.09</x:v>
      </x:c>
      <x:c r="F6033" s="19" t="str">
        <x:v>5</x:v>
      </x:c>
    </x:row>
    <x:row r="6034" ht="93" customHeight="1">
      <x:c r="A6034" s="19" t="n">
        <x:v>6031</x:v>
      </x:c>
      <x:c r="B6034" s="22" t="e">
        <x:f>HYPERLINK("https://cdn.shopify.com/s/files/1/0918/6066/4603/files/O1CN01cNj6dR2MQzfshaWzO__2219089449823-0-cib.jpg?v=1774521037","Open")</x:f>
        <x:v>HYPERLINK is not implemented. linkLocation=https://cdn.shopify.com/s/files/1/0918/6066/4603/files/O1CN01cNj6dR2MQzfshaWzO__2219089449823-0-cib.jpg?v=1774521037, friendlyName=Open</x:v>
      </x:c>
      <x:c r="C6034" s="24" t="e">
        <x:f>HYPERLINK("https://365nails.com/products/ice-crystal-glacier-wave-almond-shape-press-on-nails","Ice Crystal: ""Glacier Wave"" – Almond Shape Press-On Nails")</x:f>
        <x:v>HYPERLINK is not implemented. linkLocation=https://365nails.com/products/ice-crystal-glacier-wave-almond-shape-press-on-nails, friendlyName=Ice Crystal: "Glacier Wave" – Almond Shape Press-On Nails</x:v>
      </x:c>
      <x:c r="D6034" s="18" t="str">
        <x:v>Color: C397; Color classification: Xs / S / M / L</x:v>
      </x:c>
      <x:c r="E6034" s="25" t="str">
        <x:v>$3.49</x:v>
      </x:c>
      <x:c r="F6034" s="19" t="str">
        <x:v>1</x:v>
      </x:c>
    </x:row>
    <x:row r="6035" ht="93" customHeight="1">
      <x:c r="A6035" s="19" t="n">
        <x:v>6032</x:v>
      </x:c>
      <x:c r="B6035" s="22" t="e">
        <x:f>HYPERLINK("https://cdn.shopify.com/s/files/1/0918/6066/4603/files/9a0ef5571affb4105a09850a815168f8.jpg?v=1773322694","Open")</x:f>
        <x:v>HYPERLINK is not implemented. linkLocation=https://cdn.shopify.com/s/files/1/0918/6066/4603/files/9a0ef5571affb4105a09850a815168f8.jpg?v=1773322694, friendlyName=Open</x:v>
      </x:c>
      <x:c r="C6035" s="24" t="e">
        <x:f>HYPERLINK("https://365nails.com/products/pastel-plush-animal-kawaii-cute-nail-art-set","Pastel Plush Animal – Kawaii Cute Nail Art Set")</x:f>
        <x:v>HYPERLINK is not implemented. linkLocation=https://365nails.com/products/pastel-plush-animal-kawaii-cute-nail-art-set, friendlyName=Pastel Plush Animal – Kawaii Cute Nail Art Set</x:v>
      </x:c>
      <x:c r="D6035" s="18" t="str">
        <x:v>Specification type: To5438-shell light / To5439-shell light</x:v>
      </x:c>
      <x:c r="E6035" s="25" t="str">
        <x:v>$1.23</x:v>
      </x:c>
      <x:c r="F6035" s="19" t="str">
        <x:v>1</x:v>
      </x:c>
    </x:row>
    <x:row r="6036" ht="93" customHeight="1">
      <x:c r="A6036" s="19" t="n">
        <x:v>6033</x:v>
      </x:c>
      <x:c r="B6036" s="22" t="e">
        <x:f>HYPERLINK("https://cdn.shopify.com/s/files/1/0918/6066/4603/files/3c0c93a4dd993d827e73b28581e78896.jpg?v=1773320945","Open")</x:f>
        <x:v>HYPERLINK is not implemented. linkLocation=https://cdn.shopify.com/s/files/1/0918/6066/4603/files/3c0c93a4dd993d827e73b28581e78896.jpg?v=1773320945, friendlyName=Open</x:v>
      </x:c>
      <x:c r="C6036" s="24" t="e">
        <x:f>HYPERLINK("https://365nails.com/products/ocean-mermaid-starfish-summer-beach-nail-art-set","Ocean Mermaid Starfish – Summer Beach Nail Art Set")</x:f>
        <x:v>HYPERLINK is not implemented. linkLocation=https://365nails.com/products/ocean-mermaid-starfish-summer-beach-nail-art-set, friendlyName=Ocean Mermaid Starfish – Summer Beach Nail Art Set</x:v>
      </x:c>
      <x:c r="D6036" s="18" t="str">
        <x:v>Specification type: To4097-jelly / To4098-shell light</x:v>
      </x:c>
      <x:c r="E6036" s="25" t="str">
        <x:v>$1.23</x:v>
      </x:c>
      <x:c r="F6036" s="19" t="str">
        <x:v>1</x:v>
      </x:c>
    </x:row>
    <x:row r="6037" ht="93" customHeight="1">
      <x:c r="A6037" s="19" t="n">
        <x:v>6034</x:v>
      </x:c>
      <x:c r="B6037" s="22" t="e">
        <x:f>HYPERLINK("https://cdn.shopify.com/s/files/1/0918/6066/4603/files/3ea3e3b3ac091960682458582ca94b7f.jpg?v=1773470443","Open")</x:f>
        <x:v>HYPERLINK is not implemented. linkLocation=https://cdn.shopify.com/s/files/1/0918/6066/4603/files/3ea3e3b3ac091960682458582ca94b7f.jpg?v=1773470443, friendlyName=Open</x:v>
      </x:c>
      <x:c r="C6037" s="24" t="e">
        <x:f>HYPERLINK("https://365nails.com/products/y2k-leopard-collection-edgy-leopard-3d-embossed-nail-sticker","Y2K Leopard Collection: ""Edgy Leopard"" – 3D Embossed Nail Sticker")</x:f>
        <x:v>HYPERLINK is not implemented. linkLocation=https://365nails.com/products/y2k-leopard-collection-edgy-leopard-3d-embossed-nail-sticker, friendlyName=Y2K Leopard Collection: "Edgy Leopard" – 3D Embossed Nail Sticker</x:v>
      </x:c>
      <x:c r="D6037" s="18" t="str">
        <x:v>Specification type: To5391-metal / To5392-metal / To5393-metal / To5406-metal</x:v>
      </x:c>
      <x:c r="E6037" s="25" t="str">
        <x:v>$1.23</x:v>
      </x:c>
      <x:c r="F6037" s="19" t="str">
        <x:v>5</x:v>
      </x:c>
    </x:row>
    <x:row r="6038" ht="93" customHeight="1">
      <x:c r="A6038" s="19" t="n">
        <x:v>6035</x:v>
      </x:c>
      <x:c r="B6038" s="22" t="e">
        <x:f>HYPERLINK("https://cdn.shopify.com/s/files/1/0918/6066/4603/files/5f387ded41b757a8edd0e353321324d9.jpg?v=1773325098","Open")</x:f>
        <x:v>HYPERLINK is not implemented. linkLocation=https://cdn.shopify.com/s/files/1/0918/6066/4603/files/5f387ded41b757a8edd0e353321324d9.jpg?v=1773325098, friendlyName=Open</x:v>
      </x:c>
      <x:c r="C6038" s="24" t="e">
        <x:f>HYPERLINK("https://365nails.com/products/pearl-shell-goldfish-lucky-oriental-nail-art-set","Pearl Shell Goldfish – Lucky Oriental Nail Art Set")</x:f>
        <x:v>HYPERLINK is not implemented. linkLocation=https://365nails.com/products/pearl-shell-goldfish-lucky-oriental-nail-art-set, friendlyName=Pearl Shell Goldfish – Lucky Oriental Nail Art Set</x:v>
      </x:c>
      <x:c r="D6038" s="18" t="str">
        <x:v>Specification type: To4151-jelly / To4152-relief / To4159-shell light</x:v>
      </x:c>
      <x:c r="E6038" s="25" t="str">
        <x:v>$1.23</x:v>
      </x:c>
      <x:c r="F6038" s="19" t="str">
        <x:v>1</x:v>
      </x:c>
    </x:row>
    <x:row r="6039" ht="93" customHeight="1">
      <x:c r="A6039" s="19" t="n">
        <x:v>6036</x:v>
      </x:c>
      <x:c r="B6039" s="22" t="e">
        <x:f>HYPERLINK("https://cdn.shopify.com/s/files/1/0918/6066/4603/files/9fe0178e0f33fc44b258b6260d6e358a.jpg?v=1773320019","Open")</x:f>
        <x:v>HYPERLINK is not implemented. linkLocation=https://cdn.shopify.com/s/files/1/0918/6066/4603/files/9fe0178e0f33fc44b258b6260d6e358a.jpg?v=1773320019, friendlyName=Open</x:v>
      </x:c>
      <x:c r="C6039" s="24" t="e">
        <x:f>HYPERLINK("https://365nails.com/products/holographic-crystal-snowflake-winter-fairy-nail-art-set","Holographic Crystal Snowflake – Winter Fairy Nail Art Set")</x:f>
        <x:v>HYPERLINK is not implemented. linkLocation=https://365nails.com/products/holographic-crystal-snowflake-winter-fairy-nail-art-set, friendlyName=Holographic Crystal Snowflake – Winter Fairy Nail Art Set</x:v>
      </x:c>
      <x:c r="D6039" s="18" t="str">
        <x:v>Specification type: Ms728-crystal diamond / Ms730-crystal diamond / Ms732-crystal diamond</x:v>
      </x:c>
      <x:c r="E6039" s="25" t="str">
        <x:v>$1.30</x:v>
      </x:c>
      <x:c r="F6039" s="19" t="str">
        <x:v>1</x:v>
      </x:c>
    </x:row>
    <x:row r="6040" ht="93" customHeight="1">
      <x:c r="A6040" s="19" t="n">
        <x:v>6037</x:v>
      </x:c>
      <x:c r="B6040" s="22" t="e">
        <x:f>HYPERLINK("https://cdn.shopify.com/s/files/1/0918/6066/4603/files/O1CN01YpXYlO1HlX5mWLRqo__2545140798-0-cib_39e77e7f-b2c4-42fa-80a4-21b402faae6f.jpg?v=1775806841","Open")</x:f>
        <x:v>HYPERLINK is not implemented. linkLocation=https://cdn.shopify.com/s/files/1/0918/6066/4603/files/O1CN01YpXYlO1HlX5mWLRqo__2545140798-0-cib_39e77e7f-b2c4-42fa-80a4-21b402faae6f.jpg?v=1775806841, friendlyName=Open</x:v>
      </x:c>
      <x:c r="C6040" s="24" t="e">
        <x:f>HYPERLINK("https://365nails.com/products/365nails-embossed-cute-cat-daily-handmade-press-on-nails","365nails: ""Embossed Cute Cat Daily"" – Nail Art Stickers")</x:f>
        <x:v>HYPERLINK is not implemented. linkLocation=https://365nails.com/products/365nails-embossed-cute-cat-daily-handmade-press-on-nails, friendlyName=365nails: "Embossed Cute Cat Daily" – Nail Art Stickers</x:v>
      </x:c>
      <x:c r="D6040" s="18" t="str">
        <x:v>Specification type: To4826 / To4828</x:v>
      </x:c>
      <x:c r="E6040" s="25" t="str">
        <x:v>$1.09</x:v>
      </x:c>
      <x:c r="F6040" s="19" t="str">
        <x:v>5</x:v>
      </x:c>
    </x:row>
    <x:row r="6041" ht="93" customHeight="1">
      <x:c r="A6041" s="19" t="n">
        <x:v>6038</x:v>
      </x:c>
      <x:c r="B6041" s="22" t="e">
        <x:f>HYPERLINK("https://cdn.shopify.com/s/files/1/0918/6066/4603/files/c867d003809c928efbd8c7023bda373e.jpg?v=1773469338","Open")</x:f>
        <x:v>HYPERLINK is not implemented. linkLocation=https://cdn.shopify.com/s/files/1/0918/6066/4603/files/c867d003809c928efbd8c7023bda373e.jpg?v=1773469338, friendlyName=Open</x:v>
      </x:c>
      <x:c r="C6041" s="24" t="e">
        <x:f>HYPERLINK("https://365nails.com/products/white-pearl-bow-collection-elegant-pearl-bow-3d-embossed-nail-sticker","White Pearl Bow Collection: ""Elegant Pearl Bow"" – 3D Embossed Nail Sticker")</x:f>
        <x:v>HYPERLINK is not implemented. linkLocation=https://365nails.com/products/white-pearl-bow-collection-elegant-pearl-bow-3d-embossed-nail-sticker, friendlyName=White Pearl Bow Collection: "Elegant Pearl Bow" – 3D Embossed Nail Sticker</x:v>
      </x:c>
      <x:c r="D6041" s="18" t="str">
        <x:v>Specification type: To3933-crystal diamond</x:v>
      </x:c>
      <x:c r="E6041" s="25" t="str">
        <x:v>$1.30</x:v>
      </x:c>
      <x:c r="F6041" s="19" t="str">
        <x:v>5</x:v>
      </x:c>
    </x:row>
    <x:row r="6042" ht="93" customHeight="1">
      <x:c r="A6042" s="19" t="n">
        <x:v>6039</x:v>
      </x:c>
      <x:c r="B6042" s="22" t="e">
        <x:f>HYPERLINK("https://cdn.shopify.com/s/files/1/0918/6066/4603/files/fd9a802184ec0317251bd2cecbdbd225.jpg?v=1775307492","Open")</x:f>
        <x:v>HYPERLINK is not implemented. linkLocation=https://cdn.shopify.com/s/files/1/0918/6066/4603/files/fd9a802184ec0317251bd2cecbdbd225.jpg?v=1775307492, friendlyName=Open</x:v>
      </x:c>
      <x:c r="C6042" s="24" t="e">
        <x:f>HYPERLINK("https://365nails.com/products/sweet-bloom-dalmatian-lily-long-almond-press-on-nails","Sweet Bloom: ""Dalmatian Lily"" – Long Almond Press-on Nails")</x:f>
        <x:v>HYPERLINK is not implemented. linkLocation=https://365nails.com/products/sweet-bloom-dalmatian-lily-long-almond-press-on-nails, friendlyName=Sweet Bloom: "Dalmatian Lily" – Long Almond Press-on Nails</x:v>
      </x:c>
      <x:c r="D6042" s="18" t="str">
        <x:v>Size: XS / S / M / L</x:v>
      </x:c>
      <x:c r="E6042" s="25" t="str">
        <x:v>$3.99</x:v>
      </x:c>
      <x:c r="F6042" s="19" t="str">
        <x:v>5</x:v>
      </x:c>
    </x:row>
    <x:row r="6043" ht="93" customHeight="1">
      <x:c r="A6043" s="19" t="n">
        <x:v>6040</x:v>
      </x:c>
      <x:c r="B6043" s="22" t="e">
        <x:f>HYPERLINK("https://cdn.shopify.com/s/files/1/0918/6066/4603/files/O1CN01fr2dip2MQzg262294__2219089449823-0-cib.jpg?v=1774521058","Open")</x:f>
        <x:v>HYPERLINK is not implemented. linkLocation=https://cdn.shopify.com/s/files/1/0918/6066/4603/files/O1CN01fr2dip2MQzg262294__2219089449823-0-cib.jpg?v=1774521058, friendlyName=Open</x:v>
      </x:c>
      <x:c r="C6043" s="24" t="e">
        <x:f>HYPERLINK("https://365nails.com/products/pearl-shell-pink-seashell-almond-shape-press-on-nails","Pearl Shell: ""Pink Seashell"" – Almond Shape Press-On Nails")</x:f>
        <x:v>HYPERLINK is not implemented. linkLocation=https://365nails.com/products/pearl-shell-pink-seashell-almond-shape-press-on-nails, friendlyName=Pearl Shell: "Pink Seashell" – Almond Shape Press-On Nails</x:v>
      </x:c>
      <x:c r="D6043" s="18" t="str">
        <x:v>Color: D269; Color classification: Xs / S / M / L</x:v>
      </x:c>
      <x:c r="E6043" s="25" t="str">
        <x:v>$3.49</x:v>
      </x:c>
      <x:c r="F6043" s="19" t="str">
        <x:v>1</x:v>
      </x:c>
    </x:row>
    <x:row r="6044" ht="93" customHeight="1">
      <x:c r="A6044" s="19" t="n">
        <x:v>6041</x:v>
      </x:c>
      <x:c r="B6044" s="22" t="e">
        <x:f>HYPERLINK("https://cdn.shopify.com/s/files/1/0918/6066/4603/files/b0554a351830c5100494e2fcc729027a.jpg?v=1773472637","Open")</x:f>
        <x:v>HYPERLINK is not implemented. linkLocation=https://cdn.shopify.com/s/files/1/0918/6066/4603/files/b0554a351830c5100494e2fcc729027a.jpg?v=1773472637, friendlyName=Open</x:v>
      </x:c>
      <x:c r="C6044" s="24" t="e">
        <x:f>HYPERLINK("https://365nails.com/products/starry-heart-collection-dreamy-starry-heart-3d-embossed-nail-sticker","Starry Heart Collection: ""Dreamy Starry Heart"" – 3D Embossed Nail Sticker")</x:f>
        <x:v>HYPERLINK is not implemented. linkLocation=https://365nails.com/products/starry-heart-collection-dreamy-starry-heart-3d-embossed-nail-sticker, friendlyName=Starry Heart Collection: "Dreamy Starry Heart" – 3D Embossed Nail Sticker</x:v>
      </x:c>
      <x:c r="D6044" s="18" t="str">
        <x:v>Specification type: Ms607-new hot stamping jelly / Ms607-silver jelly / Ms608-new hot stamping jelly / Ms608-silver jelly / Ms609-new hot stamping jelly / Ms609-silver jelly</x:v>
      </x:c>
      <x:c r="E6044" s="25" t="str">
        <x:v>$1.23</x:v>
      </x:c>
      <x:c r="F6044" s="19" t="str">
        <x:v>5</x:v>
      </x:c>
    </x:row>
    <x:row r="6045" ht="93" customHeight="1">
      <x:c r="A6045" s="19" t="n">
        <x:v>6042</x:v>
      </x:c>
      <x:c r="B6045" s="22" t="e">
        <x:f>HYPERLINK("https://cdn.shopify.com/s/files/1/0918/6066/4603/files/O1CN013oXxji1HlX9q9msv8__2545140798-0-cib.jpg?v=1773234165","Open")</x:f>
        <x:v>HYPERLINK is not implemented. linkLocation=https://cdn.shopify.com/s/files/1/0918/6066/4603/files/O1CN013oXxji1HlX9q9msv8__2545140798-0-cib.jpg?v=1773234165, friendlyName=Open</x:v>
      </x:c>
      <x:c r="C6045" s="24" t="e">
        <x:f>HYPERLINK("https://365nails.com/products/vintage-floral-bouquet-elegant-bridal-nail-art-set","Vintage Floral Bouquet – Elegant Bridal Nail Art Stickers")</x:f>
        <x:v>HYPERLINK is not implemented. linkLocation=https://365nails.com/products/vintage-floral-bouquet-elegant-bridal-nail-art-set, friendlyName=Vintage Floral Bouquet – Elegant Bridal Nail Art Stickers</x:v>
      </x:c>
      <x:c r="D6045" s="18" t="str">
        <x:v>Specification type: Ms875-metal / Ms876-metal / Ms877-metal</x:v>
      </x:c>
      <x:c r="E6045" s="25" t="str">
        <x:v>$1.23</x:v>
      </x:c>
      <x:c r="F6045" s="19" t="str">
        <x:v>1</x:v>
      </x:c>
    </x:row>
    <x:row r="6046" ht="93" customHeight="1">
      <x:c r="A6046" s="19" t="n">
        <x:v>6043</x:v>
      </x:c>
      <x:c r="B6046" s="22" t="e">
        <x:f>HYPERLINK("https://cdn.shopify.com/s/files/1/0918/6066/4603/files/O1CN01Dsvf9f1HlWkNBgtbB__2545140798-0-cib_a9c7847e-3c05-4ab3-89fe-f28e11c451f5.jpg?v=1775812158","Open")</x:f>
        <x:v>HYPERLINK is not implemented. linkLocation=https://cdn.shopify.com/s/files/1/0918/6066/4603/files/O1CN01Dsvf9f1HlWkNBgtbB__2545140798-0-cib_a9c7847e-3c05-4ab3-89fe-f28e11c451f5.jpg?v=1775812158, friendlyName=Open</x:v>
      </x:c>
      <x:c r="C6046" s="24" t="e">
        <x:f>HYPERLINK("https://365nails.com/products/365nails-dark-art-gothic-handmade-press-on-nails","365nails: ""Dark Art Gothic"" – Nail Art Stickers")</x:f>
        <x:v>HYPERLINK is not implemented. linkLocation=https://365nails.com/products/365nails-dark-art-gothic-handmade-press-on-nails, friendlyName=365nails: "Dark Art Gothic" – Nail Art Stickers</x:v>
      </x:c>
      <x:c r="D6046" s="18" t="str">
        <x:v>Specification type: Dark 02 / Dark 03 / Dark 04 / Dark 05 / Dark 07 / Dark 08 / Handbook 01 / Handbook 02 / Handbook 06 / Handbook 07</x:v>
      </x:c>
      <x:c r="E6046" s="25" t="str">
        <x:v>$1.09</x:v>
      </x:c>
      <x:c r="F6046" s="19" t="str">
        <x:v>5</x:v>
      </x:c>
    </x:row>
    <x:row r="6047" ht="93" customHeight="1">
      <x:c r="A6047" s="19" t="n">
        <x:v>6044</x:v>
      </x:c>
      <x:c r="B6047" s="22" t="e">
        <x:f>HYPERLINK("https://cdn.shopify.com/s/files/1/0918/6066/4603/files/ecb205b2921489432aa77497f902b29b.jpg?v=1773467895","Open")</x:f>
        <x:v>HYPERLINK is not implemented. linkLocation=https://cdn.shopify.com/s/files/1/0918/6066/4603/files/ecb205b2921489432aa77497f902b29b.jpg?v=1773467895, friendlyName=Open</x:v>
      </x:c>
      <x:c r="C6047" s="24" t="e">
        <x:f>HYPERLINK("https://365nails.com/products/gold-cross-collection-mini-gold-cross-3d-embossed-nail-sticker","Gold Cross Collection: ""Mini Gold Cross"" – 3D Embossed Nail Sticker")</x:f>
        <x:v>HYPERLINK is not implemented. linkLocation=https://365nails.com/products/gold-cross-collection-mini-gold-cross-3d-embossed-nail-sticker, friendlyName=Gold Cross Collection: "Mini Gold Cross" – 3D Embossed Nail Sticker</x:v>
      </x:c>
      <x:c r="D6047" s="18" t="str">
        <x:v>Specification type: To5153-metal / 5153-silver</x:v>
      </x:c>
      <x:c r="E6047" s="25" t="str">
        <x:v>$1.23</x:v>
      </x:c>
      <x:c r="F6047" s="19" t="str">
        <x:v>5</x:v>
      </x:c>
    </x:row>
    <x:row r="6048" ht="93" customHeight="1">
      <x:c r="A6048" s="19" t="n">
        <x:v>6045</x:v>
      </x:c>
      <x:c r="B6048" s="22" t="e">
        <x:f>HYPERLINK("https://cdn.shopify.com/s/files/1/0918/6066/4603/files/O1CN010CKi4C1HlWsTbcwmx__2545140798-0-cib.jpg?v=1773494587","Open")</x:f>
        <x:v>HYPERLINK is not implemented. linkLocation=https://cdn.shopify.com/s/files/1/0918/6066/4603/files/O1CN010CKi4C1HlWsTbcwmx__2545140798-0-cib.jpg?v=1773494587, friendlyName=Open</x:v>
      </x:c>
      <x:c r="C6048" s="24" t="e">
        <x:f>HYPERLINK("https://365nails.com/products/starry-sky-collection-gold-foil-starry-3d-metallic-nail-sticker","Starry Sky Collection: ""Gold Foil Starry"" – 3D Metallic Nail Sticker")</x:f>
        <x:v>HYPERLINK is not implemented. linkLocation=https://365nails.com/products/starry-sky-collection-gold-foil-starry-3d-metallic-nail-sticker, friendlyName=Starry Sky Collection: "Gold Foil Starry" – 3D Metallic Nail Sticker</x:v>
      </x:c>
      <x:c r="D6048" s="18" t="str">
        <x:v>Specification type: To2783-new hot stamping / To2783-silver / To2814-new laser / To2814-new hot stamping / To2814-silver</x:v>
      </x:c>
      <x:c r="E6048" s="25" t="str">
        <x:v>$1.23</x:v>
      </x:c>
      <x:c r="F6048" s="19" t="str">
        <x:v>5</x:v>
      </x:c>
    </x:row>
    <x:row r="6049" ht="93" customHeight="1">
      <x:c r="A6049" s="19" t="n">
        <x:v>6046</x:v>
      </x:c>
      <x:c r="B6049" s="22" t="e">
        <x:f>HYPERLINK("https://cdn.shopify.com/s/files/1/0918/6066/4603/files/1de2eccb3e9a0aadff6f6dd9802de099.jpg?v=1773472857","Open")</x:f>
        <x:v>HYPERLINK is not implemented. linkLocation=https://cdn.shopify.com/s/files/1/0918/6066/4603/files/1de2eccb3e9a0aadff6f6dd9802de099.jpg?v=1773472857, friendlyName=Open</x:v>
      </x:c>
      <x:c r="C6049" s="24" t="e">
        <x:f>HYPERLINK("https://365nails.com/products/pink-cherry-blossom-collection-romantic-pink-cherry-blossom-3d-embossed-nail-sticker","Pink Cherry Blossom Collection: ""Romantic Pink Cherry Blossom"" – 3D Embossed Nail Sticker")</x:f>
        <x:v>HYPERLINK is not implemented. linkLocation=https://365nails.com/products/pink-cherry-blossom-collection-romantic-pink-cherry-blossom-3d-embossed-nail-sticker, friendlyName=Pink Cherry Blossom Collection: "Romantic Pink Cherry Blossom" – 3D Embossed Nail Sticker</x:v>
      </x:c>
      <x:c r="D6049" s="18" t="str">
        <x:v>Specification type: Ms780-hot stamping</x:v>
      </x:c>
      <x:c r="E6049" s="25" t="str">
        <x:v>$1.23</x:v>
      </x:c>
      <x:c r="F6049" s="19" t="str">
        <x:v>5</x:v>
      </x:c>
    </x:row>
    <x:row r="6050" ht="93" customHeight="1">
      <x:c r="A6050" s="19" t="n">
        <x:v>6047</x:v>
      </x:c>
      <x:c r="B6050" s="22" t="e">
        <x:f>HYPERLINK("https://cdn.shopify.com/s/files/1/0918/6066/4603/files/O1CN01YHxeqt1HlX1AQPZkT__2545140798-0-cib.jpg?v=1773494667","Open")</x:f>
        <x:v>HYPERLINK is not implemented. linkLocation=https://cdn.shopify.com/s/files/1/0918/6066/4603/files/O1CN01YHxeqt1HlX1AQPZkT__2545140798-0-cib.jpg?v=1773494667, friendlyName=Open</x:v>
      </x:c>
      <x:c r="C6050" s="24" t="e">
        <x:f>HYPERLINK("https://365nails.com/products/rose-collection-metallic-rose-3d-embossed-nail-sticker","Rose Collection: ""Metallic Rose"" – 3D Embossed Nail Sticker")</x:f>
        <x:v>HYPERLINK is not implemented. linkLocation=https://365nails.com/products/rose-collection-metallic-rose-3d-embossed-nail-sticker, friendlyName=Rose Collection: "Metallic Rose" – 3D Embossed Nail Sticker</x:v>
      </x:c>
      <x:c r="D6050" s="18" t="str">
        <x:v>Specification type: Ms621-rose gold / Ms622-new hot stamping / Ms622-silver</x:v>
      </x:c>
      <x:c r="E6050" s="25" t="str">
        <x:v>$1.23</x:v>
      </x:c>
      <x:c r="F6050" s="19" t="str">
        <x:v>5</x:v>
      </x:c>
    </x:row>
    <x:row r="6051" ht="93" customHeight="1">
      <x:c r="A6051" s="19" t="n">
        <x:v>6048</x:v>
      </x:c>
      <x:c r="B6051" s="22" t="e">
        <x:f>HYPERLINK("https://cdn.shopify.com/s/files/1/0918/6066/4603/files/51a9475ce5626206b11c14743ac6f43e.jpg?v=1773469457","Open")</x:f>
        <x:v>HYPERLINK is not implemented. linkLocation=https://cdn.shopify.com/s/files/1/0918/6066/4603/files/51a9475ce5626206b11c14743ac6f43e.jpg?v=1773469457, friendlyName=Open</x:v>
      </x:c>
      <x:c r="C6051" s="24" t="e">
        <x:f>HYPERLINK("https://365nails.com/products/black-white-pearl-bow-collection-gothic-pearl-bow-3d-embossed-nail-sticker","Black &amp; White Pearl Bow Collection: ""Gothic Pearl Bow"" – 3D Embossed Nail Sticker")</x:f>
        <x:v>HYPERLINK is not implemented. linkLocation=https://365nails.com/products/black-white-pearl-bow-collection-gothic-pearl-bow-3d-embossed-nail-sticker, friendlyName=Black &amp; White Pearl Bow Collection: "Gothic Pearl Bow" – 3D Embossed Nail Sticker</x:v>
      </x:c>
      <x:c r="D6051" s="18" t="str">
        <x:v>Specification type: To3774-crystal diamond / To3776-crystal diamond</x:v>
      </x:c>
      <x:c r="E6051" s="25" t="str">
        <x:v>$1.30</x:v>
      </x:c>
      <x:c r="F6051" s="19" t="str">
        <x:v>5</x:v>
      </x:c>
    </x:row>
    <x:row r="6052" ht="93" customHeight="1">
      <x:c r="A6052" s="19" t="n">
        <x:v>6049</x:v>
      </x:c>
      <x:c r="B6052" s="22" t="e">
        <x:f>HYPERLINK("https://cdn.shopify.com/s/files/1/0918/6066/4603/files/7575ccf199abf51bb826cad8a76da401.jpg?v=1773469520","Open")</x:f>
        <x:v>HYPERLINK is not implemented. linkLocation=https://cdn.shopify.com/s/files/1/0918/6066/4603/files/7575ccf199abf51bb826cad8a76da401.jpg?v=1773469520, friendlyName=Open</x:v>
      </x:c>
      <x:c r="C6052" s="24" t="e">
        <x:f>HYPERLINK("https://365nails.com/products/gold-leaf-butterfly-collection-luxury-gold-leaf-butterfly-3d-embossed-nail-sticker","Gold Leaf Butterfly Collection: ""Luxury Gold Leaf Butterfly"" – 3D Embossed Nail Sticker")</x:f>
        <x:v>HYPERLINK is not implemented. linkLocation=https://365nails.com/products/gold-leaf-butterfly-collection-luxury-gold-leaf-butterfly-3d-embossed-nail-sticker, friendlyName=Gold Leaf Butterfly Collection: "Luxury Gold Leaf Butterfly" – 3D Embossed Nail Sticker</x:v>
      </x:c>
      <x:c r="D6052" s="18" t="str">
        <x:v>Specification type: To5401-metal / Ms894-metal</x:v>
      </x:c>
      <x:c r="E6052" s="25" t="str">
        <x:v>$1.23</x:v>
      </x:c>
      <x:c r="F6052" s="19" t="str">
        <x:v>5</x:v>
      </x:c>
    </x:row>
    <x:row r="6053" ht="93" customHeight="1">
      <x:c r="A6053" s="19" t="n">
        <x:v>6050</x:v>
      </x:c>
      <x:c r="B6053" s="22" t="e">
        <x:f>HYPERLINK("https://cdn.shopify.com/s/files/1/0918/6066/4603/files/O1CN01B96yN21HlWrvtkr9s__2545140798-0-cib_b8784260-7671-41f1-b5dc-e9c1deac354e.jpg?v=1775812298","Open")</x:f>
        <x:v>HYPERLINK is not implemented. linkLocation=https://cdn.shopify.com/s/files/1/0918/6066/4603/files/O1CN01B96yN21HlWrvtkr9s__2545140798-0-cib_b8784260-7671-41f1-b5dc-e9c1deac354e.jpg?v=1775812298, friendlyName=Open</x:v>
      </x:c>
      <x:c r="C6053" s="24" t="e">
        <x:f>HYPERLINK("https://365nails.com/products/365nails-cute-line-handmade-press-on-nails","365nails: ""Cute Line"" – Nail Art Stickers")</x:f>
        <x:v>HYPERLINK is not implemented. linkLocation=https://365nails.com/products/365nails-cute-line-handmade-press-on-nails, friendlyName=365nails: "Cute Line" – Nail Art Stickers</x:v>
      </x:c>
      <x:c r="D6053" s="18" t="str">
        <x:v>Specification type: To605 / To1242 / To2684 / To2685</x:v>
      </x:c>
      <x:c r="E6053" s="25" t="str">
        <x:v>$1.23</x:v>
      </x:c>
      <x:c r="F6053" s="19" t="str">
        <x:v>5</x:v>
      </x:c>
    </x:row>
    <x:row r="6054" ht="93" customHeight="1">
      <x:c r="A6054" s="19" t="n">
        <x:v>6051</x:v>
      </x:c>
      <x:c r="B6054" s="22" t="e">
        <x:f>HYPERLINK("https://cdn.shopify.com/s/files/1/0918/6066/4603/files/b20919aae6ac518781d1b35a6c041a53.jpg?v=1777645645","Open")</x:f>
        <x:v>HYPERLINK is not implemented. linkLocation=https://cdn.shopify.com/s/files/1/0918/6066/4603/files/b20919aae6ac518781d1b35a6c041a53.jpg?v=1777645645, friendlyName=Open</x:v>
      </x:c>
      <x:c r="C6054" s="24" t="e">
        <x:f>HYPERLINK("https://365nails.com/products/365nails-desert-gold-serpent-coffin-handmade-press-on-nails","365nails: ""Desert Gold Serpent"" – Coffin Handmade Press-On Nails")</x:f>
        <x:v>HYPERLINK is not implemented. linkLocation=https://365nails.com/products/365nails-desert-gold-serpent-coffin-handmade-press-on-nails, friendlyName=365nails: "Desert Gold Serpent" – Coffin Handmade Press-On Nails</x:v>
      </x:c>
      <x:c r="D6054" s="18" t="str">
        <x:v>Size: XS / S / M / L</x:v>
      </x:c>
      <x:c r="E6054" s="25" t="str">
        <x:v>$4.99</x:v>
      </x:c>
      <x:c r="F6054" s="19" t="str">
        <x:v>5</x:v>
      </x:c>
    </x:row>
    <x:row r="6055" ht="93" customHeight="1">
      <x:c r="A6055" s="19" t="n">
        <x:v>6052</x:v>
      </x:c>
      <x:c r="B6055" s="22" t="e">
        <x:f>HYPERLINK("https://cdn.shopify.com/s/files/1/0918/6066/4603/files/O1CN01cG6pQa1HlX1N39SL4__2545140798-0-cib.jpg?v=1773468202","Open")</x:f>
        <x:v>HYPERLINK is not implemented. linkLocation=https://cdn.shopify.com/s/files/1/0918/6066/4603/files/O1CN01cG6pQa1HlX1N39SL4__2545140798-0-cib.jpg?v=1773468202, friendlyName=Open</x:v>
      </x:c>
      <x:c r="C6055" s="24" t="e">
        <x:f>HYPERLINK("https://365nails.com/products/gold-floral-collection-mini-gold-floral-star-3d-embossed-nail-sticker","Gold Floral Collection: ""Mini Gold Floral &amp; Star"" – 3D Embossed Nail Sticker")</x:f>
        <x:v>HYPERLINK is not implemented. linkLocation=https://365nails.com/products/gold-floral-collection-mini-gold-floral-star-3d-embossed-nail-sticker, friendlyName=Gold Floral Collection: "Mini Gold Floral &amp; Star" – 3D Embossed Nail Sticker</x:v>
      </x:c>
      <x:c r="D6055" s="18" t="str">
        <x:v>Specification type: San-040-crystal diamond</x:v>
      </x:c>
      <x:c r="E6055" s="25" t="str">
        <x:v>$1.30</x:v>
      </x:c>
      <x:c r="F6055" s="19" t="str">
        <x:v>5</x:v>
      </x:c>
    </x:row>
    <x:row r="6056" ht="93" customHeight="1">
      <x:c r="A6056" s="19" t="n">
        <x:v>6053</x:v>
      </x:c>
      <x:c r="B6056" s="22" t="e">
        <x:f>HYPERLINK("https://cdn.shopify.com/s/files/1/0918/6066/4603/files/e4dd7a87cda7cea7988b188c3a6ccecd.jpg?v=1773146964","Open")</x:f>
        <x:v>HYPERLINK is not implemented. linkLocation=https://cdn.shopify.com/s/files/1/0918/6066/4603/files/e4dd7a87cda7cea7988b188c3a6ccecd.jpg?v=1773146964, friendlyName=Open</x:v>
      </x:c>
      <x:c r="C6056" s="24" t="e">
        <x:f>HYPERLINK("https://365nails.com/products/romantic-sakura-shell-light-fresh-nail-art-set","Romantic Sakura Shell Light – Fresh Nail Art Stickers")</x:f>
        <x:v>HYPERLINK is not implemented. linkLocation=https://365nails.com/products/romantic-sakura-shell-light-fresh-nail-art-set, friendlyName=Romantic Sakura Shell Light – Fresh Nail Art Stickers</x:v>
      </x:c>
      <x:c r="D6056" s="18" t="str">
        <x:v>Specification type: To3805-new hot stamping / To3806-shell light</x:v>
      </x:c>
      <x:c r="E6056" s="25" t="str">
        <x:v>$1.23</x:v>
      </x:c>
      <x:c r="F6056" s="19" t="str">
        <x:v>5</x:v>
      </x:c>
    </x:row>
    <x:row r="6057" ht="93" customHeight="1">
      <x:c r="A6057" s="19" t="n">
        <x:v>6054</x:v>
      </x:c>
      <x:c r="B6057" s="22" t="e">
        <x:f>HYPERLINK("https://cdn.shopify.com/s/files/1/0918/6066/4603/files/O1CN013ncjWr1HlWkPlecHL__2545140798-0-cib_1a4e8e0d-2e68-40e1-98f8-a87b436402db.jpg?v=1775812094","Open")</x:f>
        <x:v>HYPERLINK is not implemented. linkLocation=https://cdn.shopify.com/s/files/1/0918/6066/4603/files/O1CN013ncjWr1HlWkPlecHL__2545140798-0-cib_1a4e8e0d-2e68-40e1-98f8-a87b436402db.jpg?v=1775812094, friendlyName=Open</x:v>
      </x:c>
      <x:c r="C6057" s="24" t="e">
        <x:f>HYPERLINK("https://365nails.com/products/365nails-happy-smile-handmade-press-on-nails","365nails: ""Happy Smile"" – Nail Art Stickers")</x:f>
        <x:v>HYPERLINK is not implemented. linkLocation=https://365nails.com/products/365nails-happy-smile-handmade-press-on-nails, friendlyName=365nails: "Happy Smile" – Nail Art Stickers</x:v>
      </x:c>
      <x:c r="D6057" s="18" t="str">
        <x:v>Specification type: To503 relief / To505 relief / To541 relief</x:v>
      </x:c>
      <x:c r="E6057" s="25" t="str">
        <x:v>$1.23</x:v>
      </x:c>
      <x:c r="F6057" s="19" t="str">
        <x:v>5</x:v>
      </x:c>
    </x:row>
    <x:row r="6058" ht="93" customHeight="1">
      <x:c r="A6058" s="19" t="n">
        <x:v>6055</x:v>
      </x:c>
      <x:c r="B6058" s="22" t="e">
        <x:f>HYPERLINK("https://cdn.shopify.com/s/files/1/0918/6066/4603/files/O1CN01LAjmi01HlWu9zoVzF__2545140798-0-cib_6ed8935f-008f-40c8-b5e0-9880843086bc.jpg?v=1775804997","Open")</x:f>
        <x:v>HYPERLINK is not implemented. linkLocation=https://cdn.shopify.com/s/files/1/0918/6066/4603/files/O1CN01LAjmi01HlWu9zoVzF__2545140798-0-cib_6ed8935f-008f-40c8-b5e0-9880843086bc.jpg?v=1775804997, friendlyName=Open</x:v>
      </x:c>
      <x:c r="C6058" s="24" t="e">
        <x:f>HYPERLINK("https://365nails.com/products/365nails-embossed-panda-handmade-press-on-nails","365nails: ""Embossed Panda"" – Nail Art Stickers")</x:f>
        <x:v>HYPERLINK is not implemented. linkLocation=https://365nails.com/products/365nails-embossed-panda-handmade-press-on-nails, friendlyName=365nails: "Embossed Panda" – Nail Art Stickers</x:v>
      </x:c>
      <x:c r="D6058" s="18" t="str">
        <x:v>Specification type: Ms 384</x:v>
      </x:c>
      <x:c r="E6058" s="25" t="str">
        <x:v>$1.23</x:v>
      </x:c>
      <x:c r="F6058" s="19" t="str">
        <x:v>5</x:v>
      </x:c>
    </x:row>
    <x:row r="6059" ht="93" customHeight="1">
      <x:c r="A6059" s="19" t="n">
        <x:v>6056</x:v>
      </x:c>
      <x:c r="B6059" s="22" t="e">
        <x:f>HYPERLINK("https://cdn.shopify.com/s/files/1/0918/6066/4603/files/O1CN01P2ej1K1HlX9w9DNM0__2545140798-0-cib.jpg?v=1773148140","Open")</x:f>
        <x:v>HYPERLINK is not implemented. linkLocation=https://cdn.shopify.com/s/files/1/0918/6066/4603/files/O1CN01P2ej1K1HlX9w9DNM0__2545140798-0-cib.jpg?v=1773148140, friendlyName=Open</x:v>
      </x:c>
      <x:c r="C6059" s="24" t="e">
        <x:f>HYPERLINK("https://365nails.com/products/silver-star-cat-cute-y2k-nail-art-sticker-set","Silver Star Cat – Cute Y2K Nail Art Sticker Stickers")</x:f>
        <x:v>HYPERLINK is not implemented. linkLocation=https://365nails.com/products/silver-star-cat-cute-y2k-nail-art-sticker-set, friendlyName=Silver Star Cat – Cute Y2K Nail Art Sticker Stickers</x:v>
      </x:c>
      <x:c r="D6059" s="18" t="str">
        <x:v>Specification type: Ta402-hot stamping</x:v>
      </x:c>
      <x:c r="E6059" s="25" t="str">
        <x:v>$1.23</x:v>
      </x:c>
      <x:c r="F6059" s="19" t="str">
        <x:v>5</x:v>
      </x:c>
    </x:row>
    <x:row r="6060" ht="93" customHeight="1">
      <x:c r="A6060" s="19" t="n">
        <x:v>6057</x:v>
      </x:c>
      <x:c r="B6060" s="22" t="e">
        <x:f>HYPERLINK("https://cdn.shopify.com/s/files/1/0918/6066/4603/files/O1CN01Hv0sha1HlWnjEOEQp__2545140798-0-cib_c6eb222a-d6d7-4bcb-abdd-bb1da77cdaf4.jpg?v=1775830421","Open")</x:f>
        <x:v>HYPERLINK is not implemented. linkLocation=https://cdn.shopify.com/s/files/1/0918/6066/4603/files/O1CN01Hv0sha1HlWnjEOEQp__2545140798-0-cib_c6eb222a-d6d7-4bcb-abdd-bb1da77cdaf4.jpg?v=1775830421, friendlyName=Open</x:v>
      </x:c>
      <x:c r="C6060" s="24" t="e">
        <x:f>HYPERLINK("https://365nails.com/products/365nails-gothic-cross-symbol-handmade-press-on-nails","365nails: ""Gothic Cross Symbol"" – Nail Art Stickers")</x:f>
        <x:v>HYPERLINK is not implemented. linkLocation=https://365nails.com/products/365nails-gothic-cross-symbol-handmade-press-on-nails, friendlyName=365nails: "Gothic Cross Symbol" – Nail Art Stickers</x:v>
      </x:c>
      <x:c r="D6060" s="18" t="str">
        <x:v>Specification type: To779 / To780 / To1370</x:v>
      </x:c>
      <x:c r="E6060" s="25" t="str">
        <x:v>$1.09</x:v>
      </x:c>
      <x:c r="F6060" s="19" t="str">
        <x:v>5</x:v>
      </x:c>
    </x:row>
    <x:row r="6061" ht="93" customHeight="1">
      <x:c r="A6061" s="19" t="n">
        <x:v>6058</x:v>
      </x:c>
      <x:c r="B6061" s="22" t="e">
        <x:f>HYPERLINK("https://cdn.shopify.com/s/files/1/0918/6066/4603/files/O1CN01Z7QVlL1HlWlYWhYOV__2545140798-0-cib_f8616a63-88b7-495c-8c34-26fdee9ddcf0.jpg?v=1775830120","Open")</x:f>
        <x:v>HYPERLINK is not implemented. linkLocation=https://cdn.shopify.com/s/files/1/0918/6066/4603/files/O1CN01Z7QVlL1HlWlYWhYOV__2545140798-0-cib_f8616a63-88b7-495c-8c34-26fdee9ddcf0.jpg?v=1775830120, friendlyName=Open</x:v>
      </x:c>
      <x:c r="C6061" s="24" t="e">
        <x:f>HYPERLINK("https://365nails.com/products/365nails-vintage-lace-frame-floral-handmade-press-on-nails","365nails: ""Vintage Lace Frame Floral"" – Nail Art Stickers")</x:f>
        <x:v>HYPERLINK is not implemented. linkLocation=https://365nails.com/products/365nails-vintage-lace-frame-floral-handmade-press-on-nails, friendlyName=365nails: "Vintage Lace Frame Floral" – Nail Art Stickers</x:v>
      </x:c>
      <x:c r="D6061" s="18" t="str">
        <x:v>Specification type: To812 / To813</x:v>
      </x:c>
      <x:c r="E6061" s="25" t="str">
        <x:v>$1.23</x:v>
      </x:c>
      <x:c r="F6061" s="19" t="str">
        <x:v>5</x:v>
      </x:c>
    </x:row>
    <x:row r="6062" ht="93" customHeight="1">
      <x:c r="A6062" s="19" t="n">
        <x:v>6059</x:v>
      </x:c>
      <x:c r="B6062" s="22" t="e">
        <x:f>HYPERLINK("https://cdn.shopify.com/s/files/1/0918/6066/4603/files/O1CN01jUFpDP1HlWrlOFXAH__2545140798-0-cib_e64ef651-30a6-4ba2-9346-5fc33aab1af8.jpg?v=1775809969","Open")</x:f>
        <x:v>HYPERLINK is not implemented. linkLocation=https://cdn.shopify.com/s/files/1/0918/6066/4603/files/O1CN01jUFpDP1HlWrlOFXAH__2545140798-0-cib_e64ef651-30a6-4ba2-9346-5fc33aab1af8.jpg?v=1775809969, friendlyName=Open</x:v>
      </x:c>
      <x:c r="C6062" s="24" t="e">
        <x:f>HYPERLINK("https://365nails.com/products/365nails-holographic-diamond-gem-handmade-press-on-nails","365nails: ""Holographic Diamond Gem"" – Nail Art Stickers")</x:f>
        <x:v>HYPERLINK is not implemented. linkLocation=https://365nails.com/products/365nails-holographic-diamond-gem-handmade-press-on-nails, friendlyName=365nails: "Holographic Diamond Gem" – Nail Art Stickers</x:v>
      </x:c>
      <x:c r="D6062" s="18" t="str">
        <x:v>Specification type: To2627-laser silver</x:v>
      </x:c>
      <x:c r="E6062" s="25" t="str">
        <x:v>$1.23</x:v>
      </x:c>
      <x:c r="F6062" s="19" t="str">
        <x:v>5</x:v>
      </x:c>
    </x:row>
    <x:row r="6063" ht="93" customHeight="1">
      <x:c r="A6063" s="19" t="n">
        <x:v>6060</x:v>
      </x:c>
      <x:c r="B6063" s="22" t="e">
        <x:f>HYPERLINK("https://cdn.shopify.com/s/files/1/0918/6066/4603/files/O1CN01JY8aH91HlXAXp5dYP__2545140798-0-cib_a78d7233-0588-42cd-867d-4c1b7020fca4.jpg?v=1775742789","Open")</x:f>
        <x:v>HYPERLINK is not implemented. linkLocation=https://cdn.shopify.com/s/files/1/0918/6066/4603/files/O1CN01JY8aH91HlXAXp5dYP__2545140798-0-cib_a78d7233-0588-42cd-867d-4c1b7020fca4.jpg?v=1775742789, friendlyName=Open</x:v>
      </x:c>
      <x:c r="C6063" s="24" t="e">
        <x:f>HYPERLINK("https://365nails.com/products/365nails-white-snowflake-handmade-press-on-nails","365nails: ""White Snowflake"" –Nail Art Stickers")</x:f>
        <x:v>HYPERLINK is not implemented. linkLocation=https://365nails.com/products/365nails-white-snowflake-handmade-press-on-nails, friendlyName=365nails: "White Snowflake" –Nail Art Stickers</x:v>
      </x:c>
      <x:c r="D6063" s="18" t="str">
        <x:v>Specification type: To5504-glitter</x:v>
      </x:c>
      <x:c r="E6063" s="25" t="str">
        <x:v>$1.23</x:v>
      </x:c>
      <x:c r="F6063" s="19" t="str">
        <x:v>5</x:v>
      </x:c>
    </x:row>
    <x:row r="6064" ht="93" customHeight="1">
      <x:c r="A6064" s="19" t="n">
        <x:v>6061</x:v>
      </x:c>
      <x:c r="B6064" s="22" t="e">
        <x:f>HYPERLINK("https://cdn.shopify.com/s/files/1/0918/6066/4603/files/O1CN01ANQe1k1HlX3B10KL4__2545140798-0-cib_774ce328-0d26-4d33-b00b-abbda2ffef7f.jpg?v=1775806640","Open")</x:f>
        <x:v>HYPERLINK is not implemented. linkLocation=https://cdn.shopify.com/s/files/1/0918/6066/4603/files/O1CN01ANQe1k1HlX3B10KL4__2545140798-0-cib_774ce328-0d26-4d33-b00b-abbda2ffef7f.jpg?v=1775806640, friendlyName=Open</x:v>
      </x:c>
      <x:c r="C6064" s="24" t="e">
        <x:f>HYPERLINK("https://365nails.com/products/365nails-jelly-holographic-butterfly-handmade-press-on-nails","365nails: ""Jelly Holographic Butterfly"" – Nail Art Stickers")</x:f>
        <x:v>HYPERLINK is not implemented. linkLocation=https://365nails.com/products/365nails-jelly-holographic-butterfly-handmade-press-on-nails, friendlyName=365nails: "Jelly Holographic Butterfly" – Nail Art Stickers</x:v>
      </x:c>
      <x:c r="D6064" s="18" t="str">
        <x:v>Specification type: To4423-jelly / To4424-jelly</x:v>
      </x:c>
      <x:c r="E6064" s="25" t="str">
        <x:v>$1.23</x:v>
      </x:c>
      <x:c r="F6064" s="19" t="str">
        <x:v>5</x:v>
      </x:c>
    </x:row>
    <x:row r="6065" ht="93" customHeight="1">
      <x:c r="A6065" s="19" t="n">
        <x:v>6062</x:v>
      </x:c>
      <x:c r="B6065" s="22" t="e">
        <x:f>HYPERLINK("https://cdn.shopify.com/s/files/1/0918/6066/4603/files/O1CN01ZYFHGr1HlWsawpk9u__2545140798-0-cib.jpg?v=1775832829","Open")</x:f>
        <x:v>HYPERLINK is not implemented. linkLocation=https://cdn.shopify.com/s/files/1/0918/6066/4603/files/O1CN01ZYFHGr1HlWsawpk9u__2545140798-0-cib.jpg?v=1775832829, friendlyName=Open</x:v>
      </x:c>
      <x:c r="C6065" s="24" t="e">
        <x:f>HYPERLINK("https://365nails.com/products/365nails-colorful-squiggle-dots-abstract-handmade-press-on-nails","365nails: ""Colorful Squiggle Dots Abstract"" –Nail Art Stickers")</x:f>
        <x:v>HYPERLINK is not implemented. linkLocation=https://365nails.com/products/365nails-colorful-squiggle-dots-abstract-handmade-press-on-nails, friendlyName=365nails: "Colorful Squiggle Dots Abstract" –Nail Art Stickers</x:v>
      </x:c>
      <x:c r="D6065" s="18" t="str">
        <x:v>Specification type: To2799</x:v>
      </x:c>
      <x:c r="E6065" s="25" t="str">
        <x:v>$1.23</x:v>
      </x:c>
      <x:c r="F6065" s="19" t="str">
        <x:v>5</x:v>
      </x:c>
    </x:row>
    <x:row r="6066" ht="93" customHeight="1">
      <x:c r="A6066" s="19" t="n">
        <x:v>6063</x:v>
      </x:c>
      <x:c r="B6066" s="22" t="e">
        <x:f>HYPERLINK("https://cdn.shopify.com/s/files/1/0918/6066/4603/files/O1CN01gpTmv41HlWr0C0Xzv__2545140798-0-cib_8d0e99c5-e5fb-483d-81f8-e2694e29d12e.jpg?v=1775811149","Open")</x:f>
        <x:v>HYPERLINK is not implemented. linkLocation=https://cdn.shopify.com/s/files/1/0918/6066/4603/files/O1CN01gpTmv41HlWr0C0Xzv__2545140798-0-cib_8d0e99c5-e5fb-483d-81f8-e2694e29d12e.jpg?v=1775811149, friendlyName=Open</x:v>
      </x:c>
      <x:c r="C6066" s="24" t="e">
        <x:f>HYPERLINK("https://365nails.com/products/365nails-dunhuang-mandala-handmade-press-on-nails","365nails: ""Dunhuang Mandala"" – Nail Art Stickers")</x:f>
        <x:v>HYPERLINK is not implemented. linkLocation=https://365nails.com/products/365nails-dunhuang-mandala-handmade-press-on-nails, friendlyName=365nails: "Dunhuang Mandala" – Nail Art Stickers</x:v>
      </x:c>
      <x:c r="D6066" s="18" t="str">
        <x:v>Specification type: L16th / L17th</x:v>
      </x:c>
      <x:c r="E6066" s="25" t="str">
        <x:v>$1.09</x:v>
      </x:c>
      <x:c r="F6066" s="19" t="str">
        <x:v>5</x:v>
      </x:c>
    </x:row>
    <x:row r="6067" ht="93" customHeight="1">
      <x:c r="A6067" s="19" t="n">
        <x:v>6064</x:v>
      </x:c>
      <x:c r="B6067" s="22" t="e">
        <x:f>HYPERLINK("https://cdn.shopify.com/s/files/1/0918/6066/4603/files/O1CN01IxRFyP1HlX2eG40EY__2545140798-0-cib_4e7d9117-469b-4c96-8520-258c43c35087.jpg?v=1775810553","Open")</x:f>
        <x:v>HYPERLINK is not implemented. linkLocation=https://cdn.shopify.com/s/files/1/0918/6066/4603/files/O1CN01IxRFyP1HlX2eG40EY__2545140798-0-cib_4e7d9117-469b-4c96-8520-258c43c35087.jpg?v=1775810553, friendlyName=Open</x:v>
      </x:c>
      <x:c r="C6067" s="24" t="e">
        <x:f>HYPERLINK("https://365nails.com/products/365nails-jelly-green-butterfly-handmade-press-on-nails","365nails: ""Jelly Green Butterfly"" – Nail Art Stickers")</x:f>
        <x:v>HYPERLINK is not implemented. linkLocation=https://365nails.com/products/365nails-jelly-green-butterfly-handmade-press-on-nails, friendlyName=365nails: "Jelly Green Butterfly" – Nail Art Stickers</x:v>
      </x:c>
      <x:c r="D6067" s="18" t="str">
        <x:v>Specification type: To4372-1-jelly / To4372-jelly</x:v>
      </x:c>
      <x:c r="E6067" s="25" t="str">
        <x:v>$1.23</x:v>
      </x:c>
      <x:c r="F6067" s="19" t="str">
        <x:v>5</x:v>
      </x:c>
    </x:row>
    <x:row r="6068" ht="93" customHeight="1">
      <x:c r="A6068" s="19" t="n">
        <x:v>6065</x:v>
      </x:c>
      <x:c r="B6068" s="22" t="e">
        <x:f>HYPERLINK("https://cdn.shopify.com/s/files/1/0918/6066/4603/files/O1CN01IVOtPQ1HlXARSz2f3__2545140798-0-cib_9b27d74a-a69c-4ca8-bec9-2619f6bd02e9.jpg?v=1775742882","Open")</x:f>
        <x:v>HYPERLINK is not implemented. linkLocation=https://cdn.shopify.com/s/files/1/0918/6066/4603/files/O1CN01IVOtPQ1HlXARSz2f3__2545140798-0-cib_9b27d74a-a69c-4ca8-bec9-2619f6bd02e9.jpg?v=1775742882, friendlyName=Open</x:v>
      </x:c>
      <x:c r="C6068" s="24" t="e">
        <x:f>HYPERLINK("https://365nails.com/products/365nails-autumn-maple-fox-squirrel-handmade-press-on-nails","365nails: ""Autumn Maple Fox Squirrel"" – Nail Art Stickers")</x:f>
        <x:v>HYPERLINK is not implemented. linkLocation=https://365nails.com/products/365nails-autumn-maple-fox-squirrel-handmade-press-on-nails, friendlyName=365nails: "Autumn Maple Fox Squirrel" – Nail Art Stickers</x:v>
      </x:c>
      <x:c r="D6068" s="18" t="str">
        <x:v>Specification type: To5479-relief</x:v>
      </x:c>
      <x:c r="E6068" s="25" t="str">
        <x:v>$1.23</x:v>
      </x:c>
      <x:c r="F6068" s="19" t="str">
        <x:v>5</x:v>
      </x:c>
    </x:row>
    <x:row r="6069" ht="93" customHeight="1">
      <x:c r="A6069" s="19" t="n">
        <x:v>6066</x:v>
      </x:c>
      <x:c r="B6069" s="22" t="e">
        <x:f>HYPERLINK("https://cdn.shopify.com/s/files/1/0918/6066/4603/files/O1CN01wY5HTp1HlX9XpkD4f__2545140798-0-cib.jpg?v=1773555216","Open")</x:f>
        <x:v>HYPERLINK is not implemented. linkLocation=https://cdn.shopify.com/s/files/1/0918/6066/4603/files/O1CN01wY5HTp1HlX9XpkD4f__2545140798-0-cib.jpg?v=1773555216, friendlyName=Open</x:v>
      </x:c>
      <x:c r="C6069" s="24" t="e">
        <x:f>HYPERLINK("https://365nails.com/products/sweet-cherry-bow-retro-cherry-3d-embossed-nail-sticker","Sweet Cherry Bow: ""Retro Cherry"" – 3D Embossed Nail Sticker")</x:f>
        <x:v>HYPERLINK is not implemented. linkLocation=https://365nails.com/products/sweet-cherry-bow-retro-cherry-3d-embossed-nail-sticker, friendlyName=Sweet Cherry Bow: "Retro Cherry" – 3D Embossed Nail Sticker</x:v>
      </x:c>
      <x:c r="D6069" s="18" t="str">
        <x:v>Specification type: To5364-jelly / To5370-relief</x:v>
      </x:c>
      <x:c r="E6069" s="25" t="str">
        <x:v>$1.23</x:v>
      </x:c>
      <x:c r="F6069" s="19" t="str">
        <x:v>5</x:v>
      </x:c>
    </x:row>
    <x:row r="6070" ht="93" customHeight="1">
      <x:c r="A6070" s="19" t="n">
        <x:v>6067</x:v>
      </x:c>
      <x:c r="B6070" s="22" t="e">
        <x:f>HYPERLINK("https://cdn.shopify.com/s/files/1/0918/6066/4603/files/O1CN01msmgF21HlWqKaoK5w__2545140798-0-cib_e003fcb9-c693-43b3-9b4e-a81084f5bdb1.jpg?v=1775832418","Open")</x:f>
        <x:v>HYPERLINK is not implemented. linkLocation=https://cdn.shopify.com/s/files/1/0918/6066/4603/files/O1CN01msmgF21HlWqKaoK5w__2545140798-0-cib_e003fcb9-c693-43b3-9b4e-a81084f5bdb1.jpg?v=1775832418, friendlyName=Open</x:v>
      </x:c>
      <x:c r="C6070" s="24" t="e">
        <x:f>HYPERLINK("https://365nails.com/products/365nails-chinese-auspicious-cloud-embossed-handmade-press-on-nails","365nails: ""Chinese Auspicious Cloud Embossed"" –Nail Art Stickers")</x:f>
        <x:v>HYPERLINK is not implemented. linkLocation=https://365nails.com/products/365nails-chinese-auspicious-cloud-embossed-handmade-press-on-nails, friendlyName=365nails: "Chinese Auspicious Cloud Embossed" –Nail Art Stickers</x:v>
      </x:c>
      <x:c r="D6070" s="18" t="str">
        <x:v>Specification type: To2295 / To2297 / To2301 / To2303 / To2306 / To2308</x:v>
      </x:c>
      <x:c r="E6070" s="25" t="str">
        <x:v>$1.23</x:v>
      </x:c>
      <x:c r="F6070" s="19" t="str">
        <x:v>5</x:v>
      </x:c>
    </x:row>
    <x:row r="6071" ht="93" customHeight="1">
      <x:c r="A6071" s="19" t="n">
        <x:v>6068</x:v>
      </x:c>
      <x:c r="B6071" s="22" t="e">
        <x:f>HYPERLINK("https://cdn.shopify.com/s/files/1/0918/6066/4603/files/O1CN01fgkFa81HlWt1Vr95q__2545140798-0-cib_dee2430c-f49d-4b79-a7ec-6aaa512258aa.jpg?v=1775804801","Open")</x:f>
        <x:v>HYPERLINK is not implemented. linkLocation=https://cdn.shopify.com/s/files/1/0918/6066/4603/files/O1CN01fgkFa81HlWt1Vr95q__2545140798-0-cib_dee2430c-f49d-4b79-a7ec-6aaa512258aa.jpg?v=1775804801, friendlyName=Open</x:v>
      </x:c>
      <x:c r="C6071" s="24" t="e">
        <x:f>HYPERLINK("https://365nails.com/products/365nails-gothic-anime-girl-portrait-handmade-press-on-nails","365nails: ""Gothic Anime Girl Portrait"" – Nail Art Stickers")</x:f>
        <x:v>HYPERLINK is not implemented. linkLocation=https://365nails.com/products/365nails-gothic-anime-girl-portrait-handmade-press-on-nails, friendlyName=365nails: "Gothic Anime Girl Portrait" – Nail Art Stickers</x:v>
      </x:c>
      <x:c r="D6071" s="18" t="str">
        <x:v>Specification type: To2873</x:v>
      </x:c>
      <x:c r="E6071" s="25" t="str">
        <x:v>$1.23</x:v>
      </x:c>
      <x:c r="F6071" s="19" t="str">
        <x:v>5</x:v>
      </x:c>
    </x:row>
    <x:row r="6072" ht="93" customHeight="1">
      <x:c r="A6072" s="19" t="n">
        <x:v>6069</x:v>
      </x:c>
      <x:c r="B6072" s="22" t="e">
        <x:f>HYPERLINK("https://cdn.shopify.com/s/files/1/0918/6066/4603/files/O1CN017kIExq1HlWo2xSKGm__2545140798-0-cib.jpg?v=1775831111","Open")</x:f>
        <x:v>HYPERLINK is not implemented. linkLocation=https://cdn.shopify.com/s/files/1/0918/6066/4603/files/O1CN017kIExq1HlWo2xSKGm__2545140798-0-cib.jpg?v=1775831111, friendlyName=Open</x:v>
      </x:c>
      <x:c r="C6072" s="24" t="e">
        <x:f>HYPERLINK("https://365nails.com/products/365nails-pastel-gothic-cross-fleur-de-lis-handmade-press-on-nails","365nails: ""Pastel Gothic Cross Fleur-de-lis"" – Nail Art Stickers")</x:f>
        <x:v>HYPERLINK is not implemented. linkLocation=https://365nails.com/products/365nails-pastel-gothic-cross-fleur-de-lis-handmade-press-on-nails, friendlyName=365nails: "Pastel Gothic Cross Fleur-de-lis" – Nail Art Stickers</x:v>
      </x:c>
      <x:c r="D6072" s="18" t="str">
        <x:v>Specification type: To1463</x:v>
      </x:c>
      <x:c r="E6072" s="25" t="str">
        <x:v>$1.23</x:v>
      </x:c>
      <x:c r="F6072" s="19" t="str">
        <x:v>5</x:v>
      </x:c>
    </x:row>
    <x:row r="6073" ht="93" customHeight="1">
      <x:c r="A6073" s="19" t="n">
        <x:v>6070</x:v>
      </x:c>
      <x:c r="B6073" s="22" t="e">
        <x:f>HYPERLINK("https://cdn.shopify.com/s/files/1/0918/6066/4603/files/O1CN01harDCd1HlWqqr0AJU__2545140798-0-cib_76ce87c9-5235-4add-a282-83102c553c63.jpg?v=1775832591","Open")</x:f>
        <x:v>HYPERLINK is not implemented. linkLocation=https://cdn.shopify.com/s/files/1/0918/6066/4603/files/O1CN01harDCd1HlWqqr0AJU__2545140798-0-cib_76ce87c9-5235-4add-a282-83102c553c63.jpg?v=1775832591, friendlyName=Open</x:v>
      </x:c>
      <x:c r="C6073" s="24" t="e">
        <x:f>HYPERLINK("https://365nails.com/products/365nails-gothic-spider-web-coffin-bat-handmade-press-on-nails","365nails: ""Gothic Spider Web Coffin Bat"" –Nail Art Stickers")</x:f>
        <x:v>HYPERLINK is not implemented. linkLocation=https://365nails.com/products/365nails-gothic-spider-web-coffin-bat-handmade-press-on-nails, friendlyName=365nails: "Gothic Spider Web Coffin Bat" –Nail Art Stickers</x:v>
      </x:c>
      <x:c r="D6073" s="18" t="str">
        <x:v>Specification type: Wy-07 / Wy-08 / Wy-09 / Wy-10 / Wy-11</x:v>
      </x:c>
      <x:c r="E6073" s="25" t="str">
        <x:v>$1.09</x:v>
      </x:c>
      <x:c r="F6073" s="19" t="str">
        <x:v>5</x:v>
      </x:c>
    </x:row>
    <x:row r="6074" ht="93" customHeight="1">
      <x:c r="A6074" s="19" t="n">
        <x:v>6071</x:v>
      </x:c>
      <x:c r="B6074" s="22" t="e">
        <x:f>HYPERLINK("https://cdn.shopify.com/s/files/1/0918/6066/4603/files/O1CN01ybRi491HlWnZnQSrQ__2545140798-0-cib_e7b0cd32-54cd-4c1b-bfb0-fcdd91b74f98.jpg?v=1775830875","Open")</x:f>
        <x:v>HYPERLINK is not implemented. linkLocation=https://cdn.shopify.com/s/files/1/0918/6066/4603/files/O1CN01ybRi491HlWnZnQSrQ__2545140798-0-cib_e7b0cd32-54cd-4c1b-bfb0-fcdd91b74f98.jpg?v=1775830875, friendlyName=Open</x:v>
      </x:c>
      <x:c r="C6074" s="24" t="e">
        <x:f>HYPERLINK("https://365nails.com/products/365nails-crayon-shin-chan-cute-character-handmade-press-on-nails","365nails: ""Crayon Shin-chan Cute Character"" – Nail Art Stickers")</x:f>
        <x:v>HYPERLINK is not implemented. linkLocation=https://365nails.com/products/365nails-crayon-shin-chan-cute-character-handmade-press-on-nails, friendlyName=365nails: "Crayon Shin-chan Cute Character" – Nail Art Stickers</x:v>
      </x:c>
      <x:c r="D6074" s="18" t="str">
        <x:v>Specification type: To1287</x:v>
      </x:c>
      <x:c r="E6074" s="25" t="str">
        <x:v>$1.23</x:v>
      </x:c>
      <x:c r="F6074" s="19" t="str">
        <x:v>5</x:v>
      </x:c>
    </x:row>
    <x:row r="6075" ht="93" customHeight="1">
      <x:c r="A6075" s="19" t="n">
        <x:v>6072</x:v>
      </x:c>
      <x:c r="B6075" s="22" t="e">
        <x:f>HYPERLINK("https://cdn.shopify.com/s/files/1/0918/6066/4603/files/425e6e8ae597b53c930e5ae61dce2318_75bf1bc3-66d6-4d38-9cbb-2563e533fd11.jpg?v=1779196938","Open")</x:f>
        <x:v>HYPERLINK is not implemented. linkLocation=https://cdn.shopify.com/s/files/1/0918/6066/4603/files/425e6e8ae597b53c930e5ae61dce2318_75bf1bc3-66d6-4d38-9cbb-2563e533fd11.jpg?v=1779196938, friendlyName=Open</x:v>
      </x:c>
      <x:c r="C6075" s="24" t="e">
        <x:f>HYPERLINK("https://365nails.com/products/365nails-gothic-doll-3d-flower-chain-handmade-long-coffin-nails","365nails: ""Tropical Watercolor Orchid"" – Handmade Medium Square Press-On Nails")</x:f>
        <x:v>HYPERLINK is not implemented. linkLocation=https://365nails.com/products/365nails-gothic-doll-3d-flower-chain-handmade-long-coffin-nails, friendlyName=365nails: "Tropical Watercolor Orchid" – Handmade Medium Square Press-On Nails</x:v>
      </x:c>
      <x:c r="D6075" s="18" t="str">
        <x:v>Size: XS / S / M / L</x:v>
      </x:c>
      <x:c r="E6075" s="25" t="str">
        <x:v>$3.99</x:v>
      </x:c>
      <x:c r="F6075" s="19" t="str">
        <x:v>5</x:v>
      </x:c>
    </x:row>
    <x:row r="6076" ht="93" customHeight="1">
      <x:c r="A6076" s="19" t="n">
        <x:v>6073</x:v>
      </x:c>
      <x:c r="B6076" s="22" t="e">
        <x:f>HYPERLINK("https://cdn.shopify.com/s/files/1/0918/6066/4603/files/O1CN01d8YFON1HlWkUrZSZQ__2545140798-0-cib_58ebf2fc-d00e-4b40-bbbd-a4f573860861.jpg?v=1775811216","Open")</x:f>
        <x:v>HYPERLINK is not implemented. linkLocation=https://cdn.shopify.com/s/files/1/0918/6066/4603/files/O1CN01d8YFON1HlWkUrZSZQ__2545140798-0-cib_58ebf2fc-d00e-4b40-bbbd-a4f573860861.jpg?v=1775811216, friendlyName=Open</x:v>
      </x:c>
      <x:c r="C6076" s="24" t="e">
        <x:f>HYPERLINK("https://365nails.com/products/365nails-vintage-cupid-angel-handmade-press-on-nails","365nails: ""Vintage Cupid Angel"" – Nail Art Stickers")</x:f>
        <x:v>HYPERLINK is not implemented. linkLocation=https://365nails.com/products/365nails-vintage-cupid-angel-handmade-press-on-nails, friendlyName=365nails: "Vintage Cupid Angel" – Nail Art Stickers</x:v>
      </x:c>
      <x:c r="D6076" s="18" t="str">
        <x:v>Specification type: Ta50 / Ta51</x:v>
      </x:c>
      <x:c r="E6076" s="25" t="str">
        <x:v>$1.09</x:v>
      </x:c>
      <x:c r="F6076" s="19" t="str">
        <x:v>5</x:v>
      </x:c>
    </x:row>
    <x:row r="6077" ht="93" customHeight="1">
      <x:c r="A6077" s="19" t="n">
        <x:v>6074</x:v>
      </x:c>
      <x:c r="B6077" s="22" t="e">
        <x:f>HYPERLINK("https://cdn.shopify.com/s/files/1/0918/6066/4603/files/O1CN01wnTIyq1HlWr9EA0MR__2545140798-0-cib_7ad5a2b4-90ae-4c36-a1a8-2feab16139db.jpg?v=1775743712","Open")</x:f>
        <x:v>HYPERLINK is not implemented. linkLocation=https://cdn.shopify.com/s/files/1/0918/6066/4603/files/O1CN01wnTIyq1HlWr9EA0MR__2545140798-0-cib_7ad5a2b4-90ae-4c36-a1a8-2feab16139db.jpg?v=1775743712, friendlyName=Open</x:v>
      </x:c>
      <x:c r="C6077" s="24" t="e">
        <x:f>HYPERLINK("https://365nails.com/products/365nails-vintage-ethnic-mandala-handmade-press-on-nails","365nails: ""Vintage Ethnic Mandala"" – Nail Art Stickers")</x:f>
        <x:v>HYPERLINK is not implemented. linkLocation=https://365nails.com/products/365nails-vintage-ethnic-mandala-handmade-press-on-nails, friendlyName=365nails: "Vintage Ethnic Mandala" – Nail Art Stickers</x:v>
      </x:c>
      <x:c r="D6077" s="18" t="str">
        <x:v>Specification type: L18 / L 19</x:v>
      </x:c>
      <x:c r="E6077" s="25" t="str">
        <x:v>$1.09</x:v>
      </x:c>
      <x:c r="F6077" s="19" t="str">
        <x:v>5</x:v>
      </x:c>
    </x:row>
    <x:row r="6078" ht="93" customHeight="1">
      <x:c r="A6078" s="19" t="n">
        <x:v>6075</x:v>
      </x:c>
      <x:c r="B6078" s="22" t="e">
        <x:f>HYPERLINK("https://cdn.shopify.com/s/files/1/0918/6066/4603/files/O1CN0104ZcIz1HlWot9hdal__2545140798-0-cib_04757242-b56c-46f0-baff-e196b251c4ca.jpg?v=1775810696","Open")</x:f>
        <x:v>HYPERLINK is not implemented. linkLocation=https://cdn.shopify.com/s/files/1/0918/6066/4603/files/O1CN0104ZcIz1HlWot9hdal__2545140798-0-cib_04757242-b56c-46f0-baff-e196b251c4ca.jpg?v=1775810696, friendlyName=Open</x:v>
      </x:c>
      <x:c r="C6078" s="24" t="e">
        <x:f>HYPERLINK("https://365nails.com/products/365nails-holographic-zodiac-handmade-press-on-nails","365nails: ""Holographic Zodiac"" – Nail Art Stickers")</x:f>
        <x:v>HYPERLINK is not implemented. linkLocation=https://365nails.com/products/365nails-holographic-zodiac-handmade-press-on-nails, friendlyName=365nails: "Holographic Zodiac" – Nail Art Stickers</x:v>
      </x:c>
      <x:c r="D6078" s="18" t="str">
        <x:v>Specification type: To1725 laser silver / To1725 new hot stamping</x:v>
      </x:c>
      <x:c r="E6078" s="25" t="str">
        <x:v>$1.23</x:v>
      </x:c>
      <x:c r="F6078" s="19" t="str">
        <x:v>5</x:v>
      </x:c>
    </x:row>
    <x:row r="6079" ht="93" customHeight="1">
      <x:c r="A6079" s="19" t="n">
        <x:v>6076</x:v>
      </x:c>
      <x:c r="B6079" s="22" t="e">
        <x:f>HYPERLINK("https://cdn.shopify.com/s/files/1/0918/6066/4603/files/O1CN01ftfRvf2MQzet15Gux__2219089449823-0-cib.jpg?v=1774520782","Open")</x:f>
        <x:v>HYPERLINK is not implemented. linkLocation=https://cdn.shopify.com/s/files/1/0918/6066/4603/files/O1CN01ftfRvf2MQzet15Gux__2219089449823-0-cib.jpg?v=1774520782, friendlyName=Open</x:v>
      </x:c>
      <x:c r="C6079" s="24" t="e">
        <x:f>HYPERLINK("https://365nails.com/products/kitty-paradise-hello-kitty-sweet-garden-almond-press-on-nails","Kitty Paradise: ""Hello Kitty Sweet Garden"" – Almond Press-On Nails")</x:f>
        <x:v>HYPERLINK is not implemented. linkLocation=https://365nails.com/products/kitty-paradise-hello-kitty-sweet-garden-almond-press-on-nails, friendlyName=Kitty Paradise: "Hello Kitty Sweet Garden" – Almond Press-On Nails</x:v>
      </x:c>
      <x:c r="D6079" s="18" t="str">
        <x:v>Color: D588; Color classification: Xs / S / M / L</x:v>
      </x:c>
      <x:c r="E6079" s="25" t="str">
        <x:v>$3.99</x:v>
      </x:c>
      <x:c r="F6079" s="19" t="str">
        <x:v>1</x:v>
      </x:c>
    </x:row>
    <x:row r="6080" ht="93" customHeight="1">
      <x:c r="A6080" s="19" t="n">
        <x:v>6077</x:v>
      </x:c>
      <x:c r="B6080" s="22" t="e">
        <x:f>HYPERLINK("https://cdn.shopify.com/s/files/1/0918/6066/4603/files/O1CN01WT7srq1HlWrfVcCZW__2545140798-0-cib_0391ec02-51b6-4c37-91e8-e6b0b51cd466.jpg?v=1775743830","Open")</x:f>
        <x:v>HYPERLINK is not implemented. linkLocation=https://cdn.shopify.com/s/files/1/0918/6066/4603/files/O1CN01WT7srq1HlWrfVcCZW__2545140798-0-cib_0391ec02-51b6-4c37-91e8-e6b0b51cd466.jpg?v=1775743830, friendlyName=Open</x:v>
      </x:c>
      <x:c r="C6080" s="24" t="e">
        <x:f>HYPERLINK("https://365nails.com/products/365nails-chinese-new-year-fortune-handmade-press-on-nails","365nails: ""Chinese New Year Fortune"" – Nail Art Stickers")</x:f>
        <x:v>HYPERLINK is not implemented. linkLocation=https://365nails.com/products/365nails-chinese-new-year-fortune-handmade-press-on-nails, friendlyName=365nails: "Chinese New Year Fortune" – Nail Art Stickers</x:v>
      </x:c>
      <x:c r="D6080" s="18" t="str">
        <x:v>Specification type: To2634-relief / To2635-thin tough / To2659-new hot stamping / To2659-silver</x:v>
      </x:c>
      <x:c r="E6080" s="25" t="str">
        <x:v>$1.23</x:v>
      </x:c>
      <x:c r="F6080" s="19" t="str">
        <x:v>5</x:v>
      </x:c>
    </x:row>
    <x:row r="6081" ht="93" customHeight="1">
      <x:c r="A6081" s="19" t="n">
        <x:v>6078</x:v>
      </x:c>
      <x:c r="B6081" s="22" t="e">
        <x:f>HYPERLINK("https://cdn.shopify.com/s/files/1/0918/6066/4603/files/O1CN01dXZRnh1HlWrD9xE24__2545140798-0-cib_e5ff0404-6a6b-4043-ab87-78084be58703.jpg?v=1775832713","Open")</x:f>
        <x:v>HYPERLINK is not implemented. linkLocation=https://cdn.shopify.com/s/files/1/0918/6066/4603/files/O1CN01dXZRnh1HlWrD9xE24__2545140798-0-cib_e5ff0404-6a6b-4043-ab87-78084be58703.jpg?v=1775832713, friendlyName=Open</x:v>
      </x:c>
      <x:c r="C6081" s="24" t="e">
        <x:f>HYPERLINK("https://365nails.com/products/365nails-holographic-glitter-heart-handmade-press-on-nails-1","365nails: ""Holographic Glitter Heart"" –Nail Art Stickers")</x:f>
        <x:v>HYPERLINK is not implemented. linkLocation=https://365nails.com/products/365nails-holographic-glitter-heart-handmade-press-on-nails-1, friendlyName=365nails: "Holographic Glitter Heart" –Nail Art Stickers</x:v>
      </x:c>
      <x:c r="D6081" s="18" t="str">
        <x:v>Specification type: To2526 laser / Ms290 laser</x:v>
      </x:c>
      <x:c r="E6081" s="25" t="str">
        <x:v>$1.09</x:v>
      </x:c>
      <x:c r="F6081" s="19" t="str">
        <x:v>5</x:v>
      </x:c>
    </x:row>
    <x:row r="6082" ht="93" customHeight="1">
      <x:c r="A6082" s="19" t="n">
        <x:v>6079</x:v>
      </x:c>
      <x:c r="B6082" s="22" t="e">
        <x:f>HYPERLINK("https://cdn.shopify.com/s/files/1/0918/6066/4603/files/O1CN01F1fMe71HlWu3egBFh__2545140798-0-cib.jpg?v=1775833208","Open")</x:f>
        <x:v>HYPERLINK is not implemented. linkLocation=https://cdn.shopify.com/s/files/1/0918/6066/4603/files/O1CN01F1fMe71HlWu3egBFh__2545140798-0-cib.jpg?v=1775833208, friendlyName=Open</x:v>
      </x:c>
      <x:c r="C6082" s="24" t="e">
        <x:f>HYPERLINK("https://365nails.com/products/365nails-gothic-angel-wing-bat-cross-handmade-press-on-nails","365nails: ""Gothic Angel Wing Bat Cross"" –Nail Art Stickers")</x:f>
        <x:v>HYPERLINK is not implemented. linkLocation=https://365nails.com/products/365nails-gothic-angel-wing-bat-cross-handmade-press-on-nails, friendlyName=365nails: "Gothic Angel Wing Bat Cross" –Nail Art Stickers</x:v>
      </x:c>
      <x:c r="D6082" s="18" t="str">
        <x:v>Specification type: To3023 / To3024</x:v>
      </x:c>
      <x:c r="E6082" s="25" t="str">
        <x:v>$1.23</x:v>
      </x:c>
      <x:c r="F6082" s="19" t="str">
        <x:v>5</x:v>
      </x:c>
    </x:row>
    <x:row r="6083" ht="93" customHeight="1">
      <x:c r="A6083" s="19" t="n">
        <x:v>6080</x:v>
      </x:c>
      <x:c r="B6083" s="22" t="e">
        <x:f>HYPERLINK("https://cdn.shopify.com/s/files/1/0918/6066/4603/files/6949e1bf8bde7f4cac70bed765de46bc_d369532b-8578-4410-9941-1963f2cc493e.jpg?v=1774075782","Open")</x:f>
        <x:v>HYPERLINK is not implemented. linkLocation=https://cdn.shopify.com/s/files/1/0918/6066/4603/files/6949e1bf8bde7f4cac70bed765de46bc_d369532b-8578-4410-9941-1963f2cc493e.jpg?v=1774075782, friendlyName=Open</x:v>
      </x:c>
      <x:c r="C6083" s="24" t="e">
        <x:f>HYPERLINK("https://365nails.com/products/cosmic-fatale-berry-blush-hearts-long-sharp-stiletto-handmade-press-on-nails","Cosmic Fatale: ""Berry Blush Hearts"" – Long Sharp Stiletto Handmade Press On Nails")</x:f>
        <x:v>HYPERLINK is not implemented. linkLocation=https://365nails.com/products/cosmic-fatale-berry-blush-hearts-long-sharp-stiletto-handmade-press-on-nails, friendlyName=Cosmic Fatale: "Berry Blush Hearts" – Long Sharp Stiletto Handmade Press On Nails</x:v>
      </x:c>
      <x:c r="D6083" s="18" t="str">
        <x:v>Size: XS / S / M / L</x:v>
      </x:c>
      <x:c r="E6083" s="25" t="str">
        <x:v>$3.99</x:v>
      </x:c>
      <x:c r="F6083" s="19" t="str">
        <x:v>5</x:v>
      </x:c>
    </x:row>
    <x:row r="6084" ht="93" customHeight="1">
      <x:c r="A6084" s="19" t="n">
        <x:v>6081</x:v>
      </x:c>
      <x:c r="B6084" s="22" t="e">
        <x:f>HYPERLINK("https://cdn.shopify.com/s/files/1/0918/6066/4603/files/O1CN01Ye0W6s1HlWnvsXXGX__2545140798-0-cib_35ec6381-1ae7-4b54-8928-055f06302854.jpg?v=1775830930","Open")</x:f>
        <x:v>HYPERLINK is not implemented. linkLocation=https://cdn.shopify.com/s/files/1/0918/6066/4603/files/O1CN01Ye0W6s1HlWnvsXXGX__2545140798-0-cib_35ec6381-1ae7-4b54-8928-055f06302854.jpg?v=1775830930, friendlyName=Open</x:v>
      </x:c>
      <x:c r="C6084" s="24" t="e">
        <x:f>HYPERLINK("https://365nails.com/products/365nails-holographic-sakura-cherry-blossom-handmade-press-on-nails-1","365nails: ""Holographic Sakura Cherry Blossom"" – Nail Art Stickers")</x:f>
        <x:v>HYPERLINK is not implemented. linkLocation=https://365nails.com/products/365nails-holographic-sakura-cherry-blossom-handmade-press-on-nails-1, friendlyName=365nails: "Holographic Sakura Cherry Blossom" – Nail Art Stickers</x:v>
      </x:c>
      <x:c r="D6084" s="18" t="str">
        <x:v>Specification type: To1462 laser silver / To1462 new hot stamping</x:v>
      </x:c>
      <x:c r="E6084" s="25" t="str">
        <x:v>$1.23</x:v>
      </x:c>
      <x:c r="F6084" s="19" t="str">
        <x:v>5</x:v>
      </x:c>
    </x:row>
    <x:row r="6085" ht="93" customHeight="1">
      <x:c r="A6085" s="19" t="n">
        <x:v>6082</x:v>
      </x:c>
      <x:c r="B6085" s="22" t="e">
        <x:f>HYPERLINK("https://cdn.shopify.com/s/files/1/0918/6066/4603/files/O1CN01vnfcyy1HlX7TrYgmO__2545140798-0-cib_c0afb283-7b6c-4c0a-b701-9660ac3cb5d2.jpg?v=1775810616","Open")</x:f>
        <x:v>HYPERLINK is not implemented. linkLocation=https://cdn.shopify.com/s/files/1/0918/6066/4603/files/O1CN01vnfcyy1HlX7TrYgmO__2545140798-0-cib_c0afb283-7b6c-4c0a-b701-9660ac3cb5d2.jpg?v=1775810616, friendlyName=Open</x:v>
      </x:c>
      <x:c r="C6085" s="24" t="e">
        <x:f>HYPERLINK("https://365nails.com/products/365nails-lace-lingerie-handmade-press-on-nails","365nails: ""Lace Lingerie"" – Nail Art Stickers")</x:f>
        <x:v>HYPERLINK is not implemented. linkLocation=https://365nails.com/products/365nails-lace-lingerie-handmade-press-on-nails, friendlyName=365nails: "Lace Lingerie" – Nail Art Stickers</x:v>
      </x:c>
      <x:c r="D6085" s="18" t="str">
        <x:v>Specification type: To5140-relief</x:v>
      </x:c>
      <x:c r="E6085" s="25" t="str">
        <x:v>$1.23</x:v>
      </x:c>
      <x:c r="F6085" s="19" t="str">
        <x:v>5</x:v>
      </x:c>
    </x:row>
    <x:row r="6086" ht="93" customHeight="1">
      <x:c r="A6086" s="19" t="n">
        <x:v>6083</x:v>
      </x:c>
      <x:c r="B6086" s="22" t="e">
        <x:f>HYPERLINK("https://cdn.shopify.com/s/files/1/0918/6066/4603/files/O1CN01Yz8kZ81HlWjWNgcJw__2545140798-0-cib.jpg?v=1773557918","Open")</x:f>
        <x:v>HYPERLINK is not implemented. linkLocation=https://cdn.shopify.com/s/files/1/0918/6066/4603/files/O1CN01Yz8kZ81HlWjWNgcJw__2545140798-0-cib.jpg?v=1773557918, friendlyName=Open</x:v>
      </x:c>
      <x:c r="C6086" s="24" t="e">
        <x:f>HYPERLINK("https://365nails.com/products/cute-cat-collection-kitty-faces-3d-embossed-nail-sticker","Cute Cat Collection: ""Kitty Faces"" – 3D Embossed Nail Sticker")</x:f>
        <x:v>HYPERLINK is not implemented. linkLocation=https://365nails.com/products/cute-cat-collection-kitty-faces-3d-embossed-nail-sticker, friendlyName=Cute Cat Collection: "Kitty Faces" – 3D Embossed Nail Sticker</x:v>
      </x:c>
      <x:c r="D6086" s="18" t="str">
        <x:v>Specification type: Tomon473 / Tomon474 / Tomon411 / To585 / Pro–110 / Tomoni 213 / To415 / Tomoni 519 / To592 / To653 / To821 / To755 / To756 / To768</x:v>
      </x:c>
      <x:c r="E6086" s="25" t="str">
        <x:v>$1.09</x:v>
      </x:c>
      <x:c r="F6086" s="19" t="str">
        <x:v>5</x:v>
      </x:c>
    </x:row>
    <x:row r="6087" ht="93" customHeight="1">
      <x:c r="A6087" s="19" t="n">
        <x:v>6084</x:v>
      </x:c>
      <x:c r="B6087" s="22" t="e">
        <x:f>HYPERLINK("https://cdn.shopify.com/s/files/1/0918/6066/4603/files/O1CN01gFKlbM1HlWnEz1jNP__2545140798-0-cib_1dc34546-b5b1-41a6-9aec-05198481c6ee.jpg?v=1775830551","Open")</x:f>
        <x:v>HYPERLINK is not implemented. linkLocation=https://cdn.shopify.com/s/files/1/0918/6066/4603/files/O1CN01gFKlbM1HlWnEz1jNP__2545140798-0-cib_1dc34546-b5b1-41a6-9aec-05198481c6ee.jpg?v=1775830551, friendlyName=Open</x:v>
      </x:c>
      <x:c r="C6087" s="24" t="e">
        <x:f>HYPERLINK("https://365nails.com/products/365nails-kawaii-kirby-cute-character-embossed-handmade-press-on-nails","365nails: ""Kawaii Kirby Cute Character Embossed"" – Nail Art Stickers")</x:f>
        <x:v>HYPERLINK is not implemented. linkLocation=https://365nails.com/products/365nails-kawaii-kirby-cute-character-embossed-handmade-press-on-nails, friendlyName=365nails: "Kawaii Kirby Cute Character Embossed" – Nail Art Stickers</x:v>
      </x:c>
      <x:c r="D6087" s="18" t="str">
        <x:v>Specification type: To1097</x:v>
      </x:c>
      <x:c r="E6087" s="25" t="str">
        <x:v>$1.23</x:v>
      </x:c>
      <x:c r="F6087" s="19" t="str">
        <x:v>5</x:v>
      </x:c>
    </x:row>
    <x:row r="6088" ht="93" customHeight="1">
      <x:c r="A6088" s="19" t="n">
        <x:v>6085</x:v>
      </x:c>
      <x:c r="B6088" s="22" t="e">
        <x:f>HYPERLINK("https://cdn.shopify.com/s/files/1/0918/6066/4603/files/O1CN01rdALXP1HlWqblLwLZ__2545140798-0-cib_03f72904-5a01-4573-b3e1-4fe0318d43f1.jpg?v=1775832522","Open")</x:f>
        <x:v>HYPERLINK is not implemented. linkLocation=https://cdn.shopify.com/s/files/1/0918/6066/4603/files/O1CN01rdALXP1HlWqblLwLZ__2545140798-0-cib_03f72904-5a01-4573-b3e1-4fe0318d43f1.jpg?v=1775832522, friendlyName=Open</x:v>
      </x:c>
      <x:c r="C6088" s="24" t="e">
        <x:f>HYPERLINK("https://365nails.com/products/365nails-dinosaur-friends-cute-cartoon-handmade-press-on-nails","365nails: ""Dinosaur Friends Cute Cartoon"" –Nail Art Stickers")</x:f>
        <x:v>HYPERLINK is not implemented. linkLocation=https://365nails.com/products/365nails-dinosaur-friends-cute-cartoon-handmade-press-on-nails, friendlyName=365nails: "Dinosaur Friends Cute Cartoon" –Nail Art Stickers</x:v>
      </x:c>
      <x:c r="D6088" s="18" t="str">
        <x:v>Specification type: To2364 / To2366</x:v>
      </x:c>
      <x:c r="E6088" s="25" t="str">
        <x:v>$1.09</x:v>
      </x:c>
      <x:c r="F6088" s="19" t="str">
        <x:v>5</x:v>
      </x:c>
    </x:row>
    <x:row r="6089" ht="93" customHeight="1">
      <x:c r="A6089" s="19" t="n">
        <x:v>6086</x:v>
      </x:c>
      <x:c r="B6089" s="22" t="e">
        <x:f>HYPERLINK("https://cdn.shopify.com/s/files/1/0918/6066/4603/files/9b86f729dbd1dde3c8fa322df1130c6a.jpg?v=1773150745","Open")</x:f>
        <x:v>HYPERLINK is not implemented. linkLocation=https://cdn.shopify.com/s/files/1/0918/6066/4603/files/9b86f729dbd1dde3c8fa322df1130c6a.jpg?v=1773150745, friendlyName=Open</x:v>
      </x:c>
      <x:c r="C6089" s="24" t="e">
        <x:f>HYPERLINK("https://365nails.com/products/black-white-happy-star-minimalist-party-nail-art-set","Black White Happy Star – Minimalist Party Nail Art Stickers")</x:f>
        <x:v>HYPERLINK is not implemented. linkLocation=https://365nails.com/products/black-white-happy-star-minimalist-party-nail-art-set, friendlyName=Black White Happy Star – Minimalist Party Nail Art Stickers</x:v>
      </x:c>
      <x:c r="D6089" s="18" t="str">
        <x:v>Specification type: To5219-metal / To5220-metal</x:v>
      </x:c>
      <x:c r="E6089" s="25" t="str">
        <x:v>$1.23</x:v>
      </x:c>
      <x:c r="F6089" s="19" t="str">
        <x:v>5</x:v>
      </x:c>
    </x:row>
    <x:row r="6090" ht="93" customHeight="1">
      <x:c r="A6090" s="19" t="n">
        <x:v>6087</x:v>
      </x:c>
      <x:c r="B6090" s="22" t="e">
        <x:f>HYPERLINK("https://cdn.shopify.com/s/files/1/0918/6066/4603/files/O1CN01WQsMF91HlWpJmRZMQ__2545140798-0-cib_1f7ad3e0-9b7f-45b0-8a44-3e3e5bd0c304.jpg?v=1775831871","Open")</x:f>
        <x:v>HYPERLINK is not implemented. linkLocation=https://cdn.shopify.com/s/files/1/0918/6066/4603/files/O1CN01WQsMF91HlWpJmRZMQ__2545140798-0-cib_1f7ad3e0-9b7f-45b0-8a44-3e3e5bd0c304.jpg?v=1775831871, friendlyName=Open</x:v>
      </x:c>
      <x:c r="C6090" s="24" t="e">
        <x:f>HYPERLINK("https://365nails.com/products/365nails-chinese-dragon-black-ink-calligraphy-handmade-press-on-nails","365nails: ""Chinese Dragon Black Ink Calligraphy"" – Nail Art Stickers")</x:f>
        <x:v>HYPERLINK is not implemented. linkLocation=https://365nails.com/products/365nails-chinese-dragon-black-ink-calligraphy-handmade-press-on-nails, friendlyName=365nails: "Chinese Dragon Black Ink Calligraphy" – Nail Art Stickers</x:v>
      </x:c>
      <x:c r="D6090" s="18" t="str">
        <x:v>Specification type: To1778 / To1779</x:v>
      </x:c>
      <x:c r="E6090" s="25" t="str">
        <x:v>$1.23</x:v>
      </x:c>
      <x:c r="F6090" s="19" t="str">
        <x:v>5</x:v>
      </x:c>
    </x:row>
    <x:row r="6091" ht="93" customHeight="1">
      <x:c r="A6091" s="19" t="n">
        <x:v>6088</x:v>
      </x:c>
      <x:c r="B6091" s="22" t="e">
        <x:f>HYPERLINK("https://cdn.shopify.com/s/files/1/0918/6066/4603/files/O1CN01WjhHcI1HlXApsSI7Z__2545140798-0-cib.jpg?v=1773233697","Open")</x:f>
        <x:v>HYPERLINK is not implemented. linkLocation=https://cdn.shopify.com/s/files/1/0918/6066/4603/files/O1CN01WjhHcI1HlXApsSI7Z__2545140798-0-cib.jpg?v=1773233697, friendlyName=Open</x:v>
      </x:c>
      <x:c r="C6091" s="24" t="e">
        <x:f>HYPERLINK("https://365nails.com/products/unicorn-rainbow-sweet-cute-kawaii-nail-art-set","Unicorn Rainbow Sweet – Cute Kawaii Nail Art Stickers")</x:f>
        <x:v>HYPERLINK is not implemented. linkLocation=https://365nails.com/products/unicorn-rainbow-sweet-cute-kawaii-nail-art-set, friendlyName=Unicorn Rainbow Sweet – Cute Kawaii Nail Art Stickers</x:v>
      </x:c>
      <x:c r="D6091" s="18" t="str">
        <x:v>Specification type: To5545-relief / To5549-relief</x:v>
      </x:c>
      <x:c r="E6091" s="25" t="str">
        <x:v>$1.23</x:v>
      </x:c>
      <x:c r="F6091" s="19" t="str">
        <x:v>1</x:v>
      </x:c>
    </x:row>
    <x:row r="6092" ht="93" customHeight="1">
      <x:c r="A6092" s="19" t="n">
        <x:v>6089</x:v>
      </x:c>
      <x:c r="B6092" s="22" t="e">
        <x:f>HYPERLINK("https://cdn.shopify.com/s/files/1/0918/6066/4603/files/O1CN01RbXEI31HlWjKx4EFW__2545140798-0-cib_5aa15c2e-4a72-4279-8798-37e3a14eff0c.jpg?v=1775811496","Open")</x:f>
        <x:v>HYPERLINK is not implemented. linkLocation=https://cdn.shopify.com/s/files/1/0918/6066/4603/files/O1CN01RbXEI31HlWjKx4EFW__2545140798-0-cib_5aa15c2e-4a72-4279-8798-37e3a14eff0c.jpg?v=1775811496, friendlyName=Open</x:v>
      </x:c>
      <x:c r="C6092" s="24" t="e">
        <x:f>HYPERLINK("https://365nails.com/products/365nails-sunflower-handmade-press-on-nails","365nails: ""Sunflower"" – Nail Art Stickers")</x:f>
        <x:v>HYPERLINK is not implemented. linkLocation=https://365nails.com/products/365nails-sunflower-handmade-press-on-nails, friendlyName=365nails: "Sunflower" – Nail Art Stickers</x:v>
      </x:c>
      <x:c r="D6092" s="18" t="str">
        <x:v>Specification type: To 355 / To 295 / To 005 / To 76 / Pro 35</x:v>
      </x:c>
      <x:c r="E6092" s="25" t="str">
        <x:v>$1.09</x:v>
      </x:c>
      <x:c r="F6092" s="19" t="str">
        <x:v>5</x:v>
      </x:c>
    </x:row>
    <x:row r="6093" ht="93" customHeight="1">
      <x:c r="A6093" s="19" t="n">
        <x:v>6090</x:v>
      </x:c>
      <x:c r="B6093" s="22" t="e">
        <x:f>HYPERLINK("https://cdn.shopify.com/s/files/1/0918/6066/4603/files/O1CN01G8U38k1HlX9GfHZOf__2545140798-0-cib_21ce6603-6db6-453c-9aeb-a757ce2b38c0.jpg?v=1775810272","Open")</x:f>
        <x:v>HYPERLINK is not implemented. linkLocation=https://cdn.shopify.com/s/files/1/0918/6066/4603/files/O1CN01G8U38k1HlX9GfHZOf__2545140798-0-cib_21ce6603-6db6-453c-9aeb-a757ce2b38c0.jpg?v=1775810272, friendlyName=Open</x:v>
      </x:c>
      <x:c r="C6093" s="24" t="e">
        <x:f>HYPERLINK("https://365nails.com/products/365nails-christmas-gingerbread-handmade-press-on-nails","365nails: ""Christmas Gingerbread"" – Nail Art Stickers")</x:f>
        <x:v>HYPERLINK is not implemented. linkLocation=https://365nails.com/products/365nails-christmas-gingerbread-handmade-press-on-nails, friendlyName=365nails: "Christmas Gingerbread" – Nail Art Stickers</x:v>
      </x:c>
      <x:c r="D6093" s="18" t="str">
        <x:v>Specification type: To5311-relief / To5313-silver / To5313-new hot stamping</x:v>
      </x:c>
      <x:c r="E6093" s="25" t="str">
        <x:v>$1.23</x:v>
      </x:c>
      <x:c r="F6093" s="19" t="str">
        <x:v>5</x:v>
      </x:c>
    </x:row>
    <x:row r="6094" ht="93" customHeight="1">
      <x:c r="A6094" s="19" t="n">
        <x:v>6091</x:v>
      </x:c>
      <x:c r="B6094" s="22" t="e">
        <x:f>HYPERLINK("https://cdn.shopify.com/s/files/1/0918/6066/4603/files/O1CN01JLm8VU1HlX8xgDMA5__2545140798-0-cib_161a5bbc-8f11-4701-9ee9-6209f845977e.jpg?v=1775808910","Open")</x:f>
        <x:v>HYPERLINK is not implemented. linkLocation=https://cdn.shopify.com/s/files/1/0918/6066/4603/files/O1CN01JLm8VU1HlX8xgDMA5__2545140798-0-cib_161a5bbc-8f11-4701-9ee9-6209f845977e.jpg?v=1775808910, friendlyName=Open</x:v>
      </x:c>
      <x:c r="C6094" s="24" t="e">
        <x:f>HYPERLINK("https://365nails.com/products/365nails-bread-house-handmade-press-on-nails","365nails: ""Bread House"" – Nail Art Stickers")</x:f>
        <x:v>HYPERLINK is not implemented. linkLocation=https://365nails.com/products/365nails-bread-house-handmade-press-on-nails, friendlyName=365nails: "Bread House" – Nail Art Stickers</x:v>
      </x:c>
      <x:c r="D6094" s="18" t="str">
        <x:v>Specification type: To5282-relief / To5289-jelly</x:v>
      </x:c>
      <x:c r="E6094" s="25" t="str">
        <x:v>$1.23</x:v>
      </x:c>
      <x:c r="F6094" s="19" t="str">
        <x:v>5</x:v>
      </x:c>
    </x:row>
    <x:row r="6095" ht="93" customHeight="1">
      <x:c r="A6095" s="19" t="n">
        <x:v>6092</x:v>
      </x:c>
      <x:c r="B6095" s="22" t="e">
        <x:f>HYPERLINK("https://cdn.shopify.com/s/files/1/0918/6066/4603/files/331fcbcfe5f7b544ee1d04a0a35fc07a.jpg?v=1773234080","Open")</x:f>
        <x:v>HYPERLINK is not implemented. linkLocation=https://cdn.shopify.com/s/files/1/0918/6066/4603/files/331fcbcfe5f7b544ee1d04a0a35fc07a.jpg?v=1773234080, friendlyName=Open</x:v>
      </x:c>
      <x:c r="C6095" s="24" t="e">
        <x:f>HYPERLINK("https://365nails.com/products/shiny-white-stars-minimalist-celestial-nail-art-set","Shiny White Stars – Minimalist Celestial Nail Art Stickers")</x:f>
        <x:v>HYPERLINK is not implemented. linkLocation=https://365nails.com/products/shiny-white-stars-minimalist-celestial-nail-art-set, friendlyName=Shiny White Stars – Minimalist Celestial Nail Art Stickers</x:v>
      </x:c>
      <x:c r="D6095" s="18" t="str">
        <x:v>Specification type: To4742 / To4743</x:v>
      </x:c>
      <x:c r="E6095" s="25" t="str">
        <x:v>$1.09</x:v>
      </x:c>
      <x:c r="F6095" s="19" t="str">
        <x:v>1</x:v>
      </x:c>
    </x:row>
    <x:row r="6096" ht="93" customHeight="1">
      <x:c r="A6096" s="19" t="n">
        <x:v>6093</x:v>
      </x:c>
      <x:c r="B6096" s="22" t="e">
        <x:f>HYPERLINK("https://cdn.shopify.com/s/files/1/0918/6066/4603/files/32736a5f44c98d3acc99fbd9cb1c2819.jpg?v=1773233317","Open")</x:f>
        <x:v>HYPERLINK is not implemented. linkLocation=https://cdn.shopify.com/s/files/1/0918/6066/4603/files/32736a5f44c98d3acc99fbd9cb1c2819.jpg?v=1773233317, friendlyName=Open</x:v>
      </x:c>
      <x:c r="C6096" s="24" t="e">
        <x:f>HYPERLINK("https://365nails.com/products/cute-bear-girl-sweet-kawaii-nail-art-set","Cute Bear Girl – Sweet Kawaii Nail Art Stickers")</x:f>
        <x:v>HYPERLINK is not implemented. linkLocation=https://365nails.com/products/cute-bear-girl-sweet-kawaii-nail-art-set, friendlyName=Cute Bear Girl – Sweet Kawaii Nail Art Stickers</x:v>
      </x:c>
      <x:c r="D6096" s="18" t="str">
        <x:v>Specification type: To4814</x:v>
      </x:c>
      <x:c r="E6096" s="25" t="str">
        <x:v>$1.09</x:v>
      </x:c>
      <x:c r="F6096" s="19" t="str">
        <x:v>1</x:v>
      </x:c>
    </x:row>
    <x:row r="6097" ht="93" customHeight="1">
      <x:c r="A6097" s="19" t="n">
        <x:v>6094</x:v>
      </x:c>
      <x:c r="B6097" s="22" t="e">
        <x:f>HYPERLINK("https://cdn.shopify.com/s/files/1/0918/6066/4603/files/9d56110fe1a66950d8783eb23ec39f33.jpg?v=1773149347","Open")</x:f>
        <x:v>HYPERLINK is not implemented. linkLocation=https://cdn.shopify.com/s/files/1/0918/6066/4603/files/9d56110fe1a66950d8783eb23ec39f33.jpg?v=1773149347, friendlyName=Open</x:v>
      </x:c>
      <x:c r="C6097" s="24" t="e">
        <x:f>HYPERLINK("https://365nails.com/products/hologram-star-cloud-y2k-dreamy-nail-art-set","Hologram Star Cloud – Y2K Dreamy Nail Art Stickers")</x:f>
        <x:v>HYPERLINK is not implemented. linkLocation=https://365nails.com/products/hologram-star-cloud-y2k-dreamy-nail-art-set, friendlyName=Hologram Star Cloud – Y2K Dreamy Nail Art Stickers</x:v>
      </x:c>
      <x:c r="D6097" s="18" t="str">
        <x:v>Specification type: To5561-shell light / To5625-shell light / To5634-new hot stamping / To5634-silver</x:v>
      </x:c>
      <x:c r="E6097" s="25" t="str">
        <x:v>$1.23</x:v>
      </x:c>
      <x:c r="F6097" s="19" t="str">
        <x:v>1</x:v>
      </x:c>
    </x:row>
    <x:row r="6098" ht="93" customHeight="1">
      <x:c r="A6098" s="19" t="n">
        <x:v>6095</x:v>
      </x:c>
      <x:c r="B6098" s="22" t="e">
        <x:f>HYPERLINK("https://cdn.shopify.com/s/files/1/0918/6066/4603/files/O1CN01lcNrqr1HlX8IBwri5__2545140798-0-cib.jpg?v=1773555616","Open")</x:f>
        <x:v>HYPERLINK is not implemented. linkLocation=https://cdn.shopify.com/s/files/1/0918/6066/4603/files/O1CN01lcNrqr1HlX8IBwri5__2545140798-0-cib.jpg?v=1773555616, friendlyName=Open</x:v>
      </x:c>
      <x:c r="C6098" s="24" t="e">
        <x:f>HYPERLINK("https://365nails.com/products/spooky-halloween-pink-cat-halloween-3d-embossed-nail-sticker","Spooky Halloween: ""Pink Cat Halloween"" – 3D Embossed Nail Sticker")</x:f>
        <x:v>HYPERLINK is not implemented. linkLocation=https://365nails.com/products/spooky-halloween-pink-cat-halloween-3d-embossed-nail-sticker, friendlyName=Spooky Halloween: "Pink Cat Halloween" – 3D Embossed Nail Sticker</x:v>
      </x:c>
      <x:c r="D6098" s="18" t="str">
        <x:v>Specification type: To5205-relief / To5206-relief</x:v>
      </x:c>
      <x:c r="E6098" s="25" t="str">
        <x:v>$1.23</x:v>
      </x:c>
      <x:c r="F6098" s="19" t="str">
        <x:v>5</x:v>
      </x:c>
    </x:row>
    <x:row r="6099" ht="93" customHeight="1">
      <x:c r="A6099" s="19" t="n">
        <x:v>6096</x:v>
      </x:c>
      <x:c r="B6099" s="22" t="e">
        <x:f>HYPERLINK("https://cdn.shopify.com/s/files/1/0918/6066/4603/files/O1CN01LK5CZ91HlX9QuoriR__2545140798-0-cib_4c949f39-a13e-4d0e-98a8-821b7953983c.jpg?v=1775809405","Open")</x:f>
        <x:v>HYPERLINK is not implemented. linkLocation=https://cdn.shopify.com/s/files/1/0918/6066/4603/files/O1CN01LK5CZ91HlX9QuoriR__2545140798-0-cib_4c949f39-a13e-4d0e-98a8-821b7953983c.jpg?v=1775809405, friendlyName=Open</x:v>
      </x:c>
      <x:c r="C6099" s="24" t="e">
        <x:f>HYPERLINK("https://365nails.com/products/365nails-christmas-teddy-bear-handmade-press-on-nails","365nails: ""Christmas Teddy Bear"" – Nail Art Stickers")</x:f>
        <x:v>HYPERLINK is not implemented. linkLocation=https://365nails.com/products/365nails-christmas-teddy-bear-handmade-press-on-nails, friendlyName=365nails: "Christmas Teddy Bear" – Nail Art Stickers</x:v>
      </x:c>
      <x:c r="D6099" s="18" t="str">
        <x:v>Specification type: To5334-relief / To5345-relief</x:v>
      </x:c>
      <x:c r="E6099" s="25" t="str">
        <x:v>$1.23</x:v>
      </x:c>
      <x:c r="F6099" s="19" t="str">
        <x:v>5</x:v>
      </x:c>
    </x:row>
    <x:row r="6100" ht="93" customHeight="1">
      <x:c r="A6100" s="19" t="n">
        <x:v>6097</x:v>
      </x:c>
      <x:c r="B6100" s="22" t="e">
        <x:f>HYPERLINK("https://cdn.shopify.com/s/files/1/0918/6066/4603/files/O1CN015INXaK1HlX8fceYh1__2545140798-0-cib_03db19a4-9a9c-4c33-b494-557942bad5a2.jpg?v=1775807101","Open")</x:f>
        <x:v>HYPERLINK is not implemented. linkLocation=https://cdn.shopify.com/s/files/1/0918/6066/4603/files/O1CN015INXaK1HlX8fceYh1__2545140798-0-cib_03db19a4-9a9c-4c33-b494-557942bad5a2.jpg?v=1775807101, friendlyName=Open</x:v>
      </x:c>
      <x:c r="C6100" s="24" t="e">
        <x:f>HYPERLINK("https://365nails.com/products/365nails-holographic-crystal-christmas-handmade-press-on-nails","365nails: ""Holographic Crystal Christmas"" – Nail Art Stickers")</x:f>
        <x:v>HYPERLINK is not implemented. linkLocation=https://365nails.com/products/365nails-holographic-crystal-christmas-handmade-press-on-nails, friendlyName=365nails: "Holographic Crystal Christmas" – Nail Art Stickers</x:v>
      </x:c>
      <x:c r="D6100" s="18" t="str">
        <x:v>Specification type: To5256-crystal diamond</x:v>
      </x:c>
      <x:c r="E6100" s="25" t="str">
        <x:v>$1.30</x:v>
      </x:c>
      <x:c r="F6100" s="19" t="str">
        <x:v>5</x:v>
      </x:c>
    </x:row>
    <x:row r="6101" ht="93" customHeight="1">
      <x:c r="A6101" s="19" t="n">
        <x:v>6098</x:v>
      </x:c>
      <x:c r="B6101" s="22" t="e">
        <x:f>HYPERLINK("https://cdn.shopify.com/s/files/1/0918/6066/4603/files/O1CN01ZXOgkO1HlWx39w5FK__2545140798-0-cib_075f839a-7167-40bb-8988-00294ed8c65e.jpg?v=1775805239","Open")</x:f>
        <x:v>HYPERLINK is not implemented. linkLocation=https://cdn.shopify.com/s/files/1/0918/6066/4603/files/O1CN01ZXOgkO1HlWx39w5FK__2545140798-0-cib_075f839a-7167-40bb-8988-00294ed8c65e.jpg?v=1775805239, friendlyName=Open</x:v>
      </x:c>
      <x:c r="C6101" s="24" t="e">
        <x:f>HYPERLINK("https://365nails.com/products/365nails-embossed-christmas-snowflake-handmade-press-on-nails","365nails: ""Embossed Christmas Snowflake"" – Nail Art Stickers")</x:f>
        <x:v>HYPERLINK is not implemented. linkLocation=https://365nails.com/products/365nails-embossed-christmas-snowflake-handmade-press-on-nails, friendlyName=365nails: "Embossed Christmas Snowflake" – Nail Art Stickers</x:v>
      </x:c>
      <x:c r="D6101" s="18" t="str">
        <x:v>Specification type: Ms464-relief</x:v>
      </x:c>
      <x:c r="E6101" s="25" t="str">
        <x:v>$1.23</x:v>
      </x:c>
      <x:c r="F6101" s="19" t="str">
        <x:v>5</x:v>
      </x:c>
    </x:row>
    <x:row r="6102" ht="93" customHeight="1">
      <x:c r="A6102" s="19" t="n">
        <x:v>6099</x:v>
      </x:c>
      <x:c r="B6102" s="22" t="e">
        <x:f>HYPERLINK("https://cdn.shopify.com/s/files/1/0918/6066/4603/files/O1CN01j0LOiW1HlX8PZh2oI__2545140798-0-cib.jpg?v=1773555307","Open")</x:f>
        <x:v>HYPERLINK is not implemented. linkLocation=https://cdn.shopify.com/s/files/1/0918/6066/4603/files/O1CN01j0LOiW1HlX8PZh2oI__2545140798-0-cib.jpg?v=1773555307, friendlyName=Open</x:v>
      </x:c>
      <x:c r="C6102" s="24" t="e">
        <x:f>HYPERLINK("https://365nails.com/products/wild-animal-print-safari-star-3d-embossed-nail-sticker","Wild Animal Print: ""Safari Star"" – 3D Embossed Nail Sticker")</x:f>
        <x:v>HYPERLINK is not implemented. linkLocation=https://365nails.com/products/wild-animal-print-safari-star-3d-embossed-nail-sticker, friendlyName=Wild Animal Print: "Safari Star" – 3D Embossed Nail Sticker</x:v>
      </x:c>
      <x:c r="D6102" s="18" t="str">
        <x:v>Specification type: To5213 / To5214 / To5215</x:v>
      </x:c>
      <x:c r="E6102" s="25" t="str">
        <x:v>$1.09</x:v>
      </x:c>
      <x:c r="F6102" s="19" t="str">
        <x:v>5</x:v>
      </x:c>
    </x:row>
    <x:row r="6103" ht="93" customHeight="1">
      <x:c r="A6103" s="19" t="n">
        <x:v>6100</x:v>
      </x:c>
      <x:c r="B6103" s="22" t="e">
        <x:f>HYPERLINK("https://cdn.shopify.com/s/files/1/0918/6066/4603/files/O1CN01QFlOD91HlX2DutYGs__2545140798-0-cib_e5cc215c-ab6e-4a1b-bcb0-ec82f6ed6185.jpg?v=1775810129","Open")</x:f>
        <x:v>HYPERLINK is not implemented. linkLocation=https://cdn.shopify.com/s/files/1/0918/6066/4603/files/O1CN01QFlOD91HlX2DutYGs__2545140798-0-cib_e5cc215c-ab6e-4a1b-bcb0-ec82f6ed6185.jpg?v=1775810129, friendlyName=Open</x:v>
      </x:c>
      <x:c r="C6103" s="24" t="e">
        <x:f>HYPERLINK("https://365nails.com/products/365nails-sweet-bunny-rose-handmade-press-on-nails","365nails: ""Sweet Bunny &amp; Rose"" – Nail Art Stickers")</x:f>
        <x:v>HYPERLINK is not implemented. linkLocation=https://365nails.com/products/365nails-sweet-bunny-rose-handmade-press-on-nails, friendlyName=365nails: "Sweet Bunny &amp; Rose" – Nail Art Stickers</x:v>
      </x:c>
      <x:c r="D6103" s="18" t="str">
        <x:v>Specification type: To3939-relief</x:v>
      </x:c>
      <x:c r="E6103" s="25" t="str">
        <x:v>$1.23</x:v>
      </x:c>
      <x:c r="F6103" s="19" t="str">
        <x:v>5</x:v>
      </x:c>
    </x:row>
    <x:row r="6104" ht="93" customHeight="1">
      <x:c r="A6104" s="19" t="n">
        <x:v>6101</x:v>
      </x:c>
      <x:c r="B6104" s="22" t="e">
        <x:f>HYPERLINK("https://cdn.shopify.com/s/files/1/0918/6066/4603/files/O1CN01gCJI7b1HlWwsEJeDJ__2545140798-0-cib_274ea909-cfe7-4754-956d-32dcb54fc536.jpg?v=1775809235","Open")</x:f>
        <x:v>HYPERLINK is not implemented. linkLocation=https://cdn.shopify.com/s/files/1/0918/6066/4603/files/O1CN01gCJI7b1HlWwsEJeDJ__2545140798-0-cib_274ea909-cfe7-4754-956d-32dcb54fc536.jpg?v=1775809235, friendlyName=Open</x:v>
      </x:c>
      <x:c r="C6104" s="24" t="e">
        <x:f>HYPERLINK("https://365nails.com/products/365nails-y2k-bunny-bear-handmade-press-on-nails","365nails: ""Y2K Bunny &amp; Bear"" – Nail Art Stickers")</x:f>
        <x:v>HYPERLINK is not implemented. linkLocation=https://365nails.com/products/365nails-y2k-bunny-bear-handmade-press-on-nails, friendlyName=365nails: "Y2K Bunny &amp; Bear" – Nail Art Stickers</x:v>
      </x:c>
      <x:c r="D6104" s="18" t="str">
        <x:v>Specification type: To3406 / To3421</x:v>
      </x:c>
      <x:c r="E6104" s="25" t="str">
        <x:v>$1.09</x:v>
      </x:c>
      <x:c r="F6104" s="19" t="str">
        <x:v>5</x:v>
      </x:c>
    </x:row>
    <x:row r="6105" ht="93" customHeight="1">
      <x:c r="A6105" s="19" t="n">
        <x:v>6102</x:v>
      </x:c>
      <x:c r="B6105" s="22" t="e">
        <x:f>HYPERLINK("https://cdn.shopify.com/s/files/1/0918/6066/4603/files/O1CN01Iut3KM1HlWnbsPs0q__2545140798-0-cib_a202fbad-de85-44ac-8f9f-716eb115ed82.jpg?v=1775830755","Open")</x:f>
        <x:v>HYPERLINK is not implemented. linkLocation=https://cdn.shopify.com/s/files/1/0918/6066/4603/files/O1CN01Iut3KM1HlWnbsPs0q__2545140798-0-cib_a202fbad-de85-44ac-8f9f-716eb115ed82.jpg?v=1775830755, friendlyName=Open</x:v>
      </x:c>
      <x:c r="C6105" s="24" t="e">
        <x:f>HYPERLINK("https://365nails.com/products/365nails-watercolor-pink-rose-flower-love-letter-embossed-handmade-press-on-nails","365nails: ""Watercolor Pink Rose Flower Love Letter Embossed"" – Nail Art Stickers")</x:f>
        <x:v>HYPERLINK is not implemented. linkLocation=https://365nails.com/products/365nails-watercolor-pink-rose-flower-love-letter-embossed-handmade-press-on-nails, friendlyName=365nails: "Watercolor Pink Rose Flower Love Letter Embossed" – Nail Art Stickers</x:v>
      </x:c>
      <x:c r="D6105" s="18" t="str">
        <x:v>Specification type: Ms 195 / Ms 196</x:v>
      </x:c>
      <x:c r="E6105" s="25" t="str">
        <x:v>$1.23</x:v>
      </x:c>
      <x:c r="F6105" s="19" t="str">
        <x:v>5</x:v>
      </x:c>
    </x:row>
    <x:row r="6106" ht="93" customHeight="1">
      <x:c r="A6106" s="19" t="n">
        <x:v>6103</x:v>
      </x:c>
      <x:c r="B6106" s="22" t="e">
        <x:f>HYPERLINK("https://cdn.shopify.com/s/files/1/0918/6066/4603/files/1e097fb35b875f4bd4d7d41cbb2647dc.jpg?v=1781013204","Open")</x:f>
        <x:v>HYPERLINK is not implemented. linkLocation=https://cdn.shopify.com/s/files/1/0918/6066/4603/files/1e097fb35b875f4bd4d7d41cbb2647dc.jpg?v=1781013204, friendlyName=Open</x:v>
      </x:c>
      <x:c r="C6106" s="24" t="e">
        <x:f>HYPERLINK("https://365nails.com/products/365nails-milky-white-rainbow-star-glitter-jelly-confetti-sequin-handmade-long-almond-nails","365nails: ""Milky White Rainbow Star Glitter Jelly"" – Confetti Sequin Handmade Long Almond Nails")</x:f>
        <x:v>HYPERLINK is not implemented. linkLocation=https://365nails.com/products/365nails-milky-white-rainbow-star-glitter-jelly-confetti-sequin-handmade-long-almond-nails, friendlyName=365nails: "Milky White Rainbow Star Glitter Jelly" – Confetti Sequin Handmade Long Almond Nails</x:v>
      </x:c>
      <x:c r="D6106" s="18" t="str">
        <x:v>Size: XS / S / M / L</x:v>
      </x:c>
      <x:c r="E6106" s="25" t="str">
        <x:v>$4.99</x:v>
      </x:c>
      <x:c r="F6106" s="19" t="str">
        <x:v>3</x:v>
      </x:c>
    </x:row>
    <x:row r="6107" ht="93" customHeight="1">
      <x:c r="A6107" s="19" t="n">
        <x:v>6104</x:v>
      </x:c>
      <x:c r="B6107" s="22" t="e">
        <x:f>HYPERLINK("https://cdn.shopify.com/s/files/1/0918/6066/4603/files/O1CN01wvNRSR1HlX0uHzAKY__2545140798-0-cib_5a067c8a-7c0d-49db-b350-331e4e13795f.jpg?v=1775806302","Open")</x:f>
        <x:v>HYPERLINK is not implemented. linkLocation=https://cdn.shopify.com/s/files/1/0918/6066/4603/files/O1CN01wvNRSR1HlX0uHzAKY__2545140798-0-cib_5a067c8a-7c0d-49db-b350-331e4e13795f.jpg?v=1775806302, friendlyName=Open</x:v>
      </x:c>
      <x:c r="C6107" s="24" t="e">
        <x:f>HYPERLINK("https://365nails.com/products/365nails-holographic-cute-rabbit-outline-handmade-press-on-nails","365nails: ""Holographic Cute Rabbit Outline"" – Nail Art Stickers")</x:f>
        <x:v>HYPERLINK is not implemented. linkLocation=https://365nails.com/products/365nails-holographic-cute-rabbit-outline-handmade-press-on-nails, friendlyName=365nails: "Holographic Cute Rabbit Outline" – Nail Art Stickers</x:v>
      </x:c>
      <x:c r="D6107" s="18" t="str">
        <x:v>Specification type: Ta330-relief / Ta331-relief</x:v>
      </x:c>
      <x:c r="E6107" s="25" t="str">
        <x:v>$1.23</x:v>
      </x:c>
      <x:c r="F6107" s="19" t="str">
        <x:v>5</x:v>
      </x:c>
    </x:row>
    <x:row r="6108" ht="93" customHeight="1">
      <x:c r="A6108" s="19" t="n">
        <x:v>6105</x:v>
      </x:c>
      <x:c r="B6108" s="22" t="e">
        <x:f>HYPERLINK("https://cdn.shopify.com/s/files/1/0918/6066/4603/files/O1CN01mpbxh11HlWqUlZG39__2545140798-0-cib.jpg?v=1773555736","Open")</x:f>
        <x:v>HYPERLINK is not implemented. linkLocation=https://cdn.shopify.com/s/files/1/0918/6066/4603/files/O1CN01mpbxh11HlWqUlZG39__2545140798-0-cib.jpg?v=1773555736, friendlyName=Open</x:v>
      </x:c>
      <x:c r="C6108" s="24" t="e">
        <x:f>HYPERLINK("https://365nails.com/products/elegant-feather-white-feather-emboss-3d-embossed-nail-sticker","Elegant Feather: ""White Feather Emboss"" – 3D Embossed Nail Sticker")</x:f>
        <x:v>HYPERLINK is not implemented. linkLocation=https://365nails.com/products/elegant-feather-white-feather-emboss-3d-embossed-nail-sticker, friendlyName=Elegant Feather: "White Feather Emboss" – 3D Embossed Nail Sticker</x:v>
      </x:c>
      <x:c r="D6108" s="18" t="str">
        <x:v>Specification type: To2358 / To2360 / To2361</x:v>
      </x:c>
      <x:c r="E6108" s="25" t="str">
        <x:v>$1.09</x:v>
      </x:c>
      <x:c r="F6108" s="19" t="str">
        <x:v>5</x:v>
      </x:c>
    </x:row>
    <x:row r="6109" ht="93" customHeight="1">
      <x:c r="A6109" s="19" t="n">
        <x:v>6106</x:v>
      </x:c>
      <x:c r="B6109" s="22" t="e">
        <x:f>HYPERLINK("https://cdn.shopify.com/s/files/1/0918/6066/4603/files/6014ede2de129c718946b01d372f47c6.jpg?v=1773320643","Open")</x:f>
        <x:v>HYPERLINK is not implemented. linkLocation=https://cdn.shopify.com/s/files/1/0918/6066/4603/files/6014ede2de129c718946b01d372f47c6.jpg?v=1773320643, friendlyName=Open</x:v>
      </x:c>
      <x:c r="C6109" s="24" t="e">
        <x:f>HYPERLINK("https://365nails.com/products/mini-red-bow-sweet-coquette-nail-art-set","Mini Red Bow – Sweet Coquette Nail Art Set")</x:f>
        <x:v>HYPERLINK is not implemented. linkLocation=https://365nails.com/products/mini-red-bow-sweet-coquette-nail-art-set, friendlyName=Mini Red Bow – Sweet Coquette Nail Art Set</x:v>
      </x:c>
      <x:c r="D6109" s="18" t="str">
        <x:v>Specification type: Ta299-crystal diamond / Ta300-crystal diamond / Ta303-crystal diamond</x:v>
      </x:c>
      <x:c r="E6109" s="25" t="str">
        <x:v>$1.30</x:v>
      </x:c>
      <x:c r="F6109" s="19" t="str">
        <x:v>1</x:v>
      </x:c>
    </x:row>
    <x:row r="6110" ht="93" customHeight="1">
      <x:c r="A6110" s="19" t="n">
        <x:v>6107</x:v>
      </x:c>
      <x:c r="B6110" s="22" t="e">
        <x:f>HYPERLINK("https://cdn.shopify.com/s/files/1/0918/6066/4603/files/O1CN01n6qSXI1HlWzZSERCM__2545140798-0-cib_22b1fbef-74dc-4e69-823a-693b43c82a24.jpg?v=1775808640","Open")</x:f>
        <x:v>HYPERLINK is not implemented. linkLocation=https://cdn.shopify.com/s/files/1/0918/6066/4603/files/O1CN01n6qSXI1HlWzZSERCM__2545140798-0-cib_22b1fbef-74dc-4e69-823a-693b43c82a24.jpg?v=1775808640, friendlyName=Open</x:v>
      </x:c>
      <x:c r="C6110" s="24" t="e">
        <x:f>HYPERLINK("https://365nails.com/products/365nails-cute-girl-puppy-reading-time-handmade-press-on-nails","365nails: ""Cute Girl &amp; Puppy Reading Time"" – Nail Art Stickers")</x:f>
        <x:v>HYPERLINK is not implemented. linkLocation=https://365nails.com/products/365nails-cute-girl-puppy-reading-time-handmade-press-on-nails, friendlyName=365nails: "Cute Girl &amp; Puppy Reading Time" – Nail Art Stickers</x:v>
      </x:c>
      <x:c r="D6110" s="18" t="str">
        <x:v>Specification type: Mc06s / Mc10s</x:v>
      </x:c>
      <x:c r="E6110" s="25" t="str">
        <x:v>$1.16</x:v>
      </x:c>
      <x:c r="F6110" s="19" t="str">
        <x:v>5</x:v>
      </x:c>
    </x:row>
    <x:row r="6111" ht="93" customHeight="1">
      <x:c r="A6111" s="19" t="n">
        <x:v>6108</x:v>
      </x:c>
      <x:c r="B6111" s="22" t="e">
        <x:f>HYPERLINK("https://cdn.shopify.com/s/files/1/0918/6066/4603/files/O1CN01VCnsRK1HlX4W3k2wf__2545140798-0-cib.jpg?v=1773556328","Open")</x:f>
        <x:v>HYPERLINK is not implemented. linkLocation=https://cdn.shopify.com/s/files/1/0918/6066/4603/files/O1CN01VCnsRK1HlX4W3k2wf__2545140798-0-cib.jpg?v=1773556328, friendlyName=Open</x:v>
      </x:c>
      <x:c r="C6111" s="24" t="e">
        <x:f>HYPERLINK("https://365nails.com/products/hello-kitty-winter-snowy-pink-3d-embossed-nail-sticker","Hello Kitty Winter: ""Snowy Pink"" – 3D Embossed Nail Sticker")</x:f>
        <x:v>HYPERLINK is not implemented. linkLocation=https://365nails.com/products/hello-kitty-winter-snowy-pink-3d-embossed-nail-sticker, friendlyName=Hello Kitty Winter: "Snowy Pink" – 3D Embossed Nail Sticker</x:v>
      </x:c>
      <x:c r="D6111" s="18" t="str">
        <x:v>Specification type: San080</x:v>
      </x:c>
      <x:c r="E6111" s="25" t="str">
        <x:v>$1.16</x:v>
      </x:c>
      <x:c r="F6111" s="19" t="str">
        <x:v>5</x:v>
      </x:c>
    </x:row>
    <x:row r="6112" ht="93" customHeight="1">
      <x:c r="A6112" s="19" t="n">
        <x:v>6109</x:v>
      </x:c>
      <x:c r="B6112" s="22" t="e">
        <x:f>HYPERLINK("https://cdn.shopify.com/s/files/1/0918/6066/4603/files/O1CN017EnSRb1HlX5PVO7iG__2545140798-0-cib.jpg?v=1773555994","Open")</x:f>
        <x:v>HYPERLINK is not implemented. linkLocation=https://cdn.shopify.com/s/files/1/0918/6066/4603/files/O1CN017EnSRb1HlX5PVO7iG__2545140798-0-cib.jpg?v=1773555994, friendlyName=Open</x:v>
      </x:c>
      <x:c r="C6112" s="24" t="e">
        <x:f>HYPERLINK("https://365nails.com/products/baroque-crystal-white-crystal-emboss-3d-embossed-nail-sticker","Baroque Crystal: ""White Crystal Emboss"" – 3D Embossed Nail Sticker")</x:f>
        <x:v>HYPERLINK is not implemented. linkLocation=https://365nails.com/products/baroque-crystal-white-crystal-emboss-3d-embossed-nail-sticker, friendlyName=Baroque Crystal: "White Crystal Emboss" – 3D Embossed Nail Sticker</x:v>
      </x:c>
      <x:c r="D6112" s="18" t="str">
        <x:v>Specification type: To4558-crystal diamond</x:v>
      </x:c>
      <x:c r="E6112" s="25" t="str">
        <x:v>$1.30</x:v>
      </x:c>
      <x:c r="F6112" s="19" t="str">
        <x:v>5</x:v>
      </x:c>
    </x:row>
    <x:row r="6113" ht="93" customHeight="1">
      <x:c r="A6113" s="19" t="n">
        <x:v>6110</x:v>
      </x:c>
      <x:c r="B6113" s="22" t="e">
        <x:f>HYPERLINK("https://cdn.shopify.com/s/files/1/0918/6066/4603/files/O1CN01Q1qdpp1HlWsggHslV__2545140798-0-cib.jpg?v=1775832891","Open")</x:f>
        <x:v>HYPERLINK is not implemented. linkLocation=https://cdn.shopify.com/s/files/1/0918/6066/4603/files/O1CN01Q1qdpp1HlWsggHslV__2545140798-0-cib.jpg?v=1775832891, friendlyName=Open</x:v>
      </x:c>
      <x:c r="C6113" s="24" t="e">
        <x:f>HYPERLINK("https://365nails.com/products/365nails-sweet-strawberry-gingham-bow-handmade-press-on-nails","365nails: ""Sweet Strawberry Gingham Bow"" –Nail Art Stickers")</x:f>
        <x:v>HYPERLINK is not implemented. linkLocation=https://365nails.com/products/365nails-sweet-strawberry-gingham-bow-handmade-press-on-nails, friendlyName=365nails: "Sweet Strawberry Gingham Bow" –Nail Art Stickers</x:v>
      </x:c>
      <x:c r="D6113" s="18" t="str">
        <x:v>Specification type: To2275 / To2300</x:v>
      </x:c>
      <x:c r="E6113" s="25" t="str">
        <x:v>$1.23</x:v>
      </x:c>
      <x:c r="F6113" s="19" t="str">
        <x:v>5</x:v>
      </x:c>
    </x:row>
    <x:row r="6114" ht="93" customHeight="1">
      <x:c r="A6114" s="19" t="n">
        <x:v>6111</x:v>
      </x:c>
      <x:c r="B6114" s="22" t="e">
        <x:f>HYPERLINK("https://cdn.shopify.com/s/files/1/0918/6066/4603/files/O1CN01WjYpiq1HlWpRP2Hvk__2545140798-0-cib_849a64a5-dd30-4994-abe2-1c47ef6b451b.jpg?v=1775832106","Open")</x:f>
        <x:v>HYPERLINK is not implemented. linkLocation=https://cdn.shopify.com/s/files/1/0918/6066/4603/files/O1CN01WjYpiq1HlWpRP2Hvk__2545140798-0-cib_849a64a5-dd30-4994-abe2-1c47ef6b451b.jpg?v=1775832106, friendlyName=Open</x:v>
      </x:c>
      <x:c r="C6114" s="24" t="e">
        <x:f>HYPERLINK("https://365nails.com/products/365nails-renaissance-art-portrait-angel-handmade-press-on-nails","365nails: ""Renaissance Art Portrait Angel"" – Nail Art Stickers")</x:f>
        <x:v>HYPERLINK is not implemented. linkLocation=https://365nails.com/products/365nails-renaissance-art-portrait-angel-handmade-press-on-nails, friendlyName=365nails: "Renaissance Art Portrait Angel" – Nail Art Stickers</x:v>
      </x:c>
      <x:c r="D6114" s="18" t="str">
        <x:v>Specification type: To933 / To934 / To2030</x:v>
      </x:c>
      <x:c r="E6114" s="25" t="str">
        <x:v>$1.09</x:v>
      </x:c>
      <x:c r="F6114" s="19" t="str">
        <x:v>5</x:v>
      </x:c>
    </x:row>
    <x:row r="6115" ht="93" customHeight="1">
      <x:c r="A6115" s="19" t="n">
        <x:v>6112</x:v>
      </x:c>
      <x:c r="B6115" s="22" t="e">
        <x:f>HYPERLINK("https://cdn.shopify.com/s/files/1/0918/6066/4603/files/O1CN01EJb1RK1HlX72yQrTS__2545140798-0-cib.jpg?v=1773150588","Open")</x:f>
        <x:v>HYPERLINK is not implemented. linkLocation=https://cdn.shopify.com/s/files/1/0918/6066/4603/files/O1CN01EJb1RK1HlX72yQrTS__2545140798-0-cib.jpg?v=1773150588, friendlyName=Open</x:v>
      </x:c>
      <x:c r="C6115" s="24" t="e">
        <x:f>HYPERLINK("https://365nails.com/products/starry-heart-sparkle-y2k-dreamy-nail-art-set","Starry Heart Sparkle – Y2K Dreamy Nail Art Stickers")</x:f>
        <x:v>HYPERLINK is not implemented. linkLocation=https://365nails.com/products/starry-heart-sparkle-y2k-dreamy-nail-art-set, friendlyName=Starry Heart Sparkle – Y2K Dreamy Nail Art Stickers</x:v>
      </x:c>
      <x:c r="D6115" s="18" t="str">
        <x:v>Specification type: To5105-metal</x:v>
      </x:c>
      <x:c r="E6115" s="25" t="str">
        <x:v>$1.23</x:v>
      </x:c>
      <x:c r="F6115" s="19" t="str">
        <x:v>5</x:v>
      </x:c>
    </x:row>
    <x:row r="6116" ht="93" customHeight="1">
      <x:c r="A6116" s="19" t="n">
        <x:v>6113</x:v>
      </x:c>
      <x:c r="B6116" s="22" t="e">
        <x:f>HYPERLINK("https://cdn.shopify.com/s/files/1/0918/6066/4603/files/O1CN01MC9yZq1HlX8HdS9Pd__2545140798-0-cib.jpg?v=1773557789","Open")</x:f>
        <x:v>HYPERLINK is not implemented. linkLocation=https://cdn.shopify.com/s/files/1/0918/6066/4603/files/O1CN01MC9yZq1HlX8HdS9Pd__2545140798-0-cib.jpg?v=1773557789, friendlyName=Open</x:v>
      </x:c>
      <x:c r="C6116" s="24" t="e">
        <x:f>HYPERLINK("https://365nails.com/products/autumn-harvest-hello-autumn-3d-embossed-nail-sticker","Autumn Harvest: ""Hello Autumn"" – 3D Embossed Nail Sticker")</x:f>
        <x:v>HYPERLINK is not implemented. linkLocation=https://365nails.com/products/autumn-harvest-hello-autumn-3d-embossed-nail-sticker, friendlyName=Autumn Harvest: "Hello Autumn" – 3D Embossed Nail Sticker</x:v>
      </x:c>
      <x:c r="D6116" s="18" t="str">
        <x:v>Specification type: To5195-relief / To5198-relief / To5199-relief</x:v>
      </x:c>
      <x:c r="E6116" s="25" t="str">
        <x:v>$1.23</x:v>
      </x:c>
      <x:c r="F6116" s="19" t="str">
        <x:v>5</x:v>
      </x:c>
    </x:row>
    <x:row r="6117" ht="93" customHeight="1">
      <x:c r="A6117" s="19" t="n">
        <x:v>6114</x:v>
      </x:c>
      <x:c r="B6117" s="22" t="e">
        <x:f>HYPERLINK("https://cdn.shopify.com/s/files/1/0918/6066/4603/files/afb23ae911eeade39ec086e69d9911e0.jpg?v=1773148779","Open")</x:f>
        <x:v>HYPERLINK is not implemented. linkLocation=https://cdn.shopify.com/s/files/1/0918/6066/4603/files/afb23ae911eeade39ec086e69d9911e0.jpg?v=1773148779, friendlyName=Open</x:v>
      </x:c>
      <x:c r="C6117" s="24" t="e">
        <x:f>HYPERLINK("https://365nails.com/products/3d-cake-party-sweet-dessert-nail-art-set","3D Cake Party – Sweet Dessert Nail Art Stickers")</x:f>
        <x:v>HYPERLINK is not implemented. linkLocation=https://365nails.com/products/3d-cake-party-sweet-dessert-nail-art-set, friendlyName=3D Cake Party – Sweet Dessert Nail Art Stickers</x:v>
      </x:c>
      <x:c r="D6117" s="18" t="str">
        <x:v>Specification type: To5154-relief / To5155-relief / To5156-relief</x:v>
      </x:c>
      <x:c r="E6117" s="25" t="str">
        <x:v>$1.23</x:v>
      </x:c>
      <x:c r="F6117" s="19" t="str">
        <x:v>5</x:v>
      </x:c>
    </x:row>
    <x:row r="6118" ht="93" customHeight="1">
      <x:c r="A6118" s="19" t="n">
        <x:v>6115</x:v>
      </x:c>
      <x:c r="B6118" s="22" t="e">
        <x:f>HYPERLINK("https://cdn.shopify.com/s/files/1/0918/6066/4603/files/O1CN01W8AEOi1HlWrx5IQKc__2545140798-0-cib_8440664e-2f52-4770-aec0-1570abd6342f.jpg?v=1775832773","Open")</x:f>
        <x:v>HYPERLINK is not implemented. linkLocation=https://cdn.shopify.com/s/files/1/0918/6066/4603/files/O1CN01W8AEOi1HlWrx5IQKc__2545140798-0-cib_8440664e-2f52-4770-aec0-1570abd6342f.jpg?v=1775832773, friendlyName=Open</x:v>
      </x:c>
      <x:c r="C6118" s="24" t="e">
        <x:f>HYPERLINK("https://365nails.com/products/365nails-cute-rabbit-strawberry-mushroom-handmade-press-on-nails","365nails: ""Cute Rabbit Strawberry Mushroom"" –Nail Art Stickers")</x:f>
        <x:v>HYPERLINK is not implemented. linkLocation=https://365nails.com/products/365nails-cute-rabbit-strawberry-mushroom-handmade-press-on-nails, friendlyName=365nails: "Cute Rabbit Strawberry Mushroom" –Nail Art Stickers</x:v>
      </x:c>
      <x:c r="D6118" s="18" t="str">
        <x:v>Specification type: To2676 / To2678 / To2698 / To2704 / To2710 / To2714</x:v>
      </x:c>
      <x:c r="E6118" s="25" t="str">
        <x:v>$1.09</x:v>
      </x:c>
      <x:c r="F6118" s="19" t="str">
        <x:v>5</x:v>
      </x:c>
    </x:row>
    <x:row r="6119" ht="93" customHeight="1">
      <x:c r="A6119" s="19" t="n">
        <x:v>6116</x:v>
      </x:c>
      <x:c r="B6119" s="22" t="e">
        <x:f>HYPERLINK("https://cdn.shopify.com/s/files/1/0918/6066/4603/files/O1CN01cMskEY1HlX4ks2BzD__2545140798-0-cib_99720a0d-3973-44af-8ebb-894baa791c61.jpg?v=1775806722","Open")</x:f>
        <x:v>HYPERLINK is not implemented. linkLocation=https://cdn.shopify.com/s/files/1/0918/6066/4603/files/O1CN01cMskEY1HlX4ks2BzD__2545140798-0-cib_99720a0d-3973-44af-8ebb-894baa791c61.jpg?v=1775806722, friendlyName=Open</x:v>
      </x:c>
      <x:c r="C6119" s="24" t="e">
        <x:f>HYPERLINK("https://365nails.com/products/365nails-chinese-lucky-wealth-calligraphy-handmade-press-on-nails","365nails: ""Chinese Lucky Wealth Calligraphy"" – Nail Art Stickers")</x:f>
        <x:v>HYPERLINK is not implemented. linkLocation=https://365nails.com/products/365nails-chinese-lucky-wealth-calligraphy-handmade-press-on-nails, friendlyName=365nails: "Chinese Lucky Wealth Calligraphy" – Nail Art Stickers</x:v>
      </x:c>
      <x:c r="D6119" s="18" t="str">
        <x:v>Specification type: To4741-new hot stamping</x:v>
      </x:c>
      <x:c r="E6119" s="25" t="str">
        <x:v>$1.23</x:v>
      </x:c>
      <x:c r="F6119" s="19" t="str">
        <x:v>5</x:v>
      </x:c>
    </x:row>
    <x:row r="6120" ht="93" customHeight="1">
      <x:c r="A6120" s="19" t="n">
        <x:v>6117</x:v>
      </x:c>
      <x:c r="B6120" s="22" t="e">
        <x:f>HYPERLINK("https://cdn.shopify.com/s/files/1/0918/6066/4603/files/O1CN01KiH0Qw1HlWpShbZrz__2545140798-0-cib_eee70665-3894-4ef5-bf1a-65a488a138a7.jpg?v=1775832020","Open")</x:f>
        <x:v>HYPERLINK is not implemented. linkLocation=https://cdn.shopify.com/s/files/1/0918/6066/4603/files/O1CN01KiH0Qw1HlWpShbZrz__2545140798-0-cib_eee70665-3894-4ef5-bf1a-65a488a138a7.jpg?v=1775832020, friendlyName=Open</x:v>
      </x:c>
      <x:c r="C6120" s="24" t="e">
        <x:f>HYPERLINK("https://365nails.com/products/365nails-susuwatari-soot-sprite-cute-character-handmade-press-on-nails","365nails: ""Susuwatari Soot Sprite Cute Character"" – Nail Art Stickers")</x:f>
        <x:v>HYPERLINK is not implemented. linkLocation=https://365nails.com/products/365nails-susuwatari-soot-sprite-cute-character-handmade-press-on-nails, friendlyName=365nails: "Susuwatari Soot Sprite Cute Character" – Nail Art Stickers</x:v>
      </x:c>
      <x:c r="D6120" s="18" t="str">
        <x:v>Specification type: To 1998</x:v>
      </x:c>
      <x:c r="E6120" s="25" t="str">
        <x:v>$1.23</x:v>
      </x:c>
      <x:c r="F6120" s="19" t="str">
        <x:v>5</x:v>
      </x:c>
    </x:row>
    <x:row r="6121" ht="93" customHeight="1">
      <x:c r="A6121" s="19" t="n">
        <x:v>6118</x:v>
      </x:c>
      <x:c r="B6121" s="22" t="e">
        <x:f>HYPERLINK("https://cdn.shopify.com/s/files/1/0918/6066/4603/files/8e55a713f0d0b9447169bf6e3344256f_5bac1a27-9859-4d6a-9690-9ad2ff8294b3.jpg?v=1773322912","Open")</x:f>
        <x:v>HYPERLINK is not implemented. linkLocation=https://cdn.shopify.com/s/files/1/0918/6066/4603/files/8e55a713f0d0b9447169bf6e3344256f_5bac1a27-9859-4d6a-9690-9ad2ff8294b3.jpg?v=1773322912, friendlyName=Open</x:v>
      </x:c>
      <x:c r="C6121" s="24" t="e">
        <x:f>HYPERLINK("https://365nails.com/products/vintage-lace-bow-heart-romantic-coquette-nail-art-set","Vintage Lace Bow Heart – Romantic Coquette Nail Art Set")</x:f>
        <x:v>HYPERLINK is not implemented. linkLocation=https://365nails.com/products/vintage-lace-bow-heart-romantic-coquette-nail-art-set, friendlyName=Vintage Lace Bow Heart – Romantic Coquette Nail Art Set</x:v>
      </x:c>
      <x:c r="D6121" s="18" t="str">
        <x:v>Specification type: To5512 / To5513 / To5518 / To5519 / To5520</x:v>
      </x:c>
      <x:c r="E6121" s="25" t="str">
        <x:v>$1.00</x:v>
      </x:c>
      <x:c r="F6121" s="19" t="str">
        <x:v>1</x:v>
      </x:c>
    </x:row>
    <x:row r="6122" ht="93" customHeight="1">
      <x:c r="A6122" s="19" t="n">
        <x:v>6119</x:v>
      </x:c>
      <x:c r="B6122" s="22" t="e">
        <x:f>HYPERLINK("https://cdn.shopify.com/s/files/1/0918/6066/4603/files/O1CN01cdctms1HlWmAY3r06__2545140798-0-cib.jpg?v=1773555444","Open")</x:f>
        <x:v>HYPERLINK is not implemented. linkLocation=https://cdn.shopify.com/s/files/1/0918/6066/4603/files/O1CN01cdctms1HlWmAY3r06__2545140798-0-cib.jpg?v=1773555444, friendlyName=Open</x:v>
      </x:c>
      <x:c r="C6122" s="24" t="e">
        <x:f>HYPERLINK("https://365nails.com/products/boho-mandala-lilac-emboss-3d-relief-nail-sticker","Boho Mandala: ""Lilac Emboss"" – 3D Relief Nail Sticker")</x:f>
        <x:v>HYPERLINK is not implemented. linkLocation=https://365nails.com/products/boho-mandala-lilac-emboss-3d-relief-nail-sticker, friendlyName=Boho Mandala: "Lilac Emboss" – 3D Relief Nail Sticker</x:v>
      </x:c>
      <x:c r="D6122" s="18" t="str">
        <x:v>Specification type: L02 / L05th / L08</x:v>
      </x:c>
      <x:c r="E6122" s="25" t="str">
        <x:v>$1.23</x:v>
      </x:c>
      <x:c r="F6122" s="19" t="str">
        <x:v>5</x:v>
      </x:c>
    </x:row>
    <x:row r="6123" ht="93" customHeight="1">
      <x:c r="A6123" s="19" t="n">
        <x:v>6120</x:v>
      </x:c>
      <x:c r="B6123" s="22" t="e">
        <x:f>HYPERLINK("https://cdn.shopify.com/s/files/1/0918/6066/4603/files/3a319e525e2551e3426b95fbcd347213.jpg?v=1773150936","Open")</x:f>
        <x:v>HYPERLINK is not implemented. linkLocation=https://cdn.shopify.com/s/files/1/0918/6066/4603/files/3a319e525e2551e3426b95fbcd347213.jpg?v=1773150936, friendlyName=Open</x:v>
      </x:c>
      <x:c r="C6123" s="24" t="e">
        <x:f>HYPERLINK("https://365nails.com/products/colorful-crystal-bead-fresh-spring-nail-art-set","Colorful Crystal Bead – Fresh Spring Nail Art Stickers")</x:f>
        <x:v>HYPERLINK is not implemented. linkLocation=https://365nails.com/products/colorful-crystal-bead-fresh-spring-nail-art-set, friendlyName=Colorful Crystal Bead – Fresh Spring Nail Art Stickers</x:v>
      </x:c>
      <x:c r="D6123" s="18" t="str">
        <x:v>Specification type: To3807-crystal diamond</x:v>
      </x:c>
      <x:c r="E6123" s="25" t="str">
        <x:v>$1.30</x:v>
      </x:c>
      <x:c r="F6123" s="19" t="str">
        <x:v>5</x:v>
      </x:c>
    </x:row>
    <x:row r="6124" ht="93" customHeight="1">
      <x:c r="A6124" s="19" t="n">
        <x:v>6121</x:v>
      </x:c>
      <x:c r="B6124" s="22" t="e">
        <x:f>HYPERLINK("https://cdn.shopify.com/s/files/1/0918/6066/4603/files/edd1da1ea80e61a909eea8e1bc0a4265.jpg?v=1775891276","Open")</x:f>
        <x:v>HYPERLINK is not implemented. linkLocation=https://cdn.shopify.com/s/files/1/0918/6066/4603/files/edd1da1ea80e61a909eea8e1bc0a4265.jpg?v=1775891276, friendlyName=Open</x:v>
      </x:c>
      <x:c r="C6124" s="24" t="e">
        <x:f>HYPERLINK("https://365nails.com/products/365nails-pink-ombre-cross-stiletto-handmade-long-sharp-stiletto-nails","365nails: ""Pink Ombre Cross Stiletto"" – Handmade Long Sharp Stiletto Nails")</x:f>
        <x:v>HYPERLINK is not implemented. linkLocation=https://365nails.com/products/365nails-pink-ombre-cross-stiletto-handmade-long-sharp-stiletto-nails, friendlyName=365nails: "Pink Ombre Cross Stiletto" – Handmade Long Sharp Stiletto Nails</x:v>
      </x:c>
      <x:c r="D6124" s="18" t="str">
        <x:v>Size: XS / S / M / L</x:v>
      </x:c>
      <x:c r="E6124" s="25" t="str">
        <x:v>$3.99</x:v>
      </x:c>
      <x:c r="F6124" s="19" t="str">
        <x:v>3</x:v>
      </x:c>
    </x:row>
    <x:row r="6125" ht="93" customHeight="1">
      <x:c r="A6125" s="19" t="n">
        <x:v>6122</x:v>
      </x:c>
      <x:c r="B6125" s="22" t="e">
        <x:f>HYPERLINK("https://cdn.shopify.com/s/files/1/0918/6066/4603/files/1afe64f8e7cbceb68729aa7c74dcbddb.jpg?v=1773240496","Open")</x:f>
        <x:v>HYPERLINK is not implemented. linkLocation=https://cdn.shopify.com/s/files/1/0918/6066/4603/files/1afe64f8e7cbceb68729aa7c74dcbddb.jpg?v=1773240496, friendlyName=Open</x:v>
      </x:c>
      <x:c r="C6125" s="24" t="e">
        <x:f>HYPERLINK("https://365nails.com/products/white-crystal-bow-sweet-coquette-nail-art-set","White Crystal Bow – Sweet Coquette Nail Art Set")</x:f>
        <x:v>HYPERLINK is not implemented. linkLocation=https://365nails.com/products/white-crystal-bow-sweet-coquette-nail-art-set, friendlyName=White Crystal Bow – Sweet Coquette Nail Art Set</x:v>
      </x:c>
      <x:c r="D6125" s="18" t="str">
        <x:v>Specification type: To3870-crystal diamond / To3871-crystal diamond / To3872-crystal diamond / To3873-crystal diamond / To3875-crystal diamond</x:v>
      </x:c>
      <x:c r="E6125" s="25" t="str">
        <x:v>$1.30</x:v>
      </x:c>
      <x:c r="F6125" s="19" t="str">
        <x:v>1</x:v>
      </x:c>
    </x:row>
    <x:row r="6126" ht="93" customHeight="1">
      <x:c r="A6126" s="19" t="n">
        <x:v>6123</x:v>
      </x:c>
      <x:c r="B6126" s="22" t="e">
        <x:f>HYPERLINK("https://cdn.shopify.com/s/files/1/0918/6066/4603/files/547ebc6797f4e5387a0087b785e1ce32.jpg?v=1773232949","Open")</x:f>
        <x:v>HYPERLINK is not implemented. linkLocation=https://cdn.shopify.com/s/files/1/0918/6066/4603/files/547ebc6797f4e5387a0087b785e1ce32.jpg?v=1773232949, friendlyName=Open</x:v>
      </x:c>
      <x:c r="C6126" s="24" t="e">
        <x:f>HYPERLINK("https://365nails.com/products/silver-liquid-drip-minimalist-metallic-nail-art-set","Silver Liquid Drip – Minimalist Metallic Nail Art Stickers")</x:f>
        <x:v>HYPERLINK is not implemented. linkLocation=https://365nails.com/products/silver-liquid-drip-minimalist-metallic-nail-art-set, friendlyName=Silver Liquid Drip – Minimalist Metallic Nail Art Stickers</x:v>
      </x:c>
      <x:c r="D6126" s="18" t="str">
        <x:v>Specification type: To5436-metal / Ms883-new hot stamping / Ms883-silver</x:v>
      </x:c>
      <x:c r="E6126" s="25" t="str">
        <x:v>$1.23</x:v>
      </x:c>
      <x:c r="F6126" s="19" t="str">
        <x:v>1</x:v>
      </x:c>
    </x:row>
    <x:row r="6127" ht="93" customHeight="1">
      <x:c r="A6127" s="19" t="n">
        <x:v>6124</x:v>
      </x:c>
      <x:c r="B6127" s="22" t="e">
        <x:f>HYPERLINK("https://cdn.shopify.com/s/files/1/0918/6066/4603/files/03cd67ee04b21aa3bc8f53220abd7148.jpg?v=1773150855","Open")</x:f>
        <x:v>HYPERLINK is not implemented. linkLocation=https://cdn.shopify.com/s/files/1/0918/6066/4603/files/03cd67ee04b21aa3bc8f53220abd7148.jpg?v=1773150855, friendlyName=Open</x:v>
      </x:c>
      <x:c r="C6127" s="24" t="e">
        <x:f>HYPERLINK("https://365nails.com/products/black-lace-emboss-vintage-gothic-nail-art-set","Black Lace Emboss – Vintage Gothic Nail Art Stickers")</x:f>
        <x:v>HYPERLINK is not implemented. linkLocation=https://365nails.com/products/black-lace-emboss-vintage-gothic-nail-art-set, friendlyName=Black Lace Emboss – Vintage Gothic Nail Art Stickers</x:v>
      </x:c>
      <x:c r="D6127" s="18" t="str">
        <x:v>Specification type: Ms 931 / Ms 932</x:v>
      </x:c>
      <x:c r="E6127" s="25" t="str">
        <x:v>$1.00</x:v>
      </x:c>
      <x:c r="F6127" s="19" t="str">
        <x:v>5</x:v>
      </x:c>
    </x:row>
    <x:row r="6128" ht="93" customHeight="1">
      <x:c r="A6128" s="19" t="n">
        <x:v>6125</x:v>
      </x:c>
      <x:c r="B6128" s="22" t="e">
        <x:f>HYPERLINK("https://cdn.shopify.com/s/files/1/0918/6066/4603/files/O1CN01oeAcoH1HlX5z2nUq1__2545140798-0-cib.jpg?v=1773556205","Open")</x:f>
        <x:v>HYPERLINK is not implemented. linkLocation=https://cdn.shopify.com/s/files/1/0918/6066/4603/files/O1CN01oeAcoH1HlX5z2nUq1__2545140798-0-cib.jpg?v=1773556205, friendlyName=Open</x:v>
      </x:c>
      <x:c r="C6128" s="24" t="e">
        <x:f>HYPERLINK("https://365nails.com/products/daisy-crystal-white-daisy-emboss-3d-embossed-nail-sticker","Daisy Crystal: ""White Daisy Emboss"" – 3D Embossed Nail Sticker")</x:f>
        <x:v>HYPERLINK is not implemented. linkLocation=https://365nails.com/products/daisy-crystal-white-daisy-emboss-3d-embossed-nail-sticker, friendlyName=Daisy Crystal: "White Daisy Emboss" – 3D Embossed Nail Sticker</x:v>
      </x:c>
      <x:c r="D6128" s="18" t="str">
        <x:v>Specification type: To4924-crystal diamond / To4957-crystal diamond</x:v>
      </x:c>
      <x:c r="E6128" s="25" t="str">
        <x:v>$1.30</x:v>
      </x:c>
      <x:c r="F6128" s="19" t="str">
        <x:v>5</x:v>
      </x:c>
    </x:row>
    <x:row r="6129" ht="93" customHeight="1">
      <x:c r="A6129" s="19" t="n">
        <x:v>6126</x:v>
      </x:c>
      <x:c r="B6129" s="22" t="e">
        <x:f>HYPERLINK("https://cdn.shopify.com/s/files/1/0918/6066/4603/files/ca2d3fdddd8832037e861a84b0a5225c.jpg?v=1773239317","Open")</x:f>
        <x:v>HYPERLINK is not implemented. linkLocation=https://cdn.shopify.com/s/files/1/0918/6066/4603/files/ca2d3fdddd8832037e861a84b0a5225c.jpg?v=1773239317, friendlyName=Open</x:v>
      </x:c>
      <x:c r="C6129" s="24" t="e">
        <x:f>HYPERLINK("https://365nails.com/products/blue-bear-journal-cozy-vintage-nail-art-set","Blue Bear Journal – Cozy Vintage Nail Art Set")</x:f>
        <x:v>HYPERLINK is not implemented. linkLocation=https://365nails.com/products/blue-bear-journal-cozy-vintage-nail-art-set, friendlyName=Blue Bear Journal – Cozy Vintage Nail Art Set</x:v>
      </x:c>
      <x:c r="D6129" s="18" t="str">
        <x:v>Specification type: To5552-shell light / To5573-shell light</x:v>
      </x:c>
      <x:c r="E6129" s="25" t="str">
        <x:v>$1.23</x:v>
      </x:c>
      <x:c r="F6129" s="19" t="str">
        <x:v>1</x:v>
      </x:c>
    </x:row>
    <x:row r="6130" ht="93" customHeight="1">
      <x:c r="A6130" s="19" t="n">
        <x:v>6127</x:v>
      </x:c>
      <x:c r="B6130" s="22" t="e">
        <x:f>HYPERLINK("https://cdn.shopify.com/s/files/1/0918/6066/4603/files/O1CN01F4cK7l1HlWzF2ZUcI__2545140798-0-cib_59a53e73-0848-4e87-99d3-a5303d906642.jpg?v=1775808513","Open")</x:f>
        <x:v>HYPERLINK is not implemented. linkLocation=https://cdn.shopify.com/s/files/1/0918/6066/4603/files/O1CN01F4cK7l1HlWzF2ZUcI__2545140798-0-cib_59a53e73-0848-4e87-99d3-a5303d906642.jpg?v=1775808513, friendlyName=Open</x:v>
      </x:c>
      <x:c r="C6130" s="24" t="e">
        <x:f>HYPERLINK("https://365nails.com/products/365nails-jelly-persimmon-fortune-handmade-press-on-nails","365nails: ""Jelly Persimmon &amp; Fortune"" – Nail Art Stickers")</x:f>
        <x:v>HYPERLINK is not implemented. linkLocation=https://365nails.com/products/365nails-jelly-persimmon-fortune-handmade-press-on-nails, friendlyName=365nails: "Jelly Persimmon &amp; Fortune" – Nail Art Stickers</x:v>
      </x:c>
      <x:c r="D6130" s="18" t="str">
        <x:v>Specification type: Ta281-relief / Ta283-jelly</x:v>
      </x:c>
      <x:c r="E6130" s="25" t="str">
        <x:v>$1.23</x:v>
      </x:c>
      <x:c r="F6130" s="19" t="str">
        <x:v>5</x:v>
      </x:c>
    </x:row>
    <x:row r="6131" ht="93" customHeight="1">
      <x:c r="A6131" s="19" t="n">
        <x:v>6128</x:v>
      </x:c>
      <x:c r="B6131" s="22" t="e">
        <x:f>HYPERLINK("https://cdn.shopify.com/s/files/1/0918/6066/4603/files/O1CN01YmrmqU1HlX7VCEpIE__2545140798-0-cib_db9f3866-25ba-4159-904d-54f4f1729222.jpg?v=1775807044","Open")</x:f>
        <x:v>HYPERLINK is not implemented. linkLocation=https://cdn.shopify.com/s/files/1/0918/6066/4603/files/O1CN01YmrmqU1HlX7VCEpIE__2545140798-0-cib_db9f3866-25ba-4159-904d-54f4f1729222.jpg?v=1775807044, friendlyName=Open</x:v>
      </x:c>
      <x:c r="C6131" s="24" t="e">
        <x:f>HYPERLINK("https://365nails.com/products/365nails-lotso-bear-holographic-handmade-press-on-nails","365nails: ""Lotso Bear Holographic"" – Nail Art Stickers")</x:f>
        <x:v>HYPERLINK is not implemented. linkLocation=https://365nails.com/products/365nails-lotso-bear-holographic-handmade-press-on-nails, friendlyName=365nails: "Lotso Bear Holographic" – Nail Art Stickers</x:v>
      </x:c>
      <x:c r="D6131" s="18" t="str">
        <x:v>Specification type: Td 020t</x:v>
      </x:c>
      <x:c r="E6131" s="25" t="str">
        <x:v>$1.23</x:v>
      </x:c>
      <x:c r="F6131" s="19" t="str">
        <x:v>5</x:v>
      </x:c>
    </x:row>
    <x:row r="6132" ht="93" customHeight="1">
      <x:c r="A6132" s="19" t="n">
        <x:v>6129</x:v>
      </x:c>
      <x:c r="B6132" s="22" t="e">
        <x:f>HYPERLINK("https://cdn.shopify.com/s/files/1/0918/6066/4603/files/O1CN01M9bghn1HlX2Mv5Jtt__2545140798-0-cib_b527fcec-b2df-47f3-adb1-808c74184a5a.jpg?v=1775808711","Open")</x:f>
        <x:v>HYPERLINK is not implemented. linkLocation=https://cdn.shopify.com/s/files/1/0918/6066/4603/files/O1CN01M9bghn1HlX2Mv5Jtt__2545140798-0-cib_b527fcec-b2df-47f3-adb1-808c74184a5a.jpg?v=1775808711, friendlyName=Open</x:v>
      </x:c>
      <x:c r="C6132" s="24" t="e">
        <x:f>HYPERLINK("https://365nails.com/products/365nails-holographic-dunhuang-floral-handmade-press-on-nails","365nails: ""Holographic Dunhuang Floral"" – Nail Art Stickers")</x:f>
        <x:v>HYPERLINK is not implemented. linkLocation=https://365nails.com/products/365nails-holographic-dunhuang-floral-handmade-press-on-nails, friendlyName=365nails: "Holographic Dunhuang Floral" – Nail Art Stickers</x:v>
      </x:c>
      <x:c r="D6132" s="18" t="str">
        <x:v>Specification type: To4293</x:v>
      </x:c>
      <x:c r="E6132" s="25" t="str">
        <x:v>$1.09</x:v>
      </x:c>
      <x:c r="F6132" s="19" t="str">
        <x:v>5</x:v>
      </x:c>
    </x:row>
    <x:row r="6133" ht="93" customHeight="1">
      <x:c r="A6133" s="19" t="n">
        <x:v>6130</x:v>
      </x:c>
      <x:c r="B6133" s="22" t="e">
        <x:f>HYPERLINK("https://cdn.shopify.com/s/files/1/0918/6066/4603/files/O1CN01okWy321HlX5uLkk7H__2545140798-0-cib_9cbfe796-ea9c-458a-a43b-ebf0f3f99576.jpg?v=1775806919","Open")</x:f>
        <x:v>HYPERLINK is not implemented. linkLocation=https://cdn.shopify.com/s/files/1/0918/6066/4603/files/O1CN01okWy321HlX5uLkk7H__2545140798-0-cib_9cbfe796-ea9c-458a-a43b-ebf0f3f99576.jpg?v=1775806919, friendlyName=Open</x:v>
      </x:c>
      <x:c r="C6133" s="24" t="e">
        <x:f>HYPERLINK("https://365nails.com/products/365nails-embossed-bamboo-calligraphy-handmade-press-on-nails","365nails: ""Embossed Bamboo Calligraphy"" – Nail Art Stickers")</x:f>
        <x:v>HYPERLINK is not implemented. linkLocation=https://365nails.com/products/365nails-embossed-bamboo-calligraphy-handmade-press-on-nails, friendlyName=365nails: "Embossed Bamboo Calligraphy" – Nail Art Stickers</x:v>
      </x:c>
      <x:c r="D6133" s="18" t="str">
        <x:v>Specification type: To4940-1 / To4940</x:v>
      </x:c>
      <x:c r="E6133" s="25" t="str">
        <x:v>$1.09</x:v>
      </x:c>
      <x:c r="F6133" s="19" t="str">
        <x:v>5</x:v>
      </x:c>
    </x:row>
    <x:row r="6134" ht="93" customHeight="1">
      <x:c r="A6134" s="19" t="n">
        <x:v>6131</x:v>
      </x:c>
      <x:c r="B6134" s="22" t="e">
        <x:f>HYPERLINK("https://cdn.shopify.com/s/files/1/0918/6066/4603/files/1320eb3755d4a17ba33ccb46d5def1e1.jpg?v=1777643291","Open")</x:f>
        <x:v>HYPERLINK is not implemented. linkLocation=https://cdn.shopify.com/s/files/1/0918/6066/4603/files/1320eb3755d4a17ba33ccb46d5def1e1.jpg?v=1777643291, friendlyName=Open</x:v>
      </x:c>
      <x:c r="C6134" s="24" t="e">
        <x:f>HYPERLINK("https://365nails.com/products/365nails-picnic-cherry-bloom-3d-floral-handmade-medium-oval-press-on-nails","365nails: ""Picnic Cherry Bloom"" – 3D Floral Handmade Medium Oval Press On Nails")</x:f>
        <x:v>HYPERLINK is not implemented. linkLocation=https://365nails.com/products/365nails-picnic-cherry-bloom-3d-floral-handmade-medium-oval-press-on-nails, friendlyName=365nails: "Picnic Cherry Bloom" – 3D Floral Handmade Medium Oval Press On Nails</x:v>
      </x:c>
      <x:c r="D6134" s="18" t="str">
        <x:v>Size: XS / S / M / L</x:v>
      </x:c>
      <x:c r="E6134" s="25" t="str">
        <x:v>$4.99</x:v>
      </x:c>
      <x:c r="F6134" s="19" t="str">
        <x:v>5</x:v>
      </x:c>
    </x:row>
    <x:row r="6135" ht="93" customHeight="1">
      <x:c r="A6135" s="19" t="n">
        <x:v>6132</x:v>
      </x:c>
      <x:c r="B6135" s="22" t="e">
        <x:f>HYPERLINK("https://cdn.shopify.com/s/files/1/0918/6066/4603/files/902d0a4021b01fcbdc1331ebb84d2042.jpg?v=1773151361","Open")</x:f>
        <x:v>HYPERLINK is not implemented. linkLocation=https://cdn.shopify.com/s/files/1/0918/6066/4603/files/902d0a4021b01fcbdc1331ebb84d2042.jpg?v=1773151361, friendlyName=Open</x:v>
      </x:c>
      <x:c r="C6135" s="24" t="e">
        <x:f>HYPERLINK("https://365nails.com/products/jelly-fruit-slice-fresh-summer-nail-art-set","Jelly Fruit Slice – Fresh Summer Nail Art Stickers")</x:f>
        <x:v>HYPERLINK is not implemented. linkLocation=https://365nails.com/products/jelly-fruit-slice-fresh-summer-nail-art-set, friendlyName=Jelly Fruit Slice – Fresh Summer Nail Art Stickers</x:v>
      </x:c>
      <x:c r="D6135" s="18" t="str">
        <x:v>Specification type: To4514-jelly / To5018-jelly</x:v>
      </x:c>
      <x:c r="E6135" s="25" t="str">
        <x:v>$1.23</x:v>
      </x:c>
      <x:c r="F6135" s="19" t="str">
        <x:v>5</x:v>
      </x:c>
    </x:row>
    <x:row r="6136" ht="93" customHeight="1">
      <x:c r="A6136" s="19" t="n">
        <x:v>6133</x:v>
      </x:c>
      <x:c r="B6136" s="22" t="e">
        <x:f>HYPERLINK("https://cdn.shopify.com/s/files/1/0918/6066/4603/files/O1CN01Kml9wj1HlX0FmoRPL__2545140798-0-cib_d5c0156a-b109-4c56-9f57-18c5b4498cdc.jpg?v=1775806040","Open")</x:f>
        <x:v>HYPERLINK is not implemented. linkLocation=https://cdn.shopify.com/s/files/1/0918/6066/4603/files/O1CN01Kml9wj1HlX0FmoRPL__2545140798-0-cib_d5c0156a-b109-4c56-9f57-18c5b4498cdc.jpg?v=1775806040, friendlyName=Open</x:v>
      </x:c>
      <x:c r="C6136" s="24" t="e">
        <x:f>HYPERLINK("https://365nails.com/products/365nails-chinese-peach-blossom-handmade-press-on-nails","365nails: ""Chinese Peach Blossom"" – Nail Art Stickers")</x:f>
        <x:v>HYPERLINK is not implemented. linkLocation=https://365nails.com/products/365nails-chinese-peach-blossom-handmade-press-on-nails, friendlyName=365nails: "Chinese Peach Blossom" – Nail Art Stickers</x:v>
      </x:c>
      <x:c r="D6136" s="18" t="str">
        <x:v>Specification type: To3855 / To3860</x:v>
      </x:c>
      <x:c r="E6136" s="25" t="str">
        <x:v>$1.09</x:v>
      </x:c>
      <x:c r="F6136" s="19" t="str">
        <x:v>5</x:v>
      </x:c>
    </x:row>
    <x:row r="6137" ht="93" customHeight="1">
      <x:c r="A6137" s="19" t="n">
        <x:v>6134</x:v>
      </x:c>
      <x:c r="B6137" s="22" t="e">
        <x:f>HYPERLINK("https://cdn.shopify.com/s/files/1/0918/6066/4603/files/3e0413ff3086a40e0d317652b6d4a4e6.jpg?v=1773234250","Open")</x:f>
        <x:v>HYPERLINK is not implemented. linkLocation=https://cdn.shopify.com/s/files/1/0918/6066/4603/files/3e0413ff3086a40e0d317652b6d4a4e6.jpg?v=1773234250, friendlyName=Open</x:v>
      </x:c>
      <x:c r="C6137" s="24" t="e">
        <x:f>HYPERLINK("https://365nails.com/products/blue-bear-note-sweet-checkerboard-nail-art-set","Blue Bear Note – Sweet Checkerboard Nail Art Stickers")</x:f>
        <x:v>HYPERLINK is not implemented. linkLocation=https://365nails.com/products/blue-bear-note-sweet-checkerboard-nail-art-set, friendlyName=Blue Bear Note – Sweet Checkerboard Nail Art Stickers</x:v>
      </x:c>
      <x:c r="D6137" s="18" t="str">
        <x:v>Specification type: To5553 / To5574</x:v>
      </x:c>
      <x:c r="E6137" s="25" t="str">
        <x:v>$1.00</x:v>
      </x:c>
      <x:c r="F6137" s="19" t="str">
        <x:v>1</x:v>
      </x:c>
    </x:row>
    <x:row r="6138" ht="93" customHeight="1">
      <x:c r="A6138" s="19" t="n">
        <x:v>6135</x:v>
      </x:c>
      <x:c r="B6138" s="22" t="e">
        <x:f>HYPERLINK("https://cdn.shopify.com/s/files/1/0918/6066/4603/files/9d501950cac11fcbed4975dca143b125.jpg?v=1773232461","Open")</x:f>
        <x:v>HYPERLINK is not implemented. linkLocation=https://cdn.shopify.com/s/files/1/0918/6066/4603/files/9d501950cac11fcbed4975dca143b125.jpg?v=1773232461, friendlyName=Open</x:v>
      </x:c>
      <x:c r="C6138" s="24" t="e">
        <x:f>HYPERLINK("https://365nails.com/products/crystal-lace-ribbon-elegant-bridal-nail-art-set","Crystal Lace Ribbon – Elegant Bridal Nail Art Stickers")</x:f>
        <x:v>HYPERLINK is not implemented. linkLocation=https://365nails.com/products/crystal-lace-ribbon-elegant-bridal-nail-art-set, friendlyName=Crystal Lace Ribbon – Elegant Bridal Nail Art Stickers</x:v>
      </x:c>
      <x:c r="D6138" s="18" t="str">
        <x:v>Specification type: Ms 304 / Ms 353</x:v>
      </x:c>
      <x:c r="E6138" s="25" t="str">
        <x:v>$1.30</x:v>
      </x:c>
      <x:c r="F6138" s="19" t="str">
        <x:v>1</x:v>
      </x:c>
    </x:row>
    <x:row r="6139" ht="93" customHeight="1">
      <x:c r="A6139" s="19" t="n">
        <x:v>6136</x:v>
      </x:c>
      <x:c r="B6139" s="22" t="e">
        <x:f>HYPERLINK("https://cdn.shopify.com/s/files/1/0918/6066/4603/files/O1CN01o3twjP1HlX2sn9e1b__2545140798-0-cib_d21d0f06-7cdf-431e-98cd-ea1baedb86e7.jpg?v=1775454906","Open")</x:f>
        <x:v>HYPERLINK is not implemented. linkLocation=https://cdn.shopify.com/s/files/1/0918/6066/4603/files/O1CN01o3twjP1HlX2sn9e1b__2545140798-0-cib_d21d0f06-7cdf-431e-98cd-ea1baedb86e7.jpg?v=1775454906, friendlyName=Open</x:v>
      </x:c>
      <x:c r="C6139" s="24" t="e">
        <x:f>HYPERLINK("https://365nails.com/products/365nails-minimal-white-leaf-handmade-press-on-nails","365nails: ""Minimal White Leaf"" – Nail Art Stickers")</x:f>
        <x:v>HYPERLINK is not implemented. linkLocation=https://365nails.com/products/365nails-minimal-white-leaf-handmade-press-on-nails, friendlyName=365nails: "Minimal White Leaf" – Nail Art Stickers</x:v>
      </x:c>
      <x:c r="D6139" s="18" t="str">
        <x:v>Specification type: To563-1-new hot stamping / To563-1-silver / To4381-relief</x:v>
      </x:c>
      <x:c r="E6139" s="25" t="str">
        <x:v>$1.23</x:v>
      </x:c>
      <x:c r="F6139" s="19" t="str">
        <x:v>5</x:v>
      </x:c>
    </x:row>
    <x:row r="6140" ht="93" customHeight="1">
      <x:c r="A6140" s="19" t="n">
        <x:v>6137</x:v>
      </x:c>
      <x:c r="B6140" s="22" t="e">
        <x:f>HYPERLINK("https://cdn.shopify.com/s/files/1/0918/6066/4603/files/c6430dd4c4437146b4ff5b0c6b41de60.jpg?v=1773234568","Open")</x:f>
        <x:v>HYPERLINK is not implemented. linkLocation=https://cdn.shopify.com/s/files/1/0918/6066/4603/files/c6430dd4c4437146b4ff5b0c6b41de60.jpg?v=1773234568, friendlyName=Open</x:v>
      </x:c>
      <x:c r="C6140" s="24" t="e">
        <x:f>HYPERLINK("https://365nails.com/products/vintage-rocking-horse-sweet-nostalgic-nail-art-set","Vintage Rocking Horse – Sweet Nostalgic Nail Art Stickers")</x:f>
        <x:v>HYPERLINK is not implemented. linkLocation=https://365nails.com/products/vintage-rocking-horse-sweet-nostalgic-nail-art-set, friendlyName=Vintage Rocking Horse – Sweet Nostalgic Nail Art Stickers</x:v>
      </x:c>
      <x:c r="D6140" s="18" t="str">
        <x:v>Specification type: To5497 / To5503 / To5511</x:v>
      </x:c>
      <x:c r="E6140" s="25" t="str">
        <x:v>$1.00</x:v>
      </x:c>
      <x:c r="F6140" s="19" t="str">
        <x:v>1</x:v>
      </x:c>
    </x:row>
    <x:row r="6141" ht="93" customHeight="1">
      <x:c r="A6141" s="19" t="n">
        <x:v>6138</x:v>
      </x:c>
      <x:c r="B6141" s="22" t="e">
        <x:f>HYPERLINK("https://cdn.shopify.com/s/files/1/0918/6066/4603/files/O1CN01uuFDzz1HlX9QdTa4T__2545140798-0-cib.jpg?v=1773234354","Open")</x:f>
        <x:v>HYPERLINK is not implemented. linkLocation=https://cdn.shopify.com/s/files/1/0918/6066/4603/files/O1CN01uuFDzz1HlX9QdTa4T__2545140798-0-cib.jpg?v=1773234354, friendlyName=Open</x:v>
      </x:c>
      <x:c r="C6141" s="24" t="e">
        <x:f>HYPERLINK("https://365nails.com/products/sanrio-pochacco-carnival-cute-3d-embossed-nail-art-set","Sanrio Pochacco Carnival – Cute 3D Embossed Nail Art Stickers")</x:f>
        <x:v>HYPERLINK is not implemented. linkLocation=https://365nails.com/products/sanrio-pochacco-carnival-cute-3d-embossed-nail-art-set, friendlyName=Sanrio Pochacco Carnival – Cute 3D Embossed Nail Art Stickers</x:v>
      </x:c>
      <x:c r="D6141" s="18" t="str">
        <x:v>Specification type: Rn009-relief / Rn010-relief / Rn011-relief / Rn012-relief / Rn013-relief / Rn014-relief / Rn015-relief</x:v>
      </x:c>
      <x:c r="E6141" s="25" t="str">
        <x:v>$1.30</x:v>
      </x:c>
      <x:c r="F6141" s="19" t="str">
        <x:v>1</x:v>
      </x:c>
    </x:row>
    <x:row r="6142" ht="93" customHeight="1">
      <x:c r="A6142" s="19" t="n">
        <x:v>6139</x:v>
      </x:c>
      <x:c r="B6142" s="22" t="e">
        <x:f>HYPERLINK("https://cdn.shopify.com/s/files/1/0918/6066/4603/files/O1CN01pc4rMb1HlWzwDpjpE__2545140798-0-cib_e57dffc0-697d-4326-8393-a1e12edfcfd8.jpg?v=1775805876","Open")</x:f>
        <x:v>HYPERLINK is not implemented. linkLocation=https://cdn.shopify.com/s/files/1/0918/6066/4603/files/O1CN01pc4rMb1HlWzwDpjpE__2545140798-0-cib_e57dffc0-697d-4326-8393-a1e12edfcfd8.jpg?v=1775805876, friendlyName=Open</x:v>
      </x:c>
      <x:c r="C6142" s="24" t="e">
        <x:f>HYPERLINK("https://365nails.com/products/365nails-embossed-white-cat-lavender-handmade-press-on-nails","365nails: ""Embossed White Cat Lavender"" – Nail Art Stickers")</x:f>
        <x:v>HYPERLINK is not implemented. linkLocation=https://365nails.com/products/365nails-embossed-white-cat-lavender-handmade-press-on-nails, friendlyName=365nails: "Embossed White Cat Lavender" – Nail Art Stickers</x:v>
      </x:c>
      <x:c r="D6142" s="18" t="str">
        <x:v>Specification type: To3663-relief</x:v>
      </x:c>
      <x:c r="E6142" s="25" t="str">
        <x:v>$1.23</x:v>
      </x:c>
      <x:c r="F6142" s="19" t="str">
        <x:v>5</x:v>
      </x:c>
    </x:row>
    <x:row r="6143" ht="93" customHeight="1">
      <x:c r="A6143" s="19" t="n">
        <x:v>6140</x:v>
      </x:c>
      <x:c r="B6143" s="22" t="e">
        <x:f>HYPERLINK("https://cdn.shopify.com/s/files/1/0918/6066/4603/files/O1CN01Wih0lo1HlX58BURd1__2545140798-0-cib_29799b0c-d073-4524-8696-74e9e4e2d637.jpg?v=1775810189","Open")</x:f>
        <x:v>HYPERLINK is not implemented. linkLocation=https://cdn.shopify.com/s/files/1/0918/6066/4603/files/O1CN01Wih0lo1HlX58BURd1__2545140798-0-cib_29799b0c-d073-4524-8696-74e9e4e2d637.jpg?v=1775810189, friendlyName=Open</x:v>
      </x:c>
      <x:c r="C6143" s="24" t="e">
        <x:f>HYPERLINK("https://365nails.com/products/365nails-god-of-wealth-handmade-press-on-nails","365nails: ""God of Wealth"" – Nail Art Stickers")</x:f>
        <x:v>HYPERLINK is not implemented. linkLocation=https://365nails.com/products/365nails-god-of-wealth-handmade-press-on-nails, friendlyName=365nails: "God of Wealth" – Nail Art Stickers</x:v>
      </x:c>
      <x:c r="D6143" s="18" t="str">
        <x:v>Specification type: To4820-relief</x:v>
      </x:c>
      <x:c r="E6143" s="25" t="str">
        <x:v>$1.23</x:v>
      </x:c>
      <x:c r="F6143" s="19" t="str">
        <x:v>5</x:v>
      </x:c>
    </x:row>
    <x:row r="6144" ht="93" customHeight="1">
      <x:c r="A6144" s="19" t="n">
        <x:v>6141</x:v>
      </x:c>
      <x:c r="B6144" s="22" t="e">
        <x:f>HYPERLINK("https://cdn.shopify.com/s/files/1/0918/6066/4603/files/7bd4f603a5b36c3b351e29a8c90c18c7.jpg?v=1773150518","Open")</x:f>
        <x:v>HYPERLINK is not implemented. linkLocation=https://cdn.shopify.com/s/files/1/0918/6066/4603/files/7bd4f603a5b36c3b351e29a8c90c18c7.jpg?v=1773150518, friendlyName=Open</x:v>
      </x:c>
      <x:c r="C6144" s="24" t="e">
        <x:f>HYPERLINK("https://365nails.com/products/wildflower-meadow-fresh-botanical-nail-art-set","Wildflower Meadow – Fresh Botanical Nail Art Stickers")</x:f>
        <x:v>HYPERLINK is not implemented. linkLocation=https://365nails.com/products/wildflower-meadow-fresh-botanical-nail-art-set, friendlyName=Wildflower Meadow – Fresh Botanical Nail Art Stickers</x:v>
      </x:c>
      <x:c r="D6144" s="18" t="str">
        <x:v>Specification type: To4503-relief</x:v>
      </x:c>
      <x:c r="E6144" s="25" t="str">
        <x:v>$1.23</x:v>
      </x:c>
      <x:c r="F6144" s="19" t="str">
        <x:v>5</x:v>
      </x:c>
    </x:row>
    <x:row r="6145" ht="93" customHeight="1">
      <x:c r="A6145" s="19" t="n">
        <x:v>6142</x:v>
      </x:c>
      <x:c r="B6145" s="22" t="e">
        <x:f>HYPERLINK("https://cdn.shopify.com/s/files/1/0918/6066/4603/files/b57cf95afe76bca75eb0d08354f6f210.jpg?v=1773319834","Open")</x:f>
        <x:v>HYPERLINK is not implemented. linkLocation=https://cdn.shopify.com/s/files/1/0918/6066/4603/files/b57cf95afe76bca75eb0d08354f6f210.jpg?v=1773319834, friendlyName=Open</x:v>
      </x:c>
      <x:c r="C6145" s="24" t="e">
        <x:f>HYPERLINK("https://365nails.com/products/silver-crystal-chain-minimalist-elegant-nail-art-set","Silver Crystal Chain – Minimalist Elegant Nail Art Set")</x:f>
        <x:v>HYPERLINK is not implemented. linkLocation=https://365nails.com/products/silver-crystal-chain-minimalist-elegant-nail-art-set, friendlyName=Silver Crystal Chain – Minimalist Elegant Nail Art Set</x:v>
      </x:c>
      <x:c r="D6145" s="18" t="str">
        <x:v>Specification type: To3112-crystal diamond / To3112-pearl / Ms392-new hot stamping / Ms392-silver / To2978-2-crystal diamond</x:v>
      </x:c>
      <x:c r="E6145" s="25" t="str">
        <x:v>$1.30</x:v>
      </x:c>
      <x:c r="F6145" s="19" t="str">
        <x:v>1</x:v>
      </x:c>
    </x:row>
    <x:row r="6146" ht="93" customHeight="1">
      <x:c r="A6146" s="19" t="n">
        <x:v>6143</x:v>
      </x:c>
      <x:c r="B6146" s="22" t="e">
        <x:f>HYPERLINK("https://cdn.shopify.com/s/files/1/0918/6066/4603/files/d533a1bf672220079e49eaba05e2e5c5.jpg?v=1773321596","Open")</x:f>
        <x:v>HYPERLINK is not implemented. linkLocation=https://cdn.shopify.com/s/files/1/0918/6066/4603/files/d533a1bf672220079e49eaba05e2e5c5.jpg?v=1773321596, friendlyName=Open</x:v>
      </x:c>
      <x:c r="C6146" s="24" t="e">
        <x:f>HYPERLINK("https://365nails.com/products/red-check-teddy-bear-cute-festive-nail-art-set","Red Check Teddy Bear – Cute Festive Nail Art Set")</x:f>
        <x:v>HYPERLINK is not implemented. linkLocation=https://365nails.com/products/red-check-teddy-bear-cute-festive-nail-art-set, friendlyName=Red Check Teddy Bear – Cute Festive Nail Art Set</x:v>
      </x:c>
      <x:c r="D6146" s="18" t="str">
        <x:v>Specification type: To5606-gilt / To5635-gilt</x:v>
      </x:c>
      <x:c r="E6146" s="25" t="str">
        <x:v>$1.23</x:v>
      </x:c>
      <x:c r="F6146" s="19" t="str">
        <x:v>1</x:v>
      </x:c>
    </x:row>
    <x:row r="6147" ht="93" customHeight="1">
      <x:c r="A6147" s="19" t="n">
        <x:v>6144</x:v>
      </x:c>
      <x:c r="B6147" s="22" t="e">
        <x:f>HYPERLINK("https://cdn.shopify.com/s/files/1/0918/6066/4603/files/b4743db93e89758dd976ced404dbb1eb.jpg?v=1773322501","Open")</x:f>
        <x:v>HYPERLINK is not implemented. linkLocation=https://cdn.shopify.com/s/files/1/0918/6066/4603/files/b4743db93e89758dd976ced404dbb1eb.jpg?v=1773322501, friendlyName=Open</x:v>
      </x:c>
      <x:c r="C6147" s="24" t="e">
        <x:f>HYPERLINK("https://365nails.com/products/crystal-pearl-chain-minimalist-elegant-nail-art-set","Crystal Pearl Chain – Minimalist Elegant Nail Art Set")</x:f>
        <x:v>HYPERLINK is not implemented. linkLocation=https://365nails.com/products/crystal-pearl-chain-minimalist-elegant-nail-art-set, friendlyName=Crystal Pearl Chain – Minimalist Elegant Nail Art Set</x:v>
      </x:c>
      <x:c r="D6147" s="18" t="str">
        <x:v>Specification type: To2979-silver / To2979-new hot stamping</x:v>
      </x:c>
      <x:c r="E6147" s="25" t="str">
        <x:v>$1.30</x:v>
      </x:c>
      <x:c r="F6147" s="19" t="str">
        <x:v>1</x:v>
      </x:c>
    </x:row>
    <x:row r="6148" ht="93" customHeight="1">
      <x:c r="A6148" s="19" t="n">
        <x:v>6145</x:v>
      </x:c>
      <x:c r="B6148" s="22" t="e">
        <x:f>HYPERLINK("https://cdn.shopify.com/s/files/1/0918/6066/4603/files/377ff06a332684739a4e0a9c55fc40f7.jpg?v=1773234640","Open")</x:f>
        <x:v>HYPERLINK is not implemented. linkLocation=https://cdn.shopify.com/s/files/1/0918/6066/4603/files/377ff06a332684739a4e0a9c55fc40f7.jpg?v=1773234640, friendlyName=Open</x:v>
      </x:c>
      <x:c r="C6148" s="24" t="e">
        <x:f>HYPERLINK("https://365nails.com/products/silver-gothic-cross-edgy-punk-nail-art-set","Silver Gothic Cross – Edgy Punk Nail Art Stickers")</x:f>
        <x:v>HYPERLINK is not implemented. linkLocation=https://365nails.com/products/silver-gothic-cross-edgy-punk-nail-art-set, friendlyName=Silver Gothic Cross – Edgy Punk Nail Art Stickers</x:v>
      </x:c>
      <x:c r="D6148" s="18" t="str">
        <x:v>Specification type: To5302-metal / To5304-metal</x:v>
      </x:c>
      <x:c r="E6148" s="25" t="str">
        <x:v>$1.23</x:v>
      </x:c>
      <x:c r="F6148" s="19" t="str">
        <x:v>1</x:v>
      </x:c>
    </x:row>
    <x:row r="6149" ht="93" customHeight="1">
      <x:c r="A6149" s="19" t="n">
        <x:v>6146</x:v>
      </x:c>
      <x:c r="B6149" s="22" t="e">
        <x:f>HYPERLINK("https://cdn.shopify.com/s/files/1/0918/6066/4603/files/ffa8a34d168cee54c22816597799d2f7.jpg?v=1774075328","Open")</x:f>
        <x:v>HYPERLINK is not implemented. linkLocation=https://cdn.shopify.com/s/files/1/0918/6066/4603/files/ffa8a34d168cee54c22816597799d2f7.jpg?v=1774075328, friendlyName=Open</x:v>
      </x:c>
      <x:c r="C6149" s="24" t="e">
        <x:f>HYPERLINK("https://365nails.com/products/cosmic-fatale-aqua-breeze-long-sharp-stiletto-handmade-press-on-nails","Cosmic Fatale: ""Aqua Breeze"" – Long Sharp Stiletto Handmade Press On Nails")</x:f>
        <x:v>HYPERLINK is not implemented. linkLocation=https://365nails.com/products/cosmic-fatale-aqua-breeze-long-sharp-stiletto-handmade-press-on-nails, friendlyName=Cosmic Fatale: "Aqua Breeze" – Long Sharp Stiletto Handmade Press On Nails</x:v>
      </x:c>
      <x:c r="D6149" s="18" t="str">
        <x:v>Size: XS / S / M / L</x:v>
      </x:c>
      <x:c r="E6149" s="25" t="str">
        <x:v>$3.99</x:v>
      </x:c>
      <x:c r="F6149" s="19" t="str">
        <x:v>5</x:v>
      </x:c>
    </x:row>
    <x:row r="6150" ht="93" customHeight="1">
      <x:c r="A6150" s="19" t="n">
        <x:v>6147</x:v>
      </x:c>
      <x:c r="B6150" s="22" t="e">
        <x:f>HYPERLINK("https://cdn.shopify.com/s/files/1/0918/6066/4603/files/d26c47789cb4cc0bcb6e347b24cc5e09.jpg?v=1773234010","Open")</x:f>
        <x:v>HYPERLINK is not implemented. linkLocation=https://cdn.shopify.com/s/files/1/0918/6066/4603/files/d26c47789cb4cc0bcb6e347b24cc5e09.jpg?v=1773234010, friendlyName=Open</x:v>
      </x:c>
      <x:c r="C6150" s="24" t="e">
        <x:f>HYPERLINK("https://365nails.com/products/cute-penguin-family-sweet-cartoon-nail-art-set","Cute Penguin Family – Sweet Cartoon Nail Art Stickers")</x:f>
        <x:v>HYPERLINK is not implemented. linkLocation=https://365nails.com/products/cute-penguin-family-sweet-cartoon-nail-art-set, friendlyName=Cute Penguin Family – Sweet Cartoon Nail Art Stickers</x:v>
      </x:c>
      <x:c r="D6150" s="18" t="str">
        <x:v>Specification type: To3266 / To3285 / To3288</x:v>
      </x:c>
      <x:c r="E6150" s="25" t="str">
        <x:v>$1.09</x:v>
      </x:c>
      <x:c r="F6150" s="19" t="str">
        <x:v>1</x:v>
      </x:c>
    </x:row>
    <x:row r="6151" ht="93" customHeight="1">
      <x:c r="A6151" s="19" t="n">
        <x:v>6148</x:v>
      </x:c>
      <x:c r="B6151" s="22" t="e">
        <x:f>HYPERLINK("https://cdn.shopify.com/s/files/1/0918/6066/4603/files/O1CN01XDamJ31HlX949UcvE__2545140798-0-cib.jpg?v=1773152185","Open")</x:f>
        <x:v>HYPERLINK is not implemented. linkLocation=https://cdn.shopify.com/s/files/1/0918/6066/4603/files/O1CN01XDamJ31HlX949UcvE__2545140798-0-cib.jpg?v=1773152185, friendlyName=Open</x:v>
      </x:c>
      <x:c r="C6151" s="24" t="e">
        <x:f>HYPERLINK("https://365nails.com/products/bamboo-leaf-holographic-elegant-zen-nail-art-set","Bamboo Leaf Holographic – Elegant Zen Nail Art Stickers")</x:f>
        <x:v>HYPERLINK is not implemented. linkLocation=https://365nails.com/products/bamboo-leaf-holographic-elegant-zen-nail-art-set, friendlyName=Bamboo Leaf Holographic – Elegant Zen Nail Art Stickers</x:v>
      </x:c>
      <x:c r="D6151" s="18" t="str">
        <x:v>Specification type: Ms857-metal / Ms858-metal</x:v>
      </x:c>
      <x:c r="E6151" s="25" t="str">
        <x:v>$1.23</x:v>
      </x:c>
      <x:c r="F6151" s="19" t="str">
        <x:v>1</x:v>
      </x:c>
    </x:row>
    <x:row r="6152" ht="93" customHeight="1">
      <x:c r="A6152" s="19" t="n">
        <x:v>6149</x:v>
      </x:c>
      <x:c r="B6152" s="22" t="e">
        <x:f>HYPERLINK("https://cdn.shopify.com/s/files/1/0918/6066/4603/files/76b3b45a1b6492d961bf49d00f677a77.jpg?v=1773319528","Open")</x:f>
        <x:v>HYPERLINK is not implemented. linkLocation=https://cdn.shopify.com/s/files/1/0918/6066/4603/files/76b3b45a1b6492d961bf49d00f677a77.jpg?v=1773319528, friendlyName=Open</x:v>
      </x:c>
      <x:c r="C6152" s="24" t="e">
        <x:f>HYPERLINK("https://365nails.com/products/lucky-clover-happiness-fresh-spring-nail-art-set","Lucky Clover Happiness – Fresh Spring Nail Art Set")</x:f>
        <x:v>HYPERLINK is not implemented. linkLocation=https://365nails.com/products/lucky-clover-happiness-fresh-spring-nail-art-set, friendlyName=Lucky Clover Happiness – Fresh Spring Nail Art Set</x:v>
      </x:c>
      <x:c r="D6152" s="18" t="str">
        <x:v>Specification type: To5587 / To5598</x:v>
      </x:c>
      <x:c r="E6152" s="25" t="str">
        <x:v>$1.00</x:v>
      </x:c>
      <x:c r="F6152" s="19" t="str">
        <x:v>1</x:v>
      </x:c>
    </x:row>
    <x:row r="6153" ht="93" customHeight="1">
      <x:c r="A6153" s="19" t="n">
        <x:v>6150</x:v>
      </x:c>
      <x:c r="B6153" s="22" t="e">
        <x:f>HYPERLINK("https://cdn.shopify.com/s/files/1/0918/6066/4603/files/O1CN01680sCY1HlX58kOGBd__2545140798-0-cib.jpg?v=1773557310","Open")</x:f>
        <x:v>HYPERLINK is not implemented. linkLocation=https://cdn.shopify.com/s/files/1/0918/6066/4603/files/O1CN01680sCY1HlX58kOGBd__2545140798-0-cib.jpg?v=1773557310, friendlyName=Open</x:v>
      </x:c>
      <x:c r="C6153" s="24" t="e">
        <x:f>HYPERLINK("https://365nails.com/products/rainbow-floral-multicolor-daisy-3d-embossed-nail-sticker","Rainbow Floral: ""Multicolor Daisy"" – 3D Embossed Nail Sticker")</x:f>
        <x:v>HYPERLINK is not implemented. linkLocation=https://365nails.com/products/rainbow-floral-multicolor-daisy-3d-embossed-nail-sticker, friendlyName=Rainbow Floral: "Multicolor Daisy" – 3D Embossed Nail Sticker</x:v>
      </x:c>
      <x:c r="D6153" s="18" t="str">
        <x:v>Specification type: To4816-crystal diamond / To4823-crystal diamond</x:v>
      </x:c>
      <x:c r="E6153" s="25" t="str">
        <x:v>$1.30</x:v>
      </x:c>
      <x:c r="F6153" s="19" t="str">
        <x:v>5</x:v>
      </x:c>
    </x:row>
    <x:row r="6154" ht="93" customHeight="1">
      <x:c r="A6154" s="19" t="n">
        <x:v>6151</x:v>
      </x:c>
      <x:c r="B6154" s="22" t="e">
        <x:f>HYPERLINK("https://cdn.shopify.com/s/files/1/0918/6066/4603/files/O1CN01WyoNV61HlX3yPFZGn__2545140798-0-cib.jpg?v=1773558592","Open")</x:f>
        <x:v>HYPERLINK is not implemented. linkLocation=https://cdn.shopify.com/s/files/1/0918/6066/4603/files/O1CN01WyoNV61HlX3yPFZGn__2545140798-0-cib.jpg?v=1773558592, friendlyName=Open</x:v>
      </x:c>
      <x:c r="C6154" s="24" t="e">
        <x:f>HYPERLINK("https://365nails.com/products/fluffy-plush-teddy-bunny-3d-embossed-nail-sticker","Fluffy Plush: ""Teddy &amp; Bunny"" – 3D Embossed Nail Sticker")</x:f>
        <x:v>HYPERLINK is not implemented. linkLocation=https://365nails.com/products/fluffy-plush-teddy-bunny-3d-embossed-nail-sticker, friendlyName=Fluffy Plush: "Teddy &amp; Bunny" – 3D Embossed Nail Sticker</x:v>
      </x:c>
      <x:c r="D6154" s="18" t="str">
        <x:v>Specification type: To4580-relief / Ta375-relief</x:v>
      </x:c>
      <x:c r="E6154" s="25" t="str">
        <x:v>$1.23</x:v>
      </x:c>
      <x:c r="F6154" s="19" t="str">
        <x:v>5</x:v>
      </x:c>
    </x:row>
    <x:row r="6155" ht="93" customHeight="1">
      <x:c r="A6155" s="19" t="n">
        <x:v>6152</x:v>
      </x:c>
      <x:c r="B6155" s="22" t="e">
        <x:f>HYPERLINK("https://cdn.shopify.com/s/files/1/0918/6066/4603/files/O1CN01tZXG4R1HlWy0kQvwc__2545140798-0-cib.jpg?v=1773557700","Open")</x:f>
        <x:v>HYPERLINK is not implemented. linkLocation=https://cdn.shopify.com/s/files/1/0918/6066/4603/files/O1CN01tZXG4R1HlWy0kQvwc__2545140798-0-cib.jpg?v=1773557700, friendlyName=Open</x:v>
      </x:c>
      <x:c r="C6155" s="24" t="e">
        <x:f>HYPERLINK("https://365nails.com/products/winter-wonderland-frosty-snowflake-3d-embossed-nail-sticker","Winter Wonderland: ""Frosty Snowflake"" – 3D Embossed Nail Sticker")</x:f>
        <x:v>HYPERLINK is not implemented. linkLocation=https://365nails.com/products/winter-wonderland-frosty-snowflake-3d-embossed-nail-sticker, friendlyName=Winter Wonderland: "Frosty Snowflake" – 3D Embossed Nail Sticker</x:v>
      </x:c>
      <x:c r="D6155" s="18" t="str">
        <x:v>Specification type: To3463 / To3464 / To3463-1 / To3464-1</x:v>
      </x:c>
      <x:c r="E6155" s="25" t="str">
        <x:v>$1.09</x:v>
      </x:c>
      <x:c r="F6155" s="19" t="str">
        <x:v>5</x:v>
      </x:c>
    </x:row>
    <x:row r="6156" ht="93" customHeight="1">
      <x:c r="A6156" s="19" t="n">
        <x:v>6153</x:v>
      </x:c>
      <x:c r="B6156" s="22" t="e">
        <x:f>HYPERLINK("https://cdn.shopify.com/s/files/1/0918/6066/4603/files/4bfba5beac939821c3ca2b566d59b37b.jpg?v=1773232793","Open")</x:f>
        <x:v>HYPERLINK is not implemented. linkLocation=https://cdn.shopify.com/s/files/1/0918/6066/4603/files/4bfba5beac939821c3ca2b566d59b37b.jpg?v=1773232793, friendlyName=Open</x:v>
      </x:c>
      <x:c r="C6156" s="24" t="e">
        <x:f>HYPERLINK("https://365nails.com/products/green-plaid-patch-vintage-cottagecore-nail-art-set","Green Plaid Patch – Vintage Cottagecore Nail Art Stickers")</x:f>
        <x:v>HYPERLINK is not implemented. linkLocation=https://365nails.com/products/green-plaid-patch-vintage-cottagecore-nail-art-set, friendlyName=Green Plaid Patch – Vintage Cottagecore Nail Art Stickers</x:v>
      </x:c>
      <x:c r="D6156" s="18" t="str">
        <x:v>Specification type: To5599-relief / To5610-shell light / To5629-relief</x:v>
      </x:c>
      <x:c r="E6156" s="25" t="str">
        <x:v>$1.23</x:v>
      </x:c>
      <x:c r="F6156" s="19" t="str">
        <x:v>1</x:v>
      </x:c>
    </x:row>
    <x:row r="6157" ht="93" customHeight="1">
      <x:c r="A6157" s="19" t="n">
        <x:v>6154</x:v>
      </x:c>
      <x:c r="B6157" s="22" t="e">
        <x:f>HYPERLINK("https://cdn.shopify.com/s/files/1/0918/6066/4603/files/O1CN01yr6rpp1HlX9cEYLgO__2545140798-0-cib_42925709-53a5-4399-9bfb-9204fc38643c.jpg?v=1775742561","Open")</x:f>
        <x:v>HYPERLINK is not implemented. linkLocation=https://cdn.shopify.com/s/files/1/0918/6066/4603/files/O1CN01yr6rpp1HlX9cEYLgO__2545140798-0-cib_42925709-53a5-4399-9bfb-9204fc38643c.jpg?v=1775742561, friendlyName=Open</x:v>
      </x:c>
      <x:c r="C6157" s="24" t="e">
        <x:f>HYPERLINK("https://365nails.com/products/365nails-mickey-christmas-friends-handmade-press-on-nails","365nails: ""Mickey Christmas Friends"" –Nail Art Stickers")</x:f>
        <x:v>HYPERLINK is not implemented. linkLocation=https://365nails.com/products/365nails-mickey-christmas-friends-handmade-press-on-nails, friendlyName=365nails: "Mickey Christmas Friends" –Nail Art Stickers</x:v>
      </x:c>
      <x:c r="D6157" s="18" t="str">
        <x:v>Specification type: Td 026m</x:v>
      </x:c>
      <x:c r="E6157" s="25" t="str">
        <x:v>$1.23</x:v>
      </x:c>
      <x:c r="F6157" s="19" t="str">
        <x:v>5</x:v>
      </x:c>
    </x:row>
    <x:row r="6158" ht="93" customHeight="1">
      <x:c r="A6158" s="19" t="n">
        <x:v>6155</x:v>
      </x:c>
      <x:c r="B6158" s="22" t="e">
        <x:f>HYPERLINK("https://cdn.shopify.com/s/files/1/0918/6066/4603/files/O1CN010sbu9R1HlX6KHRbMr__2545140798-0-cib.jpg?v=1773557405","Open")</x:f>
        <x:v>HYPERLINK is not implemented. linkLocation=https://cdn.shopify.com/s/files/1/0918/6066/4603/files/O1CN010sbu9R1HlX6KHRbMr__2545140798-0-cib.jpg?v=1773557405, friendlyName=Open</x:v>
      </x:c>
      <x:c r="C6158" s="24" t="e">
        <x:f>HYPERLINK("https://365nails.com/products/minimalist-chevron-silver-crystal-chevron-3d-embossed-nail-sticker","Minimalist Chevron: ""Silver Crystal Chevron"" – 3D Embossed Nail Sticker")</x:f>
        <x:v>HYPERLINK is not implemented. linkLocation=https://365nails.com/products/minimalist-chevron-silver-crystal-chevron-3d-embossed-nail-sticker, friendlyName=Minimalist Chevron: "Silver Crystal Chevron" – 3D Embossed Nail Sticker</x:v>
      </x:c>
      <x:c r="D6158" s="18" t="str">
        <x:v>Specification type: To5000-new hot stamping crystal diamond / To5000-silver crystal diamond / To5001-crystal diamond</x:v>
      </x:c>
      <x:c r="E6158" s="25" t="str">
        <x:v>$1.30</x:v>
      </x:c>
      <x:c r="F6158" s="19" t="str">
        <x:v>5</x:v>
      </x:c>
    </x:row>
    <x:row r="6159" ht="93" customHeight="1">
      <x:c r="A6159" s="19" t="n">
        <x:v>6156</x:v>
      </x:c>
      <x:c r="B6159" s="22" t="e">
        <x:f>HYPERLINK("https://cdn.shopify.com/s/files/1/0918/6066/4603/files/833ee07d2f00da00d4bbc90262fe3f00.jpg?v=1773233226","Open")</x:f>
        <x:v>HYPERLINK is not implemented. linkLocation=https://cdn.shopify.com/s/files/1/0918/6066/4603/files/833ee07d2f00da00d4bbc90262fe3f00.jpg?v=1773233226, friendlyName=Open</x:v>
      </x:c>
      <x:c r="C6159" s="24" t="e">
        <x:f>HYPERLINK("https://365nails.com/products/lucky-lion-dance-chinese-new-year-nail-art-set","Lucky Lion Dance – Chinese New Year Nail Art Stickers")</x:f>
        <x:v>HYPERLINK is not implemented. linkLocation=https://365nails.com/products/lucky-lion-dance-chinese-new-year-nail-art-set, friendlyName=Lucky Lion Dance – Chinese New Year Nail Art Stickers</x:v>
      </x:c>
      <x:c r="D6159" s="18" t="str">
        <x:v>Specification type: To5554-relief / To5568-relief</x:v>
      </x:c>
      <x:c r="E6159" s="25" t="str">
        <x:v>$1.23</x:v>
      </x:c>
      <x:c r="F6159" s="19" t="str">
        <x:v>1</x:v>
      </x:c>
    </x:row>
    <x:row r="6160" ht="93" customHeight="1">
      <x:c r="A6160" s="19" t="n">
        <x:v>6157</x:v>
      </x:c>
      <x:c r="B6160" s="22" t="e">
        <x:f>HYPERLINK("https://cdn.shopify.com/s/files/1/0918/6066/4603/files/263dcb03e579844c7d504b4a3e6bfe6c.jpg?v=1773320107","Open")</x:f>
        <x:v>HYPERLINK is not implemented. linkLocation=https://cdn.shopify.com/s/files/1/0918/6066/4603/files/263dcb03e579844c7d504b4a3e6bfe6c.jpg?v=1773320107, friendlyName=Open</x:v>
      </x:c>
      <x:c r="C6160" s="24" t="e">
        <x:f>HYPERLINK("https://365nails.com/products/pastel-patchwork-star-kawaii-cute-nail-art-set","Pastel Patchwork Star – Kawaii Cute Nail Art Set")</x:f>
        <x:v>HYPERLINK is not implemented. linkLocation=https://365nails.com/products/pastel-patchwork-star-kawaii-cute-nail-art-set, friendlyName=Pastel Patchwork Star – Kawaii Cute Nail Art Set</x:v>
      </x:c>
      <x:c r="D6160" s="18" t="str">
        <x:v>Specification type: To5065-metal</x:v>
      </x:c>
      <x:c r="E6160" s="25" t="str">
        <x:v>$1.23</x:v>
      </x:c>
      <x:c r="F6160" s="19" t="str">
        <x:v>1</x:v>
      </x:c>
    </x:row>
    <x:row r="6161" ht="93" customHeight="1">
      <x:c r="A6161" s="19" t="n">
        <x:v>6158</x:v>
      </x:c>
      <x:c r="B6161" s="22" t="e">
        <x:f>HYPERLINK("https://cdn.shopify.com/s/files/1/0918/6066/4603/files/7895ed35c83edbcf1833ac02b7aaa5fe.jpg?v=1772886840","Open")</x:f>
        <x:v>HYPERLINK is not implemented. linkLocation=https://cdn.shopify.com/s/files/1/0918/6066/4603/files/7895ed35c83edbcf1833ac02b7aaa5fe.jpg?v=1772886840, friendlyName=Open</x:v>
      </x:c>
      <x:c r="C6161" s="24" t="e">
        <x:f>HYPERLINK("https://365nails.com/products/new-gold-foil-cursive-monogram-nail-art-accent-set","New Gold Foil Cursive Monogram – Nail Art Accent Set")</x:f>
        <x:v>HYPERLINK is not implemented. linkLocation=https://365nails.com/products/new-gold-foil-cursive-monogram-nail-art-accent-set, friendlyName=New Gold Foil Cursive Monogram – Nail Art Accent Set</x:v>
      </x:c>
      <x:c r="D6161" s="18" t="str">
        <x:v>Specification type: To3453-new hot stamping / To3453-silver</x:v>
      </x:c>
      <x:c r="E6161" s="25" t="str">
        <x:v>$1.23</x:v>
      </x:c>
      <x:c r="F6161" s="19" t="str">
        <x:v>5</x:v>
      </x:c>
    </x:row>
    <x:row r="6162" ht="93" customHeight="1">
      <x:c r="A6162" s="19" t="n">
        <x:v>6159</x:v>
      </x:c>
      <x:c r="B6162" s="22" t="e">
        <x:f>HYPERLINK("https://cdn.shopify.com/s/files/1/0918/6066/4603/files/O1CN01TZUeFO1HlX5Pg1p3m__2545140798-0-cib.jpg?v=1773558668","Open")</x:f>
        <x:v>HYPERLINK is not implemented. linkLocation=https://cdn.shopify.com/s/files/1/0918/6066/4603/files/O1CN01TZUeFO1HlX5Pg1p3m__2545140798-0-cib.jpg?v=1773558668, friendlyName=Open</x:v>
      </x:c>
      <x:c r="C6162" s="24" t="e">
        <x:f>HYPERLINK("https://365nails.com/products/chinese-lion-dance-lion-head-3d-embossed-nail-sticker","Chinese Lion Dance: ""Lion Head"" – 3D Embossed Nail Sticker")</x:f>
        <x:v>HYPERLINK is not implemented. linkLocation=https://365nails.com/products/chinese-lion-dance-lion-head-3d-embossed-nail-sticker, friendlyName=Chinese Lion Dance: "Lion Head" – 3D Embossed Nail Sticker</x:v>
      </x:c>
      <x:c r="D6162" s="18" t="str">
        <x:v>Specification type: To4882-relief</x:v>
      </x:c>
      <x:c r="E6162" s="25" t="str">
        <x:v>$1.23</x:v>
      </x:c>
      <x:c r="F6162" s="19" t="str">
        <x:v>5</x:v>
      </x:c>
    </x:row>
    <x:row r="6163" ht="93" customHeight="1">
      <x:c r="A6163" s="19" t="n">
        <x:v>6160</x:v>
      </x:c>
      <x:c r="B6163" s="22" t="e">
        <x:f>HYPERLINK("https://cdn.shopify.com/s/files/1/0918/6066/4603/files/852d6e79558214fa7269a63b9708fd0f.jpg?v=1773322581","Open")</x:f>
        <x:v>HYPERLINK is not implemented. linkLocation=https://cdn.shopify.com/s/files/1/0918/6066/4603/files/852d6e79558214fa7269a63b9708fd0f.jpg?v=1773322581, friendlyName=Open</x:v>
      </x:c>
      <x:c r="C6163" s="24" t="e">
        <x:f>HYPERLINK("https://365nails.com/products/mahjong-fortune-festive-lucky-nail-art-set","Mahjong Fortune – Festive Lucky Nail Art Set")</x:f>
        <x:v>HYPERLINK is not implemented. linkLocation=https://365nails.com/products/mahjong-fortune-festive-lucky-nail-art-set, friendlyName=Mahjong Fortune – Festive Lucky Nail Art Set</x:v>
      </x:c>
      <x:c r="D6163" s="18" t="str">
        <x:v>Specification type: To4740-metal / To4834-relief</x:v>
      </x:c>
      <x:c r="E6163" s="25" t="str">
        <x:v>$1.23</x:v>
      </x:c>
      <x:c r="F6163" s="19" t="str">
        <x:v>1</x:v>
      </x:c>
    </x:row>
    <x:row r="6164" ht="93" customHeight="1">
      <x:c r="A6164" s="19" t="n">
        <x:v>6161</x:v>
      </x:c>
      <x:c r="B6164" s="22" t="e">
        <x:f>HYPERLINK("https://cdn.shopify.com/s/files/1/0918/6066/4603/files/O1CN01FYDWJX1HlX7OE62ts__2545140798-0-cib.jpg?v=1773557501","Open")</x:f>
        <x:v>HYPERLINK is not implemented. linkLocation=https://cdn.shopify.com/s/files/1/0918/6066/4603/files/O1CN01FYDWJX1HlX7OE62ts__2545140798-0-cib.jpg?v=1773557501, friendlyName=Open</x:v>
      </x:c>
      <x:c r="C6164" s="24" t="e">
        <x:f>HYPERLINK("https://365nails.com/products/sweet-candy-shell-shine-3d-embossed-nail-sticker","Sweet Candy: ""Shell Shine"" – 3D Embossed Nail Sticker")</x:f>
        <x:v>HYPERLINK is not implemented. linkLocation=https://365nails.com/products/sweet-candy-shell-shine-3d-embossed-nail-sticker, friendlyName=Sweet Candy: "Shell Shine" – 3D Embossed Nail Sticker</x:v>
      </x:c>
      <x:c r="D6164" s="18" t="str">
        <x:v>Specification type: To538-1-jelly / To5125-shell light</x:v>
      </x:c>
      <x:c r="E6164" s="25" t="str">
        <x:v>$1.23</x:v>
      </x:c>
      <x:c r="F6164" s="19" t="str">
        <x:v>5</x:v>
      </x:c>
    </x:row>
    <x:row r="6165" ht="93" customHeight="1">
      <x:c r="A6165" s="19" t="n">
        <x:v>6162</x:v>
      </x:c>
      <x:c r="B6165" s="22" t="e">
        <x:f>HYPERLINK("https://cdn.shopify.com/s/files/1/0918/6066/4603/files/O1CN01jNY1up1HlX6ZWVQAm__2545140798-0-cib.jpg?v=1773233528","Open")</x:f>
        <x:v>HYPERLINK is not implemented. linkLocation=https://cdn.shopify.com/s/files/1/0918/6066/4603/files/O1CN01jNY1up1HlX6ZWVQAm__2545140798-0-cib.jpg?v=1773233528, friendlyName=Open</x:v>
      </x:c>
      <x:c r="C6165" s="24" t="e">
        <x:f>HYPERLINK("https://365nails.com/products/royal-gem-ornament-vintage-gothic-nail-art-set","Royal Gem Ornament – Vintage Gothic Nail Art Stickers")</x:f>
        <x:v>HYPERLINK is not implemented. linkLocation=https://365nails.com/products/royal-gem-ornament-vintage-gothic-nail-art-set, friendlyName=Royal Gem Ornament – Vintage Gothic Nail Art Stickers</x:v>
      </x:c>
      <x:c r="D6165" s="18" t="str">
        <x:v>Specification type: Ms796-metal</x:v>
      </x:c>
      <x:c r="E6165" s="25" t="str">
        <x:v>$1.23</x:v>
      </x:c>
      <x:c r="F6165" s="19" t="str">
        <x:v>1</x:v>
      </x:c>
    </x:row>
    <x:row r="6166" ht="93" customHeight="1">
      <x:c r="A6166" s="19" t="n">
        <x:v>6163</x:v>
      </x:c>
      <x:c r="B6166" s="22" t="e">
        <x:f>HYPERLINK("https://cdn.shopify.com/s/files/1/0918/6066/4603/files/O1CN01aqey6A1HlX8JWOIGK__2545140798-0-cib.jpg?v=1773557621","Open")</x:f>
        <x:v>HYPERLINK is not implemented. linkLocation=https://cdn.shopify.com/s/files/1/0918/6066/4603/files/O1CN01aqey6A1HlX8JWOIGK__2545140798-0-cib.jpg?v=1773557621, friendlyName=Open</x:v>
      </x:c>
      <x:c r="C6166" s="24" t="e">
        <x:f>HYPERLINK("https://365nails.com/products/luxury-teddy-bear-big-head-teddy-3d-embossed-nail-sticker","Luxury Teddy Bear: ""Big Head Teddy"" – 3D Embossed Nail Sticker")</x:f>
        <x:v>HYPERLINK is not implemented. linkLocation=https://365nails.com/products/luxury-teddy-bear-big-head-teddy-3d-embossed-nail-sticker, friendlyName=Luxury Teddy Bear: "Big Head Teddy" – 3D Embossed Nail Sticker</x:v>
      </x:c>
      <x:c r="D6166" s="18" t="str">
        <x:v>Color: To650 / To651 / To655 / To656 / To657 / To663-relief / To664-relief / To667 / To679 / To690 / To691 / To694-relief / To695 / To696 / To697-relief / To699 / To700 / To701 / To712-relief / To713 / To715 / To717-relief / To718 / To719-relief / To720 / To721 / To722 / To723 / To728 / To729-relief / To730-relief / To739-relief / To740 / To741 / To743 / To820-relief / To821 / To823-relief / To824-relief / To825-relief / To829-relief / To830-relief / To876-relief / To877-relief / To878-relief / To884 / To936 / To937-relief / To938 / To945 / To946 / To973 / To988 / To990-relief / To1014-relief / To1090-relief / To1469-relief / To1717-relief / To1733-relief</x:v>
      </x:c>
      <x:c r="E6166" s="25" t="str">
        <x:v>$1.01</x:v>
      </x:c>
      <x:c r="F6166" s="19" t="str">
        <x:v>5</x:v>
      </x:c>
    </x:row>
    <x:row r="6167" ht="93" customHeight="1">
      <x:c r="A6167" s="19" t="n">
        <x:v>6164</x:v>
      </x:c>
      <x:c r="B6167" s="22" t="e">
        <x:f>HYPERLINK("https://cdn.shopify.com/s/files/1/0918/6066/4603/files/58aee279e4d28c3783990543843fe4e5.jpg?v=1773239719","Open")</x:f>
        <x:v>HYPERLINK is not implemented. linkLocation=https://cdn.shopify.com/s/files/1/0918/6066/4603/files/58aee279e4d28c3783990543843fe4e5.jpg?v=1773239719, friendlyName=Open</x:v>
      </x:c>
      <x:c r="C6167" s="24" t="e">
        <x:f>HYPERLINK("https://365nails.com/products/iridescent-crystal-butterfly-luxe-fairy-nail-art-set","Iridescent Crystal Butterfly – Luxe Fairy Nail Art Set")</x:f>
        <x:v>HYPERLINK is not implemented. linkLocation=https://365nails.com/products/iridescent-crystal-butterfly-luxe-fairy-nail-art-set, friendlyName=Iridescent Crystal Butterfly – Luxe Fairy Nail Art Set</x:v>
      </x:c>
      <x:c r="D6167" s="18" t="str">
        <x:v>Specification type: To3770-shell light / To3771-shell light</x:v>
      </x:c>
      <x:c r="E6167" s="25" t="str">
        <x:v>$1.23</x:v>
      </x:c>
      <x:c r="F6167" s="19" t="str">
        <x:v>1</x:v>
      </x:c>
    </x:row>
    <x:row r="6168" ht="93" customHeight="1">
      <x:c r="A6168" s="19" t="n">
        <x:v>6165</x:v>
      </x:c>
      <x:c r="B6168" s="22" t="e">
        <x:f>HYPERLINK("https://cdn.shopify.com/s/files/1/0918/6066/4603/files/O1CN01MYYHvh1HlWyC0p5Tt__2545140798-0-cib.jpg?v=1773233148","Open")</x:f>
        <x:v>HYPERLINK is not implemented. linkLocation=https://cdn.shopify.com/s/files/1/0918/6066/4603/files/O1CN01MYYHvh1HlWyC0p5Tt__2545140798-0-cib.jpg?v=1773233148, friendlyName=Open</x:v>
      </x:c>
      <x:c r="C6168" s="24" t="e">
        <x:f>HYPERLINK("https://365nails.com/products/holographic-crystal-floral-fairy-elegant-nail-art-set","Holographic Crystal Floral – Fairy Elegant Nail Art Stickers")</x:f>
        <x:v>HYPERLINK is not implemented. linkLocation=https://365nails.com/products/holographic-crystal-floral-fairy-elegant-nail-art-set, friendlyName=Holographic Crystal Floral – Fairy Elegant Nail Art Stickers</x:v>
      </x:c>
      <x:c r="D6168" s="18" t="str">
        <x:v>Specification type: Ms510-shell light / To3612</x:v>
      </x:c>
      <x:c r="E6168" s="25" t="str">
        <x:v>$1.23</x:v>
      </x:c>
      <x:c r="F6168" s="19" t="str">
        <x:v>1</x:v>
      </x:c>
    </x:row>
    <x:row r="6169" ht="93" customHeight="1">
      <x:c r="A6169" s="19" t="n">
        <x:v>6166</x:v>
      </x:c>
      <x:c r="B6169" s="22" t="e">
        <x:f>HYPERLINK("https://cdn.shopify.com/s/files/1/0918/6066/4603/files/O1CN01ixwhvu1HlX2eGqLB4__2545140798-0-cib_6e9c6a13-8c63-485b-9681-36168fddf1b4.jpg?v=1775454739","Open")</x:f>
        <x:v>HYPERLINK is not implemented. linkLocation=https://cdn.shopify.com/s/files/1/0918/6066/4603/files/O1CN01ixwhvu1HlX2eGqLB4__2545140798-0-cib_6e9c6a13-8c63-485b-9681-36168fddf1b4.jpg?v=1775454739, friendlyName=Open</x:v>
      </x:c>
      <x:c r="C6169" s="24" t="e">
        <x:f>HYPERLINK("https://365nails.com/products/365nails-monochrome-street-handmade-press-on-nails","365nails: ""Monochrome Street"" – Nail Art Stickers")</x:f>
        <x:v>HYPERLINK is not implemented. linkLocation=https://365nails.com/products/365nails-monochrome-street-handmade-press-on-nails, friendlyName=365nails: "Monochrome Street" – Nail Art Stickers</x:v>
      </x:c>
      <x:c r="D6169" s="18" t="str">
        <x:v>Specification type: Ta368-relief / Ta369-relief / Ta370-relief</x:v>
      </x:c>
      <x:c r="E6169" s="25" t="str">
        <x:v>$1.23</x:v>
      </x:c>
      <x:c r="F6169" s="19" t="str">
        <x:v>5</x:v>
      </x:c>
    </x:row>
    <x:row r="6170" ht="93" customHeight="1">
      <x:c r="A6170" s="19" t="n">
        <x:v>6167</x:v>
      </x:c>
      <x:c r="B6170" s="22" t="e">
        <x:f>HYPERLINK("https://cdn.shopify.com/s/files/1/0918/6066/4603/files/O1CN01ynDCZ81HlX61PFJ2H__2545140798-0-cib.jpg?v=1773556723","Open")</x:f>
        <x:v>HYPERLINK is not implemented. linkLocation=https://cdn.shopify.com/s/files/1/0918/6066/4603/files/O1CN01ynDCZ81HlX61PFJ2H__2545140798-0-cib.jpg?v=1773556723, friendlyName=Open</x:v>
      </x:c>
      <x:c r="C6170" s="24" t="e">
        <x:f>HYPERLINK("https://365nails.com/products/lilo-stitch-snack-time-3d-embossed-nail-sticker","Lilo &amp; Stitch: ""Snack Time"" – 3D Embossed Nail Sticker")</x:f>
        <x:v>HYPERLINK is not implemented. linkLocation=https://365nails.com/products/lilo-stitch-snack-time-3d-embossed-nail-sticker, friendlyName=Lilo &amp; Stitch: "Snack Time" – 3D Embossed Nail Sticker</x:v>
      </x:c>
      <x:c r="D6170" s="18" t="str">
        <x:v>Specification type: Tdsn003-shell light / Tdsn005-shell light</x:v>
      </x:c>
      <x:c r="E6170" s="25" t="str">
        <x:v>$1.23</x:v>
      </x:c>
      <x:c r="F6170" s="19" t="str">
        <x:v>5</x:v>
      </x:c>
    </x:row>
    <x:row r="6171" ht="93" customHeight="1">
      <x:c r="A6171" s="19" t="n">
        <x:v>6168</x:v>
      </x:c>
      <x:c r="B6171" s="22" t="e">
        <x:f>HYPERLINK("https://cdn.shopify.com/s/files/1/0918/6066/4603/files/1833aafb50d7e75073752b1ff31dbf6a.jpg?v=1773151835","Open")</x:f>
        <x:v>HYPERLINK is not implemented. linkLocation=https://cdn.shopify.com/s/files/1/0918/6066/4603/files/1833aafb50d7e75073752b1ff31dbf6a.jpg?v=1773151835, friendlyName=Open</x:v>
      </x:c>
      <x:c r="C6171" s="24" t="e">
        <x:f>HYPERLINK("https://365nails.com/products/crystal-diamond-frame-elegant-vintage-nail-art-set","Crystal Diamond Frame – Elegant Vintage Nail Art Stickers")</x:f>
        <x:v>HYPERLINK is not implemented. linkLocation=https://365nails.com/products/crystal-diamond-frame-elegant-vintage-nail-art-set, friendlyName=Crystal Diamond Frame – Elegant Vintage Nail Art Stickers</x:v>
      </x:c>
      <x:c r="D6171" s="18" t="str">
        <x:v>Specification type: To4520-crystal diamond / To4521-crystal diamond</x:v>
      </x:c>
      <x:c r="E6171" s="25" t="str">
        <x:v>$1.30</x:v>
      </x:c>
      <x:c r="F6171" s="19" t="str">
        <x:v>5</x:v>
      </x:c>
    </x:row>
    <x:row r="6172" ht="93" customHeight="1">
      <x:c r="A6172" s="19" t="n">
        <x:v>6169</x:v>
      </x:c>
      <x:c r="B6172" s="22" t="e">
        <x:f>HYPERLINK("https://cdn.shopify.com/s/files/1/0918/6066/4603/files/10d50d0a3c6c22a0cb2cee4fd1ef8205.jpg?v=1773151206","Open")</x:f>
        <x:v>HYPERLINK is not implemented. linkLocation=https://cdn.shopify.com/s/files/1/0918/6066/4603/files/10d50d0a3c6c22a0cb2cee4fd1ef8205.jpg?v=1773151206, friendlyName=Open</x:v>
      </x:c>
      <x:c r="C6172" s="24" t="e">
        <x:f>HYPERLINK("https://365nails.com/products/sakura-petal-gold-accent-elegant-floral-nail-art-set","Sakura Petal Gold Accent – Elegant Floral Nail Art Stickers")</x:f>
        <x:v>HYPERLINK is not implemented. linkLocation=https://365nails.com/products/sakura-petal-gold-accent-elegant-floral-nail-art-set, friendlyName=Sakura Petal Gold Accent – Elegant Floral Nail Art Stickers</x:v>
      </x:c>
      <x:c r="D6172" s="18" t="str">
        <x:v>Specification type: Ms935-hot stamping / Ms936-hot stamping</x:v>
      </x:c>
      <x:c r="E6172" s="25" t="str">
        <x:v>$1.23</x:v>
      </x:c>
      <x:c r="F6172" s="19" t="str">
        <x:v>5</x:v>
      </x:c>
    </x:row>
    <x:row r="6173" ht="93" customHeight="1">
      <x:c r="A6173" s="19" t="n">
        <x:v>6170</x:v>
      </x:c>
      <x:c r="B6173" s="22" t="e">
        <x:f>HYPERLINK("https://cdn.shopify.com/s/files/1/0918/6066/4603/files/6ec4be5a7826275b22d5a4ee41219c77.jpg?v=1773320544","Open")</x:f>
        <x:v>HYPERLINK is not implemented. linkLocation=https://cdn.shopify.com/s/files/1/0918/6066/4603/files/6ec4be5a7826275b22d5a4ee41219c77.jpg?v=1773320544, friendlyName=Open</x:v>
      </x:c>
      <x:c r="C6173" s="24" t="e">
        <x:f>HYPERLINK("https://365nails.com/products/silver-bunny-kawaii-cute-nail-art-set","Silver Bunny – Kawaii Cute Nail Art Set")</x:f>
        <x:v>HYPERLINK is not implemented. linkLocation=https://365nails.com/products/silver-bunny-kawaii-cute-nail-art-set, friendlyName=Silver Bunny – Kawaii Cute Nail Art Set</x:v>
      </x:c>
      <x:c r="D6173" s="18" t="str">
        <x:v>Specification type: To5600-hot stamping</x:v>
      </x:c>
      <x:c r="E6173" s="25" t="str">
        <x:v>$1.23</x:v>
      </x:c>
      <x:c r="F6173" s="19" t="str">
        <x:v>1</x:v>
      </x:c>
    </x:row>
    <x:row r="6174" ht="93" customHeight="1">
      <x:c r="A6174" s="19" t="n">
        <x:v>6171</x:v>
      </x:c>
      <x:c r="B6174" s="22" t="e">
        <x:f>HYPERLINK("https://cdn.shopify.com/s/files/1/0918/6066/4603/files/e7e9ed75c5ac8159f19f870044d5232c.jpg?v=1773151973","Open")</x:f>
        <x:v>HYPERLINK is not implemented. linkLocation=https://cdn.shopify.com/s/files/1/0918/6066/4603/files/e7e9ed75c5ac8159f19f870044d5232c.jpg?v=1773151973, friendlyName=Open</x:v>
      </x:c>
      <x:c r="C6174" s="24" t="e">
        <x:f>HYPERLINK("https://365nails.com/products/black-pink-y2k-metal-cool-gothic-nail-art-set","Black Pink Y2K Metal – Cool Gothic Nail Art Stickers")</x:f>
        <x:v>HYPERLINK is not implemented. linkLocation=https://365nails.com/products/black-pink-y2k-metal-cool-gothic-nail-art-set, friendlyName=Black Pink Y2K Metal – Cool Gothic Nail Art Stickers</x:v>
      </x:c>
      <x:c r="D6174" s="18" t="str">
        <x:v>Specification type: To5630-hot stamping</x:v>
      </x:c>
      <x:c r="E6174" s="25" t="str">
        <x:v>$1.23</x:v>
      </x:c>
      <x:c r="F6174" s="19" t="str">
        <x:v>1</x:v>
      </x:c>
    </x:row>
    <x:row r="6175" ht="93" customHeight="1">
      <x:c r="A6175" s="19" t="n">
        <x:v>6172</x:v>
      </x:c>
      <x:c r="B6175" s="22" t="e">
        <x:f>HYPERLINK("https://cdn.shopify.com/s/files/1/0918/6066/4603/files/a99f002df97e31dfb0b5ddb907b6577e.jpg?v=1773147870","Open")</x:f>
        <x:v>HYPERLINK is not implemented. linkLocation=https://cdn.shopify.com/s/files/1/0918/6066/4603/files/a99f002df97e31dfb0b5ddb907b6577e.jpg?v=1773147870, friendlyName=Open</x:v>
      </x:c>
      <x:c r="C6175" s="24" t="e">
        <x:f>HYPERLINK("https://365nails.com/products/vintage-floral-frame-emboss-romantic-french-nail-art-set","Vintage Floral Frame Emboss – Romantic French Nail Art Stickers")</x:f>
        <x:v>HYPERLINK is not implemented. linkLocation=https://365nails.com/products/vintage-floral-frame-emboss-romantic-french-nail-art-set, friendlyName=Vintage Floral Frame Emboss – Romantic French Nail Art Stickers</x:v>
      </x:c>
      <x:c r="D6175" s="18" t="str">
        <x:v>Specification type: To5103-relief</x:v>
      </x:c>
      <x:c r="E6175" s="25" t="str">
        <x:v>$1.23</x:v>
      </x:c>
      <x:c r="F6175" s="19" t="str">
        <x:v>5</x:v>
      </x:c>
    </x:row>
    <x:row r="6176" ht="93" customHeight="1">
      <x:c r="A6176" s="19" t="n">
        <x:v>6173</x:v>
      </x:c>
      <x:c r="B6176" s="22" t="e">
        <x:f>HYPERLINK("https://cdn.shopify.com/s/files/1/0918/6066/4603/files/O1CN01wH9fv41HlX060P72P__2545140798-0-cib_2289a1e3-6741-4f67-b889-d5300fb93720.jpg?v=1775805962","Open")</x:f>
        <x:v>HYPERLINK is not implemented. linkLocation=https://cdn.shopify.com/s/files/1/0918/6066/4603/files/O1CN01wH9fv41HlX060P72P__2545140798-0-cib_2289a1e3-6741-4f67-b889-d5300fb93720.jpg?v=1775805962, friendlyName=Open</x:v>
      </x:c>
      <x:c r="C6176" s="24" t="e">
        <x:f>HYPERLINK("https://365nails.com/products/365nails-holographic-crystal-blue-butterfly-handmade-press-on-nails","365nails: ""Holographic Crystal Blue Butterfly"" – Nail Art Stickers")</x:f>
        <x:v>HYPERLINK is not implemented. linkLocation=https://365nails.com/products/365nails-holographic-crystal-blue-butterfly-handmade-press-on-nails, friendlyName=365nails: "Holographic Crystal Blue Butterfly" – Nail Art Stickers</x:v>
      </x:c>
      <x:c r="D6176" s="18" t="str">
        <x:v>Specification type: To3861-crystal diamond / To3862-crystal diamond</x:v>
      </x:c>
      <x:c r="E6176" s="25" t="str">
        <x:v>$1.30</x:v>
      </x:c>
      <x:c r="F6176" s="19" t="str">
        <x:v>5</x:v>
      </x:c>
    </x:row>
    <x:row r="6177" ht="93" customHeight="1">
      <x:c r="A6177" s="19" t="n">
        <x:v>6174</x:v>
      </x:c>
      <x:c r="B6177" s="22" t="e">
        <x:f>HYPERLINK("https://cdn.shopify.com/s/files/1/0918/6066/4603/files/O1CN01RpcjKX1HlWm7n0GGq__2545140798-0-cib.jpg?v=1773558827","Open")</x:f>
        <x:v>HYPERLINK is not implemented. linkLocation=https://cdn.shopify.com/s/files/1/0918/6066/4603/files/O1CN01RpcjKX1HlWm7n0GGq__2545140798-0-cib.jpg?v=1773558827, friendlyName=Open</x:v>
      </x:c>
      <x:c r="C6177" s="24" t="e">
        <x:f>HYPERLINK("https://365nails.com/products/pet-valentine-vintage-pet-couple-3d-embossed-nail-sticker","Pet Valentine: ""Vintage Pet Couple"" – 3D Embossed Nail Sticker")</x:f>
        <x:v>HYPERLINK is not implemented. linkLocation=https://365nails.com/products/pet-valentine-vintage-pet-couple-3d-embossed-nail-sticker, friendlyName=Pet Valentine: "Vintage Pet Couple" – 3D Embossed Nail Sticker</x:v>
      </x:c>
      <x:c r="D6177" s="18" t="str">
        <x:v>Specification type: To881</x:v>
      </x:c>
      <x:c r="E6177" s="25" t="str">
        <x:v>$1.09</x:v>
      </x:c>
      <x:c r="F6177" s="19" t="str">
        <x:v>5</x:v>
      </x:c>
    </x:row>
    <x:row r="6178" ht="93" customHeight="1">
      <x:c r="A6178" s="19" t="n">
        <x:v>6175</x:v>
      </x:c>
      <x:c r="B6178" s="22" t="e">
        <x:f>HYPERLINK("https://cdn.shopify.com/s/files/1/0918/6066/4603/files/cef1ecfbdd706cf6d23a5b28c25effaf.jpg?v=1773319926","Open")</x:f>
        <x:v>HYPERLINK is not implemented. linkLocation=https://cdn.shopify.com/s/files/1/0918/6066/4603/files/cef1ecfbdd706cf6d23a5b28c25effaf.jpg?v=1773319926, friendlyName=Open</x:v>
      </x:c>
      <x:c r="C6178" s="24" t="e">
        <x:f>HYPERLINK("https://365nails.com/products/vintage-enamel-flower-retro-elegant-nail-art-set","Vintage Enamel Flower – Retro Elegant Nail Art Set")</x:f>
        <x:v>HYPERLINK is not implemented. linkLocation=https://365nails.com/products/vintage-enamel-flower-retro-elegant-nail-art-set, friendlyName=Vintage Enamel Flower – Retro Elegant Nail Art Set</x:v>
      </x:c>
      <x:c r="D6178" s="18" t="str">
        <x:v>Specification type: To5607-hot stamping / To5619-hot stamping</x:v>
      </x:c>
      <x:c r="E6178" s="25" t="str">
        <x:v>$1.23</x:v>
      </x:c>
      <x:c r="F6178" s="19" t="str">
        <x:v>1</x:v>
      </x:c>
    </x:row>
    <x:row r="6179" ht="93" customHeight="1">
      <x:c r="A6179" s="19" t="n">
        <x:v>6176</x:v>
      </x:c>
      <x:c r="B6179" s="22" t="e">
        <x:f>HYPERLINK("https://cdn.shopify.com/s/files/1/0918/6066/4603/files/O1CN01hPOAkV1HlX0EswtYd__2545140798-0-cib.jpg?v=1773320468","Open")</x:f>
        <x:v>HYPERLINK is not implemented. linkLocation=https://cdn.shopify.com/s/files/1/0918/6066/4603/files/O1CN01hPOAkV1HlX0EswtYd__2545140798-0-cib.jpg?v=1773320468, friendlyName=Open</x:v>
      </x:c>
      <x:c r="C6179" s="24" t="e">
        <x:f>HYPERLINK("https://365nails.com/products/iridescent-crystal-butterfly-fairy-luxe-nail-art-set","Iridescent Crystal Butterfly – Fairy Luxe Nail Art Set")</x:f>
        <x:v>HYPERLINK is not implemented. linkLocation=https://365nails.com/products/iridescent-crystal-butterfly-fairy-luxe-nail-art-set, friendlyName=Iridescent Crystal Butterfly – Fairy Luxe Nail Art Set</x:v>
      </x:c>
      <x:c r="D6179" s="18" t="str">
        <x:v>Specification type: Ms574-crystal diamond</x:v>
      </x:c>
      <x:c r="E6179" s="25" t="str">
        <x:v>$1.30</x:v>
      </x:c>
      <x:c r="F6179" s="19" t="str">
        <x:v>1</x:v>
      </x:c>
    </x:row>
    <x:row r="6180" ht="93" customHeight="1">
      <x:c r="A6180" s="19" t="n">
        <x:v>6177</x:v>
      </x:c>
      <x:c r="B6180" s="22" t="e">
        <x:f>HYPERLINK("https://cdn.shopify.com/s/files/1/0918/6066/4603/files/9f55c9a0026ee807bb5380b202c26c3f.jpg?v=1773240105","Open")</x:f>
        <x:v>HYPERLINK is not implemented. linkLocation=https://cdn.shopify.com/s/files/1/0918/6066/4603/files/9f55c9a0026ee807bb5380b202c26c3f.jpg?v=1773240105, friendlyName=Open</x:v>
      </x:c>
      <x:c r="C6180" s="24" t="e">
        <x:f>HYPERLINK("https://365nails.com/products/lucky-lion-dance-festive-chinese-new-year-nail-art-set","Lucky Lion Dance – Festive Chinese New Year Nail Art Set")</x:f>
        <x:v>HYPERLINK is not implemented. linkLocation=https://365nails.com/products/lucky-lion-dance-festive-chinese-new-year-nail-art-set, friendlyName=Lucky Lion Dance – Festive Chinese New Year Nail Art Set</x:v>
      </x:c>
      <x:c r="D6180" s="18" t="str">
        <x:v>Specification type: To5368-relief / To5369-relief / To5379-relief</x:v>
      </x:c>
      <x:c r="E6180" s="25" t="str">
        <x:v>$1.23</x:v>
      </x:c>
      <x:c r="F6180" s="19" t="str">
        <x:v>1</x:v>
      </x:c>
    </x:row>
    <x:row r="6181" ht="93" customHeight="1">
      <x:c r="A6181" s="19" t="n">
        <x:v>6178</x:v>
      </x:c>
      <x:c r="B6181" s="22" t="e">
        <x:f>HYPERLINK("https://cdn.shopify.com/s/files/1/0918/6066/4603/files/O1CN01Xz5iqv1HlWw03P74m__2545140798-0-cib.jpg?v=1773558055","Open")</x:f>
        <x:v>HYPERLINK is not implemented. linkLocation=https://cdn.shopify.com/s/files/1/0918/6066/4603/files/O1CN01Xz5iqv1HlWw03P74m__2545140798-0-cib.jpg?v=1773558055, friendlyName=Open</x:v>
      </x:c>
      <x:c r="C6181" s="24" t="e">
        <x:f>HYPERLINK("https://365nails.com/products/holographic-script-holographic-pink-3d-embossed-nail-sticker","Holographic Script: ""Holographic Pink"" – 3D Embossed Nail Sticker")</x:f>
        <x:v>HYPERLINK is not implemented. linkLocation=https://365nails.com/products/holographic-script-holographic-pink-3d-embossed-nail-sticker, friendlyName=Holographic Script: "Holographic Pink" – 3D Embossed Nail Sticker</x:v>
      </x:c>
      <x:c r="D6181" s="18" t="str">
        <x:v>Specification type: Ms430-laser powder / Ms430-new hot stamping / Ms430-silver / Ms431-laser powder / Ms431-new hot stamping / Ms431-silver</x:v>
      </x:c>
      <x:c r="E6181" s="25" t="str">
        <x:v>$1.23</x:v>
      </x:c>
      <x:c r="F6181" s="19" t="str">
        <x:v>5</x:v>
      </x:c>
    </x:row>
    <x:row r="6182" ht="93" customHeight="1">
      <x:c r="A6182" s="19" t="n">
        <x:v>6179</x:v>
      </x:c>
      <x:c r="B6182" s="22" t="e">
        <x:f>HYPERLINK("https://cdn.shopify.com/s/files/1/0918/6066/4603/files/168b3476a3899711f853fbc608bd53de.jpg?v=1773151270","Open")</x:f>
        <x:v>HYPERLINK is not implemented. linkLocation=https://cdn.shopify.com/s/files/1/0918/6066/4603/files/168b3476a3899711f853fbc608bd53de.jpg?v=1773151270, friendlyName=Open</x:v>
      </x:c>
      <x:c r="C6182" s="24" t="e">
        <x:f>HYPERLINK("https://365nails.com/products/holographic-seashell-star-ocean-dream-nail-art-set","Holographic Seashell Star – Ocean Dream Nail Art Stickers")</x:f>
        <x:v>HYPERLINK is not implemented. linkLocation=https://365nails.com/products/holographic-seashell-star-ocean-dream-nail-art-set, friendlyName=Holographic Seashell Star – Ocean Dream Nail Art Stickers</x:v>
      </x:c>
      <x:c r="D6182" s="18" t="str">
        <x:v>Specification type: Ms565-shell light / Ms566-shell light</x:v>
      </x:c>
      <x:c r="E6182" s="25" t="str">
        <x:v>$1.23</x:v>
      </x:c>
      <x:c r="F6182" s="19" t="str">
        <x:v>5</x:v>
      </x:c>
    </x:row>
    <x:row r="6183" ht="93" customHeight="1">
      <x:c r="A6183" s="19" t="n">
        <x:v>6180</x:v>
      </x:c>
      <x:c r="B6183" s="22" t="e">
        <x:f>HYPERLINK("https://cdn.shopify.com/s/files/1/0918/6066/4603/files/2b4f01da8f56250b96ac5f28f06399c5.jpg?v=1773320750","Open")</x:f>
        <x:v>HYPERLINK is not implemented. linkLocation=https://cdn.shopify.com/s/files/1/0918/6066/4603/files/2b4f01da8f56250b96ac5f28f06399c5.jpg?v=1773320750, friendlyName=Open</x:v>
      </x:c>
      <x:c r="C6183" s="24" t="e">
        <x:f>HYPERLINK("https://365nails.com/products/denim-cowboy-patch-retro-y2k-nail-art-set","Denim Cowboy Patch – Retro Y2K Nail Art Set")</x:f>
        <x:v>HYPERLINK is not implemented. linkLocation=https://365nails.com/products/denim-cowboy-patch-retro-y2k-nail-art-set, friendlyName=Denim Cowboy Patch – Retro Y2K Nail Art Set</x:v>
      </x:c>
      <x:c r="D6183" s="18" t="str">
        <x:v>Specification type: To5349-relief / To5350-relief</x:v>
      </x:c>
      <x:c r="E6183" s="25" t="str">
        <x:v>$1.23</x:v>
      </x:c>
      <x:c r="F6183" s="19" t="str">
        <x:v>1</x:v>
      </x:c>
    </x:row>
    <x:row r="6184" ht="93" customHeight="1">
      <x:c r="A6184" s="19" t="n">
        <x:v>6181</x:v>
      </x:c>
      <x:c r="B6184" s="22" t="e">
        <x:f>HYPERLINK("https://cdn.shopify.com/s/files/1/0918/6066/4603/files/faad5b2179dbafeeb9c143dafa0b6a47.jpg?v=1773235066","Open")</x:f>
        <x:v>HYPERLINK is not implemented. linkLocation=https://cdn.shopify.com/s/files/1/0918/6066/4603/files/faad5b2179dbafeeb9c143dafa0b6a47.jpg?v=1773235066, friendlyName=Open</x:v>
      </x:c>
      <x:c r="C6184" s="24" t="e">
        <x:f>HYPERLINK("https://365nails.com/products/iridescent-ocean-wonderland-magical-mermaid-nail-art-set","Iridescent Ocean Wonderland – Magical Mermaid Nail Art Set")</x:f>
        <x:v>HYPERLINK is not implemented. linkLocation=https://365nails.com/products/iridescent-ocean-wonderland-magical-mermaid-nail-art-set, friendlyName=Iridescent Ocean Wonderland – Magical Mermaid Nail Art Set</x:v>
      </x:c>
      <x:c r="D6184" s="18" t="str">
        <x:v>Specification type: To4861-jelly / To5038-shell light</x:v>
      </x:c>
      <x:c r="E6184" s="25" t="str">
        <x:v>$1.23</x:v>
      </x:c>
      <x:c r="F6184" s="19" t="str">
        <x:v>1</x:v>
      </x:c>
    </x:row>
    <x:row r="6185" ht="93" customHeight="1">
      <x:c r="A6185" s="19" t="n">
        <x:v>6182</x:v>
      </x:c>
      <x:c r="B6185" s="22" t="e">
        <x:f>HYPERLINK("https://cdn.shopify.com/s/files/1/0918/6066/4603/files/796ae4efcc98a50d270b14f303be679c.jpg?v=1773322322","Open")</x:f>
        <x:v>HYPERLINK is not implemented. linkLocation=https://cdn.shopify.com/s/files/1/0918/6066/4603/files/796ae4efcc98a50d270b14f303be679c.jpg?v=1773322322, friendlyName=Open</x:v>
      </x:c>
      <x:c r="C6185" s="24" t="e">
        <x:f>HYPERLINK("https://365nails.com/products/holographic-firework-daisy-festive-glam-nail-art-set","Holographic Firework Daisy – Festive Glam Nail Art Set")</x:f>
        <x:v>HYPERLINK is not implemented. linkLocation=https://365nails.com/products/holographic-firework-daisy-festive-glam-nail-art-set, friendlyName=Holographic Firework Daisy – Festive Glam Nail Art Set</x:v>
      </x:c>
      <x:c r="D6185" s="18" t="str">
        <x:v>Specification type: To4804-1-metal / To4804-metal / To4830-shell light</x:v>
      </x:c>
      <x:c r="E6185" s="25" t="str">
        <x:v>$1.23</x:v>
      </x:c>
      <x:c r="F6185" s="19" t="str">
        <x:v>1</x:v>
      </x:c>
    </x:row>
    <x:row r="6186" ht="93" customHeight="1">
      <x:c r="A6186" s="19" t="n">
        <x:v>6183</x:v>
      </x:c>
      <x:c r="B6186" s="22" t="e">
        <x:f>HYPERLINK("https://cdn.shopify.com/s/files/1/0918/6066/4603/files/O1CN0156GPn41HlWyXWSsyJ__2545140798-0-cib.jpg?v=1773322241","Open")</x:f>
        <x:v>HYPERLINK is not implemented. linkLocation=https://cdn.shopify.com/s/files/1/0918/6066/4603/files/O1CN0156GPn41HlWyXWSsyJ__2545140798-0-cib.jpg?v=1773322241, friendlyName=Open</x:v>
      </x:c>
      <x:c r="C6186" s="24" t="e">
        <x:f>HYPERLINK("https://365nails.com/products/egyptian-mystic-cat-vintage-gothic-nail-art-set","Egyptian Mystic Cat – Vintage Gothic Nail Art Set")</x:f>
        <x:v>HYPERLINK is not implemented. linkLocation=https://365nails.com/products/egyptian-mystic-cat-vintage-gothic-nail-art-set, friendlyName=Egyptian Mystic Cat – Vintage Gothic Nail Art Set</x:v>
      </x:c>
      <x:c r="D6186" s="18" t="str">
        <x:v>Specification type: To3659-new hot stamping</x:v>
      </x:c>
      <x:c r="E6186" s="25" t="str">
        <x:v>$1.38</x:v>
      </x:c>
      <x:c r="F6186" s="19" t="str">
        <x:v>1</x:v>
      </x:c>
    </x:row>
    <x:row r="6187" ht="93" customHeight="1">
      <x:c r="A6187" s="19" t="n">
        <x:v>6184</x:v>
      </x:c>
      <x:c r="B6187" s="22" t="e">
        <x:f>HYPERLINK("https://cdn.shopify.com/s/files/1/0918/6066/4603/files/2cb1750c2eacae37883ead216fca0d62.jpg?v=1773472807","Open")</x:f>
        <x:v>HYPERLINK is not implemented. linkLocation=https://cdn.shopify.com/s/files/1/0918/6066/4603/files/2cb1750c2eacae37883ead216fca0d62.jpg?v=1773472807, friendlyName=Open</x:v>
      </x:c>
      <x:c r="C6187" s="24" t="e">
        <x:f>HYPERLINK("https://365nails.com/products/playful-bunny-cat-3d-embossed-nail-sticker","Playful Bunny &amp; Cat – 3D Embossed Nail Sticker")</x:f>
        <x:v>HYPERLINK is not implemented. linkLocation=https://365nails.com/products/playful-bunny-cat-3d-embossed-nail-sticker, friendlyName=Playful Bunny &amp; Cat – 3D Embossed Nail Sticker</x:v>
      </x:c>
      <x:c r="D6187" s="18" t="str">
        <x:v>Specification type: To4122-relief / To4123-relief / To4873-relief</x:v>
      </x:c>
      <x:c r="E6187" s="25" t="str">
        <x:v>$1.23</x:v>
      </x:c>
      <x:c r="F6187" s="19" t="str">
        <x:v>5</x:v>
      </x:c>
    </x:row>
    <x:row r="6188" ht="93" customHeight="1">
      <x:c r="A6188" s="19" t="n">
        <x:v>6185</x:v>
      </x:c>
      <x:c r="B6188" s="22" t="e">
        <x:f>HYPERLINK("https://cdn.shopify.com/s/files/1/0918/6066/4603/files/72cc6de121529b0bf3a8e41d0e7aa843.jpg?v=1773234493","Open")</x:f>
        <x:v>HYPERLINK is not implemented. linkLocation=https://cdn.shopify.com/s/files/1/0918/6066/4603/files/72cc6de121529b0bf3a8e41d0e7aa843.jpg?v=1773234493, friendlyName=Open</x:v>
      </x:c>
      <x:c r="C6188" s="24" t="e">
        <x:f>HYPERLINK("https://365nails.com/products/pink-cherry-blossom-gourd-elegant-oriental-nail-art-set","Pink Cherry Blossom Gourd – Elegant Oriental Nail Art Stickers")</x:f>
        <x:v>HYPERLINK is not implemented. linkLocation=https://365nails.com/products/pink-cherry-blossom-gourd-elegant-oriental-nail-art-set, friendlyName=Pink Cherry Blossom Gourd – Elegant Oriental Nail Art Stickers</x:v>
      </x:c>
      <x:c r="D6188" s="18" t="str">
        <x:v>Specification type: To5620-hot stamping / To5627-hot stamping / To5628-hot stamping / To5644-hot stamping</x:v>
      </x:c>
      <x:c r="E6188" s="25" t="str">
        <x:v>$1.23</x:v>
      </x:c>
      <x:c r="F6188" s="19" t="str">
        <x:v>1</x:v>
      </x:c>
    </x:row>
    <x:row r="6189" ht="93" customHeight="1">
      <x:c r="A6189" s="19" t="n">
        <x:v>6186</x:v>
      </x:c>
      <x:c r="B6189" s="22" t="e">
        <x:f>HYPERLINK("https://cdn.shopify.com/s/files/1/0918/6066/4603/files/f692760ea9f021971e84541d5f9ca2f5.jpg?v=1773235409","Open")</x:f>
        <x:v>HYPERLINK is not implemented. linkLocation=https://cdn.shopify.com/s/files/1/0918/6066/4603/files/f692760ea9f021971e84541d5f9ca2f5.jpg?v=1773235409, friendlyName=Open</x:v>
      </x:c>
      <x:c r="C6189" s="24" t="e">
        <x:f>HYPERLINK("https://365nails.com/products/iridescent-unicorn-sky-dreamy-magical-nail-art-set","Iridescent Unicorn Sky – Dreamy Magical Nail Art Set")</x:f>
        <x:v>HYPERLINK is not implemented. linkLocation=https://365nails.com/products/iridescent-unicorn-sky-dreamy-magical-nail-art-set, friendlyName=Iridescent Unicorn Sky – Dreamy Magical Nail Art Set</x:v>
      </x:c>
      <x:c r="D6189" s="18" t="str">
        <x:v>Specification type: To5493-shell light / To5494-glitter</x:v>
      </x:c>
      <x:c r="E6189" s="25" t="str">
        <x:v>$1.23</x:v>
      </x:c>
      <x:c r="F6189" s="19" t="str">
        <x:v>1</x:v>
      </x:c>
    </x:row>
    <x:row r="6190" ht="93" customHeight="1">
      <x:c r="A6190" s="19" t="n">
        <x:v>6187</x:v>
      </x:c>
      <x:c r="B6190" s="22" t="e">
        <x:f>HYPERLINK("https://cdn.shopify.com/s/files/1/0918/6066/4603/files/bb6a6a266266db4d6edf47f84f126a57.jpg?v=1773470391","Open")</x:f>
        <x:v>HYPERLINK is not implemented. linkLocation=https://cdn.shopify.com/s/files/1/0918/6066/4603/files/bb6a6a266266db4d6edf47f84f126a57.jpg?v=1773470391, friendlyName=Open</x:v>
      </x:c>
      <x:c r="C6190" s="24" t="e">
        <x:f>HYPERLINK("https://365nails.com/products/cute-puppy-collection-playful-puppy-3d-embossed-nail-sticker","Cute Puppy Collection: ""Playful Puppy"" – 3D Embossed Nail Sticker")</x:f>
        <x:v>HYPERLINK is not implemented. linkLocation=https://365nails.com/products/cute-puppy-collection-playful-puppy-3d-embossed-nail-sticker, friendlyName=Cute Puppy Collection: "Playful Puppy" – 3D Embossed Nail Sticker</x:v>
      </x:c>
      <x:c r="D6190" s="18" t="str">
        <x:v>Specification type: To5142-relief / To5152-relief</x:v>
      </x:c>
      <x:c r="E6190" s="25" t="str">
        <x:v>$1.23</x:v>
      </x:c>
      <x:c r="F6190" s="19" t="str">
        <x:v>5</x:v>
      </x:c>
    </x:row>
    <x:row r="6191" ht="93" customHeight="1">
      <x:c r="A6191" s="19" t="n">
        <x:v>6188</x:v>
      </x:c>
      <x:c r="B6191" s="22" t="e">
        <x:f>HYPERLINK("https://cdn.shopify.com/s/files/1/0918/6066/4603/files/77d2ffa7b338aa2fc962ea44bc83e338.jpg?v=1773470485","Open")</x:f>
        <x:v>HYPERLINK is not implemented. linkLocation=https://cdn.shopify.com/s/files/1/0918/6066/4603/files/77d2ffa7b338aa2fc962ea44bc83e338.jpg?v=1773470485, friendlyName=Open</x:v>
      </x:c>
      <x:c r="C6191" s="24" t="e">
        <x:f>HYPERLINK("https://365nails.com/products/luxury-butterfly-chain-collection-delicate-butterfly-chain-3d-embossed-nail-sticker","Luxury Butterfly Chain Collection: ""Delicate Butterfly Chain"" – 3D Embossed Nail Sticker")</x:f>
        <x:v>HYPERLINK is not implemented. linkLocation=https://365nails.com/products/luxury-butterfly-chain-collection-delicate-butterfly-chain-3d-embossed-nail-sticker, friendlyName=Luxury Butterfly Chain Collection: "Delicate Butterfly Chain" – 3D Embossed Nail Sticker</x:v>
      </x:c>
      <x:c r="D6191" s="18" t="str">
        <x:v>Specification type: To3457-new hot stamping / To3457-silver / To3458-relief / To3459-relief</x:v>
      </x:c>
      <x:c r="E6191" s="25" t="str">
        <x:v>$1.23</x:v>
      </x:c>
      <x:c r="F6191" s="19" t="str">
        <x:v>5</x:v>
      </x:c>
    </x:row>
    <x:row r="6192" ht="93" customHeight="1">
      <x:c r="A6192" s="19" t="n">
        <x:v>6189</x:v>
      </x:c>
      <x:c r="B6192" s="22" t="e">
        <x:f>HYPERLINK("https://cdn.shopify.com/s/files/1/0918/6066/4603/files/dc28e81581c6ffff7bdac7ac805ac362.jpg?v=1775221380","Open")</x:f>
        <x:v>HYPERLINK is not implemented. linkLocation=https://cdn.shopify.com/s/files/1/0918/6066/4603/files/dc28e81581c6ffff7bdac7ac805ac362.jpg?v=1775221380, friendlyName=Open</x:v>
      </x:c>
      <x:c r="C6192" s="24" t="e">
        <x:f>HYPERLINK("https://365nails.com/products/script-elegance-crimson-devotion-long-stiletto-press-on-nails","Script Elegance: ""Crimson Devotion"" – Long Stiletto Press-on Nails")</x:f>
        <x:v>HYPERLINK is not implemented. linkLocation=https://365nails.com/products/script-elegance-crimson-devotion-long-stiletto-press-on-nails, friendlyName=Script Elegance: "Crimson Devotion" – Long Stiletto Press-on Nails</x:v>
      </x:c>
      <x:c r="D6192" s="18" t="str">
        <x:v>Size: XS / S / M / L</x:v>
      </x:c>
      <x:c r="E6192" s="25" t="str">
        <x:v>$3.99</x:v>
      </x:c>
      <x:c r="F6192" s="19" t="str">
        <x:v>3</x:v>
      </x:c>
    </x:row>
    <x:row r="6193" ht="93" customHeight="1">
      <x:c r="A6193" s="19" t="n">
        <x:v>6190</x:v>
      </x:c>
      <x:c r="B6193" s="22" t="e">
        <x:f>HYPERLINK("https://cdn.shopify.com/s/files/1/0918/6066/4603/files/d09778907caebfa0d203a3c7bc9a553d.jpg?v=1773468528","Open")</x:f>
        <x:v>HYPERLINK is not implemented. linkLocation=https://cdn.shopify.com/s/files/1/0918/6066/4603/files/d09778907caebfa0d203a3c7bc9a553d.jpg?v=1773468528, friendlyName=Open</x:v>
      </x:c>
      <x:c r="C6193" s="24" t="e">
        <x:f>HYPERLINK("https://365nails.com/products/silver-floral-collection-elegant-silver-orchid-3d-embossed-nail-sticker","Silver Floral Collection: ""Elegant Silver Orchid"" – 3D Embossed Nail Sticker")</x:f>
        <x:v>HYPERLINK is not implemented. linkLocation=https://365nails.com/products/silver-floral-collection-elegant-silver-orchid-3d-embossed-nail-sticker, friendlyName=Silver Floral Collection: "Elegant Silver Orchid" – 3D Embossed Nail Sticker</x:v>
      </x:c>
      <x:c r="D6193" s="18" t="str">
        <x:v>Specification type: To5209-new hot stamping / To5209-silver / To5228-new hot stamping / To5228-silver</x:v>
      </x:c>
      <x:c r="E6193" s="25" t="str">
        <x:v>$1.23</x:v>
      </x:c>
      <x:c r="F6193" s="19" t="str">
        <x:v>5</x:v>
      </x:c>
    </x:row>
    <x:row r="6194" ht="93" customHeight="1">
      <x:c r="A6194" s="19" t="n">
        <x:v>6191</x:v>
      </x:c>
      <x:c r="B6194" s="22" t="e">
        <x:f>HYPERLINK("https://cdn.shopify.com/s/files/1/0918/6066/4603/files/O1CN01d5LsLV1HlXB5x73bq__2545140798-0-cib.jpg?v=1773469559","Open")</x:f>
        <x:v>HYPERLINK is not implemented. linkLocation=https://cdn.shopify.com/s/files/1/0918/6066/4603/files/O1CN01d5LsLV1HlXB5x73bq__2545140798-0-cib.jpg?v=1773469559, friendlyName=Open</x:v>
      </x:c>
      <x:c r="C6194" s="24" t="e">
        <x:f>HYPERLINK("https://365nails.com/products/glitter-apple-collection-shiny-glitter-apple-3d-embossed-nail-sticker","Glitter Apple Collection: ""Shiny Glitter Apple"" – 3D Embossed Nail Sticker")</x:f>
        <x:v>HYPERLINK is not implemented. linkLocation=https://365nails.com/products/glitter-apple-collection-shiny-glitter-apple-3d-embossed-nail-sticker, friendlyName=Glitter Apple Collection: "Shiny Glitter Apple" – 3D Embossed Nail Sticker</x:v>
      </x:c>
      <x:c r="D6194" s="18" t="str">
        <x:v>Specification type: To5584-jelly glitter</x:v>
      </x:c>
      <x:c r="E6194" s="25" t="str">
        <x:v>$1.23</x:v>
      </x:c>
      <x:c r="F6194" s="19" t="str">
        <x:v>5</x:v>
      </x:c>
    </x:row>
    <x:row r="6195" ht="93" customHeight="1">
      <x:c r="A6195" s="19" t="n">
        <x:v>6192</x:v>
      </x:c>
      <x:c r="B6195" s="22" t="e">
        <x:f>HYPERLINK("https://cdn.shopify.com/s/files/1/0918/6066/4603/files/c95b5e9b6737bd33cce48892a29be085.jpg?v=1773469395","Open")</x:f>
        <x:v>HYPERLINK is not implemented. linkLocation=https://cdn.shopify.com/s/files/1/0918/6066/4603/files/c95b5e9b6737bd33cce48892a29be085.jpg?v=1773469395, friendlyName=Open</x:v>
      </x:c>
      <x:c r="C6195" s="24" t="e">
        <x:f>HYPERLINK("https://365nails.com/products/cherry-bunny-collection-cute-cherry-bunny-3d-embossed-nail-sticker","Cherry Bunny Collection: ""Cute Cherry Bunny"" – 3D Embossed Nail Sticker")</x:f>
        <x:v>HYPERLINK is not implemented. linkLocation=https://365nails.com/products/cherry-bunny-collection-cute-cherry-bunny-3d-embossed-nail-sticker, friendlyName=Cherry Bunny Collection: "Cute Cherry Bunny" – 3D Embossed Nail Sticker</x:v>
      </x:c>
      <x:c r="D6195" s="18" t="str">
        <x:v>Specification type: To5591-shell light / To5596-shell light</x:v>
      </x:c>
      <x:c r="E6195" s="25" t="str">
        <x:v>$1.23</x:v>
      </x:c>
      <x:c r="F6195" s="19" t="str">
        <x:v>5</x:v>
      </x:c>
    </x:row>
    <x:row r="6196" ht="93" customHeight="1">
      <x:c r="A6196" s="19" t="n">
        <x:v>6193</x:v>
      </x:c>
      <x:c r="B6196" s="22" t="e">
        <x:f>HYPERLINK("https://cdn.shopify.com/s/files/1/0918/6066/4603/files/O1CN01Xy69Pm1HlWuP1BT0g__2545140798-0-cib.jpg?v=1773494513","Open")</x:f>
        <x:v>HYPERLINK is not implemented. linkLocation=https://cdn.shopify.com/s/files/1/0918/6066/4603/files/O1CN01Xy69Pm1HlWuP1BT0g__2545140798-0-cib.jpg?v=1773494513, friendlyName=Open</x:v>
      </x:c>
      <x:c r="C6196" s="24" t="e">
        <x:f>HYPERLINK("https://365nails.com/products/gothic-cross-butterfly-collection-monochrome-gothic-3d-embossed-nail-sticker","Gothic Cross Butterfly Collection: ""Monochrome Gothic"" – 3D Embossed Nail Sticker")</x:f>
        <x:v>HYPERLINK is not implemented. linkLocation=https://365nails.com/products/gothic-cross-butterfly-collection-monochrome-gothic-3d-embossed-nail-sticker, friendlyName=Gothic Cross Butterfly Collection: "Monochrome Gothic" – 3D Embossed Nail Sticker</x:v>
      </x:c>
      <x:c r="D6196" s="18" t="str">
        <x:v>Specification type: Ms 389</x:v>
      </x:c>
      <x:c r="E6196" s="25" t="str">
        <x:v>$1.09</x:v>
      </x:c>
      <x:c r="F6196" s="19" t="str">
        <x:v>5</x:v>
      </x:c>
    </x:row>
    <x:row r="6197" ht="93" customHeight="1">
      <x:c r="A6197" s="19" t="n">
        <x:v>6194</x:v>
      </x:c>
      <x:c r="B6197" s="22" t="e">
        <x:f>HYPERLINK("https://cdn.shopify.com/s/files/1/0918/6066/4603/files/0b2cab7383b7467fa73e75b7cb4a39f6.jpg?v=1773469273","Open")</x:f>
        <x:v>HYPERLINK is not implemented. linkLocation=https://cdn.shopify.com/s/files/1/0918/6066/4603/files/0b2cab7383b7467fa73e75b7cb4a39f6.jpg?v=1773469273, friendlyName=Open</x:v>
      </x:c>
      <x:c r="C6197" s="24" t="e">
        <x:f>HYPERLINK("https://365nails.com/products/holographic-snowflake-collection-winter-snowflake-3d-embossed-nail-sticker","Holographic Snowflake Collection: ""Winter Snowflake"" – 3D Embossed Nail Sticker")</x:f>
        <x:v>HYPERLINK is not implemented. linkLocation=https://365nails.com/products/holographic-snowflake-collection-winter-snowflake-3d-embossed-nail-sticker, friendlyName=Holographic Snowflake Collection: "Winter Snowflake" – 3D Embossed Nail Sticker</x:v>
      </x:c>
      <x:c r="D6197" s="18" t="str">
        <x:v>Specification type: To5565-shell light</x:v>
      </x:c>
      <x:c r="E6197" s="25" t="str">
        <x:v>$1.23</x:v>
      </x:c>
      <x:c r="F6197" s="19" t="str">
        <x:v>5</x:v>
      </x:c>
    </x:row>
    <x:row r="6198" ht="93" customHeight="1">
      <x:c r="A6198" s="19" t="n">
        <x:v>6195</x:v>
      </x:c>
      <x:c r="B6198" s="22" t="e">
        <x:f>HYPERLINK("https://cdn.shopify.com/s/files/1/0918/6066/4603/files/O1CN01lDl5ge1HlX1vMmSpg__2545140798-0-cib.jpg?v=1773478767","Open")</x:f>
        <x:v>HYPERLINK is not implemented. linkLocation=https://cdn.shopify.com/s/files/1/0918/6066/4603/files/O1CN01lDl5ge1HlX1vMmSpg__2545140798-0-cib.jpg?v=1773478767, friendlyName=Open</x:v>
      </x:c>
      <x:c r="C6198" s="24" t="e">
        <x:f>HYPERLINK("https://365nails.com/products/vintage-cursive-english-collection-vintage-love-letter-3d-embossed-nail-sticker","Vintage Cursive English Collection: ""Vintage Love Letter"" – 3D Embossed Nail Sticker")</x:f>
        <x:v>HYPERLINK is not implemented. linkLocation=https://365nails.com/products/vintage-cursive-english-collection-vintage-love-letter-3d-embossed-nail-sticker, friendlyName=Vintage Cursive English Collection: "Vintage Love Letter" – 3D Embossed Nail Sticker</x:v>
      </x:c>
      <x:c r="D6198" s="18" t="str">
        <x:v>Specification type: To4205 / To4206 / To4207 / To4208 / To4209 / To4220</x:v>
      </x:c>
      <x:c r="E6198" s="25" t="str">
        <x:v>$1.09</x:v>
      </x:c>
      <x:c r="F6198" s="19" t="str">
        <x:v>5</x:v>
      </x:c>
    </x:row>
    <x:row r="6199" ht="93" customHeight="1">
      <x:c r="A6199" s="19" t="n">
        <x:v>6196</x:v>
      </x:c>
      <x:c r="B6199" s="22" t="e">
        <x:f>HYPERLINK("https://cdn.shopify.com/s/files/1/0918/6066/4603/files/9e0b38430945e24ce0b4203ca7214879.jpg?v=1773474529","Open")</x:f>
        <x:v>HYPERLINK is not implemented. linkLocation=https://cdn.shopify.com/s/files/1/0918/6066/4603/files/9e0b38430945e24ce0b4203ca7214879.jpg?v=1773474529, friendlyName=Open</x:v>
      </x:c>
      <x:c r="C6199" s="24" t="e">
        <x:f>HYPERLINK("https://365nails.com/products/gold-foil-gradient-star-collection-shiny-gradient-star-3d-embossed-nail-sticker","Gold Foil Gradient Star Collection: ""Shiny Gradient Star"" – 3D Embossed Nail Sticker")</x:f>
        <x:v>HYPERLINK is not implemented. linkLocation=https://365nails.com/products/gold-foil-gradient-star-collection-shiny-gradient-star-3d-embossed-nail-sticker, friendlyName=Gold Foil Gradient Star Collection: "Shiny Gradient Star" – 3D Embossed Nail Sticker</x:v>
      </x:c>
      <x:c r="D6199" s="18" t="str">
        <x:v>Specification type: To4744-new hot stamping / To4744-silver</x:v>
      </x:c>
      <x:c r="E6199" s="25" t="str">
        <x:v>$1.23</x:v>
      </x:c>
      <x:c r="F6199" s="19" t="str">
        <x:v>5</x:v>
      </x:c>
    </x:row>
    <x:row r="6200" ht="93" customHeight="1">
      <x:c r="A6200" s="19" t="n">
        <x:v>6197</x:v>
      </x:c>
      <x:c r="B6200" s="22" t="e">
        <x:f>HYPERLINK("https://cdn.shopify.com/s/files/1/0918/6066/4603/files/11efb76dec59ddb92f5ea93745455f71.jpg?v=1773481489","Open")</x:f>
        <x:v>HYPERLINK is not implemented. linkLocation=https://cdn.shopify.com/s/files/1/0918/6066/4603/files/11efb76dec59ddb92f5ea93745455f71.jpg?v=1773481489, friendlyName=Open</x:v>
      </x:c>
      <x:c r="C6200" s="24" t="e">
        <x:f>HYPERLINK("https://365nails.com/products/red-apple-fun-collection-crisp-apple-3d-embossed-nail-sticker","Red Apple Fun Collection: ""Crisp Apple"" – 3D Embossed Nail Sticker")</x:f>
        <x:v>HYPERLINK is not implemented. linkLocation=https://365nails.com/products/red-apple-fun-collection-crisp-apple-3d-embossed-nail-sticker, friendlyName=Red Apple Fun Collection: "Crisp Apple" – 3D Embossed Nail Sticker</x:v>
      </x:c>
      <x:c r="D6200" s="18" t="str">
        <x:v>Specification type: To4231-jelly / To4233-jelly</x:v>
      </x:c>
      <x:c r="E6200" s="25" t="str">
        <x:v>$1.23</x:v>
      </x:c>
      <x:c r="F6200" s="19" t="str">
        <x:v>5</x:v>
      </x:c>
    </x:row>
    <x:row r="6201" ht="93" customHeight="1">
      <x:c r="A6201" s="19" t="n">
        <x:v>6198</x:v>
      </x:c>
      <x:c r="B6201" s="22" t="e">
        <x:f>HYPERLINK("https://cdn.shopify.com/s/files/1/0918/6066/4603/files/7b5d5930853f75c05d69685b2b43a329.jpg?v=1773472738","Open")</x:f>
        <x:v>HYPERLINK is not implemented. linkLocation=https://cdn.shopify.com/s/files/1/0918/6066/4603/files/7b5d5930853f75c05d69685b2b43a329.jpg?v=1773472738, friendlyName=Open</x:v>
      </x:c>
      <x:c r="C6201" s="24" t="e">
        <x:f>HYPERLINK("https://365nails.com/products/shiny-star-gem-frame-3d-embossed-nail-sticker","Shiny Star Gem Frame – 3D Embossed Nail Sticker")</x:f>
        <x:v>HYPERLINK is not implemented. linkLocation=https://365nails.com/products/shiny-star-gem-frame-3d-embossed-nail-sticker, friendlyName=Shiny Star Gem Frame – 3D Embossed Nail Sticker</x:v>
      </x:c>
      <x:c r="D6201" s="18" t="str">
        <x:v>Specification type: To4357-crystal diamond / To4369-crystal diamond</x:v>
      </x:c>
      <x:c r="E6201" s="25" t="str">
        <x:v>$1.30</x:v>
      </x:c>
      <x:c r="F6201" s="19" t="str">
        <x:v>5</x:v>
      </x:c>
    </x:row>
    <x:row r="6202" ht="93" customHeight="1">
      <x:c r="A6202" s="19" t="n">
        <x:v>6199</x:v>
      </x:c>
      <x:c r="B6202" s="22" t="e">
        <x:f>HYPERLINK("https://cdn.shopify.com/s/files/1/0918/6066/4603/files/a5067bb86e888e0d964247aca6edfde9.jpg?v=1773472686","Open")</x:f>
        <x:v>HYPERLINK is not implemented. linkLocation=https://cdn.shopify.com/s/files/1/0918/6066/4603/files/a5067bb86e888e0d964247aca6edfde9.jpg?v=1773472686, friendlyName=Open</x:v>
      </x:c>
      <x:c r="C6202" s="24" t="e">
        <x:f>HYPERLINK("https://365nails.com/products/shiny-silver-clover-3d-embossed-nail-sticker","Shiny Silver Clover – 3D Embossed Nail Sticker")</x:f>
        <x:v>HYPERLINK is not implemented. linkLocation=https://365nails.com/products/shiny-silver-clover-3d-embossed-nail-sticker, friendlyName=Shiny Silver Clover – 3D Embossed Nail Sticker</x:v>
      </x:c>
      <x:c r="D6202" s="18" t="str">
        <x:v>Specification type: To4198-laser pink crystal diamond / To4198-new hot stamping crystal diamond / To4198-silver crystal diamond / To4198-1 crystal diamond</x:v>
      </x:c>
      <x:c r="E6202" s="25" t="str">
        <x:v>$1.30</x:v>
      </x:c>
      <x:c r="F6202" s="19" t="str">
        <x:v>5</x:v>
      </x:c>
    </x:row>
    <x:row r="6203" ht="93" customHeight="1">
      <x:c r="A6203" s="19" t="n">
        <x:v>6200</x:v>
      </x:c>
      <x:c r="B6203" s="22" t="e">
        <x:f>HYPERLINK("https://cdn.shopify.com/s/files/1/0918/6066/4603/files/f2c1ed6a5beded375dce4775775caa71.jpg?v=1773474947","Open")</x:f>
        <x:v>HYPERLINK is not implemented. linkLocation=https://cdn.shopify.com/s/files/1/0918/6066/4603/files/f2c1ed6a5beded375dce4775775caa71.jpg?v=1773474947, friendlyName=Open</x:v>
      </x:c>
      <x:c r="C6203" s="24" t="e">
        <x:f>HYPERLINK("https://365nails.com/products/misty-pink-star-bow-collection-dreamy-pink-star-bow-3d-embossed-nail-sticker","Misty Pink Star &amp; Bow Collection: ""Dreamy Pink Star Bow"" – 3D Embossed Nail Sticker")</x:f>
        <x:v>HYPERLINK is not implemented. linkLocation=https://365nails.com/products/misty-pink-star-bow-collection-dreamy-pink-star-bow-3d-embossed-nail-sticker, friendlyName=Misty Pink Star &amp; Bow Collection: "Dreamy Pink Star Bow" – 3D Embossed Nail Sticker</x:v>
      </x:c>
      <x:c r="D6203" s="18" t="str">
        <x:v>Specification type: To4644 / To4883 / To4884</x:v>
      </x:c>
      <x:c r="E6203" s="25" t="str">
        <x:v>$1.09</x:v>
      </x:c>
      <x:c r="F6203" s="19" t="str">
        <x:v>5</x:v>
      </x:c>
    </x:row>
    <x:row r="6204" ht="93" customHeight="1">
      <x:c r="A6204" s="19" t="n">
        <x:v>6201</x:v>
      </x:c>
      <x:c r="B6204" s="22" t="e">
        <x:f>HYPERLINK("https://cdn.shopify.com/s/files/1/0918/6066/4603/files/02a9e59284cb2d0f7a07ecb40a6cea00.jpg?v=1773474828","Open")</x:f>
        <x:v>HYPERLINK is not implemented. linkLocation=https://cdn.shopify.com/s/files/1/0918/6066/4603/files/02a9e59284cb2d0f7a07ecb40a6cea00.jpg?v=1773474828, friendlyName=Open</x:v>
      </x:c>
      <x:c r="C6204" s="24" t="e">
        <x:f>HYPERLINK("https://365nails.com/products/gold-foil-art-line-collection-minimalist-gold-foil-art-line-3d-embossed-nail-sticker","Gold Foil Art Line Collection: ""Minimalist Gold Foil Art Line"" – 3D Embossed Nail Sticker")</x:f>
        <x:v>HYPERLINK is not implemented. linkLocation=https://365nails.com/products/gold-foil-art-line-collection-minimalist-gold-foil-art-line-3d-embossed-nail-sticker, friendlyName=Gold Foil Art Line Collection: "Minimalist Gold Foil Art Line" – 3D Embossed Nail Sticker</x:v>
      </x:c>
      <x:c r="D6204" s="18" t="str">
        <x:v>Specification type: To5250-new hot stamping / To5250-silver</x:v>
      </x:c>
      <x:c r="E6204" s="25" t="str">
        <x:v>$1.23</x:v>
      </x:c>
      <x:c r="F6204" s="19" t="str">
        <x:v>5</x:v>
      </x:c>
    </x:row>
    <x:row r="6205" ht="93" customHeight="1">
      <x:c r="A6205" s="19" t="n">
        <x:v>6202</x:v>
      </x:c>
      <x:c r="B6205" s="22" t="e">
        <x:f>HYPERLINK("https://cdn.shopify.com/s/files/1/0918/6066/4603/files/33a32435cc83425bd082f55ecf1a6773.jpg?v=1772532121","Open")</x:f>
        <x:v>HYPERLINK is not implemented. linkLocation=https://cdn.shopify.com/s/files/1/0918/6066/4603/files/33a32435cc83425bd082f55ecf1a6773.jpg?v=1772532121, friendlyName=Open</x:v>
      </x:c>
      <x:c r="C6205" s="24" t="e">
        <x:f>HYPERLINK("https://365nails.com/products/3d-embossed-nail-stickers-pet-heart-collection","3D Embossed Nail Stickers – Pet &amp; Heart Collection")</x:f>
        <x:v>HYPERLINK is not implemented. linkLocation=https://365nails.com/products/3d-embossed-nail-stickers-pet-heart-collection, friendlyName=3D Embossed Nail Stickers – Pet &amp; Heart Collection</x:v>
      </x:c>
      <x:c r="D6205" s="18" t="str">
        <x:v>Specification type: To4268-silver</x:v>
      </x:c>
      <x:c r="E6205" s="25" t="str">
        <x:v>$1.18</x:v>
      </x:c>
      <x:c r="F6205" s="19" t="str">
        <x:v>5</x:v>
      </x:c>
    </x:row>
    <x:row r="6206" ht="93" customHeight="1">
      <x:c r="A6206" s="19" t="n">
        <x:v>6203</x:v>
      </x:c>
      <x:c r="B6206" s="22" t="e">
        <x:f>HYPERLINK("https://cdn.shopify.com/s/files/1/0918/6066/4603/files/a8f946cea02b2a4dc0c1aa0ef8bc751a.jpg?v=1773470266","Open")</x:f>
        <x:v>HYPERLINK is not implemented. linkLocation=https://cdn.shopify.com/s/files/1/0918/6066/4603/files/a8f946cea02b2a4dc0c1aa0ef8bc751a.jpg?v=1773470266, friendlyName=Open</x:v>
      </x:c>
      <x:c r="C6206" s="24" t="e">
        <x:f>HYPERLINK("https://365nails.com/products/chinese-style-white-camellia-collection-elegant-white-camellia-3d-embossed-nail-sticker","Chinese Style White Camellia Collection: ""Elegant White Camellia"" – 3D Embossed Nail Sticker")</x:f>
        <x:v>HYPERLINK is not implemented. linkLocation=https://365nails.com/products/chinese-style-white-camellia-collection-elegant-white-camellia-3d-embossed-nail-sticker, friendlyName=Chinese Style White Camellia Collection: "Elegant White Camellia" – 3D Embossed Nail Sticker</x:v>
      </x:c>
      <x:c r="D6206" s="18" t="str">
        <x:v>Specification type: To4184-relief</x:v>
      </x:c>
      <x:c r="E6206" s="25" t="str">
        <x:v>$1.23</x:v>
      </x:c>
      <x:c r="F6206" s="19" t="str">
        <x:v>5</x:v>
      </x:c>
    </x:row>
    <x:row r="6207" ht="93" customHeight="1">
      <x:c r="A6207" s="19" t="n">
        <x:v>6204</x:v>
      </x:c>
      <x:c r="B6207" s="22" t="e">
        <x:f>HYPERLINK("https://cdn.shopify.com/s/files/1/0918/6066/4603/files/edbfa9f8d6498f7ae6dc28a2f24d8575.jpg?v=1773470329","Open")</x:f>
        <x:v>HYPERLINK is not implemented. linkLocation=https://cdn.shopify.com/s/files/1/0918/6066/4603/files/edbfa9f8d6498f7ae6dc28a2f24d8575.jpg?v=1773470329, friendlyName=Open</x:v>
      </x:c>
      <x:c r="C6207" s="24" t="e">
        <x:f>HYPERLINK("https://365nails.com/products/vintage-gem-frame-collection-luxury-gem-frame-3d-embossed-nail-sticker","Vintage Gem Frame Collection: ""Luxury Gem Frame"" – 3D Embossed Nail Sticker")</x:f>
        <x:v>HYPERLINK is not implemented. linkLocation=https://365nails.com/products/vintage-gem-frame-collection-luxury-gem-frame-3d-embossed-nail-sticker, friendlyName=Vintage Gem Frame Collection: "Luxury Gem Frame" – 3D Embossed Nail Sticker</x:v>
      </x:c>
      <x:c r="D6207" s="18" t="str">
        <x:v>Specification type: Ms740 metal</x:v>
      </x:c>
      <x:c r="E6207" s="25" t="str">
        <x:v>$1.23</x:v>
      </x:c>
      <x:c r="F6207" s="19" t="str">
        <x:v>5</x:v>
      </x:c>
    </x:row>
    <x:row r="6208" ht="93" customHeight="1">
      <x:c r="A6208" s="19" t="n">
        <x:v>6205</x:v>
      </x:c>
      <x:c r="B6208" s="22" t="e">
        <x:f>HYPERLINK("https://cdn.shopify.com/s/files/1/0918/6066/4603/files/O1CN01Hfiql41HlX4gGxkAr__2545140798-0-cib.jpg?v=1773473786","Open")</x:f>
        <x:v>HYPERLINK is not implemented. linkLocation=https://cdn.shopify.com/s/files/1/0918/6066/4603/files/O1CN01Hfiql41HlX4gGxkAr__2545140798-0-cib.jpg?v=1773473786, friendlyName=Open</x:v>
      </x:c>
      <x:c r="C6208" s="24" t="e">
        <x:f>HYPERLINK("https://365nails.com/products/golden-apple-tooth-collection-cute-golden-apple-tooth-3d-embossed-nail-sticker","Golden Apple &amp; Tooth Collection: ""Cute Golden Apple Tooth"" – 3D Embossed Nail Sticker")</x:f>
        <x:v>HYPERLINK is not implemented. linkLocation=https://365nails.com/products/golden-apple-tooth-collection-cute-golden-apple-tooth-3d-embossed-nail-sticker, friendlyName=Golden Apple &amp; Tooth Collection: "Cute Golden Apple Tooth" – 3D Embossed Nail Sticker</x:v>
      </x:c>
      <x:c r="D6208" s="18" t="str">
        <x:v>Specification type: To4749-shell light / To4750-new hot stamping / To4751-jelly</x:v>
      </x:c>
      <x:c r="E6208" s="25" t="str">
        <x:v>$1.23</x:v>
      </x:c>
      <x:c r="F6208" s="19" t="str">
        <x:v>5</x:v>
      </x:c>
    </x:row>
    <x:row r="6209" ht="93" customHeight="1">
      <x:c r="A6209" s="19" t="n">
        <x:v>6206</x:v>
      </x:c>
      <x:c r="B6209" s="22" t="e">
        <x:f>HYPERLINK("https://cdn.shopify.com/s/files/1/0918/6066/4603/files/O1CN01ZjG5LG1HlX0GnXCTx__2545140798-0-cib_8d8726b2-defd-4dc1-8149-918c0374f44d.jpg?v=1775399806","Open")</x:f>
        <x:v>HYPERLINK is not implemented. linkLocation=https://cdn.shopify.com/s/files/1/0918/6066/4603/files/O1CN01ZjG5LG1HlX0GnXCTx__2545140798-0-cib_8d8726b2-defd-4dc1-8149-918c0374f44d.jpg?v=1775399806, friendlyName=Open</x:v>
      </x:c>
      <x:c r="C6209" s="24" t="e">
        <x:f>HYPERLINK("https://365nails.com/products/365nails-juicy-peach-sprig-fruity-nail-stickers","365nails: ""Juicy Peach Sprig"" – Fruity Nail Stickers")</x:f>
        <x:v>HYPERLINK is not implemented. linkLocation=https://365nails.com/products/365nails-juicy-peach-sprig-fruity-nail-stickers, friendlyName=365nails: "Juicy Peach Sprig" – Fruity Nail Stickers</x:v>
      </x:c>
      <x:c r="D6209" s="18" t="str">
        <x:v>Specification type: To3881 / To3883</x:v>
      </x:c>
      <x:c r="E6209" s="25" t="str">
        <x:v>$1.09</x:v>
      </x:c>
      <x:c r="F6209" s="19" t="str">
        <x:v>5</x:v>
      </x:c>
    </x:row>
    <x:row r="6210" ht="93" customHeight="1">
      <x:c r="A6210" s="19" t="n">
        <x:v>6207</x:v>
      </x:c>
      <x:c r="B6210" s="22" t="e">
        <x:f>HYPERLINK("https://cdn.shopify.com/s/files/1/0918/6066/4603/files/O1CN01W1hoHO1HlWthfQv7F__2545140798-0-cib.jpg?v=1773469694","Open")</x:f>
        <x:v>HYPERLINK is not implemented. linkLocation=https://cdn.shopify.com/s/files/1/0918/6066/4603/files/O1CN01W1hoHO1HlWthfQv7F__2545140798-0-cib.jpg?v=1773469694, friendlyName=Open</x:v>
      </x:c>
      <x:c r="C6210" s="24" t="e">
        <x:f>HYPERLINK("https://365nails.com/products/star-moon-collection-new-gold-foil-star-moon-3d-embossed-nail-sticker","Star &amp; Moon Collection: ""New Gold Foil Star &amp; Moon"" – 3D Embossed Nail Sticker")</x:f>
        <x:v>HYPERLINK is not implemented. linkLocation=https://365nails.com/products/star-moon-collection-new-gold-foil-star-moon-3d-embossed-nail-sticker, friendlyName=Star &amp; Moon Collection: "New Gold Foil Star &amp; Moon" – 3D Embossed Nail Sticker</x:v>
      </x:c>
      <x:c r="D6210" s="18" t="str">
        <x:v>Specification type: To3002-new hot stamping / To3002-silver</x:v>
      </x:c>
      <x:c r="E6210" s="25" t="str">
        <x:v>$1.23</x:v>
      </x:c>
      <x:c r="F6210" s="19" t="str">
        <x:v>5</x:v>
      </x:c>
    </x:row>
    <x:row r="6211" ht="93" customHeight="1">
      <x:c r="A6211" s="19" t="n">
        <x:v>6208</x:v>
      </x:c>
      <x:c r="B6211" s="22" t="e">
        <x:f>HYPERLINK("https://cdn.shopify.com/s/files/1/0918/6066/4603/files/043ec17c535e5f19b68f5f913f09c2fe.jpg?v=1780043221","Open")</x:f>
        <x:v>HYPERLINK is not implemented. linkLocation=https://cdn.shopify.com/s/files/1/0918/6066/4603/files/043ec17c535e5f19b68f5f913f09c2fe.jpg?v=1780043221, friendlyName=Open</x:v>
      </x:c>
      <x:c r="C6211" s="24" t="e">
        <x:f>HYPERLINK("https://365nails.com/products/seaside-shell-gradient-wholesale-ultra-soft-flexible-fit-handmade-nails-moq-100","""Seaside Shell Gradient"" - Wholesale Ultra-Soft Flexible Fit Handmade Nails (MOQ=100)")</x:f>
        <x:v>HYPERLINK is not implemented. linkLocation=https://365nails.com/products/seaside-shell-gradient-wholesale-ultra-soft-flexible-fit-handmade-nails-moq-100, friendlyName="Seaside Shell Gradient" - Wholesale Ultra-Soft Flexible Fit Handmade Nails (MOQ=100)</x:v>
      </x:c>
      <x:c r="D6211" s="18" t="str">
        <x:v>Size: XS / S / M / L</x:v>
      </x:c>
      <x:c r="E6211" s="25" t="str">
        <x:v>$1.99</x:v>
      </x:c>
      <x:c r="F6211" s="19" t="str">
        <x:v>100</x:v>
      </x:c>
    </x:row>
    <x:row r="6212" ht="93" customHeight="1">
      <x:c r="A6212" s="19" t="n">
        <x:v>6209</x:v>
      </x:c>
      <x:c r="B6212" s="22" t="e">
        <x:f>HYPERLINK("https://cdn.shopify.com/s/files/1/0918/6066/4603/files/511580eec11b82694a23b62696d8bee2.jpg?v=1779198945","Open")</x:f>
        <x:v>HYPERLINK is not implemented. linkLocation=https://cdn.shopify.com/s/files/1/0918/6066/4603/files/511580eec11b82694a23b62696d8bee2.jpg?v=1779198945, friendlyName=Open</x:v>
      </x:c>
      <x:c r="C6212" s="24" t="e">
        <x:f>HYPERLINK("https://365nails.com/products/365nails-neon-lip-leopard-handmade-medium-square-press-on-nails","365nails: ""Neon Lip Leopard"" – Handmade Medium Square Press-On Nails")</x:f>
        <x:v>HYPERLINK is not implemented. linkLocation=https://365nails.com/products/365nails-neon-lip-leopard-handmade-medium-square-press-on-nails, friendlyName=365nails: "Neon Lip Leopard" – Handmade Medium Square Press-On Nails</x:v>
      </x:c>
      <x:c r="D6212" s="18" t="str">
        <x:v>Size: XS / S / M / L</x:v>
      </x:c>
      <x:c r="E6212" s="25" t="str">
        <x:v>$3.99</x:v>
      </x:c>
      <x:c r="F6212" s="19" t="str">
        <x:v>5</x:v>
      </x:c>
    </x:row>
    <x:row r="6213" ht="93" customHeight="1">
      <x:c r="A6213" s="19" t="n">
        <x:v>6210</x:v>
      </x:c>
      <x:c r="B6213" s="22" t="e">
        <x:f>HYPERLINK("https://cdn.shopify.com/s/files/1/0918/6066/4603/files/O1CN01glMq9F1HlX19tVTqg__2545140798-0-cib_c08ffb92-6cf2-4006-8b6f-184fcd4e53cc.jpg?v=1775400125","Open")</x:f>
        <x:v>HYPERLINK is not implemented. linkLocation=https://cdn.shopify.com/s/files/1/0918/6066/4603/files/O1CN01glMq9F1HlX19tVTqg__2545140798-0-cib_c08ffb92-6cf2-4006-8b6f-184fcd4e53cc.jpg?v=1775400125, friendlyName=Open</x:v>
      </x:c>
      <x:c r="C6213" s="24" t="e">
        <x:f>HYPERLINK("https://365nails.com/products/365nails-holographic-koi-fish-lunar-new-year-nail-stickers","365nails: ""Holographic Koi Fish"" – Lunar New Year Nail Stickers")</x:f>
        <x:v>HYPERLINK is not implemented. linkLocation=https://365nails.com/products/365nails-holographic-koi-fish-lunar-new-year-nail-stickers, friendlyName=365nails: "Holographic Koi Fish" – Lunar New Year Nail Stickers</x:v>
      </x:c>
      <x:c r="D6213" s="18" t="str">
        <x:v>Specification type: Ta332-shell light / Ta334-shell light</x:v>
      </x:c>
      <x:c r="E6213" s="25" t="str">
        <x:v>$1.23</x:v>
      </x:c>
      <x:c r="F6213" s="19" t="str">
        <x:v>5</x:v>
      </x:c>
    </x:row>
    <x:row r="6214" ht="93" customHeight="1">
      <x:c r="A6214" s="19" t="n">
        <x:v>6211</x:v>
      </x:c>
      <x:c r="B6214" s="22" t="e">
        <x:f>HYPERLINK("https://cdn.shopify.com/s/files/1/0918/6066/4603/files/O1CN014hdmq21HlX0i5c7YS__2545140798-0-cib_08a28faf-2135-43ab-a8a4-e1edf6501fba.jpg?v=1775399359","Open")</x:f>
        <x:v>HYPERLINK is not implemented. linkLocation=https://cdn.shopify.com/s/files/1/0918/6066/4603/files/O1CN014hdmq21HlX0i5c7YS__2545140798-0-cib_08a28faf-2135-43ab-a8a4-e1edf6501fba.jpg?v=1775399359, friendlyName=Open</x:v>
      </x:c>
      <x:c r="C6214" s="24" t="e">
        <x:f>HYPERLINK("https://365nails.com/products/365nails-golden-teddy-charm-cute-nail-stickers","365nails: ""Golden Teddy Charm"" – Cute Nail Stickers")</x:f>
        <x:v>HYPERLINK is not implemented. linkLocation=https://365nails.com/products/365nails-golden-teddy-charm-cute-nail-stickers, friendlyName=365nails: "Golden Teddy Charm" – Cute Nail Stickers</x:v>
      </x:c>
      <x:c r="D6214" s="18" t="str">
        <x:v>Specification type: To3950-jelly / To3951-relief</x:v>
      </x:c>
      <x:c r="E6214" s="25" t="str">
        <x:v>$1.23</x:v>
      </x:c>
      <x:c r="F6214" s="19" t="str">
        <x:v>5</x:v>
      </x:c>
    </x:row>
    <x:row r="6215" ht="93" customHeight="1">
      <x:c r="A6215" s="19" t="n">
        <x:v>6212</x:v>
      </x:c>
      <x:c r="B6215" s="22" t="e">
        <x:f>HYPERLINK("https://cdn.shopify.com/s/files/1/0918/6066/4603/files/O1CN01TRyBGU1HlWjy6XHv0__2545140798-0-cib.jpg?v=1772717144","Open")</x:f>
        <x:v>HYPERLINK is not implemented. linkLocation=https://cdn.shopify.com/s/files/1/0918/6066/4603/files/O1CN01TRyBGU1HlWjy6XHv0__2545140798-0-cib.jpg?v=1772717144, friendlyName=Open</x:v>
      </x:c>
      <x:c r="C6215" s="24" t="e">
        <x:f>HYPERLINK("https://365nails.com/products/colorful-daisy-nail-stickers-5d-embossed-small-floral-set","Colorful Daisy Nail Stickers – 5D Embossed Small Floral Set")</x:f>
        <x:v>HYPERLINK is not implemented. linkLocation=https://365nails.com/products/colorful-daisy-nail-stickers-5d-embossed-small-floral-set, friendlyName=Colorful Daisy Nail Stickers – 5D Embossed Small Floral Set</x:v>
      </x:c>
      <x:c r="D6215" s="18" t="str">
        <x:v>Specification type: Tomoni 545 / Tomoni 556</x:v>
      </x:c>
      <x:c r="E6215" s="25" t="str">
        <x:v>$1.23</x:v>
      </x:c>
      <x:c r="F6215" s="19" t="str">
        <x:v>5</x:v>
      </x:c>
    </x:row>
    <x:row r="6216" ht="93" customHeight="1">
      <x:c r="A6216" s="19" t="n">
        <x:v>6213</x:v>
      </x:c>
      <x:c r="B6216" s="22" t="e">
        <x:f>HYPERLINK("https://cdn.shopify.com/s/files/1/0918/6066/4603/files/4a9f3190ceb104189ff7f7da4b337311.jpg?v=1773474200","Open")</x:f>
        <x:v>HYPERLINK is not implemented. linkLocation=https://cdn.shopify.com/s/files/1/0918/6066/4603/files/4a9f3190ceb104189ff7f7da4b337311.jpg?v=1773474200, friendlyName=Open</x:v>
      </x:c>
      <x:c r="C6216" s="24" t="e">
        <x:f>HYPERLINK("https://365nails.com/products/fresh-green-leaf-daisy-collection-cute-daisy-leaf-3d-embossed-nail-sticker","Fresh Green Leaf Daisy Collection: ""Cute Daisy &amp; Leaf"" – 3D Embossed Nail Sticker")</x:f>
        <x:v>HYPERLINK is not implemented. linkLocation=https://365nails.com/products/fresh-green-leaf-daisy-collection-cute-daisy-leaf-3d-embossed-nail-sticker, friendlyName=Fresh Green Leaf Daisy Collection: "Cute Daisy &amp; Leaf" – 3D Embossed Nail Sticker</x:v>
      </x:c>
      <x:c r="D6216" s="18" t="str">
        <x:v>Specification type: To3803-relief / To3804-relief</x:v>
      </x:c>
      <x:c r="E6216" s="25" t="str">
        <x:v>$1.23</x:v>
      </x:c>
      <x:c r="F6216" s="19" t="str">
        <x:v>5</x:v>
      </x:c>
    </x:row>
    <x:row r="6217" ht="93" customHeight="1">
      <x:c r="A6217" s="19" t="n">
        <x:v>6214</x:v>
      </x:c>
      <x:c r="B6217" s="22" t="e">
        <x:f>HYPERLINK("https://cdn.shopify.com/s/files/1/0918/6066/4603/files/41b04591b70b2ad1b3495ebdb835052e.jpg?v=1773477071","Open")</x:f>
        <x:v>HYPERLINK is not implemented. linkLocation=https://cdn.shopify.com/s/files/1/0918/6066/4603/files/41b04591b70b2ad1b3495ebdb835052e.jpg?v=1773477071, friendlyName=Open</x:v>
      </x:c>
      <x:c r="C6217" s="24" t="e">
        <x:f>HYPERLINK("https://365nails.com/products/shell-light-pink-purple-bow-collection-romantic-shell-bow-3d-embossed-nail-sticker-1","Shell Light Pink-Purple Bow Collection: ""Romantic Shell Bow"" – 3D Embossed Nail Sticker")</x:f>
        <x:v>HYPERLINK is not implemented. linkLocation=https://365nails.com/products/shell-light-pink-purple-bow-collection-romantic-shell-bow-3d-embossed-nail-sticker-1, friendlyName=Shell Light Pink-Purple Bow Collection: "Romantic Shell Bow" – 3D Embossed Nail Sticker</x:v>
      </x:c>
      <x:c r="D6217" s="18" t="str">
        <x:v>Specification type: Ms819-crystal diamond</x:v>
      </x:c>
      <x:c r="E6217" s="25" t="str">
        <x:v>$1.30</x:v>
      </x:c>
      <x:c r="F6217" s="19" t="str">
        <x:v>5</x:v>
      </x:c>
    </x:row>
    <x:row r="6218" ht="93" customHeight="1">
      <x:c r="A6218" s="19" t="n">
        <x:v>6215</x:v>
      </x:c>
      <x:c r="B6218" s="22" t="e">
        <x:f>HYPERLINK("https://cdn.shopify.com/s/files/1/0918/6066/4603/files/O1CN01PbBhPY1HlX9Yg1v1l__2545140798-0-cib.jpg?v=1773476625","Open")</x:f>
        <x:v>HYPERLINK is not implemented. linkLocation=https://cdn.shopify.com/s/files/1/0918/6066/4603/files/O1CN01PbBhPY1HlX9Yg1v1l__2545140798-0-cib.jpg?v=1773476625, friendlyName=Open</x:v>
      </x:c>
      <x:c r="C6218" s="24" t="e">
        <x:f>HYPERLINK("https://365nails.com/products/hello-kitty-red-cherry-mushroom-collection-cute-hello-kitty-3d-embossed-nail-sticker","Hello Kitty Red Cherry &amp; Mushroom Collection: ""Cute Hello Kitty"" – 3D Embossed Nail Sticker")</x:f>
        <x:v>HYPERLINK is not implemented. linkLocation=https://365nails.com/products/hello-kitty-red-cherry-mushroom-collection-cute-hello-kitty-3d-embossed-nail-sticker, friendlyName=Hello Kitty Red Cherry &amp; Mushroom Collection: "Cute Hello Kitty" – 3D Embossed Nail Sticker</x:v>
      </x:c>
      <x:c r="D6218" s="18" t="str">
        <x:v>Specification type: To5374-jelly / To5375-jelly / To5382-relief / To5383-relief / To5384-relief / To5389-relief / To5390-relief</x:v>
      </x:c>
      <x:c r="E6218" s="25" t="str">
        <x:v>$1.23</x:v>
      </x:c>
      <x:c r="F6218" s="19" t="str">
        <x:v>5</x:v>
      </x:c>
    </x:row>
    <x:row r="6219" ht="93" customHeight="1">
      <x:c r="A6219" s="19" t="n">
        <x:v>6216</x:v>
      </x:c>
      <x:c r="B6219" s="22" t="e">
        <x:f>HYPERLINK("https://cdn.shopify.com/s/files/1/0918/6066/4603/files/O1CN01n5rEoN1HlWlU5Hgob__2545140798-0-cib.jpg?v=1772717720","Open")</x:f>
        <x:v>HYPERLINK is not implemented. linkLocation=https://cdn.shopify.com/s/files/1/0918/6066/4603/files/O1CN01n5rEoN1HlWlU5Hgob__2545140798-0-cib.jpg?v=1772717720, friendlyName=Open</x:v>
      </x:c>
      <x:c r="C6219" s="24" t="e">
        <x:f>HYPERLINK("https://365nails.com/products/black-white-alphabet-nail-stickers-5d-embossed-minimalist-set","Black &amp; White Alphabet Nail Stickers – 5D Embossed Minimalist Set")</x:f>
        <x:v>HYPERLINK is not implemented. linkLocation=https://365nails.com/products/black-white-alphabet-nail-stickers-5d-embossed-minimalist-set, friendlyName=Black &amp; White Alphabet Nail Stickers – 5D Embossed Minimalist Set</x:v>
      </x:c>
      <x:c r="D6219" s="18" t="str">
        <x:v>Specification type: Ta 11 / Ta12</x:v>
      </x:c>
      <x:c r="E6219" s="25" t="str">
        <x:v>$1.23</x:v>
      </x:c>
      <x:c r="F6219" s="19" t="str">
        <x:v>5</x:v>
      </x:c>
    </x:row>
    <x:row r="6220" ht="93" customHeight="1">
      <x:c r="A6220" s="19" t="n">
        <x:v>6217</x:v>
      </x:c>
      <x:c r="B6220" s="22" t="e">
        <x:f>HYPERLINK("https://cdn.shopify.com/s/files/1/0918/6066/4603/files/8ccd4680e4ec28bfc1ad60b5368fb20e.jpg?v=1772531987","Open")</x:f>
        <x:v>HYPERLINK is not implemented. linkLocation=https://cdn.shopify.com/s/files/1/0918/6066/4603/files/8ccd4680e4ec28bfc1ad60b5368fb20e.jpg?v=1772531987, friendlyName=Open</x:v>
      </x:c>
      <x:c r="C6220" s="24" t="e">
        <x:f>HYPERLINK("https://365nails.com/products/3d-embossed-nail-stickers-iridescent-bow-wave-collection","3D Embossed Nail Stickers – Iridescent Bow &amp; Wave Collection")</x:f>
        <x:v>HYPERLINK is not implemented. linkLocation=https://365nails.com/products/3d-embossed-nail-stickers-iridescent-bow-wave-collection, friendlyName=3D Embossed Nail Stickers – Iridescent Bow &amp; Wave Collection</x:v>
      </x:c>
      <x:c r="D6220" s="18" t="str">
        <x:v>Specification type: Ms809-jelly</x:v>
      </x:c>
      <x:c r="E6220" s="25" t="str">
        <x:v>$1.23</x:v>
      </x:c>
      <x:c r="F6220" s="19" t="str">
        <x:v>5</x:v>
      </x:c>
    </x:row>
    <x:row r="6221" ht="93" customHeight="1">
      <x:c r="A6221" s="19" t="n">
        <x:v>6218</x:v>
      </x:c>
      <x:c r="B6221" s="22" t="e">
        <x:f>HYPERLINK("https://cdn.shopify.com/s/files/1/0918/6066/4603/files/5ea6dee3b27768ec67688edfd7bcaf81.jpg?v=1773476204","Open")</x:f>
        <x:v>HYPERLINK is not implemented. linkLocation=https://cdn.shopify.com/s/files/1/0918/6066/4603/files/5ea6dee3b27768ec67688edfd7bcaf81.jpg?v=1773476204, friendlyName=Open</x:v>
      </x:c>
      <x:c r="C6221" s="24" t="e">
        <x:f>HYPERLINK("https://365nails.com/products/winter-snowman-collection-cute-snowman-snowflake-3d-embossed-nail-sticker","Winter Snowman Collection: ""Cute Snowman &amp; Snowflake"" – 3D Embossed Nail Sticker")</x:f>
        <x:v>HYPERLINK is not implemented. linkLocation=https://365nails.com/products/winter-snowman-collection-cute-snowman-snowflake-3d-embossed-nail-sticker, friendlyName=Winter Snowman Collection: "Cute Snowman &amp; Snowflake" – 3D Embossed Nail Sticker</x:v>
      </x:c>
      <x:c r="D6221" s="18" t="str">
        <x:v>Specification type: To5423-relief / To5437-relief</x:v>
      </x:c>
      <x:c r="E6221" s="25" t="str">
        <x:v>$1.23</x:v>
      </x:c>
      <x:c r="F6221" s="19" t="str">
        <x:v>5</x:v>
      </x:c>
    </x:row>
    <x:row r="6222" ht="93" customHeight="1">
      <x:c r="A6222" s="19" t="n">
        <x:v>6219</x:v>
      </x:c>
      <x:c r="B6222" s="22" t="e">
        <x:f>HYPERLINK("https://cdn.shopify.com/s/files/1/0918/6066/4603/files/O1CN01mS4Ch71HlWuI82uLm__2545140798-0-cib.jpg?v=1773482060","Open")</x:f>
        <x:v>HYPERLINK is not implemented. linkLocation=https://cdn.shopify.com/s/files/1/0918/6066/4603/files/O1CN01mS4Ch71HlWuI82uLm__2545140798-0-cib.jpg?v=1773482060, friendlyName=Open</x:v>
      </x:c>
      <x:c r="C6222" s="24" t="e">
        <x:f>HYPERLINK("https://365nails.com/products/vintage-gold-clover-star-collection-elegant-gold-clover-3d-embossed-nail-sticker","Vintage Gold Clover Star Collection: ""Elegant Gold Clover"" – 3D Embossed Nail Sticker")</x:f>
        <x:v>HYPERLINK is not implemented. linkLocation=https://365nails.com/products/vintage-gold-clover-star-collection-elegant-gold-clover-3d-embossed-nail-sticker, friendlyName=Vintage Gold Clover Star Collection: "Elegant Gold Clover" – 3D Embossed Nail Sticker</x:v>
      </x:c>
      <x:c r="D6222" s="18" t="str">
        <x:v>Specification type: To2802-relief / To2803-new hot stamping / To2803-silver / To2827-relief / To2828-thin tough / To2829-relief</x:v>
      </x:c>
      <x:c r="E6222" s="25" t="str">
        <x:v>$1.16</x:v>
      </x:c>
      <x:c r="F6222" s="19" t="str">
        <x:v>5</x:v>
      </x:c>
    </x:row>
    <x:row r="6223" ht="93" customHeight="1">
      <x:c r="A6223" s="19" t="n">
        <x:v>6220</x:v>
      </x:c>
      <x:c r="B6223" s="22" t="e">
        <x:f>HYPERLINK("https://cdn.shopify.com/s/files/1/0918/6066/4603/files/aca7ac44169d7f8713e5e9c360fa72ad.jpg?v=1773475550","Open")</x:f>
        <x:v>HYPERLINK is not implemented. linkLocation=https://cdn.shopify.com/s/files/1/0918/6066/4603/files/aca7ac44169d7f8713e5e9c360fa72ad.jpg?v=1773475550, friendlyName=Open</x:v>
      </x:c>
      <x:c r="C6223" s="24" t="e">
        <x:f>HYPERLINK("https://365nails.com/products/cute-dog-family-collection-adorable-dog-breed-mix-3d-embossed-nail-sticker","Cute Dog Family Collection: ""Adorable Dog Breed Mix"" – 3D Embossed Nail Sticker")</x:f>
        <x:v>HYPERLINK is not implemented. linkLocation=https://365nails.com/products/cute-dog-family-collection-adorable-dog-breed-mix-3d-embossed-nail-sticker, friendlyName=Cute Dog Family Collection: "Adorable Dog Breed Mix" – 3D Embossed Nail Sticker</x:v>
      </x:c>
      <x:c r="D6223" s="18" t="str">
        <x:v>Specification type: To5165-jelly / To5189-relief</x:v>
      </x:c>
      <x:c r="E6223" s="25" t="str">
        <x:v>$1.23</x:v>
      </x:c>
      <x:c r="F6223" s="19" t="str">
        <x:v>5</x:v>
      </x:c>
    </x:row>
    <x:row r="6224" ht="93" customHeight="1">
      <x:c r="A6224" s="19" t="n">
        <x:v>6221</x:v>
      </x:c>
      <x:c r="B6224" s="22" t="e">
        <x:f>HYPERLINK("https://cdn.shopify.com/s/files/1/0918/6066/4603/files/O1CN01o23Sb91HlWp3bHMuh__2545140798-0-cib.jpg?v=1773559077","Open")</x:f>
        <x:v>HYPERLINK is not implemented. linkLocation=https://cdn.shopify.com/s/files/1/0918/6066/4603/files/O1CN01o23Sb91HlWp3bHMuh__2545140798-0-cib.jpg?v=1773559077, friendlyName=Open</x:v>
      </x:c>
      <x:c r="C6224" s="24" t="e">
        <x:f>HYPERLINK("https://365nails.com/products/holographic-geometric-iridescent-silver-3d-nail-sticker","Holographic Geometric: ""Iridescent Silver"" – 3D Nail Sticker")</x:f>
        <x:v>HYPERLINK is not implemented. linkLocation=https://365nails.com/products/holographic-geometric-iridescent-silver-3d-nail-sticker, friendlyName=Holographic Geometric: "Iridescent Silver" – 3D Nail Sticker</x:v>
      </x:c>
      <x:c r="D6224" s="18" t="str">
        <x:v>Specification type: To1914 laser silver / To1914 new hot stamping / To1914 silver</x:v>
      </x:c>
      <x:c r="E6224" s="25" t="str">
        <x:v>$1.23</x:v>
      </x:c>
      <x:c r="F6224" s="19" t="str">
        <x:v>5</x:v>
      </x:c>
    </x:row>
    <x:row r="6225" ht="93" customHeight="1">
      <x:c r="A6225" s="19" t="n">
        <x:v>6222</x:v>
      </x:c>
      <x:c r="B6225" s="22" t="e">
        <x:f>HYPERLINK("https://cdn.shopify.com/s/files/1/0918/6066/4603/files/O1CN01ddraui1HlX19aRvR2__2545140798-0-cib_228ead22-9e06-4f13-84cf-273e245a0159.jpg?v=1775399710","Open")</x:f>
        <x:v>HYPERLINK is not implemented. linkLocation=https://cdn.shopify.com/s/files/1/0918/6066/4603/files/O1CN01ddraui1HlX19aRvR2__2545140798-0-cib_228ead22-9e06-4f13-84cf-273e245a0159.jpg?v=1775399710, friendlyName=Open</x:v>
      </x:c>
      <x:c r="C6225" s="24" t="e">
        <x:f>HYPERLINK("https://365nails.com/products/365nails-white-crystal-daisy-elegant-nail-stickers","365nails: ""White Crystal Daisy"" – Elegant Nail Stickers")</x:f>
        <x:v>HYPERLINK is not implemented. linkLocation=https://365nails.com/products/365nails-white-crystal-daisy-elegant-nail-stickers, friendlyName=365nails: "White Crystal Daisy" – Elegant Nail Stickers</x:v>
      </x:c>
      <x:c r="D6225" s="18" t="str">
        <x:v>Specification type: To4032-crystal diamond / To4033-crystal diamond</x:v>
      </x:c>
      <x:c r="E6225" s="25" t="str">
        <x:v>$1.30</x:v>
      </x:c>
      <x:c r="F6225" s="19" t="str">
        <x:v>5</x:v>
      </x:c>
    </x:row>
    <x:row r="6226" ht="93" customHeight="1">
      <x:c r="A6226" s="19" t="n">
        <x:v>6223</x:v>
      </x:c>
      <x:c r="B6226" s="22" t="e">
        <x:f>HYPERLINK("https://cdn.shopify.com/s/files/1/0918/6066/4603/files/6030d905a5400b4059e1f12360a93449.jpg?v=1773475147","Open")</x:f>
        <x:v>HYPERLINK is not implemented. linkLocation=https://cdn.shopify.com/s/files/1/0918/6066/4603/files/6030d905a5400b4059e1f12360a93449.jpg?v=1773475147, friendlyName=Open</x:v>
      </x:c>
      <x:c r="C6226" s="24" t="e">
        <x:f>HYPERLINK("https://365nails.com/products/christmas-mini-nail-patch-collection-diy-festive-mini-nail-patch-3d-embossed-nail-sticker","Christmas Mini Nail Patch Collection: ""DIY Festive Mini Nail Patch"" – 3D Embossed Nail Sticker")</x:f>
        <x:v>HYPERLINK is not implemented. linkLocation=https://365nails.com/products/christmas-mini-nail-patch-collection-diy-festive-mini-nail-patch-3d-embossed-nail-sticker, friendlyName=Christmas Mini Nail Patch Collection: "DIY Festive Mini Nail Patch" – 3D Embossed Nail Sticker</x:v>
      </x:c>
      <x:c r="D6226" s="18" t="str">
        <x:v>Specification type: To5004-relief</x:v>
      </x:c>
      <x:c r="E6226" s="25" t="str">
        <x:v>$1.23</x:v>
      </x:c>
      <x:c r="F6226" s="19" t="str">
        <x:v>5</x:v>
      </x:c>
    </x:row>
    <x:row r="6227" ht="93" customHeight="1">
      <x:c r="A6227" s="19" t="n">
        <x:v>6224</x:v>
      </x:c>
      <x:c r="B6227" s="22" t="e">
        <x:f>HYPERLINK("https://cdn.shopify.com/s/files/1/0918/6066/4603/files/O1CN01Xx56w41HlX152D75s__2545140798-0-cib_6c7f946f-60ae-4c4a-946a-22578d39aaf4.jpg?v=1775400199","Open")</x:f>
        <x:v>HYPERLINK is not implemented. linkLocation=https://cdn.shopify.com/s/files/1/0918/6066/4603/files/O1CN01Xx56w41HlX152D75s__2545140798-0-cib_6c7f946f-60ae-4c4a-946a-22578d39aaf4.jpg?v=1775400199, friendlyName=Open</x:v>
      </x:c>
      <x:c r="C6227" s="24" t="e">
        <x:f>HYPERLINK("https://365nails.com/products/365nails-golden-star-lily-celestial-nail-stickers","365nails: ""Golden Star Lily"" – Celestial Nail Stickers")</x:f>
        <x:v>HYPERLINK is not implemented. linkLocation=https://365nails.com/products/365nails-golden-star-lily-celestial-nail-stickers, friendlyName=365nails: "Golden Star Lily" – Celestial Nail Stickers</x:v>
      </x:c>
      <x:c r="D6227" s="18" t="str">
        <x:v>Specification type: Ta 326</x:v>
      </x:c>
      <x:c r="E6227" s="25" t="str">
        <x:v>$1.09</x:v>
      </x:c>
      <x:c r="F6227" s="19" t="str">
        <x:v>5</x:v>
      </x:c>
    </x:row>
    <x:row r="6228" ht="93" customHeight="1">
      <x:c r="A6228" s="19" t="n">
        <x:v>6225</x:v>
      </x:c>
      <x:c r="B6228" s="22" t="e">
        <x:f>HYPERLINK("https://cdn.shopify.com/s/files/1/0918/6066/4603/files/O1CN01A9mpGY1HlWzsTYFWE__2545140798-0-cib_294717f5-02eb-49d2-9b5a-01f4d51707f2.jpg?v=1775448943","Open")</x:f>
        <x:v>HYPERLINK is not implemented. linkLocation=https://cdn.shopify.com/s/files/1/0918/6066/4603/files/O1CN01A9mpGY1HlWzsTYFWE__2545140798-0-cib_294717f5-02eb-49d2-9b5a-01f4d51707f2.jpg?v=1775448943, friendlyName=Open</x:v>
      </x:c>
      <x:c r="C6228" s="24" t="e">
        <x:f>HYPERLINK("https://365nails.com/products/365nails-pink-holographic-butterfly-delicate-nail-stickers","365nails: ""Pink Holographic Butterfly"" – Delicate Nail Stickers")</x:f>
        <x:v>HYPERLINK is not implemented. linkLocation=https://365nails.com/products/365nails-pink-holographic-butterfly-delicate-nail-stickers, friendlyName=365nails: "Pink Holographic Butterfly" – Delicate Nail Stickers</x:v>
      </x:c>
      <x:c r="D6228" s="18" t="str">
        <x:v>Specification type: Ms558-jelly / Ms559-jelly / Ms560 - new gold foil stamping / Ms561-new hot stamping</x:v>
      </x:c>
      <x:c r="E6228" s="25" t="str">
        <x:v>$1.23</x:v>
      </x:c>
      <x:c r="F6228" s="19" t="str">
        <x:v>5</x:v>
      </x:c>
    </x:row>
    <x:row r="6229" ht="93" customHeight="1">
      <x:c r="A6229" s="19" t="n">
        <x:v>6226</x:v>
      </x:c>
      <x:c r="B6229" s="22" t="e">
        <x:f>HYPERLINK("https://cdn.shopify.com/s/files/1/0918/6066/4603/files/8d8612f22ebf6fc1421801688c104ba4.jpg?v=1773474421","Open")</x:f>
        <x:v>HYPERLINK is not implemented. linkLocation=https://cdn.shopify.com/s/files/1/0918/6066/4603/files/8d8612f22ebf6fc1421801688c104ba4.jpg?v=1773474421, friendlyName=Open</x:v>
      </x:c>
      <x:c r="C6229" s="24" t="e">
        <x:f>HYPERLINK("https://365nails.com/products/poker-card-suit-collection-casino-embossed-poker-suits-3d-embossed-nail-sticker-1","Poker Card Suit Collection: ""Casino Embossed Poker Suits"" – 3D Embossed Nail Sticker")</x:f>
        <x:v>HYPERLINK is not implemented. linkLocation=https://365nails.com/products/poker-card-suit-collection-casino-embossed-poker-suits-3d-embossed-nail-sticker-1, friendlyName=Poker Card Suit Collection: "Casino Embossed Poker Suits" – 3D Embossed Nail Sticker</x:v>
      </x:c>
      <x:c r="D6229" s="18" t="str">
        <x:v>Specification type: To3604 / To3605 / To3655</x:v>
      </x:c>
      <x:c r="E6229" s="25" t="str">
        <x:v>$1.09</x:v>
      </x:c>
      <x:c r="F6229" s="19" t="str">
        <x:v>5</x:v>
      </x:c>
    </x:row>
    <x:row r="6230" ht="93" customHeight="1">
      <x:c r="A6230" s="19" t="n">
        <x:v>6227</x:v>
      </x:c>
      <x:c r="B6230" s="22" t="e">
        <x:f>HYPERLINK("https://cdn.shopify.com/s/files/1/0918/6066/4603/files/0c5df326feea666ea87944c88cf3df06_d14fe717-ceb3-4335-9ecb-dc1e31e2d036.jpg?v=1772531508","Open")</x:f>
        <x:v>HYPERLINK is not implemented. linkLocation=https://cdn.shopify.com/s/files/1/0918/6066/4603/files/0c5df326feea666ea87944c88cf3df06_d14fe717-ceb3-4335-9ecb-dc1e31e2d036.jpg?v=1772531508, friendlyName=Open</x:v>
      </x:c>
      <x:c r="C6230" s="24" t="e">
        <x:f>HYPERLINK("https://365nails.com/products/3d-embossed-nail-stickers-delicate-floral-collection-1","3D Embossed Nail Stickers – Delicate Floral Collection")</x:f>
        <x:v>HYPERLINK is not implemented. linkLocation=https://365nails.com/products/3d-embossed-nail-stickers-delicate-floral-collection-1, friendlyName=3D Embossed Nail Stickers – Delicate Floral Collection</x:v>
      </x:c>
      <x:c r="D6230" s="18" t="str">
        <x:v>Specification type: Ms553-crystal diamond</x:v>
      </x:c>
      <x:c r="E6230" s="25" t="str">
        <x:v>$1.23</x:v>
      </x:c>
      <x:c r="F6230" s="19" t="str">
        <x:v>5</x:v>
      </x:c>
    </x:row>
    <x:row r="6231" ht="93" customHeight="1">
      <x:c r="A6231" s="19" t="n">
        <x:v>6228</x:v>
      </x:c>
      <x:c r="B6231" s="22" t="e">
        <x:f>HYPERLINK("https://cdn.shopify.com/s/files/1/0918/6066/4603/files/0c5df326feea666ea87944c88cf3df06.jpg?v=1772531024","Open")</x:f>
        <x:v>HYPERLINK is not implemented. linkLocation=https://cdn.shopify.com/s/files/1/0918/6066/4603/files/0c5df326feea666ea87944c88cf3df06.jpg?v=1772531024, friendlyName=Open</x:v>
      </x:c>
      <x:c r="C6231" s="24" t="e">
        <x:f>HYPERLINK("https://365nails.com/products/3d-embossed-nail-stickers-delicate-floral-collection","3D Embossed Nail Stickers – Delicate Floral Collection")</x:f>
        <x:v>HYPERLINK is not implemented. linkLocation=https://365nails.com/products/3d-embossed-nail-stickers-delicate-floral-collection, friendlyName=3D Embossed Nail Stickers – Delicate Floral Collection</x:v>
      </x:c>
      <x:c r="D6231" s="18" t="str">
        <x:v>Specification type: Ms553-crystal diamond</x:v>
      </x:c>
      <x:c r="E6231" s="25" t="str">
        <x:v>$1.22</x:v>
      </x:c>
      <x:c r="F6231" s="19" t="str">
        <x:v>5</x:v>
      </x:c>
    </x:row>
    <x:row r="6232" ht="93" customHeight="1">
      <x:c r="A6232" s="19" t="n">
        <x:v>6229</x:v>
      </x:c>
      <x:c r="B6232" s="22" t="e">
        <x:f>HYPERLINK("https://cdn.shopify.com/s/files/1/0918/6066/4603/files/O1CN01OBWugU1HlWwo29tZP__2545140798-0-cib.jpg?v=1773753540","Open")</x:f>
        <x:v>HYPERLINK is not implemented. linkLocation=https://cdn.shopify.com/s/files/1/0918/6066/4603/files/O1CN01OBWugU1HlWwo29tZP__2545140798-0-cib.jpg?v=1773753540, friendlyName=Open</x:v>
      </x:c>
      <x:c r="C6232" s="24" t="e">
        <x:f>HYPERLINK("https://365nails.com/products/holographic-daily-life-collection-cute-holographic-daily-items-3d-embossed-nail-sticker","Holographic Daily Life Collection: ""Cute Holographic Daily Items"" – 3D Embossed Nail Sticker")</x:f>
        <x:v>HYPERLINK is not implemented. linkLocation=https://365nails.com/products/holographic-daily-life-collection-cute-holographic-daily-items-3d-embossed-nail-sticker, friendlyName=Holographic Daily Life Collection: "Cute Holographic Daily Items" – 3D Embossed Nail Sticker</x:v>
      </x:c>
      <x:c r="D6232" s="18" t="str">
        <x:v>Specification type: To3371-relief / To3372-laser / To3399-laser / To3400-laser / To3401-laser / To3402-laser</x:v>
      </x:c>
      <x:c r="E6232" s="25" t="str">
        <x:v>$1.23</x:v>
      </x:c>
      <x:c r="F6232" s="19" t="str">
        <x:v>5</x:v>
      </x:c>
    </x:row>
    <x:row r="6233" ht="93" customHeight="1">
      <x:c r="A6233" s="19" t="n">
        <x:v>6230</x:v>
      </x:c>
      <x:c r="B6233" s="22" t="e">
        <x:f>HYPERLINK("https://cdn.shopify.com/s/files/1/0918/6066/4603/files/a653b35842822f1e8c3a00273d1a30eb.jpg?v=1773476417","Open")</x:f>
        <x:v>HYPERLINK is not implemented. linkLocation=https://cdn.shopify.com/s/files/1/0918/6066/4603/files/a653b35842822f1e8c3a00273d1a30eb.jpg?v=1773476417, friendlyName=Open</x:v>
      </x:c>
      <x:c r="C6233" s="24" t="e">
        <x:f>HYPERLINK("https://365nails.com/products/floral-moon-rose-collection-romantic-floral-moon-3d-embossed-nail-sticker","Floral Moon &amp; Rose Collection: ""Romantic Floral Moon"" – 3D Embossed Nail Sticker")</x:f>
        <x:v>HYPERLINK is not implemented. linkLocation=https://365nails.com/products/floral-moon-rose-collection-romantic-floral-moon-3d-embossed-nail-sticker, friendlyName=Floral Moon &amp; Rose Collection: "Romantic Floral Moon" – 3D Embossed Nail Sticker</x:v>
      </x:c>
      <x:c r="D6233" s="18" t="str">
        <x:v>Specification type: Ms563-relief</x:v>
      </x:c>
      <x:c r="E6233" s="25" t="str">
        <x:v>$1.23</x:v>
      </x:c>
      <x:c r="F6233" s="19" t="str">
        <x:v>5</x:v>
      </x:c>
    </x:row>
    <x:row r="6234" ht="93" customHeight="1">
      <x:c r="A6234" s="19" t="n">
        <x:v>6231</x:v>
      </x:c>
      <x:c r="B6234" s="22" t="e">
        <x:f>HYPERLINK("https://cdn.shopify.com/s/files/1/0918/6066/4603/files/O1CN0152bF2D1HlWmpJgZsx__2545140798-0-cib.jpg?v=1772717626","Open")</x:f>
        <x:v>HYPERLINK is not implemented. linkLocation=https://cdn.shopify.com/s/files/1/0918/6066/4603/files/O1CN0152bF2D1HlWmpJgZsx__2545140798-0-cib.jpg?v=1772717626, friendlyName=Open</x:v>
      </x:c>
      <x:c r="C6234" s="24" t="e">
        <x:f>HYPERLINK("https://365nails.com/products/holographic-pink-bunny-nail-stickers-5d-embossed-cute-animal-set","Holographic Pink Bunny Nail Stickers – 5D Embossed Cute Animal Set")</x:f>
        <x:v>HYPERLINK is not implemented. linkLocation=https://365nails.com/products/holographic-pink-bunny-nail-stickers-5d-embossed-cute-animal-set, friendlyName=Holographic Pink Bunny Nail Stickers – 5D Embossed Cute Animal Set</x:v>
      </x:c>
      <x:c r="D6234" s="18" t="str">
        <x:v>Specification type: To733 / To734 / To735 / To737 / To810</x:v>
      </x:c>
      <x:c r="E6234" s="25" t="str">
        <x:v>$1.23</x:v>
      </x:c>
      <x:c r="F6234" s="19" t="str">
        <x:v>5</x:v>
      </x:c>
    </x:row>
    <x:row r="6235" ht="93" customHeight="1">
      <x:c r="A6235" s="19" t="n">
        <x:v>6232</x:v>
      </x:c>
      <x:c r="B6235" s="22" t="e">
        <x:f>HYPERLINK("https://cdn.shopify.com/s/files/1/0918/6066/4603/files/a1b1a9d4ea1b07cec15146d53678be8b.jpg?v=1773474636","Open")</x:f>
        <x:v>HYPERLINK is not implemented. linkLocation=https://cdn.shopify.com/s/files/1/0918/6066/4603/files/a1b1a9d4ea1b07cec15146d53678be8b.jpg?v=1773474636, friendlyName=Open</x:v>
      </x:c>
      <x:c r="C6235" s="24" t="e">
        <x:f>HYPERLINK("https://365nails.com/products/holographic-firework-collection-dreamy-holographic-firework-3d-embossed-nail-sticker","Holographic Firework Collection: ""Dreamy Holographic Firework"" – 3D Embossed Nail Sticker")</x:f>
        <x:v>HYPERLINK is not implemented. linkLocation=https://365nails.com/products/holographic-firework-collection-dreamy-holographic-firework-3d-embossed-nail-sticker, friendlyName=Holographic Firework Collection: "Dreamy Holographic Firework" – 3D Embossed Nail Sticker</x:v>
      </x:c>
      <x:c r="D6235" s="18" t="str">
        <x:v>Specification type: To5525-metal / To5526-glitter</x:v>
      </x:c>
      <x:c r="E6235" s="25" t="str">
        <x:v>$1.23</x:v>
      </x:c>
      <x:c r="F6235" s="19" t="str">
        <x:v>5</x:v>
      </x:c>
    </x:row>
    <x:row r="6236" ht="93" customHeight="1">
      <x:c r="A6236" s="19" t="n">
        <x:v>6233</x:v>
      </x:c>
      <x:c r="B6236" s="22" t="e">
        <x:f>HYPERLINK("https://cdn.shopify.com/s/files/1/0918/6066/4603/files/O1CN01etSmtC1HlWmVcumX8__2545140798-0-cib.jpg?v=1772717812","Open")</x:f>
        <x:v>HYPERLINK is not implemented. linkLocation=https://cdn.shopify.com/s/files/1/0918/6066/4603/files/O1CN01etSmtC1HlWmVcumX8__2545140798-0-cib.jpg?v=1772717812, friendlyName=Open</x:v>
      </x:c>
      <x:c r="C6236" s="24" t="e">
        <x:f>HYPERLINK("https://365nails.com/products/holographic-text-nail-stickers-5d-embossed-punk-y2k-set","Holographic Text Nail Stickers – 5D Embossed Punk &amp; Y2K Set")</x:f>
        <x:v>HYPERLINK is not implemented. linkLocation=https://365nails.com/products/holographic-text-nail-stickers-5d-embossed-punk-y2k-set, friendlyName=Holographic Text Nail Stickers – 5D Embossed Punk &amp; Y2K Set</x:v>
      </x:c>
      <x:c r="D6236" s="18" t="str">
        <x:v>Specification type: To836 laser silver / To836 rose gold / To836 new hot stamping / To837 laser silver / To837 rose gold / To837 new hot stamping / To846 laser silver / To846 rose gold / To846 new hot stamping / To836 silver / To837 silver</x:v>
      </x:c>
      <x:c r="E6236" s="25" t="str">
        <x:v>$1.23</x:v>
      </x:c>
      <x:c r="F6236" s="19" t="str">
        <x:v>5</x:v>
      </x:c>
    </x:row>
    <x:row r="6237" ht="93" customHeight="1">
      <x:c r="A6237" s="19" t="n">
        <x:v>6234</x:v>
      </x:c>
      <x:c r="B6237" s="22" t="e">
        <x:f>HYPERLINK("https://cdn.shopify.com/s/files/1/0918/6066/4603/files/52a84a378115ac6ae097020dbfa62b5b.jpg?v=1772545565","Open")</x:f>
        <x:v>HYPERLINK is not implemented. linkLocation=https://cdn.shopify.com/s/files/1/0918/6066/4603/files/52a84a378115ac6ae097020dbfa62b5b.jpg?v=1772545565, friendlyName=Open</x:v>
      </x:c>
      <x:c r="C6237" s="24" t="e">
        <x:f>HYPERLINK("https://365nails.com/products/clear-embossed-nail-stickers-multi-pattern-outline-set","Clear Embossed Nail Stickers – Multi-Pattern Outline Set")</x:f>
        <x:v>HYPERLINK is not implemented. linkLocation=https://365nails.com/products/clear-embossed-nail-stickers-multi-pattern-outline-set, friendlyName=Clear Embossed Nail Stickers – Multi-Pattern Outline Set</x:v>
      </x:c>
      <x:c r="D6237" s="18" t="str">
        <x:v>Specification type: F–1 / F–2 / F–3 / F–4 / F–5 / F–6 / F–7 / F–8 / F–9 / F–10 / F–11</x:v>
      </x:c>
      <x:c r="E6237" s="25" t="str">
        <x:v>$0.55</x:v>
      </x:c>
      <x:c r="F6237" s="19" t="str">
        <x:v>5</x:v>
      </x:c>
    </x:row>
    <x:row r="6238" ht="93" customHeight="1">
      <x:c r="A6238" s="19" t="n">
        <x:v>6235</x:v>
      </x:c>
      <x:c r="B6238" s="22" t="e">
        <x:f>HYPERLINK("https://cdn.shopify.com/s/files/1/0918/6066/4603/files/2f37dc2d23ad1926d2a2f03a6b835c64.jpg?v=1772797497","Open")</x:f>
        <x:v>HYPERLINK is not implemented. linkLocation=https://cdn.shopify.com/s/files/1/0918/6066/4603/files/2f37dc2d23ad1926d2a2f03a6b835c64.jpg?v=1772797497, friendlyName=Open</x:v>
      </x:c>
      <x:c r="C6238" s="24" t="e">
        <x:f>HYPERLINK("https://365nails.com/products/vintage-argyle-nail-stickers-5d-embossed-plaid-tweed-set","Vintage Argyle Nail Stickers – 5D Embossed Plaid &amp; Tweed Set")</x:f>
        <x:v>HYPERLINK is not implemented. linkLocation=https://365nails.com/products/vintage-argyle-nail-stickers-5d-embossed-plaid-tweed-set, friendlyName=Vintage Argyle Nail Stickers – 5D Embossed Plaid &amp; Tweed Set</x:v>
      </x:c>
      <x:c r="D6238" s="18" t="str">
        <x:v>Specification type: To3358 / To3375</x:v>
      </x:c>
      <x:c r="E6238" s="25" t="str">
        <x:v>$1.23</x:v>
      </x:c>
      <x:c r="F6238" s="19" t="str">
        <x:v>5</x:v>
      </x:c>
    </x:row>
    <x:row r="6239" ht="93" customHeight="1">
      <x:c r="A6239" s="19" t="n">
        <x:v>6236</x:v>
      </x:c>
      <x:c r="B6239" s="22" t="e">
        <x:f>HYPERLINK("https://cdn.shopify.com/s/files/1/0918/6066/4603/files/O1CN01xqYYOU1HlWl3QAfhf__2545140798-0-cib.jpg?v=1772717400","Open")</x:f>
        <x:v>HYPERLINK is not implemented. linkLocation=https://cdn.shopify.com/s/files/1/0918/6066/4603/files/O1CN01xqYYOU1HlWl3QAfhf__2545140798-0-cib.jpg?v=1772717400, friendlyName=Open</x:v>
      </x:c>
      <x:c r="C6239" s="24" t="e">
        <x:f>HYPERLINK("https://365nails.com/products/holographic-coral-sea-nail-stickers-3d-embossed-ocean-set","Holographic Coral Sea Nail Stickers – 3D Embossed Ocean Set")</x:f>
        <x:v>HYPERLINK is not implemented. linkLocation=https://365nails.com/products/holographic-coral-sea-nail-stickers-3d-embossed-ocean-set, friendlyName=Holographic Coral Sea Nail Stickers – 3D Embossed Ocean Set</x:v>
      </x:c>
      <x:c r="D6239" s="18" t="str">
        <x:v>Specification type: Ta62 / Ta63</x:v>
      </x:c>
      <x:c r="E6239" s="25" t="str">
        <x:v>$1.23</x:v>
      </x:c>
      <x:c r="F6239" s="19" t="str">
        <x:v>5</x:v>
      </x:c>
    </x:row>
    <x:row r="6240" ht="93" customHeight="1">
      <x:c r="A6240" s="19" t="n">
        <x:v>6237</x:v>
      </x:c>
      <x:c r="B6240" s="22" t="e">
        <x:f>HYPERLINK("https://cdn.shopify.com/s/files/1/0918/6066/4603/files/5fbc05c2d4b1c436e1bda572d2de3c51.jpg?v=1773473698","Open")</x:f>
        <x:v>HYPERLINK is not implemented. linkLocation=https://cdn.shopify.com/s/files/1/0918/6066/4603/files/5fbc05c2d4b1c436e1bda572d2de3c51.jpg?v=1773473698, friendlyName=Open</x:v>
      </x:c>
      <x:c r="C6240" s="24" t="e">
        <x:f>HYPERLINK("https://365nails.com/products/vintage-clock-collection-artistic-melting-clock-3d-embossed-nail-sticker","Vintage Clock Collection: ""Artistic Melting Clock"" – 3D Embossed Nail Sticker")</x:f>
        <x:v>HYPERLINK is not implemented. linkLocation=https://365nails.com/products/vintage-clock-collection-artistic-melting-clock-3d-embossed-nail-sticker, friendlyName=Vintage Clock Collection: "Artistic Melting Clock" – 3D Embossed Nail Sticker</x:v>
      </x:c>
      <x:c r="D6240" s="18" t="str">
        <x:v>Specification type: To5208-new hot stamping / To5208-silver</x:v>
      </x:c>
      <x:c r="E6240" s="25" t="str">
        <x:v>$1.23</x:v>
      </x:c>
      <x:c r="F6240" s="19" t="str">
        <x:v>5</x:v>
      </x:c>
    </x:row>
    <x:row r="6241" ht="93" customHeight="1">
      <x:c r="A6241" s="19" t="n">
        <x:v>6238</x:v>
      </x:c>
      <x:c r="B6241" s="22" t="e">
        <x:f>HYPERLINK("https://cdn.shopify.com/s/files/1/0918/6066/4603/files/2cd6da2b4131310682f3d3bd49083106.jpg?v=1772799213","Open")</x:f>
        <x:v>HYPERLINK is not implemented. linkLocation=https://cdn.shopify.com/s/files/1/0918/6066/4603/files/2cd6da2b4131310682f3d3bd49083106.jpg?v=1772799213, friendlyName=Open</x:v>
      </x:c>
      <x:c r="C6241" s="24" t="e">
        <x:f>HYPERLINK("https://365nails.com/products/3d-silver-bow-nail-stickers-5d-embossed-minimalist-elegance-set","3D Silver Bow Nail Stickers – 5D Embossed Minimalist Elegance Set")</x:f>
        <x:v>HYPERLINK is not implemented. linkLocation=https://365nails.com/products/3d-silver-bow-nail-stickers-5d-embossed-minimalist-elegance-set, friendlyName=3D Silver Bow Nail Stickers – 5D Embossed Minimalist Elegance Set</x:v>
      </x:c>
      <x:c r="D6241" s="18" t="str">
        <x:v>Specification type: Ta255-laser powder / Ta255-new hot stamping / Ta255-silver</x:v>
      </x:c>
      <x:c r="E6241" s="25" t="str">
        <x:v>$1.23</x:v>
      </x:c>
      <x:c r="F6241" s="19" t="str">
        <x:v>5</x:v>
      </x:c>
    </x:row>
    <x:row r="6242" ht="93" customHeight="1">
      <x:c r="A6242" s="19" t="n">
        <x:v>6239</x:v>
      </x:c>
      <x:c r="B6242" s="22" t="e">
        <x:f>HYPERLINK("https://cdn.shopify.com/s/files/1/0918/6066/4603/files/O1CN01G6Dc0j2MQzfIUHOfw__2219089449823-0-cib.jpg?v=1774520804","Open")</x:f>
        <x:v>HYPERLINK is not implemented. linkLocation=https://cdn.shopify.com/s/files/1/0918/6066/4603/files/O1CN01G6Dc0j2MQzfIUHOfw__2219089449823-0-cib.jpg?v=1774520804, friendlyName=Open</x:v>
      </x:c>
      <x:c r="C6242" s="24" t="e">
        <x:f>HYPERLINK("https://365nails.com/products/blush-petal-pearl-flower-grace-almond-press-on-nails","Blush Petal: ""Pearl Flower Grace"" – Almond Press-On Nails")</x:f>
        <x:v>HYPERLINK is not implemented. linkLocation=https://365nails.com/products/blush-petal-pearl-flower-grace-almond-press-on-nails, friendlyName=Blush Petal: "Pearl Flower Grace" – Almond Press-On Nails</x:v>
      </x:c>
      <x:c r="D6242" s="18" t="str">
        <x:v>Color: C447; Color classification: Xs / S / M / L</x:v>
      </x:c>
      <x:c r="E6242" s="25" t="str">
        <x:v>$3.99</x:v>
      </x:c>
      <x:c r="F6242" s="19" t="str">
        <x:v>1</x:v>
      </x:c>
    </x:row>
    <x:row r="6243" ht="93" customHeight="1">
      <x:c r="A6243" s="19" t="n">
        <x:v>6240</x:v>
      </x:c>
      <x:c r="B6243" s="22" t="e">
        <x:f>HYPERLINK("https://cdn.shopify.com/s/files/1/0918/6066/4603/files/049f99ad6c05a95ba76f3158f1eb5bad.jpg?v=1773473986","Open")</x:f>
        <x:v>HYPERLINK is not implemented. linkLocation=https://cdn.shopify.com/s/files/1/0918/6066/4603/files/049f99ad6c05a95ba76f3158f1eb5bad.jpg?v=1773473986, friendlyName=Open</x:v>
      </x:c>
      <x:c r="C6243" s="24" t="e">
        <x:f>HYPERLINK("https://365nails.com/products/chinese-lion-dance-collection-auspicious-embossed-lion-dance-3d-embossed-nail-sticker","tomoni浮雕美甲贴纸diy 爆款日系文具指甲贴鸿运醒狮蛇年美甲贴纸")</x:f>
        <x:v>HYPERLINK is not implemented. linkLocation=https://365nails.com/products/chinese-lion-dance-collection-auspicious-embossed-lion-dance-3d-embossed-nail-sticker, friendlyName=tomoni浮雕美甲贴纸diy 爆款日系文具指甲贴鸿运醒狮蛇年美甲贴纸</x:v>
      </x:c>
      <x:c r="D6243" s="18" t="str">
        <x:v>Specification type: To4781-relief / To4787-relief / To4790-relief</x:v>
      </x:c>
      <x:c r="E6243" s="25" t="str">
        <x:v>$1.23</x:v>
      </x:c>
      <x:c r="F6243" s="19" t="str">
        <x:v>5</x:v>
      </x:c>
    </x:row>
    <x:row r="6244" ht="93" customHeight="1">
      <x:c r="A6244" s="19" t="n">
        <x:v>6241</x:v>
      </x:c>
      <x:c r="B6244" s="22" t="e">
        <x:f>HYPERLINK("https://cdn.shopify.com/s/files/1/0918/6066/4603/files/bcd3f1d6f4fc40441642f047f1d894e2.jpg?v=1773476001","Open")</x:f>
        <x:v>HYPERLINK is not implemented. linkLocation=https://cdn.shopify.com/s/files/1/0918/6066/4603/files/bcd3f1d6f4fc40441642f047f1d894e2.jpg?v=1773476001, friendlyName=Open</x:v>
      </x:c>
      <x:c r="C6244" s="24" t="e">
        <x:f>HYPERLINK("https://365nails.com/products/spring-elegy-pink-cherry-blossom-collection-romantic-pink-cherry-blossom-3d-embossed-nail-sticker","Spring Elegy Pink Cherry Blossom Collection: ""Romantic Pink Cherry Blossom"" – 3D Embossed Nail Sticker")</x:f>
        <x:v>HYPERLINK is not implemented. linkLocation=https://365nails.com/products/spring-elegy-pink-cherry-blossom-collection-romantic-pink-cherry-blossom-3d-embossed-nail-sticker, friendlyName=Spring Elegy Pink Cherry Blossom Collection: "Romantic Pink Cherry Blossom" – 3D Embossed Nail Sticker</x:v>
      </x:c>
      <x:c r="D6244" s="18" t="str">
        <x:v>Specification type: To4854-shell light / To4871-relief</x:v>
      </x:c>
      <x:c r="E6244" s="25" t="str">
        <x:v>$1.23</x:v>
      </x:c>
      <x:c r="F6244" s="19" t="str">
        <x:v>5</x:v>
      </x:c>
    </x:row>
    <x:row r="6245" ht="93" customHeight="1">
      <x:c r="A6245" s="19" t="n">
        <x:v>6242</x:v>
      </x:c>
      <x:c r="B6245" s="22" t="e">
        <x:f>HYPERLINK("https://cdn.shopify.com/s/files/1/0918/6066/4603/files/O1CN01T5XP4G1HlWnkobOwW__2545140798-0-cib.jpg?v=1772844073","Open")</x:f>
        <x:v>HYPERLINK is not implemented. linkLocation=https://cdn.shopify.com/s/files/1/0918/6066/4603/files/O1CN01T5XP4G1HlWnkobOwW__2545140798-0-cib.jpg?v=1772844073, friendlyName=Open</x:v>
      </x:c>
      <x:c r="C6245" s="24" t="e">
        <x:f>HYPERLINK("https://365nails.com/products/teletubbies-nail-stickers-5d-embossed-classic-kids-cartoon-set","Teletubbies Nail Stickers – 5D Embossed Classic  Cartoon Set")</x:f>
        <x:v>HYPERLINK is not implemented. linkLocation=https://365nails.com/products/teletubbies-nail-stickers-5d-embossed-classic-kids-cartoon-set, friendlyName=Teletubbies Nail Stickers – 5D Embossed Classic  Cartoon Set</x:v>
      </x:c>
      <x:c r="D6245" s="18" t="str">
        <x:v>Specification type: To1326 relief</x:v>
      </x:c>
      <x:c r="E6245" s="25" t="str">
        <x:v>$1.23</x:v>
      </x:c>
      <x:c r="F6245" s="19" t="str">
        <x:v>5</x:v>
      </x:c>
    </x:row>
    <x:row r="6246" ht="93" customHeight="1">
      <x:c r="A6246" s="19" t="n">
        <x:v>6243</x:v>
      </x:c>
      <x:c r="B6246" s="22" t="e">
        <x:f>HYPERLINK("https://cdn.shopify.com/s/files/1/0918/6066/4603/files/747d985762fe491936cd9443fd9c7ff2.jpg?v=1773148237","Open")</x:f>
        <x:v>HYPERLINK is not implemented. linkLocation=https://cdn.shopify.com/s/files/1/0918/6066/4603/files/747d985762fe491936cd9443fd9c7ff2.jpg?v=1773148237, friendlyName=Open</x:v>
      </x:c>
      <x:c r="C6246" s="24" t="e">
        <x:f>HYPERLINK("https://365nails.com/products/pink-heart-sparkle-romantic-sweet-nail-art-set","Pink Heart Sparkle – Romantic Sweet Nail Art Stickers")</x:f>
        <x:v>HYPERLINK is not implemented. linkLocation=https://365nails.com/products/pink-heart-sparkle-romantic-sweet-nail-art-set, friendlyName=Pink Heart Sparkle – Romantic Sweet Nail Art Stickers</x:v>
      </x:c>
      <x:c r="D6246" s="18" t="str">
        <x:v>Specification type: To5524-metal</x:v>
      </x:c>
      <x:c r="E6246" s="25" t="str">
        <x:v>$1.23</x:v>
      </x:c>
      <x:c r="F6246" s="19" t="str">
        <x:v>5</x:v>
      </x:c>
    </x:row>
    <x:row r="6247" ht="93" customHeight="1">
      <x:c r="A6247" s="19" t="n">
        <x:v>6244</x:v>
      </x:c>
      <x:c r="B6247" s="22" t="e">
        <x:f>HYPERLINK("https://cdn.shopify.com/s/files/1/0918/6066/4603/files/ef93b0ba2295302c99856b5f41c20e7d.jpg?v=1772716105","Open")</x:f>
        <x:v>HYPERLINK is not implemented. linkLocation=https://cdn.shopify.com/s/files/1/0918/6066/4603/files/ef93b0ba2295302c99856b5f41c20e7d.jpg?v=1772716105, friendlyName=Open</x:v>
      </x:c>
      <x:c r="C6247" s="24" t="e">
        <x:f>HYPERLINK("https://365nails.com/products/embossed-baroque-nail-stickers-white-ornate-damask-set","Embossed Baroque Nail Stickers – White Ornate Damask Set")</x:f>
        <x:v>HYPERLINK is not implemented. linkLocation=https://365nails.com/products/embossed-baroque-nail-stickers-white-ornate-damask-set, friendlyName=Embossed Baroque Nail Stickers – White Ornate Damask Set</x:v>
      </x:c>
      <x:c r="D6247" s="18" t="str">
        <x:v>Specification type: Ta 825</x:v>
      </x:c>
      <x:c r="E6247" s="25" t="str">
        <x:v>$1.23</x:v>
      </x:c>
      <x:c r="F6247" s="19" t="str">
        <x:v>5</x:v>
      </x:c>
    </x:row>
    <x:row r="6248" ht="93" customHeight="1">
      <x:c r="A6248" s="19" t="n">
        <x:v>6245</x:v>
      </x:c>
      <x:c r="B6248" s="22" t="e">
        <x:f>HYPERLINK("https://cdn.shopify.com/s/files/1/0918/6066/4603/files/O1CN01ks4cDg1HlWndmSPux__2545140798-0-cib.jpg?v=1772718682","Open")</x:f>
        <x:v>HYPERLINK is not implemented. linkLocation=https://cdn.shopify.com/s/files/1/0918/6066/4603/files/O1CN01ks4cDg1HlWndmSPux__2545140798-0-cib.jpg?v=1772718682, friendlyName=Open</x:v>
      </x:c>
      <x:c r="C6248" s="24" t="e">
        <x:f>HYPERLINK("https://365nails.com/products/rose-bloom-nail-stickers-5d-embossed-floral-elegance-set","Rose Bloom Nail Stickers – 5D Embossed Floral Elegance Set")</x:f>
        <x:v>HYPERLINK is not implemented. linkLocation=https://365nails.com/products/rose-bloom-nail-stickers-5d-embossed-floral-elegance-set, friendlyName=Rose Bloom Nail Stickers – 5D Embossed Floral Elegance Set</x:v>
      </x:c>
      <x:c r="D6248" s="18" t="str">
        <x:v>Specification type: To1230 / To1232 / To1234 / To1238</x:v>
      </x:c>
      <x:c r="E6248" s="25" t="str">
        <x:v>$1.00</x:v>
      </x:c>
      <x:c r="F6248" s="19" t="str">
        <x:v>5</x:v>
      </x:c>
    </x:row>
    <x:row r="6249" ht="93" customHeight="1">
      <x:c r="A6249" s="19" t="n">
        <x:v>6246</x:v>
      </x:c>
      <x:c r="B6249" s="22" t="e">
        <x:f>HYPERLINK("https://cdn.shopify.com/s/files/1/0918/6066/4603/files/O1CN01uU2GP71HlX67bBCIi__2545140798-0-cib.jpg?v=1773476532","Open")</x:f>
        <x:v>HYPERLINK is not implemented. linkLocation=https://cdn.shopify.com/s/files/1/0918/6066/4603/files/O1CN01uU2GP71HlX67bBCIi__2545140798-0-cib.jpg?v=1773476532, friendlyName=Open</x:v>
      </x:c>
      <x:c r="C6249" s="24" t="e">
        <x:f>HYPERLINK("https://365nails.com/products/disney-princess-collection-snow-white-dreamy-3d-embossed-nail-sticker","Disney Princess Collection: ""Snow White Dreamy"" – 3D Embossed Nail Sticker")</x:f>
        <x:v>HYPERLINK is not implemented. linkLocation=https://365nails.com/products/disney-princess-collection-snow-white-dreamy-3d-embossed-nail-sticker, friendlyName=Disney Princess Collection: "Snow White Dreamy" – 3D Embossed Nail Sticker</x:v>
      </x:c>
      <x:c r="D6249" s="18" t="str">
        <x:v>Specification type: Disney children's set (set of 6 pieces)</x:v>
      </x:c>
      <x:c r="E6249" s="25" t="str">
        <x:v>$1.45</x:v>
      </x:c>
      <x:c r="F6249" s="19" t="str">
        <x:v>5</x:v>
      </x:c>
    </x:row>
    <x:row r="6250" ht="93" customHeight="1">
      <x:c r="A6250" s="19" t="n">
        <x:v>6247</x:v>
      </x:c>
      <x:c r="B6250" s="22" t="e">
        <x:f>HYPERLINK("https://cdn.shopify.com/s/files/1/0918/6066/4603/files/2547bf51142d9dd3e04c7bfdf0df0c37.jpg?v=1773475900","Open")</x:f>
        <x:v>HYPERLINK is not implemented. linkLocation=https://cdn.shopify.com/s/files/1/0918/6066/4603/files/2547bf51142d9dd3e04c7bfdf0df0c37.jpg?v=1773475900, friendlyName=Open</x:v>
      </x:c>
      <x:c r="C6250" s="24" t="e">
        <x:f>HYPERLINK("https://365nails.com/products/chinese-lucky-text-collection-prosperity-fortune-3d-embossed-nail-sticker","Chinese Lucky Text Collection: ""Prosperity &amp; Fortune"" – 3D Embossed Nail Sticker")</x:f>
        <x:v>HYPERLINK is not implemented. linkLocation=https://365nails.com/products/chinese-lucky-text-collection-prosperity-fortune-3d-embossed-nail-sticker, friendlyName=Chinese Lucky Text Collection: "Prosperity &amp; Fortune" – 3D Embossed Nail Sticker</x:v>
      </x:c>
      <x:c r="D6250" s="18" t="str">
        <x:v>Specification type: To3650 / To3652</x:v>
      </x:c>
      <x:c r="E6250" s="25" t="str">
        <x:v>$1.23</x:v>
      </x:c>
      <x:c r="F6250" s="19" t="str">
        <x:v>5</x:v>
      </x:c>
    </x:row>
    <x:row r="6251" ht="93" customHeight="1">
      <x:c r="A6251" s="19" t="n">
        <x:v>6248</x:v>
      </x:c>
      <x:c r="B6251" s="22" t="e">
        <x:f>HYPERLINK("https://cdn.shopify.com/s/files/1/0918/6066/4603/files/O1CN01mEkZaE1HlX3q6Mglc__2545140798-0-cib.jpg?v=1772547422","Open")</x:f>
        <x:v>HYPERLINK is not implemented. linkLocation=https://cdn.shopify.com/s/files/1/0918/6066/4603/files/O1CN01mEkZaE1HlX3q6Mglc__2545140798-0-cib.jpg?v=1772547422, friendlyName=Open</x:v>
      </x:c>
      <x:c r="C6251" s="24" t="e">
        <x:f>HYPERLINK("https://365nails.com/products/gold-foil-foliage-nail-stickers-botanical-metallic-collection","Gold Foil Foliage Nail Stickers – Botanical Metallic Collection")</x:f>
        <x:v>HYPERLINK is not implemented. linkLocation=https://365nails.com/products/gold-foil-foliage-nail-stickers-botanical-metallic-collection, friendlyName=Gold Foil Foliage Nail Stickers – Botanical Metallic Collection</x:v>
      </x:c>
      <x:c r="D6251" s="18" t="str">
        <x:v>Specification type: To4568-rose gold / To4568-new hot stamping / To4568-silver</x:v>
      </x:c>
      <x:c r="E6251" s="25" t="str">
        <x:v>$1.23</x:v>
      </x:c>
      <x:c r="F6251" s="19" t="str">
        <x:v>5</x:v>
      </x:c>
    </x:row>
    <x:row r="6252" ht="93" customHeight="1">
      <x:c r="A6252" s="19" t="n">
        <x:v>6249</x:v>
      </x:c>
      <x:c r="B6252" s="22" t="e">
        <x:f>HYPERLINK("https://cdn.shopify.com/s/files/1/0918/6066/4603/files/O1CN01tj1FAE1HlWmrkz2Rh__2545140798-0-cib.jpg?v=1772718083","Open")</x:f>
        <x:v>HYPERLINK is not implemented. linkLocation=https://cdn.shopify.com/s/files/1/0918/6066/4603/files/O1CN01tj1FAE1HlWmrkz2Rh__2545140798-0-cib.jpg?v=1772718083, friendlyName=Open</x:v>
      </x:c>
      <x:c r="C6252" s="24" t="e">
        <x:f>HYPERLINK("https://365nails.com/products/lucky-fortune-nail-stickers-5d-embossed-chinese-new-year-set","Lucky Fortune Nail Stickers – 5D Embossed Chinese New Year Set")</x:f>
        <x:v>HYPERLINK is not implemented. linkLocation=https://365nails.com/products/lucky-fortune-nail-stickers-5d-embossed-chinese-new-year-set, friendlyName=Lucky Fortune Nail Stickers – 5D Embossed Chinese New Year Set</x:v>
      </x:c>
      <x:c r="D6252" s="18" t="str">
        <x:v>Specification type: To947</x:v>
      </x:c>
      <x:c r="E6252" s="25" t="str">
        <x:v>$1.23</x:v>
      </x:c>
      <x:c r="F6252" s="19" t="str">
        <x:v>5</x:v>
      </x:c>
    </x:row>
    <x:row r="6253" ht="93" customHeight="1">
      <x:c r="A6253" s="19" t="n">
        <x:v>6250</x:v>
      </x:c>
      <x:c r="B6253" s="22" t="e">
        <x:f>HYPERLINK("https://cdn.shopify.com/s/files/1/0918/6066/4603/files/O1CN01nsrIcv1HlWiOhZRgk__2545140798-0-cib.jpg?v=1773320870","Open")</x:f>
        <x:v>HYPERLINK is not implemented. linkLocation=https://cdn.shopify.com/s/files/1/0918/6066/4603/files/O1CN01nsrIcv1HlWiOhZRgk__2545140798-0-cib.jpg?v=1773320870, friendlyName=Open</x:v>
      </x:c>
      <x:c r="C6253" s="24" t="e">
        <x:f>HYPERLINK("https://365nails.com/products/minimalist-gray-ribbon-elegant-line-art-nail-sticker-set","Minimalist Gray Ribbon – Elegant Line Art Nail Sticker Set")</x:f>
        <x:v>HYPERLINK is not implemented. linkLocation=https://365nails.com/products/minimalist-gray-ribbon-elegant-line-art-nail-sticker-set, friendlyName=Minimalist Gray Ribbon – Elegant Line Art Nail Sticker Set</x:v>
      </x:c>
      <x:c r="D6253" s="18" t="str">
        <x:v>Specification type: Ms 02 / Ms 03</x:v>
      </x:c>
      <x:c r="E6253" s="25" t="str">
        <x:v>$1.23</x:v>
      </x:c>
      <x:c r="F6253" s="19" t="str">
        <x:v>1</x:v>
      </x:c>
    </x:row>
    <x:row r="6254" ht="93" customHeight="1">
      <x:c r="A6254" s="19" t="n">
        <x:v>6251</x:v>
      </x:c>
      <x:c r="B6254" s="22" t="e">
        <x:f>HYPERLINK("https://cdn.shopify.com/s/files/1/0918/6066/4603/files/O1CN01CYtbMS1HlWpRAW24J__2545140798-0-cib.jpg?v=1772718565","Open")</x:f>
        <x:v>HYPERLINK is not implemented. linkLocation=https://cdn.shopify.com/s/files/1/0918/6066/4603/files/O1CN01CYtbMS1HlWpRAW24J__2545140798-0-cib.jpg?v=1772718565, friendlyName=Open</x:v>
      </x:c>
      <x:c r="C6254" s="24" t="e">
        <x:f>HYPERLINK("https://365nails.com/products/angel-wing-nail-stickers-5d-embossed-heavenly-set","Angel Wing Nail Stickers – 5D Embossed Heavenly Set")</x:f>
        <x:v>HYPERLINK is not implemented. linkLocation=https://365nails.com/products/angel-wing-nail-stickers-5d-embossed-heavenly-set, friendlyName=Angel Wing Nail Stickers – 5D Embossed Heavenly Set</x:v>
      </x:c>
      <x:c r="D6254" s="18" t="str">
        <x:v>Specification type: To1119 / To1120 laser silver / To1120-new hot stamping / To1120-silver</x:v>
      </x:c>
      <x:c r="E6254" s="25" t="str">
        <x:v>$1.23</x:v>
      </x:c>
      <x:c r="F6254" s="19" t="str">
        <x:v>5</x:v>
      </x:c>
    </x:row>
    <x:row r="6255" ht="93" customHeight="1">
      <x:c r="A6255" s="19" t="n">
        <x:v>6252</x:v>
      </x:c>
      <x:c r="B6255" s="22" t="e">
        <x:f>HYPERLINK("https://cdn.shopify.com/s/files/1/0918/6066/4603/files/O1CN01835Abu2MQzg9hmTX7__2219089449823-0-cib.jpg?v=1774520851","Open")</x:f>
        <x:v>HYPERLINK is not implemented. linkLocation=https://cdn.shopify.com/s/files/1/0918/6066/4603/files/O1CN01835Abu2MQzg9hmTX7__2219089449823-0-cib.jpg?v=1774520851, friendlyName=Open</x:v>
      </x:c>
      <x:c r="C6255" s="24" t="e">
        <x:f>HYPERLINK("https://365nails.com/products/ocean-breeze-blue-floral-french-almond-press-on-nails","Ocean Breeze: ""Blue Floral French"" – Almond Press-On Nails")</x:f>
        <x:v>HYPERLINK is not implemented. linkLocation=https://365nails.com/products/ocean-breeze-blue-floral-french-almond-press-on-nails, friendlyName=Ocean Breeze: "Blue Floral French" – Almond Press-On Nails</x:v>
      </x:c>
      <x:c r="D6255" s="18" t="str">
        <x:v>Color: D638; Color classification: Xs / S / M / L</x:v>
      </x:c>
      <x:c r="E6255" s="25" t="str">
        <x:v>$3.99</x:v>
      </x:c>
      <x:c r="F6255" s="19" t="str">
        <x:v>1</x:v>
      </x:c>
    </x:row>
    <x:row r="6256" ht="93" customHeight="1">
      <x:c r="A6256" s="19" t="n">
        <x:v>6253</x:v>
      </x:c>
      <x:c r="B6256" s="22" t="e">
        <x:f>HYPERLINK("https://cdn.shopify.com/s/files/1/0918/6066/4603/files/O1CN01YO5x9P1HlWzWzt55w__2545140798-0-cib.jpg?v=1773473515","Open")</x:f>
        <x:v>HYPERLINK is not implemented. linkLocation=https://cdn.shopify.com/s/files/1/0918/6066/4603/files/O1CN01YO5x9P1HlWzWzt55w__2545140798-0-cib.jpg?v=1773473515, friendlyName=Open</x:v>
      </x:c>
      <x:c r="C6256" s="24" t="e">
        <x:f>HYPERLINK("https://365nails.com/products/spring-flower-frame-collection-japanese-holographic-flower-frame-3d-embossed-nail-sticker","Spring Flower Frame Collection: ""Japanese Holographic Flower Frame"" – 3D Embossed Nail Sticker")</x:f>
        <x:v>HYPERLINK is not implemented. linkLocation=https://365nails.com/products/spring-flower-frame-collection-japanese-holographic-flower-frame-3d-embossed-nail-sticker, friendlyName=Spring Flower Frame Collection: "Japanese Holographic Flower Frame" – 3D Embossed Nail Sticker</x:v>
      </x:c>
      <x:c r="D6256" s="18" t="str">
        <x:v>Specification type: To3808-relief</x:v>
      </x:c>
      <x:c r="E6256" s="25" t="str">
        <x:v>$1.23</x:v>
      </x:c>
      <x:c r="F6256" s="19" t="str">
        <x:v>5</x:v>
      </x:c>
    </x:row>
    <x:row r="6257" ht="93" customHeight="1">
      <x:c r="A6257" s="19" t="n">
        <x:v>6254</x:v>
      </x:c>
      <x:c r="B6257" s="22" t="e">
        <x:f>HYPERLINK("https://cdn.shopify.com/s/files/1/0918/6066/4603/files/O1CN01JUz01i1HlX73FEJro__2545140798-0-cib.jpg?v=1772629792","Open")</x:f>
        <x:v>HYPERLINK is not implemented. linkLocation=https://cdn.shopify.com/s/files/1/0918/6066/4603/files/O1CN01JUz01i1HlX73FEJro__2545140798-0-cib.jpg?v=1772629792, friendlyName=Open</x:v>
      </x:c>
      <x:c r="C6257" s="24" t="e">
        <x:f>HYPERLINK("https://365nails.com/products/silver-metallic-drip-heart-nail-stickers-celestial-star-moon-clock-set","Silver Metallic Drip Heart Nail Stickers – Celestial Star Moon Clock Set")</x:f>
        <x:v>HYPERLINK is not implemented. linkLocation=https://365nails.com/products/silver-metallic-drip-heart-nail-stickers-celestial-star-moon-clock-set, friendlyName=Silver Metallic Drip Heart Nail Stickers – Celestial Star Moon Clock Set</x:v>
      </x:c>
      <x:c r="D6257" s="18" t="str">
        <x:v>Specification type: To5069-metal</x:v>
      </x:c>
      <x:c r="E6257" s="25" t="str">
        <x:v>$1.23</x:v>
      </x:c>
      <x:c r="F6257" s="19" t="str">
        <x:v>5</x:v>
      </x:c>
    </x:row>
    <x:row r="6258" ht="93" customHeight="1">
      <x:c r="A6258" s="19" t="n">
        <x:v>6255</x:v>
      </x:c>
      <x:c r="B6258" s="22" t="e">
        <x:f>HYPERLINK("https://cdn.shopify.com/s/files/1/0918/6066/4603/files/977fdb33c0e9bba0f8281600da9be433.jpg?v=1773476306","Open")</x:f>
        <x:v>HYPERLINK is not implemented. linkLocation=https://cdn.shopify.com/s/files/1/0918/6066/4603/files/977fdb33c0e9bba0f8281600da9be433.jpg?v=1773476306, friendlyName=Open</x:v>
      </x:c>
      <x:c r="C6258" s="24" t="e">
        <x:f>HYPERLINK("https://365nails.com/products/kawaii-pet-shell-light-collection-cute-pet-shell-light-3d-embossed-nail-sticker","Kawaii Pet Shell Light Collection: ""Cute Pet &amp; Shell Light"" – 3D Embossed Nail Sticker")</x:f>
        <x:v>HYPERLINK is not implemented. linkLocation=https://365nails.com/products/kawaii-pet-shell-light-collection-cute-pet-shell-light-3d-embossed-nail-sticker, friendlyName=Kawaii Pet Shell Light Collection: "Cute Pet &amp; Shell Light" – 3D Embossed Nail Sticker</x:v>
      </x:c>
      <x:c r="D6258" s="18" t="str">
        <x:v>Specification type: To5111-shell light / To5118-jelly</x:v>
      </x:c>
      <x:c r="E6258" s="25" t="str">
        <x:v>$1.23</x:v>
      </x:c>
      <x:c r="F6258" s="19" t="str">
        <x:v>5</x:v>
      </x:c>
    </x:row>
    <x:row r="6259" ht="93" customHeight="1">
      <x:c r="A6259" s="19" t="n">
        <x:v>6256</x:v>
      </x:c>
      <x:c r="B6259" s="22" t="e">
        <x:f>HYPERLINK("https://cdn.shopify.com/s/files/1/0918/6066/4603/files/O1CN012sNz3l1HlX1vsb1sD__2545140798-0-cib.jpg?v=1773474728","Open")</x:f>
        <x:v>HYPERLINK is not implemented. linkLocation=https://cdn.shopify.com/s/files/1/0918/6066/4603/files/O1CN012sNz3l1HlX1vsb1sD__2545140798-0-cib.jpg?v=1773474728, friendlyName=Open</x:v>
      </x:c>
      <x:c r="C6259" s="24" t="e">
        <x:f>HYPERLINK("https://365nails.com/products/chinese-style-gold-foil-scroll-collection-elegant-gold-foil-scroll-pattern-3d-embossed-nail-sticker","Chinese Style Gold Foil Scroll Collection: ""Elegant Gold Foil Scroll Pattern"" – 3D Embossed Nail Sticker")</x:f>
        <x:v>HYPERLINK is not implemented. linkLocation=https://365nails.com/products/chinese-style-gold-foil-scroll-collection-elegant-gold-foil-scroll-pattern-3d-embossed-nail-sticker, friendlyName=Chinese Style Gold Foil Scroll Collection: "Elegant Gold Foil Scroll Pattern" – 3D Embossed Nail Sticker</x:v>
      </x:c>
      <x:c r="D6259" s="18" t="str">
        <x:v>Specification type: To4212-new hot stamping / Ms648-new hot stamping / Ms648-rose gold / Ms648-silver / To4243-new hot stamping</x:v>
      </x:c>
      <x:c r="E6259" s="25" t="str">
        <x:v>$1.23</x:v>
      </x:c>
      <x:c r="F6259" s="19" t="str">
        <x:v>5</x:v>
      </x:c>
    </x:row>
    <x:row r="6260" ht="93" customHeight="1">
      <x:c r="A6260" s="19" t="n">
        <x:v>6257</x:v>
      </x:c>
      <x:c r="B6260" s="22" t="e">
        <x:f>HYPERLINK("https://cdn.shopify.com/s/files/1/0918/6066/4603/files/O1CN014CCZX51HlXANK0KNB__2545140798-0-cib.jpg?v=1773475765","Open")</x:f>
        <x:v>HYPERLINK is not implemented. linkLocation=https://cdn.shopify.com/s/files/1/0918/6066/4603/files/O1CN014CCZX51HlXANK0KNB__2545140798-0-cib.jpg?v=1773475765, friendlyName=Open</x:v>
      </x:c>
      <x:c r="C6260" s="24" t="e">
        <x:f>HYPERLINK("https://365nails.com/products/fairy-pink-shell-light-cherry-blossom-collection-dreamy-pink-cherry-blossom-3d-embossed-nail-sticker","Fairy Pink Shell Light Cherry Blossom Collection: ""Dreamy Pink Cherry Blossom"" – 3D Embossed Nail Sticker")</x:f>
        <x:v>HYPERLINK is not implemented. linkLocation=https://365nails.com/products/fairy-pink-shell-light-cherry-blossom-collection-dreamy-pink-cherry-blossom-3d-embossed-nail-sticker, friendlyName=Fairy Pink Shell Light Cherry Blossom Collection: "Dreamy Pink Cherry Blossom" – 3D Embossed Nail Sticker</x:v>
      </x:c>
      <x:c r="D6260" s="18" t="str">
        <x:v>Specification type: To5475-shell light / To5477-shell light</x:v>
      </x:c>
      <x:c r="E6260" s="25" t="str">
        <x:v>$1.23</x:v>
      </x:c>
      <x:c r="F6260" s="19" t="str">
        <x:v>5</x:v>
      </x:c>
    </x:row>
    <x:row r="6261" ht="93" customHeight="1">
      <x:c r="A6261" s="19" t="n">
        <x:v>6258</x:v>
      </x:c>
      <x:c r="B6261" s="22" t="e">
        <x:f>HYPERLINK("https://cdn.shopify.com/s/files/1/0918/6066/4603/files/O1CN01szN7xb1HlX0BFcQ7G__2545140798-0-cib_63fc373c-7a86-473d-9f1b-72c5eb700a74.jpg?v=1775399111","Open")</x:f>
        <x:v>HYPERLINK is not implemented. linkLocation=https://cdn.shopify.com/s/files/1/0918/6066/4603/files/O1CN01szN7xb1HlX0BFcQ7G__2545140798-0-cib_63fc373c-7a86-473d-9f1b-72c5eb700a74.jpg?v=1775399111, friendlyName=Open</x:v>
      </x:c>
      <x:c r="C6261" s="24" t="e">
        <x:f>HYPERLINK("https://365nails.com/products/365nails-blue-morpho-butterfly-ethereal-nail-stickers","365nails: ""Blue Morpho Butterfly"" – Ethereal Nail Stickers")</x:f>
        <x:v>HYPERLINK is not implemented. linkLocation=https://365nails.com/products/365nails-blue-morpho-butterfly-ethereal-nail-stickers, friendlyName=365nails: "Blue Morpho Butterfly" – Ethereal Nail Stickers</x:v>
      </x:c>
      <x:c r="D6261" s="18" t="str">
        <x:v>Specification type: To3863</x:v>
      </x:c>
      <x:c r="E6261" s="25" t="str">
        <x:v>$1.09</x:v>
      </x:c>
      <x:c r="F6261" s="19" t="str">
        <x:v>5</x:v>
      </x:c>
    </x:row>
    <x:row r="6262" ht="93" customHeight="1">
      <x:c r="A6262" s="19" t="n">
        <x:v>6259</x:v>
      </x:c>
      <x:c r="B6262" s="22" t="e">
        <x:f>HYPERLINK("https://cdn.shopify.com/s/files/1/0918/6066/4603/files/O1CN01ZtfhSD2MQzfNZYwlx__2219089449823-0-cib.jpg?v=1774520808","Open")</x:f>
        <x:v>HYPERLINK is not implemented. linkLocation=https://cdn.shopify.com/s/files/1/0918/6066/4603/files/O1CN01ZtfhSD2MQzfNZYwlx__2219089449823-0-cib.jpg?v=1774520808, friendlyName=Open</x:v>
      </x:c>
      <x:c r="C6262" s="24" t="e">
        <x:f>HYPERLINK("https://365nails.com/products/sakura-glow-pink-flower-glitter-almond-press-on-nails","Sakura Glow: ""Pink Flower &amp; Glitter"" – Almond Press-On Nails")</x:f>
        <x:v>HYPERLINK is not implemented. linkLocation=https://365nails.com/products/sakura-glow-pink-flower-glitter-almond-press-on-nails, friendlyName=Sakura Glow: "Pink Flower &amp; Glitter" – Almond Press-On Nails</x:v>
      </x:c>
      <x:c r="D6262" s="18" t="str">
        <x:v>Color: C445; Color classification: Xs / S / M / L</x:v>
      </x:c>
      <x:c r="E6262" s="25" t="str">
        <x:v>$4.99</x:v>
      </x:c>
      <x:c r="F6262" s="19" t="str">
        <x:v>1</x:v>
      </x:c>
    </x:row>
    <x:row r="6263" ht="93" customHeight="1">
      <x:c r="A6263" s="19" t="n">
        <x:v>6260</x:v>
      </x:c>
      <x:c r="B6263" s="22" t="e">
        <x:f>HYPERLINK("https://cdn.shopify.com/s/files/1/0918/6066/4603/files/127d2e7ac431d6b3cee9299233aa5565.jpg?v=1773475647","Open")</x:f>
        <x:v>HYPERLINK is not implemented. linkLocation=https://cdn.shopify.com/s/files/1/0918/6066/4603/files/127d2e7ac431d6b3cee9299233aa5565.jpg?v=1773475647, friendlyName=Open</x:v>
      </x:c>
      <x:c r="C6263" s="24" t="e">
        <x:f>HYPERLINK("https://365nails.com/products/cool-black-cat-shell-light-collection-edgy-black-cat-shell-light-3d-embossed-nail-sticker","Cool Black Cat Shell Light Collection: ""Edgy Black Cat &amp; Shell Light"" – 3D Embossed Nail Sticker")</x:f>
        <x:v>HYPERLINK is not implemented. linkLocation=https://365nails.com/products/cool-black-cat-shell-light-collection-edgy-black-cat-shell-light-3d-embossed-nail-sticker, friendlyName=Cool Black Cat Shell Light Collection: "Edgy Black Cat &amp; Shell Light" – 3D Embossed Nail Sticker</x:v>
      </x:c>
      <x:c r="D6263" s="18" t="str">
        <x:v>Specification type: To4218-relief / To4246-shell light</x:v>
      </x:c>
      <x:c r="E6263" s="25" t="str">
        <x:v>$1.23</x:v>
      </x:c>
      <x:c r="F6263" s="19" t="str">
        <x:v>5</x:v>
      </x:c>
    </x:row>
    <x:row r="6264" ht="93" customHeight="1">
      <x:c r="A6264" s="19" t="n">
        <x:v>6261</x:v>
      </x:c>
      <x:c r="B6264" s="22" t="e">
        <x:f>HYPERLINK("https://cdn.shopify.com/s/files/1/0918/6066/4603/files/6f21de363bdae6fe408c3ded3c56d29b.jpg?v=1772798962","Open")</x:f>
        <x:v>HYPERLINK is not implemented. linkLocation=https://cdn.shopify.com/s/files/1/0918/6066/4603/files/6f21de363bdae6fe408c3ded3c56d29b.jpg?v=1772798962, friendlyName=Open</x:v>
      </x:c>
      <x:c r="C6264" s="24" t="e">
        <x:f>HYPERLINK("https://365nails.com/products/pastel-goth-nail-stickers-5d-embossed-y2k-sweet-gothic-set","Pastel Goth Nail Stickers – 5D Embossed Y2K &amp; Sweet Gothic Set")</x:f>
        <x:v>HYPERLINK is not implemented. linkLocation=https://365nails.com/products/pastel-goth-nail-stickers-5d-embossed-y2k-sweet-gothic-set, friendlyName=Pastel Goth Nail Stickers – 5D Embossed Y2K &amp; Sweet Gothic Set</x:v>
      </x:c>
      <x:c r="D6264" s="18" t="str">
        <x:v>Specification type: To3336 / To3338 / To3339</x:v>
      </x:c>
      <x:c r="E6264" s="25" t="str">
        <x:v>$1.23</x:v>
      </x:c>
      <x:c r="F6264" s="19" t="str">
        <x:v>5</x:v>
      </x:c>
    </x:row>
    <x:row r="6265" ht="93" customHeight="1">
      <x:c r="A6265" s="19" t="n">
        <x:v>6262</x:v>
      </x:c>
      <x:c r="B6265" s="22" t="e">
        <x:f>HYPERLINK("https://cdn.shopify.com/s/files/1/0918/6066/4603/files/b9ea7d1be30c3d1dc8ce3f88c9f3a95a.jpg?v=1773475256","Open")</x:f>
        <x:v>HYPERLINK is not implemented. linkLocation=https://cdn.shopify.com/s/files/1/0918/6066/4603/files/b9ea7d1be30c3d1dc8ce3f88c9f3a95a.jpg?v=1773475256, friendlyName=Open</x:v>
      </x:c>
      <x:c r="C6265" s="24" t="e">
        <x:f>HYPERLINK("https://365nails.com/products/shell-light-firework-castle-collection-dreamy-shell-light-firework-castle-3d-embossed-nail-sticker","Shell Light Firework Castle Collection: ""Dreamy Shell Light Firework Castle"" – 3D Embossed Nail Sticker")</x:f>
        <x:v>HYPERLINK is not implemented. linkLocation=https://365nails.com/products/shell-light-firework-castle-collection-dreamy-shell-light-firework-castle-3d-embossed-nail-sticker, friendlyName=Shell Light Firework Castle Collection: "Dreamy Shell Light Firework Castle" – 3D Embossed Nail Sticker</x:v>
      </x:c>
      <x:c r="D6265" s="18" t="str">
        <x:v>Specification type: Ms754-shell light / Ms756-glitter / Ms756-flash silver / Ms757-shell light</x:v>
      </x:c>
      <x:c r="E6265" s="25" t="str">
        <x:v>$1.23</x:v>
      </x:c>
      <x:c r="F6265" s="19" t="str">
        <x:v>5</x:v>
      </x:c>
    </x:row>
    <x:row r="6266" ht="93" customHeight="1">
      <x:c r="A6266" s="19" t="n">
        <x:v>6263</x:v>
      </x:c>
      <x:c r="B6266" s="22" t="e">
        <x:f>HYPERLINK("https://cdn.shopify.com/s/files/1/0918/6066/4603/files/O1CN012VS7zB1HlX9Xt89DF__2545140798-0-cib.jpg?v=1773235319","Open")</x:f>
        <x:v>HYPERLINK is not implemented. linkLocation=https://cdn.shopify.com/s/files/1/0918/6066/4603/files/O1CN012VS7zB1HlX9Xt89DF__2545140798-0-cib.jpg?v=1773235319, friendlyName=Open</x:v>
      </x:c>
      <x:c r="C6266" s="24" t="e">
        <x:f>HYPERLINK("https://365nails.com/products/pink-bow-collection-sweet-coquette-nail-art-set","Pink Bow Collection – Sweet Coquette Nail Art Set")</x:f>
        <x:v>HYPERLINK is not implemented. linkLocation=https://365nails.com/products/pink-bow-collection-sweet-coquette-nail-art-set, friendlyName=Pink Bow Collection – Sweet Coquette Nail Art Set</x:v>
      </x:c>
      <x:c r="D6266" s="18" t="str">
        <x:v>Specification type: To5357 / To5358 / To5359</x:v>
      </x:c>
      <x:c r="E6266" s="25" t="str">
        <x:v>$1.00</x:v>
      </x:c>
      <x:c r="F6266" s="19" t="str">
        <x:v>1</x:v>
      </x:c>
    </x:row>
    <x:row r="6267" ht="93" customHeight="1">
      <x:c r="A6267" s="19" t="n">
        <x:v>6264</x:v>
      </x:c>
      <x:c r="B6267" s="22" t="e">
        <x:f>HYPERLINK("https://cdn.shopify.com/s/files/1/0918/6066/4603/files/147c1f2c5d46453a87ebcbd88bb1bf03.jpg?v=1773233813","Open")</x:f>
        <x:v>HYPERLINK is not implemented. linkLocation=https://cdn.shopify.com/s/files/1/0918/6066/4603/files/147c1f2c5d46453a87ebcbd88bb1bf03.jpg?v=1773233813, friendlyName=Open</x:v>
      </x:c>
      <x:c r="C6267" s="24" t="e">
        <x:f>HYPERLINK("https://365nails.com/products/lucky-cat-cute-minimalist-nail-art-set","Lucky Cat – Cute Minimalist Nail Art Stickers")</x:f>
        <x:v>HYPERLINK is not implemented. linkLocation=https://365nails.com/products/lucky-cat-cute-minimalist-nail-art-set, friendlyName=Lucky Cat – Cute Minimalist Nail Art Stickers</x:v>
      </x:c>
      <x:c r="D6267" s="18" t="str">
        <x:v>Specification type: To4167</x:v>
      </x:c>
      <x:c r="E6267" s="25" t="str">
        <x:v>$1.09</x:v>
      </x:c>
      <x:c r="F6267" s="19" t="str">
        <x:v>1</x:v>
      </x:c>
    </x:row>
    <x:row r="6268" ht="93" customHeight="1">
      <x:c r="A6268" s="19" t="n">
        <x:v>6265</x:v>
      </x:c>
      <x:c r="B6268" s="22" t="e">
        <x:f>HYPERLINK("https://cdn.shopify.com/s/files/1/0918/6066/4603/files/O1CN01jCupwy1HlXAjMbmxD__2545140798-0-cib.jpg?v=1772628394","Open")</x:f>
        <x:v>HYPERLINK is not implemented. linkLocation=https://cdn.shopify.com/s/files/1/0918/6066/4603/files/O1CN01jCupwy1HlXAjMbmxD__2545140798-0-cib.jpg?v=1772628394, friendlyName=Open</x:v>
      </x:c>
      <x:c r="C6268" s="24" t="e">
        <x:f>HYPERLINK("https://365nails.com/products/white-lace-bow-nail-stickers-holographic-rhinestone-embossed-set","White Lace Bow Nail Stickers – Holographic Rhinestone Embossed Set")</x:f>
        <x:v>HYPERLINK is not implemented. linkLocation=https://365nails.com/products/white-lace-bow-nail-stickers-holographic-rhinestone-embossed-set, friendlyName=White Lace Bow Nail Stickers – Holographic Rhinestone Embossed Set</x:v>
      </x:c>
      <x:c r="D6268" s="18" t="str">
        <x:v>Specification type: To5450-crystal diamond / Ms916-crystal diamond</x:v>
      </x:c>
      <x:c r="E6268" s="25" t="str">
        <x:v>$1.34</x:v>
      </x:c>
      <x:c r="F6268" s="19" t="str">
        <x:v>5</x:v>
      </x:c>
    </x:row>
    <x:row r="6269" ht="93" customHeight="1">
      <x:c r="A6269" s="19" t="n">
        <x:v>6266</x:v>
      </x:c>
      <x:c r="B6269" s="22" t="e">
        <x:f>HYPERLINK("https://cdn.shopify.com/s/files/1/0918/6066/4603/files/O1CN01OUB1tF1HlX4yo1szl__2545140798-0-cib.jpg?v=1772627973","Open")</x:f>
        <x:v>HYPERLINK is not implemented. linkLocation=https://cdn.shopify.com/s/files/1/0918/6066/4603/files/O1CN01OUB1tF1HlX4yo1szl__2545140798-0-cib.jpg?v=1772627973, friendlyName=Open</x:v>
      </x:c>
      <x:c r="C6269" s="24" t="e">
        <x:f>HYPERLINK("https://365nails.com/products/3d-embossed-dachshund-nail-stickers-cute-puppy-paw-print-set","3D Embossed Dachshund Nail Stickers – Cute Puppy Paw Print Set")</x:f>
        <x:v>HYPERLINK is not implemented. linkLocation=https://365nails.com/products/3d-embossed-dachshund-nail-stickers-cute-puppy-paw-print-set, friendlyName=3D Embossed Dachshund Nail Stickers – Cute Puppy Paw Print Set</x:v>
      </x:c>
      <x:c r="D6269" s="18" t="str">
        <x:v>Specification type: To4745-relief</x:v>
      </x:c>
      <x:c r="E6269" s="25" t="str">
        <x:v>$1.23</x:v>
      </x:c>
      <x:c r="F6269" s="19" t="str">
        <x:v>5</x:v>
      </x:c>
    </x:row>
    <x:row r="6270" ht="93" customHeight="1">
      <x:c r="A6270" s="19" t="n">
        <x:v>6267</x:v>
      </x:c>
      <x:c r="B6270" s="22" t="e">
        <x:f>HYPERLINK("https://cdn.shopify.com/s/files/1/0918/6066/4603/files/O1CN01R4F8gf1HlX3uHkdnG__2545140798-0-cib.jpg?v=1773476105","Open")</x:f>
        <x:v>HYPERLINK is not implemented. linkLocation=https://cdn.shopify.com/s/files/1/0918/6066/4603/files/O1CN01R4F8gf1HlX3uHkdnG__2545140798-0-cib.jpg?v=1773476105, friendlyName=Open</x:v>
      </x:c>
      <x:c r="C6270" s="24" t="e">
        <x:f>HYPERLINK("https://365nails.com/products/mother-of-pearl-vintage-rose-collection-vintage-baroque-rose-3d-embossed-nail-sticker","Mother-of-Pearl Vintage Rose Collection: ""Vintage Baroque Rose"" – 3D Embossed Nail Sticker")</x:f>
        <x:v>HYPERLINK is not implemented. linkLocation=https://365nails.com/products/mother-of-pearl-vintage-rose-collection-vintage-baroque-rose-3d-embossed-nail-sticker, friendlyName=Mother-of-Pearl Vintage Rose Collection: "Vintage Baroque Rose" – 3D Embossed Nail Sticker</x:v>
      </x:c>
      <x:c r="D6270" s="18" t="str">
        <x:v>Specification type: To4528-new hot stamping / To4577-shell light</x:v>
      </x:c>
      <x:c r="E6270" s="25" t="str">
        <x:v>$1.23</x:v>
      </x:c>
      <x:c r="F6270" s="19" t="str">
        <x:v>5</x:v>
      </x:c>
    </x:row>
    <x:row r="6271" ht="93" customHeight="1">
      <x:c r="A6271" s="19" t="n">
        <x:v>6268</x:v>
      </x:c>
      <x:c r="B6271" s="22" t="e">
        <x:f>HYPERLINK("https://cdn.shopify.com/s/files/1/0918/6066/4603/files/4748053426c4fea62c568970c2b21adf.jpg?v=1773148634","Open")</x:f>
        <x:v>HYPERLINK is not implemented. linkLocation=https://cdn.shopify.com/s/files/1/0918/6066/4603/files/4748053426c4fea62c568970c2b21adf.jpg?v=1773148634, friendlyName=Open</x:v>
      </x:c>
      <x:c r="C6271" s="24" t="e">
        <x:f>HYPERLINK("https://365nails.com/products/white-lace-crystal-bridal-elegant-nail-art-set","White Lace Crystal – Bridal Elegant Nail Art Stickers")</x:f>
        <x:v>HYPERLINK is not implemented. linkLocation=https://365nails.com/products/white-lace-crystal-bridal-elegant-nail-art-set, friendlyName=White Lace Crystal – Bridal Elegant Nail Art Stickers</x:v>
      </x:c>
      <x:c r="D6271" s="18" t="str">
        <x:v>Specification type: Ms538-crystal diamond</x:v>
      </x:c>
      <x:c r="E6271" s="25" t="str">
        <x:v>$1.30</x:v>
      </x:c>
      <x:c r="F6271" s="19" t="str">
        <x:v>5</x:v>
      </x:c>
    </x:row>
    <x:row r="6272" ht="93" customHeight="1">
      <x:c r="A6272" s="19" t="n">
        <x:v>6269</x:v>
      </x:c>
      <x:c r="B6272" s="22" t="e">
        <x:f>HYPERLINK("https://cdn.shopify.com/s/files/1/0918/6066/4603/files/757d948667da3ac7397a354a70b5e2c5.jpg?v=1772801989","Open")</x:f>
        <x:v>HYPERLINK is not implemented. linkLocation=https://cdn.shopify.com/s/files/1/0918/6066/4603/files/757d948667da3ac7397a354a70b5e2c5.jpg?v=1772801989, friendlyName=Open</x:v>
      </x:c>
      <x:c r="C6272" s="24" t="e">
        <x:f>HYPERLINK("https://365nails.com/products/chinese-dragon-nail-stickers-5d-embossed-auspicious-set","Chinese Dragon Nail Stickers – 5D Embossed Auspicious Set")</x:f>
        <x:v>HYPERLINK is not implemented. linkLocation=https://365nails.com/products/chinese-dragon-nail-stickers-5d-embossed-auspicious-set, friendlyName=Chinese Dragon Nail Stickers – 5D Embossed Auspicious Set</x:v>
      </x:c>
      <x:c r="D6272" s="18" t="str">
        <x:v>Specification type: To3700-new hot stamping / To3701-relief / To3707-relief</x:v>
      </x:c>
      <x:c r="E6272" s="25" t="str">
        <x:v>$1.38</x:v>
      </x:c>
      <x:c r="F6272" s="19" t="str">
        <x:v>5</x:v>
      </x:c>
    </x:row>
    <x:row r="6273" ht="93" customHeight="1">
      <x:c r="A6273" s="19" t="n">
        <x:v>6270</x:v>
      </x:c>
      <x:c r="B6273" s="22" t="e">
        <x:f>HYPERLINK("https://cdn.shopify.com/s/files/1/0918/6066/4603/files/O1CN01M6QX1g2MQzej1hVlM__2219089449823-0-cib.jpg?v=1774579154","Open")</x:f>
        <x:v>HYPERLINK is not implemented. linkLocation=https://cdn.shopify.com/s/files/1/0918/6066/4603/files/O1CN01M6QX1g2MQzej1hVlM__2219089449823-0-cib.jpg?v=1774579154, friendlyName=Open</x:v>
      </x:c>
      <x:c r="C6273" s="24" t="e">
        <x:f>HYPERLINK("https://365nails.com/products/plum-blossom-night-midnight-plum-grace-almond-press-on-nails","Plum Blossom Night: ""Midnight Plum Grace"" – Almond Press-On Nails")</x:f>
        <x:v>HYPERLINK is not implemented. linkLocation=https://365nails.com/products/plum-blossom-night-midnight-plum-grace-almond-press-on-nails, friendlyName=Plum Blossom Night: "Midnight Plum Grace" – Almond Press-On Nails</x:v>
      </x:c>
      <x:c r="D6273" s="18" t="str">
        <x:v>Color: (e30) purple shell and almond nail; Color classification: Xs / S / M / L</x:v>
      </x:c>
      <x:c r="E6273" s="25" t="str">
        <x:v>$3.49</x:v>
      </x:c>
      <x:c r="F6273" s="19" t="str">
        <x:v>1</x:v>
      </x:c>
    </x:row>
    <x:row r="6274" ht="93" customHeight="1">
      <x:c r="A6274" s="19" t="n">
        <x:v>6271</x:v>
      </x:c>
      <x:c r="B6274" s="22" t="e">
        <x:f>HYPERLINK("https://cdn.shopify.com/s/files/1/0918/6066/4603/files/O1CN01LBspNS2MQzen5djlh__2219089449823-0-cib.jpg?v=1774579149","Open")</x:f>
        <x:v>HYPERLINK is not implemented. linkLocation=https://cdn.shopify.com/s/files/1/0918/6066/4603/files/O1CN01LBspNS2MQzen5djlh__2219089449823-0-cib.jpg?v=1774579149, friendlyName=Open</x:v>
      </x:c>
      <x:c r="C6274" s="24" t="e">
        <x:f>HYPERLINK("https://365nails.com/products/bridal-grace-wedding-bow-floral-square-press-on-nails","Bridal Grace: ""Wedding Bow &amp; Floral"" – Square Press-On Nails")</x:f>
        <x:v>HYPERLINK is not implemented. linkLocation=https://365nails.com/products/bridal-grace-wedding-bow-floral-square-press-on-nails, friendlyName=Bridal Grace: "Wedding Bow &amp; Floral" – Square Press-On Nails</x:v>
      </x:c>
      <x:c r="D6274" s="18" t="str">
        <x:v>Color: Q229; Color classification: Xs / S / M / L</x:v>
      </x:c>
      <x:c r="E6274" s="25" t="str">
        <x:v>$3.49</x:v>
      </x:c>
      <x:c r="F6274" s="19" t="str">
        <x:v>1</x:v>
      </x:c>
    </x:row>
    <x:row r="6275" ht="93" customHeight="1">
      <x:c r="A6275" s="19" t="n">
        <x:v>6272</x:v>
      </x:c>
      <x:c r="B6275" s="22" t="e">
        <x:f>HYPERLINK("https://cdn.shopify.com/s/files/1/0918/6066/4603/files/3ca160e534e3cf37c617dd9df3053ff8.jpg?v=1773475396","Open")</x:f>
        <x:v>HYPERLINK is not implemented. linkLocation=https://cdn.shopify.com/s/files/1/0918/6066/4603/files/3ca160e534e3cf37c617dd9df3053ff8.jpg?v=1773475396, friendlyName=Open</x:v>
      </x:c>
      <x:c r="C6275" s="24" t="e">
        <x:f>HYPERLINK("https://365nails.com/products/metallic-iridescent-gem-collection-luxury-iridescent-gem-star-3d-embossed-nail-sticker","Metallic Iridescent Gem Collection: ""Luxury Iridescent Gem &amp; Star"" – 3D Embossed Nail Sticker")</x:f>
        <x:v>HYPERLINK is not implemented. linkLocation=https://365nails.com/products/metallic-iridescent-gem-collection-luxury-iridescent-gem-star-3d-embossed-nail-sticker, friendlyName=Metallic Iridescent Gem Collection: "Luxury Iridescent Gem &amp; Star" – 3D Embossed Nail Sticker</x:v>
      </x:c>
      <x:c r="D6275" s="18" t="str">
        <x:v>Specification type: Ms832-new hot stamping / Ms832-silver / Ms835-new hot stamping / Ms835-silver / Ms840-new hot stamping / Ms840-silver</x:v>
      </x:c>
      <x:c r="E6275" s="25" t="str">
        <x:v>$1.23</x:v>
      </x:c>
      <x:c r="F6275" s="19" t="str">
        <x:v>5</x:v>
      </x:c>
    </x:row>
    <x:row r="6276" ht="93" customHeight="1">
      <x:c r="A6276" s="19" t="n">
        <x:v>6273</x:v>
      </x:c>
      <x:c r="B6276" s="22" t="e">
        <x:f>HYPERLINK("https://cdn.shopify.com/s/files/1/0918/6066/4603/files/O1CN01rIlX8o1HlWnvDY1bz__2545140798-0-cib.jpg?v=1772719373","Open")</x:f>
        <x:v>HYPERLINK is not implemented. linkLocation=https://cdn.shopify.com/s/files/1/0918/6066/4603/files/O1CN01rIlX8o1HlWnvDY1bz__2545140798-0-cib.jpg?v=1772719373, friendlyName=Open</x:v>
      </x:c>
      <x:c r="C6276" s="24" t="e">
        <x:f>HYPERLINK("https://365nails.com/products/dreamy-jellyfish-nail-stickers-5d-embossed-ocean-fantasy-set","Dreamy Jellyfish Nail Stickers – 5D Embossed Ocean Fantasy Set")</x:f>
        <x:v>HYPERLINK is not implemented. linkLocation=https://365nails.com/products/dreamy-jellyfish-nail-stickers-5d-embossed-ocean-fantasy-set, friendlyName=Dreamy Jellyfish Nail Stickers – 5D Embossed Ocean Fantasy Set</x:v>
      </x:c>
      <x:c r="D6276" s="18" t="str">
        <x:v>Specification type: To1369</x:v>
      </x:c>
      <x:c r="E6276" s="25" t="str">
        <x:v>$1.00</x:v>
      </x:c>
      <x:c r="F6276" s="19" t="str">
        <x:v>5</x:v>
      </x:c>
    </x:row>
    <x:row r="6277" ht="93" customHeight="1">
      <x:c r="A6277" s="19" t="n">
        <x:v>6274</x:v>
      </x:c>
      <x:c r="B6277" s="22" t="e">
        <x:f>HYPERLINK("https://cdn.shopify.com/s/files/1/0918/6066/4603/files/O1CN01CbPZSZ1HlX3DGAfyP__2545140798-0-cib.jpg?v=1773147081","Open")</x:f>
        <x:v>HYPERLINK is not implemented. linkLocation=https://cdn.shopify.com/s/files/1/0918/6066/4603/files/O1CN01CbPZSZ1HlX3DGAfyP__2545140798-0-cib.jpg?v=1773147081, friendlyName=Open</x:v>
      </x:c>
      <x:c r="C6277" s="24" t="e">
        <x:f>HYPERLINK("https://365nails.com/products/gothic-cross-metal-dark-punk-nail-art-set","Gothic Cross Metal – Dark Punk Nail Art Stickers")</x:f>
        <x:v>HYPERLINK is not implemented. linkLocation=https://365nails.com/products/gothic-cross-metal-dark-punk-nail-art-set, friendlyName=Gothic Cross Metal – Dark Punk Nail Art Stickers</x:v>
      </x:c>
      <x:c r="D6277" s="18" t="str">
        <x:v>Specification type: To4428-new hot stamping / To4428-rose gold / To4428-silver / To5153-metal / To5135-thin tough / To5134-relief / To5044-thin and tough / To5045-thin tough / Ta394-crystal diamond / Ta395-crystal diamond / Ta396-crystal diamond / Ta397-crystal diamond / Ms356-crystal diamond / Ms357-crystal diamond / Ms389-thin and tough</x:v>
      </x:c>
      <x:c r="E6277" s="25" t="str">
        <x:v>$1.00–$1.34</x:v>
      </x:c>
      <x:c r="F6277" s="19" t="str">
        <x:v>5</x:v>
      </x:c>
    </x:row>
    <x:row r="6278" ht="93" customHeight="1">
      <x:c r="A6278" s="19" t="n">
        <x:v>6275</x:v>
      </x:c>
      <x:c r="B6278" s="22" t="e">
        <x:f>HYPERLINK("https://cdn.shopify.com/s/files/1/0918/6066/4603/files/O1CN01ICGSGv1HlXASUWoAc__2545140798-0-cib.jpg?v=1772625776","Open")</x:f>
        <x:v>HYPERLINK is not implemented. linkLocation=https://cdn.shopify.com/s/files/1/0918/6066/4603/files/O1CN01ICGSGv1HlXASUWoAc__2545140798-0-cib.jpg?v=1772625776, friendlyName=Open</x:v>
      </x:c>
      <x:c r="C6278" s="24" t="e">
        <x:f>HYPERLINK("https://365nails.com/products/stitched-teddy-cherry-3d-nail-stickers-retro-cottagecore-collection","Stitched Teddy &amp; Cherry 3D Nail Stickers – Retro Cottagecore Collection")</x:f>
        <x:v>HYPERLINK is not implemented. linkLocation=https://365nails.com/products/stitched-teddy-cherry-3d-nail-stickers-retro-cottagecore-collection, friendlyName=Stitched Teddy &amp; Cherry 3D Nail Stickers – Retro Cottagecore Collection</x:v>
      </x:c>
      <x:c r="D6278" s="18" t="str">
        <x:v>Specification type: To5472-relief / To5486-relief</x:v>
      </x:c>
      <x:c r="E6278" s="25" t="str">
        <x:v>$1.23</x:v>
      </x:c>
      <x:c r="F6278" s="19" t="str">
        <x:v>5</x:v>
      </x:c>
    </x:row>
    <x:row r="6279" ht="93" customHeight="1">
      <x:c r="A6279" s="19" t="n">
        <x:v>6276</x:v>
      </x:c>
      <x:c r="B6279" s="22" t="e">
        <x:f>HYPERLINK("https://cdn.shopify.com/s/files/1/0918/6066/4603/files/6443a897b5e2effc714b4bdd0c18e347.jpg?v=1773235578","Open")</x:f>
        <x:v>HYPERLINK is not implemented. linkLocation=https://cdn.shopify.com/s/files/1/0918/6066/4603/files/6443a897b5e2effc714b4bdd0c18e347.jpg?v=1773235578, friendlyName=Open</x:v>
      </x:c>
      <x:c r="C6279" s="24" t="e">
        <x:f>HYPERLINK("https://365nails.com/products/white-french-curve-minimalist-elegant-nail-art-set","White French Curve – Minimalist Elegant Nail Art Set")</x:f>
        <x:v>HYPERLINK is not implemented. linkLocation=https://365nails.com/products/white-french-curve-minimalist-elegant-nail-art-set, friendlyName=White French Curve – Minimalist Elegant Nail Art Set</x:v>
      </x:c>
      <x:c r="D6279" s="18" t="str">
        <x:v>Specification type: To3007-white / To3007-black</x:v>
      </x:c>
      <x:c r="E6279" s="25" t="str">
        <x:v>$1.23</x:v>
      </x:c>
      <x:c r="F6279" s="19" t="str">
        <x:v>1</x:v>
      </x:c>
    </x:row>
    <x:row r="6280" ht="93" customHeight="1">
      <x:c r="A6280" s="19" t="n">
        <x:v>6277</x:v>
      </x:c>
      <x:c r="B6280" s="22" t="e">
        <x:f>HYPERLINK("https://cdn.shopify.com/s/files/1/0918/6066/4603/files/5815fe4449cf67268b18a31cc7267503.jpg?v=1773151670","Open")</x:f>
        <x:v>HYPERLINK is not implemented. linkLocation=https://cdn.shopify.com/s/files/1/0918/6066/4603/files/5815fe4449cf67268b18a31cc7267503.jpg?v=1773151670, friendlyName=Open</x:v>
      </x:c>
      <x:c r="C6280" s="24" t="e">
        <x:f>HYPERLINK("https://365nails.com/products/golden-cross-sunburst-luxe-religious-nail-art-set","Golden Cross Sunburst – Luxe Religious Nail Art Stickers")</x:f>
        <x:v>HYPERLINK is not implemented. linkLocation=https://365nails.com/products/golden-cross-sunburst-luxe-religious-nail-art-set, friendlyName=Golden Cross Sunburst – Luxe Religious Nail Art Stickers</x:v>
      </x:c>
      <x:c r="D6280" s="18" t="str">
        <x:v>Specification type: To5452-metal / To5454-relief / To5456-metal / To5455-metal</x:v>
      </x:c>
      <x:c r="E6280" s="25" t="str">
        <x:v>$1.23</x:v>
      </x:c>
      <x:c r="F6280" s="19" t="str">
        <x:v>5</x:v>
      </x:c>
    </x:row>
    <x:row r="6281" ht="93" customHeight="1">
      <x:c r="A6281" s="19" t="n">
        <x:v>6278</x:v>
      </x:c>
      <x:c r="B6281" s="22" t="e">
        <x:f>HYPERLINK("https://cdn.shopify.com/s/files/1/0918/6066/4603/files/f5e6e5e41d0d153c9b594c76fb9c0581.jpg?v=1772799533","Open")</x:f>
        <x:v>HYPERLINK is not implemented. linkLocation=https://cdn.shopify.com/s/files/1/0918/6066/4603/files/f5e6e5e41d0d153c9b594c76fb9c0581.jpg?v=1772799533, friendlyName=Open</x:v>
      </x:c>
      <x:c r="C6281" s="24" t="e">
        <x:f>HYPERLINK("https://365nails.com/products/chocolate-teddy-bear-nail-stickers-5d-embossed-sweet-checkerboard-set","Chocolate Teddy Bear Nail Stickers – 5D Embossed Sweet Checkerboard Set")</x:f>
        <x:v>HYPERLINK is not implemented. linkLocation=https://365nails.com/products/chocolate-teddy-bear-nail-stickers-5d-embossed-sweet-checkerboard-set, friendlyName=Chocolate Teddy Bear Nail Stickers – 5D Embossed Sweet Checkerboard Set</x:v>
      </x:c>
      <x:c r="D6281" s="18" t="str">
        <x:v>Specification type: To3496 / To3508 / To3511</x:v>
      </x:c>
      <x:c r="E6281" s="25" t="str">
        <x:v>$1.09</x:v>
      </x:c>
      <x:c r="F6281" s="19" t="str">
        <x:v>5</x:v>
      </x:c>
    </x:row>
    <x:row r="6282" ht="93" customHeight="1">
      <x:c r="A6282" s="19" t="n">
        <x:v>6279</x:v>
      </x:c>
      <x:c r="B6282" s="22" t="e">
        <x:f>HYPERLINK("https://cdn.shopify.com/s/files/1/0918/6066/4603/files/3aa4b9bfceda8d1078db62916c75348e.jpg?v=1772801474","Open")</x:f>
        <x:v>HYPERLINK is not implemented. linkLocation=https://cdn.shopify.com/s/files/1/0918/6066/4603/files/3aa4b9bfceda8d1078db62916c75348e.jpg?v=1772801474, friendlyName=Open</x:v>
      </x:c>
      <x:c r="C6282" s="24" t="e">
        <x:f>HYPERLINK("https://365nails.com/products/lucky-chinese-calligraphy-nail-stickers-5d-embossed-auspicious-set","Lucky Chinese Calligraphy Nail Stickers – 5D Embossed Auspicious Set")</x:f>
        <x:v>HYPERLINK is not implemented. linkLocation=https://365nails.com/products/lucky-chinese-calligraphy-nail-stickers-5d-embossed-auspicious-set, friendlyName=Lucky Chinese Calligraphy Nail Stickers – 5D Embossed Auspicious Set</x:v>
      </x:c>
      <x:c r="D6282" s="18" t="str">
        <x:v>Specification type: To3651 / To3653 / To3658</x:v>
      </x:c>
      <x:c r="E6282" s="25" t="str">
        <x:v>$1.09</x:v>
      </x:c>
      <x:c r="F6282" s="19" t="str">
        <x:v>5</x:v>
      </x:c>
    </x:row>
    <x:row r="6283" ht="93" customHeight="1">
      <x:c r="A6283" s="19" t="n">
        <x:v>6280</x:v>
      </x:c>
      <x:c r="B6283" s="22" t="e">
        <x:f>HYPERLINK("https://cdn.shopify.com/s/files/1/0918/6066/4603/files/e089d3167f9ae411059660bdf7d99673.jpg?v=1775220133","Open")</x:f>
        <x:v>HYPERLINK is not implemented. linkLocation=https://cdn.shopify.com/s/files/1/0918/6066/4603/files/e089d3167f9ae411059660bdf7d99673.jpg?v=1775220133, friendlyName=Open</x:v>
      </x:c>
      <x:c r="C6283" s="24" t="e">
        <x:f>HYPERLINK("https://365nails.com/products/gothic-cross-noir-devotion-long-stiletto-press-on-nails","Gothic Cross: ""Noir Devotion"" – Long Stiletto Press-on Nails")</x:f>
        <x:v>HYPERLINK is not implemented. linkLocation=https://365nails.com/products/gothic-cross-noir-devotion-long-stiletto-press-on-nails, friendlyName=Gothic Cross: "Noir Devotion" – Long Stiletto Press-on Nails</x:v>
      </x:c>
      <x:c r="D6283" s="18" t="str">
        <x:v>Size: XS / S / M / L</x:v>
      </x:c>
      <x:c r="E6283" s="25" t="str">
        <x:v>$3.99</x:v>
      </x:c>
      <x:c r="F6283" s="19" t="str">
        <x:v>3</x:v>
      </x:c>
    </x:row>
    <x:row r="6284" ht="93" customHeight="1">
      <x:c r="A6284" s="19" t="n">
        <x:v>6281</x:v>
      </x:c>
      <x:c r="B6284" s="22" t="e">
        <x:f>HYPERLINK("https://cdn.shopify.com/s/files/1/0918/6066/4603/files/8647c9bb863dd403dc824443f9f7ac61.jpg?v=1773234710","Open")</x:f>
        <x:v>HYPERLINK is not implemented. linkLocation=https://cdn.shopify.com/s/files/1/0918/6066/4603/files/8647c9bb863dd403dc824443f9f7ac61.jpg?v=1773234710, friendlyName=Open</x:v>
      </x:c>
      <x:c r="C6284" s="24" t="e">
        <x:f>HYPERLINK("https://365nails.com/products/vintage-teddy-bear-journal-sweet-nostalgic-nail-art-set","Vintage Teddy Bear Journal – Sweet Nostalgic Nail Art Stickers")</x:f>
        <x:v>HYPERLINK is not implemented. linkLocation=https://365nails.com/products/vintage-teddy-bear-journal-sweet-nostalgic-nail-art-set, friendlyName=Vintage Teddy Bear Journal – Sweet Nostalgic Nail Art Stickers</x:v>
      </x:c>
      <x:c r="D6284" s="18" t="str">
        <x:v>Specification type: To4569-relief / To4570-relief</x:v>
      </x:c>
      <x:c r="E6284" s="25" t="str">
        <x:v>$1.23</x:v>
      </x:c>
      <x:c r="F6284" s="19" t="str">
        <x:v>1</x:v>
      </x:c>
    </x:row>
    <x:row r="6285" ht="93" customHeight="1">
      <x:c r="A6285" s="19" t="n">
        <x:v>6282</x:v>
      </x:c>
      <x:c r="B6285" s="22" t="e">
        <x:f>HYPERLINK("https://cdn.shopify.com/s/files/1/0918/6066/4603/files/b878a36535f7da4094a4cf8e53acf41c.jpg?v=1773320411","Open")</x:f>
        <x:v>HYPERLINK is not implemented. linkLocation=https://cdn.shopify.com/s/files/1/0918/6066/4603/files/b878a36535f7da4094a4cf8e53acf41c.jpg?v=1773320411, friendlyName=Open</x:v>
      </x:c>
      <x:c r="C6285" s="24" t="e">
        <x:f>HYPERLINK("https://365nails.com/products/holographic-firework-festive-glam-nail-art-set","Holographic Firework – Festive Glam Nail Art Set")</x:f>
        <x:v>HYPERLINK is not implemented. linkLocation=https://365nails.com/products/holographic-firework-festive-glam-nail-art-set, friendlyName=Holographic Firework – Festive Glam Nail Art Set</x:v>
      </x:c>
      <x:c r="D6285" s="18" t="str">
        <x:v>Specification type: To3462-relief / Ms465-laser powder / Ms465-new hot stamping / Ms465-silver / Ms466-relief / Ms467-shell light</x:v>
      </x:c>
      <x:c r="E6285" s="25" t="str">
        <x:v>$1.23</x:v>
      </x:c>
      <x:c r="F6285" s="19" t="str">
        <x:v>1</x:v>
      </x:c>
    </x:row>
    <x:row r="6286" ht="93" customHeight="1">
      <x:c r="A6286" s="19" t="n">
        <x:v>6283</x:v>
      </x:c>
      <x:c r="B6286" s="22" t="e">
        <x:f>HYPERLINK("https://cdn.shopify.com/s/files/1/0918/6066/4603/files/2b86c5ee2269d94d50f94574a1dddeb1.jpg?v=1773151128","Open")</x:f>
        <x:v>HYPERLINK is not implemented. linkLocation=https://cdn.shopify.com/s/files/1/0918/6066/4603/files/2b86c5ee2269d94d50f94574a1dddeb1.jpg?v=1773151128, friendlyName=Open</x:v>
      </x:c>
      <x:c r="C6286" s="24" t="e">
        <x:f>HYPERLINK("https://365nails.com/products/gold-star-hollow-minimalist-metallic-nail-art-set","Gold Star Hollow – Minimalist Metallic Nail Art Stickers")</x:f>
        <x:v>HYPERLINK is not implemented. linkLocation=https://365nails.com/products/gold-star-hollow-minimalist-metallic-nail-art-set, friendlyName=Gold Star Hollow – Minimalist Metallic Nail Art Stickers</x:v>
      </x:c>
      <x:c r="D6286" s="18" t="str">
        <x:v>Specification type: To2352 laser silver / To2352 new hot stamping / To2352 silver / To2356 laser silver / To2356 new hot stamping / To2356silver</x:v>
      </x:c>
      <x:c r="E6286" s="25" t="str">
        <x:v>$1.23</x:v>
      </x:c>
      <x:c r="F6286" s="19" t="str">
        <x:v>5</x:v>
      </x:c>
    </x:row>
    <x:row r="6287" ht="93" customHeight="1">
      <x:c r="A6287" s="19" t="n">
        <x:v>6284</x:v>
      </x:c>
      <x:c r="B6287" s="22" t="e">
        <x:f>HYPERLINK("https://cdn.shopify.com/s/files/1/0918/6066/4603/files/be46440f127591ae87e71d99fd89da9e.jpg?v=1772800858","Open")</x:f>
        <x:v>HYPERLINK is not implemented. linkLocation=https://cdn.shopify.com/s/files/1/0918/6066/4603/files/be46440f127591ae87e71d99fd89da9e.jpg?v=1772800858, friendlyName=Open</x:v>
      </x:c>
      <x:c r="C6287" s="24" t="e">
        <x:f>HYPERLINK("https://365nails.com/products/kawaii-clown-circus-nail-stickers-5d-embossed-playful-set","Kawaii Clown &amp; Circus Nail Stickers – 5D Embossed Playful Set")</x:f>
        <x:v>HYPERLINK is not implemented. linkLocation=https://365nails.com/products/kawaii-clown-circus-nail-stickers-5d-embossed-playful-set, friendlyName=Kawaii Clown &amp; Circus Nail Stickers – 5D Embossed Playful Set</x:v>
      </x:c>
      <x:c r="D6287" s="18" t="str">
        <x:v>Specification type: To3593</x:v>
      </x:c>
      <x:c r="E6287" s="25" t="str">
        <x:v>$1.23</x:v>
      </x:c>
      <x:c r="F6287" s="19" t="str">
        <x:v>5</x:v>
      </x:c>
    </x:row>
    <x:row r="6288" ht="93" customHeight="1">
      <x:c r="A6288" s="19" t="n">
        <x:v>6285</x:v>
      </x:c>
      <x:c r="B6288" s="22" t="e">
        <x:f>HYPERLINK("https://cdn.shopify.com/s/files/1/0918/6066/4603/files/O1CN01jUIx7O1HlX6ev2agt__2545140798-0-cib.jpg?v=1772702467","Open")</x:f>
        <x:v>HYPERLINK is not implemented. linkLocation=https://cdn.shopify.com/s/files/1/0918/6066/4603/files/O1CN01jUIx7O1HlX6ev2agt__2545140798-0-cib.jpg?v=1772702467, friendlyName=Open</x:v>
      </x:c>
      <x:c r="C6288" s="24" t="e">
        <x:f>HYPERLINK("https://365nails.com/products/embossed-fruit-nail-stickers-cherry-strawberry-gold-set","Embossed Fruit Nail Stickers – Cherry &amp; Strawberry Gold Set")</x:f>
        <x:v>HYPERLINK is not implemented. linkLocation=https://365nails.com/products/embossed-fruit-nail-stickers-cherry-strawberry-gold-set, friendlyName=Embossed Fruit Nail Stickers – Cherry &amp; Strawberry Gold Set</x:v>
      </x:c>
      <x:c r="D6288" s="18" t="str">
        <x:v>Specification type: To5066-ming gold / To5068-ming gold / To5066-silver / To5068-silver</x:v>
      </x:c>
      <x:c r="E6288" s="25" t="str">
        <x:v>$1.23</x:v>
      </x:c>
      <x:c r="F6288" s="19" t="str">
        <x:v>5</x:v>
      </x:c>
    </x:row>
    <x:row r="6289" ht="93" customHeight="1">
      <x:c r="A6289" s="19" t="n">
        <x:v>6286</x:v>
      </x:c>
      <x:c r="B6289" s="22" t="e">
        <x:f>HYPERLINK("https://cdn.shopify.com/s/files/1/0918/6066/4603/files/39fb0969325b415a95b40fdefd6ad98c.jpg?v=1772801050","Open")</x:f>
        <x:v>HYPERLINK is not implemented. linkLocation=https://cdn.shopify.com/s/files/1/0918/6066/4603/files/39fb0969325b415a95b40fdefd6ad98c.jpg?v=1772801050, friendlyName=Open</x:v>
      </x:c>
      <x:c r="C6289" s="24" t="e">
        <x:f>HYPERLINK("https://365nails.com/products/kawaii-dessert-bunny-nail-stickers-5d-embossed-sweet-pastel-set","Kawaii Dessert &amp; Bunny Nail Stickers – 5D Embossed Sweet Pastel Set")</x:f>
        <x:v>HYPERLINK is not implemented. linkLocation=https://365nails.com/products/kawaii-dessert-bunny-nail-stickers-5d-embossed-sweet-pastel-set, friendlyName=Kawaii Dessert &amp; Bunny Nail Stickers – 5D Embossed Sweet Pastel Set</x:v>
      </x:c>
      <x:c r="D6289" s="18" t="str">
        <x:v>Specification type: To3608 / To3610</x:v>
      </x:c>
      <x:c r="E6289" s="25" t="str">
        <x:v>$1.09</x:v>
      </x:c>
      <x:c r="F6289" s="19" t="str">
        <x:v>5</x:v>
      </x:c>
    </x:row>
    <x:row r="6290" ht="93" customHeight="1">
      <x:c r="A6290" s="19" t="n">
        <x:v>6287</x:v>
      </x:c>
      <x:c r="B6290" s="22" t="e">
        <x:f>HYPERLINK("https://cdn.shopify.com/s/files/1/0918/6066/4603/files/O1CN01B7KDGy1HlX0Kzy3Y5__2545140798-0-cib.jpg?v=1772701735","Open")</x:f>
        <x:v>HYPERLINK is not implemented. linkLocation=https://cdn.shopify.com/s/files/1/0918/6066/4603/files/O1CN01B7KDGy1HlX0Kzy3Y5__2545140798-0-cib.jpg?v=1772701735, friendlyName=Open</x:v>
      </x:c>
      <x:c r="C6290" s="24" t="e">
        <x:f>HYPERLINK("https://365nails.com/products/holographic-butterfly-nail-stickers-3d-embossed-iridescent-set","Holographic Butterfly Nail Stickers – 3D Embossed Iridescent Set")</x:f>
        <x:v>HYPERLINK is not implemented. linkLocation=https://365nails.com/products/holographic-butterfly-nail-stickers-3d-embossed-iridescent-set, friendlyName=Holographic Butterfly Nail Stickers – 3D Embossed Iridescent Set</x:v>
      </x:c>
      <x:c r="D6290" s="18" t="str">
        <x:v>Specification type: To3888-shell light</x:v>
      </x:c>
      <x:c r="E6290" s="25" t="str">
        <x:v>$1.23</x:v>
      </x:c>
      <x:c r="F6290" s="19" t="str">
        <x:v>5</x:v>
      </x:c>
    </x:row>
    <x:row r="6291" ht="93" customHeight="1">
      <x:c r="A6291" s="19" t="n">
        <x:v>6288</x:v>
      </x:c>
      <x:c r="B6291" s="22" t="e">
        <x:f>HYPERLINK("https://cdn.shopify.com/s/files/1/0918/6066/4603/files/O1CN0173wPf01HlX1zQPCap__2545140798-0-cib.jpg?v=1773555864","Open")</x:f>
        <x:v>HYPERLINK is not implemented. linkLocation=https://cdn.shopify.com/s/files/1/0918/6066/4603/files/O1CN0173wPf01HlX1zQPCap__2545140798-0-cib.jpg?v=1773555864, friendlyName=Open</x:v>
      </x:c>
      <x:c r="C6291" s="24" t="e">
        <x:f>HYPERLINK("https://365nails.com/products/dreamy-cloud-holographic-sky-3d-embossed-nail-sticker","Dreamy Cloud: ""Holographic Sky"" – 3D Embossed Nail Sticker")</x:f>
        <x:v>HYPERLINK is not implemented. linkLocation=https://365nails.com/products/dreamy-cloud-holographic-sky-3d-embossed-nail-sticker, friendlyName=Dreamy Cloud: "Holographic Sky" – 3D Embossed Nail Sticker</x:v>
      </x:c>
      <x:c r="D6291" s="18" t="str">
        <x:v>Specification type: To4214-shell light / To4222-shell light</x:v>
      </x:c>
      <x:c r="E6291" s="25" t="str">
        <x:v>$1.23</x:v>
      </x:c>
      <x:c r="F6291" s="19" t="str">
        <x:v>5</x:v>
      </x:c>
    </x:row>
    <x:row r="6292" ht="93" customHeight="1">
      <x:c r="A6292" s="19" t="n">
        <x:v>6289</x:v>
      </x:c>
      <x:c r="B6292" s="22" t="e">
        <x:f>HYPERLINK("https://cdn.shopify.com/s/files/1/0918/6066/4603/files/O1CN013nLUlJ1HlWn0Tkm2w__2545140798-0-cib.jpg?v=1772718197","Open")</x:f>
        <x:v>HYPERLINK is not implemented. linkLocation=https://cdn.shopify.com/s/files/1/0918/6066/4603/files/O1CN013nLUlJ1HlWn0Tkm2w__2545140798-0-cib.jpg?v=1772718197, friendlyName=Open</x:v>
      </x:c>
      <x:c r="C6292" s="24" t="e">
        <x:f>HYPERLINK("https://365nails.com/products/colorful-cross-nail-stickers-5d-embossed-gothic-sweet-set","Colorful Cross Nail Stickers – 5D Embossed Gothic &amp; Sweet Set")</x:f>
        <x:v>HYPERLINK is not implemented. linkLocation=https://365nails.com/products/colorful-cross-nail-stickers-5d-embossed-gothic-sweet-set, friendlyName=Colorful Cross Nail Stickers – 5D Embossed Gothic &amp; Sweet Set</x:v>
      </x:c>
      <x:c r="D6292" s="18" t="str">
        <x:v>Specification type: To1092</x:v>
      </x:c>
      <x:c r="E6292" s="25" t="str">
        <x:v>$1.00</x:v>
      </x:c>
      <x:c r="F6292" s="19" t="str">
        <x:v>5</x:v>
      </x:c>
    </x:row>
    <x:row r="6293" ht="93" customHeight="1">
      <x:c r="A6293" s="19" t="n">
        <x:v>6290</x:v>
      </x:c>
      <x:c r="B6293" s="22" t="e">
        <x:f>HYPERLINK("https://cdn.shopify.com/s/files/1/0918/6066/4603/files/00e046cf52764ad239433edc5b0fdb29.jpg?v=1773238615","Open")</x:f>
        <x:v>HYPERLINK is not implemented. linkLocation=https://cdn.shopify.com/s/files/1/0918/6066/4603/files/00e046cf52764ad239433edc5b0fdb29.jpg?v=1773238615, friendlyName=Open</x:v>
      </x:c>
      <x:c r="C6293" s="24" t="e">
        <x:f>HYPERLINK("https://365nails.com/products/love-horse-heart-romantic-valentines-nail-art-set","Love Horse &amp; Heart – Romantic Valentines Nail Art Stickers")</x:f>
        <x:v>HYPERLINK is not implemented. linkLocation=https://365nails.com/products/love-horse-heart-romantic-valentines-nail-art-set, friendlyName=Love Horse &amp; Heart – Romantic Valentines Nail Art Stickers</x:v>
      </x:c>
      <x:c r="D6293" s="18" t="str">
        <x:v>Specification type: To5505-relief / To5539-relief</x:v>
      </x:c>
      <x:c r="E6293" s="25" t="str">
        <x:v>$1.23</x:v>
      </x:c>
      <x:c r="F6293" s="19" t="str">
        <x:v>1</x:v>
      </x:c>
    </x:row>
    <x:row r="6294" ht="93" customHeight="1">
      <x:c r="A6294" s="19" t="n">
        <x:v>6291</x:v>
      </x:c>
      <x:c r="B6294" s="22" t="e">
        <x:f>HYPERLINK("https://cdn.shopify.com/s/files/1/0918/6066/4603/files/8ab176ca553845307617aaa2f747e7b2.jpg?v=1772799824","Open")</x:f>
        <x:v>HYPERLINK is not implemented. linkLocation=https://cdn.shopify.com/s/files/1/0918/6066/4603/files/8ab176ca553845307617aaa2f747e7b2.jpg?v=1772799824, friendlyName=Open</x:v>
      </x:c>
      <x:c r="C6294" s="24" t="e">
        <x:f>HYPERLINK("https://365nails.com/products/plaid-teddy-bear-nail-stickers-5d-embossed-sweet-love-set","Plaid Teddy Bear Nail Stickers – 5D Embossed Sweet Love Set")</x:f>
        <x:v>HYPERLINK is not implemented. linkLocation=https://365nails.com/products/plaid-teddy-bear-nail-stickers-5d-embossed-sweet-love-set, friendlyName=Plaid Teddy Bear Nail Stickers – 5D Embossed Sweet Love Set</x:v>
      </x:c>
      <x:c r="D6294" s="18" t="str">
        <x:v>Specification type: To3521 / To3522</x:v>
      </x:c>
      <x:c r="E6294" s="25" t="str">
        <x:v>$1.23</x:v>
      </x:c>
      <x:c r="F6294" s="19" t="str">
        <x:v>5</x:v>
      </x:c>
    </x:row>
    <x:row r="6295" ht="93" customHeight="1">
      <x:c r="A6295" s="19" t="n">
        <x:v>6292</x:v>
      </x:c>
      <x:c r="B6295" s="22" t="e">
        <x:f>HYPERLINK("https://cdn.shopify.com/s/files/1/0918/6066/4603/files/654c19fae825d6afefeedf546f4d182e.jpg?v=1773323025","Open")</x:f>
        <x:v>HYPERLINK is not implemented. linkLocation=https://cdn.shopify.com/s/files/1/0918/6066/4603/files/654c19fae825d6afefeedf546f4d182e.jpg?v=1773323025, friendlyName=Open</x:v>
      </x:c>
      <x:c r="C6295" s="24" t="e">
        <x:f>HYPERLINK("https://365nails.com/products/sleepy-bear-cloud-kawaii-cozy-nail-art-set","Sleepy Bear Cloud – Kawaii Cozy Nail Art Set")</x:f>
        <x:v>HYPERLINK is not implemented. linkLocation=https://365nails.com/products/sleepy-bear-cloud-kawaii-cozy-nail-art-set, friendlyName=Sleepy Bear Cloud – Kawaii Cozy Nail Art Set</x:v>
      </x:c>
      <x:c r="D6295" s="18" t="str">
        <x:v>Specification type: To4817-relief</x:v>
      </x:c>
      <x:c r="E6295" s="25" t="str">
        <x:v>$1.23</x:v>
      </x:c>
      <x:c r="F6295" s="19" t="str">
        <x:v>1</x:v>
      </x:c>
    </x:row>
    <x:row r="6296" ht="93" customHeight="1">
      <x:c r="A6296" s="19" t="n">
        <x:v>6293</x:v>
      </x:c>
      <x:c r="B6296" s="22" t="e">
        <x:f>HYPERLINK("https://cdn.shopify.com/s/files/1/0918/6066/4603/files/5e538e14d0b50448cd916b89ca993aea.jpg?v=1773151756","Open")</x:f>
        <x:v>HYPERLINK is not implemented. linkLocation=https://cdn.shopify.com/s/files/1/0918/6066/4603/files/5e538e14d0b50448cd916b89ca993aea.jpg?v=1773151756, friendlyName=Open</x:v>
      </x:c>
      <x:c r="C6296" s="24" t="e">
        <x:f>HYPERLINK("https://365nails.com/products/colorful-doodle-mix-playful-retro-nail-art-set","Colorful Doodle Mix – Playful Retro Nail Art Stickers")</x:f>
        <x:v>HYPERLINK is not implemented. linkLocation=https://365nails.com/products/colorful-doodle-mix-playful-retro-nail-art-set, friendlyName=Colorful Doodle Mix – Playful Retro Nail Art Stickers</x:v>
      </x:c>
      <x:c r="D6296" s="18" t="str">
        <x:v>Specification type: To4894-relief / To4925-relief</x:v>
      </x:c>
      <x:c r="E6296" s="25" t="str">
        <x:v>$1.23</x:v>
      </x:c>
      <x:c r="F6296" s="19" t="str">
        <x:v>5</x:v>
      </x:c>
    </x:row>
    <x:row r="6297" ht="93" customHeight="1">
      <x:c r="A6297" s="19" t="n">
        <x:v>6294</x:v>
      </x:c>
      <x:c r="B6297" s="22" t="e">
        <x:f>HYPERLINK("https://cdn.shopify.com/s/files/1/0918/6066/4603/files/O1CN01YcIwcR1HlX9RYhqmM__2545140798-0-cib.jpg?v=1776571034","Open")</x:f>
        <x:v>HYPERLINK is not implemented. linkLocation=https://cdn.shopify.com/s/files/1/0918/6066/4603/files/O1CN01YcIwcR1HlX9RYhqmM__2545140798-0-cib.jpg?v=1776571034, friendlyName=Open</x:v>
      </x:c>
      <x:c r="C6297" s="24" t="e">
        <x:f>HYPERLINK("https://365nails.com/products/365nails-gothic-red-spider-nail-art-stickers","365nails: ""Gothic Red Spider"" – nail art stickers")</x:f>
        <x:v>HYPERLINK is not implemented. linkLocation=https://365nails.com/products/365nails-gothic-red-spider-nail-art-stickers, friendlyName=365nails: "Gothic Red Spider" – nail art stickers</x:v>
      </x:c>
      <x:c r="D6297" s="18" t="str">
        <x:v>Specification type: To5337-relief / To5338-relief</x:v>
      </x:c>
      <x:c r="E6297" s="25" t="str">
        <x:v>$1.23</x:v>
      </x:c>
      <x:c r="F6297" s="19" t="str">
        <x:v>5</x:v>
      </x:c>
    </x:row>
    <x:row r="6298" ht="93" customHeight="1">
      <x:c r="A6298" s="19" t="n">
        <x:v>6295</x:v>
      </x:c>
      <x:c r="B6298" s="22" t="e">
        <x:f>HYPERLINK("https://cdn.shopify.com/s/files/1/0918/6066/4603/files/20831316039_1801976554.jpg?v=1773558750","Open")</x:f>
        <x:v>HYPERLINK is not implemented. linkLocation=https://cdn.shopify.com/s/files/1/0918/6066/4603/files/20831316039_1801976554.jpg?v=1773558750, friendlyName=Open</x:v>
      </x:c>
      <x:c r="C6298" s="24" t="e">
        <x:f>HYPERLINK("https://365nails.com/products/winter-snowflake-embossed-snowflake-3d-embossed-nail-sticker","Winter Snowflake: ""Embossed Snowflake"" – 3D Embossed Nail Sticker")</x:f>
        <x:v>HYPERLINK is not implemented. linkLocation=https://365nails.com/products/winter-snowflake-embossed-snowflake-3d-embossed-nail-sticker, friendlyName=Winter Snowflake: "Embossed Snowflake" – 3D Embossed Nail Sticker</x:v>
      </x:c>
      <x:c r="D6298" s="18" t="str">
        <x:v>Specification type: Tomoni 207</x:v>
      </x:c>
      <x:c r="E6298" s="25" t="str">
        <x:v>$1.23</x:v>
      </x:c>
      <x:c r="F6298" s="19" t="str">
        <x:v>5</x:v>
      </x:c>
    </x:row>
    <x:row r="6299" ht="93" customHeight="1">
      <x:c r="A6299" s="19" t="n">
        <x:v>6296</x:v>
      </x:c>
      <x:c r="B6299" s="22" t="e">
        <x:f>HYPERLINK("https://cdn.shopify.com/s/files/1/0918/6066/4603/files/3c4a8f7638c4ede64e23d7e4dbc4ec0f.jpg?v=1772546830","Open")</x:f>
        <x:v>HYPERLINK is not implemented. linkLocation=https://cdn.shopify.com/s/files/1/0918/6066/4603/files/3c4a8f7638c4ede64e23d7e4dbc4ec0f.jpg?v=1772546830, friendlyName=Open</x:v>
      </x:c>
      <x:c r="C6299" s="24" t="e">
        <x:f>HYPERLINK("https://365nails.com/products/iridescent-bow-3d-embossed-nail-stickers-aurora-ribbon-collection","Iridescent Bow 3D Embossed Nail Stickers – Aurora Ribbon Collection")</x:f>
        <x:v>HYPERLINK is not implemented. linkLocation=https://365nails.com/products/iridescent-bow-3d-embossed-nail-stickers-aurora-ribbon-collection, friendlyName=Iridescent Bow 3D Embossed Nail Stickers – Aurora Ribbon Collection</x:v>
      </x:c>
      <x:c r="D6299" s="18" t="str">
        <x:v>Specification type: To5011-jelly</x:v>
      </x:c>
      <x:c r="E6299" s="25" t="str">
        <x:v>$1.23</x:v>
      </x:c>
      <x:c r="F6299" s="19" t="str">
        <x:v>5</x:v>
      </x:c>
    </x:row>
    <x:row r="6300" ht="93" customHeight="1">
      <x:c r="A6300" s="19" t="n">
        <x:v>6297</x:v>
      </x:c>
      <x:c r="B6300" s="22" t="e">
        <x:f>HYPERLINK("https://cdn.shopify.com/s/files/1/0918/6066/4603/files/142296f295d938c7443029e27e37d728.jpg?v=1775307875","Open")</x:f>
        <x:v>HYPERLINK is not implemented. linkLocation=https://cdn.shopify.com/s/files/1/0918/6066/4603/files/142296f295d938c7443029e27e37d728.jpg?v=1775307875, friendlyName=Open</x:v>
      </x:c>
      <x:c r="C6300" s="24" t="e">
        <x:f>HYPERLINK("https://365nails.com/products/scarlet-bloom-ruby-lily-long-coffin-press-on-nails","Scarlet Bloom: ""Ruby Lily"" – Long Coffin Press-on Nails")</x:f>
        <x:v>HYPERLINK is not implemented. linkLocation=https://365nails.com/products/scarlet-bloom-ruby-lily-long-coffin-press-on-nails, friendlyName=Scarlet Bloom: "Ruby Lily" – Long Coffin Press-on Nails</x:v>
      </x:c>
      <x:c r="D6300" s="18" t="str">
        <x:v>Size: XS / S / M / L</x:v>
      </x:c>
      <x:c r="E6300" s="25" t="str">
        <x:v>$3.99</x:v>
      </x:c>
      <x:c r="F6300" s="19" t="str">
        <x:v>5</x:v>
      </x:c>
    </x:row>
    <x:row r="6301" ht="93" customHeight="1">
      <x:c r="A6301" s="19" t="n">
        <x:v>6298</x:v>
      </x:c>
      <x:c r="B6301" s="22" t="e">
        <x:f>HYPERLINK("https://cdn.shopify.com/s/files/1/0918/6066/4603/files/O1CN012d382D1HlX19cgxGO__2545140798-0-cib.jpg?v=1773234989","Open")</x:f>
        <x:v>HYPERLINK is not implemented. linkLocation=https://cdn.shopify.com/s/files/1/0918/6066/4603/files/O1CN012d382D1HlX19cgxGO__2545140798-0-cib.jpg?v=1773234989, friendlyName=Open</x:v>
      </x:c>
      <x:c r="C6301" s="24" t="e">
        <x:f>HYPERLINK("https://365nails.com/products/golden-geometric-ornament-minimalist-luxe-nail-art-set","Golden Geometric Ornament – Minimalist Luxe Nail Art Set")</x:f>
        <x:v>HYPERLINK is not implemented. linkLocation=https://365nails.com/products/golden-geometric-ornament-minimalist-luxe-nail-art-set, friendlyName=Golden Geometric Ornament – Minimalist Luxe Nail Art Set</x:v>
      </x:c>
      <x:c r="D6301" s="18" t="str">
        <x:v>Specification type: San031</x:v>
      </x:c>
      <x:c r="E6301" s="25" t="str">
        <x:v>$1.16</x:v>
      </x:c>
      <x:c r="F6301" s="19" t="str">
        <x:v>1</x:v>
      </x:c>
    </x:row>
    <x:row r="6302" ht="93" customHeight="1">
      <x:c r="A6302" s="19" t="n">
        <x:v>6299</x:v>
      </x:c>
      <x:c r="B6302" s="22" t="e">
        <x:f>HYPERLINK("https://cdn.shopify.com/s/files/1/0918/6066/4603/files/c99ea381626c8ca649e9916c36b9fc80.jpg?v=1772797336","Open")</x:f>
        <x:v>HYPERLINK is not implemented. linkLocation=https://cdn.shopify.com/s/files/1/0918/6066/4603/files/c99ea381626c8ca649e9916c36b9fc80.jpg?v=1772797336, friendlyName=Open</x:v>
      </x:c>
      <x:c r="C6302" s="24" t="e">
        <x:f>HYPERLINK("https://365nails.com/products/pink-ink-dragon-nail-stickers-5d-embossed-chinese-myth-set","Pink Ink Dragon Nail Stickers – 5D Embossed Chinese Myth Set")</x:f>
        <x:v>HYPERLINK is not implemented. linkLocation=https://365nails.com/products/pink-ink-dragon-nail-stickers-5d-embossed-chinese-myth-set, friendlyName=Pink Ink Dragon Nail Stickers – 5D Embossed Chinese Myth Set</x:v>
      </x:c>
      <x:c r="D6302" s="18" t="str">
        <x:v>Specification type: To3387 / To3389</x:v>
      </x:c>
      <x:c r="E6302" s="25" t="str">
        <x:v>$1.09</x:v>
      </x:c>
      <x:c r="F6302" s="19" t="str">
        <x:v>5</x:v>
      </x:c>
    </x:row>
    <x:row r="6303" ht="93" customHeight="1">
      <x:c r="A6303" s="19" t="n">
        <x:v>6300</x:v>
      </x:c>
      <x:c r="B6303" s="22" t="e">
        <x:f>HYPERLINK("https://cdn.shopify.com/s/files/1/0918/6066/4603/files/O1CN01kUHYQm1HlXAY3tv8b__2545140798-0-cib.jpg?v=1772702658","Open")</x:f>
        <x:v>HYPERLINK is not implemented. linkLocation=https://cdn.shopify.com/s/files/1/0918/6066/4603/files/O1CN01kUHYQm1HlXAY3tv8b__2545140798-0-cib.jpg?v=1772702658, friendlyName=Open</x:v>
      </x:c>
      <x:c r="C6303" s="24" t="e">
        <x:f>HYPERLINK("https://365nails.com/products/embossed-festive-nail-stickers-rocking-horse-lucky-charm-set","Embossed Festive Nail Stickers – Rocking Horse &amp; Lucky Charm Set")</x:f>
        <x:v>HYPERLINK is not implemented. linkLocation=https://365nails.com/products/embossed-festive-nail-stickers-rocking-horse-lucky-charm-set, friendlyName=Embossed Festive Nail Stickers – Rocking Horse &amp; Lucky Charm Set</x:v>
      </x:c>
      <x:c r="D6303" s="18" t="str">
        <x:v>Specification type: To5500-relief / To5501-shell light / To5502-relief</x:v>
      </x:c>
      <x:c r="E6303" s="25" t="str">
        <x:v>$1.23</x:v>
      </x:c>
      <x:c r="F6303" s="19" t="str">
        <x:v>5</x:v>
      </x:c>
    </x:row>
    <x:row r="6304" ht="93" customHeight="1">
      <x:c r="A6304" s="19" t="n">
        <x:v>6301</x:v>
      </x:c>
      <x:c r="B6304" s="22" t="e">
        <x:f>HYPERLINK("https://cdn.shopify.com/s/files/1/0918/6066/4603/files/5d476bc4598edf18842fcbb5ac36f1a7.jpg?v=1773232869","Open")</x:f>
        <x:v>HYPERLINK is not implemented. linkLocation=https://cdn.shopify.com/s/files/1/0918/6066/4603/files/5d476bc4598edf18842fcbb5ac36f1a7.jpg?v=1773232869, friendlyName=Open</x:v>
      </x:c>
      <x:c r="C6304" s="24" t="e">
        <x:f>HYPERLINK("https://365nails.com/products/leopard-print-cross-edgy-gothic-nail-art-set","Leopard Print Cross – Edgy Gothic Nail Art Stickers")</x:f>
        <x:v>HYPERLINK is not implemented. linkLocation=https://365nails.com/products/leopard-print-cross-edgy-gothic-nail-art-set, friendlyName=Leopard Print Cross – Edgy Gothic Nail Art Stickers</x:v>
      </x:c>
      <x:c r="D6304" s="18" t="str">
        <x:v>Specification type: To5412 / To5413 / To5414</x:v>
      </x:c>
      <x:c r="E6304" s="25" t="str">
        <x:v>$1.00</x:v>
      </x:c>
      <x:c r="F6304" s="19" t="str">
        <x:v>1</x:v>
      </x:c>
    </x:row>
    <x:row r="6305" ht="93" customHeight="1">
      <x:c r="A6305" s="19" t="n">
        <x:v>6302</x:v>
      </x:c>
      <x:c r="B6305" s="22" t="e">
        <x:f>HYPERLINK("https://cdn.shopify.com/s/files/1/0918/6066/4603/files/138b2a26287eae1e11d461af9835f9eb.jpg?v=1773324498","Open")</x:f>
        <x:v>HYPERLINK is not implemented. linkLocation=https://cdn.shopify.com/s/files/1/0918/6066/4603/files/138b2a26287eae1e11d461af9835f9eb.jpg?v=1773324498, friendlyName=Open</x:v>
      </x:c>
      <x:c r="C6305" s="24" t="e">
        <x:f>HYPERLINK("https://365nails.com/products/red-pearl-bow-elegant-romantic-nail-art-set","Red Pearl Bow – Elegant Romantic Nail Art Set")</x:f>
        <x:v>HYPERLINK is not implemented. linkLocation=https://365nails.com/products/red-pearl-bow-elegant-romantic-nail-art-set, friendlyName=Red Pearl Bow – Elegant Romantic Nail Art Set</x:v>
      </x:c>
      <x:c r="D6305" s="18" t="str">
        <x:v>Specification type: To5556-crystal diamond / To5575-crystal diamond</x:v>
      </x:c>
      <x:c r="E6305" s="25" t="str">
        <x:v>$1.34</x:v>
      </x:c>
      <x:c r="F6305" s="19" t="str">
        <x:v>1</x:v>
      </x:c>
    </x:row>
    <x:row r="6306" ht="93" customHeight="1">
      <x:c r="A6306" s="19" t="n">
        <x:v>6303</x:v>
      </x:c>
      <x:c r="B6306" s="22" t="e">
        <x:f>HYPERLINK("https://cdn.shopify.com/s/files/1/0918/6066/4603/files/O1CN01tY8EBK1HlWjYayLkD__2545140798-0-cib.jpg?v=1773558515","Open")</x:f>
        <x:v>HYPERLINK is not implemented. linkLocation=https://cdn.shopify.com/s/files/1/0918/6066/4603/files/O1CN01tY8EBK1HlWjYayLkD__2545140798-0-cib.jpg?v=1773558515, friendlyName=Open</x:v>
      </x:c>
      <x:c r="C6306" s="24" t="e">
        <x:f>HYPERLINK("https://365nails.com/products/vintage-lace-white-lace-stripe-3d-embossed-nail-sticker","Vintage Lace: ""White Lace Stripe"" – 3D Embossed Nail Sticker")</x:f>
        <x:v>HYPERLINK is not implemented. linkLocation=https://365nails.com/products/vintage-lace-white-lace-stripe-3d-embossed-nail-sticker, friendlyName=Vintage Lace: "White Lace Stripe" – 3D Embossed Nail Sticker</x:v>
      </x:c>
      <x:c r="D6306" s="18" t="str">
        <x:v>Color: Ta805 white lace / Ta806 black lace / Ta815 coffee lace / Ta816 red lace</x:v>
      </x:c>
      <x:c r="E6306" s="25" t="str">
        <x:v>$1.23</x:v>
      </x:c>
      <x:c r="F6306" s="19" t="str">
        <x:v>5</x:v>
      </x:c>
    </x:row>
    <x:row r="6307" ht="93" customHeight="1">
      <x:c r="A6307" s="19" t="n">
        <x:v>6304</x:v>
      </x:c>
      <x:c r="B6307" s="22" t="e">
        <x:f>HYPERLINK("https://cdn.shopify.com/s/files/1/0918/6066/4603/files/b7f966125e75bd8b05d5d43e4f5e0e6e.jpg?v=1773324670","Open")</x:f>
        <x:v>HYPERLINK is not implemented. linkLocation=https://cdn.shopify.com/s/files/1/0918/6066/4603/files/b7f966125e75bd8b05d5d43e4f5e0e6e.jpg?v=1773324670, friendlyName=Open</x:v>
      </x:c>
      <x:c r="C6307" s="24" t="e">
        <x:f>HYPERLINK("https://365nails.com/products/pastel-plaid-bow-kawaii-cute-nail-art-set","Pastel Plaid Bow – Kawaii Cute Nail Art Set")</x:f>
        <x:v>HYPERLINK is not implemented. linkLocation=https://365nails.com/products/pastel-plaid-bow-kawaii-cute-nail-art-set, friendlyName=Pastel Plaid Bow – Kawaii Cute Nail Art Set</x:v>
      </x:c>
      <x:c r="D6307" s="18" t="str">
        <x:v>Specification type: To5580</x:v>
      </x:c>
      <x:c r="E6307" s="25" t="str">
        <x:v>$1.00</x:v>
      </x:c>
      <x:c r="F6307" s="19" t="str">
        <x:v>1</x:v>
      </x:c>
    </x:row>
    <x:row r="6308" ht="93" customHeight="1">
      <x:c r="A6308" s="19" t="n">
        <x:v>6305</x:v>
      </x:c>
      <x:c r="B6308" s="22" t="e">
        <x:f>HYPERLINK("https://cdn.shopify.com/s/files/1/0918/6066/4603/files/O1CN01t4CTPL1HlWyUlaC9d__2545140798-0-cib.jpg?v=1772632675","Open")</x:f>
        <x:v>HYPERLINK is not implemented. linkLocation=https://cdn.shopify.com/s/files/1/0918/6066/4603/files/O1CN01t4CTPL1HlWyUlaC9d__2545140798-0-cib.jpg?v=1772632675, friendlyName=Open</x:v>
      </x:c>
      <x:c r="C6308" s="24" t="e">
        <x:f>HYPERLINK("https://365nails.com/products/pearl-chain-nail-stickers-3d-embossed-bridal-vintage-set","Pearl Chain Nail Stickers – 3D Embossed Bridal &amp; Vintage Set")</x:f>
        <x:v>HYPERLINK is not implemented. linkLocation=https://365nails.com/products/pearl-chain-nail-stickers-3d-embossed-bridal-vintage-set, friendlyName=Pearl Chain Nail Stickers – 3D Embossed Bridal &amp; Vintage Set</x:v>
      </x:c>
      <x:c r="D6308" s="18" t="str">
        <x:v>Specification type: Ms515-crystal diamond</x:v>
      </x:c>
      <x:c r="E6308" s="25" t="str">
        <x:v>$1.00</x:v>
      </x:c>
      <x:c r="F6308" s="19" t="str">
        <x:v>5</x:v>
      </x:c>
    </x:row>
    <x:row r="6309" ht="93" customHeight="1">
      <x:c r="A6309" s="19" t="n">
        <x:v>6306</x:v>
      </x:c>
      <x:c r="B6309" s="22" t="e">
        <x:f>HYPERLINK("https://cdn.shopify.com/s/files/1/0918/6066/4603/files/7cc6ce193e8635d27b11197fdf70ab99.jpg?v=1772800564","Open")</x:f>
        <x:v>HYPERLINK is not implemented. linkLocation=https://cdn.shopify.com/s/files/1/0918/6066/4603/files/7cc6ce193e8635d27b11197fdf70ab99.jpg?v=1772800564, friendlyName=Open</x:v>
      </x:c>
      <x:c r="C6309" s="24" t="e">
        <x:f>HYPERLINK("https://365nails.com/products/vintage-brown-butterfly-nail-stickers-5d-embossed-oriental-calligraphy-set","Vintage Brown Butterfly Nail Stickers – 5D Embossed Oriental Calligraphy Set")</x:f>
        <x:v>HYPERLINK is not implemented. linkLocation=https://365nails.com/products/vintage-brown-butterfly-nail-stickers-5d-embossed-oriental-calligraphy-set, friendlyName=Vintage Brown Butterfly Nail Stickers – 5D Embossed Oriental Calligraphy Set</x:v>
      </x:c>
      <x:c r="D6309" s="18" t="str">
        <x:v>Specification type: To3570 / To3571 / To3576</x:v>
      </x:c>
      <x:c r="E6309" s="25" t="str">
        <x:v>$1.09</x:v>
      </x:c>
      <x:c r="F6309" s="19" t="str">
        <x:v>5</x:v>
      </x:c>
    </x:row>
    <x:row r="6310" ht="93" customHeight="1">
      <x:c r="A6310" s="19" t="n">
        <x:v>6307</x:v>
      </x:c>
      <x:c r="B6310" s="22" t="e">
        <x:f>HYPERLINK("https://cdn.shopify.com/s/files/1/0918/6066/4603/files/O1CN01jrdyUk1HlXBMfMAn2__2545140798-0-cib.jpg?v=1772627738","Open")</x:f>
        <x:v>HYPERLINK is not implemented. linkLocation=https://cdn.shopify.com/s/files/1/0918/6066/4603/files/O1CN01jrdyUk1HlXBMfMAn2__2545140798-0-cib.jpg?v=1772627738, friendlyName=Open</x:v>
      </x:c>
      <x:c r="C6310" s="24" t="e">
        <x:f>HYPERLINK("https://365nails.com/products/mother-of-pearl-clover-nail-stickers-iridescent-3d-embossed-set","Mother-of-Pearl Clover Nail Stickers – Iridescent 3D Embossed Set")</x:f>
        <x:v>HYPERLINK is not implemented. linkLocation=https://365nails.com/products/mother-of-pearl-clover-nail-stickers-iridescent-3d-embossed-set, friendlyName=Mother-of-Pearl Clover Nail Stickers – Iridescent 3D Embossed Set</x:v>
      </x:c>
      <x:c r="D6310" s="18" t="str">
        <x:v>Specification type: To5536-metal / To5537-metal / To5650-metal / To5651-metal / To5660-gilt</x:v>
      </x:c>
      <x:c r="E6310" s="25" t="str">
        <x:v>$1.23</x:v>
      </x:c>
      <x:c r="F6310" s="19" t="str">
        <x:v>5</x:v>
      </x:c>
    </x:row>
    <x:row r="6311" ht="93" customHeight="1">
      <x:c r="A6311" s="19" t="n">
        <x:v>6308</x:v>
      </x:c>
      <x:c r="B6311" s="22" t="e">
        <x:f>HYPERLINK("https://cdn.shopify.com/s/files/1/0918/6066/4603/files/36b9b02e6270fd418b88a322a4100a92.jpg?v=1773148371","Open")</x:f>
        <x:v>HYPERLINK is not implemented. linkLocation=https://cdn.shopify.com/s/files/1/0918/6066/4603/files/36b9b02e6270fd418b88a322a4100a92.jpg?v=1773148371, friendlyName=Open</x:v>
      </x:c>
      <x:c r="C6311" s="24" t="e">
        <x:f>HYPERLINK("https://365nails.com/products/gothic-cross-silver-vintage-punk-nail-art-set","Gothic Cross Silver – Vintage Punk Nail Art Stickers")</x:f>
        <x:v>HYPERLINK is not implemented. linkLocation=https://365nails.com/products/gothic-cross-silver-vintage-punk-nail-art-set, friendlyName=Gothic Cross Silver – Vintage Punk Nail Art Stickers</x:v>
      </x:c>
      <x:c r="D6311" s="18" t="str">
        <x:v>Specification type: To5277-metal / To5278-metal / To5367-metal</x:v>
      </x:c>
      <x:c r="E6311" s="25" t="str">
        <x:v>$1.23</x:v>
      </x:c>
      <x:c r="F6311" s="19" t="str">
        <x:v>5</x:v>
      </x:c>
    </x:row>
    <x:row r="6312" ht="93" customHeight="1">
      <x:c r="A6312" s="19" t="n">
        <x:v>6309</x:v>
      </x:c>
      <x:c r="B6312" s="22" t="e">
        <x:f>HYPERLINK("https://cdn.shopify.com/s/files/1/0918/6066/4603/files/O1CN01mTSR801HlXB6kstor__2545140798-0-cib.jpg?v=1776574102","Open")</x:f>
        <x:v>HYPERLINK is not implemented. linkLocation=https://cdn.shopify.com/s/files/1/0918/6066/4603/files/O1CN01mTSR801HlXB6kstor__2545140798-0-cib.jpg?v=1776574102, friendlyName=Open</x:v>
      </x:c>
      <x:c r="C6312" s="24" t="e">
        <x:f>HYPERLINK("https://365nails.com/products/365nails-crystal-butterfly-charm-nail-art-stickers","365nails: ""Crystal Butterfly Charm"" – nail art stickers")</x:f>
        <x:v>HYPERLINK is not implemented. linkLocation=https://365nails.com/products/365nails-crystal-butterfly-charm-nail-art-stickers, friendlyName=365nails: "Crystal Butterfly Charm" – nail art stickers</x:v>
      </x:c>
      <x:c r="D6312" s="18" t="str">
        <x:v>Specification type: Md 033</x:v>
      </x:c>
      <x:c r="E6312" s="25" t="str">
        <x:v>$7.22</x:v>
      </x:c>
      <x:c r="F6312" s="19" t="str">
        <x:v>5</x:v>
      </x:c>
    </x:row>
    <x:row r="6313" ht="93" customHeight="1">
      <x:c r="A6313" s="19" t="n">
        <x:v>6310</x:v>
      </x:c>
      <x:c r="B6313" s="22" t="e">
        <x:f>HYPERLINK("https://cdn.shopify.com/s/files/1/0918/6066/4603/files/O1CN01qY0WkP1HlX7VAOdPd__2545140798-0-cib.jpg?v=1776570139","Open")</x:f>
        <x:v>HYPERLINK is not implemented. linkLocation=https://cdn.shopify.com/s/files/1/0918/6066/4603/files/O1CN01qY0WkP1HlX7VAOdPd__2545140798-0-cib.jpg?v=1776570139, friendlyName=Open</x:v>
      </x:c>
      <x:c r="C6313" s="24" t="e">
        <x:f>HYPERLINK("https://365nails.com/products/365nails-white-lace-flower-nail-art-stickers","365nails: ""White Lace Flower"" – nail art stickers")</x:f>
        <x:v>HYPERLINK is not implemented. linkLocation=https://365nails.com/products/365nails-white-lace-flower-nail-art-stickers, friendlyName=365nails: "White Lace Flower" – nail art stickers</x:v>
      </x:c>
      <x:c r="D6313" s="18" t="str">
        <x:v>Specification type: To4919 / To4921</x:v>
      </x:c>
      <x:c r="E6313" s="25" t="str">
        <x:v>$1.09</x:v>
      </x:c>
      <x:c r="F6313" s="19" t="str">
        <x:v>5</x:v>
      </x:c>
    </x:row>
    <x:row r="6314" ht="93" customHeight="1">
      <x:c r="A6314" s="19" t="n">
        <x:v>6311</x:v>
      </x:c>
      <x:c r="B6314" s="22" t="e">
        <x:f>HYPERLINK("https://cdn.shopify.com/s/files/1/0918/6066/4603/files/662c8074be479a2e9f5fc0b5d32fb715.jpg?v=1773319724","Open")</x:f>
        <x:v>HYPERLINK is not implemented. linkLocation=https://cdn.shopify.com/s/files/1/0918/6066/4603/files/662c8074be479a2e9f5fc0b5d32fb715.jpg?v=1773319724, friendlyName=Open</x:v>
      </x:c>
      <x:c r="C6314" s="24" t="e">
        <x:f>HYPERLINK("https://365nails.com/products/cute-big-head-pets-kawaii-animal-nail-art-set","Cute Big Head Pets – Kawaii Animal Nail Art Set")</x:f>
        <x:v>HYPERLINK is not implemented. linkLocation=https://365nails.com/products/cute-big-head-pets-kawaii-animal-nail-art-set, friendlyName=Cute Big Head Pets – Kawaii Animal Nail Art Set</x:v>
      </x:c>
      <x:c r="D6314" s="18" t="str">
        <x:v>Specification type: Ta 229 / Ta 230 / Ta 231 / Ta 232 / Ta 233 / Ta 234 / Ta 235 / Ta 236 / Ta 237 / Ta 238 / Ta 239 / Ta 240</x:v>
      </x:c>
      <x:c r="E6314" s="25" t="str">
        <x:v>$1.23</x:v>
      </x:c>
      <x:c r="F6314" s="19" t="str">
        <x:v>1</x:v>
      </x:c>
    </x:row>
    <x:row r="6315" ht="93" customHeight="1">
      <x:c r="A6315" s="19" t="n">
        <x:v>6312</x:v>
      </x:c>
      <x:c r="B6315" s="22" t="e">
        <x:f>HYPERLINK("https://cdn.shopify.com/s/files/1/0918/6066/4603/files/O1CN01Yu8EMa1HlX6E035M6__2545140798-0-cib.jpg?v=1772701158","Open")</x:f>
        <x:v>HYPERLINK is not implemented. linkLocation=https://cdn.shopify.com/s/files/1/0918/6066/4603/files/O1CN01Yu8EMa1HlX6E035M6__2545140798-0-cib.jpg?v=1772701158, friendlyName=Open</x:v>
      </x:c>
      <x:c r="C6315" s="24" t="e">
        <x:f>HYPERLINK("https://365nails.com/products/vintage-gold-foil-floral-nail-stickers-3d-embossed-watercolor-flower-set","Vintage Gold Foil Floral Nail Stickers – 3D Embossed Watercolor Flower Set")</x:f>
        <x:v>HYPERLINK is not implemented. linkLocation=https://365nails.com/products/vintage-gold-foil-floral-nail-stickers-3d-embossed-watercolor-flower-set, friendlyName=Vintage Gold Foil Floral Nail Stickers – 3D Embossed Watercolor Flower Set</x:v>
      </x:c>
      <x:c r="D6315" s="18" t="str">
        <x:v>Specification type: Ta388-crystal diamond / Ta389-crystal diamond / Ta390-crystal diamond / Ta391-crystal diamond / Ta392-crystal diamond / Ta393-crystal diamond</x:v>
      </x:c>
      <x:c r="E6315" s="25" t="str">
        <x:v>$1.34</x:v>
      </x:c>
      <x:c r="F6315" s="19" t="str">
        <x:v>5</x:v>
      </x:c>
    </x:row>
    <x:row r="6316" ht="93" customHeight="1">
      <x:c r="A6316" s="19" t="n">
        <x:v>6313</x:v>
      </x:c>
      <x:c r="B6316" s="22" t="e">
        <x:f>HYPERLINK("https://cdn.shopify.com/s/files/1/0918/6066/4603/files/O1CN01RK7lC41HlX4xpRuOl__2545140798-0-cib.jpg?v=1776568038","Open")</x:f>
        <x:v>HYPERLINK is not implemented. linkLocation=https://cdn.shopify.com/s/files/1/0918/6066/4603/files/O1CN01RK7lC41HlX4xpRuOl__2545140798-0-cib.jpg?v=1776568038, friendlyName=Open</x:v>
      </x:c>
      <x:c r="C6316" s="24" t="e">
        <x:f>HYPERLINK("https://365nails.com/products/365nails-kuromi-sweet-party-nail-art-stickers","365nails: ""Kuromi Sweet Party"" – nail art stickers")</x:f>
        <x:v>HYPERLINK is not implemented. linkLocation=https://365nails.com/products/365nails-kuromi-sweet-party-nail-art-stickers, friendlyName=365nails: "Kuromi Sweet Party" – nail art stickers</x:v>
      </x:c>
      <x:c r="D6316" s="18" t="str">
        <x:v>Specification type: San107-relief / San115-relief</x:v>
      </x:c>
      <x:c r="E6316" s="25" t="str">
        <x:v>$1.30</x:v>
      </x:c>
      <x:c r="F6316" s="19" t="str">
        <x:v>5</x:v>
      </x:c>
    </x:row>
    <x:row r="6317" ht="93" customHeight="1">
      <x:c r="A6317" s="19" t="n">
        <x:v>6314</x:v>
      </x:c>
      <x:c r="B6317" s="22" t="e">
        <x:f>HYPERLINK("https://cdn.shopify.com/s/files/1/0918/6066/4603/files/O1CN015MVtZi1HlX5GWs00e__2545140798-0-cib.jpg?v=1776566486","Open")</x:f>
        <x:v>HYPERLINK is not implemented. linkLocation=https://cdn.shopify.com/s/files/1/0918/6066/4603/files/O1CN015MVtZi1HlX5GWs00e__2545140798-0-cib.jpg?v=1776566486, friendlyName=Open</x:v>
      </x:c>
      <x:c r="C6317" s="24" t="e">
        <x:f>HYPERLINK("https://365nails.com/products/365nails-crystal-pink-mini-flower-nail-art-stickers","365nails: ""Crystal Pink Mini Flower"" – nail art stickers")</x:f>
        <x:v>HYPERLINK is not implemented. linkLocation=https://365nails.com/products/365nails-crystal-pink-mini-flower-nail-art-stickers, friendlyName=365nails: "Crystal Pink Mini Flower" – nail art stickers</x:v>
      </x:c>
      <x:c r="D6317" s="18" t="str">
        <x:v>Specification type: To4842-crystal diamond</x:v>
      </x:c>
      <x:c r="E6317" s="25" t="str">
        <x:v>$1.30</x:v>
      </x:c>
      <x:c r="F6317" s="19" t="str">
        <x:v>5</x:v>
      </x:c>
    </x:row>
    <x:row r="6318" ht="93" customHeight="1">
      <x:c r="A6318" s="19" t="n">
        <x:v>6315</x:v>
      </x:c>
      <x:c r="B6318" s="22" t="e">
        <x:f>HYPERLINK("https://cdn.shopify.com/s/files/1/0918/6066/4603/files/7056cd7ed564017fc90a1885ed98c7f8.jpg?v=1772800676","Open")</x:f>
        <x:v>HYPERLINK is not implemented. linkLocation=https://cdn.shopify.com/s/files/1/0918/6066/4603/files/7056cd7ed564017fc90a1885ed98c7f8.jpg?v=1772800676, friendlyName=Open</x:v>
      </x:c>
      <x:c r="C6318" s="24" t="e">
        <x:f>HYPERLINK("https://365nails.com/products/natural-butterfly-nail-stickers-embossed-realistic-set","Natural Butterfly Nail Stickers – Embossed Realistic Set")</x:f>
        <x:v>HYPERLINK is not implemented. linkLocation=https://365nails.com/products/natural-butterfly-nail-stickers-embossed-realistic-set, friendlyName=Natural Butterfly Nail Stickers – Embossed Realistic Set</x:v>
      </x:c>
      <x:c r="D6318" s="18" t="str">
        <x:v>Specification type: To3575</x:v>
      </x:c>
      <x:c r="E6318" s="25" t="str">
        <x:v>$1.23</x:v>
      </x:c>
      <x:c r="F6318" s="19" t="str">
        <x:v>5</x:v>
      </x:c>
    </x:row>
    <x:row r="6319" ht="93" customHeight="1">
      <x:c r="A6319" s="19" t="n">
        <x:v>6316</x:v>
      </x:c>
      <x:c r="B6319" s="22" t="e">
        <x:f>HYPERLINK("https://cdn.shopify.com/s/files/1/0918/6066/4603/files/O1CN01qxOHyd1HlXAMNdIVP__2545140798-0-cib.jpg?v=1772632872","Open")</x:f>
        <x:v>HYPERLINK is not implemented. linkLocation=https://cdn.shopify.com/s/files/1/0918/6066/4603/files/O1CN01qxOHyd1HlXAMNdIVP__2545140798-0-cib.jpg?v=1772632872, friendlyName=Open</x:v>
      </x:c>
      <x:c r="C6319" s="24" t="e">
        <x:f>HYPERLINK("https://365nails.com/products/holographic-tweed-nail-stickers-3d-embossed-pink-red-heart-set","Holographic Tweed Nail Stickers – 3D Embossed Pink &amp; Red Heart Set")</x:f>
        <x:v>HYPERLINK is not implemented. linkLocation=https://365nails.com/products/holographic-tweed-nail-stickers-3d-embossed-pink-red-heart-set, friendlyName=Holographic Tweed Nail Stickers – 3D Embossed Pink &amp; Red Heart Set</x:v>
      </x:c>
      <x:c r="D6319" s="18" t="str">
        <x:v>Specification type: To5468-relief / Ms906-glitter powder / Ms909-glitter powder</x:v>
      </x:c>
      <x:c r="E6319" s="25" t="str">
        <x:v>$1.23</x:v>
      </x:c>
      <x:c r="F6319" s="19" t="str">
        <x:v>5</x:v>
      </x:c>
    </x:row>
    <x:row r="6320" ht="93" customHeight="1">
      <x:c r="A6320" s="19" t="n">
        <x:v>6317</x:v>
      </x:c>
      <x:c r="B6320" s="22" t="e">
        <x:f>HYPERLINK("https://cdn.shopify.com/s/files/1/0918/6066/4603/files/e671421d28b0fa920a3c6f0257efe41a.jpg?v=1772800946","Open")</x:f>
        <x:v>HYPERLINK is not implemented. linkLocation=https://cdn.shopify.com/s/files/1/0918/6066/4603/files/e671421d28b0fa920a3c6f0257efe41a.jpg?v=1772800946, friendlyName=Open</x:v>
      </x:c>
      <x:c r="C6320" s="24" t="e">
        <x:f>HYPERLINK("https://365nails.com/products/purple-orchid-qipao-nail-stickers-5d-embossed-oriental-elegance-set","Purple Orchid &amp; Qipao Nail Stickers – 5D Embossed Oriental Elegance Set")</x:f>
        <x:v>HYPERLINK is not implemented. linkLocation=https://365nails.com/products/purple-orchid-qipao-nail-stickers-5d-embossed-oriental-elegance-set, friendlyName=Purple Orchid &amp; Qipao Nail Stickers – 5D Embossed Oriental Elegance Set</x:v>
      </x:c>
      <x:c r="D6320" s="18" t="str">
        <x:v>Specification type: To3597-new hot stamping</x:v>
      </x:c>
      <x:c r="E6320" s="25" t="str">
        <x:v>$1.23</x:v>
      </x:c>
      <x:c r="F6320" s="19" t="str">
        <x:v>5</x:v>
      </x:c>
    </x:row>
    <x:row r="6321" ht="93" customHeight="1">
      <x:c r="A6321" s="19" t="n">
        <x:v>6318</x:v>
      </x:c>
      <x:c r="B6321" s="22" t="e">
        <x:f>HYPERLINK("https://cdn.shopify.com/s/files/1/0918/6066/4603/files/O1CN018ZU5dX1HlWvuSzzIj__2545140798-0-cib.jpg?v=1772626223","Open")</x:f>
        <x:v>HYPERLINK is not implemented. linkLocation=https://cdn.shopify.com/s/files/1/0918/6066/4603/files/O1CN018ZU5dX1HlWvuSzzIj__2545140798-0-cib.jpg?v=1772626223, friendlyName=Open</x:v>
      </x:c>
      <x:c r="C6321" s="24" t="e">
        <x:f>HYPERLINK("https://365nails.com/products/holographic-star-cross-nail-stickers-3d-crystal-rhinestone-embossed-set","Holographic Star &amp; Cross Nail Stickers – 3D Crystal Rhinestone Embossed Set")</x:f>
        <x:v>HYPERLINK is not implemented. linkLocation=https://365nails.com/products/holographic-star-cross-nail-stickers-3d-crystal-rhinestone-embossed-set, friendlyName=Holographic Star &amp; Cross Nail Stickers – 3D Crystal Rhinestone Embossed Set</x:v>
      </x:c>
      <x:c r="D6321" s="18" t="str">
        <x:v>Specification type: To3249 laser silver-crystal diamond / To3250 silver-crystal diamond</x:v>
      </x:c>
      <x:c r="E6321" s="25" t="str">
        <x:v>$1.34</x:v>
      </x:c>
      <x:c r="F6321" s="19" t="str">
        <x:v>5</x:v>
      </x:c>
    </x:row>
    <x:row r="6322" ht="93" customHeight="1">
      <x:c r="A6322" s="19" t="n">
        <x:v>6319</x:v>
      </x:c>
      <x:c r="B6322" s="22" t="e">
        <x:f>HYPERLINK("https://cdn.shopify.com/s/files/1/0918/6066/4603/files/22244331304_1801976554.jpg?v=1776574182","Open")</x:f>
        <x:v>HYPERLINK is not implemented. linkLocation=https://cdn.shopify.com/s/files/1/0918/6066/4603/files/22244331304_1801976554.jpg?v=1776574182, friendlyName=Open</x:v>
      </x:c>
      <x:c r="C6322" s="24" t="e">
        <x:f>HYPERLINK("https://365nails.com/products/365nails-delicate-snowflake-nail-art-stickers","365nails: ""Delicate Snowflake"" – nail art stickers")</x:f>
        <x:v>HYPERLINK is not implemented. linkLocation=https://365nails.com/products/365nails-delicate-snowflake-nail-art-stickers, friendlyName=365nails: "Delicate Snowflake" – nail art stickers</x:v>
      </x:c>
      <x:c r="D6322" s="18" t="str">
        <x:v>Color: Tomoni 212</x:v>
      </x:c>
      <x:c r="E6322" s="25" t="str">
        <x:v>$1.09</x:v>
      </x:c>
      <x:c r="F6322" s="19" t="str">
        <x:v>5</x:v>
      </x:c>
    </x:row>
    <x:row r="6323" ht="93" customHeight="1">
      <x:c r="A6323" s="19" t="n">
        <x:v>6320</x:v>
      </x:c>
      <x:c r="B6323" s="22" t="e">
        <x:f>HYPERLINK("https://cdn.shopify.com/s/files/1/0918/6066/4603/files/O1CN01ldRLK31HlXAABbUh3__2545140798-0-cib.jpg?v=1776571300","Open")</x:f>
        <x:v>HYPERLINK is not implemented. linkLocation=https://cdn.shopify.com/s/files/1/0918/6066/4603/files/O1CN01ldRLK31HlXAABbUh3__2545140798-0-cib.jpg?v=1776571300, friendlyName=Open</x:v>
      </x:c>
      <x:c r="C6323" s="24" t="e">
        <x:f>HYPERLINK("https://365nails.com/products/365nails-cute-snowman-christmas-nail-art-stickers-1","365nails: ""Cute Snowman Christmas"" – nail art stickers")</x:f>
        <x:v>HYPERLINK is not implemented. linkLocation=https://365nails.com/products/365nails-cute-snowman-christmas-nail-art-stickers-1, friendlyName=365nails: "Cute Snowman Christmas" – nail art stickers</x:v>
      </x:c>
      <x:c r="D6323" s="18" t="str">
        <x:v>Specification type: To5444-glitter</x:v>
      </x:c>
      <x:c r="E6323" s="25" t="str">
        <x:v>$1.23</x:v>
      </x:c>
      <x:c r="F6323" s="19" t="str">
        <x:v>5</x:v>
      </x:c>
    </x:row>
    <x:row r="6324" ht="93" customHeight="1">
      <x:c r="A6324" s="19" t="n">
        <x:v>6321</x:v>
      </x:c>
      <x:c r="B6324" s="22" t="e">
        <x:f>HYPERLINK("https://cdn.shopify.com/s/files/1/0918/6066/4603/files/O1CN01UHiZDw1HlX9dU6gsn__2545140798-0-cib.jpg?v=1776571199","Open")</x:f>
        <x:v>HYPERLINK is not implemented. linkLocation=https://cdn.shopify.com/s/files/1/0918/6066/4603/files/O1CN01UHiZDw1HlX9dU6gsn__2545140798-0-cib.jpg?v=1776571199, friendlyName=Open</x:v>
      </x:c>
      <x:c r="C6324" s="24" t="e">
        <x:f>HYPERLINK("https://365nails.com/products/365nails-autumn-fox-maple-leaf-nail-art-stickers","365nails: ""Autumn Fox &amp; Maple Leaf"" – nail art stickers")</x:f>
        <x:v>HYPERLINK is not implemented. linkLocation=https://365nails.com/products/365nails-autumn-fox-maple-leaf-nail-art-stickers, friendlyName=365nails: "Autumn Fox &amp; Maple Leaf" – nail art stickers</x:v>
      </x:c>
      <x:c r="D6324" s="18" t="str">
        <x:v>Specification type: To5376-relief</x:v>
      </x:c>
      <x:c r="E6324" s="25" t="str">
        <x:v>$1.23</x:v>
      </x:c>
      <x:c r="F6324" s="19" t="str">
        <x:v>5</x:v>
      </x:c>
    </x:row>
    <x:row r="6325" ht="93" customHeight="1">
      <x:c r="A6325" s="19" t="n">
        <x:v>6322</x:v>
      </x:c>
      <x:c r="B6325" s="22" t="e">
        <x:f>HYPERLINK("https://cdn.shopify.com/s/files/1/0918/6066/4603/files/O1CN01uQZZYU1HlX9YBQK0v__2545140798-0-cib.jpg?v=1776570873","Open")</x:f>
        <x:v>HYPERLINK is not implemented. linkLocation=https://cdn.shopify.com/s/files/1/0918/6066/4603/files/O1CN01uQZZYU1HlX9YBQK0v__2545140798-0-cib.jpg?v=1776570873, friendlyName=Open</x:v>
      </x:c>
      <x:c r="C6325" s="24" t="e">
        <x:f>HYPERLINK("https://365nails.com/products/365nails-metallic-red-rose-nail-art-stickers","365nails: ""Metallic Red Rose"" – nail art stickers")</x:f>
        <x:v>HYPERLINK is not implemented. linkLocation=https://365nails.com/products/365nails-metallic-red-rose-nail-art-stickers, friendlyName=365nails: "Metallic Red Rose" – nail art stickers</x:v>
      </x:c>
      <x:c r="D6325" s="18" t="str">
        <x:v>Specification type: To5344-metal / To5363-metal</x:v>
      </x:c>
      <x:c r="E6325" s="25" t="str">
        <x:v>$1.23</x:v>
      </x:c>
      <x:c r="F6325" s="19" t="str">
        <x:v>5</x:v>
      </x:c>
    </x:row>
    <x:row r="6326" ht="93" customHeight="1">
      <x:c r="A6326" s="19" t="n">
        <x:v>6323</x:v>
      </x:c>
      <x:c r="B6326" s="22" t="e">
        <x:f>HYPERLINK("https://cdn.shopify.com/s/files/1/0918/6066/4603/files/O1CN01XTJEKe1HlX9LLlKa1__2545140798-0-cib.jpg?v=1776571111","Open")</x:f>
        <x:v>HYPERLINK is not implemented. linkLocation=https://cdn.shopify.com/s/files/1/0918/6066/4603/files/O1CN01XTJEKe1HlX9LLlKa1__2545140798-0-cib.jpg?v=1776571111, friendlyName=Open</x:v>
      </x:c>
      <x:c r="C6326" s="24" t="e">
        <x:f>HYPERLINK("https://365nails.com/products/365nails-snow-globe-winter-nail-art-stickers","365nails: ""Snow Globe Winter"" – nail art stickers")</x:f>
        <x:v>HYPERLINK is not implemented. linkLocation=https://365nails.com/products/365nails-snow-globe-winter-nail-art-stickers, friendlyName=365nails: "Snow Globe Winter" – nail art stickers</x:v>
      </x:c>
      <x:c r="D6326" s="18" t="str">
        <x:v>Specification type: To5328-relief / To5333-jelly</x:v>
      </x:c>
      <x:c r="E6326" s="25" t="str">
        <x:v>$1.23</x:v>
      </x:c>
      <x:c r="F6326" s="19" t="str">
        <x:v>5</x:v>
      </x:c>
    </x:row>
    <x:row r="6327" ht="93" customHeight="1">
      <x:c r="A6327" s="19" t="n">
        <x:v>6324</x:v>
      </x:c>
      <x:c r="B6327" s="22" t="e">
        <x:f>HYPERLINK("https://cdn.shopify.com/s/files/1/0918/6066/4603/files/a4fe860c8bd8c950cdad43af31a69ca4.jpg?v=1773323133","Open")</x:f>
        <x:v>HYPERLINK is not implemented. linkLocation=https://cdn.shopify.com/s/files/1/0918/6066/4603/files/a4fe860c8bd8c950cdad43af31a69ca4.jpg?v=1773323133, friendlyName=Open</x:v>
      </x:c>
      <x:c r="C6327" s="24" t="e">
        <x:f>HYPERLINK("https://365nails.com/products/galaxy-unicorn-star-dreamy-celestial-nail-art-set","Galaxy Unicorn Star – Dreamy Celestial Nail Art Set")</x:f>
        <x:v>HYPERLINK is not implemented. linkLocation=https://365nails.com/products/galaxy-unicorn-star-dreamy-celestial-nail-art-set, friendlyName=Galaxy Unicorn Star – Dreamy Celestial Nail Art Set</x:v>
      </x:c>
      <x:c r="D6327" s="18" t="str">
        <x:v>Specification type: To5562-shell light / To5563-luminous / To5564-new hot stamping / To5564-silver</x:v>
      </x:c>
      <x:c r="E6327" s="25" t="str">
        <x:v>$1.23</x:v>
      </x:c>
      <x:c r="F6327" s="19" t="str">
        <x:v>1</x:v>
      </x:c>
    </x:row>
    <x:row r="6328" ht="93" customHeight="1">
      <x:c r="A6328" s="19" t="n">
        <x:v>6325</x:v>
      </x:c>
      <x:c r="B6328" s="22" t="e">
        <x:f>HYPERLINK("https://cdn.shopify.com/s/files/1/0918/6066/4603/files/b2d781b51c41ea8e04d2532e82c76b5d.jpg?v=1773320206","Open")</x:f>
        <x:v>HYPERLINK is not implemented. linkLocation=https://cdn.shopify.com/s/files/1/0918/6066/4603/files/b2d781b51c41ea8e04d2532e82c76b5d.jpg?v=1773320206, friendlyName=Open</x:v>
      </x:c>
      <x:c r="C6328" s="24" t="e">
        <x:f>HYPERLINK("https://365nails.com/products/star-bow-heart-sweet-coquette-nail-art-set","Star Bow Heart – Sweet Coquette Nail Art Set")</x:f>
        <x:v>HYPERLINK is not implemented. linkLocation=https://365nails.com/products/star-bow-heart-sweet-coquette-nail-art-set, friendlyName=Star Bow Heart – Sweet Coquette Nail Art Set</x:v>
      </x:c>
      <x:c r="D6328" s="18" t="str">
        <x:v>Specification type: To5301-metal</x:v>
      </x:c>
      <x:c r="E6328" s="25" t="str">
        <x:v>$1.23</x:v>
      </x:c>
      <x:c r="F6328" s="19" t="str">
        <x:v>1</x:v>
      </x:c>
    </x:row>
    <x:row r="6329" ht="93" customHeight="1">
      <x:c r="A6329" s="19" t="n">
        <x:v>6326</x:v>
      </x:c>
      <x:c r="B6329" s="22" t="e">
        <x:f>HYPERLINK("https://cdn.shopify.com/s/files/1/0918/6066/4603/files/7d8d3854d9879500a589df6d83940c04.jpg?v=1773148057","Open")</x:f>
        <x:v>HYPERLINK is not implemented. linkLocation=https://cdn.shopify.com/s/files/1/0918/6066/4603/files/7d8d3854d9879500a589df6d83940c04.jpg?v=1773148057, friendlyName=Open</x:v>
      </x:c>
      <x:c r="C6329" s="24" t="e">
        <x:f>HYPERLINK("https://365nails.com/products/sakura-petal-emboss-fresh-spring-romantic-nail-art-set","Sakura Petal Emboss – Fresh Spring Romantic Nail Art Stickers")</x:f>
        <x:v>HYPERLINK is not implemented. linkLocation=https://365nails.com/products/sakura-petal-emboss-fresh-spring-romantic-nail-art-set, friendlyName=Sakura Petal Emboss – Fresh Spring Romantic Nail Art Stickers</x:v>
      </x:c>
      <x:c r="D6329" s="18" t="str">
        <x:v>Specification type: To4872-relief</x:v>
      </x:c>
      <x:c r="E6329" s="25" t="str">
        <x:v>$1.23</x:v>
      </x:c>
      <x:c r="F6329" s="19" t="str">
        <x:v>5</x:v>
      </x:c>
    </x:row>
    <x:row r="6330" ht="93" customHeight="1">
      <x:c r="A6330" s="19" t="n">
        <x:v>6327</x:v>
      </x:c>
      <x:c r="B6330" s="22" t="e">
        <x:f>HYPERLINK("https://cdn.shopify.com/s/files/1/0918/6066/4603/files/O1CN01z1zlsM1HlX1vzfwNZ__2545140798-0-cib.jpg?v=1776518779","Open")</x:f>
        <x:v>HYPERLINK is not implemented. linkLocation=https://cdn.shopify.com/s/files/1/0918/6066/4603/files/O1CN01z1zlsM1HlX1vzfwNZ__2545140798-0-cib.jpg?v=1776518779, friendlyName=Open</x:v>
      </x:c>
      <x:c r="C6330" s="24" t="e">
        <x:f>HYPERLINK("https://365nails.com/products/365nails-holographic-heart-nail-art-stickers","365nails: ""Holographic Heart"" – nail art stickers")</x:f>
        <x:v>HYPERLINK is not implemented. linkLocation=https://365nails.com/products/365nails-holographic-heart-nail-art-stickers, friendlyName=365nails: "Holographic Heart" – nail art stickers</x:v>
      </x:c>
      <x:c r="D6330" s="18" t="str">
        <x:v>Specification type: To4182-shell light</x:v>
      </x:c>
      <x:c r="E6330" s="25" t="str">
        <x:v>$1.23</x:v>
      </x:c>
      <x:c r="F6330" s="19" t="str">
        <x:v>5</x:v>
      </x:c>
    </x:row>
    <x:row r="6331" ht="93" customHeight="1">
      <x:c r="A6331" s="19" t="n">
        <x:v>6328</x:v>
      </x:c>
      <x:c r="B6331" s="22" t="e">
        <x:f>HYPERLINK("https://cdn.shopify.com/s/files/1/0918/6066/4603/files/O1CN01Pi5cAk1HlX8sOJDMU__2545140798-0-cib.jpg?v=1776574597","Open")</x:f>
        <x:v>HYPERLINK is not implemented. linkLocation=https://cdn.shopify.com/s/files/1/0918/6066/4603/files/O1CN01Pi5cAk1HlX8sOJDMU__2545140798-0-cib.jpg?v=1776574597, friendlyName=Open</x:v>
      </x:c>
      <x:c r="C6331" s="24" t="e">
        <x:f>HYPERLINK("https://365nails.com/products/365nails-holographic-butterfly-nail-art-stickers","365nails: ""Holographic Butterfly"" – nail art stickers")</x:f>
        <x:v>HYPERLINK is not implemented. linkLocation=https://365nails.com/products/365nails-holographic-butterfly-nail-art-stickers, friendlyName=365nails: "Holographic Butterfly" – nail art stickers</x:v>
      </x:c>
      <x:c r="D6331" s="18" t="str">
        <x:v>Specification type: Ms850-metal / Ms851-metal / Ms852-metal</x:v>
      </x:c>
      <x:c r="E6331" s="25" t="str">
        <x:v>$1.23</x:v>
      </x:c>
      <x:c r="F6331" s="19" t="str">
        <x:v>5</x:v>
      </x:c>
    </x:row>
    <x:row r="6332" ht="93" customHeight="1">
      <x:c r="A6332" s="19" t="n">
        <x:v>6329</x:v>
      </x:c>
      <x:c r="B6332" s="22" t="e">
        <x:f>HYPERLINK("https://cdn.shopify.com/s/files/1/0918/6066/4603/files/O1CN01Z77sf51HlX59ndaf5__2545140798-0-cib.jpg?v=1776574255","Open")</x:f>
        <x:v>HYPERLINK is not implemented. linkLocation=https://cdn.shopify.com/s/files/1/0918/6066/4603/files/O1CN01Z77sf51HlX59ndaf5__2545140798-0-cib.jpg?v=1776574255, friendlyName=Open</x:v>
      </x:c>
      <x:c r="C6332" s="24" t="e">
        <x:f>HYPERLINK("https://365nails.com/products/365nails-miiiichar-bear-picnic-nail-art-stickers","365nails: ""Miiiichar Bear Picnic"" – nail art stickers")</x:f>
        <x:v>HYPERLINK is not implemented. linkLocation=https://365nails.com/products/365nails-miiiichar-bear-picnic-nail-art-stickers, friendlyName=365nails: "Miiiichar Bear Picnic" – nail art stickers</x:v>
      </x:c>
      <x:c r="D6332" s="18" t="str">
        <x:v>Specification type: Mc 56 / Mc 58</x:v>
      </x:c>
      <x:c r="E6332" s="25" t="str">
        <x:v>$1.16</x:v>
      </x:c>
      <x:c r="F6332" s="19" t="str">
        <x:v>5</x:v>
      </x:c>
    </x:row>
    <x:row r="6333" ht="93" customHeight="1">
      <x:c r="A6333" s="19" t="n">
        <x:v>6330</x:v>
      </x:c>
      <x:c r="B6333" s="22" t="e">
        <x:f>HYPERLINK("https://cdn.shopify.com/s/files/1/0918/6066/4603/files/O1CN01V9OH0T1HlXAY3SKSb__2545140798-0-cib.jpg?v=1776573771","Open")</x:f>
        <x:v>HYPERLINK is not implemented. linkLocation=https://cdn.shopify.com/s/files/1/0918/6066/4603/files/O1CN01V9OH0T1HlXAY3SKSb__2545140798-0-cib.jpg?v=1776573771, friendlyName=Open</x:v>
      </x:c>
      <x:c r="C6333" s="24" t="e">
        <x:f>HYPERLINK("https://365nails.com/products/365nails-tiny-pastel-floral-nail-art-stickers","365nails: ""Tiny Pastel Floral"" – nail art stickers")</x:f>
        <x:v>HYPERLINK is not implemented. linkLocation=https://365nails.com/products/365nails-tiny-pastel-floral-nail-art-stickers, friendlyName=365nails: "Tiny Pastel Floral" – nail art stickers</x:v>
      </x:c>
      <x:c r="D6333" s="18" t="str">
        <x:v>Specification type: To5498-metal</x:v>
      </x:c>
      <x:c r="E6333" s="25" t="str">
        <x:v>$1.23</x:v>
      </x:c>
      <x:c r="F6333" s="19" t="str">
        <x:v>5</x:v>
      </x:c>
    </x:row>
    <x:row r="6334" ht="93" customHeight="1">
      <x:c r="A6334" s="19" t="n">
        <x:v>6331</x:v>
      </x:c>
      <x:c r="B6334" s="22" t="e">
        <x:f>HYPERLINK("https://cdn.shopify.com/s/files/1/0918/6066/4603/files/O1CN01tNHclM1HlX9S6hHMI__2545140798-0-cib.jpg?v=1776570951","Open")</x:f>
        <x:v>HYPERLINK is not implemented. linkLocation=https://cdn.shopify.com/s/files/1/0918/6066/4603/files/O1CN01tNHclM1HlX9S6hHMI__2545140798-0-cib.jpg?v=1776570951, friendlyName=Open</x:v>
      </x:c>
      <x:c r="C6334" s="24" t="e">
        <x:f>HYPERLINK("https://365nails.com/products/365nails-christmas-teddy-bear-nail-art-stickers-1","365nails: ""Christmas Teddy Bear"" – nail art stickers")</x:f>
        <x:v>HYPERLINK is not implemented. linkLocation=https://365nails.com/products/365nails-christmas-teddy-bear-nail-art-stickers-1, friendlyName=365nails: "Christmas Teddy Bear" – nail art stickers</x:v>
      </x:c>
      <x:c r="D6334" s="18" t="str">
        <x:v>Specification type: To5335</x:v>
      </x:c>
      <x:c r="E6334" s="25" t="str">
        <x:v>$1.00</x:v>
      </x:c>
      <x:c r="F6334" s="19" t="str">
        <x:v>5</x:v>
      </x:c>
    </x:row>
    <x:row r="6335" ht="93" customHeight="1">
      <x:c r="A6335" s="19" t="n">
        <x:v>6332</x:v>
      </x:c>
      <x:c r="B6335" s="22" t="e">
        <x:f>HYPERLINK("https://cdn.shopify.com/s/files/1/0918/6066/4603/files/O1CN01ASUi9N1HlX4b09gvs__2545140798-0-cib.jpg?v=1776565825","Open")</x:f>
        <x:v>HYPERLINK is not implemented. linkLocation=https://cdn.shopify.com/s/files/1/0918/6066/4603/files/O1CN01ASUi9N1HlX4b09gvs__2545140798-0-cib.jpg?v=1776565825, friendlyName=Open</x:v>
      </x:c>
      <x:c r="C6335" s="24" t="e">
        <x:f>HYPERLINK("https://365nails.com/products/365nails-pink-glitter-bow-lace-nail-art-stickers","365nails: ""Pink Glitter Bow &amp; Lace"" – nail art stickers")</x:f>
        <x:v>HYPERLINK is not implemented. linkLocation=https://365nails.com/products/365nails-pink-glitter-bow-lace-nail-art-stickers, friendlyName=365nails: "Pink Glitter Bow &amp; Lace" – nail art stickers</x:v>
      </x:c>
      <x:c r="D6335" s="18" t="str">
        <x:v>Specification type: Ms733 glitter-cat eye / Ms733 flash green-cat eye / Ms733 flash silver-cat eye / Ms733 flash purple-cat eye / Ms734-jelly</x:v>
      </x:c>
      <x:c r="E6335" s="25" t="str">
        <x:v>$1.23</x:v>
      </x:c>
      <x:c r="F6335" s="19" t="str">
        <x:v>5</x:v>
      </x:c>
    </x:row>
    <x:row r="6336" ht="93" customHeight="1">
      <x:c r="A6336" s="19" t="n">
        <x:v>6333</x:v>
      </x:c>
      <x:c r="B6336" s="22" t="e">
        <x:f>HYPERLINK("https://cdn.shopify.com/s/files/1/0918/6066/4603/files/0e977bbdb5b9dc9143e2f9639e9df5ae.jpg?v=1772799982","Open")</x:f>
        <x:v>HYPERLINK is not implemented. linkLocation=https://cdn.shopify.com/s/files/1/0918/6066/4603/files/0e977bbdb5b9dc9143e2f9639e9df5ae.jpg?v=1772799982, friendlyName=Open</x:v>
      </x:c>
      <x:c r="C6336" s="24" t="e">
        <x:f>HYPERLINK("https://365nails.com/products/retro-santa-city-nail-stickers-5d-embossed-festive-set","Retro Santa City Nail Stickers – 5D Embossed Festive Set")</x:f>
        <x:v>HYPERLINK is not implemented. linkLocation=https://365nails.com/products/retro-santa-city-nail-stickers-5d-embossed-festive-set, friendlyName=Retro Santa City Nail Stickers – 5D Embossed Festive Set</x:v>
      </x:c>
      <x:c r="D6336" s="18" t="str">
        <x:v>Specification type: To3517 / To3519</x:v>
      </x:c>
      <x:c r="E6336" s="25" t="str">
        <x:v>$1.23</x:v>
      </x:c>
      <x:c r="F6336" s="19" t="str">
        <x:v>5</x:v>
      </x:c>
    </x:row>
    <x:row r="6337" ht="93" customHeight="1">
      <x:c r="A6337" s="19" t="n">
        <x:v>6334</x:v>
      </x:c>
      <x:c r="B6337" s="22" t="e">
        <x:f>HYPERLINK("https://cdn.shopify.com/s/files/1/0918/6066/4603/files/O1CN01upjsBG1HlX6AHAKY6__2545140798-0-cib.jpg?v=1772630050","Open")</x:f>
        <x:v>HYPERLINK is not implemented. linkLocation=https://cdn.shopify.com/s/files/1/0918/6066/4603/files/O1CN01upjsBG1HlX6AHAKY6__2545140798-0-cib.jpg?v=1772630050, friendlyName=Open</x:v>
      </x:c>
      <x:c r="C6337" s="24" t="e">
        <x:f>HYPERLINK("https://365nails.com/products/iridescent-embossed-flower-nail-stickers-translucent-petal-set","Iridescent  Embossed Flower Nail Stickers – Translucent Petal Set")</x:f>
        <x:v>HYPERLINK is not implemented. linkLocation=https://365nails.com/products/iridescent-embossed-flower-nail-stickers-translucent-petal-set, friendlyName=Iridescent  Embossed Flower Nail Stickers – Translucent Petal Set</x:v>
      </x:c>
      <x:c r="D6337" s="18" t="str">
        <x:v>Specification type: To4846-1-jelly / To4846-2-jelly / To4846-3-jelly / To4846-jelly / To4846-4-jelly / To4880-relief / To4656-jelly / To4191-jelly / To4192-jelly / To4204-jelly</x:v>
      </x:c>
      <x:c r="E6337" s="25" t="str">
        <x:v>$1.23</x:v>
      </x:c>
      <x:c r="F6337" s="19" t="str">
        <x:v>5</x:v>
      </x:c>
    </x:row>
    <x:row r="6338" ht="93" customHeight="1">
      <x:c r="A6338" s="19" t="n">
        <x:v>6335</x:v>
      </x:c>
      <x:c r="B6338" s="22" t="e">
        <x:f>HYPERLINK("https://cdn.shopify.com/s/files/1/0918/6066/4603/files/O1CN01gqo7tV1HlX1Z6BJfA__2545140798-0-cib.jpg?v=1776519071","Open")</x:f>
        <x:v>HYPERLINK is not implemented. linkLocation=https://cdn.shopify.com/s/files/1/0918/6066/4603/files/O1CN01gqo7tV1HlX1Z6BJfA__2545140798-0-cib.jpg?v=1776519071, friendlyName=Open</x:v>
      </x:c>
      <x:c r="C6338" s="24" t="e">
        <x:f>HYPERLINK("https://365nails.com/products/365nails-sweet-cherry-ribbon-nail-art-stickers","365nails: ""Sweet Cherry &amp; Ribbon"" – nail art stickers")</x:f>
        <x:v>HYPERLINK is not implemented. linkLocation=https://365nails.com/products/365nails-sweet-cherry-ribbon-nail-art-stickers, friendlyName=365nails: "Sweet Cherry &amp; Ribbon" – nail art stickers</x:v>
      </x:c>
      <x:c r="D6338" s="18" t="str">
        <x:v>Specification type: To3999-new hot stamping / To4154-relief</x:v>
      </x:c>
      <x:c r="E6338" s="25" t="str">
        <x:v>$1.23</x:v>
      </x:c>
      <x:c r="F6338" s="19" t="str">
        <x:v>5</x:v>
      </x:c>
    </x:row>
    <x:row r="6339" ht="93" customHeight="1">
      <x:c r="A6339" s="19" t="n">
        <x:v>6336</x:v>
      </x:c>
      <x:c r="B6339" s="22" t="e">
        <x:f>HYPERLINK("https://cdn.shopify.com/s/files/1/0918/6066/4603/files/O1CN0156XTQR1HlX3K5l0nV__2545140798-0-cib.jpg?v=1776518615","Open")</x:f>
        <x:v>HYPERLINK is not implemented. linkLocation=https://cdn.shopify.com/s/files/1/0918/6066/4603/files/O1CN0156XTQR1HlX3K5l0nV__2545140798-0-cib.jpg?v=1776518615, friendlyName=Open</x:v>
      </x:c>
      <x:c r="C6339" s="24" t="e">
        <x:f>HYPERLINK("https://365nails.com/products/365nails-pink-gradient-heart-nail-art-stickers","365nails: ""Pink Gradient Heart"" – nail art stickers")</x:f>
        <x:v>HYPERLINK is not implemented. linkLocation=https://365nails.com/products/365nails-pink-gradient-heart-nail-art-stickers, friendlyName=365nails: "Pink Gradient Heart" – nail art stickers</x:v>
      </x:c>
      <x:c r="D6339" s="18" t="str">
        <x:v>Specification type: To4453-relief / To4485-relief</x:v>
      </x:c>
      <x:c r="E6339" s="25" t="str">
        <x:v>$1.23</x:v>
      </x:c>
      <x:c r="F6339" s="19" t="str">
        <x:v>5</x:v>
      </x:c>
    </x:row>
    <x:row r="6340" ht="93" customHeight="1">
      <x:c r="A6340" s="19" t="n">
        <x:v>6337</x:v>
      </x:c>
      <x:c r="B6340" s="22" t="e">
        <x:f>HYPERLINK("https://cdn.shopify.com/s/files/1/0918/6066/4603/files/O1CN01tBGTiN1HlX6ZQbjZc__2545140798-0-cib.jpg?v=1776569513","Open")</x:f>
        <x:v>HYPERLINK is not implemented. linkLocation=https://cdn.shopify.com/s/files/1/0918/6066/4603/files/O1CN01tBGTiN1HlX6ZQbjZc__2545140798-0-cib.jpg?v=1776569513, friendlyName=Open</x:v>
      </x:c>
      <x:c r="C6340" s="24" t="e">
        <x:f>HYPERLINK("https://365nails.com/products/365nails-delicate-pastel-tulip-nail-art-stickers","365nails: ""Delicate Pastel Tulip"" – nail art stickers")</x:f>
        <x:v>HYPERLINK is not implemented. linkLocation=https://365nails.com/products/365nails-delicate-pastel-tulip-nail-art-stickers, friendlyName=365nails: "Delicate Pastel Tulip" – nail art stickers</x:v>
      </x:c>
      <x:c r="D6340" s="18" t="str">
        <x:v>Specification type: To3890-metal</x:v>
      </x:c>
      <x:c r="E6340" s="25" t="str">
        <x:v>$1.23</x:v>
      </x:c>
      <x:c r="F6340" s="19" t="str">
        <x:v>5</x:v>
      </x:c>
    </x:row>
    <x:row r="6341" ht="93" customHeight="1">
      <x:c r="A6341" s="19" t="n">
        <x:v>6338</x:v>
      </x:c>
      <x:c r="B6341" s="22" t="e">
        <x:f>HYPERLINK("https://cdn.shopify.com/s/files/1/0918/6066/4603/files/390039db207dc19564abd21c7130f89a.jpg?v=1773324417","Open")</x:f>
        <x:v>HYPERLINK is not implemented. linkLocation=https://cdn.shopify.com/s/files/1/0918/6066/4603/files/390039db207dc19564abd21c7130f89a.jpg?v=1773324417, friendlyName=Open</x:v>
      </x:c>
      <x:c r="C6341" s="24" t="e">
        <x:f>HYPERLINK("https://365nails.com/products/pastel-starry-sky-dreamy-celestial-nail-art-set","Pastel Starry Sky – Dreamy Celestial Nail Art Set")</x:f>
        <x:v>HYPERLINK is not implemented. linkLocation=https://365nails.com/products/pastel-starry-sky-dreamy-celestial-nail-art-set, friendlyName=Pastel Starry Sky – Dreamy Celestial Nail Art Set</x:v>
      </x:c>
      <x:c r="D6341" s="18" t="str">
        <x:v>Specification type: To5285-relief / To5286-metal / To5300-metal</x:v>
      </x:c>
      <x:c r="E6341" s="25" t="str">
        <x:v>$1.23</x:v>
      </x:c>
      <x:c r="F6341" s="19" t="str">
        <x:v>1</x:v>
      </x:c>
    </x:row>
    <x:row r="6342" ht="93" customHeight="1">
      <x:c r="A6342" s="19" t="n">
        <x:v>6339</x:v>
      </x:c>
      <x:c r="B6342" s="22" t="e">
        <x:f>HYPERLINK("https://cdn.shopify.com/s/files/1/0918/6066/4603/files/O1CN01Q67noi1HlX66Ph7FP__2545140798-0-cib.jpg?v=1776568723","Open")</x:f>
        <x:v>HYPERLINK is not implemented. linkLocation=https://cdn.shopify.com/s/files/1/0918/6066/4603/files/O1CN01Q67noi1HlX66Ph7FP__2545140798-0-cib.jpg?v=1776568723, friendlyName=Open</x:v>
      </x:c>
      <x:c r="C6342" s="24" t="e">
        <x:f>HYPERLINK("https://365nails.com/products/365nails-pearlescent-mini-flower-nail-art-stickers","365nails: ""Pearlescent Mini Flower"" – nail art stickers")</x:f>
        <x:v>HYPERLINK is not implemented. linkLocation=https://365nails.com/products/365nails-pearlescent-mini-flower-nail-art-stickers, friendlyName=365nails: "Pearlescent Mini Flower" – nail art stickers</x:v>
      </x:c>
      <x:c r="D6342" s="18" t="str">
        <x:v>Specification type: To4992-crystal diamond</x:v>
      </x:c>
      <x:c r="E6342" s="25" t="str">
        <x:v>$1.30</x:v>
      </x:c>
      <x:c r="F6342" s="19" t="str">
        <x:v>5</x:v>
      </x:c>
    </x:row>
    <x:row r="6343" ht="93" customHeight="1">
      <x:c r="A6343" s="19" t="n">
        <x:v>6340</x:v>
      </x:c>
      <x:c r="B6343" s="22" t="e">
        <x:f>HYPERLINK("https://cdn.shopify.com/s/files/1/0918/6066/4603/files/O1CN01D80YB61HlXA9g8Erq__2545140798-0-cib.jpg?v=1776570399","Open")</x:f>
        <x:v>HYPERLINK is not implemented. linkLocation=https://cdn.shopify.com/s/files/1/0918/6066/4603/files/O1CN01D80YB61HlXA9g8Erq__2545140798-0-cib.jpg?v=1776570399, friendlyName=Open</x:v>
      </x:c>
      <x:c r="C6343" s="24" t="e">
        <x:f>HYPERLINK("https://365nails.com/products/365nails-vintage-silver-accent-nail-art-stickers","365nails: ""Vintage Silver Accent"" – nail art stickers")</x:f>
        <x:v>HYPERLINK is not implemented. linkLocation=https://365nails.com/products/365nails-vintage-silver-accent-nail-art-stickers, friendlyName=365nails: "Vintage Silver Accent" – nail art stickers</x:v>
      </x:c>
      <x:c r="D6343" s="18" t="str">
        <x:v>Specification type: To5443-embossed metal</x:v>
      </x:c>
      <x:c r="E6343" s="25" t="str">
        <x:v>$1.23</x:v>
      </x:c>
      <x:c r="F6343" s="19" t="str">
        <x:v>5</x:v>
      </x:c>
    </x:row>
    <x:row r="6344" ht="93" customHeight="1">
      <x:c r="A6344" s="19" t="n">
        <x:v>6341</x:v>
      </x:c>
      <x:c r="B6344" s="22" t="e">
        <x:f>HYPERLINK("https://cdn.shopify.com/s/files/1/0918/6066/4603/files/O1CN01ue6sf71HlX72Q5Ejf__2545140798-0-cib.jpg?v=1776569907","Open")</x:f>
        <x:v>HYPERLINK is not implemented. linkLocation=https://cdn.shopify.com/s/files/1/0918/6066/4603/files/O1CN01ue6sf71HlX72Q5Ejf__2545140798-0-cib.jpg?v=1776569907, friendlyName=Open</x:v>
      </x:c>
      <x:c r="C6344" s="24" t="e">
        <x:f>HYPERLINK("https://365nails.com/products/365nails-watercolor-pastel-rose-nail-art-stickers","365nails: ""Watercolor Pastel Rose"" – nail art stickers")</x:f>
        <x:v>HYPERLINK is not implemented. linkLocation=https://365nails.com/products/365nails-watercolor-pastel-rose-nail-art-stickers, friendlyName=365nails: "Watercolor Pastel Rose" – nail art stickers</x:v>
      </x:c>
      <x:c r="D6344" s="18" t="str">
        <x:v>Specification type: To5095-relief</x:v>
      </x:c>
      <x:c r="E6344" s="25" t="str">
        <x:v>$1.23</x:v>
      </x:c>
      <x:c r="F6344" s="19" t="str">
        <x:v>5</x:v>
      </x:c>
    </x:row>
    <x:row r="6345" ht="93" customHeight="1">
      <x:c r="A6345" s="19" t="n">
        <x:v>6342</x:v>
      </x:c>
      <x:c r="B6345" s="22" t="e">
        <x:f>HYPERLINK("https://cdn.shopify.com/s/files/1/0918/6066/4603/files/c963f2ea6ca60f69854a4d313c2e4f6f.jpg?v=1773147167","Open")</x:f>
        <x:v>HYPERLINK is not implemented. linkLocation=https://cdn.shopify.com/s/files/1/0918/6066/4603/files/c963f2ea6ca60f69854a4d313c2e4f6f.jpg?v=1773147167, friendlyName=Open</x:v>
      </x:c>
      <x:c r="C6345" s="24" t="e">
        <x:f>HYPERLINK("https://365nails.com/products/vintage-patchwork-emboss-cottagecore-nail-art-set","Vintage Patchwork Emboss – Cottagecore Nail Art Stickers")</x:f>
        <x:v>HYPERLINK is not implemented. linkLocation=https://365nails.com/products/vintage-patchwork-emboss-cottagecore-nail-art-set, friendlyName=Vintage Patchwork Emboss – Cottagecore Nail Art Stickers</x:v>
      </x:c>
      <x:c r="D6345" s="18" t="str">
        <x:v>Specification type: To4802-relief</x:v>
      </x:c>
      <x:c r="E6345" s="25" t="str">
        <x:v>$1.23</x:v>
      </x:c>
      <x:c r="F6345" s="19" t="str">
        <x:v>5</x:v>
      </x:c>
    </x:row>
    <x:row r="6346" ht="93" customHeight="1">
      <x:c r="A6346" s="19" t="n">
        <x:v>6343</x:v>
      </x:c>
      <x:c r="B6346" s="22" t="e">
        <x:f>HYPERLINK("https://cdn.shopify.com/s/files/1/0918/6066/4603/files/1e2fee62b8fffde296b8399617ca2b66.jpg?v=1773461308","Open")</x:f>
        <x:v>HYPERLINK is not implemented. linkLocation=https://cdn.shopify.com/s/files/1/0918/6066/4603/files/1e2fee62b8fffde296b8399617ca2b66.jpg?v=1773461308, friendlyName=Open</x:v>
      </x:c>
      <x:c r="C6346" s="24" t="e">
        <x:f>HYPERLINK("https://365nails.com/products/mini-white-bow-minimalist-elegant-nail-art-set","Mini White Bow – Minimalist Elegant Nail Art Set")</x:f>
        <x:v>HYPERLINK is not implemented. linkLocation=https://365nails.com/products/mini-white-bow-minimalist-elegant-nail-art-set, friendlyName=Mini White Bow – Minimalist Elegant Nail Art Set</x:v>
      </x:c>
      <x:c r="D6346" s="18" t="str">
        <x:v>Specification type: To5588-relief / To5589-relief / To5590-relief</x:v>
      </x:c>
      <x:c r="E6346" s="25" t="str">
        <x:v>$1.23</x:v>
      </x:c>
      <x:c r="F6346" s="19" t="str">
        <x:v>1</x:v>
      </x:c>
    </x:row>
    <x:row r="6347" ht="93" customHeight="1">
      <x:c r="A6347" s="19" t="n">
        <x:v>6344</x:v>
      </x:c>
      <x:c r="B6347" s="22" t="e">
        <x:f>HYPERLINK("https://cdn.shopify.com/s/files/1/0918/6066/4603/files/O1CN01S8uFHr1HlX3MYcnob__2545140798-0-cib.jpg?v=1776518884","Open")</x:f>
        <x:v>HYPERLINK is not implemented. linkLocation=https://cdn.shopify.com/s/files/1/0918/6066/4603/files/O1CN01S8uFHr1HlX3MYcnob__2545140798-0-cib.jpg?v=1776518884, friendlyName=Open</x:v>
      </x:c>
      <x:c r="C6347" s="24" t="e">
        <x:f>HYPERLINK("https://365nails.com/products/365nails-soft-white-floral-nail-art-stickers","365nails: ""Soft White Floral"" – nail art stickers")</x:f>
        <x:v>HYPERLINK is not implemented. linkLocation=https://365nails.com/products/365nails-soft-white-floral-nail-art-stickers, friendlyName=365nails: "Soft White Floral" – nail art stickers</x:v>
      </x:c>
      <x:c r="D6347" s="18" t="str">
        <x:v>Specification type: To271-1 / To4388</x:v>
      </x:c>
      <x:c r="E6347" s="25" t="str">
        <x:v>$1.09</x:v>
      </x:c>
      <x:c r="F6347" s="19" t="str">
        <x:v>5</x:v>
      </x:c>
    </x:row>
    <x:row r="6348" ht="93" customHeight="1">
      <x:c r="A6348" s="19" t="n">
        <x:v>6345</x:v>
      </x:c>
      <x:c r="B6348" s="22" t="e">
        <x:f>HYPERLINK("https://cdn.shopify.com/s/files/1/0918/6066/4603/files/O1CN01XP8wz31HlXA3qSImE__2545140798-0-cib.jpg?v=1776573688","Open")</x:f>
        <x:v>HYPERLINK is not implemented. linkLocation=https://cdn.shopify.com/s/files/1/0918/6066/4603/files/O1CN01XP8wz31HlXA3qSImE__2545140798-0-cib.jpg?v=1776573688, friendlyName=Open</x:v>
      </x:c>
      <x:c r="C6348" s="24" t="e">
        <x:f>HYPERLINK("https://365nails.com/products/365nails-miiiichar-christmas-nail-art-stickers","365nails: ""Miiiichar Christmas"" – nail art stickers")</x:f>
        <x:v>HYPERLINK is not implemented. linkLocation=https://365nails.com/products/365nails-miiiichar-christmas-nail-art-stickers, friendlyName=365nails: "Miiiichar Christmas" – nail art stickers</x:v>
      </x:c>
      <x:c r="D6348" s="18" t="str">
        <x:v>Specification type: Mc 74</x:v>
      </x:c>
      <x:c r="E6348" s="25" t="str">
        <x:v>$1.11</x:v>
      </x:c>
      <x:c r="F6348" s="19" t="str">
        <x:v>5</x:v>
      </x:c>
    </x:row>
    <x:row r="6349" ht="93" customHeight="1">
      <x:c r="A6349" s="19" t="n">
        <x:v>6346</x:v>
      </x:c>
      <x:c r="B6349" s="22" t="e">
        <x:f>HYPERLINK("https://cdn.shopify.com/s/files/1/0918/6066/4603/files/O1CN01uIMN5X1HlX9zrPbOJ__2545140798-0-cib.jpg?v=1776573603","Open")</x:f>
        <x:v>HYPERLINK is not implemented. linkLocation=https://cdn.shopify.com/s/files/1/0918/6066/4603/files/O1CN01uIMN5X1HlX9zrPbOJ__2545140798-0-cib.jpg?v=1776573603, friendlyName=Open</x:v>
      </x:c>
      <x:c r="C6349" s="24" t="e">
        <x:f>HYPERLINK("https://365nails.com/products/365nails-christmas-snow-globe-nail-art-stickers","365nails: ""Christmas Snow Globe"" – nail art stickers")</x:f>
        <x:v>HYPERLINK is not implemented. linkLocation=https://365nails.com/products/365nails-christmas-snow-globe-nail-art-stickers, friendlyName=365nails: "Christmas Snow Globe" – nail art stickers</x:v>
      </x:c>
      <x:c r="D6349" s="18" t="str">
        <x:v>Specification type: To5399-jelly / To5400-shell light</x:v>
      </x:c>
      <x:c r="E6349" s="25" t="str">
        <x:v>$1.23</x:v>
      </x:c>
      <x:c r="F6349" s="19" t="str">
        <x:v>5</x:v>
      </x:c>
    </x:row>
    <x:row r="6350" ht="93" customHeight="1">
      <x:c r="A6350" s="19" t="n">
        <x:v>6347</x:v>
      </x:c>
      <x:c r="B6350" s="22" t="e">
        <x:f>HYPERLINK("https://cdn.shopify.com/s/files/1/0918/6066/4603/files/O1CN013Lt8IA1HlX8nJkyG8__2545140798-0-cib.jpg?v=1776570476","Open")</x:f>
        <x:v>HYPERLINK is not implemented. linkLocation=https://cdn.shopify.com/s/files/1/0918/6066/4603/files/O1CN013Lt8IA1HlX8nJkyG8__2545140798-0-cib.jpg?v=1776570476, friendlyName=Open</x:v>
      </x:c>
      <x:c r="C6350" s="24" t="e">
        <x:f>HYPERLINK("https://365nails.com/products/365nails-blue-gradient-butterfly-wing-nail-art-stickers","365nails: ""Blue Gradient Butterfly Wing"" – nail art stickers")</x:f>
        <x:v>HYPERLINK is not implemented. linkLocation=https://365nails.com/products/365nails-blue-gradient-butterfly-wing-nail-art-stickers, friendlyName=365nails: "Blue Gradient Butterfly Wing" – nail art stickers</x:v>
      </x:c>
      <x:c r="D6350" s="18" t="str">
        <x:v>Specification type: To5264-metal</x:v>
      </x:c>
      <x:c r="E6350" s="25" t="str">
        <x:v>$1.23</x:v>
      </x:c>
      <x:c r="F6350" s="19" t="str">
        <x:v>5</x:v>
      </x:c>
    </x:row>
    <x:row r="6351" ht="93" customHeight="1">
      <x:c r="A6351" s="19" t="n">
        <x:v>6348</x:v>
      </x:c>
      <x:c r="B6351" s="22" t="e">
        <x:f>HYPERLINK("https://cdn.shopify.com/s/files/1/0918/6066/4603/files/O1CN01TXCyuO1HlWttLCNeb__2545140798-0-cib.jpg?v=1773558400","Open")</x:f>
        <x:v>HYPERLINK is not implemented. linkLocation=https://cdn.shopify.com/s/files/1/0918/6066/4603/files/O1CN01TXCyuO1HlWttLCNeb__2545140798-0-cib.jpg?v=1773558400, friendlyName=Open</x:v>
      </x:c>
      <x:c r="C6351" s="24" t="e">
        <x:f>HYPERLINK("https://365nails.com/products/bridal-floral-white-crystal-emboss-3d-embossed-nail-sticker","Bridal Floral: ""White Crystal Emboss"" – 3D Embossed Nail Sticker")</x:f>
        <x:v>HYPERLINK is not implemented. linkLocation=https://365nails.com/products/bridal-floral-white-crystal-emboss-3d-embossed-nail-sticker, friendlyName=Bridal Floral: "White Crystal Emboss" – 3D Embossed Nail Sticker</x:v>
      </x:c>
      <x:c r="D6351" s="18" t="str">
        <x:v>Specification type: Ms 358 / Ms 359</x:v>
      </x:c>
      <x:c r="E6351" s="25" t="str">
        <x:v>$1.30</x:v>
      </x:c>
      <x:c r="F6351" s="19" t="str">
        <x:v>5</x:v>
      </x:c>
    </x:row>
    <x:row r="6352" ht="93" customHeight="1">
      <x:c r="A6352" s="19" t="n">
        <x:v>6349</x:v>
      </x:c>
      <x:c r="B6352" s="22" t="e">
        <x:f>HYPERLINK("https://cdn.shopify.com/s/files/1/0918/6066/4603/files/O1CN01EVMsbc1HlX6hkz1XM__2545140798-0-cib.jpg?v=1776569596","Open")</x:f>
        <x:v>HYPERLINK is not implemented. linkLocation=https://cdn.shopify.com/s/files/1/0918/6066/4603/files/O1CN01EVMsbc1HlX6hkz1XM__2545140798-0-cib.jpg?v=1776569596, friendlyName=Open</x:v>
      </x:c>
      <x:c r="C6352" s="24" t="e">
        <x:f>HYPERLINK("https://365nails.com/products/365nails-cute-puppy-friends-nail-art-stickers","365nails: ""Cute Puppy &amp; Friends"" – nail art stickers")</x:f>
        <x:v>HYPERLINK is not implemented. linkLocation=https://365nails.com/products/365nails-cute-puppy-friends-nail-art-stickers, friendlyName=365nails: "Cute Puppy &amp; Friends" – nail art stickers</x:v>
      </x:c>
      <x:c r="D6352" s="18" t="str">
        <x:v>Specification type: To5049 / To5051</x:v>
      </x:c>
      <x:c r="E6352" s="25" t="str">
        <x:v>$1.09</x:v>
      </x:c>
      <x:c r="F6352" s="19" t="str">
        <x:v>5</x:v>
      </x:c>
    </x:row>
    <x:row r="6353" ht="93" customHeight="1">
      <x:c r="A6353" s="19" t="n">
        <x:v>6350</x:v>
      </x:c>
      <x:c r="B6353" s="22" t="e">
        <x:f>HYPERLINK("https://cdn.shopify.com/s/files/1/0918/6066/4603/files/676861d4ec556263052b7e107942af00.jpg?v=1773150660","Open")</x:f>
        <x:v>HYPERLINK is not implemented. linkLocation=https://cdn.shopify.com/s/files/1/0918/6066/4603/files/676861d4ec556263052b7e107942af00.jpg?v=1773150660, friendlyName=Open</x:v>
      </x:c>
      <x:c r="C6353" s="24" t="e">
        <x:f>HYPERLINK("https://365nails.com/products/alice-in-wonderland-rabbit-fairy-tale-nail-art-set","Alice in Wonderland Rabbit – Fairy Tale Nail Art Stickers")</x:f>
        <x:v>HYPERLINK is not implemented. linkLocation=https://365nails.com/products/alice-in-wonderland-rabbit-fairy-tale-nail-art-set, friendlyName=Alice in Wonderland Rabbit – Fairy Tale Nail Art Stickers</x:v>
      </x:c>
      <x:c r="D6353" s="18" t="str">
        <x:v>Specification type: To4384-relief / To4385-shell light / To4399-relief</x:v>
      </x:c>
      <x:c r="E6353" s="25" t="str">
        <x:v>$1.23</x:v>
      </x:c>
      <x:c r="F6353" s="19" t="str">
        <x:v>5</x:v>
      </x:c>
    </x:row>
    <x:row r="6354" ht="93" customHeight="1">
      <x:c r="A6354" s="19" t="n">
        <x:v>6351</x:v>
      </x:c>
      <x:c r="B6354" s="22" t="e">
        <x:f>HYPERLINK("https://cdn.shopify.com/s/files/1/0918/6066/4603/files/O1CN01LRjGqY1HlX2gO3UxA__2545140798-0-cib.jpg?v=1776521449","Open")</x:f>
        <x:v>HYPERLINK is not implemented. linkLocation=https://cdn.shopify.com/s/files/1/0918/6066/4603/files/O1CN01LRjGqY1HlX2gO3UxA__2545140798-0-cib.jpg?v=1776521449, friendlyName=Open</x:v>
      </x:c>
      <x:c r="C6354" s="24" t="e">
        <x:f>HYPERLINK("https://365nails.com/products/365nails-holographic-baroque-nail-art-stickers","365nails: ""Holographic Baroque"" – nail art stickers")</x:f>
        <x:v>HYPERLINK is not implemented. linkLocation=https://365nails.com/products/365nails-holographic-baroque-nail-art-stickers, friendlyName=365nails: "Holographic Baroque" – nail art stickers</x:v>
      </x:c>
      <x:c r="D6354" s="18" t="str">
        <x:v>Specification type: Ms675-crystal diamond</x:v>
      </x:c>
      <x:c r="E6354" s="25" t="str">
        <x:v>$1.30</x:v>
      </x:c>
      <x:c r="F6354" s="19" t="str">
        <x:v>5</x:v>
      </x:c>
    </x:row>
    <x:row r="6355" ht="93" customHeight="1">
      <x:c r="A6355" s="19" t="n">
        <x:v>6352</x:v>
      </x:c>
      <x:c r="B6355" s="22" t="e">
        <x:f>HYPERLINK("https://cdn.shopify.com/s/files/1/0918/6066/4603/files/O1CN01jQieZJ1HlX3eIJdqT__2545140798-0-cib.jpg?v=1776518274","Open")</x:f>
        <x:v>HYPERLINK is not implemented. linkLocation=https://cdn.shopify.com/s/files/1/0918/6066/4603/files/O1CN01jQieZJ1HlX3eIJdqT__2545140798-0-cib.jpg?v=1776518274, friendlyName=Open</x:v>
      </x:c>
      <x:c r="C6355" s="24" t="e">
        <x:f>HYPERLINK("https://365nails.com/products/365nails-houndstooth-pattern-nail-art-stickers","365nails: ""Houndstooth Pattern"" – nail art stickers")</x:f>
        <x:v>HYPERLINK is not implemented. linkLocation=https://365nails.com/products/365nails-houndstooth-pattern-nail-art-stickers, friendlyName=365nails: "Houndstooth Pattern" – nail art stickers</x:v>
      </x:c>
      <x:c r="D6355" s="18" t="str">
        <x:v>Specification type: To4560 / To4561 / To4562 / To4563</x:v>
      </x:c>
      <x:c r="E6355" s="25" t="str">
        <x:v>$1.09</x:v>
      </x:c>
      <x:c r="F6355" s="19" t="str">
        <x:v>5</x:v>
      </x:c>
    </x:row>
    <x:row r="6356" ht="93" customHeight="1">
      <x:c r="A6356" s="19" t="n">
        <x:v>6353</x:v>
      </x:c>
      <x:c r="B6356" s="22" t="e">
        <x:f>HYPERLINK("https://cdn.shopify.com/s/files/1/0918/6066/4603/files/O1CN01I3t4YW1HlX60NlGpw__2545140798-0-cib.jpg?v=1776569355","Open")</x:f>
        <x:v>HYPERLINK is not implemented. linkLocation=https://cdn.shopify.com/s/files/1/0918/6066/4603/files/O1CN01I3t4YW1HlX60NlGpw__2545140798-0-cib.jpg?v=1776569355, friendlyName=Open</x:v>
      </x:c>
      <x:c r="C6356" s="24" t="e">
        <x:f>HYPERLINK("https://365nails.com/products/365nails-minnie-daisy-girls-nail-art-stickers","365nails: ""Minnie &amp; Daisy Girls"" – nail art stickers")</x:f>
        <x:v>HYPERLINK is not implemented. linkLocation=https://365nails.com/products/365nails-minnie-daisy-girls-nail-art-stickers, friendlyName=365nails: "Minnie &amp; Daisy Girls" – nail art stickers</x:v>
      </x:c>
      <x:c r="D6356" s="18" t="str">
        <x:v>Specification type: Tdsn002-relief / Tdsn006-shell light</x:v>
      </x:c>
      <x:c r="E6356" s="25" t="str">
        <x:v>$1.23</x:v>
      </x:c>
      <x:c r="F6356" s="19" t="str">
        <x:v>5</x:v>
      </x:c>
    </x:row>
    <x:row r="6357" ht="93" customHeight="1">
      <x:c r="A6357" s="19" t="n">
        <x:v>6354</x:v>
      </x:c>
      <x:c r="B6357" s="22" t="e">
        <x:f>HYPERLINK("https://cdn.shopify.com/s/files/1/0918/6066/4603/files/O1CN01aSVqbD1HlX70UKcRX__2545140798-0-cib.jpg?v=1776570063","Open")</x:f>
        <x:v>HYPERLINK is not implemented. linkLocation=https://cdn.shopify.com/s/files/1/0918/6066/4603/files/O1CN01aSVqbD1HlX70UKcRX__2545140798-0-cib.jpg?v=1776570063, friendlyName=Open</x:v>
      </x:c>
      <x:c r="C6357" s="24" t="e">
        <x:f>HYPERLINK("https://365nails.com/products/365nails-iridescent-mermaid-tale-nail-art-stickers","365nails: ""Iridescent Mermaid Tale"" – nail art stickers")</x:f>
        <x:v>HYPERLINK is not implemented. linkLocation=https://365nails.com/products/365nails-iridescent-mermaid-tale-nail-art-stickers, friendlyName=365nails: "Iridescent Mermaid Tale" – nail art stickers</x:v>
      </x:c>
      <x:c r="D6357" s="18" t="str">
        <x:v>Specification type: To5092-shell light</x:v>
      </x:c>
      <x:c r="E6357" s="25" t="str">
        <x:v>$1.23</x:v>
      </x:c>
      <x:c r="F6357" s="19" t="str">
        <x:v>5</x:v>
      </x:c>
    </x:row>
    <x:row r="6358" ht="93" customHeight="1">
      <x:c r="A6358" s="19" t="n">
        <x:v>6355</x:v>
      </x:c>
      <x:c r="B6358" s="22" t="e">
        <x:f>HYPERLINK("https://cdn.shopify.com/s/files/1/0918/6066/4603/files/O1CN01OiLlyh1HlX3pQcpFX__2545140798-0-cib.jpg?v=1776519226","Open")</x:f>
        <x:v>HYPERLINK is not implemented. linkLocation=https://cdn.shopify.com/s/files/1/0918/6066/4603/files/O1CN01OiLlyh1HlX3pQcpFX__2545140798-0-cib.jpg?v=1776519226, friendlyName=Open</x:v>
      </x:c>
      <x:c r="C6358" s="24" t="e">
        <x:f>HYPERLINK("https://365nails.com/products/365nails-vintage-rose-frame-nail-art-stickers","365nails: ""Vintage Rose Frame"" – nail art stickers")</x:f>
        <x:v>HYPERLINK is not implemented. linkLocation=https://365nails.com/products/365nails-vintage-rose-frame-nail-art-stickers, friendlyName=365nails: "Vintage Rose Frame" – nail art stickers</x:v>
      </x:c>
      <x:c r="D6358" s="18" t="str">
        <x:v>Specification type: To4529</x:v>
      </x:c>
      <x:c r="E6358" s="25" t="str">
        <x:v>$1.09</x:v>
      </x:c>
      <x:c r="F6358" s="19" t="str">
        <x:v>5</x:v>
      </x:c>
    </x:row>
    <x:row r="6359" ht="93" customHeight="1">
      <x:c r="A6359" s="19" t="n">
        <x:v>6356</x:v>
      </x:c>
      <x:c r="B6359" s="22" t="e">
        <x:f>HYPERLINK("https://cdn.shopify.com/s/files/1/0918/6066/4603/files/O1CN01okFH7R1YmlM9ZIPK2__2213953983102-0-cib.jpg?v=1773322154","Open")</x:f>
        <x:v>HYPERLINK is not implemented. linkLocation=https://cdn.shopify.com/s/files/1/0918/6066/4603/files/O1CN01okFH7R1YmlM9ZIPK2__2213953983102-0-cib.jpg?v=1773322154, friendlyName=Open</x:v>
      </x:c>
      <x:c r="C6359" s="24" t="e">
        <x:f>HYPERLINK("https://365nails.com/products/watercolor-wildflower-romantic-fresh-nail-art-set","Watercolor Wildflower – Romantic Fresh Nail Art Set")</x:f>
        <x:v>HYPERLINK is not implemented. linkLocation=https://365nails.com/products/watercolor-wildflower-romantic-fresh-nail-art-set, friendlyName=Watercolor Wildflower – Romantic Fresh Nail Art Set</x:v>
      </x:c>
      <x:c r="D6359" s="18" t="str">
        <x:v>Specification type: To1709 / To1794 / To1815</x:v>
      </x:c>
      <x:c r="E6359" s="25" t="str">
        <x:v>$1.23</x:v>
      </x:c>
      <x:c r="F6359" s="19" t="str">
        <x:v>1</x:v>
      </x:c>
    </x:row>
    <x:row r="6360" ht="93" customHeight="1">
      <x:c r="A6360" s="19" t="n">
        <x:v>6357</x:v>
      </x:c>
      <x:c r="B6360" s="22" t="e">
        <x:f>HYPERLINK("https://cdn.shopify.com/s/files/1/0918/6066/4603/files/O1CN01qrowRx1HlX2x1ZIYS__2545140798-0-cib.jpg?v=1776517873","Open")</x:f>
        <x:v>HYPERLINK is not implemented. linkLocation=https://cdn.shopify.com/s/files/1/0918/6066/4603/files/O1CN01qrowRx1HlX2x1ZIYS__2545140798-0-cib.jpg?v=1776517873, friendlyName=Open</x:v>
      </x:c>
      <x:c r="C6360" s="24" t="e">
        <x:f>HYPERLINK("https://365nails.com/products/365nails-autumn-bear-bakery-nail-art-stickers","365nails: ""Autumn Bear &amp; Bakery"" – nail art stickers")</x:f>
        <x:v>HYPERLINK is not implemented. linkLocation=https://365nails.com/products/365nails-autumn-bear-bakery-nail-art-stickers, friendlyName=365nails: "Autumn Bear &amp; Bakery" – nail art stickers</x:v>
      </x:c>
      <x:c r="D6360" s="18" t="str">
        <x:v>Specification type: To4383 / To4387</x:v>
      </x:c>
      <x:c r="E6360" s="25" t="str">
        <x:v>$1.09</x:v>
      </x:c>
      <x:c r="F6360" s="19" t="str">
        <x:v>5</x:v>
      </x:c>
    </x:row>
    <x:row r="6361" ht="93" customHeight="1">
      <x:c r="A6361" s="19" t="n">
        <x:v>6358</x:v>
      </x:c>
      <x:c r="B6361" s="22" t="e">
        <x:f>HYPERLINK("https://cdn.shopify.com/s/files/1/0918/6066/4603/files/4dcc43f34b4942b2afb6ddd398971afe.jpg?v=1773240978","Open")</x:f>
        <x:v>HYPERLINK is not implemented. linkLocation=https://cdn.shopify.com/s/files/1/0918/6066/4603/files/4dcc43f34b4942b2afb6ddd398971afe.jpg?v=1773240978, friendlyName=Open</x:v>
      </x:c>
      <x:c r="C6361" s="24" t="e">
        <x:f>HYPERLINK("https://365nails.com/products/ocean-shell-crystal-mermaid-summer-nail-art-set","Ocean Shell Crystal – Mermaid Summer Nail Art Set")</x:f>
        <x:v>HYPERLINK is not implemented. linkLocation=https://365nails.com/products/ocean-shell-crystal-mermaid-summer-nail-art-set, friendlyName=Ocean Shell Crystal – Mermaid Summer Nail Art Set</x:v>
      </x:c>
      <x:c r="D6361" s="18" t="str">
        <x:v>Specification type: Ms805-crystal diamond / Ms806-crystal diamond</x:v>
      </x:c>
      <x:c r="E6361" s="25" t="str">
        <x:v>$1.30</x:v>
      </x:c>
      <x:c r="F6361" s="19" t="str">
        <x:v>1</x:v>
      </x:c>
    </x:row>
    <x:row r="6362" ht="93" customHeight="1">
      <x:c r="A6362" s="19" t="n">
        <x:v>6359</x:v>
      </x:c>
      <x:c r="B6362" s="22" t="e">
        <x:f>HYPERLINK("https://cdn.shopify.com/s/files/1/0918/6066/4603/files/O1CN01trvdxU1HlX5ptzEKI__2545140798-0-cib.jpg?v=1776568958","Open")</x:f>
        <x:v>HYPERLINK is not implemented. linkLocation=https://cdn.shopify.com/s/files/1/0918/6066/4603/files/O1CN01trvdxU1HlX5ptzEKI__2545140798-0-cib.jpg?v=1776568958, friendlyName=Open</x:v>
      </x:c>
      <x:c r="C6362" s="24" t="e">
        <x:f>HYPERLINK("https://365nails.com/products/365nails-iridescent-lace-bow-nail-art-stickers","365nails: ""Iridescent Lace &amp; Bow"" – nail art stickers")</x:f>
        <x:v>HYPERLINK is not implemented. linkLocation=https://365nails.com/products/365nails-iridescent-lace-bow-nail-art-stickers, friendlyName=365nails: "Iridescent Lace &amp; Bow" – nail art stickers</x:v>
      </x:c>
      <x:c r="D6362" s="18" t="str">
        <x:v>Specification type: Ms513-shell light / Ms514-shell light</x:v>
      </x:c>
      <x:c r="E6362" s="25" t="str">
        <x:v>$1.23</x:v>
      </x:c>
      <x:c r="F6362" s="19" t="str">
        <x:v>5</x:v>
      </x:c>
    </x:row>
    <x:row r="6363" ht="93" customHeight="1">
      <x:c r="A6363" s="19" t="n">
        <x:v>6360</x:v>
      </x:c>
      <x:c r="B6363" s="22" t="e">
        <x:f>HYPERLINK("https://cdn.shopify.com/s/files/1/0918/6066/4603/files/O1CN01Sz9ouO1HlX50x4yyF__2545140798-0-cib.jpg?v=1776565491","Open")</x:f>
        <x:v>HYPERLINK is not implemented. linkLocation=https://cdn.shopify.com/s/files/1/0918/6066/4603/files/O1CN01Sz9ouO1HlX50x4yyF__2545140798-0-cib.jpg?v=1776565491, friendlyName=Open</x:v>
      </x:c>
      <x:c r="C6363" s="24" t="e">
        <x:f>HYPERLINK("https://365nails.com/products/365nails-silver-outline-snowflake-nail-art-stickers","365nails: ""Silver Outline Snowflake"" – nail art stickers")</x:f>
        <x:v>HYPERLINK is not implemented. linkLocation=https://365nails.com/products/365nails-silver-outline-snowflake-nail-art-stickers, friendlyName=365nails: "Silver Outline Snowflake" – nail art stickers</x:v>
      </x:c>
      <x:c r="D6363" s="18" t="str">
        <x:v>Specification type: To4762</x:v>
      </x:c>
      <x:c r="E6363" s="25" t="str">
        <x:v>$1.34</x:v>
      </x:c>
      <x:c r="F6363" s="19" t="str">
        <x:v>5</x:v>
      </x:c>
    </x:row>
    <x:row r="6364" ht="93" customHeight="1">
      <x:c r="A6364" s="19" t="n">
        <x:v>6361</x:v>
      </x:c>
      <x:c r="B6364" s="22" t="e">
        <x:f>HYPERLINK("https://cdn.shopify.com/s/files/1/0918/6066/4603/files/O1CN01eMgSnD1HlX4W1l7fg__2545140798-0-cib.jpg?v=1776523896","Open")</x:f>
        <x:v>HYPERLINK is not implemented. linkLocation=https://cdn.shopify.com/s/files/1/0918/6066/4603/files/O1CN01eMgSnD1HlX4W1l7fg__2545140798-0-cib.jpg?v=1776523896, friendlyName=Open</x:v>
      </x:c>
      <x:c r="C6364" s="24" t="e">
        <x:f>HYPERLINK("https://365nails.com/products/365nails-holographic-olaf-snowman-nail-art-stickers","365nails: ""Holographic Olaf Snowman"" – nail art stickers")</x:f>
        <x:v>HYPERLINK is not implemented. linkLocation=https://365nails.com/products/365nails-holographic-olaf-snowman-nail-art-stickers, friendlyName=365nails: "Holographic Olaf Snowman" – nail art stickers</x:v>
      </x:c>
      <x:c r="D6364" s="18" t="str">
        <x:v>Specification type: To4714-shell light</x:v>
      </x:c>
      <x:c r="E6364" s="25" t="str">
        <x:v>$1.23</x:v>
      </x:c>
      <x:c r="F6364" s="19" t="str">
        <x:v>5</x:v>
      </x:c>
    </x:row>
    <x:row r="6365" ht="93" customHeight="1">
      <x:c r="A6365" s="19" t="n">
        <x:v>6362</x:v>
      </x:c>
      <x:c r="B6365" s="22" t="e">
        <x:f>HYPERLINK("https://cdn.shopify.com/s/files/1/0918/6066/4603/files/O1CN0167ltuT1HlX3BTon7P__2545140798-0-cib.jpg?v=1776517956","Open")</x:f>
        <x:v>HYPERLINK is not implemented. linkLocation=https://cdn.shopify.com/s/files/1/0918/6066/4603/files/O1CN0167ltuT1HlX3BTon7P__2545140798-0-cib.jpg?v=1776517956, friendlyName=Open</x:v>
      </x:c>
      <x:c r="C6365" s="24" t="e">
        <x:f>HYPERLINK("https://365nails.com/products/365nails-cartoon-girl-friends-nail-art-stickers","365nails: ""Cartoon Girl &amp; Friends"" – nail art stickers")</x:f>
        <x:v>HYPERLINK is not implemented. linkLocation=https://365nails.com/products/365nails-cartoon-girl-friends-nail-art-stickers, friendlyName=365nails: "Cartoon Girl &amp; Friends" – nail art stickers</x:v>
      </x:c>
      <x:c r="D6365" s="18" t="str">
        <x:v>Specification type: To4394-relief</x:v>
      </x:c>
      <x:c r="E6365" s="25" t="str">
        <x:v>$1.23</x:v>
      </x:c>
      <x:c r="F6365" s="19" t="str">
        <x:v>5</x:v>
      </x:c>
    </x:row>
    <x:row r="6366" ht="93" customHeight="1">
      <x:c r="A6366" s="19" t="n">
        <x:v>6363</x:v>
      </x:c>
      <x:c r="B6366" s="22" t="e">
        <x:f>HYPERLINK("https://cdn.shopify.com/s/files/1/0918/6066/4603/files/O1CN0184lzrC1HlX7cB0cdU__2545140798-0-cib.jpg?v=1776570216","Open")</x:f>
        <x:v>HYPERLINK is not implemented. linkLocation=https://cdn.shopify.com/s/files/1/0918/6066/4603/files/O1CN0184lzrC1HlX7cB0cdU__2545140798-0-cib.jpg?v=1776570216, friendlyName=Open</x:v>
      </x:c>
      <x:c r="C6366" s="24" t="e">
        <x:f>HYPERLINK("https://365nails.com/products/365nails-iridescent-ocean-friends-nail-art-stickers","365nails: ""Iridescent Ocean Friends"" – nail art stickers")</x:f>
        <x:v>HYPERLINK is not implemented. linkLocation=https://365nails.com/products/365nails-iridescent-ocean-friends-nail-art-stickers, friendlyName=365nails: "Iridescent Ocean Friends" – nail art stickers</x:v>
      </x:c>
      <x:c r="D6366" s="18" t="str">
        <x:v>Specification type: To5148-jelly</x:v>
      </x:c>
      <x:c r="E6366" s="25" t="str">
        <x:v>$1.23</x:v>
      </x:c>
      <x:c r="F6366" s="19" t="str">
        <x:v>5</x:v>
      </x:c>
    </x:row>
    <x:row r="6367" ht="93" customHeight="1">
      <x:c r="A6367" s="19" t="n">
        <x:v>6364</x:v>
      </x:c>
      <x:c r="B6367" s="22" t="e">
        <x:f>HYPERLINK("https://cdn.shopify.com/s/files/1/0918/6066/4603/files/O1CN01nK9b9L1HlX72MJni5__2545140798-0-cib.jpg?v=1776569835","Open")</x:f>
        <x:v>HYPERLINK is not implemented. linkLocation=https://cdn.shopify.com/s/files/1/0918/6066/4603/files/O1CN01nK9b9L1HlX72MJni5__2545140798-0-cib.jpg?v=1776569835, friendlyName=Open</x:v>
      </x:c>
      <x:c r="C6367" s="24" t="e">
        <x:f>HYPERLINK("https://365nails.com/products/365nails-beach-vacation-shell-nail-art-stickers","365nails: ""Beach Vacation Shell"" – nail art stickers")</x:f>
        <x:v>HYPERLINK is not implemented. linkLocation=https://365nails.com/products/365nails-beach-vacation-shell-nail-art-stickers, friendlyName=365nails: "Beach Vacation Shell" – nail art stickers</x:v>
      </x:c>
      <x:c r="D6367" s="18" t="str">
        <x:v>Specification type: Ms812-laser silver / Ms812-new hot stamping</x:v>
      </x:c>
      <x:c r="E6367" s="25" t="str">
        <x:v>$1.23</x:v>
      </x:c>
      <x:c r="F6367" s="19" t="str">
        <x:v>5</x:v>
      </x:c>
    </x:row>
    <x:row r="6368" ht="93" customHeight="1">
      <x:c r="A6368" s="19" t="n">
        <x:v>6365</x:v>
      </x:c>
      <x:c r="B6368" s="22" t="e">
        <x:f>HYPERLINK("https://cdn.shopify.com/s/files/1/0918/6066/4603/files/O1CN01SQ8FAE1HlX8e8Ryxn__2545140798-0-cib.jpg?v=1773324749","Open")</x:f>
        <x:v>HYPERLINK is not implemented. linkLocation=https://cdn.shopify.com/s/files/1/0918/6066/4603/files/O1CN01SQ8FAE1HlX8e8Ryxn__2545140798-0-cib.jpg?v=1773324749, friendlyName=Open</x:v>
      </x:c>
      <x:c r="C6368" s="24" t="e">
        <x:f>HYPERLINK("https://365nails.com/products/monochrome-pet-pals-cool-minimalist-nail-art-set","Monochrome Pet Pals – Cool Minimalist Nail Art Set")</x:f>
        <x:v>HYPERLINK is not implemented. linkLocation=https://365nails.com/products/monochrome-pet-pals-cool-minimalist-nail-art-set, friendlyName=Monochrome Pet Pals – Cool Minimalist Nail Art Set</x:v>
      </x:c>
      <x:c r="D6368" s="18" t="str">
        <x:v>Specification type: To5243-metal / To5244-metal</x:v>
      </x:c>
      <x:c r="E6368" s="25" t="str">
        <x:v>$1.23</x:v>
      </x:c>
      <x:c r="F6368" s="19" t="str">
        <x:v>1</x:v>
      </x:c>
    </x:row>
    <x:row r="6369" ht="93" customHeight="1">
      <x:c r="A6369" s="19" t="n">
        <x:v>6366</x:v>
      </x:c>
      <x:c r="B6369" s="22" t="e">
        <x:f>HYPERLINK("https://cdn.shopify.com/s/files/1/0918/6066/4603/files/e9c8942f0f78f536aa75401a2420a753.jpg?v=1773147964","Open")</x:f>
        <x:v>HYPERLINK is not implemented. linkLocation=https://cdn.shopify.com/s/files/1/0918/6066/4603/files/e9c8942f0f78f536aa75401a2420a753.jpg?v=1773147964, friendlyName=Open</x:v>
      </x:c>
      <x:c r="C6369" s="24" t="e">
        <x:f>HYPERLINK("https://365nails.com/products/goldfish-lotus-shell-light-oriental-koi-nail-art-set","Goldfish Lotus Shell Light – Oriental Koi Nail Art Stickers")</x:f>
        <x:v>HYPERLINK is not implemented. linkLocation=https://365nails.com/products/goldfish-lotus-shell-light-oriental-koi-nail-art-set, friendlyName=Goldfish Lotus Shell Light – Oriental Koi Nail Art Stickers</x:v>
      </x:c>
      <x:c r="D6369" s="18" t="str">
        <x:v>Specification type: To4164-shell light</x:v>
      </x:c>
      <x:c r="E6369" s="25" t="str">
        <x:v>$1.23</x:v>
      </x:c>
      <x:c r="F6369" s="19" t="str">
        <x:v>5</x:v>
      </x:c>
    </x:row>
    <x:row r="6370" ht="93" customHeight="1">
      <x:c r="A6370" s="19" t="n">
        <x:v>6367</x:v>
      </x:c>
      <x:c r="B6370" s="22" t="e">
        <x:f>HYPERLINK("https://cdn.shopify.com/s/files/1/0918/6066/4603/files/O1CN01mSnqm11HlX6Dh9VFy__2545140798-0-cib.jpg?v=1776569278","Open")</x:f>
        <x:v>HYPERLINK is not implemented. linkLocation=https://cdn.shopify.com/s/files/1/0918/6066/4603/files/O1CN01mSnqm11HlX6Dh9VFy__2545140798-0-cib.jpg?v=1776569278, friendlyName=Open</x:v>
      </x:c>
      <x:c r="C6370" s="24" t="e">
        <x:f>HYPERLINK("https://365nails.com/products/365nails-iridescent-crystal-mini-flower-nail-art-stickers","365nails: ""Iridescent Crystal Mini Flower"" – nail art stickers")</x:f>
        <x:v>HYPERLINK is not implemented. linkLocation=https://365nails.com/products/365nails-iridescent-crystal-mini-flower-nail-art-stickers, friendlyName=365nails: "Iridescent Crystal Mini Flower" – nail art stickers</x:v>
      </x:c>
      <x:c r="D6370" s="18" t="str">
        <x:v>Specification type: Ms782-crystal diamond / Ms787-crystal diamond</x:v>
      </x:c>
      <x:c r="E6370" s="25" t="str">
        <x:v>$1.30</x:v>
      </x:c>
      <x:c r="F6370" s="19" t="str">
        <x:v>5</x:v>
      </x:c>
    </x:row>
    <x:row r="6371" ht="93" customHeight="1">
      <x:c r="A6371" s="19" t="n">
        <x:v>6368</x:v>
      </x:c>
      <x:c r="B6371" s="22" t="e">
        <x:f>HYPERLINK("https://cdn.shopify.com/s/files/1/0918/6066/4603/files/O1CN01z1JQaY1HlX4sKZtzc__2545140798-0-cib.jpg?v=1776568798","Open")</x:f>
        <x:v>HYPERLINK is not implemented. linkLocation=https://cdn.shopify.com/s/files/1/0918/6066/4603/files/O1CN01z1JQaY1HlX4sKZtzc__2545140798-0-cib.jpg?v=1776568798, friendlyName=Open</x:v>
      </x:c>
      <x:c r="C6371" s="24" t="e">
        <x:f>HYPERLINK("https://365nails.com/products/365nails-kuromi-elegant-maid-nail-art-stickers","365nails: ""Kuromi Elegant Maid"" – nail art stickers")</x:f>
        <x:v>HYPERLINK is not implemented. linkLocation=https://365nails.com/products/365nails-kuromi-elegant-maid-nail-art-stickers, friendlyName=365nails: "Kuromi Elegant Maid" – nail art stickers</x:v>
      </x:c>
      <x:c r="D6371" s="18" t="str">
        <x:v>Specification type: San 100 / San102</x:v>
      </x:c>
      <x:c r="E6371" s="25" t="str">
        <x:v>$1.16</x:v>
      </x:c>
      <x:c r="F6371" s="19" t="str">
        <x:v>5</x:v>
      </x:c>
    </x:row>
    <x:row r="6372" ht="93" customHeight="1">
      <x:c r="A6372" s="19" t="n">
        <x:v>6369</x:v>
      </x:c>
      <x:c r="B6372" s="22" t="e">
        <x:f>HYPERLINK("https://cdn.shopify.com/s/files/1/0918/6066/4603/files/O1CN01giVZIE1HlX3g55gZM__2545140798-0-cib.jpg?v=1776521530","Open")</x:f>
        <x:v>HYPERLINK is not implemented. linkLocation=https://cdn.shopify.com/s/files/1/0918/6066/4603/files/O1CN01giVZIE1HlX3g55gZM__2545140798-0-cib.jpg?v=1776521530, friendlyName=Open</x:v>
      </x:c>
      <x:c r="C6372" s="24" t="e">
        <x:f>HYPERLINK("https://365nails.com/products/365nails-ink-wash-peony-nail-art-stickers","365nails: ""Ink Wash Peony"" – nail art stickers")</x:f>
        <x:v>HYPERLINK is not implemented. linkLocation=https://365nails.com/products/365nails-ink-wash-peony-nail-art-stickers, friendlyName=365nails: "Ink Wash Peony" – nail art stickers</x:v>
      </x:c>
      <x:c r="D6372" s="18" t="str">
        <x:v>Specification type: Wy-48 / Wy-50</x:v>
      </x:c>
      <x:c r="E6372" s="25" t="str">
        <x:v>$1.09</x:v>
      </x:c>
      <x:c r="F6372" s="19" t="str">
        <x:v>5</x:v>
      </x:c>
    </x:row>
    <x:row r="6373" ht="93" customHeight="1">
      <x:c r="A6373" s="19" t="n">
        <x:v>6370</x:v>
      </x:c>
      <x:c r="B6373" s="22" t="e">
        <x:f>HYPERLINK("https://cdn.shopify.com/s/files/1/0918/6066/4603/files/O1CN01kE8CPk1HlX5FygwJT__2545140798-0-cib.jpg?v=1776566411","Open")</x:f>
        <x:v>HYPERLINK is not implemented. linkLocation=https://cdn.shopify.com/s/files/1/0918/6066/4603/files/O1CN01kE8CPk1HlX5FygwJT__2545140798-0-cib.jpg?v=1776566411, friendlyName=Open</x:v>
      </x:c>
      <x:c r="C6373" s="24" t="e">
        <x:f>HYPERLINK("https://365nails.com/products/365nails-cute-pastel-puppy-nail-art-stickers","365nails: ""Cute Pastel Puppy"" – nail art stickers")</x:f>
        <x:v>HYPERLINK is not implemented. linkLocation=https://365nails.com/products/365nails-cute-pastel-puppy-nail-art-stickers, friendlyName=365nails: "Cute Pastel Puppy" – nail art stickers</x:v>
      </x:c>
      <x:c r="D6373" s="18" t="str">
        <x:v>Specification type: To4829-relief</x:v>
      </x:c>
      <x:c r="E6373" s="25" t="str">
        <x:v>$1.23</x:v>
      </x:c>
      <x:c r="F6373" s="19" t="str">
        <x:v>5</x:v>
      </x:c>
    </x:row>
    <x:row r="6374" ht="93" customHeight="1">
      <x:c r="A6374" s="19" t="n">
        <x:v>6371</x:v>
      </x:c>
      <x:c r="B6374" s="22" t="e">
        <x:f>HYPERLINK("https://cdn.shopify.com/s/files/1/0918/6066/4603/files/O1CN01uuGvKS1HlX3RLKFz1__2545140798-0-cib.jpg?v=1776518415","Open")</x:f>
        <x:v>HYPERLINK is not implemented. linkLocation=https://cdn.shopify.com/s/files/1/0918/6066/4603/files/O1CN01uuGvKS1HlX3RLKFz1__2545140798-0-cib.jpg?v=1776518415, friendlyName=Open</x:v>
      </x:c>
      <x:c r="C6374" s="24" t="e">
        <x:f>HYPERLINK("https://365nails.com/products/365nails-pastel-christmas-outline-nail-art-stickers","365nails: ""Pastel Christmas Outline"" – nail art stickers")</x:f>
        <x:v>HYPERLINK is not implemented. linkLocation=https://365nails.com/products/365nails-pastel-christmas-outline-nail-art-stickers, friendlyName=365nails: "Pastel Christmas Outline" – nail art stickers</x:v>
      </x:c>
      <x:c r="D6374" s="18" t="str">
        <x:v>Specification type: To4511-relief / To4512-shell light</x:v>
      </x:c>
      <x:c r="E6374" s="25" t="str">
        <x:v>$1.23</x:v>
      </x:c>
      <x:c r="F6374" s="19" t="str">
        <x:v>5</x:v>
      </x:c>
    </x:row>
    <x:row r="6375" ht="93" customHeight="1">
      <x:c r="A6375" s="19" t="n">
        <x:v>6372</x:v>
      </x:c>
      <x:c r="B6375" s="22" t="e">
        <x:f>HYPERLINK("https://cdn.shopify.com/s/files/1/0918/6066/4603/files/O1CN01XcrIoh1HlX1A1MnPZ__2545140798-0-cib.jpg?v=1776499696","Open")</x:f>
        <x:v>HYPERLINK is not implemented. linkLocation=https://cdn.shopify.com/s/files/1/0918/6066/4603/files/O1CN01XcrIoh1HlX1A1MnPZ__2545140798-0-cib.jpg?v=1776499696, friendlyName=Open</x:v>
      </x:c>
      <x:c r="C6375" s="24" t="e">
        <x:f>HYPERLINK("https://365nails.com/products/365nails-cute-monster-party-nail-art-stickers","365nails: ""Cute Monster Party"" – nail art stickers")</x:f>
        <x:v>HYPERLINK is not implemented. linkLocation=https://365nails.com/products/365nails-cute-monster-party-nail-art-stickers, friendlyName=365nails: "Cute Monster Party" – nail art stickers</x:v>
      </x:c>
      <x:c r="D6375" s="18" t="str">
        <x:v>Specification type: To3691-jelly / To4017-jelly / To4018-relief / To4016-relief</x:v>
      </x:c>
      <x:c r="E6375" s="25" t="str">
        <x:v>$1.23</x:v>
      </x:c>
      <x:c r="F6375" s="19" t="str">
        <x:v>5</x:v>
      </x:c>
    </x:row>
    <x:row r="6376" ht="93" customHeight="1">
      <x:c r="A6376" s="19" t="n">
        <x:v>6373</x:v>
      </x:c>
      <x:c r="B6376" s="22" t="e">
        <x:f>HYPERLINK("https://cdn.shopify.com/s/files/1/0918/6066/4603/files/O1CN01knjtVi1HlX5c4Yu4V__2545140798-0-cib.jpg?v=1776568541","Open")</x:f>
        <x:v>HYPERLINK is not implemented. linkLocation=https://cdn.shopify.com/s/files/1/0918/6066/4603/files/O1CN01knjtVi1HlX5c4Yu4V__2545140798-0-cib.jpg?v=1776568541, friendlyName=Open</x:v>
      </x:c>
      <x:c r="C6376" s="24" t="e">
        <x:f>HYPERLINK("https://365nails.com/products/365nails-magnolia-elegance-nail-art-stickers","365nails: ""Magnolia Elegance"" – nail art stickers")</x:f>
        <x:v>HYPERLINK is not implemented. linkLocation=https://365nails.com/products/365nails-magnolia-elegance-nail-art-stickers, friendlyName=365nails: "Magnolia Elegance" – nail art stickers</x:v>
      </x:c>
      <x:c r="D6376" s="18" t="str">
        <x:v>Specification type: To4887-relief</x:v>
      </x:c>
      <x:c r="E6376" s="25" t="str">
        <x:v>$1.23</x:v>
      </x:c>
      <x:c r="F6376" s="19" t="str">
        <x:v>5</x:v>
      </x:c>
    </x:row>
    <x:row r="6377" ht="93" customHeight="1">
      <x:c r="A6377" s="19" t="n">
        <x:v>6374</x:v>
      </x:c>
      <x:c r="B6377" s="22" t="e">
        <x:f>HYPERLINK("https://cdn.shopify.com/s/files/1/0918/6066/4603/files/O1CN01vqLr6M1HlX4PXki9m__2545140798-0-cib.jpg?v=1776565899","Open")</x:f>
        <x:v>HYPERLINK is not implemented. linkLocation=https://cdn.shopify.com/s/files/1/0918/6066/4603/files/O1CN01vqLr6M1HlX4PXki9m__2545140798-0-cib.jpg?v=1776565899, friendlyName=Open</x:v>
      </x:c>
      <x:c r="C6377" s="24" t="e">
        <x:f>HYPERLINK("https://365nails.com/products/365nails-miiiichan-winter-friends-nail-art-stickers","365nails: ""Miiiichan Winter Friends"" – nail art stickers")</x:f>
        <x:v>HYPERLINK is not implemented. linkLocation=https://365nails.com/products/365nails-miiiichan-winter-friends-nail-art-stickers, friendlyName=365nails: "Miiiichan Winter Friends" – nail art stickers</x:v>
      </x:c>
      <x:c r="D6377" s="18" t="str">
        <x:v>Specification type: Mic18-relief / Mic19-relief</x:v>
      </x:c>
      <x:c r="E6377" s="25" t="str">
        <x:v>$1.23</x:v>
      </x:c>
      <x:c r="F6377" s="19" t="str">
        <x:v>5</x:v>
      </x:c>
    </x:row>
    <x:row r="6378" ht="93" customHeight="1">
      <x:c r="A6378" s="19" t="n">
        <x:v>6375</x:v>
      </x:c>
      <x:c r="B6378" s="22" t="e">
        <x:f>HYPERLINK("https://cdn.shopify.com/s/files/1/0918/6066/4603/files/O1CN01PKL3qv1HlX3NJAW8H__2545140798-0-cib.jpg?v=1776519146","Open")</x:f>
        <x:v>HYPERLINK is not implemented. linkLocation=https://cdn.shopify.com/s/files/1/0918/6066/4603/files/O1CN01PKL3qv1HlX3NJAW8H__2545140798-0-cib.jpg?v=1776519146, friendlyName=Open</x:v>
      </x:c>
      <x:c r="C6378" s="24" t="e">
        <x:f>HYPERLINK("https://365nails.com/products/365nails-indigo-botanical-sketch-nail-art-stickers","365nails: ""Indigo Botanical Sketch"" – nail art stickers")</x:f>
        <x:v>HYPERLINK is not implemented. linkLocation=https://365nails.com/products/365nails-indigo-botanical-sketch-nail-art-stickers, friendlyName=365nails: "Indigo Botanical Sketch" – nail art stickers</x:v>
      </x:c>
      <x:c r="D6378" s="18" t="str">
        <x:v>Specification type: To4416 / To4417 / To4418</x:v>
      </x:c>
      <x:c r="E6378" s="25" t="str">
        <x:v>$1.09</x:v>
      </x:c>
      <x:c r="F6378" s="19" t="str">
        <x:v>5</x:v>
      </x:c>
    </x:row>
    <x:row r="6379" ht="93" customHeight="1">
      <x:c r="A6379" s="19" t="n">
        <x:v>6376</x:v>
      </x:c>
      <x:c r="B6379" s="22" t="e">
        <x:f>HYPERLINK("https://cdn.shopify.com/s/files/1/0918/6066/4603/files/O1CN01FAl8EN1HlX5TMJp7I__2545140798-0-cib.jpg?v=1776566635","Open")</x:f>
        <x:v>HYPERLINK is not implemented. linkLocation=https://cdn.shopify.com/s/files/1/0918/6066/4603/files/O1CN01FAl8EN1HlX5TMJp7I__2545140798-0-cib.jpg?v=1776566635, friendlyName=Open</x:v>
      </x:c>
      <x:c r="C6379" s="24" t="e">
        <x:f>HYPERLINK("https://365nails.com/products/365nails-pink-teddy-penguin-valentine-nail-art-stickers","365nails: ""Pink Teddy &amp; Penguin Valentine"" – nail art stickers")</x:f>
        <x:v>HYPERLINK is not implemented. linkLocation=https://365nails.com/products/365nails-pink-teddy-penguin-valentine-nail-art-stickers, friendlyName=365nails: "Pink Teddy &amp; Penguin Valentine" – nail art stickers</x:v>
      </x:c>
      <x:c r="D6379" s="18" t="str">
        <x:v>Specification type: To4868</x:v>
      </x:c>
      <x:c r="E6379" s="25" t="str">
        <x:v>$1.09</x:v>
      </x:c>
      <x:c r="F6379" s="19" t="str">
        <x:v>5</x:v>
      </x:c>
    </x:row>
    <x:row r="6380" ht="93" customHeight="1">
      <x:c r="A6380" s="19" t="n">
        <x:v>6377</x:v>
      </x:c>
      <x:c r="B6380" s="22" t="e">
        <x:f>HYPERLINK("https://cdn.shopify.com/s/files/1/0918/6066/4603/files/O1CN01mS26hS1HlX3jeGiAm__2545140798-0-cib.jpg?v=1776524006","Open")</x:f>
        <x:v>HYPERLINK is not implemented. linkLocation=https://cdn.shopify.com/s/files/1/0918/6066/4603/files/O1CN01mS26hS1HlX3jeGiAm__2545140798-0-cib.jpg?v=1776524006, friendlyName=Open</x:v>
      </x:c>
      <x:c r="C6380" s="24" t="e">
        <x:f>HYPERLINK("https://365nails.com/products/365nails-colorful-christmas-tree-santa-nail-art-stickers","365nails: ""Colorful Christmas Tree &amp; Santa"" – nail art stickers")</x:f>
        <x:v>HYPERLINK is not implemented. linkLocation=https://365nails.com/products/365nails-colorful-christmas-tree-santa-nail-art-stickers, friendlyName=365nails: "Colorful Christmas Tree &amp; Santa" – nail art stickers</x:v>
      </x:c>
      <x:c r="D6380" s="18" t="str">
        <x:v>Specification type: To4518-crystal diamond / To4538-crystal diamond</x:v>
      </x:c>
      <x:c r="E6380" s="25" t="str">
        <x:v>$1.30</x:v>
      </x:c>
      <x:c r="F6380" s="19" t="str">
        <x:v>5</x:v>
      </x:c>
    </x:row>
    <x:row r="6381" ht="93" customHeight="1">
      <x:c r="A6381" s="19" t="n">
        <x:v>6378</x:v>
      </x:c>
      <x:c r="B6381" s="22" t="e">
        <x:f>HYPERLINK("https://cdn.shopify.com/s/files/1/0918/6066/4603/files/O1CN01W08gP21HlX3VftqE2__2545140798-0-cib.jpg?v=1776518045","Open")</x:f>
        <x:v>HYPERLINK is not implemented. linkLocation=https://cdn.shopify.com/s/files/1/0918/6066/4603/files/O1CN01W08gP21HlX3VftqE2__2545140798-0-cib.jpg?v=1776518045, friendlyName=Open</x:v>
      </x:c>
      <x:c r="C6381" s="24" t="e">
        <x:f>HYPERLINK("https://365nails.com/products/365nails-cute-emoji-patch-nail-art-stickers","365nails: ""Cute Emoji Patch"" – nail art stickers")</x:f>
        <x:v>HYPERLINK is not implemented. linkLocation=https://365nails.com/products/365nails-cute-emoji-patch-nail-art-stickers, friendlyName=365nails: "Cute Emoji Patch" – nail art stickers</x:v>
      </x:c>
      <x:c r="D6381" s="18" t="str">
        <x:v>Specification type: To4404-relief</x:v>
      </x:c>
      <x:c r="E6381" s="25" t="str">
        <x:v>$1.23</x:v>
      </x:c>
      <x:c r="F6381" s="19" t="str">
        <x:v>5</x:v>
      </x:c>
    </x:row>
    <x:row r="6382" ht="93" customHeight="1">
      <x:c r="A6382" s="19" t="n">
        <x:v>6379</x:v>
      </x:c>
      <x:c r="B6382" s="22" t="e">
        <x:f>HYPERLINK("https://cdn.shopify.com/s/files/1/0918/6066/4603/files/O1CN01NXL5lt1HlX6pOwwfj__2545140798-0-cib.jpg?v=1776569680","Open")</x:f>
        <x:v>HYPERLINK is not implemented. linkLocation=https://cdn.shopify.com/s/files/1/0918/6066/4603/files/O1CN01NXL5lt1HlX6pOwwfj__2545140798-0-cib.jpg?v=1776569680, friendlyName=Open</x:v>
      </x:c>
      <x:c r="C6382" s="24" t="e">
        <x:f>HYPERLINK("https://365nails.com/products/365nails-iridescent-holographic-butterfly-nail-art-stickers","365nails: ""Iridescent Holographic Butterfly"" – nail art stickers")</x:f>
        <x:v>HYPERLINK is not implemented. linkLocation=https://365nails.com/products/365nails-iridescent-holographic-butterfly-nail-art-stickers, friendlyName=365nails: "Iridescent Holographic Butterfly" – nail art stickers</x:v>
      </x:c>
      <x:c r="D6382" s="18" t="str">
        <x:v>Specification type: To5019-relief / To5020-relief</x:v>
      </x:c>
      <x:c r="E6382" s="25" t="str">
        <x:v>$1.23</x:v>
      </x:c>
      <x:c r="F6382" s="19" t="str">
        <x:v>5</x:v>
      </x:c>
    </x:row>
    <x:row r="6383" ht="93" customHeight="1">
      <x:c r="A6383" s="19" t="n">
        <x:v>6380</x:v>
      </x:c>
      <x:c r="B6383" s="22" t="e">
        <x:f>HYPERLINK("https://cdn.shopify.com/s/files/1/0918/6066/4603/files/O1CN01y4UQEc1HlX4zN8rGO__2545140798-0-cib.jpg?v=1776565992","Open")</x:f>
        <x:v>HYPERLINK is not implemented. linkLocation=https://cdn.shopify.com/s/files/1/0918/6066/4603/files/O1CN01y4UQEc1HlX4zN8rGO__2545140798-0-cib.jpg?v=1776565992, friendlyName=Open</x:v>
      </x:c>
      <x:c r="C6383" s="24" t="e">
        <x:f>HYPERLINK("https://365nails.com/products/365nails-gold-outline-butterfly-moon-nail-art-stickers","365nails: ""Gold Outline Butterfly &amp; Moon"" – nail art stickers")</x:f>
        <x:v>HYPERLINK is not implemented. linkLocation=https://365nails.com/products/365nails-gold-outline-butterfly-moon-nail-art-stickers, friendlyName=365nails: "Gold Outline Butterfly &amp; Moon" – nail art stickers</x:v>
      </x:c>
      <x:c r="D6383" s="18" t="str">
        <x:v>Specification type: To4783-new hot stamping</x:v>
      </x:c>
      <x:c r="E6383" s="25" t="str">
        <x:v>$1.23</x:v>
      </x:c>
      <x:c r="F6383" s="19" t="str">
        <x:v>5</x:v>
      </x:c>
    </x:row>
    <x:row r="6384" ht="93" customHeight="1">
      <x:c r="A6384" s="19" t="n">
        <x:v>6381</x:v>
      </x:c>
      <x:c r="B6384" s="22" t="e">
        <x:f>HYPERLINK("https://cdn.shopify.com/s/files/1/0918/6066/4603/files/O1CN016KivDu1HlX2oiqyoK__2545140798-0-cib.jpg?v=1772630981","Open")</x:f>
        <x:v>HYPERLINK is not implemented. linkLocation=https://cdn.shopify.com/s/files/1/0918/6066/4603/files/O1CN016KivDu1HlX2oiqyoK__2545140798-0-cib.jpg?v=1772630981, friendlyName=Open</x:v>
      </x:c>
      <x:c r="C6384" s="24" t="e">
        <x:f>HYPERLINK("https://365nails.com/products/embossed-animal-nail-stickers-holographic-bunny-teddy-bear-set","Embossed Animal Nail Stickers – Holographic Bunny &amp; Teddy Bear Set")</x:f>
        <x:v>HYPERLINK is not implemented. linkLocation=https://365nails.com/products/embossed-animal-nail-stickers-holographic-bunny-teddy-bear-set, friendlyName=Embossed Animal Nail Stickers – Holographic Bunny &amp; Teddy Bear Set</x:v>
      </x:c>
      <x:c r="D6384" s="18" t="str">
        <x:v>Specification type: To4346-shell light / To4348-shell light</x:v>
      </x:c>
      <x:c r="E6384" s="25" t="str">
        <x:v>$1.23</x:v>
      </x:c>
      <x:c r="F6384" s="19" t="str">
        <x:v>5</x:v>
      </x:c>
    </x:row>
    <x:row r="6385" ht="93" customHeight="1">
      <x:c r="A6385" s="19" t="n">
        <x:v>6382</x:v>
      </x:c>
      <x:c r="B6385" s="22" t="e">
        <x:f>HYPERLINK("https://cdn.shopify.com/s/files/1/0918/6066/4603/files/O1CN013DssT31HlX0o5lW5Z__2545140798-0-cib_0002a4f5-0f88-4834-82b7-5d1d673f5a77.jpg?v=1772702984","Open")</x:f>
        <x:v>HYPERLINK is not implemented. linkLocation=https://cdn.shopify.com/s/files/1/0918/6066/4603/files/O1CN013DssT31HlX0o5lW5Z__2545140798-0-cib_0002a4f5-0f88-4834-82b7-5d1d673f5a77.jpg?v=1772702984, friendlyName=Open</x:v>
      </x:c>
      <x:c r="C6385" s="24" t="e">
        <x:f>HYPERLINK("https://365nails.com/products/holographic-shell-light-butterfly-nail-stickers-3d-embossed-iridescent-set","Holographic Shell Light Butterfly Nail Stickers – 3D Embossed Iridescent Set")</x:f>
        <x:v>HYPERLINK is not implemented. linkLocation=https://365nails.com/products/holographic-shell-light-butterfly-nail-stickers-3d-embossed-iridescent-set, friendlyName=Holographic Shell Light Butterfly Nail Stickers – 3D Embossed Iridescent Set</x:v>
      </x:c>
      <x:c r="D6385" s="18" t="str">
        <x:v>Specification type: Ms483-shell light / Ms575-shell light / Ms533-shell light / Ms553-crystal diamond / To4807-crystal diamond / To4808-crystal diamond / Ms753-jelly / Ms764-jelly / To4289-new hot stamping / Ms546-crystal diamond / Ms717 laser-jelly / To3888-shell light / Ms600-jelly / Ms543-jelly</x:v>
      </x:c>
      <x:c r="E6385" s="25" t="str">
        <x:v>$1.23</x:v>
      </x:c>
      <x:c r="F6385" s="19" t="str">
        <x:v>5</x:v>
      </x:c>
    </x:row>
    <x:row r="6386" ht="93" customHeight="1">
      <x:c r="A6386" s="19" t="n">
        <x:v>6383</x:v>
      </x:c>
      <x:c r="B6386" s="22" t="e">
        <x:f>HYPERLINK("https://cdn.shopify.com/s/files/1/0918/6066/4603/files/O1CN01XDqcHm1HlX6jRGyEv__2545140798-0-cib.jpg?v=1776569758","Open")</x:f>
        <x:v>HYPERLINK is not implemented. linkLocation=https://cdn.shopify.com/s/files/1/0918/6066/4603/files/O1CN01XDqcHm1HlX6jRGyEv__2545140798-0-cib.jpg?v=1776569758, friendlyName=Open</x:v>
      </x:c>
      <x:c r="C6386" s="24" t="e">
        <x:f>HYPERLINK("https://365nails.com/products/365nails-disney-princess-story-nail-art-stickers","365nails: ""Disney Princess Story"" – nail art stickers")</x:f>
        <x:v>HYPERLINK is not implemented. linkLocation=https://365nails.com/products/365nails-disney-princess-story-nail-art-stickers, friendlyName=365nails: "Disney Princess Story" – nail art stickers</x:v>
      </x:c>
      <x:c r="D6386" s="18" t="str">
        <x:v>Specification type: Td015w-shell light / Td016w-shell light</x:v>
      </x:c>
      <x:c r="E6386" s="25" t="str">
        <x:v>$1.23</x:v>
      </x:c>
      <x:c r="F6386" s="19" t="str">
        <x:v>5</x:v>
      </x:c>
    </x:row>
    <x:row r="6387" ht="93" customHeight="1">
      <x:c r="A6387" s="19" t="n">
        <x:v>6384</x:v>
      </x:c>
      <x:c r="B6387" s="22" t="e">
        <x:f>HYPERLINK("https://cdn.shopify.com/s/files/1/0918/6066/4603/files/O1CN01Tw8HMA1HlX6CXChOM__2545140798-0-cib.jpg?v=1776568879","Open")</x:f>
        <x:v>HYPERLINK is not implemented. linkLocation=https://cdn.shopify.com/s/files/1/0918/6066/4603/files/O1CN01Tw8HMA1HlX6CXChOM__2545140798-0-cib.jpg?v=1776568879, friendlyName=Open</x:v>
      </x:c>
      <x:c r="C6387" s="24" t="e">
        <x:f>HYPERLINK("https://365nails.com/products/365nails-iridescent-crystal-butterfly-nail-art-stickers-1","365nails: ""Iridescent Crystal Butterfly"" – nail art stickers")</x:f>
        <x:v>HYPERLINK is not implemented. linkLocation=https://365nails.com/products/365nails-iridescent-crystal-butterfly-nail-art-stickers-1, friendlyName=365nails: "Iridescent Crystal Butterfly" – nail art stickers</x:v>
      </x:c>
      <x:c r="D6387" s="18" t="str">
        <x:v>Specification type: To4922-crystal diamond / To4930-crystal diamond</x:v>
      </x:c>
      <x:c r="E6387" s="25" t="str">
        <x:v>$1.30</x:v>
      </x:c>
      <x:c r="F6387" s="19" t="str">
        <x:v>5</x:v>
      </x:c>
    </x:row>
    <x:row r="6388" ht="93" customHeight="1">
      <x:c r="A6388" s="19" t="n">
        <x:v>6385</x:v>
      </x:c>
      <x:c r="B6388" s="22" t="e">
        <x:f>HYPERLINK("https://cdn.shopify.com/s/files/1/0918/6066/4603/files/O1CN01qMPaew1HlX5SWqsBE__2545140798-0-cib.jpg?v=1772702285","Open")</x:f>
        <x:v>HYPERLINK is not implemented. linkLocation=https://cdn.shopify.com/s/files/1/0918/6066/4603/files/O1CN01qMPaew1HlX5SWqsBE__2545140798-0-cib.jpg?v=1772702285, friendlyName=Open</x:v>
      </x:c>
      <x:c r="C6388" s="24" t="e">
        <x:f>HYPERLINK("https://365nails.com/products/holographic-jelly-butterfly-nail-stickers-3d-embossed-iridescent-set","Holographic Jelly Butterfly Nail Stickers – 3D Embossed Iridescent Set")</x:f>
        <x:v>HYPERLINK is not implemented. linkLocation=https://365nails.com/products/holographic-jelly-butterfly-nail-stickers-3d-embossed-iridescent-set, friendlyName=Holographic Jelly Butterfly Nail Stickers – 3D Embossed Iridescent Set</x:v>
      </x:c>
      <x:c r="D6388" s="18" t="str">
        <x:v>Specification type: Ms764-jelly / Ms764-1-jelly</x:v>
      </x:c>
      <x:c r="E6388" s="25" t="str">
        <x:v>$1.23</x:v>
      </x:c>
      <x:c r="F6388" s="19" t="str">
        <x:v>5</x:v>
      </x:c>
    </x:row>
    <x:row r="6389" ht="93" customHeight="1">
      <x:c r="A6389" s="19" t="n">
        <x:v>6386</x:v>
      </x:c>
      <x:c r="B6389" s="22" t="e">
        <x:f>HYPERLINK("https://cdn.shopify.com/s/files/1/0918/6066/4603/files/O1CN01h88Ty31HlX67qZvju__2545140798-0-cib.jpg?v=1776569124","Open")</x:f>
        <x:v>HYPERLINK is not implemented. linkLocation=https://cdn.shopify.com/s/files/1/0918/6066/4603/files/O1CN01h88Ty31HlX67qZvju__2545140798-0-cib.jpg?v=1776569124, friendlyName=Open</x:v>
      </x:c>
      <x:c r="C6389" s="24" t="e">
        <x:f>HYPERLINK("https://365nails.com/products/365nails-chinese-style-white-cherry-blossom-nail-art-stickers","365nails: ""Chinese Style White Cherry Blossom"" – nail art stickers")</x:f>
        <x:v>HYPERLINK is not implemented. linkLocation=https://365nails.com/products/365nails-chinese-style-white-cherry-blossom-nail-art-stickers, friendlyName=365nails: "Chinese Style White Cherry Blossom" – nail art stickers</x:v>
      </x:c>
      <x:c r="D6389" s="18" t="str">
        <x:v>Specification type: To4987</x:v>
      </x:c>
      <x:c r="E6389" s="25" t="str">
        <x:v>$1.09</x:v>
      </x:c>
      <x:c r="F6389" s="19" t="str">
        <x:v>5</x:v>
      </x:c>
    </x:row>
    <x:row r="6390" ht="93" customHeight="1">
      <x:c r="A6390" s="19" t="n">
        <x:v>6387</x:v>
      </x:c>
      <x:c r="B6390" s="22" t="e">
        <x:f>HYPERLINK("https://cdn.shopify.com/s/files/1/0918/6066/4603/files/O1CN017L20rJ1HlX2xDDB2L__2545140798-0-cib.jpg?v=1772632421","Open")</x:f>
        <x:v>HYPERLINK is not implemented. linkLocation=https://cdn.shopify.com/s/files/1/0918/6066/4603/files/O1CN017L20rJ1HlX2xDDB2L__2545140798-0-cib.jpg?v=1772632421, friendlyName=Open</x:v>
      </x:c>
      <x:c r="C6390" s="24" t="e">
        <x:f>HYPERLINK("https://365nails.com/products/metallic-celestial-nail-stickers","Metallic Celestial Nail Stickers")</x:f>
        <x:v>HYPERLINK is not implemented. linkLocation=https://365nails.com/products/metallic-celestial-nail-stickers, friendlyName=Metallic Celestial Nail Stickers</x:v>
      </x:c>
      <x:c r="D6390" s="18" t="str">
        <x:v>Specification type: To4425-crystal diamond / To4426-crystal diamond / To4427-crystal diamond</x:v>
      </x:c>
      <x:c r="E6390" s="25" t="str">
        <x:v>$1.34</x:v>
      </x:c>
      <x:c r="F6390" s="19" t="str">
        <x:v>5</x:v>
      </x:c>
    </x:row>
    <x:row r="6391" ht="93" customHeight="1">
      <x:c r="A6391" s="19" t="n">
        <x:v>6388</x:v>
      </x:c>
      <x:c r="B6391" s="22" t="e">
        <x:f>HYPERLINK("https://cdn.shopify.com/s/files/1/0918/6066/4603/files/O1CN01Hwcjfc1HlX6DTuchp__2545140798-0-cib.jpg?v=1776569202","Open")</x:f>
        <x:v>HYPERLINK is not implemented. linkLocation=https://cdn.shopify.com/s/files/1/0918/6066/4603/files/O1CN01Hwcjfc1HlX6DTuchp__2545140798-0-cib.jpg?v=1776569202, friendlyName=Open</x:v>
      </x:c>
      <x:c r="C6391" s="24" t="e">
        <x:f>HYPERLINK("https://365nails.com/products/365nails-iridescent-butterfly-rose-nail-art-stickers-1","365nails: ""Iridescent Butterfly &amp; Rose"" – nail art stickers")</x:f>
        <x:v>HYPERLINK is not implemented. linkLocation=https://365nails.com/products/365nails-iridescent-butterfly-rose-nail-art-stickers-1, friendlyName=365nails: "Iridescent Butterfly &amp; Rose" – nail art stickers</x:v>
      </x:c>
      <x:c r="D6391" s="18" t="str">
        <x:v>Specification type: To5025-shell light</x:v>
      </x:c>
      <x:c r="E6391" s="25" t="str">
        <x:v>$1.23</x:v>
      </x:c>
      <x:c r="F6391" s="19" t="str">
        <x:v>5</x:v>
      </x:c>
    </x:row>
    <x:row r="6392" ht="93" customHeight="1">
      <x:c r="A6392" s="19" t="n">
        <x:v>6389</x:v>
      </x:c>
      <x:c r="B6392" s="22" t="e">
        <x:f>HYPERLINK("https://cdn.shopify.com/s/files/1/0918/6066/4603/files/O1CN01LQmnYs1HlX6CK06fd__2545140798-0-cib.jpg?v=1773324266","Open")</x:f>
        <x:v>HYPERLINK is not implemented. linkLocation=https://cdn.shopify.com/s/files/1/0918/6066/4603/files/O1CN01LQmnYs1HlX6CK06fd__2545140798-0-cib.jpg?v=1773324266, friendlyName=Open</x:v>
      </x:c>
      <x:c r="C6392" s="24" t="e">
        <x:f>HYPERLINK("https://365nails.com/products/pastel-cherry-bow-kawaii-cute-nail-art-set","Pastel Cherry Bow – Kawaii Cute Nail Art Set")</x:f>
        <x:v>HYPERLINK is not implemented. linkLocation=https://365nails.com/products/pastel-cherry-bow-kawaii-cute-nail-art-set, friendlyName=Pastel Cherry Bow – Kawaii Cute Nail Art Set</x:v>
      </x:c>
      <x:c r="D6392" s="18" t="str">
        <x:v>Specification type: To4980-shell light / To4982-shell light</x:v>
      </x:c>
      <x:c r="E6392" s="25" t="str">
        <x:v>$1.23</x:v>
      </x:c>
      <x:c r="F6392" s="19" t="str">
        <x:v>1</x:v>
      </x:c>
    </x:row>
    <x:row r="6393" ht="93" customHeight="1">
      <x:c r="A6393" s="19" t="n">
        <x:v>6390</x:v>
      </x:c>
      <x:c r="B6393" s="22" t="e">
        <x:f>HYPERLINK("https://cdn.shopify.com/s/files/1/0918/6066/4603/files/O1CN01yLDCsX1HlX3cSqx0c__2545140798-0-cib.jpg?v=1776518702","Open")</x:f>
        <x:v>HYPERLINK is not implemented. linkLocation=https://cdn.shopify.com/s/files/1/0918/6066/4603/files/O1CN01yLDCsX1HlX3cSqx0c__2545140798-0-cib.jpg?v=1776518702, friendlyName=Open</x:v>
      </x:c>
      <x:c r="C6393" s="24" t="e">
        <x:f>HYPERLINK("https://365nails.com/products/365nails-vintage-floral-hummingbird-nail-art-stickers","365nails: ""Vintage Floral &amp; Hummingbird"" – nail art stickers")</x:f>
        <x:v>HYPERLINK is not implemented. linkLocation=https://365nails.com/products/365nails-vintage-floral-hummingbird-nail-art-stickers, friendlyName=365nails: "Vintage Floral &amp; Hummingbird" – nail art stickers</x:v>
      </x:c>
      <x:c r="D6393" s="18" t="str">
        <x:v>Specification type: To4556</x:v>
      </x:c>
      <x:c r="E6393" s="25" t="str">
        <x:v>$1.23</x:v>
      </x:c>
      <x:c r="F6393" s="19" t="str">
        <x:v>5</x:v>
      </x:c>
    </x:row>
    <x:row r="6394" ht="93" customHeight="1">
      <x:c r="A6394" s="19" t="n">
        <x:v>6391</x:v>
      </x:c>
      <x:c r="B6394" s="22" t="e">
        <x:f>HYPERLINK("https://cdn.shopify.com/s/files/1/0918/6066/4603/files/O1CN01EBp37M1HlX12XoOn9__2545140798-0-cib.jpg?v=1776499389","Open")</x:f>
        <x:v>HYPERLINK is not implemented. linkLocation=https://cdn.shopify.com/s/files/1/0918/6066/4603/files/O1CN01EBp37M1HlX12XoOn9__2545140798-0-cib.jpg?v=1776499389, friendlyName=Open</x:v>
      </x:c>
      <x:c r="C6394" s="24" t="e">
        <x:f>HYPERLINK("https://365nails.com/products/365nails-iridescent-mini-butterfly-nail-art-stickers","365nails: ""Iridescent Mini Butterfly"" – nail art stickers")</x:f>
        <x:v>HYPERLINK is not implemented. linkLocation=https://365nails.com/products/365nails-iridescent-mini-butterfly-nail-art-stickers, friendlyName=365nails: "Iridescent Mini Butterfly" – nail art stickers</x:v>
      </x:c>
      <x:c r="D6394" s="18" t="str">
        <x:v>Specification type: To4006-shell light</x:v>
      </x:c>
      <x:c r="E6394" s="25" t="str">
        <x:v>$1.23</x:v>
      </x:c>
      <x:c r="F6394" s="19" t="str">
        <x:v>5</x:v>
      </x:c>
    </x:row>
    <x:row r="6395" ht="93" customHeight="1">
      <x:c r="A6395" s="19" t="n">
        <x:v>6392</x:v>
      </x:c>
      <x:c r="B6395" s="22" t="e">
        <x:f>HYPERLINK("https://cdn.shopify.com/s/files/1/0918/6066/4603/files/cf9039db602744107ce9be0ed2e5491b.jpg?v=1773233885","Open")</x:f>
        <x:v>HYPERLINK is not implemented. linkLocation=https://cdn.shopify.com/s/files/1/0918/6066/4603/files/cf9039db602744107ce9be0ed2e5491b.jpg?v=1773233885, friendlyName=Open</x:v>
      </x:c>
      <x:c r="C6395" s="24" t="e">
        <x:f>HYPERLINK("https://365nails.com/products/van-gogh-art-frame-vintage-oil-painting-nail-art-set","Van Gogh Art Frame – Vintage Oil Painting Nail Art Stickers")</x:f>
        <x:v>HYPERLINK is not implemented. linkLocation=https://365nails.com/products/van-gogh-art-frame-vintage-oil-painting-nail-art-set, friendlyName=Van Gogh Art Frame – Vintage Oil Painting Nail Art Stickers</x:v>
      </x:c>
      <x:c r="D6395" s="18" t="str">
        <x:v>Specification type: To4480-new hot stamping</x:v>
      </x:c>
      <x:c r="E6395" s="25" t="str">
        <x:v>$1.23</x:v>
      </x:c>
      <x:c r="F6395" s="19" t="str">
        <x:v>1</x:v>
      </x:c>
    </x:row>
    <x:row r="6396" ht="93" customHeight="1">
      <x:c r="A6396" s="19" t="n">
        <x:v>6393</x:v>
      </x:c>
      <x:c r="B6396" s="22" t="e">
        <x:f>HYPERLINK("https://cdn.shopify.com/s/files/1/0918/6066/4603/files/O1CN012l7vyp1HlX2YxW1YZ__2545140798-0-cib.jpg?v=1776524087","Open")</x:f>
        <x:v>HYPERLINK is not implemented. linkLocation=https://cdn.shopify.com/s/files/1/0918/6066/4603/files/O1CN012l7vyp1HlX2YxW1YZ__2545140798-0-cib.jpg?v=1776524087, friendlyName=Open</x:v>
      </x:c>
      <x:c r="C6396" s="24" t="e">
        <x:f>HYPERLINK("https://365nails.com/products/365nails-iridescent-butterfly-rose-nail-art-stickers","365nails: ""Iridescent Butterfly &amp; Rose"" – nail art stickers")</x:f>
        <x:v>HYPERLINK is not implemented. linkLocation=https://365nails.com/products/365nails-iridescent-butterfly-rose-nail-art-stickers, friendlyName=365nails: "Iridescent Butterfly &amp; Rose" – nail art stickers</x:v>
      </x:c>
      <x:c r="D6396" s="18" t="str">
        <x:v>Specification type: Ms667-shell light / Ms672-shell light / Ms673-relief</x:v>
      </x:c>
      <x:c r="E6396" s="25" t="str">
        <x:v>$1.23</x:v>
      </x:c>
      <x:c r="F6396" s="19" t="str">
        <x:v>5</x:v>
      </x:c>
    </x:row>
    <x:row r="6397" ht="93" customHeight="1">
      <x:c r="A6397" s="19" t="n">
        <x:v>6394</x:v>
      </x:c>
      <x:c r="B6397" s="22" t="e">
        <x:f>HYPERLINK("https://cdn.shopify.com/s/files/1/0918/6066/4603/files/O1CN01a9tBV11HlX19ASsN2__2545140798-0-cib.jpg?v=1776499541","Open")</x:f>
        <x:v>HYPERLINK is not implemented. linkLocation=https://cdn.shopify.com/s/files/1/0918/6066/4603/files/O1CN01a9tBV11HlX19ASsN2__2545140798-0-cib.jpg?v=1776499541, friendlyName=Open</x:v>
      </x:c>
      <x:c r="C6397" s="24" t="e">
        <x:f>HYPERLINK("https://365nails.com/products/365nails-pastel-teddy-ballet-girl-nail-art-stickers","365nails: ""Pastel Teddy &amp; Ballet Girl"" – nail art stickers")</x:f>
        <x:v>HYPERLINK is not implemented. linkLocation=https://365nails.com/products/365nails-pastel-teddy-ballet-girl-nail-art-stickers, friendlyName=365nails: "Pastel Teddy &amp; Ballet Girl" – nail art stickers</x:v>
      </x:c>
      <x:c r="D6397" s="18" t="str">
        <x:v>Specification type: To4067-crystal diamond</x:v>
      </x:c>
      <x:c r="E6397" s="25" t="str">
        <x:v>$1.30</x:v>
      </x:c>
      <x:c r="F6397" s="19" t="str">
        <x:v>5</x:v>
      </x:c>
    </x:row>
    <x:row r="6398" ht="93" customHeight="1">
      <x:c r="A6398" s="19" t="n">
        <x:v>6395</x:v>
      </x:c>
      <x:c r="B6398" s="22" t="e">
        <x:f>HYPERLINK("https://cdn.shopify.com/s/files/1/0918/6066/4603/files/O1CN01IAgE6U1HlX4rZYEUb__2545140798-0-cib.jpg?v=1776565632","Open")</x:f>
        <x:v>HYPERLINK is not implemented. linkLocation=https://cdn.shopify.com/s/files/1/0918/6066/4603/files/O1CN01IAgE6U1HlX4rZYEUb__2545140798-0-cib.jpg?v=1776565632, friendlyName=Open</x:v>
      </x:c>
      <x:c r="C6398" s="24" t="e">
        <x:f>HYPERLINK("https://365nails.com/products/365nails-cute-pink-fortune-crocodile-nail-art-stickers","365nails: ""Cute Pink Fortune Crocodile"" – nail art stickers")</x:f>
        <x:v>HYPERLINK is not implemented. linkLocation=https://365nails.com/products/365nails-cute-pink-fortune-crocodile-nail-art-stickers, friendlyName=365nails: "Cute Pink Fortune Crocodile" – nail art stickers</x:v>
      </x:c>
      <x:c r="D6398" s="18" t="str">
        <x:v>Specification type: To4735 / To4773</x:v>
      </x:c>
      <x:c r="E6398" s="25" t="str">
        <x:v>$1.09</x:v>
      </x:c>
      <x:c r="F6398" s="19" t="str">
        <x:v>5</x:v>
      </x:c>
    </x:row>
    <x:row r="6399" ht="93" customHeight="1">
      <x:c r="A6399" s="19" t="n">
        <x:v>6396</x:v>
      </x:c>
      <x:c r="B6399" s="22" t="e">
        <x:f>HYPERLINK("https://cdn.shopify.com/s/files/1/0918/6066/4603/files/O1CN01MWwJoy1HlWp76t4WI__2545140798-0-cib.jpg?v=1773323254","Open")</x:f>
        <x:v>HYPERLINK is not implemented. linkLocation=https://cdn.shopify.com/s/files/1/0918/6066/4603/files/O1CN01MWwJoy1HlWp76t4WI__2545140798-0-cib.jpg?v=1773323254, friendlyName=Open</x:v>
      </x:c>
      <x:c r="C6399" s="24" t="e">
        <x:f>HYPERLINK("https://365nails.com/products/vintage-celestial-starry-nail-art-set","Vintage Celestial Starry Nail Art Set")</x:f>
        <x:v>HYPERLINK is not implemented. linkLocation=https://365nails.com/products/vintage-celestial-starry-nail-art-set, friendlyName=Vintage Celestial Starry Nail Art Set</x:v>
      </x:c>
      <x:c r="D6399" s="18" t="str">
        <x:v>Specification type: To1880-new hot stamping / To1880-silver</x:v>
      </x:c>
      <x:c r="E6399" s="25" t="str">
        <x:v>$1.23</x:v>
      </x:c>
      <x:c r="F6399" s="19" t="str">
        <x:v>1</x:v>
      </x:c>
    </x:row>
    <x:row r="6400" ht="93" customHeight="1">
      <x:c r="A6400" s="19" t="n">
        <x:v>6397</x:v>
      </x:c>
      <x:c r="B6400" s="22" t="e">
        <x:f>HYPERLINK("https://cdn.shopify.com/s/files/1/0918/6066/4603/files/O1CN01jzHPni1HlX57geaSP__2545140798-0-cib.jpg?v=1776566246","Open")</x:f>
        <x:v>HYPERLINK is not implemented. linkLocation=https://cdn.shopify.com/s/files/1/0918/6066/4603/files/O1CN01jzHPni1HlX57geaSP__2545140798-0-cib.jpg?v=1776566246, friendlyName=Open</x:v>
      </x:c>
      <x:c r="C6400" s="24" t="e">
        <x:f>HYPERLINK("https://365nails.com/products/365nails-ink-wash-calligraphy-butterfly-nail-art-stickers","365nails: ""Ink Wash Calligraphy Butterfly"" – nail art stickers")</x:f>
        <x:v>HYPERLINK is not implemented. linkLocation=https://365nails.com/products/365nails-ink-wash-calligraphy-butterfly-nail-art-stickers, friendlyName=365nails: "Ink Wash Calligraphy Butterfly" – nail art stickers</x:v>
      </x:c>
      <x:c r="D6400" s="18" t="str">
        <x:v>Specification type: To4811 / To4815</x:v>
      </x:c>
      <x:c r="E6400" s="25" t="str">
        <x:v>$1.09</x:v>
      </x:c>
      <x:c r="F6400" s="19" t="str">
        <x:v>5</x:v>
      </x:c>
    </x:row>
    <x:row r="6401" ht="93" customHeight="1">
      <x:c r="A6401" s="19" t="n">
        <x:v>6398</x:v>
      </x:c>
      <x:c r="B6401" s="22" t="e">
        <x:f>HYPERLINK("https://cdn.shopify.com/s/files/1/0918/6066/4603/files/3ebb4cf31ddf0e219f97ac81616fc3df.jpg?v=1773321257","Open")</x:f>
        <x:v>HYPERLINK is not implemented. linkLocation=https://cdn.shopify.com/s/files/1/0918/6066/4603/files/3ebb4cf31ddf0e219f97ac81616fc3df.jpg?v=1773321257, friendlyName=Open</x:v>
      </x:c>
      <x:c r="C6401" s="24" t="e">
        <x:f>HYPERLINK("https://365nails.com/products/holographic-heart-positive-words-playful-glam-nail-art-set","Holographic Heart &amp; Positive Words – Playful Glam Nail Art Set")</x:f>
        <x:v>HYPERLINK is not implemented. linkLocation=https://365nails.com/products/holographic-heart-positive-words-playful-glam-nail-art-set, friendlyName=Holographic Heart &amp; Positive Words – Playful Glam Nail Art Set</x:v>
      </x:c>
      <x:c r="D6401" s="18" t="str">
        <x:v>Specification type: Ms880-shell light / Ms907-shell light</x:v>
      </x:c>
      <x:c r="E6401" s="25" t="str">
        <x:v>$1.23</x:v>
      </x:c>
      <x:c r="F6401" s="19" t="str">
        <x:v>1</x:v>
      </x:c>
    </x:row>
    <x:row r="6402" ht="93" customHeight="1">
      <x:c r="A6402" s="19" t="n">
        <x:v>6399</x:v>
      </x:c>
      <x:c r="B6402" s="22" t="e">
        <x:f>HYPERLINK("https://cdn.shopify.com/s/files/1/0918/6066/4603/files/O1CN01mC9cT61HlX1Qr3ejm__2545140798-0-cib.jpg?v=1776505244","Open")</x:f>
        <x:v>HYPERLINK is not implemented. linkLocation=https://cdn.shopify.com/s/files/1/0918/6066/4603/files/O1CN01mC9cT61HlX1Qr3ejm__2545140798-0-cib.jpg?v=1776505244, friendlyName=Open</x:v>
      </x:c>
      <x:c r="C6402" s="24" t="e">
        <x:f>HYPERLINK("https://365nails.com/products/365nails-holographic-gradient-lines-nail-art-stickers","365nails: ""Holographic Gradient Lines"" – nail art stickers")</x:f>
        <x:v>HYPERLINK is not implemented. linkLocation=https://365nails.com/products/365nails-holographic-gradient-lines-nail-art-stickers, friendlyName=365nails: "Holographic Gradient Lines" – nail art stickers</x:v>
      </x:c>
      <x:c r="D6402" s="18" t="str">
        <x:v>Specification type: To4083-laser powder / To4083-laser silver / To4083-ming zijin / To4083-mist blue gold / To4083-new hot stamping / To4083-silver</x:v>
      </x:c>
      <x:c r="E6402" s="25" t="str">
        <x:v>$1.23</x:v>
      </x:c>
      <x:c r="F6402" s="19" t="str">
        <x:v>5</x:v>
      </x:c>
    </x:row>
    <x:row r="6403" ht="93" customHeight="1">
      <x:c r="A6403" s="19" t="n">
        <x:v>6400</x:v>
      </x:c>
      <x:c r="B6403" s="22" t="e">
        <x:f>HYPERLINK("https://cdn.shopify.com/s/files/1/0918/6066/4603/files/O1CN01VU21rc1HlX4rWPwgA__2545140798-0-cib.jpg?v=1776524276","Open")</x:f>
        <x:v>HYPERLINK is not implemented. linkLocation=https://cdn.shopify.com/s/files/1/0918/6066/4603/files/O1CN01VU21rc1HlX4rWPwgA__2545140798-0-cib.jpg?v=1776524276, friendlyName=Open</x:v>
      </x:c>
      <x:c r="C6403" s="24" t="e">
        <x:f>HYPERLINK("https://365nails.com/products/365nails-lucky-red-auspicious-snake-nail-art-stickers","365nails: ""Lucky Red Auspicious Snake"" – nail art stickers")</x:f>
        <x:v>HYPERLINK is not implemented. linkLocation=https://365nails.com/products/365nails-lucky-red-auspicious-snake-nail-art-stickers, friendlyName=365nails: "Lucky Red Auspicious Snake" – nail art stickers</x:v>
      </x:c>
      <x:c r="D6403" s="18" t="str">
        <x:v>Specification type: To4754-relief</x:v>
      </x:c>
      <x:c r="E6403" s="25" t="str">
        <x:v>$1.23</x:v>
      </x:c>
      <x:c r="F6403" s="19" t="str">
        <x:v>5</x:v>
      </x:c>
    </x:row>
    <x:row r="6404" ht="93" customHeight="1">
      <x:c r="A6404" s="19" t="n">
        <x:v>6401</x:v>
      </x:c>
      <x:c r="B6404" s="22" t="e">
        <x:f>HYPERLINK("https://cdn.shopify.com/s/files/1/0918/6066/4603/files/O1CN01WXzoTD1HlX3TD33XZ__2545140798-0-cib.jpg?v=1776517288","Open")</x:f>
        <x:v>HYPERLINK is not implemented. linkLocation=https://cdn.shopify.com/s/files/1/0918/6066/4603/files/O1CN01WXzoTD1HlX3TD33XZ__2545140798-0-cib.jpg?v=1776517288, friendlyName=Open</x:v>
      </x:c>
      <x:c r="C6404" s="24" t="e">
        <x:f>HYPERLINK("https://365nails.com/products/365nails-watercolor-purple-butterfly-nail-art-stickers","365nails: ""Watercolor Purple Butterfly"" – nail art stickers")</x:f>
        <x:v>HYPERLINK is not implemented. linkLocation=https://365nails.com/products/365nails-watercolor-purple-butterfly-nail-art-stickers, friendlyName=365nails: "Watercolor Purple Butterfly" – nail art stickers</x:v>
      </x:c>
      <x:c r="D6404" s="18" t="str">
        <x:v>Specification type: To4498</x:v>
      </x:c>
      <x:c r="E6404" s="25" t="str">
        <x:v>$1.09</x:v>
      </x:c>
      <x:c r="F6404" s="19" t="str">
        <x:v>5</x:v>
      </x:c>
    </x:row>
    <x:row r="6405" ht="93" customHeight="1">
      <x:c r="A6405" s="19" t="n">
        <x:v>6402</x:v>
      </x:c>
      <x:c r="B6405" s="22" t="e">
        <x:f>HYPERLINK("https://cdn.shopify.com/s/files/1/0918/6066/4603/files/O1CN01Tg1TTw1HlX4zEpnzE__2545140798-0-cib.jpg?v=1776566076","Open")</x:f>
        <x:v>HYPERLINK is not implemented. linkLocation=https://cdn.shopify.com/s/files/1/0918/6066/4603/files/O1CN01Tg1TTw1HlX4zEpnzE__2545140798-0-cib.jpg?v=1776566076, friendlyName=Open</x:v>
      </x:c>
      <x:c r="C6405" s="24" t="e">
        <x:f>HYPERLINK("https://365nails.com/products/365nails-cute-god-of-wealth-fortune-nail-art-stickers","365nails: ""Cute God of Wealth Fortune"" – nail art stickers")</x:f>
        <x:v>HYPERLINK is not implemented. linkLocation=https://365nails.com/products/365nails-cute-god-of-wealth-fortune-nail-art-stickers, friendlyName=365nails: "Cute God of Wealth Fortune" – nail art stickers</x:v>
      </x:c>
      <x:c r="D6405" s="18" t="str">
        <x:v>Specification type: To4792</x:v>
      </x:c>
      <x:c r="E6405" s="25" t="str">
        <x:v>$1.09</x:v>
      </x:c>
      <x:c r="F6405" s="19" t="str">
        <x:v>5</x:v>
      </x:c>
    </x:row>
    <x:row r="6406" ht="93" customHeight="1">
      <x:c r="A6406" s="19" t="n">
        <x:v>6403</x:v>
      </x:c>
      <x:c r="B6406" s="22" t="e">
        <x:f>HYPERLINK("https://cdn.shopify.com/s/files/1/0918/6066/4603/files/O1CN01xEuRx91HlX17yoXiQ__2545140798-0-cib.jpg?v=1776499466","Open")</x:f>
        <x:v>HYPERLINK is not implemented. linkLocation=https://cdn.shopify.com/s/files/1/0918/6066/4603/files/O1CN01xEuRx91HlX17yoXiQ__2545140798-0-cib.jpg?v=1776499466, friendlyName=Open</x:v>
      </x:c>
      <x:c r="C6406" s="24" t="e">
        <x:f>HYPERLINK("https://365nails.com/products/365nails-gothic-doll-portrait-nail-art-stickers","365nails: ""Gothic Doll Portrait"" – nail art stickers")</x:f>
        <x:v>HYPERLINK is not implemented. linkLocation=https://365nails.com/products/365nails-gothic-doll-portrait-nail-art-stickers, friendlyName=365nails: "Gothic Doll Portrait" – nail art stickers</x:v>
      </x:c>
      <x:c r="D6406" s="18" t="str">
        <x:v>Specification type: To4031-crystal diamond</x:v>
      </x:c>
      <x:c r="E6406" s="25" t="str">
        <x:v>$1.30</x:v>
      </x:c>
      <x:c r="F6406" s="19" t="str">
        <x:v>5</x:v>
      </x:c>
    </x:row>
    <x:row r="6407" ht="93" customHeight="1">
      <x:c r="A6407" s="19" t="n">
        <x:v>6404</x:v>
      </x:c>
      <x:c r="B6407" s="22" t="e">
        <x:f>HYPERLINK("https://cdn.shopify.com/s/files/1/0918/6066/4603/files/25104d56d19c362943af9b05f81a3e4f.jpg?v=1777810053","Open")</x:f>
        <x:v>HYPERLINK is not implemented. linkLocation=https://cdn.shopify.com/s/files/1/0918/6066/4603/files/25104d56d19c362943af9b05f81a3e4f.jpg?v=1777810053, friendlyName=Open</x:v>
      </x:c>
      <x:c r="C6407" s="24" t="e">
        <x:f>HYPERLINK("https://365nails.com/products/365nails-sunny-peach-french-handmade-short-square-press-on-nails","365nails: ""Sunny Peach French"" – Handmade Short Square Press-On Nails")</x:f>
        <x:v>HYPERLINK is not implemented. linkLocation=https://365nails.com/products/365nails-sunny-peach-french-handmade-short-square-press-on-nails, friendlyName=365nails: "Sunny Peach French" – Handmade Short Square Press-On Nails</x:v>
      </x:c>
      <x:c r="D6407" s="18" t="str">
        <x:v>Size: XS / S / M / L</x:v>
      </x:c>
      <x:c r="E6407" s="25" t="str">
        <x:v>$2.50</x:v>
      </x:c>
      <x:c r="F6407" s="19" t="str">
        <x:v>5</x:v>
      </x:c>
    </x:row>
    <x:row r="6408" ht="93" customHeight="1">
      <x:c r="A6408" s="19" t="n">
        <x:v>6405</x:v>
      </x:c>
      <x:c r="B6408" s="22" t="e">
        <x:f>HYPERLINK("https://cdn.shopify.com/s/files/1/0918/6066/4603/files/O1CN01RXggDu1HlX4iWzKJZ__2545140798-0-cib.jpg?v=1776524353","Open")</x:f>
        <x:v>HYPERLINK is not implemented. linkLocation=https://cdn.shopify.com/s/files/1/0918/6066/4603/files/O1CN01RXggDu1HlX4iWzKJZ__2545140798-0-cib.jpg?v=1776524353, friendlyName=Open</x:v>
      </x:c>
      <x:c r="C6408" s="24" t="e">
        <x:f>HYPERLINK("https://365nails.com/products/365nails-holographic-dark-butterfly-nail-art-stickers","365nails: ""Holographic Dark Butterfly"" – nail art stickers")</x:f>
        <x:v>HYPERLINK is not implemented. linkLocation=https://365nails.com/products/365nails-holographic-dark-butterfly-nail-art-stickers, friendlyName=365nails: "Holographic Dark Butterfly" – nail art stickers</x:v>
      </x:c>
      <x:c r="D6408" s="18" t="str">
        <x:v>Specification type: To4061-relief</x:v>
      </x:c>
      <x:c r="E6408" s="25" t="str">
        <x:v>$1.23</x:v>
      </x:c>
      <x:c r="F6408" s="19" t="str">
        <x:v>5</x:v>
      </x:c>
    </x:row>
    <x:row r="6409" ht="93" customHeight="1">
      <x:c r="A6409" s="19" t="n">
        <x:v>6406</x:v>
      </x:c>
      <x:c r="B6409" s="22" t="e">
        <x:f>HYPERLINK("https://cdn.shopify.com/s/files/1/0918/6066/4603/files/O1CN01OqdcqU1HlX3E4GBXk__2545140798-0-cib.jpg?v=1776513597","Open")</x:f>
        <x:v>HYPERLINK is not implemented. linkLocation=https://cdn.shopify.com/s/files/1/0918/6066/4603/files/O1CN01OqdcqU1HlX3E4GBXk__2545140798-0-cib.jpg?v=1776513597, friendlyName=Open</x:v>
      </x:c>
      <x:c r="C6409" s="24" t="e">
        <x:f>HYPERLINK("https://365nails.com/products/365nails-cute-christmas-icons-nail-art-stickers","365nails: ""Cute Christmas Icons"" – nail art stickers")</x:f>
        <x:v>HYPERLINK is not implemented. linkLocation=https://365nails.com/products/365nails-cute-christmas-icons-nail-art-stickers, friendlyName=365nails: "Cute Christmas Icons" – nail art stickers</x:v>
      </x:c>
      <x:c r="D6409" s="18" t="str">
        <x:v>Specification type: To4455-crystal diamond</x:v>
      </x:c>
      <x:c r="E6409" s="25" t="str">
        <x:v>$1.30</x:v>
      </x:c>
      <x:c r="F6409" s="19" t="str">
        <x:v>5</x:v>
      </x:c>
    </x:row>
    <x:row r="6410" ht="93" customHeight="1">
      <x:c r="A6410" s="19" t="n">
        <x:v>6407</x:v>
      </x:c>
      <x:c r="B6410" s="22" t="e">
        <x:f>HYPERLINK("https://cdn.shopify.com/s/files/1/0918/6066/4603/files/O1CN01bIvWfl1HlX0NjD73M__2545140798-0-cib.jpg?v=1772631256","Open")</x:f>
        <x:v>HYPERLINK is not implemented. linkLocation=https://cdn.shopify.com/s/files/1/0918/6066/4603/files/O1CN01bIvWfl1HlX0NjD73M__2545140798-0-cib.jpg?v=1772631256, friendlyName=Open</x:v>
      </x:c>
      <x:c r="C6410" s="24" t="e">
        <x:f>HYPERLINK("https://365nails.com/products/holographic-starburst-nail-stickers-3d-rhinestone-celestial-set","Holographic Starburst Nail Stickers – 3D Rhinestone Celestial Set")</x:f>
        <x:v>HYPERLINK is not implemented. linkLocation=https://365nails.com/products/holographic-starburst-nail-stickers-3d-rhinestone-celestial-set, friendlyName=Holographic Starburst Nail Stickers – 3D Rhinestone Celestial Set</x:v>
      </x:c>
      <x:c r="D6410" s="18" t="str">
        <x:v>Specification type: To3893-crystal diamond / To3894-laser pink crystal diamond / To3894-laser silver crystal diamond / To3894-new hot stamping crystal diamond / To3894-silver crystal diamond</x:v>
      </x:c>
      <x:c r="E6410" s="25" t="str">
        <x:v>$1.23</x:v>
      </x:c>
      <x:c r="F6410" s="19" t="str">
        <x:v>5</x:v>
      </x:c>
    </x:row>
    <x:row r="6411" ht="93" customHeight="1">
      <x:c r="A6411" s="19" t="n">
        <x:v>6408</x:v>
      </x:c>
      <x:c r="B6411" s="22" t="e">
        <x:f>HYPERLINK("https://cdn.shopify.com/s/files/1/0918/6066/4603/files/O1CN01W6NViV1HlX3V7ugx8__2545140798-0-cib.jpg?v=1776517770","Open")</x:f>
        <x:v>HYPERLINK is not implemented. linkLocation=https://cdn.shopify.com/s/files/1/0918/6066/4603/files/O1CN01W6NViV1HlX3V7ugx8__2545140798-0-cib.jpg?v=1776517770, friendlyName=Open</x:v>
      </x:c>
      <x:c r="C6411" s="24" t="e">
        <x:f>HYPERLINK("https://365nails.com/products/365nails-christmas-teddy-bear-nail-art-stickers","365nails: ""Christmas Teddy Bear"" – nail art stickers")</x:f>
        <x:v>HYPERLINK is not implemented. linkLocation=https://365nails.com/products/365nails-christmas-teddy-bear-nail-art-stickers, friendlyName=365nails: "Christmas Teddy Bear" – nail art stickers</x:v>
      </x:c>
      <x:c r="D6411" s="18" t="str">
        <x:v>Specification type: To3568 / To4262</x:v>
      </x:c>
      <x:c r="E6411" s="25" t="str">
        <x:v>$1.09</x:v>
      </x:c>
      <x:c r="F6411" s="19" t="str">
        <x:v>5</x:v>
      </x:c>
    </x:row>
    <x:row r="6412" ht="93" customHeight="1">
      <x:c r="A6412" s="19" t="n">
        <x:v>6409</x:v>
      </x:c>
      <x:c r="B6412" s="22" t="e">
        <x:f>HYPERLINK("https://cdn.shopify.com/s/files/1/0918/6066/4603/files/587a547fe70a60c8ebc17f1a71f61922.jpg?v=1777810011","Open")</x:f>
        <x:v>HYPERLINK is not implemented. linkLocation=https://cdn.shopify.com/s/files/1/0918/6066/4603/files/587a547fe70a60c8ebc17f1a71f61922.jpg?v=1777810011, friendlyName=Open</x:v>
      </x:c>
      <x:c r="C6412" s="24" t="e">
        <x:f>HYPERLINK("https://365nails.com/products/365nails-aurora-pink-heart-3d-heart-handmade-coffin-press-on-nails","365nails: ""Aurora Pink Heart"" – 3D Heart Handmade Coffin Press-On Nails")</x:f>
        <x:v>HYPERLINK is not implemented. linkLocation=https://365nails.com/products/365nails-aurora-pink-heart-3d-heart-handmade-coffin-press-on-nails, friendlyName=365nails: "Aurora Pink Heart" – 3D Heart Handmade Coffin Press-On Nails</x:v>
      </x:c>
      <x:c r="D6412" s="18" t="str">
        <x:v>Size: XS / S / M / L</x:v>
      </x:c>
      <x:c r="E6412" s="25" t="str">
        <x:v>$2.50</x:v>
      </x:c>
      <x:c r="F6412" s="19" t="str">
        <x:v>5</x:v>
      </x:c>
    </x:row>
    <x:row r="6413" ht="93" customHeight="1">
      <x:c r="A6413" s="19" t="n">
        <x:v>6410</x:v>
      </x:c>
      <x:c r="B6413" s="22" t="e">
        <x:f>HYPERLINK("https://cdn.shopify.com/s/files/1/0918/6066/4603/files/O1CN01QvcWdn2MQzfVEhrSN__2219089449823-0-cib.jpg?v=1774520994","Open")</x:f>
        <x:v>HYPERLINK is not implemented. linkLocation=https://cdn.shopify.com/s/files/1/0918/6066/4603/files/O1CN01QvcWdn2MQzfVEhrSN__2219089449823-0-cib.jpg?v=1774520994, friendlyName=Open</x:v>
      </x:c>
      <x:c r="C6413" s="24" t="e">
        <x:f>HYPERLINK("https://365nails.com/products/ocean-breeze-azure-bloom-almond-shape-press-on-nails","Ocean Breeze: ""Azure Bloom"" – Almond Shape Press-On Nails")</x:f>
        <x:v>HYPERLINK is not implemented. linkLocation=https://365nails.com/products/ocean-breeze-azure-bloom-almond-shape-press-on-nails, friendlyName=Ocean Breeze: "Azure Bloom" – Almond Shape Press-On Nails</x:v>
      </x:c>
      <x:c r="D6413" s="18" t="str">
        <x:v>Color: D613; Color classification: Xs / S / M / L</x:v>
      </x:c>
      <x:c r="E6413" s="25" t="str">
        <x:v>$4.99</x:v>
      </x:c>
      <x:c r="F6413" s="19" t="str">
        <x:v>1</x:v>
      </x:c>
    </x:row>
    <x:row r="6414" ht="93" customHeight="1">
      <x:c r="A6414" s="19" t="n">
        <x:v>6411</x:v>
      </x:c>
      <x:c r="B6414" s="22" t="e">
        <x:f>HYPERLINK("https://cdn.shopify.com/s/files/1/0918/6066/4603/files/O1CN01r3WHnx1HlX37lipvq__2545140798-0-cib.jpg?v=1776517512","Open")</x:f>
        <x:v>HYPERLINK is not implemented. linkLocation=https://cdn.shopify.com/s/files/1/0918/6066/4603/files/O1CN01r3WHnx1HlX37lipvq__2545140798-0-cib.jpg?v=1776517512, friendlyName=Open</x:v>
      </x:c>
      <x:c r="C6414" s="24" t="e">
        <x:f>HYPERLINK("https://365nails.com/products/365nails-metallic-jelly-butterfly-nail-art-stickers","365nails: ""Metallic Jelly Butterfly"" – nail art stickers")</x:f>
        <x:v>HYPERLINK is not implemented. linkLocation=https://365nails.com/products/365nails-metallic-jelly-butterfly-nail-art-stickers, friendlyName=365nails: "Metallic Jelly Butterfly" – nail art stickers</x:v>
      </x:c>
      <x:c r="D6414" s="18" t="str">
        <x:v>Specification type: Ms682-jelly</x:v>
      </x:c>
      <x:c r="E6414" s="25" t="str">
        <x:v>$1.23</x:v>
      </x:c>
      <x:c r="F6414" s="19" t="str">
        <x:v>5</x:v>
      </x:c>
    </x:row>
    <x:row r="6415" ht="93" customHeight="1">
      <x:c r="A6415" s="19" t="n">
        <x:v>6412</x:v>
      </x:c>
      <x:c r="B6415" s="22" t="e">
        <x:f>HYPERLINK("https://cdn.shopify.com/s/files/1/0918/6066/4603/files/1ff1aae4118eed492609e664a62f5766.jpg?v=1773478330","Open")</x:f>
        <x:v>HYPERLINK is not implemented. linkLocation=https://cdn.shopify.com/s/files/1/0918/6066/4603/files/1ff1aae4118eed492609e664a62f5766.jpg?v=1773478330, friendlyName=Open</x:v>
      </x:c>
      <x:c r="C6415" s="24" t="e">
        <x:f>HYPERLINK("https://365nails.com/products/macaron-five-petal-flower-collection-pastel-flower-bloom-3d-embossed-nail-sticker-1","Macaron Five-Petal Flower Collection: ""Pastel Flower Bloom"" – 3D Embossed Nail Sticker")</x:f>
        <x:v>HYPERLINK is not implemented. linkLocation=https://365nails.com/products/macaron-five-petal-flower-collection-pastel-flower-bloom-3d-embossed-nail-sticker-1, friendlyName=Macaron Five-Petal Flower Collection: "Pastel Flower Bloom" – 3D Embossed Nail Sticker</x:v>
      </x:c>
      <x:c r="D6415" s="18" t="str">
        <x:v>Specification type: To3695-crystal diamond / To3696-laser pink crystal diamond / To3696-laser silver crystal diamond / To3696-new hot stamping crystal diamond / To3696-silver crystal diamond</x:v>
      </x:c>
      <x:c r="E6415" s="25" t="str">
        <x:v>$1.30</x:v>
      </x:c>
      <x:c r="F6415" s="19" t="str">
        <x:v>5</x:v>
      </x:c>
    </x:row>
    <x:row r="6416" ht="93" customHeight="1">
      <x:c r="A6416" s="19" t="n">
        <x:v>6413</x:v>
      </x:c>
      <x:c r="B6416" s="22" t="e">
        <x:f>HYPERLINK("https://cdn.shopify.com/s/files/1/0918/6066/4603/files/9bbedc7dd41cfab48ac89863245042f7.jpg?v=1773478090","Open")</x:f>
        <x:v>HYPERLINK is not implemented. linkLocation=https://cdn.shopify.com/s/files/1/0918/6066/4603/files/9bbedc7dd41cfab48ac89863245042f7.jpg?v=1773478090, friendlyName=Open</x:v>
      </x:c>
      <x:c r="C6416" s="24" t="e">
        <x:f>HYPERLINK("https://365nails.com/products/macaron-five-petal-flower-collection-pastel-flower-bloom-3d-embossed-nail-sticker","Macaron Five-Petal Flower Collection: ""Pastel Flower Bloom"" – 3D Embossed Nail Sticker")</x:f>
        <x:v>HYPERLINK is not implemented. linkLocation=https://365nails.com/products/macaron-five-petal-flower-collection-pastel-flower-bloom-3d-embossed-nail-sticker, friendlyName=Macaron Five-Petal Flower Collection: "Pastel Flower Bloom" – 3D Embossed Nail Sticker</x:v>
      </x:c>
      <x:c r="D6416" s="18" t="str">
        <x:v>Specification type: To5015-shell light</x:v>
      </x:c>
      <x:c r="E6416" s="25" t="str">
        <x:v>$1.23</x:v>
      </x:c>
      <x:c r="F6416" s="19" t="str">
        <x:v>5</x:v>
      </x:c>
    </x:row>
    <x:row r="6417" ht="93" customHeight="1">
      <x:c r="A6417" s="19" t="n">
        <x:v>6414</x:v>
      </x:c>
      <x:c r="B6417" s="22" t="e">
        <x:f>HYPERLINK("https://cdn.shopify.com/s/files/1/0918/6066/4603/files/171b0fc9a6efa18273433b32076ce26b.jpg?v=1777809981","Open")</x:f>
        <x:v>HYPERLINK is not implemented. linkLocation=https://cdn.shopify.com/s/files/1/0918/6066/4603/files/171b0fc9a6efa18273433b32076ce26b.jpg?v=1777809981, friendlyName=Open</x:v>
      </x:c>
      <x:c r="C6417" s="24" t="e">
        <x:f>HYPERLINK("https://365nails.com/products/365nails-cow-print-french-handmade-short-square-press-on-nails","365nails: ""Cow Print French"" – Handmade Short Square Press-On Nails")</x:f>
        <x:v>HYPERLINK is not implemented. linkLocation=https://365nails.com/products/365nails-cow-print-french-handmade-short-square-press-on-nails, friendlyName=365nails: "Cow Print French" – Handmade Short Square Press-On Nails</x:v>
      </x:c>
      <x:c r="D6417" s="18" t="str">
        <x:v>Size: XS / S / M / L</x:v>
      </x:c>
      <x:c r="E6417" s="25" t="str">
        <x:v>$2.50</x:v>
      </x:c>
      <x:c r="F6417" s="19" t="str">
        <x:v>5</x:v>
      </x:c>
    </x:row>
    <x:row r="6418" ht="93" customHeight="1">
      <x:c r="A6418" s="19" t="n">
        <x:v>6415</x:v>
      </x:c>
      <x:c r="B6418" s="22" t="e">
        <x:f>HYPERLINK("https://cdn.shopify.com/s/files/1/0918/6066/4603/files/5af9e064ba5d34dffeb30efcc1f6eff9.jpg?v=1773478577","Open")</x:f>
        <x:v>HYPERLINK is not implemented. linkLocation=https://cdn.shopify.com/s/files/1/0918/6066/4603/files/5af9e064ba5d34dffeb30efcc1f6eff9.jpg?v=1773478577, friendlyName=Open</x:v>
      </x:c>
      <x:c r="C6418" s="24" t="e">
        <x:f>HYPERLINK("https://365nails.com/products/intage-cursive-english-collection-vintage-love-letter-3d-embossed-nail-sticker","intage Cursive English Collection: ""Vintage Love Letter"" – 3D Embossed Nail Sticker")</x:f>
        <x:v>HYPERLINK is not implemented. linkLocation=https://365nails.com/products/intage-cursive-english-collection-vintage-love-letter-3d-embossed-nail-sticker, friendlyName=intage Cursive English Collection: "Vintage Love Letter" – 3D Embossed Nail Sticker</x:v>
      </x:c>
      <x:c r="D6418" s="18" t="str">
        <x:v>Specification type: To5577 / To5578</x:v>
      </x:c>
      <x:c r="E6418" s="25" t="str">
        <x:v>$1.00</x:v>
      </x:c>
      <x:c r="F6418" s="19" t="str">
        <x:v>5</x:v>
      </x:c>
    </x:row>
    <x:row r="6419" ht="93" customHeight="1">
      <x:c r="A6419" s="19" t="n">
        <x:v>6416</x:v>
      </x:c>
      <x:c r="B6419" s="22" t="e">
        <x:f>HYPERLINK("https://cdn.shopify.com/s/files/1/0918/6066/4603/files/O1CN01ztYFOd1HlX3BYlSdJ__2545140798-0-cib.jpg?v=1776517687","Open")</x:f>
        <x:v>HYPERLINK is not implemented. linkLocation=https://cdn.shopify.com/s/files/1/0918/6066/4603/files/O1CN01ztYFOd1HlX3BYlSdJ__2545140798-0-cib.jpg?v=1776517687, friendlyName=Open</x:v>
      </x:c>
      <x:c r="C6419" s="24" t="e">
        <x:f>HYPERLINK("https://365nails.com/products/365nails-crystal-champagne-butterfly-nail-art-stickers","365nails: ""Crystal Champagne Butterfly"" – nail art stickers")</x:f>
        <x:v>HYPERLINK is not implemented. linkLocation=https://365nails.com/products/365nails-crystal-champagne-butterfly-nail-art-stickers, friendlyName=365nails: "Crystal Champagne Butterfly" – nail art stickers</x:v>
      </x:c>
      <x:c r="D6419" s="18" t="str">
        <x:v>Specification type: Ms694-crystal diamond</x:v>
      </x:c>
      <x:c r="E6419" s="25" t="str">
        <x:v>$1.30</x:v>
      </x:c>
      <x:c r="F6419" s="19" t="str">
        <x:v>5</x:v>
      </x:c>
    </x:row>
    <x:row r="6420" ht="93" customHeight="1">
      <x:c r="A6420" s="19" t="n">
        <x:v>6417</x:v>
      </x:c>
      <x:c r="B6420" s="22" t="e">
        <x:f>HYPERLINK("https://cdn.shopify.com/s/files/1/0918/6066/4603/files/O1CN01UdaH4M1HlWy4lUgkT__2545140798-0-cib.jpg?v=1773493700","Open")</x:f>
        <x:v>HYPERLINK is not implemented. linkLocation=https://cdn.shopify.com/s/files/1/0918/6066/4603/files/O1CN01UdaH4M1HlWy4lUgkT__2545140798-0-cib.jpg?v=1773493700, friendlyName=Open</x:v>
      </x:c>
      <x:c r="C6420" s="24" t="e">
        <x:f>HYPERLINK("https://365nails.com/products/french-smile-line-sticker-collection-french-manicure-guide-nail-art-guide-sticker","French Smile Line Sticker Collection: ""French Manicure Guide"" – Nail Art Guide Sticker")</x:f>
        <x:v>HYPERLINK is not implemented. linkLocation=https://365nails.com/products/french-smile-line-sticker-collection-french-manicure-guide-nail-art-guide-sticker, friendlyName=French Smile Line Sticker Collection: "French Manicure Guide" – Nail Art Guide Sticker</x:v>
      </x:c>
      <x:c r="D6420" s="18" t="str">
        <x:v>Specification type: P–001 / P–002 / P–003 / P–004 / P–005 / P–006 / P–007 / P–008 / P–009 / P–010 / P–011</x:v>
      </x:c>
      <x:c r="E6420" s="25" t="str">
        <x:v>$1.11</x:v>
      </x:c>
      <x:c r="F6420" s="19" t="str">
        <x:v>5</x:v>
      </x:c>
    </x:row>
    <x:row r="6421" ht="93" customHeight="1">
      <x:c r="A6421" s="19" t="n">
        <x:v>6418</x:v>
      </x:c>
      <x:c r="B6421" s="22" t="e">
        <x:f>HYPERLINK("https://cdn.shopify.com/s/files/1/0918/6066/4603/files/O1CN01KsY1S11HlX6EYHGKa__2545140798-0-cib.jpg?v=1773474023","Open")</x:f>
        <x:v>HYPERLINK is not implemented. linkLocation=https://cdn.shopify.com/s/files/1/0918/6066/4603/files/O1CN01KsY1S11HlX6EYHGKa__2545140798-0-cib.jpg?v=1773474023, friendlyName=Open</x:v>
      </x:c>
      <x:c r="C6421" s="24" t="e">
        <x:f>HYPERLINK("https://365nails.com/products/sweet-plaid-heart-collection-kawaii-plaid-heart-3d-embossed-nail-sticker","Sweet Plaid Heart Collection: ""Kawaii Plaid &amp; Heart"" – 3D Embossed Nail Sticker")</x:f>
        <x:v>HYPERLINK is not implemented. linkLocation=https://365nails.com/products/sweet-plaid-heart-collection-kawaii-plaid-heart-3d-embossed-nail-sticker, friendlyName=Sweet Plaid Heart Collection: "Kawaii Plaid &amp; Heart" – 3D Embossed Nail Sticker</x:v>
      </x:c>
      <x:c r="D6421" s="18" t="str">
        <x:v>Specification type: To4981 / To4983</x:v>
      </x:c>
      <x:c r="E6421" s="25" t="str">
        <x:v>$1.09</x:v>
      </x:c>
      <x:c r="F6421" s="19" t="str">
        <x:v>5</x:v>
      </x:c>
    </x:row>
    <x:row r="6422" ht="93" customHeight="1">
      <x:c r="A6422" s="19" t="n">
        <x:v>6419</x:v>
      </x:c>
      <x:c r="B6422" s="22" t="e">
        <x:f>HYPERLINK("https://cdn.shopify.com/s/files/1/0918/6066/4603/files/2a8f663a3a67ba6ccc89738231ecfe58.jpg?v=1777809841","Open")</x:f>
        <x:v>HYPERLINK is not implemented. linkLocation=https://cdn.shopify.com/s/files/1/0918/6066/4603/files/2a8f663a3a67ba6ccc89738231ecfe58.jpg?v=1777809841, friendlyName=Open</x:v>
      </x:c>
      <x:c r="C6422" s="24" t="e">
        <x:f>HYPERLINK("https://365nails.com/products/365nails-golden-edge-french-handmade-short-oval-press-on-nails","365nails: ""Golden Edge French"" – Handmade Short Oval Press-On Nails")</x:f>
        <x:v>HYPERLINK is not implemented. linkLocation=https://365nails.com/products/365nails-golden-edge-french-handmade-short-oval-press-on-nails, friendlyName=365nails: "Golden Edge French" – Handmade Short Oval Press-On Nails</x:v>
      </x:c>
      <x:c r="D6422" s="18" t="str">
        <x:v>Size: XS / S / M / L</x:v>
      </x:c>
      <x:c r="E6422" s="25" t="str">
        <x:v>$2.50</x:v>
      </x:c>
      <x:c r="F6422" s="19" t="str">
        <x:v>5</x:v>
      </x:c>
    </x:row>
    <x:row r="6423" ht="93" customHeight="1">
      <x:c r="A6423" s="19" t="n">
        <x:v>6420</x:v>
      </x:c>
      <x:c r="B6423" s="22" t="e">
        <x:f>HYPERLINK("https://cdn.shopify.com/s/files/1/0918/6066/4603/files/0a1d8d6633eff883c6532df03f53606d.jpg?v=1777809942","Open")</x:f>
        <x:v>HYPERLINK is not implemented. linkLocation=https://cdn.shopify.com/s/files/1/0918/6066/4603/files/0a1d8d6633eff883c6532df03f53606d.jpg?v=1777809942, friendlyName=Open</x:v>
      </x:c>
      <x:c r="C6423" s="24" t="e">
        <x:f>HYPERLINK("https://365nails.com/products/365nails-sakura-cherry-blossom-handmade-short-oval-press-on-nails","365nails: ""Sakura Cherry Blossom"" – Handmade Short Oval Press-On Nails")</x:f>
        <x:v>HYPERLINK is not implemented. linkLocation=https://365nails.com/products/365nails-sakura-cherry-blossom-handmade-short-oval-press-on-nails, friendlyName=365nails: "Sakura Cherry Blossom" – Handmade Short Oval Press-On Nails</x:v>
      </x:c>
      <x:c r="D6423" s="18" t="str">
        <x:v>Size: XS / S / M / L</x:v>
      </x:c>
      <x:c r="E6423" s="25" t="str">
        <x:v>$2.50</x:v>
      </x:c>
      <x:c r="F6423" s="19" t="str">
        <x:v>5</x:v>
      </x:c>
    </x:row>
    <x:row r="6424" ht="93" customHeight="1">
      <x:c r="A6424" s="19" t="n">
        <x:v>6421</x:v>
      </x:c>
      <x:c r="B6424" s="22" t="e">
        <x:f>HYPERLINK("https://cdn.shopify.com/s/files/1/0918/6066/4603/files/O1CN01IYKR9g1HlWwncOPbj__2545140798-0-cib.jpg?v=1773747937","Open")</x:f>
        <x:v>HYPERLINK is not implemented. linkLocation=https://cdn.shopify.com/s/files/1/0918/6066/4603/files/O1CN01IYKR9g1HlWwncOPbj__2545140798-0-cib.jpg?v=1773747937, friendlyName=Open</x:v>
      </x:c>
      <x:c r="C6424" s="24" t="e">
        <x:f>HYPERLINK("https://365nails.com/products/loose-leaf-sticker-storage-book-sticker-collection-organizer","Loose-Leaf Sticker Storage Book: ""Sticker Collection Organizer""")</x:f>
        <x:v>HYPERLINK is not implemented. linkLocation=https://365nails.com/products/loose-leaf-sticker-storage-book-sticker-collection-organizer, friendlyName=Loose-Leaf Sticker Storage Book: "Sticker Collection Organizer"</x:v>
      </x:c>
      <x:c r="D6424" s="18" t="str">
        <x:v>Color classification: Inner pages</x:v>
      </x:c>
      <x:c r="E6424" s="25" t="str">
        <x:v>$2.90</x:v>
      </x:c>
      <x:c r="F6424" s="19" t="str">
        <x:v>1</x:v>
      </x:c>
    </x:row>
    <x:row r="6425" ht="93" customHeight="1">
      <x:c r="A6425" s="19" t="n">
        <x:v>6422</x:v>
      </x:c>
      <x:c r="B6425" s="22" t="e">
        <x:f>HYPERLINK("https://cdn.shopify.com/s/files/1/0918/6066/4603/files/O1CN01SajBl91HlX94lcN2W__2545140798-0-cib.jpg?v=1773494241","Open")</x:f>
        <x:v>HYPERLINK is not implemented. linkLocation=https://cdn.shopify.com/s/files/1/0918/6066/4603/files/O1CN01SajBl91HlX94lcN2W__2545140798-0-cib.jpg?v=1773494241, friendlyName=Open</x:v>
      </x:c>
      <x:c r="C6425" s="24" t="e">
        <x:f>HYPERLINK("https://365nails.com/products/goldfish-collection-white-koi-3d-embossed-nail-sticker","Goldfish Collection: ""White Koi"" – 3D Embossed Nail Sticker")</x:f>
        <x:v>HYPERLINK is not implemented. linkLocation=https://365nails.com/products/goldfish-collection-white-koi-3d-embossed-nail-sticker, friendlyName=Goldfish Collection: "White Koi" – 3D Embossed Nail Sticker</x:v>
      </x:c>
      <x:c r="D6425" s="18" t="str">
        <x:v>Specification type: To5293 / To5294 / To5295</x:v>
      </x:c>
      <x:c r="E6425" s="25" t="str">
        <x:v>$1.00</x:v>
      </x:c>
      <x:c r="F6425" s="19" t="str">
        <x:v>5</x:v>
      </x:c>
    </x:row>
    <x:row r="6426" ht="93" customHeight="1">
      <x:c r="A6426" s="19" t="n">
        <x:v>6423</x:v>
      </x:c>
      <x:c r="B6426" s="22" t="e">
        <x:f>HYPERLINK("https://cdn.shopify.com/s/files/1/0918/6066/4603/files/3c95c2ef1c6cfe88c20dfc0556b9afb1.jpg?v=1773473817","Open")</x:f>
        <x:v>HYPERLINK is not implemented. linkLocation=https://cdn.shopify.com/s/files/1/0918/6066/4603/files/3c95c2ef1c6cfe88c20dfc0556b9afb1.jpg?v=1773473817, friendlyName=Open</x:v>
      </x:c>
      <x:c r="C6426" s="24" t="e">
        <x:f>HYPERLINK("https://365nails.com/products/crystal-pearl-chain-collection-elegant-pearl-smile-line-3d-embossed-nail-sticker","Crystal Pearl Chain Collection: ""Elegant Pearl Smile Line"" – 3D Embossed Nail Sticker")</x:f>
        <x:v>HYPERLINK is not implemented. linkLocation=https://365nails.com/products/crystal-pearl-chain-collection-elegant-pearl-smile-line-3d-embossed-nail-sticker, friendlyName=Crystal Pearl Chain Collection: "Elegant Pearl Smile Line" – 3D Embossed Nail Sticker</x:v>
      </x:c>
      <x:c r="D6426" s="18" t="str">
        <x:v>Specification type: To2978-2-crystal diamond</x:v>
      </x:c>
      <x:c r="E6426" s="25" t="str">
        <x:v>$1.30</x:v>
      </x:c>
      <x:c r="F6426" s="19" t="str">
        <x:v>5</x:v>
      </x:c>
    </x:row>
    <x:row r="6427" ht="93" customHeight="1">
      <x:c r="A6427" s="19" t="n">
        <x:v>6424</x:v>
      </x:c>
      <x:c r="B6427" s="22" t="e">
        <x:f>HYPERLINK("https://cdn.shopify.com/s/files/1/0918/6066/4603/files/5e198ea8c49b88aec22566497f1a94dc.jpg?v=1777809892","Open")</x:f>
        <x:v>HYPERLINK is not implemented. linkLocation=https://cdn.shopify.com/s/files/1/0918/6066/4603/files/5e198ea8c49b88aec22566497f1a94dc.jpg?v=1777809892, friendlyName=Open</x:v>
      </x:c>
      <x:c r="C6427" s="24" t="e">
        <x:f>HYPERLINK("https://365nails.com/products/365nails-champagne-aurora-handmade-short-square-press-on-nails","365nails: ""Champagne Aurora"" – Handmade Short Square Press-On Nails")</x:f>
        <x:v>HYPERLINK is not implemented. linkLocation=https://365nails.com/products/365nails-champagne-aurora-handmade-short-square-press-on-nails, friendlyName=365nails: "Champagne Aurora" – Handmade Short Square Press-On Nails</x:v>
      </x:c>
      <x:c r="D6427" s="18" t="str">
        <x:v>Size: XS / S / M / L</x:v>
      </x:c>
      <x:c r="E6427" s="25" t="str">
        <x:v>$2.50</x:v>
      </x:c>
      <x:c r="F6427" s="19" t="str">
        <x:v>5</x:v>
      </x:c>
    </x:row>
    <x:row r="6428" ht="93" customHeight="1">
      <x:c r="A6428" s="19" t="n">
        <x:v>6425</x:v>
      </x:c>
      <x:c r="B6428" s="22" t="e">
        <x:f>HYPERLINK("https://cdn.shopify.com/s/files/1/0918/6066/4603/files/a10ff5df8ad8e0113cdba545d5e27147.jpg?v=1777809694","Open")</x:f>
        <x:v>HYPERLINK is not implemented. linkLocation=https://cdn.shopify.com/s/files/1/0918/6066/4603/files/a10ff5df8ad8e0113cdba545d5e27147.jpg?v=1777809694, friendlyName=Open</x:v>
      </x:c>
      <x:c r="C6428" s="24" t="e">
        <x:f>HYPERLINK("https://365nails.com/products/365nails-dual-tone-bow-french-3d-bow-handmade-medium-stiletto-press-on-nails","365nails: ""Dual Tone Bow French"" – 3D Bow Handmade Medium Stiletto Press-On Nails")</x:f>
        <x:v>HYPERLINK is not implemented. linkLocation=https://365nails.com/products/365nails-dual-tone-bow-french-3d-bow-handmade-medium-stiletto-press-on-nails, friendlyName=365nails: "Dual Tone Bow French" – 3D Bow Handmade Medium Stiletto Press-On Nails</x:v>
      </x:c>
      <x:c r="D6428" s="18" t="str">
        <x:v>Size: XS / S / M / L</x:v>
      </x:c>
      <x:c r="E6428" s="25" t="str">
        <x:v>$2.99</x:v>
      </x:c>
      <x:c r="F6428" s="19" t="str">
        <x:v>5</x:v>
      </x:c>
    </x:row>
    <x:row r="6429" ht="93" customHeight="1">
      <x:c r="A6429" s="19" t="n">
        <x:v>6426</x:v>
      </x:c>
      <x:c r="B6429" s="22" t="e">
        <x:f>HYPERLINK("https://cdn.shopify.com/s/files/1/0918/6066/4603/files/8ef744e1b9c6da47bd9d37e4a772ba85.jpg?v=1773476729","Open")</x:f>
        <x:v>HYPERLINK is not implemented. linkLocation=https://cdn.shopify.com/s/files/1/0918/6066/4603/files/8ef744e1b9c6da47bd9d37e4a772ba85.jpg?v=1773476729, friendlyName=Open</x:v>
      </x:c>
      <x:c r="C6429" s="24" t="e">
        <x:f>HYPERLINK("https://365nails.com/products/crystal-diamond-lace-heart-collection-elegant-crystal-heart-3d-embossed-nail-sticker","Crystal Diamond Lace Heart Collection: ""Elegant Crystal Heart"" – 3D Embossed Nail Sticker")</x:f>
        <x:v>HYPERLINK is not implemented. linkLocation=https://365nails.com/products/crystal-diamond-lace-heart-collection-elegant-crystal-heart-3d-embossed-nail-sticker, friendlyName=Crystal Diamond Lace Heart Collection: "Elegant Crystal Heart" – 3D Embossed Nail Sticker</x:v>
      </x:c>
      <x:c r="D6429" s="18" t="str">
        <x:v>Specification type: To4488-crystal diamond / To4489-crystal diamond</x:v>
      </x:c>
      <x:c r="E6429" s="25" t="str">
        <x:v>$1.30</x:v>
      </x:c>
      <x:c r="F6429" s="19" t="str">
        <x:v>5</x:v>
      </x:c>
    </x:row>
    <x:row r="6430" ht="93" customHeight="1">
      <x:c r="A6430" s="19" t="n">
        <x:v>6427</x:v>
      </x:c>
      <x:c r="B6430" s="22" t="e">
        <x:f>HYPERLINK("https://cdn.shopify.com/s/files/1/0918/6066/4603/files/5a8f667dcd3f0c43a1dec12a96d524e6.jpg?v=1772800274","Open")</x:f>
        <x:v>HYPERLINK is not implemented. linkLocation=https://cdn.shopify.com/s/files/1/0918/6066/4603/files/5a8f667dcd3f0c43a1dec12a96d524e6.jpg?v=1772800274, friendlyName=Open</x:v>
      </x:c>
      <x:c r="C6430" s="24" t="e">
        <x:f>HYPERLINK("https://365nails.com/products/white-lace-rose-nail-stickers-5d-embossed-bridal-set","White Lace &amp; Rose Nail Stickers – 5D Embossed Bridal Set")</x:f>
        <x:v>HYPERLINK is not implemented. linkLocation=https://365nails.com/products/white-lace-rose-nail-stickers-5d-embossed-bridal-set, friendlyName=White Lace &amp; Rose Nail Stickers – 5D Embossed Bridal Set</x:v>
      </x:c>
      <x:c r="D6430" s="18" t="str">
        <x:v>Specification type: To3559 / To3560 / To3491</x:v>
      </x:c>
      <x:c r="E6430" s="25" t="str">
        <x:v>$1.09</x:v>
      </x:c>
      <x:c r="F6430" s="19" t="str">
        <x:v>5</x:v>
      </x:c>
    </x:row>
    <x:row r="6431" ht="93" customHeight="1">
      <x:c r="A6431" s="19" t="n">
        <x:v>6428</x:v>
      </x:c>
      <x:c r="B6431" s="22" t="e">
        <x:f>HYPERLINK("https://cdn.shopify.com/s/files/1/0918/6066/4603/files/O1CN014RAwnq1HlWwPqB4QD__2545140798-0-cib.jpg?v=1773463311","Open")</x:f>
        <x:v>HYPERLINK is not implemented. linkLocation=https://cdn.shopify.com/s/files/1/0918/6066/4603/files/O1CN014RAwnq1HlWwPqB4QD__2545140798-0-cib.jpg?v=1773463311, friendlyName=Open</x:v>
      </x:c>
      <x:c r="C6431" s="24" t="e">
        <x:f>HYPERLINK("https://365nails.com/products/dripping-heart-collection-silver-dripping-heart-moon-3d-embossed-nail-sticker","Dripping Heart Collection: ""Silver Dripping Heart &amp; Moon"" – 3D Embossed Nail Sticker")</x:f>
        <x:v>HYPERLINK is not implemented. linkLocation=https://365nails.com/products/dripping-heart-collection-silver-dripping-heart-moon-3d-embossed-nail-sticker, friendlyName=Dripping Heart Collection: "Silver Dripping Heart &amp; Moon" – 3D Embossed Nail Sticker</x:v>
      </x:c>
      <x:c r="D6431" s="18" t="str">
        <x:v>Specification type: To3247 / To3319</x:v>
      </x:c>
      <x:c r="E6431" s="25" t="str">
        <x:v>$1.23</x:v>
      </x:c>
      <x:c r="F6431" s="19" t="str">
        <x:v>5</x:v>
      </x:c>
    </x:row>
    <x:row r="6432" ht="93" customHeight="1">
      <x:c r="A6432" s="19" t="n">
        <x:v>6429</x:v>
      </x:c>
      <x:c r="B6432" s="22" t="e">
        <x:f>HYPERLINK("https://cdn.shopify.com/s/files/1/0918/6066/4603/files/O1CN01Aa1kzU1HlWnA7sTEs__2545140798-0-cib.jpg?v=1772718311","Open")</x:f>
        <x:v>HYPERLINK is not implemented. linkLocation=https://cdn.shopify.com/s/files/1/0918/6066/4603/files/O1CN01Aa1kzU1HlWnA7sTEs__2545140798-0-cib.jpg?v=1772718311, friendlyName=Open</x:v>
      </x:c>
      <x:c r="C6432" s="24" t="e">
        <x:f>HYPERLINK("https://365nails.com/products/blurred-heart-nail-stickers-5d-embossed-gradient-love-set","Blurred Heart Nail Stickers – 5D Embossed Gradient Love Set")</x:f>
        <x:v>HYPERLINK is not implemented. linkLocation=https://365nails.com/products/blurred-heart-nail-stickers-5d-embossed-gradient-love-set, friendlyName=Blurred Heart Nail Stickers – 5D Embossed Gradient Love Set</x:v>
      </x:c>
      <x:c r="D6432" s="18" t="str">
        <x:v>Specification type: To1122 / To1123</x:v>
      </x:c>
      <x:c r="E6432" s="25" t="str">
        <x:v>$1.00</x:v>
      </x:c>
      <x:c r="F6432" s="19" t="str">
        <x:v>5</x:v>
      </x:c>
    </x:row>
    <x:row r="6433" ht="93" customHeight="1">
      <x:c r="A6433" s="19" t="n">
        <x:v>6430</x:v>
      </x:c>
      <x:c r="B6433" s="22" t="e">
        <x:f>HYPERLINK("https://cdn.shopify.com/s/files/1/0918/6066/4603/files/O1CN01BFRsig1HlWkmEnkss__2545140798-0-cib.jpg?v=1772717275","Open")</x:f>
        <x:v>HYPERLINK is not implemented. linkLocation=https://cdn.shopify.com/s/files/1/0918/6066/4603/files/O1CN01BFRsig1HlWkmEnkss__2545140798-0-cib.jpg?v=1772717275, friendlyName=Open</x:v>
      </x:c>
      <x:c r="C6433" s="24" t="e">
        <x:f>HYPERLINK("https://365nails.com/products/cartoon-princess-nail-stickers-cute-q-version-character-set","Cartoon Princess Nail Stickers – Cute Q-version Character Set")</x:f>
        <x:v>HYPERLINK is not implemented. linkLocation=https://365nails.com/products/cartoon-princess-nail-stickers-cute-q-version-character-set, friendlyName=Cartoon Princess Nail Stickers – Cute Q-version Character Set</x:v>
      </x:c>
      <x:c r="D6433" s="18" t="str">
        <x:v>Specification type: To643 / To644 / To645</x:v>
      </x:c>
      <x:c r="E6433" s="25" t="str">
        <x:v>$1.00</x:v>
      </x:c>
      <x:c r="F6433" s="19" t="str">
        <x:v>5</x:v>
      </x:c>
    </x:row>
    <x:row r="6434" ht="93" customHeight="1">
      <x:c r="A6434" s="19" t="n">
        <x:v>6431</x:v>
      </x:c>
      <x:c r="B6434" s="22" t="e">
        <x:f>HYPERLINK("https://cdn.shopify.com/s/files/1/0918/6066/4603/files/3cc336a34e611bc0260e454672816689.jpg?v=1773476963","Open")</x:f>
        <x:v>HYPERLINK is not implemented. linkLocation=https://cdn.shopify.com/s/files/1/0918/6066/4603/files/3cc336a34e611bc0260e454672816689.jpg?v=1773476963, friendlyName=Open</x:v>
      </x:c>
      <x:c r="C6434" s="24" t="e">
        <x:f>HYPERLINK("https://365nails.com/products/shell-light-pink-purple-bow-collection-romantic-shell-bow-3d-embossed-nail-sticker","Shell Light Pink-Purple Bow Collection: ""Romantic Shell Bow"" – 3D Embossed Nail Sticker")</x:f>
        <x:v>HYPERLINK is not implemented. linkLocation=https://365nails.com/products/shell-light-pink-purple-bow-collection-romantic-shell-bow-3d-embossed-nail-sticker, friendlyName=Shell Light Pink-Purple Bow Collection: "Romantic Shell Bow" – 3D Embossed Nail Sticker</x:v>
      </x:c>
      <x:c r="D6434" s="18" t="str">
        <x:v>Specification type: Ms810-shell light / Ms811-shell light</x:v>
      </x:c>
      <x:c r="E6434" s="25" t="str">
        <x:v>$1.23</x:v>
      </x:c>
      <x:c r="F6434" s="19" t="str">
        <x:v>5</x:v>
      </x:c>
    </x:row>
    <x:row r="6435" ht="93" customHeight="1">
      <x:c r="A6435" s="19" t="n">
        <x:v>6432</x:v>
      </x:c>
      <x:c r="B6435" s="22" t="e">
        <x:f>HYPERLINK("https://cdn.shopify.com/s/files/1/0918/6066/4603/files/O1CN01ZqIeFE1HlXAjZV6Lg__2545140798-0-cib.jpg?v=1772624991","Open")</x:f>
        <x:v>HYPERLINK is not implemented. linkLocation=https://cdn.shopify.com/s/files/1/0918/6066/4603/files/O1CN01ZqIeFE1HlXAjZV6Lg__2545140798-0-cib.jpg?v=1772624991, friendlyName=Open</x:v>
      </x:c>
      <x:c r="C6435" s="24" t="e">
        <x:f>HYPERLINK("https://365nails.com/products/red-green-apple-nail-stickers-fruit-embossed-collection","Red &amp; Green Apple Nail Stickers – Fruit Embossed Collection")</x:f>
        <x:v>HYPERLINK is not implemented. linkLocation=https://365nails.com/products/red-green-apple-nail-stickers-fruit-embossed-collection, friendlyName=Red &amp; Green Apple Nail Stickers – Fruit Embossed Collection</x:v>
      </x:c>
      <x:c r="D6435" s="18" t="str">
        <x:v>Specification type: To5529-jelly / To5530-jelly</x:v>
      </x:c>
      <x:c r="E6435" s="25" t="str">
        <x:v>$1.23</x:v>
      </x:c>
      <x:c r="F6435" s="19" t="str">
        <x:v>5</x:v>
      </x:c>
    </x:row>
    <x:row r="6436" ht="93" customHeight="1">
      <x:c r="A6436" s="19" t="n">
        <x:v>6433</x:v>
      </x:c>
      <x:c r="B6436" s="22" t="e">
        <x:f>HYPERLINK("https://cdn.shopify.com/s/files/1/0918/6066/4603/files/700c3ec6a6c01edcfa66ef6237ccacaa.jpg?v=1773473045","Open")</x:f>
        <x:v>HYPERLINK is not implemented. linkLocation=https://cdn.shopify.com/s/files/1/0918/6066/4603/files/700c3ec6a6c01edcfa66ef6237ccacaa.jpg?v=1773473045, friendlyName=Open</x:v>
      </x:c>
      <x:c r="C6436" s="24" t="e">
        <x:f>HYPERLINK("https://365nails.com/products/christmas-silver-bear-bow-collection-festive-silver-christmas-bear-3d-embossed-nail-sticker","Christmas Silver Bear &amp; Bow Collection: ""Festive Silver Christmas Bear"" – 3D Embossed Nail Sticker")</x:f>
        <x:v>HYPERLINK is not implemented. linkLocation=https://365nails.com/products/christmas-silver-bear-bow-collection-festive-silver-christmas-bear-3d-embossed-nail-sticker, friendlyName=Christmas Silver Bear &amp; Bow Collection: "Festive Silver Christmas Bear" – 3D Embossed Nail Sticker</x:v>
      </x:c>
      <x:c r="D6436" s="18" t="str">
        <x:v>Specification type: To5466-metal / To5467-glitter powder</x:v>
      </x:c>
      <x:c r="E6436" s="25" t="str">
        <x:v>$1.23</x:v>
      </x:c>
      <x:c r="F6436" s="19" t="str">
        <x:v>5</x:v>
      </x:c>
    </x:row>
    <x:row r="6437" ht="93" customHeight="1">
      <x:c r="A6437" s="19" t="n">
        <x:v>6434</x:v>
      </x:c>
      <x:c r="B6437" s="22" t="e">
        <x:f>HYPERLINK("https://cdn.shopify.com/s/files/1/0918/6066/4603/files/O1CN01p3j7Rt1HlXA90qmSX__2545140798-0-cib.jpg?v=1773495508","Open")</x:f>
        <x:v>HYPERLINK is not implemented. linkLocation=https://cdn.shopify.com/s/files/1/0918/6066/4603/files/O1CN01p3j7Rt1HlXA90qmSX__2545140798-0-cib.jpg?v=1773495508, friendlyName=Open</x:v>
      </x:c>
      <x:c r="C6437" s="24" t="e">
        <x:f>HYPERLINK("https://365nails.com/products/golden-leaf-collection-elegant-golden-ivy-3d-metallic-nail-sticker","Golden Leaf Collection: ""Elegant Golden Ivy"" – 3D Metallic Nail Sticker")</x:f>
        <x:v>HYPERLINK is not implemented. linkLocation=https://365nails.com/products/golden-leaf-collection-elegant-golden-ivy-3d-metallic-nail-sticker, friendlyName=Golden Leaf Collection: "Elegant Golden Ivy" – 3D Metallic Nail Sticker</x:v>
      </x:c>
      <x:c r="D6437" s="18" t="str">
        <x:v>Specification type: To5426-new hot stamping / To5426-silver</x:v>
      </x:c>
      <x:c r="E6437" s="25" t="str">
        <x:v>$1.23</x:v>
      </x:c>
      <x:c r="F6437" s="19" t="str">
        <x:v>5</x:v>
      </x:c>
    </x:row>
    <x:row r="6438" ht="93" customHeight="1">
      <x:c r="A6438" s="19" t="n">
        <x:v>6435</x:v>
      </x:c>
      <x:c r="B6438" s="22" t="e">
        <x:f>HYPERLINK("https://cdn.shopify.com/s/files/1/0918/6066/4603/files/O1CN01fC3glZ1HlWkpJiePV__2545140798-0-cib.jpg?v=1773466855","Open")</x:f>
        <x:v>HYPERLINK is not implemented. linkLocation=https://cdn.shopify.com/s/files/1/0918/6066/4603/files/O1CN01fC3glZ1HlWkpJiePV__2545140798-0-cib.jpg?v=1773466855, friendlyName=Open</x:v>
      </x:c>
      <x:c r="C6438" s="24" t="e">
        <x:f>HYPERLINK("https://365nails.com/products/ocean-wave-collection-watercolor-ocean-wave-3d-embossed-nail-sticker","Ocean Wave Collection: ""Watercolor Ocean Wave"" – 3D Embossed Nail Sticker")</x:f>
        <x:v>HYPERLINK is not implemented. linkLocation=https://365nails.com/products/ocean-wave-collection-watercolor-ocean-wave-3d-embossed-nail-sticker, friendlyName=Ocean Wave Collection: "Watercolor Ocean Wave" – 3D Embossed Nail Sticker</x:v>
      </x:c>
      <x:c r="D6438" s="18" t="str">
        <x:v>Specification type: Ta55</x:v>
      </x:c>
      <x:c r="E6438" s="25" t="str">
        <x:v>$1.23</x:v>
      </x:c>
      <x:c r="F6438" s="19" t="str">
        <x:v>5</x:v>
      </x:c>
    </x:row>
    <x:row r="6439" ht="93" customHeight="1">
      <x:c r="A6439" s="19" t="n">
        <x:v>6436</x:v>
      </x:c>
      <x:c r="B6439" s="22" t="e">
        <x:f>HYPERLINK("https://cdn.shopify.com/s/files/1/0918/6066/4603/files/O1CN01isG0Le1HlWnJbiutV__2545140798-0-cib_268a7168-d2d6-4bfc-a976-cfeb119e149d.jpg?v=1772799049","Open")</x:f>
        <x:v>HYPERLINK is not implemented. linkLocation=https://cdn.shopify.com/s/files/1/0918/6066/4603/files/O1CN01isG0Le1HlWnJbiutV__2545140798-0-cib_268a7168-d2d6-4bfc-a976-cfeb119e149d.jpg?v=1772799049, friendlyName=Open</x:v>
      </x:c>
      <x:c r="C6439" s="24" t="e">
        <x:f>HYPERLINK("https://365nails.com/products/toy-story-nail-stickers-5d-embossed-cartoon-character-set","Toy Story Nail Stickers – 5D Embossed Cartoon Character Set")</x:f>
        <x:v>HYPERLINK is not implemented. linkLocation=https://365nails.com/products/toy-story-nail-stickers-5d-embossed-cartoon-character-set, friendlyName=Toy Story Nail Stickers – 5D Embossed Cartoon Character Set</x:v>
      </x:c>
      <x:c r="D6439" s="18" t="str">
        <x:v>Specification type: To1145</x:v>
      </x:c>
      <x:c r="E6439" s="25" t="str">
        <x:v>$1.00</x:v>
      </x:c>
      <x:c r="F6439" s="19" t="str">
        <x:v>5</x:v>
      </x:c>
    </x:row>
    <x:row r="6440" ht="93" customHeight="1">
      <x:c r="A6440" s="19" t="n">
        <x:v>6437</x:v>
      </x:c>
      <x:c r="B6440" s="22" t="e">
        <x:f>HYPERLINK("https://cdn.shopify.com/s/files/1/0918/6066/4603/files/O1CN01IuFGYf1HlXAxfRkB4__2545140798-0-cib.jpg?v=1772632130","Open")</x:f>
        <x:v>HYPERLINK is not implemented. linkLocation=https://cdn.shopify.com/s/files/1/0918/6066/4603/files/O1CN01IuFGYf1HlXAxfRkB4__2545140798-0-cib.jpg?v=1772632130, friendlyName=Open</x:v>
      </x:c>
      <x:c r="C6440" s="24" t="e">
        <x:f>HYPERLINK("https://365nails.com/products/holographic-firework-nail-stickers-3d-embossed-red-pink-celebration-set","Holographic Firework Nail Stickers – 3D Embossed Red &amp; Pink Celebration Set")</x:f>
        <x:v>HYPERLINK is not implemented. linkLocation=https://365nails.com/products/holographic-firework-nail-stickers-3d-embossed-red-pink-celebration-set, friendlyName=Holographic Firework Nail Stickers – 3D Embossed Red &amp; Pink Celebration Set</x:v>
      </x:c>
      <x:c r="D6440" s="18" t="str">
        <x:v>Specification type: To5569-glitter / To5572-relief / To5594</x:v>
      </x:c>
      <x:c r="E6440" s="25" t="str">
        <x:v>$1.23</x:v>
      </x:c>
      <x:c r="F6440" s="19" t="str">
        <x:v>5</x:v>
      </x:c>
    </x:row>
    <x:row r="6441" ht="93" customHeight="1">
      <x:c r="A6441" s="19" t="n">
        <x:v>6438</x:v>
      </x:c>
      <x:c r="B6441" s="22" t="e">
        <x:f>HYPERLINK("https://cdn.shopify.com/s/files/1/0918/6066/4603/files/O1CN01mvUzuI1HlX6R4OOxt__2545140798-0-cib.jpg?v=1773493964","Open")</x:f>
        <x:v>HYPERLINK is not implemented. linkLocation=https://cdn.shopify.com/s/files/1/0918/6066/4603/files/O1CN01mvUzuI1HlX6R4OOxt__2545140798-0-cib.jpg?v=1773493964, friendlyName=Open</x:v>
      </x:c>
      <x:c r="C6441" s="24" t="e">
        <x:f>HYPERLINK("https://365nails.com/products/cute-pastel-toy-collection-sweet-toy-box-3d-embossed-nail-sticker","Cute Pastel Toy Collection: ""Sweet Toy Box"" – 3D Embossed Nail Sticker")</x:f>
        <x:v>HYPERLINK is not implemented. linkLocation=https://365nails.com/products/cute-pastel-toy-collection-sweet-toy-box-3d-embossed-nail-sticker, friendlyName=Cute Pastel Toy Collection: "Sweet Toy Box" – 3D Embossed Nail Sticker</x:v>
      </x:c>
      <x:c r="D6441" s="18" t="str">
        <x:v>Specification type: To4932-shell light / To4934-shell light</x:v>
      </x:c>
      <x:c r="E6441" s="25" t="str">
        <x:v>$1.23</x:v>
      </x:c>
      <x:c r="F6441" s="19" t="str">
        <x:v>5</x:v>
      </x:c>
    </x:row>
    <x:row r="6442" ht="93" customHeight="1">
      <x:c r="A6442" s="19" t="n">
        <x:v>6439</x:v>
      </x:c>
      <x:c r="B6442" s="22" t="e">
        <x:f>HYPERLINK("https://cdn.shopify.com/s/files/1/0918/6066/4603/files/O1CN01xCruea1HlX6jP76b9__2545140798-0-cib.jpg?v=1773495731","Open")</x:f>
        <x:v>HYPERLINK is not implemented. linkLocation=https://cdn.shopify.com/s/files/1/0918/6066/4603/files/O1CN01xCruea1HlX6jP76b9__2545140798-0-cib.jpg?v=1773495731, friendlyName=Open</x:v>
      </x:c>
      <x:c r="C6442" s="24" t="e">
        <x:f>HYPERLINK("https://365nails.com/products/aurora-feather-collection-angel-wings-3d-holographic-nail-sticker","Aurora Feather Collection: ""Angel Wings"" – 3D Holographic Nail Sticker")</x:f>
        <x:v>HYPERLINK is not implemented. linkLocation=https://365nails.com/products/aurora-feather-collection-angel-wings-3d-holographic-nail-sticker, friendlyName=Aurora Feather Collection: "Angel Wings" – 3D Holographic Nail Sticker</x:v>
      </x:c>
      <x:c r="D6442" s="18" t="str">
        <x:v>Specification type: Ms771-jelly / Ms772-jelly</x:v>
      </x:c>
      <x:c r="E6442" s="25" t="str">
        <x:v>$1.23</x:v>
      </x:c>
      <x:c r="F6442" s="19" t="str">
        <x:v>5</x:v>
      </x:c>
    </x:row>
    <x:row r="6443" ht="93" customHeight="1">
      <x:c r="A6443" s="19" t="n">
        <x:v>6440</x:v>
      </x:c>
      <x:c r="B6443" s="22" t="e">
        <x:f>HYPERLINK("https://cdn.shopify.com/s/files/1/0918/6066/4603/files/2e68b194e67dc9712b2f333105d2178a.jpg?v=1773474319","Open")</x:f>
        <x:v>HYPERLINK is not implemented. linkLocation=https://cdn.shopify.com/s/files/1/0918/6066/4603/files/2e68b194e67dc9712b2f333105d2178a.jpg?v=1773474319, friendlyName=Open</x:v>
      </x:c>
      <x:c r="C6443" s="24" t="e">
        <x:f>HYPERLINK("https://365nails.com/products/poker-card-suit-collection-casino-embossed-poker-suits-3d-embossed-nail-sticker","Poker Card Suit Collection: ""Casino Embossed Poker Suits"" – 3D Embossed Nail Sticker")</x:f>
        <x:v>HYPERLINK is not implemented. linkLocation=https://365nails.com/products/poker-card-suit-collection-casino-embossed-poker-suits-3d-embossed-nail-sticker, friendlyName=Poker Card Suit Collection: "Casino Embossed Poker Suits" – 3D Embossed Nail Sticker</x:v>
      </x:c>
      <x:c r="D6443" s="18" t="str">
        <x:v>Specification type: To4584-new hot stamping / To4585-new hot stamping</x:v>
      </x:c>
      <x:c r="E6443" s="25" t="str">
        <x:v>$1.23</x:v>
      </x:c>
      <x:c r="F6443" s="19" t="str">
        <x:v>5</x:v>
      </x:c>
    </x:row>
    <x:row r="6444" ht="93" customHeight="1">
      <x:c r="A6444" s="19" t="n">
        <x:v>6441</x:v>
      </x:c>
      <x:c r="B6444" s="22" t="e">
        <x:f>HYPERLINK("https://cdn.shopify.com/s/files/1/0918/6066/4603/files/O1CN01VKKJyv1HlX6Rx4sAp__2545140798-0-cib.jpg?v=1773477368","Open")</x:f>
        <x:v>HYPERLINK is not implemented. linkLocation=https://cdn.shopify.com/s/files/1/0918/6066/4603/files/O1CN01VKKJyv1HlX6Rx4sAp__2545140798-0-cib.jpg?v=1773477368, friendlyName=Open</x:v>
      </x:c>
      <x:c r="C6444" s="24" t="e">
        <x:f>HYPERLINK("https://365nails.com/products/zootopia-spring-garden-collection-zootopia-garden-3d-embossed-nail-sticker","Zootopia Spring Garden Collection: ""Zootopia Garden"" – 3D Embossed Nail Sticker")</x:f>
        <x:v>HYPERLINK is not implemented. linkLocation=https://365nails.com/products/zootopia-spring-garden-collection-zootopia-garden-3d-embossed-nail-sticker, friendlyName=Zootopia Spring Garden Collection: "Zootopia Garden" – 3D Embossed Nail Sticker</x:v>
      </x:c>
      <x:c r="D6444" s="18" t="str">
        <x:v>Specification type: Td004z-shell light / Td005z-shell light</x:v>
      </x:c>
      <x:c r="E6444" s="25" t="str">
        <x:v>$1.23</x:v>
      </x:c>
      <x:c r="F6444" s="19" t="str">
        <x:v>5</x:v>
      </x:c>
    </x:row>
    <x:row r="6445" ht="93" customHeight="1">
      <x:c r="A6445" s="19" t="n">
        <x:v>6442</x:v>
      </x:c>
      <x:c r="B6445" s="22" t="e">
        <x:f>HYPERLINK("https://cdn.shopify.com/s/files/1/0918/6066/4603/files/eb212773544e02479f4e712d42a1aea1.jpg?v=1773466463","Open")</x:f>
        <x:v>HYPERLINK is not implemented. linkLocation=https://cdn.shopify.com/s/files/1/0918/6066/4603/files/eb212773544e02479f4e712d42a1aea1.jpg?v=1773466463, friendlyName=Open</x:v>
      </x:c>
      <x:c r="C6445" s="24" t="e">
        <x:f>HYPERLINK("https://365nails.com/products/gilded-floral-collection-vintage-gilded-orchid-3d-embossed-nail-sticker","Gilded Floral Collection: ""Vintage Gilded Orchid"" – 3D Embossed Nail Sticker")</x:f>
        <x:v>HYPERLINK is not implemented. linkLocation=https://365nails.com/products/gilded-floral-collection-vintage-gilded-orchid-3d-embossed-nail-sticker, friendlyName=Gilded Floral Collection: "Vintage Gilded Orchid" – 3D Embossed Nail Sticker</x:v>
      </x:c>
      <x:c r="D6445" s="18" t="str">
        <x:v>Specification type: To5657-new hot stamping / To5657-silver</x:v>
      </x:c>
      <x:c r="E6445" s="25" t="str">
        <x:v>$1.23</x:v>
      </x:c>
      <x:c r="F6445" s="19" t="str">
        <x:v>5</x:v>
      </x:c>
    </x:row>
    <x:row r="6446" ht="93" customHeight="1">
      <x:c r="A6446" s="19" t="n">
        <x:v>6443</x:v>
      </x:c>
      <x:c r="B6446" s="22" t="e">
        <x:f>HYPERLINK("https://cdn.shopify.com/s/files/1/0918/6066/4603/files/O1CN01SOo4NK1HlX5NO0DRm__2545140798-0-cib.jpg?v=1773492012","Open")</x:f>
        <x:v>HYPERLINK is not implemented. linkLocation=https://cdn.shopify.com/s/files/1/0918/6066/4603/files/O1CN01SOo4NK1HlX5NO0DRm__2545140798-0-cib.jpg?v=1773492012, friendlyName=Open</x:v>
      </x:c>
      <x:c r="C6446" s="24" t="e">
        <x:f>HYPERLINK("https://365nails.com/products/cute-kitten-collection-sweet-strawberry-kitten-3d-embossed-nail-sticker","Cute Kitten Collection: ""Sweet Strawberry Kitten"" – 3D Embossed Nail Sticker")</x:f>
        <x:v>HYPERLINK is not implemented. linkLocation=https://365nails.com/products/cute-kitten-collection-sweet-strawberry-kitten-3d-embossed-nail-sticker, friendlyName=Cute Kitten Collection: "Sweet Strawberry Kitten" – 3D Embossed Nail Sticker</x:v>
      </x:c>
      <x:c r="D6446" s="18" t="str">
        <x:v>Specification type: To4839-relief / To4849-relief</x:v>
      </x:c>
      <x:c r="E6446" s="25" t="str">
        <x:v>$1.23</x:v>
      </x:c>
      <x:c r="F6446" s="19" t="str">
        <x:v>5</x:v>
      </x:c>
    </x:row>
    <x:row r="6447" ht="93" customHeight="1">
      <x:c r="A6447" s="19" t="n">
        <x:v>6444</x:v>
      </x:c>
      <x:c r="B6447" s="22" t="e">
        <x:f>HYPERLINK("https://cdn.shopify.com/s/files/1/0918/6066/4603/files/O1CN010uySkN1HlWs3Uab6J__2545140798-0-cib.jpg?v=1773484699","Open")</x:f>
        <x:v>HYPERLINK is not implemented. linkLocation=https://cdn.shopify.com/s/files/1/0918/6066/4603/files/O1CN010uySkN1HlWs3Uab6J__2545140798-0-cib.jpg?v=1773484699, friendlyName=Open</x:v>
      </x:c>
      <x:c r="C6447" s="24" t="e">
        <x:f>HYPERLINK("https://365nails.com/products/angel-teddy-collection-angelic-teddy-3d-embossed-nail-sticker","Angel Teddy Collection: ""Angelic Teddy"" – 3D Embossed Nail Sticker")</x:f>
        <x:v>HYPERLINK is not implemented. linkLocation=https://365nails.com/products/angel-teddy-collection-angelic-teddy-3d-embossed-nail-sticker, friendlyName=Angel Teddy Collection: "Angelic Teddy" – 3D Embossed Nail Sticker</x:v>
      </x:c>
      <x:c r="D6447" s="18" t="str">
        <x:v>Specification type: To2758</x:v>
      </x:c>
      <x:c r="E6447" s="25" t="str">
        <x:v>$1.23</x:v>
      </x:c>
      <x:c r="F6447" s="19" t="str">
        <x:v>5</x:v>
      </x:c>
    </x:row>
    <x:row r="6448" ht="93" customHeight="1">
      <x:c r="A6448" s="19" t="n">
        <x:v>6445</x:v>
      </x:c>
      <x:c r="B6448" s="22" t="e">
        <x:f>HYPERLINK("https://cdn.shopify.com/s/files/1/0918/6066/4603/files/O1CN01J5Aclw1HlX3yvI0y1__2545140798-0-cib.jpg?v=1773492782","Open")</x:f>
        <x:v>HYPERLINK is not implemented. linkLocation=https://cdn.shopify.com/s/files/1/0918/6066/4603/files/O1CN01J5Aclw1HlX3yvI0y1__2545140798-0-cib.jpg?v=1773492782, friendlyName=Open</x:v>
      </x:c>
      <x:c r="C6448" s="24" t="e">
        <x:f>HYPERLINK("https://365nails.com/products/garden-flower-bird-collection-serene-garden-3d-embossed-nail-sticker","Garden Flower Bird Collection: ""Serene Garden"" – 3D Embossed Nail Sticker")</x:f>
        <x:v>HYPERLINK is not implemented. linkLocation=https://365nails.com/products/garden-flower-bird-collection-serene-garden-3d-embossed-nail-sticker, friendlyName=Garden Flower Bird Collection: "Serene Garden" – 3D Embossed Nail Sticker</x:v>
      </x:c>
      <x:c r="D6448" s="18" t="str">
        <x:v>Specification type: To4622-relief</x:v>
      </x:c>
      <x:c r="E6448" s="25" t="str">
        <x:v>$1.23</x:v>
      </x:c>
      <x:c r="F6448" s="19" t="str">
        <x:v>5</x:v>
      </x:c>
    </x:row>
    <x:row r="6449" ht="93" customHeight="1">
      <x:c r="A6449" s="19" t="n">
        <x:v>6446</x:v>
      </x:c>
      <x:c r="B6449" s="22" t="e">
        <x:f>HYPERLINK("https://cdn.shopify.com/s/files/1/0918/6066/4603/files/O1CN01IjwHVV1HlXAdYPUZz__2545140798-0-cib.jpg?v=1773495386","Open")</x:f>
        <x:v>HYPERLINK is not implemented. linkLocation=https://cdn.shopify.com/s/files/1/0918/6066/4603/files/O1CN01IjwHVV1HlXAdYPUZz__2545140798-0-cib.jpg?v=1773495386, friendlyName=Open</x:v>
      </x:c>
      <x:c r="C6449" s="24" t="e">
        <x:f>HYPERLINK("https://365nails.com/products/lace-heart-collection-sweet-lace-3d-embossed-nail-sticker","Lace Heart Collection: ""Sweet Lace"" – 3D Embossed Nail Sticker")</x:f>
        <x:v>HYPERLINK is not implemented. linkLocation=https://365nails.com/products/lace-heart-collection-sweet-lace-3d-embossed-nail-sticker, friendlyName=Lace Heart Collection: "Sweet Lace" – 3D Embossed Nail Sticker</x:v>
      </x:c>
      <x:c r="D6449" s="18" t="str">
        <x:v>Specification type: To5521-relief / To5522-relief</x:v>
      </x:c>
      <x:c r="E6449" s="25" t="str">
        <x:v>$1.23</x:v>
      </x:c>
      <x:c r="F6449" s="19" t="str">
        <x:v>5</x:v>
      </x:c>
    </x:row>
    <x:row r="6450" ht="93" customHeight="1">
      <x:c r="A6450" s="19" t="n">
        <x:v>6447</x:v>
      </x:c>
      <x:c r="B6450" s="22" t="e">
        <x:f>HYPERLINK("https://cdn.shopify.com/s/files/1/0918/6066/4603/files/O1CN01g94Gct1HlXBBz4sEC__2545140798-0-cib.jpg?v=1773492651","Open")</x:f>
        <x:v>HYPERLINK is not implemented. linkLocation=https://cdn.shopify.com/s/files/1/0918/6066/4603/files/O1CN01g94Gct1HlXBBz4sEC__2545140798-0-cib.jpg?v=1773492651, friendlyName=Open</x:v>
      </x:c>
      <x:c r="C6450" s="24" t="e">
        <x:f>HYPERLINK("https://365nails.com/products/pastel-plaid-bow-collection-cute-plaid-bow-3d-embossed-nail-sticker","Pastel Plaid Bow Collection: ""Cute Plaid Bow"" – 3D Embossed Nail Sticker")</x:f>
        <x:v>HYPERLINK is not implemented. linkLocation=https://365nails.com/products/pastel-plaid-bow-collection-cute-plaid-bow-3d-embossed-nail-sticker, friendlyName=Pastel Plaid Bow Collection: "Cute Plaid Bow" – 3D Embossed Nail Sticker</x:v>
      </x:c>
      <x:c r="D6450" s="18" t="str">
        <x:v>Specification type: To5579-relief</x:v>
      </x:c>
      <x:c r="E6450" s="25" t="str">
        <x:v>$1.23</x:v>
      </x:c>
      <x:c r="F6450" s="19" t="str">
        <x:v>5</x:v>
      </x:c>
    </x:row>
    <x:row r="6451" ht="93" customHeight="1">
      <x:c r="A6451" s="19" t="n">
        <x:v>6448</x:v>
      </x:c>
      <x:c r="B6451" s="22" t="e">
        <x:f>HYPERLINK("https://cdn.shopify.com/s/files/1/0918/6066/4603/files/d2b28f32b7331962934fbd42666047dc.jpg?v=1777809603","Open")</x:f>
        <x:v>HYPERLINK is not implemented. linkLocation=https://cdn.shopify.com/s/files/1/0918/6066/4603/files/d2b28f32b7331962934fbd42666047dc.jpg?v=1777809603, friendlyName=Open</x:v>
      </x:c>
      <x:c r="C6451" s="24" t="e">
        <x:f>HYPERLINK("https://365nails.com/products/365nails-aurora-star-french-handmade-medium-stiletto-press-on-nails","365nails: ""Aurora Star French"" – Handmade Medium Stiletto Press-On Nails")</x:f>
        <x:v>HYPERLINK is not implemented. linkLocation=https://365nails.com/products/365nails-aurora-star-french-handmade-medium-stiletto-press-on-nails, friendlyName=365nails: "Aurora Star French" – Handmade Medium Stiletto Press-On Nails</x:v>
      </x:c>
      <x:c r="D6451" s="18" t="str">
        <x:v>Size: XS / S / M / L</x:v>
      </x:c>
      <x:c r="E6451" s="25" t="str">
        <x:v>$2.99</x:v>
      </x:c>
      <x:c r="F6451" s="19" t="str">
        <x:v>5</x:v>
      </x:c>
    </x:row>
    <x:row r="6452" ht="93" customHeight="1">
      <x:c r="A6452" s="19" t="n">
        <x:v>6449</x:v>
      </x:c>
      <x:c r="B6452" s="22" t="e">
        <x:f>HYPERLINK("https://cdn.shopify.com/s/files/1/0918/6066/4603/files/O1CN01gosCT41HlWmhmLu1E__2545140798-0-cib.jpg?v=1772717932","Open")</x:f>
        <x:v>HYPERLINK is not implemented. linkLocation=https://cdn.shopify.com/s/files/1/0918/6066/4603/files/O1CN01gosCT41HlWmhmLu1E__2545140798-0-cib.jpg?v=1772717932, friendlyName=Open</x:v>
      </x:c>
      <x:c r="C6452" s="24" t="e">
        <x:f>HYPERLINK("https://365nails.com/products/tweed-pattern-nail-stickers-5d-embossed-textured-set","Tweed Pattern Nail Stickers – 5D Embossed Textured Set")</x:f>
        <x:v>HYPERLINK is not implemented. linkLocation=https://365nails.com/products/tweed-pattern-nail-stickers-5d-embossed-textured-set, friendlyName=Tweed Pattern Nail Stickers – 5D Embossed Textured Set</x:v>
      </x:c>
      <x:c r="D6452" s="18" t="str">
        <x:v>Specification type: To1021 / To1022 / To1023</x:v>
      </x:c>
      <x:c r="E6452" s="25" t="str">
        <x:v>$1.23</x:v>
      </x:c>
      <x:c r="F6452" s="19" t="str">
        <x:v>5</x:v>
      </x:c>
    </x:row>
    <x:row r="6453" ht="93" customHeight="1">
      <x:c r="A6453" s="19" t="n">
        <x:v>6450</x:v>
      </x:c>
      <x:c r="B6453" s="22" t="e">
        <x:f>HYPERLINK("https://cdn.shopify.com/s/files/1/0918/6066/4603/files/1ebc565fee087009ab7709c78e6bbfb0.jpg?v=1773466561","Open")</x:f>
        <x:v>HYPERLINK is not implemented. linkLocation=https://cdn.shopify.com/s/files/1/0918/6066/4603/files/1ebc565fee087009ab7709c78e6bbfb0.jpg?v=1773466561, friendlyName=Open</x:v>
      </x:c>
      <x:c r="C6453" s="24" t="e">
        <x:f>HYPERLINK("https://365nails.com/products/crystal-cross-collection-sweet-pink-cross-crystal-3d-embossed-nail-sticker","Crystal Cross Collection: ""Sweet Pink Cross &amp; Crystal"" – 3D Embossed Nail Sticker")</x:f>
        <x:v>HYPERLINK is not implemented. linkLocation=https://365nails.com/products/crystal-cross-collection-sweet-pink-cross-crystal-3d-embossed-nail-sticker, friendlyName=Crystal Cross Collection: "Sweet Pink Cross &amp; Crystal" – 3D Embossed Nail Sticker</x:v>
      </x:c>
      <x:c r="D6453" s="18" t="str">
        <x:v>Specification type: Ta394-crystal diamond / Ta395-crystal diamond / Ta396-crystal diamond / Ta397-crystal diamond</x:v>
      </x:c>
      <x:c r="E6453" s="25" t="str">
        <x:v>$1.30</x:v>
      </x:c>
      <x:c r="F6453" s="19" t="str">
        <x:v>5</x:v>
      </x:c>
    </x:row>
    <x:row r="6454" ht="93" customHeight="1">
      <x:c r="A6454" s="19" t="n">
        <x:v>6451</x:v>
      </x:c>
      <x:c r="B6454" s="22" t="e">
        <x:f>HYPERLINK("https://cdn.shopify.com/s/files/1/0918/6066/4603/files/O1CN01Nwznuw1HlXB7FXDSu__2545140798-0-cib.jpg?v=1773461712","Open")</x:f>
        <x:v>HYPERLINK is not implemented. linkLocation=https://cdn.shopify.com/s/files/1/0918/6066/4603/files/O1CN01Nwznuw1HlXB7FXDSu__2545140798-0-cib.jpg?v=1773461712, friendlyName=Open</x:v>
      </x:c>
      <x:c r="C6454" s="24" t="e">
        <x:f>HYPERLINK("https://365nails.com/products/festive-rich-collection-rich-rocking-horse-glitter-3d-embossed-nail-stickers","Festive Rich Collection: ""Rich Rocking Horse"" – Glitter 3D Embossed Nail Stickers")</x:f>
        <x:v>HYPERLINK is not implemented. linkLocation=https://365nails.com/products/festive-rich-collection-rich-rocking-horse-glitter-3d-embossed-nail-stickers, friendlyName=Festive Rich Collection: "Rich Rocking Horse" – Glitter 3D Embossed Nail Stickers</x:v>
      </x:c>
      <x:c r="D6454" s="18" t="str">
        <x:v>Specification type: To5616-metal / To5617-relief</x:v>
      </x:c>
      <x:c r="E6454" s="25" t="str">
        <x:v>$1.23</x:v>
      </x:c>
      <x:c r="F6454" s="19" t="str">
        <x:v>5</x:v>
      </x:c>
    </x:row>
    <x:row r="6455" ht="93" customHeight="1">
      <x:c r="A6455" s="19" t="n">
        <x:v>6452</x:v>
      </x:c>
      <x:c r="B6455" s="22" t="e">
        <x:f>HYPERLINK("https://cdn.shopify.com/s/files/1/0918/6066/4603/files/7d5d21cac3ad5103375ba344cb40f7ef.jpg?v=1772800481","Open")</x:f>
        <x:v>HYPERLINK is not implemented. linkLocation=https://cdn.shopify.com/s/files/1/0918/6066/4603/files/7d5d21cac3ad5103375ba344cb40f7ef.jpg?v=1772800481, friendlyName=Open</x:v>
      </x:c>
      <x:c r="C6455" s="24" t="e">
        <x:f>HYPERLINK("https://365nails.com/products/gothic-skull-gem-nail-stickers-5d-embossed-dark-luxury-set","Gothic Skull &amp; Gem Nail Stickers – 5D Embossed Dark Luxury Set")</x:f>
        <x:v>HYPERLINK is not implemented. linkLocation=https://365nails.com/products/gothic-skull-gem-nail-stickers-5d-embossed-dark-luxury-set, friendlyName=Gothic Skull &amp; Gem Nail Stickers – 5D Embossed Dark Luxury Set</x:v>
      </x:c>
      <x:c r="D6455" s="18" t="str">
        <x:v>Specification type: Ms 396 / Ms 397</x:v>
      </x:c>
      <x:c r="E6455" s="25" t="str">
        <x:v>$1.09</x:v>
      </x:c>
      <x:c r="F6455" s="19" t="str">
        <x:v>5</x:v>
      </x:c>
    </x:row>
    <x:row r="6456" ht="93" customHeight="1">
      <x:c r="A6456" s="19" t="n">
        <x:v>6453</x:v>
      </x:c>
      <x:c r="B6456" s="22" t="e">
        <x:f>HYPERLINK("https://cdn.shopify.com/s/files/1/0918/6066/4603/files/8cb585dc6b4f09683ea1c79793ec6d40_fb86be54-8bd2-404f-a913-2ff0ea6741a8.jpg?v=1772625016","Open")</x:f>
        <x:v>HYPERLINK is not implemented. linkLocation=https://cdn.shopify.com/s/files/1/0918/6066/4603/files/8cb585dc6b4f09683ea1c79793ec6d40_fb86be54-8bd2-404f-a913-2ff0ea6741a8.jpg?v=1772625016, friendlyName=Open</x:v>
      </x:c>
      <x:c r="C6456" s="24" t="e">
        <x:f>HYPERLINK("https://365nails.com/products/leopard-print-bow-nail-stickers-cute-animal-print-collection","Leopard Print &amp; Bow Nail Stickers – Cute Animal Print Collection")</x:f>
        <x:v>HYPERLINK is not implemented. linkLocation=https://365nails.com/products/leopard-print-bow-nail-stickers-cute-animal-print-collection, friendlyName=Leopard Print &amp; Bow Nail Stickers – Cute Animal Print Collection</x:v>
      </x:c>
      <x:c r="D6456" s="18" t="str">
        <x:v>Specification type: To4466 / To4467 / Ms 690 / Ms 691</x:v>
      </x:c>
      <x:c r="E6456" s="25" t="str">
        <x:v>$1.00</x:v>
      </x:c>
      <x:c r="F6456" s="19" t="str">
        <x:v>5</x:v>
      </x:c>
    </x:row>
    <x:row r="6457" ht="93" customHeight="1">
      <x:c r="A6457" s="19" t="n">
        <x:v>6454</x:v>
      </x:c>
      <x:c r="B6457" s="22" t="e">
        <x:f>HYPERLINK("https://cdn.shopify.com/s/files/1/0918/6066/4603/files/O1CN01HWGf3H1HlX6QQNSJ4__2545140798-0-cib.jpg?v=1773492491","Open")</x:f>
        <x:v>HYPERLINK is not implemented. linkLocation=https://cdn.shopify.com/s/files/1/0918/6066/4603/files/O1CN01HWGf3H1HlX6QQNSJ4__2545140798-0-cib.jpg?v=1773492491, friendlyName=Open</x:v>
      </x:c>
      <x:c r="C6457" s="24" t="e">
        <x:f>HYPERLINK("https://365nails.com/products/mermaid-tail-collection-ocean-mermaid-3d-jelly-nail-sticker","Mermaid Tail Collection: ""Ocean Mermaid"" – 3D Jelly Nail Sticker")</x:f>
        <x:v>HYPERLINK is not implemented. linkLocation=https://365nails.com/products/mermaid-tail-collection-ocean-mermaid-3d-jelly-nail-sticker, friendlyName=Mermaid Tail Collection: "Ocean Mermaid" – 3D Jelly Nail Sticker</x:v>
      </x:c>
      <x:c r="D6457" s="18" t="str">
        <x:v>Specification type: To4937-jelly / To4938-metal / To4939-metal</x:v>
      </x:c>
      <x:c r="E6457" s="25" t="str">
        <x:v>$1.23</x:v>
      </x:c>
      <x:c r="F6457" s="19" t="str">
        <x:v>5</x:v>
      </x:c>
    </x:row>
    <x:row r="6458" ht="93" customHeight="1">
      <x:c r="A6458" s="19" t="n">
        <x:v>6455</x:v>
      </x:c>
      <x:c r="B6458" s="22" t="e">
        <x:f>HYPERLINK("https://cdn.shopify.com/s/files/1/0918/6066/4603/files/O1CN01nOUVou1HlWnk97WaJ__2545140798-0-cib.jpg?v=1772718980","Open")</x:f>
        <x:v>HYPERLINK is not implemented. linkLocation=https://cdn.shopify.com/s/files/1/0918/6066/4603/files/O1CN01nOUVou1HlWnk97WaJ__2545140798-0-cib.jpg?v=1772718980, friendlyName=Open</x:v>
      </x:c>
      <x:c r="C6458" s="24" t="e">
        <x:f>HYPERLINK("https://365nails.com/products/vintage-golden-clematis-nail-stickers-5d-embossed-floral-script-set","Vintage Golden Clematis Nail Stickers – 5D Embossed Floral Script Set")</x:f>
        <x:v>HYPERLINK is not implemented. linkLocation=https://365nails.com/products/vintage-golden-clematis-nail-stickers-5d-embossed-floral-script-set, friendlyName=Vintage Golden Clematis Nail Stickers – 5D Embossed Floral Script Set</x:v>
      </x:c>
      <x:c r="D6458" s="18" t="str">
        <x:v>Specification type: To 1265 / To1358</x:v>
      </x:c>
      <x:c r="E6458" s="25" t="str">
        <x:v>$1.23</x:v>
      </x:c>
      <x:c r="F6458" s="19" t="str">
        <x:v>5</x:v>
      </x:c>
    </x:row>
    <x:row r="6459" ht="93" customHeight="1">
      <x:c r="A6459" s="19" t="n">
        <x:v>6456</x:v>
      </x:c>
      <x:c r="B6459" s="22" t="e">
        <x:f>HYPERLINK("https://cdn.shopify.com/s/files/1/0918/6066/4603/files/O1CN010CJtyK1HlX6vGgF2y__2545140798-0-cib.jpg?v=1772546081","Open")</x:f>
        <x:v>HYPERLINK is not implemented. linkLocation=https://cdn.shopify.com/s/files/1/0918/6066/4603/files/O1CN010CJtyK1HlX6vGgF2y__2545140798-0-cib.jpg?v=1772546081, friendlyName=Open</x:v>
      </x:c>
      <x:c r="C6459" s="24" t="e">
        <x:f>HYPERLINK("https://365nails.com/products/tomoni%E8%B4%9D%E5%A3%B3%E5%85%89%E7%BE%8E%E7%94%B2%E8%B4%B4%E7%BA%B8%E7%88%86%E6%AC%BE%E5%84%BF%E7%AB%A5%E6%8C%87%E7%94%B2%E8%B4%B4%E9%AB%98%E9%A2%9C%E5%80%BC%E5%8F%AF%E7%88%B1%E6%B6%82%E9%B8%A6%E8%B4%B4%E7%BA%B8%E7%BE%8E%E7%94%B2%E6%B7%B7%E6%AC%BE","Cute Teddy &amp; Puppy Nail Stickers – Kawaii Collection")</x:f>
        <x:v>HYPERLINK is not implemented. linkLocation=https://365nails.com/products/tomoni%E8%B4%9D%E5%A3%B3%E5%85%89%E7%BE%8E%E7%94%B2%E8%B4%B4%E7%BA%B8%E7%88%86%E6%AC%BE%E5%84%BF%E7%AB%A5%E6%8C%87%E7%94%B2%E8%B4%B4%E9%AB%98%E9%A2%9C%E5%80%BC%E5%8F%AF%E7%88%B1%E6%B6%82%E9%B8%A6%E8%B4%B4%E7%BA%B8%E7%BE%8E%E7%94%B2%E6%B7%B7%E6%AC%BE, friendlyName=Cute Teddy &amp; Puppy Nail Stickers – Kawaii Collection</x:v>
      </x:c>
      <x:c r="D6459" s="18" t="str">
        <x:v>Specification type: To5062-shell light / To5063-shell light</x:v>
      </x:c>
      <x:c r="E6459" s="25" t="str">
        <x:v>$1.23</x:v>
      </x:c>
      <x:c r="F6459" s="19" t="str">
        <x:v>5</x:v>
      </x:c>
    </x:row>
    <x:row r="6460" ht="93" customHeight="1">
      <x:c r="A6460" s="19" t="n">
        <x:v>6457</x:v>
      </x:c>
      <x:c r="B6460" s="22" t="e">
        <x:f>HYPERLINK("https://cdn.shopify.com/s/files/1/0918/6066/4603/files/O1CN013A1NTy1HlX4O6jqXf__2545140798-0-cib.jpg?v=1773492862","Open")</x:f>
        <x:v>HYPERLINK is not implemented. linkLocation=https://cdn.shopify.com/s/files/1/0918/6066/4603/files/O1CN013A1NTy1HlX4O6jqXf__2545140798-0-cib.jpg?v=1773492862, friendlyName=Open</x:v>
      </x:c>
      <x:c r="C6460" s="24" t="e">
        <x:f>HYPERLINK("https://365nails.com/products/holographic-snowflake-collection-frosty-snowflake-3d-metallic-nail-sticker","Holographic Snowflake Collection: ""Frosty Snowflake"" – 3D Metallic Nail Sticker")</x:f>
        <x:v>HYPERLINK is not implemented. linkLocation=https://365nails.com/products/holographic-snowflake-collection-frosty-snowflake-3d-metallic-nail-sticker, friendlyName=Holographic Snowflake Collection: "Frosty Snowflake" – 3D Metallic Nail Sticker</x:v>
      </x:c>
      <x:c r="D6460" s="18" t="str">
        <x:v>Specification type: Ms727-metal / Ms729-metal / Ms731-metal</x:v>
      </x:c>
      <x:c r="E6460" s="25" t="str">
        <x:v>$1.23</x:v>
      </x:c>
      <x:c r="F6460" s="19" t="str">
        <x:v>5</x:v>
      </x:c>
    </x:row>
    <x:row r="6461" ht="93" customHeight="1">
      <x:c r="A6461" s="19" t="n">
        <x:v>6458</x:v>
      </x:c>
      <x:c r="B6461" s="22" t="e">
        <x:f>HYPERLINK("https://cdn.shopify.com/s/files/1/0918/6066/4603/files/aa33ccac9173b6a1ca024194c299a85c.jpg?v=1777809735","Open")</x:f>
        <x:v>HYPERLINK is not implemented. linkLocation=https://cdn.shopify.com/s/files/1/0918/6066/4603/files/aa33ccac9173b6a1ca024194c299a85c.jpg?v=1777809735, friendlyName=Open</x:v>
      </x:c>
      <x:c r="C6461" s="24" t="e">
        <x:f>HYPERLINK("https://365nails.com/products/365nails-starburst-candy-french-handmade-short-coffin-press-on-nails","365nails: ""Starburst Candy French"" – Handmade Short Coffin Press-On Nails")</x:f>
        <x:v>HYPERLINK is not implemented. linkLocation=https://365nails.com/products/365nails-starburst-candy-french-handmade-short-coffin-press-on-nails, friendlyName=365nails: "Starburst Candy French" – Handmade Short Coffin Press-On Nails</x:v>
      </x:c>
      <x:c r="D6461" s="18" t="str">
        <x:v>Size: XS / S / M / L</x:v>
      </x:c>
      <x:c r="E6461" s="25" t="str">
        <x:v>$2.99</x:v>
      </x:c>
      <x:c r="F6461" s="19" t="str">
        <x:v>5</x:v>
      </x:c>
    </x:row>
    <x:row r="6462" ht="93" customHeight="1">
      <x:c r="A6462" s="19" t="n">
        <x:v>6459</x:v>
      </x:c>
      <x:c r="B6462" s="22" t="e">
        <x:f>HYPERLINK("https://cdn.shopify.com/s/files/1/0918/6066/4603/files/O1CN01wWEsKy1HlX8wmwebp__2545140798-0-cib.jpg?v=1772625206","Open")</x:f>
        <x:v>HYPERLINK is not implemented. linkLocation=https://cdn.shopify.com/s/files/1/0918/6066/4603/files/O1CN01wWEsKy1HlX8wmwebp__2545140798-0-cib.jpg?v=1772625206, friendlyName=Open</x:v>
      </x:c>
      <x:c r="C6462" s="24" t="e">
        <x:f>HYPERLINK("https://365nails.com/products/hello-kitty-nail-stickers-official-licensed-kawaii-collection","Hello Kitty Nail Stickers – Official Licensed Kawaii Collection")</x:f>
        <x:v>HYPERLINK is not implemented. linkLocation=https://365nails.com/products/hello-kitty-nail-stickers-official-licensed-kawaii-collection, friendlyName=Hello Kitty Nail Stickers – Official Licensed Kawaii Collection</x:v>
      </x:c>
      <x:c r="D6462" s="18" t="str">
        <x:v>Specification type: Rn001-relief / Rn006-relief</x:v>
      </x:c>
      <x:c r="E6462" s="25" t="str">
        <x:v>$1.34</x:v>
      </x:c>
      <x:c r="F6462" s="19" t="str">
        <x:v>5</x:v>
      </x:c>
    </x:row>
    <x:row r="6463" ht="93" customHeight="1">
      <x:c r="A6463" s="19" t="n">
        <x:v>6460</x:v>
      </x:c>
      <x:c r="B6463" s="22" t="e">
        <x:f>HYPERLINK("https://cdn.shopify.com/s/files/1/0918/6066/4603/files/O1CN01CfV9J91HlX5g5Lbmr__2545140798-0-cib.jpg?v=1773492360","Open")</x:f>
        <x:v>HYPERLINK is not implemented. linkLocation=https://cdn.shopify.com/s/files/1/0918/6066/4603/files/O1CN01CfV9J91HlX5g5Lbmr__2545140798-0-cib.jpg?v=1773492360, friendlyName=Open</x:v>
      </x:c>
      <x:c r="C6463" s="24" t="e">
        <x:f>HYPERLINK("https://365nails.com/products/sweet-rabbit-dessert-collection-strawberry-rabbit-3d-crystal-nail-sticker","Sweet Rabbit Dessert Collection: ""Strawberry Rabbit"" – 3D Crystal Nail Sticker")</x:f>
        <x:v>HYPERLINK is not implemented. linkLocation=https://365nails.com/products/sweet-rabbit-dessert-collection-strawberry-rabbit-3d-crystal-nail-sticker, friendlyName=Sweet Rabbit Dessert Collection: "Strawberry Rabbit" – 3D Crystal Nail Sticker</x:v>
      </x:c>
      <x:c r="D6463" s="18" t="str">
        <x:v>Specification type: To4909-crystal diamond / To4910-crystal diamond</x:v>
      </x:c>
      <x:c r="E6463" s="25" t="str">
        <x:v>$1.30</x:v>
      </x:c>
      <x:c r="F6463" s="19" t="str">
        <x:v>5</x:v>
      </x:c>
    </x:row>
    <x:row r="6464" ht="93" customHeight="1">
      <x:c r="A6464" s="19" t="n">
        <x:v>6461</x:v>
      </x:c>
      <x:c r="B6464" s="22" t="e">
        <x:f>HYPERLINK("https://cdn.shopify.com/s/files/1/0918/6066/4603/files/O1CN01A9orFT1HlWo2GTDvL__2545140798-0-cib.jpg?v=1772719511","Open")</x:f>
        <x:v>HYPERLINK is not implemented. linkLocation=https://cdn.shopify.com/s/files/1/0918/6066/4603/files/O1CN01A9orFT1HlWo2GTDvL__2545140798-0-cib.jpg?v=1772719511, friendlyName=Open</x:v>
      </x:c>
      <x:c r="C6464" s="24" t="e">
        <x:f>HYPERLINK("https://365nails.com/products/elegant-white-floral-nail-stickers-5d-embossed-minimalist-daisy-set","Elegant White Floral Nail Stickers – 5D Embossed Minimalist Daisy Set")</x:f>
        <x:v>HYPERLINK is not implemented. linkLocation=https://365nails.com/products/elegant-white-floral-nail-stickers-5d-embossed-minimalist-daisy-set, friendlyName=Elegant White Floral Nail Stickers – 5D Embossed Minimalist Daisy Set</x:v>
      </x:c>
      <x:c r="D6464" s="18" t="str">
        <x:v>Specification type: To1343</x:v>
      </x:c>
      <x:c r="E6464" s="25" t="str">
        <x:v>$1.00</x:v>
      </x:c>
      <x:c r="F6464" s="19" t="str">
        <x:v>5</x:v>
      </x:c>
    </x:row>
    <x:row r="6465" ht="93" customHeight="1">
      <x:c r="A6465" s="19" t="n">
        <x:v>6462</x:v>
      </x:c>
      <x:c r="B6465" s="22" t="e">
        <x:f>HYPERLINK("https://cdn.shopify.com/s/files/1/0918/6066/4603/files/O1CN01mUguYE1HlX598ggzl__2545140798-0-cib.jpg?v=1773495198","Open")</x:f>
        <x:v>HYPERLINK is not implemented. linkLocation=https://cdn.shopify.com/s/files/1/0918/6066/4603/files/O1CN01mUguYE1HlX598ggzl__2545140798-0-cib.jpg?v=1773495198, friendlyName=Open</x:v>
      </x:c>
      <x:c r="C6465" s="24" t="e">
        <x:f>HYPERLINK("https://365nails.com/products/fortune-god-collection-cute-fortune-3d-embossed-nail-sticker","Fortune God Collection: ""Cute Fortune"" – 3D Embossed Nail Sticker")</x:f>
        <x:v>HYPERLINK is not implemented. linkLocation=https://365nails.com/products/fortune-god-collection-cute-fortune-3d-embossed-nail-sticker, friendlyName=Fortune God Collection: "Cute Fortune" – 3D Embossed Nail Sticker</x:v>
      </x:c>
      <x:c r="D6465" s="18" t="str">
        <x:v>Specification type: To4821</x:v>
      </x:c>
      <x:c r="E6465" s="25" t="str">
        <x:v>$1.09</x:v>
      </x:c>
      <x:c r="F6465" s="19" t="str">
        <x:v>5</x:v>
      </x:c>
    </x:row>
    <x:row r="6466" ht="93" customHeight="1">
      <x:c r="A6466" s="19" t="n">
        <x:v>6463</x:v>
      </x:c>
      <x:c r="B6466" s="22" t="e">
        <x:f>HYPERLINK("https://cdn.shopify.com/s/files/1/0918/6066/4603/files/O1CN015843ey1HlX6ngAnUT__2545140798-0-cib.jpg?v=1773491588","Open")</x:f>
        <x:v>HYPERLINK is not implemented. linkLocation=https://cdn.shopify.com/s/files/1/0918/6066/4603/files/O1CN015843ey1HlX6ngAnUT__2545140798-0-cib.jpg?v=1773491588, friendlyName=Open</x:v>
      </x:c>
      <x:c r="C6466" s="24" t="e">
        <x:f>HYPERLINK("https://365nails.com/products/cute-fruit-animal-collection-sweet-critter-3d-embossed-nail-sticker","Cute Fruit Animal Collection: ""Sweet Critter"" – 3D Embossed Nail Sticker")</x:f>
        <x:v>HYPERLINK is not implemented. linkLocation=https://365nails.com/products/cute-fruit-animal-collection-sweet-critter-3d-embossed-nail-sticker, friendlyName=Cute Fruit Animal Collection: "Sweet Critter" – 3D Embossed Nail Sticker</x:v>
      </x:c>
      <x:c r="D6466" s="18" t="str">
        <x:v>Specification type: To5084-relief / To5087-relief</x:v>
      </x:c>
      <x:c r="E6466" s="25" t="str">
        <x:v>$1.23</x:v>
      </x:c>
      <x:c r="F6466" s="19" t="str">
        <x:v>5</x:v>
      </x:c>
    </x:row>
    <x:row r="6467" ht="93" customHeight="1">
      <x:c r="A6467" s="19" t="n">
        <x:v>6464</x:v>
      </x:c>
      <x:c r="B6467" s="22" t="e">
        <x:f>HYPERLINK("https://cdn.shopify.com/s/files/1/0918/6066/4603/files/O1CN01MmGB871HlX9MOnWH7__2545140798-0-cib.jpg?v=1773464880","Open")</x:f>
        <x:v>HYPERLINK is not implemented. linkLocation=https://cdn.shopify.com/s/files/1/0918/6066/4603/files/O1CN01MmGB871HlX9MOnWH7__2545140798-0-cib.jpg?v=1773464880, friendlyName=Open</x:v>
      </x:c>
      <x:c r="C6467" s="24" t="e">
        <x:f>HYPERLINK("https://365nails.com/products/white-lily-collection-monochrome-white-lily-3d-embossed-nail-sticker","White Lily Collection: ""Monochrome White Lily"" – 3D Embossed Nail Sticker")</x:f>
        <x:v>HYPERLINK is not implemented. linkLocation=https://365nails.com/products/white-lily-collection-monochrome-white-lily-3d-embossed-nail-sticker, friendlyName=White Lily Collection: "Monochrome White Lily" – 3D Embossed Nail Sticker</x:v>
      </x:c>
      <x:c r="D6467" s="18" t="str">
        <x:v>Specification type: To5221-relief / To5329-relief</x:v>
      </x:c>
      <x:c r="E6467" s="25" t="str">
        <x:v>$1.23</x:v>
      </x:c>
      <x:c r="F6467" s="19" t="str">
        <x:v>5</x:v>
      </x:c>
    </x:row>
    <x:row r="6468" ht="93" customHeight="1">
      <x:c r="A6468" s="19" t="n">
        <x:v>6465</x:v>
      </x:c>
      <x:c r="B6468" s="22" t="e">
        <x:f>HYPERLINK("https://cdn.shopify.com/s/files/1/0918/6066/4603/files/8b832fc81619aec407a8ff2cd79fd147.jpg?v=1772801889","Open")</x:f>
        <x:v>HYPERLINK is not implemented. linkLocation=https://cdn.shopify.com/s/files/1/0918/6066/4603/files/8b832fc81619aec407a8ff2cd79fd147.jpg?v=1772801889, friendlyName=Open</x:v>
      </x:c>
      <x:c r="C6468" s="24" t="e">
        <x:f>HYPERLINK("https://365nails.com/products/auspicious-chinese-new-year-nail-stickers-5d-embossed-festive-set","Auspicious Chinese New Year Nail Stickers – 5D Embossed Festive Set")</x:f>
        <x:v>HYPERLINK is not implemented. linkLocation=https://365nails.com/products/auspicious-chinese-new-year-nail-stickers-5d-embossed-festive-set, friendlyName=Auspicious Chinese New Year Nail Stickers – 5D Embossed Festive Set</x:v>
      </x:c>
      <x:c r="D6468" s="18" t="str">
        <x:v>Specification type: To3660 / To3674</x:v>
      </x:c>
      <x:c r="E6468" s="25" t="str">
        <x:v>$1.38</x:v>
      </x:c>
      <x:c r="F6468" s="19" t="str">
        <x:v>5</x:v>
      </x:c>
    </x:row>
    <x:row r="6469" ht="93" customHeight="1">
      <x:c r="A6469" s="19" t="n">
        <x:v>6466</x:v>
      </x:c>
      <x:c r="B6469" s="22" t="e">
        <x:f>HYPERLINK("https://cdn.shopify.com/s/files/1/0918/6066/4603/files/O1CN01QrDkCk1HlWsKEVkcp__2545140798-0-cib.jpg?v=1773484855","Open")</x:f>
        <x:v>HYPERLINK is not implemented. linkLocation=https://cdn.shopify.com/s/files/1/0918/6066/4603/files/O1CN01QrDkCk1HlWsKEVkcp__2545140798-0-cib.jpg?v=1773484855, friendlyName=Open</x:v>
      </x:c>
      <x:c r="C6469" s="24" t="e">
        <x:f>HYPERLINK("https://365nails.com/products/jelly-geometric-collection-rainbow-jelly-3d-jelly-nail-sticker","Jelly Geometric Collection: ""Rainbow Jelly"" – 3D Jelly Nail Sticker")</x:f>
        <x:v>HYPERLINK is not implemented. linkLocation=https://365nails.com/products/jelly-geometric-collection-rainbow-jelly-3d-jelly-nail-sticker, friendlyName=Jelly Geometric Collection: "Rainbow Jelly" – 3D Jelly Nail Sticker</x:v>
      </x:c>
      <x:c r="D6469" s="18" t="str">
        <x:v>Specification type: To2786 / Ms 335 / Ms 337 / Ms 338</x:v>
      </x:c>
      <x:c r="E6469" s="25" t="str">
        <x:v>$1.23</x:v>
      </x:c>
      <x:c r="F6469" s="19" t="str">
        <x:v>5</x:v>
      </x:c>
    </x:row>
    <x:row r="6470" ht="93" customHeight="1">
      <x:c r="A6470" s="19" t="n">
        <x:v>6467</x:v>
      </x:c>
      <x:c r="B6470" s="22" t="e">
        <x:f>HYPERLINK("https://cdn.shopify.com/s/files/1/0918/6066/4603/files/O1CN01wGCuA31HlWo0MoWu6__2545140798-0-cib.jpg?v=1773467098","Open")</x:f>
        <x:v>HYPERLINK is not implemented. linkLocation=https://cdn.shopify.com/s/files/1/0918/6066/4603/files/O1CN01wGCuA31HlWo0MoWu6__2545140798-0-cib.jpg?v=1773467098, friendlyName=Open</x:v>
      </x:c>
      <x:c r="C6470" s="24" t="e">
        <x:f>HYPERLINK("https://365nails.com/products/sweet-heart-bear-collection-cute-heart-bear-cherry-3d-embossed-nail-sticker","Sweet Heart Bear Collection: ""Cute Heart Bear &amp; Cherry"" – 3D Embossed Nail Sticker")</x:f>
        <x:v>HYPERLINK is not implemented. linkLocation=https://365nails.com/products/sweet-heart-bear-collection-cute-heart-bear-cherry-3d-embossed-nail-sticker, friendlyName=Sweet Heart Bear Collection: "Cute Heart Bear &amp; Cherry" – 3D Embossed Nail Sticker</x:v>
      </x:c>
      <x:c r="D6470" s="18" t="str">
        <x:v>Specification type: To1465 / To1471</x:v>
      </x:c>
      <x:c r="E6470" s="25" t="str">
        <x:v>$1.23</x:v>
      </x:c>
      <x:c r="F6470" s="19" t="str">
        <x:v>5</x:v>
      </x:c>
    </x:row>
    <x:row r="6471" ht="93" customHeight="1">
      <x:c r="A6471" s="19" t="n">
        <x:v>6468</x:v>
      </x:c>
      <x:c r="B6471" s="22" t="e">
        <x:f>HYPERLINK("https://cdn.shopify.com/s/files/1/0918/6066/4603/files/b4020e4bd625c6c8224fce2fed75a443.jpg?v=1773468315","Open")</x:f>
        <x:v>HYPERLINK is not implemented. linkLocation=https://cdn.shopify.com/s/files/1/0918/6066/4603/files/b4020e4bd625c6c8224fce2fed75a443.jpg?v=1773468315, friendlyName=Open</x:v>
      </x:c>
      <x:c r="C6471" s="24" t="e">
        <x:f>HYPERLINK("https://365nails.com/products/pastel-bow-collection-cute-pastel-bow-star-3d-embossed-nail-sticker","Pastel Bow Collection: ""Cute Pastel Bow &amp; Star"" – 3D Embossed Nail Sticker")</x:f>
        <x:v>HYPERLINK is not implemented. linkLocation=https://365nails.com/products/pastel-bow-collection-cute-pastel-bow-star-3d-embossed-nail-sticker, friendlyName=Pastel Bow Collection: "Cute Pastel Bow &amp; Star" – 3D Embossed Nail Sticker</x:v>
      </x:c>
      <x:c r="D6471" s="18" t="str">
        <x:v>Specification type: To4874-shell light / To5034-shell light</x:v>
      </x:c>
      <x:c r="E6471" s="25" t="str">
        <x:v>$1.23</x:v>
      </x:c>
      <x:c r="F6471" s="19" t="str">
        <x:v>5</x:v>
      </x:c>
    </x:row>
    <x:row r="6472" ht="93" customHeight="1">
      <x:c r="A6472" s="19" t="n">
        <x:v>6469</x:v>
      </x:c>
      <x:c r="B6472" s="22" t="e">
        <x:f>HYPERLINK("https://cdn.shopify.com/s/files/1/0918/6066/4603/files/O1CN01drZ6Dp1HlX4gKT8Nk__2545140798-0-cib.jpg?v=1773492426","Open")</x:f>
        <x:v>HYPERLINK is not implemented. linkLocation=https://cdn.shopify.com/s/files/1/0918/6066/4603/files/O1CN01drZ6Dp1HlX4gKT8Nk__2545140798-0-cib.jpg?v=1773492426, friendlyName=Open</x:v>
      </x:c>
      <x:c r="C6472" s="24" t="e">
        <x:f>HYPERLINK("https://365nails.com/products/crystal-flower-collection-jewel-bloom-3d-crystal-nail-sticker","Crystal Flower Collection: ""Jewel Bloom"" – 3D Crystal Nail Sticker")</x:f>
        <x:v>HYPERLINK is not implemented. linkLocation=https://365nails.com/products/crystal-flower-collection-jewel-bloom-3d-crystal-nail-sticker, friendlyName=Crystal Flower Collection: "Jewel Bloom" – 3D Crystal Nail Sticker</x:v>
      </x:c>
      <x:c r="D6472" s="18" t="str">
        <x:v>Specification type: To4730-crystal diamond</x:v>
      </x:c>
      <x:c r="E6472" s="25" t="str">
        <x:v>$1.30</x:v>
      </x:c>
      <x:c r="F6472" s="19" t="str">
        <x:v>5</x:v>
      </x:c>
    </x:row>
    <x:row r="6473" ht="93" customHeight="1">
      <x:c r="A6473" s="19" t="n">
        <x:v>6470</x:v>
      </x:c>
      <x:c r="B6473" s="22" t="e">
        <x:f>HYPERLINK("https://cdn.shopify.com/s/files/1/0918/6066/4603/files/0af4dd00c833d1734d6448e4a9836f6f.jpg?v=1773465508","Open")</x:f>
        <x:v>HYPERLINK is not implemented. linkLocation=https://cdn.shopify.com/s/files/1/0918/6066/4603/files/0af4dd00c833d1734d6448e4a9836f6f.jpg?v=1773465508, friendlyName=Open</x:v>
      </x:c>
      <x:c r="C6473" s="24" t="e">
        <x:f>HYPERLINK("https://365nails.com/products/pastel-flower-collection-sunshine-pastel-wildflower-3d-embossed-nail-sticker","Pastel Flower Collection: ""Sunshine &amp; Pastel Wildflower"" – 3D Embossed Nail Sticker")</x:f>
        <x:v>HYPERLINK is not implemented. linkLocation=https://365nails.com/products/pastel-flower-collection-sunshine-pastel-wildflower-3d-embossed-nail-sticker, friendlyName=Pastel Flower Collection: "Sunshine &amp; Pastel Wildflower" – 3D Embossed Nail Sticker</x:v>
      </x:c>
      <x:c r="D6473" s="18" t="str">
        <x:v>Specification type: To5581-relief / To5582-shell light / To5583-relief</x:v>
      </x:c>
      <x:c r="E6473" s="25" t="str">
        <x:v>$1.23</x:v>
      </x:c>
      <x:c r="F6473" s="19" t="str">
        <x:v>5</x:v>
      </x:c>
    </x:row>
    <x:row r="6474" ht="93" customHeight="1">
      <x:c r="A6474" s="19" t="n">
        <x:v>6471</x:v>
      </x:c>
      <x:c r="B6474" s="22" t="e">
        <x:f>HYPERLINK("https://cdn.shopify.com/s/files/1/0918/6066/4603/files/O1CN01a4nk131HlWwhgArZa__2545140798-0-cib.jpg?v=1773493548","Open")</x:f>
        <x:v>HYPERLINK is not implemented. linkLocation=https://cdn.shopify.com/s/files/1/0918/6066/4603/files/O1CN01a4nk131HlWwhgArZa__2545140798-0-cib.jpg?v=1773493548, friendlyName=Open</x:v>
      </x:c>
      <x:c r="C6474" s="24" t="e">
        <x:f>HYPERLINK("https://365nails.com/products/autumn-forest-bunny-collection-cozy-autumn-3d-embossed-nail-sticker","Autumn Forest Bunny Collection: ""Cozy Autumn"" – 3D Embossed Nail Sticker")</x:f>
        <x:v>HYPERLINK is not implemented. linkLocation=https://365nails.com/products/autumn-forest-bunny-collection-cozy-autumn-3d-embossed-nail-sticker, friendlyName=Autumn Forest Bunny Collection: "Cozy Autumn" – 3D Embossed Nail Sticker</x:v>
      </x:c>
      <x:c r="D6474" s="18" t="str">
        <x:v>Specification type: To3426 / To3428 / To3430 / To3434</x:v>
      </x:c>
      <x:c r="E6474" s="25" t="str">
        <x:v>$1.23</x:v>
      </x:c>
      <x:c r="F6474" s="19" t="str">
        <x:v>5</x:v>
      </x:c>
    </x:row>
    <x:row r="6475" ht="93" customHeight="1">
      <x:c r="A6475" s="19" t="n">
        <x:v>6472</x:v>
      </x:c>
      <x:c r="B6475" s="22" t="e">
        <x:f>HYPERLINK("https://cdn.shopify.com/s/files/1/0918/6066/4603/files/3f717b2e5ba4f4cd4f2321e784a9df97.jpg?v=1777809558","Open")</x:f>
        <x:v>HYPERLINK is not implemented. linkLocation=https://cdn.shopify.com/s/files/1/0918/6066/4603/files/3f717b2e5ba4f4cd4f2321e784a9df97.jpg?v=1777809558, friendlyName=Open</x:v>
      </x:c>
      <x:c r="C6475" s="24" t="e">
        <x:f>HYPERLINK("https://365nails.com/products/365nails-golden-edge-sakura-3d-floral-handmade-medium-stiletto-press-on-nails","365nails: ""Golden Edge Sakura"" – 3D Floral Handmade Medium Stiletto Press-On Nails")</x:f>
        <x:v>HYPERLINK is not implemented. linkLocation=https://365nails.com/products/365nails-golden-edge-sakura-3d-floral-handmade-medium-stiletto-press-on-nails, friendlyName=365nails: "Golden Edge Sakura" – 3D Floral Handmade Medium Stiletto Press-On Nails</x:v>
      </x:c>
      <x:c r="D6475" s="18" t="str">
        <x:v>Size: XS / S / M / L</x:v>
      </x:c>
      <x:c r="E6475" s="25" t="str">
        <x:v>$2.99</x:v>
      </x:c>
      <x:c r="F6475" s="19" t="str">
        <x:v>5</x:v>
      </x:c>
    </x:row>
    <x:row r="6476" ht="93" customHeight="1">
      <x:c r="A6476" s="19" t="n">
        <x:v>6473</x:v>
      </x:c>
      <x:c r="B6476" s="22" t="e">
        <x:f>HYPERLINK("https://cdn.shopify.com/s/files/1/0918/6066/4603/files/e2b131e12a0c6cd3b59d4fa0128a9646.jpg?v=1777809785","Open")</x:f>
        <x:v>HYPERLINK is not implemented. linkLocation=https://cdn.shopify.com/s/files/1/0918/6066/4603/files/e2b131e12a0c6cd3b59d4fa0128a9646.jpg?v=1777809785, friendlyName=Open</x:v>
      </x:c>
      <x:c r="C6476" s="24" t="e">
        <x:f>HYPERLINK("https://365nails.com/products/365nails-blush-cherry-blossom-3d-floral-handmade-short-oval-press-on-nails","365nails: ""Blush Cherry Blossom"" – 3D Floral Handmade Short Oval Press-On Nails")</x:f>
        <x:v>HYPERLINK is not implemented. linkLocation=https://365nails.com/products/365nails-blush-cherry-blossom-3d-floral-handmade-short-oval-press-on-nails, friendlyName=365nails: "Blush Cherry Blossom" – 3D Floral Handmade Short Oval Press-On Nails</x:v>
      </x:c>
      <x:c r="D6476" s="18" t="str">
        <x:v>Size: XS / S / M / L</x:v>
      </x:c>
      <x:c r="E6476" s="25" t="str">
        <x:v>$2.99</x:v>
      </x:c>
      <x:c r="F6476" s="19" t="str">
        <x:v>5</x:v>
      </x:c>
    </x:row>
    <x:row r="6477" ht="93" customHeight="1">
      <x:c r="A6477" s="19" t="n">
        <x:v>6474</x:v>
      </x:c>
      <x:c r="B6477" s="22" t="e">
        <x:f>HYPERLINK("https://cdn.shopify.com/s/files/1/0918/6066/4603/files/4be1fc1cc7f8d0d87e9656182a38c9d2.jpg?v=1773466764","Open")</x:f>
        <x:v>HYPERLINK is not implemented. linkLocation=https://cdn.shopify.com/s/files/1/0918/6066/4603/files/4be1fc1cc7f8d0d87e9656182a38c9d2.jpg?v=1773466764, friendlyName=Open</x:v>
      </x:c>
      <x:c r="C6477" s="24" t="e">
        <x:f>HYPERLINK("https://365nails.com/products/iridescent-shell-pearl-goldfish-shell-pearl-goldfish-collection","""Iridescent Shell Pearl Goldfish"" – Shell Pearl Goldfish Collection")</x:f>
        <x:v>HYPERLINK is not implemented. linkLocation=https://365nails.com/products/iridescent-shell-pearl-goldfish-shell-pearl-goldfish-collection, friendlyName="Iridescent Shell Pearl Goldfish" – Shell Pearl Goldfish Collection</x:v>
      </x:c>
      <x:c r="D6477" s="18" t="str">
        <x:v>Specification type: To3320 / To3321 / To3380</x:v>
      </x:c>
      <x:c r="E6477" s="25" t="str">
        <x:v>$1.23</x:v>
      </x:c>
      <x:c r="F6477" s="19" t="str">
        <x:v>5</x:v>
      </x:c>
    </x:row>
    <x:row r="6478" ht="93" customHeight="1">
      <x:c r="A6478" s="19" t="n">
        <x:v>6475</x:v>
      </x:c>
      <x:c r="B6478" s="22" t="e">
        <x:f>HYPERLINK("https://cdn.shopify.com/s/files/1/0918/6066/4603/files/c236c65084b7552dce134ae1c024e00b.jpg?v=1773464144","Open")</x:f>
        <x:v>HYPERLINK is not implemented. linkLocation=https://cdn.shopify.com/s/files/1/0918/6066/4603/files/c236c65084b7552dce134ae1c024e00b.jpg?v=1773464144, friendlyName=Open</x:v>
      </x:c>
      <x:c r="C6478" s="24" t="e">
        <x:f>HYPERLINK("https://365nails.com/products/vintage-gold-collection-antique-gold-charm-3d-embossed-nail-sticker","Vintage Gold Collection: ""Antique Gold Charm"" – 3D Embossed Nail Sticker")</x:f>
        <x:v>HYPERLINK is not implemented. linkLocation=https://365nails.com/products/vintage-gold-collection-antique-gold-charm-3d-embossed-nail-sticker, friendlyName=Vintage Gold Collection: "Antique Gold Charm" – 3D Embossed Nail Sticker</x:v>
      </x:c>
      <x:c r="D6478" s="18" t="str">
        <x:v>Specification type: Ms892-metal / Ms893-metal</x:v>
      </x:c>
      <x:c r="E6478" s="25" t="str">
        <x:v>$1.23</x:v>
      </x:c>
      <x:c r="F6478" s="19" t="str">
        <x:v>5</x:v>
      </x:c>
    </x:row>
    <x:row r="6479" ht="93" customHeight="1">
      <x:c r="A6479" s="19" t="n">
        <x:v>6476</x:v>
      </x:c>
      <x:c r="B6479" s="22" t="e">
        <x:f>HYPERLINK("https://cdn.shopify.com/s/files/1/0918/6066/4603/files/O1CN01FaGdwn1HlX0pxpOOO__2545140798-0-cib.jpg?v=1772627451","Open")</x:f>
        <x:v>HYPERLINK is not implemented. linkLocation=https://cdn.shopify.com/s/files/1/0918/6066/4603/files/O1CN01FaGdwn1HlX0pxpOOO__2545140798-0-cib.jpg?v=1772627451, friendlyName=Open</x:v>
      </x:c>
      <x:c r="C6479" s="24" t="e">
        <x:f>HYPERLINK("https://365nails.com/products/gold-foil-crescent-nail-stickers-pink-gold-moon-star-set","Gold Foil Crescent Nail Stickers – Pink &amp; Gold Moon Star Set")</x:f>
        <x:v>HYPERLINK is not implemented. linkLocation=https://365nails.com/products/gold-foil-crescent-nail-stickers-pink-gold-moon-star-set, friendlyName=Gold Foil Crescent Nail Stickers – Pink &amp; Gold Moon Star Set</x:v>
      </x:c>
      <x:c r="D6479" s="18" t="str">
        <x:v>Specification type: Ms598-new hot stamping jelly / Ms598-silver jelly</x:v>
      </x:c>
      <x:c r="E6479" s="25" t="str">
        <x:v>$1.23</x:v>
      </x:c>
      <x:c r="F6479" s="19" t="str">
        <x:v>5</x:v>
      </x:c>
    </x:row>
    <x:row r="6480" ht="93" customHeight="1">
      <x:c r="A6480" s="19" t="n">
        <x:v>6477</x:v>
      </x:c>
      <x:c r="B6480" s="22" t="e">
        <x:f>HYPERLINK("https://cdn.shopify.com/s/files/1/0918/6066/4603/files/1ad2d0b09657a65c9a30e0664c66a0c1.jpg?v=1773465924","Open")</x:f>
        <x:v>HYPERLINK is not implemented. linkLocation=https://cdn.shopify.com/s/files/1/0918/6066/4603/files/1ad2d0b09657a65c9a30e0664c66a0c1.jpg?v=1773465924, friendlyName=Open</x:v>
      </x:c>
      <x:c r="C6480" s="24" t="e">
        <x:f>HYPERLINK("https://365nails.com/products/pink-gothic-doll-collection-sweet-pink-gothic-doll-3d-embossed-nail-sticker","Pink Gothic Doll Collection: ""Sweet Pink Gothic Doll"" – 3D Embossed Nail Sticker")</x:f>
        <x:v>HYPERLINK is not implemented. linkLocation=https://365nails.com/products/pink-gothic-doll-collection-sweet-pink-gothic-doll-3d-embossed-nail-sticker, friendlyName=Pink Gothic Doll Collection: "Sweet Pink Gothic Doll" – 3D Embossed Nail Sticker</x:v>
      </x:c>
      <x:c r="D6480" s="18" t="str">
        <x:v>Specification type: To5496-relief / To5510-shell light</x:v>
      </x:c>
      <x:c r="E6480" s="25" t="str">
        <x:v>$0.80</x:v>
      </x:c>
      <x:c r="F6480" s="19" t="str">
        <x:v>5</x:v>
      </x:c>
    </x:row>
    <x:row r="6481" ht="93" customHeight="1">
      <x:c r="A6481" s="19" t="n">
        <x:v>6478</x:v>
      </x:c>
      <x:c r="B6481" s="22" t="e">
        <x:f>HYPERLINK("https://cdn.shopify.com/s/files/1/0918/6066/4603/files/a0d4d21ceb4ce500a2917e43a537a492.jpg?v=1777809647","Open")</x:f>
        <x:v>HYPERLINK is not implemented. linkLocation=https://cdn.shopify.com/s/files/1/0918/6066/4603/files/a0d4d21ceb4ce500a2917e43a537a492.jpg?v=1777809647, friendlyName=Open</x:v>
      </x:c>
      <x:c r="C6481" s="24" t="e">
        <x:f>HYPERLINK("https://365nails.com/products/365nails-strawberry-heart-lace-handmade-medium-stiletto-press-on-nails","365nails: ""Strawberry Heart Lace"" – Handmade Medium Stiletto Press-On Nails")</x:f>
        <x:v>HYPERLINK is not implemented. linkLocation=https://365nails.com/products/365nails-strawberry-heart-lace-handmade-medium-stiletto-press-on-nails, friendlyName=365nails: "Strawberry Heart Lace" – Handmade Medium Stiletto Press-On Nails</x:v>
      </x:c>
      <x:c r="D6481" s="18" t="str">
        <x:v>Size: XS / S / M / L</x:v>
      </x:c>
      <x:c r="E6481" s="25" t="str">
        <x:v>$2.99</x:v>
      </x:c>
      <x:c r="F6481" s="19" t="str">
        <x:v>5</x:v>
      </x:c>
    </x:row>
    <x:row r="6482" ht="93" customHeight="1">
      <x:c r="A6482" s="19" t="n">
        <x:v>6479</x:v>
      </x:c>
      <x:c r="B6482" s="22" t="e">
        <x:f>HYPERLINK("https://cdn.shopify.com/s/files/1/0918/6066/4603/files/9e8e596be62a24e9529aa744b72386ce.jpg?v=1773465610","Open")</x:f>
        <x:v>HYPERLINK is not implemented. linkLocation=https://cdn.shopify.com/s/files/1/0918/6066/4603/files/9e8e596be62a24e9529aa744b72386ce.jpg?v=1773465610, friendlyName=Open</x:v>
      </x:c>
      <x:c r="C6482" s="24" t="e">
        <x:f>HYPERLINK("https://365nails.com/products/sweet-kitten-collection-iridescent-sweet-kitten-3d-embossed-nail-sticker","Sweet Kitten Collection: ""Iridescent Sweet Kitten"" – 3D Embossed Nail Sticker")</x:f>
        <x:v>HYPERLINK is not implemented. linkLocation=https://365nails.com/products/sweet-kitten-collection-iridescent-sweet-kitten-3d-embossed-nail-sticker, friendlyName=Sweet Kitten Collection: "Iridescent Sweet Kitten" – 3D Embossed Nail Sticker</x:v>
      </x:c>
      <x:c r="D6482" s="18" t="str">
        <x:v>Specification type: To4718-shell light / To4736-relief</x:v>
      </x:c>
      <x:c r="E6482" s="25" t="str">
        <x:v>$1.23</x:v>
      </x:c>
      <x:c r="F6482" s="19" t="str">
        <x:v>5</x:v>
      </x:c>
    </x:row>
    <x:row r="6483" ht="93" customHeight="1">
      <x:c r="A6483" s="19" t="n">
        <x:v>6480</x:v>
      </x:c>
      <x:c r="B6483" s="22" t="e">
        <x:f>HYPERLINK("https://cdn.shopify.com/s/files/1/0918/6066/4603/files/0a177ad549b9713619e37c916f6ba54d.jpg?v=1773464402","Open")</x:f>
        <x:v>HYPERLINK is not implemented. linkLocation=https://cdn.shopify.com/s/files/1/0918/6066/4603/files/0a177ad549b9713619e37c916f6ba54d.jpg?v=1773464402, friendlyName=Open</x:v>
      </x:c>
      <x:c r="C6483" s="24" t="e">
        <x:f>HYPERLINK("https://365nails.com/products/crystal-bow-collection-black-crystal-bow-3d-embossed-nail-sticker","Crystal Bow Collection: ""Black Crystal Bow"" – 3D Embossed Nail Sticker")</x:f>
        <x:v>HYPERLINK is not implemented. linkLocation=https://365nails.com/products/crystal-bow-collection-black-crystal-bow-3d-embossed-nail-sticker, friendlyName=Crystal Bow Collection: "Black Crystal Bow" – 3D Embossed Nail Sticker</x:v>
      </x:c>
      <x:c r="D6483" s="18" t="str">
        <x:v>Specification type: To4775-crystal diamond / To4776-crystal diamond / To4775-1 crystal diamond / To4776-1 crystal diamond</x:v>
      </x:c>
      <x:c r="E6483" s="25" t="str">
        <x:v>$1.30</x:v>
      </x:c>
      <x:c r="F6483" s="19" t="str">
        <x:v>5</x:v>
      </x:c>
    </x:row>
    <x:row r="6484" ht="93" customHeight="1">
      <x:c r="A6484" s="19" t="n">
        <x:v>6481</x:v>
      </x:c>
      <x:c r="B6484" s="22" t="e">
        <x:f>HYPERLINK("https://cdn.shopify.com/s/files/1/0918/6066/4603/files/O1CN01dLFTsy1HlWxL2lcId__2545140798-0-cib_f613e2be-d57e-44b7-b9f7-c107f8572596.jpg?v=1772629444","Open")</x:f>
        <x:v>HYPERLINK is not implemented. linkLocation=https://cdn.shopify.com/s/files/1/0918/6066/4603/files/O1CN01dLFTsy1HlWxL2lcId__2545140798-0-cib_f613e2be-d57e-44b7-b9f7-c107f8572596.jpg?v=1772629444, friendlyName=Open</x:v>
      </x:c>
      <x:c r="C6484" s="24" t="e">
        <x:f>HYPERLINK("https://365nails.com/products/lace-ribbon-plaid-heart-nail-stickers-3d-embossed-coquette-collection","Lace Ribbon &amp; Plaid Heart Nail Stickers – 3D Embossed Coquette Collection")</x:f>
        <x:v>HYPERLINK is not implemented. linkLocation=https://365nails.com/products/lace-ribbon-plaid-heart-nail-stickers-3d-embossed-coquette-collection, friendlyName=Lace Ribbon &amp; Plaid Heart Nail Stickers – 3D Embossed Coquette Collection</x:v>
      </x:c>
      <x:c r="D6484" s="18" t="str">
        <x:v>Specification type: To3493 / To3494 / To3515</x:v>
      </x:c>
      <x:c r="E6484" s="25" t="str">
        <x:v>$1.23</x:v>
      </x:c>
      <x:c r="F6484" s="19" t="str">
        <x:v>5</x:v>
      </x:c>
    </x:row>
    <x:row r="6485" ht="93" customHeight="1">
      <x:c r="A6485" s="19" t="n">
        <x:v>6482</x:v>
      </x:c>
      <x:c r="B6485" s="22" t="e">
        <x:f>HYPERLINK("https://cdn.shopify.com/s/files/1/0918/6066/4603/files/88fe240e95fbff11066ec86a46a2ea3e.jpg?v=1772871233","Open")</x:f>
        <x:v>HYPERLINK is not implemented. linkLocation=https://cdn.shopify.com/s/files/1/0918/6066/4603/files/88fe240e95fbff11066ec86a46a2ea3e.jpg?v=1772871233, friendlyName=Open</x:v>
      </x:c>
      <x:c r="C6485" s="24" t="e">
        <x:f>HYPERLINK("https://365nails.com/products/cute-cat-face-nail-stickers-5d-embossed-happy-animal-set","Cute Cat Face Nail Stickers – 5D Embossed Happy Animal Set")</x:f>
        <x:v>HYPERLINK is not implemented. linkLocation=https://365nails.com/products/cute-cat-face-nail-stickers-5d-embossed-happy-animal-set, friendlyName=Cute Cat Face Nail Stickers – 5D Embossed Happy Animal Set</x:v>
      </x:c>
      <x:c r="D6485" s="18" t="str">
        <x:v>Specification type: To4663</x:v>
      </x:c>
      <x:c r="E6485" s="25" t="str">
        <x:v>$1.09</x:v>
      </x:c>
      <x:c r="F6485" s="19" t="str">
        <x:v>5</x:v>
      </x:c>
    </x:row>
    <x:row r="6486" ht="93" customHeight="1">
      <x:c r="A6486" s="19" t="n">
        <x:v>6483</x:v>
      </x:c>
      <x:c r="B6486" s="22" t="e">
        <x:f>HYPERLINK("https://cdn.shopify.com/s/files/1/0918/6066/4603/files/59646ffc7cf6eacd58bd699ccfc24b94.jpg?v=1772871133","Open")</x:f>
        <x:v>HYPERLINK is not implemented. linkLocation=https://cdn.shopify.com/s/files/1/0918/6066/4603/files/59646ffc7cf6eacd58bd699ccfc24b94.jpg?v=1772871133, friendlyName=Open</x:v>
      </x:c>
      <x:c r="C6486" s="24" t="e">
        <x:f>HYPERLINK("https://365nails.com/products/warm-brown-butterfly-nail-stickers-5d-embossed-delicate-flutter-set","Warm Brown Butterfly Nail Stickers – 5D Embossed Delicate Flutter Set")</x:f>
        <x:v>HYPERLINK is not implemented. linkLocation=https://365nails.com/products/warm-brown-butterfly-nail-stickers-5d-embossed-delicate-flutter-set, friendlyName=Warm Brown Butterfly Nail Stickers – 5D Embossed Delicate Flutter Set</x:v>
      </x:c>
      <x:c r="D6486" s="18" t="str">
        <x:v>Specification type: To4624-jelly</x:v>
      </x:c>
      <x:c r="E6486" s="25" t="str">
        <x:v>$1.23</x:v>
      </x:c>
      <x:c r="F6486" s="19" t="str">
        <x:v>5</x:v>
      </x:c>
    </x:row>
    <x:row r="6487" ht="93" customHeight="1">
      <x:c r="A6487" s="19" t="n">
        <x:v>6484</x:v>
      </x:c>
      <x:c r="B6487" s="22" t="e">
        <x:f>HYPERLINK("https://cdn.shopify.com/s/files/1/0918/6066/4603/files/O1CN01DlUUsM1HlWqBf1bJg__2545140798-0-cib.jpg?v=1772717502","Open")</x:f>
        <x:v>HYPERLINK is not implemented. linkLocation=https://cdn.shopify.com/s/files/1/0918/6066/4603/files/O1CN01DlUUsM1HlWqBf1bJg__2545140798-0-cib.jpg?v=1772717502, friendlyName=Open</x:v>
      </x:c>
      <x:c r="C6487" s="24" t="e">
        <x:f>HYPERLINK("https://365nails.com/products/pearl-chain-nail-stickers-3d-embossed-bridal-vintage-set-1","Pearl Chain Nail Stickers – 3D Embossed Bridal &amp; Vintage Set")</x:f>
        <x:v>HYPERLINK is not implemented. linkLocation=https://365nails.com/products/pearl-chain-nail-stickers-3d-embossed-bridal-vintage-set-1, friendlyName=Pearl Chain Nail Stickers – 3D Embossed Bridal &amp; Vintage Set</x:v>
      </x:c>
      <x:c r="D6487" s="18" t="str">
        <x:v>Specification type: To742</x:v>
      </x:c>
      <x:c r="E6487" s="25" t="str">
        <x:v>$1.23</x:v>
      </x:c>
      <x:c r="F6487" s="19" t="str">
        <x:v>5</x:v>
      </x:c>
    </x:row>
    <x:row r="6488" ht="93" customHeight="1">
      <x:c r="A6488" s="19" t="n">
        <x:v>6485</x:v>
      </x:c>
      <x:c r="B6488" s="22" t="e">
        <x:f>HYPERLINK("https://cdn.shopify.com/s/files/1/0918/6066/4603/files/b29fd36e5106342f0f49c1289d7ee025.jpg?v=1772801742","Open")</x:f>
        <x:v>HYPERLINK is not implemented. linkLocation=https://cdn.shopify.com/s/files/1/0918/6066/4603/files/b29fd36e5106342f0f49c1289d7ee025.jpg?v=1772801742, friendlyName=Open</x:v>
      </x:c>
      <x:c r="C6488" s="24" t="e">
        <x:f>HYPERLINK("https://365nails.com/products/red-riding-hood-fairytale-nail-stickers-5d-embossed-whimsical-set","Red Riding Hood &amp; Fairytale Nail Stickers – 5D Embossed Whimsical Set")</x:f>
        <x:v>HYPERLINK is not implemented. linkLocation=https://365nails.com/products/red-riding-hood-fairytale-nail-stickers-5d-embossed-whimsical-set, friendlyName=Red Riding Hood &amp; Fairytale Nail Stickers – 5D Embossed Whimsical Set</x:v>
      </x:c>
      <x:c r="D6488" s="18" t="str">
        <x:v>Specification type: To3664</x:v>
      </x:c>
      <x:c r="E6488" s="25" t="str">
        <x:v>$1.23</x:v>
      </x:c>
      <x:c r="F6488" s="19" t="str">
        <x:v>5</x:v>
      </x:c>
    </x:row>
    <x:row r="6489" ht="93" customHeight="1">
      <x:c r="A6489" s="19" t="n">
        <x:v>6486</x:v>
      </x:c>
      <x:c r="B6489" s="22" t="e">
        <x:f>HYPERLINK("https://cdn.shopify.com/s/files/1/0918/6066/4603/files/O1CN01kKSY8C1HlX5QWhOQB__2545140798-0-cib.jpg?v=1776568454","Open")</x:f>
        <x:v>HYPERLINK is not implemented. linkLocation=https://cdn.shopify.com/s/files/1/0918/6066/4603/files/O1CN01kKSY8C1HlX5QWhOQB__2545140798-0-cib.jpg?v=1776568454, friendlyName=Open</x:v>
      </x:c>
      <x:c r="C6489" s="24" t="e">
        <x:f>HYPERLINK("https://365nails.com/products/365nails-snowflake-silicone-mold-nail-art-stickers","365nails: ""Snowflake Silicone Mold"" – nail art stickers")</x:f>
        <x:v>HYPERLINK is not implemented. linkLocation=https://365nails.com/products/365nails-snowflake-silicone-mold-nail-art-stickers, friendlyName=365nails: "Snowflake Silicone Mold" – nail art stickers</x:v>
      </x:c>
      <x:c r="D6489" s="18" t="str">
        <x:v>Specification type: Tom_01-snowflake mold</x:v>
      </x:c>
      <x:c r="E6489" s="25" t="str">
        <x:v>$1.58</x:v>
      </x:c>
      <x:c r="F6489" s="19" t="str">
        <x:v>5</x:v>
      </x:c>
    </x:row>
    <x:row r="6490" ht="93" customHeight="1">
      <x:c r="A6490" s="19" t="n">
        <x:v>6487</x:v>
      </x:c>
      <x:c r="B6490" s="22" t="e">
        <x:f>HYPERLINK("https://cdn.shopify.com/s/files/1/0918/6066/4603/files/O1CN01AqeiYh1HlX8QIZYmr__2545140798-0-cib.jpg?v=1773233611","Open")</x:f>
        <x:v>HYPERLINK is not implemented. linkLocation=https://cdn.shopify.com/s/files/1/0918/6066/4603/files/O1CN01AqeiYh1HlX8QIZYmr__2545140798-0-cib.jpg?v=1773233611, friendlyName=Open</x:v>
      </x:c>
      <x:c r="C6490" s="24" t="e">
        <x:f>HYPERLINK("https://365nails.com/products/silver-cross-gothic-edgy-religious-nail-art-set","Silver Cross Gothic – Edgy Religious Nail Art Stickers")</x:f>
        <x:v>HYPERLINK is not implemented. linkLocation=https://365nails.com/products/silver-cross-gothic-edgy-religious-nail-art-set, friendlyName=Silver Cross Gothic – Edgy Religious Nail Art Stickers</x:v>
      </x:c>
      <x:c r="D6490" s="18" t="str">
        <x:v>Specification type: Ms833-new hot stamping / Ms833-silver / Ms834-new hot stamping / Ms834-silver</x:v>
      </x:c>
      <x:c r="E6490" s="25" t="str">
        <x:v>$1.23</x:v>
      </x:c>
      <x:c r="F6490" s="19" t="str">
        <x:v>1</x:v>
      </x:c>
    </x:row>
    <x:row r="6491" ht="93" customHeight="1">
      <x:c r="A6491" s="19" t="n">
        <x:v>6488</x:v>
      </x:c>
      <x:c r="B6491" s="22" t="e">
        <x:f>HYPERLINK("https://cdn.shopify.com/s/files/1/0918/6066/4603/files/O1CN01HL6vEc1HlXA3otQRX__2545140798-0-cib.jpg?v=1772702093","Open")</x:f>
        <x:v>HYPERLINK is not implemented. linkLocation=https://cdn.shopify.com/s/files/1/0918/6066/4603/files/O1CN01HL6vEc1HlXA3otQRX__2545140798-0-cib.jpg?v=1772702093, friendlyName=Open</x:v>
      </x:c>
      <x:c r="C6491" s="24" t="e">
        <x:f>HYPERLINK("https://365nails.com/products/embossed-rocking-horse-nail-stickers-plaid-star-set","Embossed Rocking Horse Nail Stickers – Plaid &amp; Star Set")</x:f>
        <x:v>HYPERLINK is not implemented. linkLocation=https://365nails.com/products/embossed-rocking-horse-nail-stickers-plaid-star-set, friendlyName=Embossed Rocking Horse Nail Stickers – Plaid &amp; Star Set</x:v>
      </x:c>
      <x:c r="D6491" s="18" t="str">
        <x:v>Specification type: To5440-relief</x:v>
      </x:c>
      <x:c r="E6491" s="25" t="str">
        <x:v>$1.23</x:v>
      </x:c>
      <x:c r="F6491" s="19" t="str">
        <x:v>5</x:v>
      </x:c>
    </x:row>
    <x:row r="6492" ht="93" customHeight="1">
      <x:c r="A6492" s="19" t="n">
        <x:v>6489</x:v>
      </x:c>
      <x:c r="B6492" s="22" t="e">
        <x:f>HYPERLINK("https://cdn.shopify.com/s/files/1/0918/6066/4603/files/0e907f1eb390bd4964ce315793f082a5.jpg?v=1772863577","Open")</x:f>
        <x:v>HYPERLINK is not implemented. linkLocation=https://cdn.shopify.com/s/files/1/0918/6066/4603/files/0e907f1eb390bd4964ce315793f082a5.jpg?v=1772863577, friendlyName=Open</x:v>
      </x:c>
      <x:c r="C6492" s="24" t="e">
        <x:f>HYPERLINK("https://365nails.com/products/holographic-floral-bird-nail-stickers-5d-embossed-dreamy-garden-set","Holographic Floral &amp; Bird Nail Stickers – 5D Embossed Dreamy Garden Set")</x:f>
        <x:v>HYPERLINK is not implemented. linkLocation=https://365nails.com/products/holographic-floral-bird-nail-stickers-5d-embossed-dreamy-garden-set, friendlyName=Holographic Floral &amp; Bird Nail Stickers – 5D Embossed Dreamy Garden Set</x:v>
      </x:c>
      <x:c r="D6492" s="18" t="str">
        <x:v>Specification type: To4213-shell light / To4263-new hot stamping</x:v>
      </x:c>
      <x:c r="E6492" s="25" t="str">
        <x:v>$1.23</x:v>
      </x:c>
      <x:c r="F6492" s="19" t="str">
        <x:v>5</x:v>
      </x:c>
    </x:row>
    <x:row r="6493" ht="93" customHeight="1">
      <x:c r="A6493" s="19" t="n">
        <x:v>6490</x:v>
      </x:c>
      <x:c r="B6493" s="22" t="e">
        <x:f>HYPERLINK("https://cdn.shopify.com/s/files/1/0918/6066/4603/files/O1CN010S3nzT1HlWnaU3HZR__2545140798-0-cib.jpg?v=1772718860","Open")</x:f>
        <x:v>HYPERLINK is not implemented. linkLocation=https://cdn.shopify.com/s/files/1/0918/6066/4603/files/O1CN010S3nzT1HlWnaU3HZR__2545140798-0-cib.jpg?v=1772718860, friendlyName=Open</x:v>
      </x:c>
      <x:c r="C6493" s="24" t="e">
        <x:f>HYPERLINK("https://365nails.com/products/doraemon-nail-stickers-5d-embossed-classic-cartoon-set","Doraemon Nail Stickers – 5D Embossed Classic Cartoon Set")</x:f>
        <x:v>HYPERLINK is not implemented. linkLocation=https://365nails.com/products/doraemon-nail-stickers-5d-embossed-classic-cartoon-set, friendlyName=Doraemon Nail Stickers – 5D Embossed Classic Cartoon Set</x:v>
      </x:c>
      <x:c r="D6493" s="18" t="str">
        <x:v>Specification type: To1286 / To972</x:v>
      </x:c>
      <x:c r="E6493" s="25" t="str">
        <x:v>$1.23</x:v>
      </x:c>
      <x:c r="F6493" s="19" t="str">
        <x:v>5</x:v>
      </x:c>
    </x:row>
    <x:row r="6494" ht="93" customHeight="1">
      <x:c r="A6494" s="19" t="n">
        <x:v>6491</x:v>
      </x:c>
      <x:c r="B6494" s="22" t="e">
        <x:f>HYPERLINK("https://cdn.shopify.com/s/files/1/0918/6066/4603/files/O1CN01016IPr1HlX5tMobwT__2545140798-0-cib.jpg?v=1773473386","Open")</x:f>
        <x:v>HYPERLINK is not implemented. linkLocation=https://cdn.shopify.com/s/files/1/0918/6066/4603/files/O1CN01016IPr1HlX5tMobwT__2545140798-0-cib.jpg?v=1773473386, friendlyName=Open</x:v>
      </x:c>
      <x:c r="C6494" s="24" t="e">
        <x:f>HYPERLINK("https://365nails.com/products/crystal-flower-collection-holographic-crystal-wildflower-3d-embossed-nail-sticker","Crystal Flower Collection: ""Holographic Crystal Wildflower"" – 3D Embossed Nail Sticker")</x:f>
        <x:v>HYPERLINK is not implemented. linkLocation=https://365nails.com/products/crystal-flower-collection-holographic-crystal-wildflower-3d-embossed-nail-sticker, friendlyName=Crystal Flower Collection: "Holographic Crystal Wildflower" – 3D Embossed Nail Sticker</x:v>
      </x:c>
      <x:c r="D6494" s="18" t="str">
        <x:v>Specification type: To4890-crystal diamond / To4892-crystal diamond / To4913-crystal diamond</x:v>
      </x:c>
      <x:c r="E6494" s="25" t="str">
        <x:v>$1.30</x:v>
      </x:c>
      <x:c r="F6494" s="19" t="str">
        <x:v>5</x:v>
      </x:c>
    </x:row>
    <x:row r="6495" ht="93" customHeight="1">
      <x:c r="A6495" s="19" t="n">
        <x:v>6492</x:v>
      </x:c>
      <x:c r="B6495" s="22" t="e">
        <x:f>HYPERLINK("https://cdn.shopify.com/s/files/1/0918/6066/4603/files/O1CN01n8unHF1HlX5ycBzxJ__2545140798-0-cib.jpg?v=1772627082","Open")</x:f>
        <x:v>HYPERLINK is not implemented. linkLocation=https://cdn.shopify.com/s/files/1/0918/6066/4603/files/O1CN01n8unHF1HlX5ycBzxJ__2545140798-0-cib.jpg?v=1772627082, friendlyName=Open</x:v>
      </x:c>
      <x:c r="C6495" s="24" t="e">
        <x:f>HYPERLINK("https://365nails.com/products/3d-embossed-spider-web-lace-nail-stickers-white-sheer-mesh-texture-set","3D Embossed Spider Web Lace Nail Stickers – White Sheer Mesh Texture Set")</x:f>
        <x:v>HYPERLINK is not implemented. linkLocation=https://365nails.com/products/3d-embossed-spider-web-lace-nail-stickers-white-sheer-mesh-texture-set, friendlyName=3D Embossed Spider Web Lace Nail Stickers – White Sheer Mesh Texture Set</x:v>
      </x:c>
      <x:c r="D6495" s="18" t="str">
        <x:v>Specification type: To4952 / To4953 / To4954</x:v>
      </x:c>
      <x:c r="E6495" s="25" t="str">
        <x:v>$1.00</x:v>
      </x:c>
      <x:c r="F6495" s="19" t="str">
        <x:v>5</x:v>
      </x:c>
    </x:row>
    <x:row r="6496" ht="93" customHeight="1">
      <x:c r="A6496" s="19" t="n">
        <x:v>6493</x:v>
      </x:c>
      <x:c r="B6496" s="22" t="e">
        <x:f>HYPERLINK("https://cdn.shopify.com/s/files/1/0918/6066/4603/files/O1CN01mdZnX41HlX3DKnsMV__2545140798-0-cib.jpg?v=1773462481","Open")</x:f>
        <x:v>HYPERLINK is not implemented. linkLocation=https://cdn.shopify.com/s/files/1/0918/6066/4603/files/O1CN01mdZnX41HlX3DKnsMV__2545140798-0-cib.jpg?v=1773462481, friendlyName=Open</x:v>
      </x:c>
      <x:c r="C6496" s="24" t="e">
        <x:f>HYPERLINK("https://365nails.com/products/puppy-girl-collection-holographic-puppy-frame-3d-embossed-nail-sticker","Puppy Girl Collection: ""Holographic Puppy Frame"" – 3D Embossed Nail Sticker")</x:f>
        <x:v>HYPERLINK is not implemented. linkLocation=https://365nails.com/products/puppy-girl-collection-holographic-puppy-frame-3d-embossed-nail-sticker, friendlyName=Puppy Girl Collection: "Holographic Puppy Frame" – 3D Embossed Nail Sticker</x:v>
      </x:c>
      <x:c r="D6496" s="18" t="str">
        <x:v>Specification type: Mic-14-shell light / Mic-15-shell light / Mic-16-shell light / Mic-17-shell light</x:v>
      </x:c>
      <x:c r="E6496" s="25" t="str">
        <x:v>$1.23</x:v>
      </x:c>
      <x:c r="F6496" s="19" t="str">
        <x:v>5</x:v>
      </x:c>
    </x:row>
    <x:row r="6497" ht="93" customHeight="1">
      <x:c r="A6497" s="19" t="n">
        <x:v>6494</x:v>
      </x:c>
      <x:c r="B6497" s="22" t="e">
        <x:f>HYPERLINK("https://cdn.shopify.com/s/files/1/0918/6066/4603/files/O1CN01QtXLat1HlX3KajXae__2545140798-0-cib.jpg?v=1772865024","Open")</x:f>
        <x:v>HYPERLINK is not implemented. linkLocation=https://cdn.shopify.com/s/files/1/0918/6066/4603/files/O1CN01QtXLat1HlX3KajXae__2545140798-0-cib.jpg?v=1772865024, friendlyName=Open</x:v>
      </x:c>
      <x:c r="C6497" s="24" t="e">
        <x:f>HYPERLINK("https://365nails.com/products/white-cherry-blossom-nail-stickers-5d-embossed-delicate-bloom-set","White Cherry Blossom Nail Stickers – 5D Embossed Delicate Bloom Set")</x:f>
        <x:v>HYPERLINK is not implemented. linkLocation=https://365nails.com/products/white-cherry-blossom-nail-stickers-5d-embossed-delicate-bloom-set, friendlyName=White Cherry Blossom Nail Stickers – 5D Embossed Delicate Bloom Set</x:v>
      </x:c>
      <x:c r="D6497" s="18" t="str">
        <x:v>Specification type: To4389-relief</x:v>
      </x:c>
      <x:c r="E6497" s="25" t="str">
        <x:v>$1.23</x:v>
      </x:c>
      <x:c r="F6497" s="19" t="str">
        <x:v>5</x:v>
      </x:c>
    </x:row>
    <x:row r="6498" ht="93" customHeight="1">
      <x:c r="A6498" s="19" t="n">
        <x:v>6495</x:v>
      </x:c>
      <x:c r="B6498" s="22" t="e">
        <x:f>HYPERLINK("https://cdn.shopify.com/s/files/1/0918/6066/4603/files/O1CN01vEzW3Q1HlWqEw30YJ__2545140798-0-cib.jpg?v=1773554672","Open")</x:f>
        <x:v>HYPERLINK is not implemented. linkLocation=https://cdn.shopify.com/s/files/1/0918/6066/4603/files/O1CN01vEzW3Q1HlWqEw30YJ__2545140798-0-cib.jpg?v=1773554672, friendlyName=Open</x:v>
      </x:c>
      <x:c r="C6498" s="24" t="e">
        <x:f>HYPERLINK("https://365nails.com/products/opal-gemstone-medieval-opal-almond-shape-luxury-press-on-nails","Opal Gemstone: ""Medieval Opal"" – Almond Shape Luxury Press-On Nails")</x:f>
        <x:v>HYPERLINK is not implemented. linkLocation=https://365nails.com/products/opal-gemstone-medieval-opal-almond-shape-luxury-press-on-nails, friendlyName=Opal Gemstone: "Medieval Opal" – Almond Shape Luxury Press-On Nails</x:v>
      </x:c>
      <x:c r="D6498" s="18" t="str">
        <x:v>Specification type: Ms266-new hot stamping</x:v>
      </x:c>
      <x:c r="E6498" s="25" t="str">
        <x:v>$1.23</x:v>
      </x:c>
      <x:c r="F6498" s="19" t="str">
        <x:v>5</x:v>
      </x:c>
    </x:row>
    <x:row r="6499" ht="93" customHeight="1">
      <x:c r="A6499" s="19" t="n">
        <x:v>6496</x:v>
      </x:c>
      <x:c r="B6499" s="22" t="e">
        <x:f>HYPERLINK("https://cdn.shopify.com/s/files/1/0918/6066/4603/files/O1CN01QtD2hk1HlXAk6RhHt__2545140798-0-cib.jpg?v=1773493017","Open")</x:f>
        <x:v>HYPERLINK is not implemented. linkLocation=https://cdn.shopify.com/s/files/1/0918/6066/4603/files/O1CN01QtD2hk1HlXAk6RhHt__2545140798-0-cib.jpg?v=1773493017, friendlyName=Open</x:v>
      </x:c>
      <x:c r="C6499" s="24" t="e">
        <x:f>HYPERLINK("https://365nails.com/products/sweet-love-collection-romantic-love-3d-metallic-nail-sticker","Sweet Love Collection: ""Romantic Love"" – 3D Metallic Nail Sticker")</x:f>
        <x:v>HYPERLINK is not implemented. linkLocation=https://365nails.com/products/sweet-love-collection-romantic-love-3d-metallic-nail-sticker, friendlyName=Sweet Love Collection: "Romantic Love" – 3D Metallic Nail Sticker</x:v>
      </x:c>
      <x:c r="D6499" s="18" t="str">
        <x:v>Specification type: To5538-metal / To5557-metal</x:v>
      </x:c>
      <x:c r="E6499" s="25" t="str">
        <x:v>$1.23</x:v>
      </x:c>
      <x:c r="F6499" s="19" t="str">
        <x:v>5</x:v>
      </x:c>
    </x:row>
    <x:row r="6500" ht="93" customHeight="1">
      <x:c r="A6500" s="19" t="n">
        <x:v>6497</x:v>
      </x:c>
      <x:c r="B6500" s="22" t="e">
        <x:f>HYPERLINK("https://cdn.shopify.com/s/files/1/0918/6066/4603/files/4c4c653365687f88347f49a546661c51.jpg?v=1773465815","Open")</x:f>
        <x:v>HYPERLINK is not implemented. linkLocation=https://cdn.shopify.com/s/files/1/0918/6066/4603/files/4c4c653365687f88347f49a546661c51.jpg?v=1773465815, friendlyName=Open</x:v>
      </x:c>
      <x:c r="C6500" s="24" t="e">
        <x:f>HYPERLINK("https://365nails.com/products/ice-blue-butterfly-collection-crystal-ice-blue-butterfly-3d-embossed-nail-sticker","Ice Blue Butterfly Collection: ""Crystal Ice Blue Butterfly"" – 3D Embossed Nail Sticker")</x:f>
        <x:v>HYPERLINK is not implemented. linkLocation=https://365nails.com/products/ice-blue-butterfly-collection-crystal-ice-blue-butterfly-3d-embossed-nail-sticker, friendlyName=Ice Blue Butterfly Collection: "Crystal Ice Blue Butterfly" – 3D Embossed Nail Sticker</x:v>
      </x:c>
      <x:c r="D6500" s="18" t="str">
        <x:v>Specification type: Ms599-jelly / Ms603-jelly / Ms604-jelly / Ms605-jelly</x:v>
      </x:c>
      <x:c r="E6500" s="25" t="str">
        <x:v>$1.23</x:v>
      </x:c>
      <x:c r="F6500" s="19" t="str">
        <x:v>5</x:v>
      </x:c>
    </x:row>
    <x:row r="6501" ht="93" customHeight="1">
      <x:c r="A6501" s="19" t="n">
        <x:v>6498</x:v>
      </x:c>
      <x:c r="B6501" s="22" t="e">
        <x:f>HYPERLINK("https://cdn.shopify.com/s/files/1/0918/6066/4603/files/1fab3722de2e850ed1d420d663b4b73e.jpg?v=1772864605","Open")</x:f>
        <x:v>HYPERLINK is not implemented. linkLocation=https://cdn.shopify.com/s/files/1/0918/6066/4603/files/1fab3722de2e850ed1d420d663b4b73e.jpg?v=1772864605, friendlyName=Open</x:v>
      </x:c>
      <x:c r="C6501" s="24" t="e">
        <x:f>HYPERLINK("https://365nails.com/products/holographic-pastel-bow-nail-stickers-5d-embossed-dreamy-ribbon-set","Holographic Pastel Bow Nail Stickers – 5D Embossed Dreamy Ribbon Set")</x:f>
        <x:v>HYPERLINK is not implemented. linkLocation=https://365nails.com/products/holographic-pastel-bow-nail-stickers-5d-embossed-dreamy-ribbon-set, friendlyName=Holographic Pastel Bow Nail Stickers – 5D Embossed Dreamy Ribbon Set</x:v>
      </x:c>
      <x:c r="D6501" s="18" t="str">
        <x:v>Specification type: Ms681-shell light</x:v>
      </x:c>
      <x:c r="E6501" s="25" t="str">
        <x:v>$1.23</x:v>
      </x:c>
      <x:c r="F6501" s="19" t="str">
        <x:v>5</x:v>
      </x:c>
    </x:row>
    <x:row r="6502" ht="93" customHeight="1">
      <x:c r="A6502" s="19" t="n">
        <x:v>6499</x:v>
      </x:c>
      <x:c r="B6502" s="22" t="e">
        <x:f>HYPERLINK("https://cdn.shopify.com/s/files/1/0918/6066/4603/files/7cca9b1bf62c1f1a9f593edc8282d14b.jpg?v=1772809738","Open")</x:f>
        <x:v>HYPERLINK is not implemented. linkLocation=https://cdn.shopify.com/s/files/1/0918/6066/4603/files/7cca9b1bf62c1f1a9f593edc8282d14b.jpg?v=1772809738, friendlyName=Open</x:v>
      </x:c>
      <x:c r="C6502" s="24" t="e">
        <x:f>HYPERLINK("https://365nails.com/products/cute-puppy-kitten-nail-stickers-5d-embossed-kawaii-pet-set","Cute Puppy &amp; Kitten Nail Stickers – 5D Embossed Kawaii Pet Set")</x:f>
        <x:v>HYPERLINK is not implemented. linkLocation=https://365nails.com/products/cute-puppy-kitten-nail-stickers-5d-embossed-kawaii-pet-set, friendlyName=Cute Puppy &amp; Kitten Nail Stickers – 5D Embossed Kawaii Pet Set</x:v>
      </x:c>
      <x:c r="D6502" s="18" t="str">
        <x:v>Specification type: To4189-jelly</x:v>
      </x:c>
      <x:c r="E6502" s="25" t="str">
        <x:v>$1.23</x:v>
      </x:c>
      <x:c r="F6502" s="19" t="str">
        <x:v>5</x:v>
      </x:c>
    </x:row>
    <x:row r="6503" ht="93" customHeight="1">
      <x:c r="A6503" s="19" t="n">
        <x:v>6500</x:v>
      </x:c>
      <x:c r="B6503" s="22" t="e">
        <x:f>HYPERLINK("https://cdn.shopify.com/s/files/1/0918/6066/4603/files/O1CN019qWWTp1HlX6KIX7lZ__2545140798-0-cib.jpg?v=1772547861","Open")</x:f>
        <x:v>HYPERLINK is not implemented. linkLocation=https://cdn.shopify.com/s/files/1/0918/6066/4603/files/O1CN019qWWTp1HlX6KIX7lZ__2545140798-0-cib.jpg?v=1772547861, friendlyName=Open</x:v>
      </x:c>
      <x:c r="C6503" s="24" t="e">
        <x:f>HYPERLINK("https://365nails.com/products/gold-foil-watercolor-floral-nail-stickers-pressed-flower-collection","Gold Foil Watercolor Floral Nail Stickers – Pressed Flower Collection")</x:f>
        <x:v>HYPERLINK is not implemented. linkLocation=https://365nails.com/products/gold-foil-watercolor-floral-nail-stickers-pressed-flower-collection, friendlyName=Gold Foil Watercolor Floral Nail Stickers – Pressed Flower Collection</x:v>
      </x:c>
      <x:c r="D6503" s="18" t="str">
        <x:v>Specification type: To4026-metal / To4027-relief / To5026-metal / To5047-relief</x:v>
      </x:c>
      <x:c r="E6503" s="25" t="str">
        <x:v>$1.23</x:v>
      </x:c>
      <x:c r="F6503" s="19" t="str">
        <x:v>5</x:v>
      </x:c>
    </x:row>
    <x:row r="6504" ht="93" customHeight="1">
      <x:c r="A6504" s="19" t="n">
        <x:v>6501</x:v>
      </x:c>
      <x:c r="B6504" s="22" t="e">
        <x:f>HYPERLINK("https://cdn.shopify.com/s/files/1/0918/6066/4603/files/O1CN01YhKMAm1HlWzCs8ON6__2545140798-0-cib.jpg?v=1772802067","Open")</x:f>
        <x:v>HYPERLINK is not implemented. linkLocation=https://cdn.shopify.com/s/files/1/0918/6066/4603/files/O1CN01YhKMAm1HlWzCs8ON6__2545140798-0-cib.jpg?v=1772802067, friendlyName=Open</x:v>
      </x:c>
      <x:c r="C6504" s="24" t="e">
        <x:f>HYPERLINK("https://365nails.com/products/matte-heart-nail-stickers-5d-embossed-sweet-love-set","Matte Heart Nail Stickers – 5D Embossed Sweet Love Set")</x:f>
        <x:v>HYPERLINK is not implemented. linkLocation=https://365nails.com/products/matte-heart-nail-stickers-5d-embossed-sweet-love-set, friendlyName=Matte Heart Nail Stickers – 5D Embossed Sweet Love Set</x:v>
      </x:c>
      <x:c r="D6504" s="18" t="str">
        <x:v>Specification type: Ta 288 / Ta 289 / Ta 292</x:v>
      </x:c>
      <x:c r="E6504" s="25" t="str">
        <x:v>$1.09</x:v>
      </x:c>
      <x:c r="F6504" s="19" t="str">
        <x:v>5</x:v>
      </x:c>
    </x:row>
    <x:row r="6505" ht="93" customHeight="1">
      <x:c r="A6505" s="19" t="n">
        <x:v>6502</x:v>
      </x:c>
      <x:c r="B6505" s="22" t="e">
        <x:f>HYPERLINK("https://cdn.shopify.com/s/files/1/0918/6066/4603/files/4344dcb7d591e8f5a90cfcead898a993.jpg?v=1773466210","Open")</x:f>
        <x:v>HYPERLINK is not implemented. linkLocation=https://cdn.shopify.com/s/files/1/0918/6066/4603/files/4344dcb7d591e8f5a90cfcead898a993.jpg?v=1773466210, friendlyName=Open</x:v>
      </x:c>
      <x:c r="C6505" s="24" t="e">
        <x:f>HYPERLINK("https://365nails.com/products/sakura-goldfish-collection-vintage-ink-sakura-goldfish-3d-embossed-nail-sticker","Sakura &amp; Goldfish Collection: ""Vintage Ink Sakura &amp; Goldfish"" – 3D Embossed Nail Sticker")</x:f>
        <x:v>HYPERLINK is not implemented. linkLocation=https://365nails.com/products/sakura-goldfish-collection-vintage-ink-sakura-goldfish-3d-embossed-nail-sticker, friendlyName=Sakura &amp; Goldfish Collection: "Vintage Ink Sakura &amp; Goldfish" – 3D Embossed Nail Sticker</x:v>
      </x:c>
      <x:c r="D6505" s="18" t="str">
        <x:v>Specification type: To5555-hot stamping</x:v>
      </x:c>
      <x:c r="E6505" s="25" t="str">
        <x:v>$1.23</x:v>
      </x:c>
      <x:c r="F6505" s="19" t="str">
        <x:v>5</x:v>
      </x:c>
    </x:row>
    <x:row r="6506" ht="93" customHeight="1">
      <x:c r="A6506" s="19" t="n">
        <x:v>6503</x:v>
      </x:c>
      <x:c r="B6506" s="22" t="e">
        <x:f>HYPERLINK("https://cdn.shopify.com/s/files/1/0918/6066/4603/files/9793da7a097fe007d316b6705540d85f.jpg?v=1772866084","Open")</x:f>
        <x:v>HYPERLINK is not implemented. linkLocation=https://cdn.shopify.com/s/files/1/0918/6066/4603/files/9793da7a097fe007d316b6705540d85f.jpg?v=1772866084, friendlyName=Open</x:v>
      </x:c>
      <x:c r="C6506" s="24" t="e">
        <x:f>HYPERLINK("https://365nails.com/products/white-botanical-nail-stickers-5d-embossed-minimalist-nature-set","White Botanical Nail Stickers – 5D Embossed Minimalist Nature Set")</x:f>
        <x:v>HYPERLINK is not implemented. linkLocation=https://365nails.com/products/white-botanical-nail-stickers-5d-embossed-minimalist-nature-set, friendlyName=White Botanical Nail Stickers – 5D Embossed Minimalist Nature Set</x:v>
      </x:c>
      <x:c r="D6506" s="18" t="str">
        <x:v>Specification type: To563-1-new hot stamping / To563-1-silver / To4381-relief</x:v>
      </x:c>
      <x:c r="E6506" s="25" t="str">
        <x:v>$1.23</x:v>
      </x:c>
      <x:c r="F6506" s="19" t="str">
        <x:v>5</x:v>
      </x:c>
    </x:row>
    <x:row r="6507" ht="93" customHeight="1">
      <x:c r="A6507" s="19" t="n">
        <x:v>6504</x:v>
      </x:c>
      <x:c r="B6507" s="22" t="e">
        <x:f>HYPERLINK("https://cdn.shopify.com/s/files/1/0918/6066/4603/files/436b84273632b5af14da57faebc42b5b.jpg?v=1772864064","Open")</x:f>
        <x:v>HYPERLINK is not implemented. linkLocation=https://cdn.shopify.com/s/files/1/0918/6066/4603/files/436b84273632b5af14da57faebc42b5b.jpg?v=1772864064, friendlyName=Open</x:v>
      </x:c>
      <x:c r="C6507" s="24" t="e">
        <x:f>HYPERLINK("https://365nails.com/products/golden-ginkgo-nail-stickers-5d-embossed-autumn-poetry-set","Golden Ginkgo Nail Stickers – 5D Embossed Autumn Poetry Set")</x:f>
        <x:v>HYPERLINK is not implemented. linkLocation=https://365nails.com/products/golden-ginkgo-nail-stickers-5d-embossed-autumn-poetry-set, friendlyName=Golden Ginkgo Nail Stickers – 5D Embossed Autumn Poetry Set</x:v>
      </x:c>
      <x:c r="D6507" s="18" t="str">
        <x:v>Specification type: To4274-relief / To4278-relief</x:v>
      </x:c>
      <x:c r="E6507" s="25" t="str">
        <x:v>$1.23</x:v>
      </x:c>
      <x:c r="F6507" s="19" t="str">
        <x:v>5</x:v>
      </x:c>
    </x:row>
    <x:row r="6508" ht="93" customHeight="1">
      <x:c r="A6508" s="19" t="n">
        <x:v>6505</x:v>
      </x:c>
      <x:c r="B6508" s="22" t="e">
        <x:f>HYPERLINK("https://cdn.shopify.com/s/files/1/0918/6066/4603/files/d74031613993618e47a6665dd312ad7d.jpg?v=1772810170","Open")</x:f>
        <x:v>HYPERLINK is not implemented. linkLocation=https://cdn.shopify.com/s/files/1/0918/6066/4603/files/d74031613993618e47a6665dd312ad7d.jpg?v=1772810170, friendlyName=Open</x:v>
      </x:c>
      <x:c r="C6508" s="24" t="e">
        <x:f>HYPERLINK("https://365nails.com/products/white-floral-crystal-nail-stickers-5d-embossed-fresh-bloom-set","White Floral Crystal Nail Stickers – 5D Embossed Fresh Bloom Set")</x:f>
        <x:v>HYPERLINK is not implemented. linkLocation=https://365nails.com/products/white-floral-crystal-nail-stickers-5d-embossed-fresh-bloom-set, friendlyName=White Floral Crystal Nail Stickers – 5D Embossed Fresh Bloom Set</x:v>
      </x:c>
      <x:c r="D6508" s="18" t="str">
        <x:v>Specification type: To4082-crystal diamond</x:v>
      </x:c>
      <x:c r="E6508" s="25" t="str">
        <x:v>$1.30</x:v>
      </x:c>
      <x:c r="F6508" s="19" t="str">
        <x:v>5</x:v>
      </x:c>
    </x:row>
    <x:row r="6509" ht="93" customHeight="1">
      <x:c r="A6509" s="19" t="n">
        <x:v>6506</x:v>
      </x:c>
      <x:c r="B6509" s="22" t="e">
        <x:f>HYPERLINK("https://cdn.shopify.com/s/files/1/0918/6066/4603/files/aaef4abf95dffdc38334a5dd2c1e1b32.jpg?v=1772864198","Open")</x:f>
        <x:v>HYPERLINK is not implemented. linkLocation=https://cdn.shopify.com/s/files/1/0918/6066/4603/files/aaef4abf95dffdc38334a5dd2c1e1b32.jpg?v=1772864198, friendlyName=Open</x:v>
      </x:c>
      <x:c r="C6509" s="24" t="e">
        <x:f>HYPERLINK("https://365nails.com/products/gothic-spider-ornament-nail-stickers-5d-embossed-dark-elegance-set","Gothic Spider &amp; Ornament Nail Stickers – 5D Embossed Dark Elegance Set")</x:f>
        <x:v>HYPERLINK is not implemented. linkLocation=https://365nails.com/products/gothic-spider-ornament-nail-stickers-5d-embossed-dark-elegance-set, friendlyName=Gothic Spider &amp; Ornament Nail Stickers – 5D Embossed Dark Elegance Set</x:v>
      </x:c>
      <x:c r="D6509" s="18" t="str">
        <x:v>Specification type: To4304-jelly</x:v>
      </x:c>
      <x:c r="E6509" s="25" t="str">
        <x:v>$1.23</x:v>
      </x:c>
      <x:c r="F6509" s="19" t="str">
        <x:v>5</x:v>
      </x:c>
    </x:row>
    <x:row r="6510" ht="93" customHeight="1">
      <x:c r="A6510" s="19" t="n">
        <x:v>6507</x:v>
      </x:c>
      <x:c r="B6510" s="22" t="e">
        <x:f>HYPERLINK("https://cdn.shopify.com/s/files/1/0918/6066/4603/files/O1CN01qZUtBu1HlX3Aoqwo4__2545140798-0-cib.jpg?v=1773465111","Open")</x:f>
        <x:v>HYPERLINK is not implemented. linkLocation=https://cdn.shopify.com/s/files/1/0918/6066/4603/files/O1CN01qZUtBu1HlX3Aoqwo4__2545140798-0-cib.jpg?v=1773465111, friendlyName=Open</x:v>
      </x:c>
      <x:c r="C6510" s="24" t="e">
        <x:f>HYPERLINK("https://365nails.com/products/cinnamoroll-travel-collection-cinnamoroll-travel-adventure-3d-nail-sticker","Cinnamoroll Travel Collection: ""Cinnamoroll Travel Adventure"" – 3D Nail Sticker")</x:f>
        <x:v>HYPERLINK is not implemented. linkLocation=https://365nails.com/products/cinnamoroll-travel-collection-cinnamoroll-travel-adventure-3d-nail-sticker, friendlyName=Cinnamoroll Travel Collection: "Cinnamoroll Travel Adventure" – 3D Nail Sticker</x:v>
      </x:c>
      <x:c r="D6510" s="18" t="str">
        <x:v>Specification type: Mn006-relief / Mn011-relief / Mn022-shell light</x:v>
      </x:c>
      <x:c r="E6510" s="25" t="str">
        <x:v>$1.23</x:v>
      </x:c>
      <x:c r="F6510" s="19" t="str">
        <x:v>5</x:v>
      </x:c>
    </x:row>
    <x:row r="6511" ht="93" customHeight="1">
      <x:c r="A6511" s="19" t="n">
        <x:v>6508</x:v>
      </x:c>
      <x:c r="B6511" s="22" t="e">
        <x:f>HYPERLINK("https://cdn.shopify.com/s/files/1/0918/6066/4603/files/686f7c56ca6d396d326baa4dfdf507c1.jpg?v=1772806866","Open")</x:f>
        <x:v>HYPERLINK is not implemented. linkLocation=https://cdn.shopify.com/s/files/1/0918/6066/4603/files/686f7c56ca6d396d326baa4dfdf507c1.jpg?v=1772806866, friendlyName=Open</x:v>
      </x:c>
      <x:c r="C6511" s="24" t="e">
        <x:f>HYPERLINK("https://365nails.com/products/chinese-peony-qipao-nail-stickers-5d-embossed-oriental-elegance-set","Chinese Peony &amp; Qipao Nail Stickers – 5D Embossed Oriental Elegance Set")</x:f>
        <x:v>HYPERLINK is not implemented. linkLocation=https://365nails.com/products/chinese-peony-qipao-nail-stickers-5d-embossed-oriental-elegance-set, friendlyName=Chinese Peony &amp; Qipao Nail Stickers – 5D Embossed Oriental Elegance Set</x:v>
      </x:c>
      <x:c r="D6511" s="18" t="str">
        <x:v>Specification type: To3690-relief</x:v>
      </x:c>
      <x:c r="E6511" s="25" t="str">
        <x:v>$1.23</x:v>
      </x:c>
      <x:c r="F6511" s="19" t="str">
        <x:v>5</x:v>
      </x:c>
    </x:row>
    <x:row r="6512" ht="93" customHeight="1">
      <x:c r="A6512" s="19" t="n">
        <x:v>6509</x:v>
      </x:c>
      <x:c r="B6512" s="22" t="e">
        <x:f>HYPERLINK("https://cdn.shopify.com/s/files/1/0918/6066/4603/files/O1CN01Rb3ekE1HlWnlCbfq9__2545140798-0-cib.jpg?v=1772719137","Open")</x:f>
        <x:v>HYPERLINK is not implemented. linkLocation=https://cdn.shopify.com/s/files/1/0918/6066/4603/files/O1CN01Rb3ekE1HlWnlCbfq9__2545140798-0-cib.jpg?v=1772719137, friendlyName=Open</x:v>
      </x:c>
      <x:c r="C6512" s="24" t="e">
        <x:f>HYPERLINK("https://365nails.com/products/corpse-bride-nail-stickers-5d-embossed-gothic-romance-set","Corpse Bride Nail Stickers – 5D Embossed Gothic Romance Set")</x:f>
        <x:v>HYPERLINK is not implemented. linkLocation=https://365nails.com/products/corpse-bride-nail-stickers-5d-embossed-gothic-romance-set, friendlyName=Corpse Bride Nail Stickers – 5D Embossed Gothic Romance Set</x:v>
      </x:c>
      <x:c r="D6512" s="18" t="str">
        <x:v>Specification type: To1341 / To1355 / To1333 / To1335 / To1353 / To1342</x:v>
      </x:c>
      <x:c r="E6512" s="25" t="str">
        <x:v>$0.89</x:v>
      </x:c>
      <x:c r="F6512" s="19" t="str">
        <x:v>5</x:v>
      </x:c>
    </x:row>
    <x:row r="6513" ht="93" customHeight="1">
      <x:c r="A6513" s="19" t="n">
        <x:v>6510</x:v>
      </x:c>
      <x:c r="B6513" s="22" t="e">
        <x:f>HYPERLINK("https://cdn.shopify.com/s/files/1/0918/6066/4603/files/O1CN01H4oWp71HlWsgxK4mM__2545140798-0-cib.jpg?v=1772633186","Open")</x:f>
        <x:v>HYPERLINK is not implemented. linkLocation=https://cdn.shopify.com/s/files/1/0918/6066/4603/files/O1CN01H4oWp71HlWsgxK4mM__2545140798-0-cib.jpg?v=1772633186, friendlyName=Open</x:v>
      </x:c>
      <x:c r="C6513" s="24" t="e">
        <x:f>HYPERLINK("https://365nails.com/products/gold-silver-celestial-nail-stickers-3d-embossed-star-moon-set","Gold &amp; Silver Celestial Nail Stickers – 3D Embossed Star &amp; Moon Set")</x:f>
        <x:v>HYPERLINK is not implemented. linkLocation=https://365nails.com/products/gold-silver-celestial-nail-stickers-3d-embossed-star-moon-set, friendlyName=Gold &amp; Silver Celestial Nail Stickers – 3D Embossed Star &amp; Moon Set</x:v>
      </x:c>
      <x:c r="D6513" s="18" t="str">
        <x:v>Specification type: To2820-new hot stamping / To2820-silver</x:v>
      </x:c>
      <x:c r="E6513" s="25" t="str">
        <x:v>$1.23</x:v>
      </x:c>
      <x:c r="F6513" s="19" t="str">
        <x:v>5</x:v>
      </x:c>
    </x:row>
    <x:row r="6514" ht="93" customHeight="1">
      <x:c r="A6514" s="19" t="n">
        <x:v>6511</x:v>
      </x:c>
      <x:c r="B6514" s="22" t="e">
        <x:f>HYPERLINK("https://cdn.shopify.com/s/files/1/0918/6066/4603/files/O1CN01xNluRz1HlXAXLD3N5__2545140798-0-cib.jpg?v=1773491799","Open")</x:f>
        <x:v>HYPERLINK is not implemented. linkLocation=https://cdn.shopify.com/s/files/1/0918/6066/4603/files/O1CN01xNluRz1HlXAXLD3N5__2545140798-0-cib.jpg?v=1773491799, friendlyName=Open</x:v>
      </x:c>
      <x:c r="C6514" s="24" t="e">
        <x:f>HYPERLINK("https://365nails.com/products/god-of-wealth-collection-fortune-god-3d-embossed-nail-sticker","God of Wealth Collection: ""Fortune God"" – 3D Embossed Nail Sticker")</x:f>
        <x:v>HYPERLINK is not implemented. linkLocation=https://365nails.com/products/god-of-wealth-collection-fortune-god-3d-embossed-nail-sticker, friendlyName=God of Wealth Collection: "Fortune God" – 3D Embossed Nail Sticker</x:v>
      </x:c>
      <x:c r="D6514" s="18" t="str">
        <x:v>Specification type: To5508-relief / To5509-relief</x:v>
      </x:c>
      <x:c r="E6514" s="25" t="str">
        <x:v>$1.23</x:v>
      </x:c>
      <x:c r="F6514" s="19" t="str">
        <x:v>5</x:v>
      </x:c>
    </x:row>
    <x:row r="6515" ht="93" customHeight="1">
      <x:c r="A6515" s="19" t="n">
        <x:v>6512</x:v>
      </x:c>
      <x:c r="B6515" s="22" t="e">
        <x:f>HYPERLINK("https://cdn.shopify.com/s/files/1/0918/6066/4603/files/770c5a7e47c806e9172343b7f92340aa.jpg?v=1772803006","Open")</x:f>
        <x:v>HYPERLINK is not implemented. linkLocation=https://cdn.shopify.com/s/files/1/0918/6066/4603/files/770c5a7e47c806e9172343b7f92340aa.jpg?v=1772803006, friendlyName=Open</x:v>
      </x:c>
      <x:c r="C6515" s="24" t="e">
        <x:f>HYPERLINK("https://365nails.com/products/white-lace-collar-nail-stickers-5d-embossed-vintage-lace-set","White Lace Collar Nail Stickers – 5D Embossed Vintage Lace Set")</x:f>
        <x:v>HYPERLINK is not implemented. linkLocation=https://365nails.com/products/white-lace-collar-nail-stickers-5d-embossed-vintage-lace-set, friendlyName=White Lace Collar Nail Stickers – 5D Embossed Vintage Lace Set</x:v>
      </x:c>
      <x:c r="D6515" s="18" t="str">
        <x:v>Specification type: Ms549-relief</x:v>
      </x:c>
      <x:c r="E6515" s="25" t="str">
        <x:v>$1.23</x:v>
      </x:c>
      <x:c r="F6515" s="19" t="str">
        <x:v>5</x:v>
      </x:c>
    </x:row>
    <x:row r="6516" ht="93" customHeight="1">
      <x:c r="A6516" s="19" t="n">
        <x:v>6513</x:v>
      </x:c>
      <x:c r="B6516" s="22" t="e">
        <x:f>HYPERLINK("https://cdn.shopify.com/s/files/1/0918/6066/4603/files/91531c7c6f1df03ff0fde446e4b2c1af.jpg?v=1772871508","Open")</x:f>
        <x:v>HYPERLINK is not implemented. linkLocation=https://cdn.shopify.com/s/files/1/0918/6066/4603/files/91531c7c6f1df03ff0fde446e4b2c1af.jpg?v=1772871508, friendlyName=Open</x:v>
      </x:c>
      <x:c r="C6516" s="24" t="e">
        <x:f>HYPERLINK("https://365nails.com/products/circus-bear-nail-stickers-5d-embossed-whimsical-carnival-set","Circus Bear Nail Stickers – 5D Embossed Whimsical Carnival Set")</x:f>
        <x:v>HYPERLINK is not implemented. linkLocation=https://365nails.com/products/circus-bear-nail-stickers-5d-embossed-whimsical-carnival-set, friendlyName=Circus Bear Nail Stickers – 5D Embossed Whimsical Carnival Set</x:v>
      </x:c>
      <x:c r="D6516" s="18" t="str">
        <x:v>Specification type: To4653-relief</x:v>
      </x:c>
      <x:c r="E6516" s="25" t="str">
        <x:v>$1.23</x:v>
      </x:c>
      <x:c r="F6516" s="19" t="str">
        <x:v>5</x:v>
      </x:c>
    </x:row>
    <x:row r="6517" ht="93" customHeight="1">
      <x:c r="A6517" s="19" t="n">
        <x:v>6514</x:v>
      </x:c>
      <x:c r="B6517" s="22" t="e">
        <x:f>HYPERLINK("https://cdn.shopify.com/s/files/1/0918/6066/4603/files/O1CN01JWysmZ1HlX1B5hDNL__2545140798-0-cib_4c05da18-31ac-4d5c-8c80-32f73417d060.jpg?v=1775399964","Open")</x:f>
        <x:v>HYPERLINK is not implemented. linkLocation=https://cdn.shopify.com/s/files/1/0918/6066/4603/files/O1CN01JWysmZ1HlX1B5hDNL__2545140798-0-cib_4c05da18-31ac-4d5c-8c80-32f73417d060.jpg?v=1775399964, friendlyName=Open</x:v>
      </x:c>
      <x:c r="C6517" s="24" t="e">
        <x:f>HYPERLINK("https://365nails.com/products/365nails-holographic-butterfly-gem-sparkle-nail-stickers","365nails: ""Holographic Butterfly Gem"" – Sparkle Nail Stickers")</x:f>
        <x:v>HYPERLINK is not implemented. linkLocation=https://365nails.com/products/365nails-holographic-butterfly-gem-sparkle-nail-stickers, friendlyName=365nails: "Holographic Butterfly Gem" – Sparkle Nail Stickers</x:v>
      </x:c>
      <x:c r="D6517" s="18" t="str">
        <x:v>Specification type: To3849-relief / To3850-shell light / To3851-relief / To3852-shell light</x:v>
      </x:c>
      <x:c r="E6517" s="25" t="str">
        <x:v>$1.23</x:v>
      </x:c>
      <x:c r="F6517" s="19" t="str">
        <x:v>5</x:v>
      </x:c>
    </x:row>
    <x:row r="6518" ht="93" customHeight="1">
      <x:c r="A6518" s="19" t="n">
        <x:v>6515</x:v>
      </x:c>
      <x:c r="B6518" s="22" t="e">
        <x:f>HYPERLINK("https://cdn.shopify.com/s/files/1/0918/6066/4603/files/O1CN011qoLYF1HlWzvTX8OT__2545140798-0-cib.jpg?v=1772803273","Open")</x:f>
        <x:v>HYPERLINK is not implemented. linkLocation=https://cdn.shopify.com/s/files/1/0918/6066/4603/files/O1CN011qoLYF1HlWzvTX8OT__2545140798-0-cib.jpg?v=1772803273, friendlyName=Open</x:v>
      </x:c>
      <x:c r="C6518" s="24" t="e">
        <x:f>HYPERLINK("https://365nails.com/products/white-holographic-butterfly-nail-stickers-5d-embossed-minimalist-set","White &amp; Holographic Butterfly Nail Stickers – 5D Embossed Minimalist Set")</x:f>
        <x:v>HYPERLINK is not implemented. linkLocation=https://365nails.com/products/white-holographic-butterfly-nail-stickers-5d-embossed-minimalist-set, friendlyName=White &amp; Holographic Butterfly Nail Stickers – 5D Embossed Minimalist Set</x:v>
      </x:c>
      <x:c r="D6518" s="18" t="str">
        <x:v>Specification type: Ms 570 / Ms 573</x:v>
      </x:c>
      <x:c r="E6518" s="25" t="str">
        <x:v>$1.09</x:v>
      </x:c>
      <x:c r="F6518" s="19" t="str">
        <x:v>5</x:v>
      </x:c>
    </x:row>
    <x:row r="6519" ht="93" customHeight="1">
      <x:c r="A6519" s="19" t="n">
        <x:v>6516</x:v>
      </x:c>
      <x:c r="B6519" s="22" t="e">
        <x:f>HYPERLINK("https://cdn.shopify.com/s/files/1/0918/6066/4603/files/3b4f2f8cc57a49d29cb7ae2493bc894c.jpg?v=1772809835","Open")</x:f>
        <x:v>HYPERLINK is not implemented. linkLocation=https://cdn.shopify.com/s/files/1/0918/6066/4603/files/3b4f2f8cc57a49d29cb7ae2493bc894c.jpg?v=1772809835, friendlyName=Open</x:v>
      </x:c>
      <x:c r="C6519" s="24" t="e">
        <x:f>HYPERLINK("https://365nails.com/products/holographic-mermaid-shell-nail-stickers-5d-embossed-ocean-treasure-set","Holographic Mermaid &amp; Shell Nail Stickers – 5D Embossed Ocean Treasure Set")</x:f>
        <x:v>HYPERLINK is not implemented. linkLocation=https://365nails.com/products/holographic-mermaid-shell-nail-stickers-5d-embossed-ocean-treasure-set, friendlyName=Holographic Mermaid &amp; Shell Nail Stickers – 5D Embossed Ocean Treasure Set</x:v>
      </x:c>
      <x:c r="D6519" s="18" t="str">
        <x:v>Specification type: To3978-shell light</x:v>
      </x:c>
      <x:c r="E6519" s="25" t="str">
        <x:v>$1.23</x:v>
      </x:c>
      <x:c r="F6519" s="19" t="str">
        <x:v>5</x:v>
      </x:c>
    </x:row>
    <x:row r="6520" ht="93" customHeight="1">
      <x:c r="A6520" s="19" t="n">
        <x:v>6517</x:v>
      </x:c>
      <x:c r="B6520" s="22" t="e">
        <x:f>HYPERLINK("https://cdn.shopify.com/s/files/1/0918/6066/4603/files/O1CN01XpJclu1HlWzDd7ciF__2545140798-0-cib.jpg?v=1772802722","Open")</x:f>
        <x:v>HYPERLINK is not implemented. linkLocation=https://cdn.shopify.com/s/files/1/0918/6066/4603/files/O1CN01XpJclu1HlWzDd7ciF__2545140798-0-cib.jpg?v=1772802722, friendlyName=Open</x:v>
      </x:c>
      <x:c r="C6520" s="24" t="e">
        <x:f>HYPERLINK("https://365nails.com/products/red-berry-leaf-nail-stickers-5d-embossed-winter-botanical-set","Red Berry &amp; Leaf Nail Stickers – 5D Embossed Winter Botanical Set")</x:f>
        <x:v>HYPERLINK is not implemented. linkLocation=https://365nails.com/products/red-berry-leaf-nail-stickers-5d-embossed-winter-botanical-set, friendlyName=Red Berry &amp; Leaf Nail Stickers – 5D Embossed Winter Botanical Set</x:v>
      </x:c>
      <x:c r="D6520" s="18" t="str">
        <x:v>Specification type: Ta284-jelly</x:v>
      </x:c>
      <x:c r="E6520" s="25" t="str">
        <x:v>$1.23</x:v>
      </x:c>
      <x:c r="F6520" s="19" t="str">
        <x:v>5</x:v>
      </x:c>
    </x:row>
    <x:row r="6521" ht="93" customHeight="1">
      <x:c r="A6521" s="19" t="n">
        <x:v>6518</x:v>
      </x:c>
      <x:c r="B6521" s="22" t="e">
        <x:f>HYPERLINK("https://cdn.shopify.com/s/files/1/0918/6066/4603/files/O1CN01fLBjWh1HlWzLe0RpK__2545140798-0-cib.jpg?v=1773753613","Open")</x:f>
        <x:v>HYPERLINK is not implemented. linkLocation=https://cdn.shopify.com/s/files/1/0918/6066/4603/files/O1CN01fLBjWh1HlWzLe0RpK__2545140798-0-cib.jpg?v=1773753613, friendlyName=Open</x:v>
      </x:c>
      <x:c r="C6521" s="24" t="e">
        <x:f>HYPERLINK("https://365nails.com/products/vintage-rose-nail-stickers-embossed-romantic-floral-set","Vintage Rose Nail Stickers –  Embossed Romantic Floral Set")</x:f>
        <x:v>HYPERLINK is not implemented. linkLocation=https://365nails.com/products/vintage-rose-nail-stickers-embossed-romantic-floral-set, friendlyName=Vintage Rose Nail Stickers –  Embossed Romantic Floral Set</x:v>
      </x:c>
      <x:c r="D6521" s="18" t="str">
        <x:v>Specification type: To3712-relief / To3779-relief</x:v>
      </x:c>
      <x:c r="E6521" s="25" t="str">
        <x:v>$1.23</x:v>
      </x:c>
      <x:c r="F6521" s="19" t="str">
        <x:v>5</x:v>
      </x:c>
    </x:row>
    <x:row r="6522" ht="93" customHeight="1">
      <x:c r="A6522" s="19" t="n">
        <x:v>6519</x:v>
      </x:c>
      <x:c r="B6522" s="22" t="e">
        <x:f>HYPERLINK("https://cdn.shopify.com/s/files/1/0918/6066/4603/files/e0641d0af47637137bf6282084b65474.jpg?v=1773147254","Open")</x:f>
        <x:v>HYPERLINK is not implemented. linkLocation=https://cdn.shopify.com/s/files/1/0918/6066/4603/files/e0641d0af47637137bf6282084b65474.jpg?v=1773147254, friendlyName=Open</x:v>
      </x:c>
      <x:c r="C6522" s="24" t="e">
        <x:f>HYPERLINK("https://365nails.com/products/pastel-wildflower-emboss-fresh-romantic-nail-art-set","Pastel Wildflower Emboss – Fresh Romantic Nail Art Stickers")</x:f>
        <x:v>HYPERLINK is not implemented. linkLocation=https://365nails.com/products/pastel-wildflower-emboss-fresh-romantic-nail-art-set, friendlyName=Pastel Wildflower Emboss – Fresh Romantic Nail Art Stickers</x:v>
      </x:c>
      <x:c r="D6522" s="18" t="str">
        <x:v>Specification type: To3965-relief</x:v>
      </x:c>
      <x:c r="E6522" s="25" t="str">
        <x:v>$1.23</x:v>
      </x:c>
      <x:c r="F6522" s="19" t="str">
        <x:v>5</x:v>
      </x:c>
    </x:row>
    <x:row r="6523" ht="93" customHeight="1">
      <x:c r="A6523" s="19" t="n">
        <x:v>6520</x:v>
      </x:c>
      <x:c r="B6523" s="22" t="e">
        <x:f>HYPERLINK("https://cdn.shopify.com/s/files/1/0918/6066/4603/files/03dd98e2047fb68b39e0401c27249b64.jpg?v=1772871374","Open")</x:f>
        <x:v>HYPERLINK is not implemented. linkLocation=https://cdn.shopify.com/s/files/1/0918/6066/4603/files/03dd98e2047fb68b39e0401c27249b64.jpg?v=1772871374, friendlyName=Open</x:v>
      </x:c>
      <x:c r="C6523" s="24" t="e">
        <x:f>HYPERLINK("https://365nails.com/products/cute-pink-blue-animal-nail-stickers-5d-embossed-playful-critter-set","Cute Pink &amp; Blue Animal Nail Stickers – 5D Embossed Playful Critter Set")</x:f>
        <x:v>HYPERLINK is not implemented. linkLocation=https://365nails.com/products/cute-pink-blue-animal-nail-stickers-5d-embossed-playful-critter-set, friendlyName=Cute Pink &amp; Blue Animal Nail Stickers – 5D Embossed Playful Critter Set</x:v>
      </x:c>
      <x:c r="D6523" s="18" t="str">
        <x:v>Specification type: To4670 / To4672</x:v>
      </x:c>
      <x:c r="E6523" s="25" t="str">
        <x:v>$1.09</x:v>
      </x:c>
      <x:c r="F6523" s="19" t="str">
        <x:v>5</x:v>
      </x:c>
    </x:row>
    <x:row r="6524" ht="93" customHeight="1">
      <x:c r="A6524" s="19" t="n">
        <x:v>6521</x:v>
      </x:c>
      <x:c r="B6524" s="22" t="e">
        <x:f>HYPERLINK("https://cdn.shopify.com/s/files/1/0918/6066/4603/files/628c5bf9849998cd1bea18a474dcc3ec.jpg?v=1779202932","Open")</x:f>
        <x:v>HYPERLINK is not implemented. linkLocation=https://cdn.shopify.com/s/files/1/0918/6066/4603/files/628c5bf9849998cd1bea18a474dcc3ec.jpg?v=1779202932, friendlyName=Open</x:v>
      </x:c>
      <x:c r="C6524" s="24" t="e">
        <x:f>HYPERLINK("https://365nails.com/products/365nails-pink-leopard-glitter-bloom-handmade-medium-square-press-on-nails","365nails: ""Pink Leopard Glitter Bloom"" – Handmade Medium Square Press-On Nails")</x:f>
        <x:v>HYPERLINK is not implemented. linkLocation=https://365nails.com/products/365nails-pink-leopard-glitter-bloom-handmade-medium-square-press-on-nails, friendlyName=365nails: "Pink Leopard Glitter Bloom" – Handmade Medium Square Press-On Nails</x:v>
      </x:c>
      <x:c r="D6524" s="18" t="str">
        <x:v>Size: XS / S / M / L</x:v>
      </x:c>
      <x:c r="E6524" s="25" t="str">
        <x:v>$3.99</x:v>
      </x:c>
      <x:c r="F6524" s="19" t="str">
        <x:v>5</x:v>
      </x:c>
    </x:row>
    <x:row r="6525" ht="93" customHeight="1">
      <x:c r="A6525" s="19" t="n">
        <x:v>6522</x:v>
      </x:c>
      <x:c r="B6525" s="22" t="e">
        <x:f>HYPERLINK("https://cdn.shopify.com/s/files/1/0918/6066/4603/files/bed570db7efac30cab54854761dd657a.jpg?v=1772808335","Open")</x:f>
        <x:v>HYPERLINK is not implemented. linkLocation=https://cdn.shopify.com/s/files/1/0918/6066/4603/files/bed570db7efac30cab54854761dd657a.jpg?v=1772808335, friendlyName=Open</x:v>
      </x:c>
      <x:c r="C6525" s="24" t="e">
        <x:f>HYPERLINK("https://365nails.com/products/cute-blueberry-snowman-nail-stickers-5d-embossed-kawaii-winter-set","Cute Blueberry &amp; Snowman Nail Stickers – 5D Embossed Kawaii Winter Set")</x:f>
        <x:v>HYPERLINK is not implemented. linkLocation=https://365nails.com/products/cute-blueberry-snowman-nail-stickers-5d-embossed-kawaii-winter-set, friendlyName=Cute Blueberry &amp; Snowman Nail Stickers – 5D Embossed Kawaii Winter Set</x:v>
      </x:c>
      <x:c r="D6525" s="18" t="str">
        <x:v>Specification type: To3892-relief / To4034-relief</x:v>
      </x:c>
      <x:c r="E6525" s="25" t="str">
        <x:v>$1.23</x:v>
      </x:c>
      <x:c r="F6525" s="19" t="str">
        <x:v>5</x:v>
      </x:c>
    </x:row>
    <x:row r="6526" ht="93" customHeight="1">
      <x:c r="A6526" s="19" t="n">
        <x:v>6523</x:v>
      </x:c>
      <x:c r="B6526" s="22" t="e">
        <x:f>HYPERLINK("https://cdn.shopify.com/s/files/1/0918/6066/4603/files/718eac6b856cf178de5b66db4b2a6ed0.jpg?v=1772807175","Open")</x:f>
        <x:v>HYPERLINK is not implemented. linkLocation=https://cdn.shopify.com/s/files/1/0918/6066/4603/files/718eac6b856cf178de5b66db4b2a6ed0.jpg?v=1772807175, friendlyName=Open</x:v>
      </x:c>
      <x:c r="C6526" s="24" t="e">
        <x:f>HYPERLINK("https://365nails.com/products/holographic-star-moon-nail-stickers-5d-embossed-celestial-dream-set","Holographic Star &amp; Moon Nail Stickers – 5D Embossed Celestial Dream Set")</x:f>
        <x:v>HYPERLINK is not implemented. linkLocation=https://365nails.com/products/holographic-star-moon-nail-stickers-5d-embossed-celestial-dream-set, friendlyName=Holographic Star &amp; Moon Nail Stickers – 5D Embossed Celestial Dream Set</x:v>
      </x:c>
      <x:c r="D6526" s="18" t="str">
        <x:v>Specification type: Ta 326</x:v>
      </x:c>
      <x:c r="E6526" s="25" t="str">
        <x:v>$1.09</x:v>
      </x:c>
      <x:c r="F6526" s="19" t="str">
        <x:v>5</x:v>
      </x:c>
    </x:row>
    <x:row r="6527" ht="93" customHeight="1">
      <x:c r="A6527" s="19" t="n">
        <x:v>6524</x:v>
      </x:c>
      <x:c r="B6527" s="22" t="e">
        <x:f>HYPERLINK("https://cdn.shopify.com/s/files/1/0918/6066/4603/files/O1CN01GbbpxR1HlX1LUL26h__2545140798-0-cib.jpg?v=1772808430","Open")</x:f>
        <x:v>HYPERLINK is not implemented. linkLocation=https://cdn.shopify.com/s/files/1/0918/6066/4603/files/O1CN01GbbpxR1HlX1LUL26h__2545140798-0-cib.jpg?v=1772808430, friendlyName=Open</x:v>
      </x:c>
      <x:c r="C6527" s="24" t="e">
        <x:f>HYPERLINK("https://365nails.com/products/pink-love-crystal-nail-stickers-5d-embossed-romantic-sweet-set","Pink Love Crystal Nail Stickers – 5D Embossed Romantic Sweet Set")</x:f>
        <x:v>HYPERLINK is not implemented. linkLocation=https://365nails.com/products/pink-love-crystal-nail-stickers-5d-embossed-romantic-sweet-set, friendlyName=Pink Love Crystal Nail Stickers – 5D Embossed Romantic Sweet Set</x:v>
      </x:c>
      <x:c r="D6527" s="18" t="str">
        <x:v>Specification type: Ta302-crystal diamond</x:v>
      </x:c>
      <x:c r="E6527" s="25" t="str">
        <x:v>$1.30</x:v>
      </x:c>
      <x:c r="F6527" s="19" t="str">
        <x:v>5</x:v>
      </x:c>
    </x:row>
    <x:row r="6528" ht="93" customHeight="1">
      <x:c r="A6528" s="19" t="n">
        <x:v>6525</x:v>
      </x:c>
      <x:c r="B6528" s="22" t="e">
        <x:f>HYPERLINK("https://cdn.shopify.com/s/files/1/0918/6066/4603/files/O1CN01oGyGC52MQzdXqxgPW__2219089449823-0-cib.jpg?v=1774579087","Open")</x:f>
        <x:v>HYPERLINK is not implemented. linkLocation=https://cdn.shopify.com/s/files/1/0918/6066/4603/files/O1CN01oGyGC52MQzdXqxgPW__2219089449823-0-cib.jpg?v=1774579087, friendlyName=Open</x:v>
      </x:c>
      <x:c r="C6528" s="24" t="e">
        <x:f>HYPERLINK("https://365nails.com/products/wild-bloom-leopard-lily-rebel-square-press-on-nails","Wild Bloom: ""Leopard Lily Rebel"" – Square Press-On Nails")</x:f>
        <x:v>HYPERLINK is not implemented. linkLocation=https://365nails.com/products/wild-bloom-leopard-lily-rebel-square-press-on-nails, friendlyName=Wild Bloom: "Leopard Lily Rebel" – Square Press-On Nails</x:v>
      </x:c>
      <x:c r="D6528" s="18" t="str">
        <x:v>Color: D323; Color classification: S / M / L</x:v>
      </x:c>
      <x:c r="E6528" s="25" t="str">
        <x:v>$3.49</x:v>
      </x:c>
      <x:c r="F6528" s="19" t="str">
        <x:v>1</x:v>
      </x:c>
    </x:row>
    <x:row r="6529" ht="93" customHeight="1">
      <x:c r="A6529" s="19" t="n">
        <x:v>6526</x:v>
      </x:c>
      <x:c r="B6529" s="22" t="e">
        <x:f>HYPERLINK("https://cdn.shopify.com/s/files/1/0918/6066/4603/files/673f352aeac486787f0853f4eaaaad2e.jpg?v=1772865325","Open")</x:f>
        <x:v>HYPERLINK is not implemented. linkLocation=https://cdn.shopify.com/s/files/1/0918/6066/4603/files/673f352aeac486787f0853f4eaaaad2e.jpg?v=1772865325, friendlyName=Open</x:v>
      </x:c>
      <x:c r="C6529" s="24" t="e">
        <x:f>HYPERLINK("https://365nails.com/products/crystal-christmas-reindeer-nail-stickers-5d-embossed-festive-whimsy-set","Crystal Christmas Reindeer Nail Stickers – 5D Embossed Festive Whimsy Set")</x:f>
        <x:v>HYPERLINK is not implemented. linkLocation=https://365nails.com/products/crystal-christmas-reindeer-nail-stickers-5d-embossed-festive-whimsy-set, friendlyName=Crystal Christmas Reindeer Nail Stickers – 5D Embossed Festive Whimsy Set</x:v>
      </x:c>
      <x:c r="D6529" s="18" t="str">
        <x:v>Specification type: To4476-crystal diamond / To4477-crystal diamond</x:v>
      </x:c>
      <x:c r="E6529" s="25" t="str">
        <x:v>$1.30</x:v>
      </x:c>
      <x:c r="F6529" s="19" t="str">
        <x:v>5</x:v>
      </x:c>
    </x:row>
    <x:row r="6530" ht="93" customHeight="1">
      <x:c r="A6530" s="19" t="n">
        <x:v>6527</x:v>
      </x:c>
      <x:c r="B6530" s="22" t="e">
        <x:f>HYPERLINK("https://cdn.shopify.com/s/files/1/0918/6066/4603/files/O1CN01qFLtaJ1HlX58BwN3U__2545140798-0-cib.jpg?v=1772630574","Open")</x:f>
        <x:v>HYPERLINK is not implemented. linkLocation=https://cdn.shopify.com/s/files/1/0918/6066/4603/files/O1CN01qFLtaJ1HlX58BwN3U__2545140798-0-cib.jpg?v=1772630574, friendlyName=Open</x:v>
      </x:c>
      <x:c r="C6530" s="24" t="e">
        <x:f>HYPERLINK("https://365nails.com/products/embossed-bow-nail-stickers-red-metallic-pearl-set","Embossed Bow Nail Stickers – Red &amp; Metallic Pearl Set")</x:f>
        <x:v>HYPERLINK is not implemented. linkLocation=https://365nails.com/products/embossed-bow-nail-stickers-red-metallic-pearl-set, friendlyName=Embossed Bow Nail Stickers – Red &amp; Metallic Pearl Set</x:v>
      </x:c>
      <x:c r="D6530" s="18" t="str">
        <x:v>Specification type: To4818 laser powder-crystal diamond / To4818 new hot stamping-crystal diamond / To4818 silver-crystal diamond / To4819-crystal diamond / To4819-1-crystal diamond / To4819-2-crystal diamond / To4819-3-crystal diamond</x:v>
      </x:c>
      <x:c r="E6530" s="25" t="str">
        <x:v>$1.34</x:v>
      </x:c>
      <x:c r="F6530" s="19" t="str">
        <x:v>5</x:v>
      </x:c>
    </x:row>
    <x:row r="6531" ht="93" customHeight="1">
      <x:c r="A6531" s="19" t="n">
        <x:v>6528</x:v>
      </x:c>
      <x:c r="B6531" s="22" t="e">
        <x:f>HYPERLINK("https://cdn.shopify.com/s/files/1/0918/6066/4603/files/O1CN01nvpKGm1HlX1GVRQ6n__2545140798-0-cib_481f54bc-8b0a-448f-9dea-e2ca909c5c58.jpg?v=1775400459","Open")</x:f>
        <x:v>HYPERLINK is not implemented. linkLocation=https://cdn.shopify.com/s/files/1/0918/6066/4603/files/O1CN01nvpKGm1HlX1GVRQ6n__2545140798-0-cib_481f54bc-8b0a-448f-9dea-e2ca909c5c58.jpg?v=1775400459, friendlyName=Open</x:v>
      </x:c>
      <x:c r="C6531" s="24" t="e">
        <x:f>HYPERLINK("https://365nails.com/products/365nails-iridescent-butterfly-myth-ethereal-nail-stickers","365nails: ""Iridescent Butterfly Myth"" – Ethereal Nail Stickers")</x:f>
        <x:v>HYPERLINK is not implemented. linkLocation=https://365nails.com/products/365nails-iridescent-butterfly-myth-ethereal-nail-stickers, friendlyName=365nails: "Iridescent Butterfly Myth" – Ethereal Nail Stickers</x:v>
      </x:c>
      <x:c r="D6531" s="18" t="str">
        <x:v>Specification type: Ms616-shell light / Ms617-shell light / Ms618-shell light</x:v>
      </x:c>
      <x:c r="E6531" s="25" t="str">
        <x:v>$1.23</x:v>
      </x:c>
      <x:c r="F6531" s="19" t="str">
        <x:v>5</x:v>
      </x:c>
    </x:row>
    <x:row r="6532" ht="93" customHeight="1">
      <x:c r="A6532" s="19" t="n">
        <x:v>6529</x:v>
      </x:c>
      <x:c r="B6532" s="22" t="e">
        <x:f>HYPERLINK("https://cdn.shopify.com/s/files/1/0918/6066/4603/files/O1CN01R2X5B81HlX5uLPzqX__2545140798-0-cib.jpg?v=1772628181","Open")</x:f>
        <x:v>HYPERLINK is not implemented. linkLocation=https://cdn.shopify.com/s/files/1/0918/6066/4603/files/O1CN01R2X5B81HlX5uLPzqX__2545140798-0-cib.jpg?v=1772628181, friendlyName=Open</x:v>
      </x:c>
      <x:c r="C6532" s="24" t="e">
        <x:f>HYPERLINK("https://365nails.com/products/embossed-teddy-bear-bunny-nail-stickers-sweet-cherry-gingham-set","Embossed Teddy Bear &amp; Bunny Nail Stickers – Sweet Cherry Gingham Set")</x:f>
        <x:v>HYPERLINK is not implemented. linkLocation=https://365nails.com/products/embossed-teddy-bear-bunny-nail-stickers-sweet-cherry-gingham-set, friendlyName=Embossed Teddy Bear &amp; Bunny Nail Stickers – Sweet Cherry Gingham Set</x:v>
      </x:c>
      <x:c r="D6532" s="18" t="str">
        <x:v>Specification type: To4901-relief / To4902-shell light</x:v>
      </x:c>
      <x:c r="E6532" s="25" t="str">
        <x:v>$1.23</x:v>
      </x:c>
      <x:c r="F6532" s="19" t="str">
        <x:v>5</x:v>
      </x:c>
    </x:row>
    <x:row r="6533" ht="93" customHeight="1">
      <x:c r="A6533" s="19" t="n">
        <x:v>6530</x:v>
      </x:c>
      <x:c r="B6533" s="22" t="e">
        <x:f>HYPERLINK("https://cdn.shopify.com/s/files/1/0918/6066/4603/files/1a71ac3df08def1d250355b1a2a69369.jpg?v=1773462330","Open")</x:f>
        <x:v>HYPERLINK is not implemented. linkLocation=https://cdn.shopify.com/s/files/1/0918/6066/4603/files/1a71ac3df08def1d250355b1a2a69369.jpg?v=1773462330, friendlyName=Open</x:v>
      </x:c>
      <x:c r="C6533" s="24" t="e">
        <x:f>HYPERLINK("https://365nails.com/products/golden-dreamy-collection-butterfly-flower-3d-embossed-nail-sticker","Golden Dreamy Collection: ""Butterfly &amp; Flower"" – 3D Embossed Nail Sticker")</x:f>
        <x:v>HYPERLINK is not implemented. linkLocation=https://365nails.com/products/golden-dreamy-collection-butterfly-flower-3d-embossed-nail-sticker, friendlyName=Golden Dreamy Collection: "Butterfly &amp; Flower" – 3D Embossed Nail Sticker</x:v>
      </x:c>
      <x:c r="D6533" s="18" t="str">
        <x:v>Specification type: To5255-new hot stamping / To5255-silver</x:v>
      </x:c>
      <x:c r="E6533" s="25" t="str">
        <x:v>$1.23</x:v>
      </x:c>
      <x:c r="F6533" s="19" t="str">
        <x:v>5</x:v>
      </x:c>
    </x:row>
    <x:row r="6534" ht="93" customHeight="1">
      <x:c r="A6534" s="19" t="n">
        <x:v>6531</x:v>
      </x:c>
      <x:c r="B6534" s="22" t="e">
        <x:f>HYPERLINK("https://cdn.shopify.com/s/files/1/0918/6066/4603/files/0a3bfb8e242a3d1df9cbf9db16702a4c.jpg?v=1772865499","Open")</x:f>
        <x:v>HYPERLINK is not implemented. linkLocation=https://cdn.shopify.com/s/files/1/0918/6066/4603/files/0a3bfb8e242a3d1df9cbf9db16702a4c.jpg?v=1772865499, friendlyName=Open</x:v>
      </x:c>
      <x:c r="C6534" s="24" t="e">
        <x:f>HYPERLINK("https://365nails.com/products/white-gold-heart-nail-stickers-5d-embossed-minimalist-elegance-set","White &amp; Gold Heart Nail Stickers – 5D Embossed Minimalist Elegance Set")</x:f>
        <x:v>HYPERLINK is not implemented. linkLocation=https://365nails.com/products/white-gold-heart-nail-stickers-5d-embossed-minimalist-elegance-set, friendlyName=White &amp; Gold Heart Nail Stickers – 5D Embossed Minimalist Elegance Set</x:v>
      </x:c>
      <x:c r="D6534" s="18" t="str">
        <x:v>Specification type: To4536-new hot stamping / To4537-new hot stamping / To4537-silver</x:v>
      </x:c>
      <x:c r="E6534" s="25" t="str">
        <x:v>$1.23</x:v>
      </x:c>
      <x:c r="F6534" s="19" t="str">
        <x:v>5</x:v>
      </x:c>
    </x:row>
    <x:row r="6535" ht="93" customHeight="1">
      <x:c r="A6535" s="19" t="n">
        <x:v>6532</x:v>
      </x:c>
      <x:c r="B6535" s="22" t="e">
        <x:f>HYPERLINK("https://cdn.shopify.com/s/files/1/0918/6066/4603/files/ad84b4fe8145152405b929b5b0ae4211.jpg?v=1772809543","Open")</x:f>
        <x:v>HYPERLINK is not implemented. linkLocation=https://cdn.shopify.com/s/files/1/0918/6066/4603/files/ad84b4fe8145152405b929b5b0ae4211.jpg?v=1772809543, friendlyName=Open</x:v>
      </x:c>
      <x:c r="C6535" s="24" t="e">
        <x:f>HYPERLINK("https://365nails.com/products/metallic-floral-vine-nail-stickers-5d-embossed-luxe-oriental-set","Metallic Floral &amp; Vine Nail Stickers – 5D Embossed Luxe Oriental Set")</x:f>
        <x:v>HYPERLINK is not implemented. linkLocation=https://365nails.com/products/metallic-floral-vine-nail-stickers-5d-embossed-luxe-oriental-set, friendlyName=Metallic Floral &amp; Vine Nail Stickers – 5D Embossed Luxe Oriental Set</x:v>
      </x:c>
      <x:c r="D6535" s="18" t="str">
        <x:v>Specification type: To4127-blue gold / To4127-laser silver / To4127-new hot stamping / To4127-silver</x:v>
      </x:c>
      <x:c r="E6535" s="25" t="str">
        <x:v>$1.23</x:v>
      </x:c>
      <x:c r="F6535" s="19" t="str">
        <x:v>5</x:v>
      </x:c>
    </x:row>
    <x:row r="6536" ht="93" customHeight="1">
      <x:c r="A6536" s="19" t="n">
        <x:v>6533</x:v>
      </x:c>
      <x:c r="B6536" s="22" t="e">
        <x:f>HYPERLINK("https://cdn.shopify.com/s/files/1/0918/6066/4603/files/7227b8c9180137ba2e31f1003fa8eee4.jpg?v=1772808985","Open")</x:f>
        <x:v>HYPERLINK is not implemented. linkLocation=https://cdn.shopify.com/s/files/1/0918/6066/4603/files/7227b8c9180137ba2e31f1003fa8eee4.jpg?v=1772808985, friendlyName=Open</x:v>
      </x:c>
      <x:c r="C6536" s="24" t="e">
        <x:f>HYPERLINK("https://365nails.com/products/holographic-silver-nail-stickers-5d-embossed-minimalist-metallic-set","Holographic Silver Nail Stickers – 5D Embossed Minimalist Metallic Set")</x:f>
        <x:v>HYPERLINK is not implemented. linkLocation=https://365nails.com/products/holographic-silver-nail-stickers-5d-embossed-minimalist-metallic-set, friendlyName=Holographic Silver Nail Stickers – 5D Embossed Minimalist Metallic Set</x:v>
      </x:c>
      <x:c r="D6536" s="18" t="str">
        <x:v>Specification type: To4179-laser silver / To4179-mist blue gold / To4179-new hot stamping / To4179-silver</x:v>
      </x:c>
      <x:c r="E6536" s="25" t="str">
        <x:v>$1.23</x:v>
      </x:c>
      <x:c r="F6536" s="19" t="str">
        <x:v>5</x:v>
      </x:c>
    </x:row>
    <x:row r="6537" ht="93" customHeight="1">
      <x:c r="A6537" s="19" t="n">
        <x:v>6534</x:v>
      </x:c>
      <x:c r="B6537" s="22" t="e">
        <x:f>HYPERLINK("https://cdn.shopify.com/s/files/1/0918/6066/4603/files/80878e3a289c7c56da9c3c274e003e7e.jpg?v=1772872542","Open")</x:f>
        <x:v>HYPERLINK is not implemented. linkLocation=https://cdn.shopify.com/s/files/1/0918/6066/4603/files/80878e3a289c7c56da9c3c274e003e7e.jpg?v=1772872542, friendlyName=Open</x:v>
      </x:c>
      <x:c r="C6537" s="24" t="e">
        <x:f>HYPERLINK("https://365nails.com/products/crystal-red-snake-butterfly-nail-stickers-5d-embossed-mystic-charm-set","Crystal Red Snake &amp; Butterfly Nail Stickers – 5D Embossed Mystic Charm Set")</x:f>
        <x:v>HYPERLINK is not implemented. linkLocation=https://365nails.com/products/crystal-red-snake-butterfly-nail-stickers-5d-embossed-mystic-charm-set, friendlyName=Crystal Red Snake &amp; Butterfly Nail Stickers – 5D Embossed Mystic Charm Set</x:v>
      </x:c>
      <x:c r="D6537" s="18" t="str">
        <x:v>Specification type: Ms759-crystal diamond</x:v>
      </x:c>
      <x:c r="E6537" s="25" t="str">
        <x:v>$1.30</x:v>
      </x:c>
      <x:c r="F6537" s="19" t="str">
        <x:v>5</x:v>
      </x:c>
    </x:row>
    <x:row r="6538" ht="93" customHeight="1">
      <x:c r="A6538" s="19" t="n">
        <x:v>6535</x:v>
      </x:c>
      <x:c r="B6538" s="22" t="e">
        <x:f>HYPERLINK("https://cdn.shopify.com/s/files/1/0918/6066/4603/files/O1CN01ZiDKKc1HlWwSMHnEe__2545140798-0-cib.jpg?v=1772715485","Open")</x:f>
        <x:v>HYPERLINK is not implemented. linkLocation=https://cdn.shopify.com/s/files/1/0918/6066/4603/files/O1CN01ZiDKKc1HlWwSMHnEe__2545140798-0-cib.jpg?v=1772715485, friendlyName=Open</x:v>
      </x:c>
      <x:c r="C6538" s="24" t="e">
        <x:f>HYPERLINK("https://365nails.com/products/white-snowflake-butterfly-nail-stickers-3d-embossed-crystal-set","White Snowflake &amp; Butterfly Nail Stickers – 3D Embossed Crystal Set")</x:f>
        <x:v>HYPERLINK is not implemented. linkLocation=https://365nails.com/products/white-snowflake-butterfly-nail-stickers-3d-embossed-crystal-set, friendlyName=White Snowflake &amp; Butterfly Nail Stickers – 3D Embossed Crystal Set</x:v>
      </x:c>
      <x:c r="D6538" s="18" t="str">
        <x:v>Specification type: To3325-diandian laser</x:v>
      </x:c>
      <x:c r="E6538" s="25" t="str">
        <x:v>$1.23</x:v>
      </x:c>
      <x:c r="F6538" s="19" t="str">
        <x:v>5</x:v>
      </x:c>
    </x:row>
    <x:row r="6539" ht="93" customHeight="1">
      <x:c r="A6539" s="19" t="n">
        <x:v>6536</x:v>
      </x:c>
      <x:c r="B6539" s="22" t="e">
        <x:f>HYPERLINK("https://cdn.shopify.com/s/files/1/0918/6066/4603/files/O1CN01c4FMWk1HlWwWdBqTu__2545140798-0-cib_96d700f7-0a29-49e4-8e0b-35e71b9c95db.jpg?v=1772715391","Open")</x:f>
        <x:v>HYPERLINK is not implemented. linkLocation=https://cdn.shopify.com/s/files/1/0918/6066/4603/files/O1CN01c4FMWk1HlWwWdBqTu__2545140798-0-cib_96d700f7-0a29-49e4-8e0b-35e71b9c95db.jpg?v=1772715391, friendlyName=Open</x:v>
      </x:c>
      <x:c r="C6539" s="24" t="e">
        <x:f>HYPERLINK("https://365nails.com/products/embossed-chinese-teapot-nail-stickers-jade-calligraphy-set","Embossed Chinese Teapot Nail Stickers – Jade &amp; Calligraphy Set")</x:f>
        <x:v>HYPERLINK is not implemented. linkLocation=https://365nails.com/products/embossed-chinese-teapot-nail-stickers-jade-calligraphy-set, friendlyName=Embossed Chinese Teapot Nail Stickers – Jade &amp; Calligraphy Set</x:v>
      </x:c>
      <x:c r="D6539" s="18" t="str">
        <x:v>Specification type: To3356</x:v>
      </x:c>
      <x:c r="E6539" s="25" t="str">
        <x:v>$1.23</x:v>
      </x:c>
      <x:c r="F6539" s="19" t="str">
        <x:v>5</x:v>
      </x:c>
    </x:row>
    <x:row r="6540" ht="93" customHeight="1">
      <x:c r="A6540" s="19" t="n">
        <x:v>6537</x:v>
      </x:c>
      <x:c r="B6540" s="22" t="e">
        <x:f>HYPERLINK("https://cdn.shopify.com/s/files/1/0918/6066/4603/files/O1CN01SaGshs1HlX1MybE6t__2545140798-0-cib.jpg?v=1772808556","Open")</x:f>
        <x:v>HYPERLINK is not implemented. linkLocation=https://cdn.shopify.com/s/files/1/0918/6066/4603/files/O1CN01SaGshs1HlX1MybE6t__2545140798-0-cib.jpg?v=1772808556, friendlyName=Open</x:v>
      </x:c>
      <x:c r="C6540" s="24" t="e">
        <x:f>HYPERLINK("https://365nails.com/products/cute-puppy-dessert-nail-stickers-5d-embossed-kawaii-collaboration-set","Cute Puppy &amp; Dessert Nail Stickers – 5D Embossed Kawaii Collaboration Set")</x:f>
        <x:v>HYPERLINK is not implemented. linkLocation=https://365nails.com/products/cute-puppy-dessert-nail-stickers-5d-embossed-kawaii-collaboration-set, friendlyName=Cute Puppy &amp; Dessert Nail Stickers – 5D Embossed Kawaii Collaboration Set</x:v>
      </x:c>
      <x:c r="D6540" s="18" t="str">
        <x:v>Specification type: Mc 25 / Mc 29</x:v>
      </x:c>
      <x:c r="E6540" s="25" t="str">
        <x:v>$1.16</x:v>
      </x:c>
      <x:c r="F6540" s="19" t="str">
        <x:v>5</x:v>
      </x:c>
    </x:row>
    <x:row r="6541" ht="93" customHeight="1">
      <x:c r="A6541" s="19" t="n">
        <x:v>6538</x:v>
      </x:c>
      <x:c r="B6541" s="22" t="e">
        <x:f>HYPERLINK("https://cdn.shopify.com/s/files/1/0918/6066/4603/files/baaef0f57a2fcab207bd6936a9ee6d24.jpg?v=1772871031","Open")</x:f>
        <x:v>HYPERLINK is not implemented. linkLocation=https://cdn.shopify.com/s/files/1/0918/6066/4603/files/baaef0f57a2fcab207bd6936a9ee6d24.jpg?v=1772871031, friendlyName=Open</x:v>
      </x:c>
      <x:c r="C6541" s="24" t="e">
        <x:f>HYPERLINK("https://365nails.com/products/pink-butterfly-rose-nail-stickers-5d-embossed-new-gilded-elegance-set","Pink Butterfly &amp; Rose Nail Stickers – 5D Embossed New Gilded Elegance Set")</x:f>
        <x:v>HYPERLINK is not implemented. linkLocation=https://365nails.com/products/pink-butterfly-rose-nail-stickers-5d-embossed-new-gilded-elegance-set, friendlyName=Pink Butterfly &amp; Rose Nail Stickers – 5D Embossed New Gilded Elegance Set</x:v>
      </x:c>
      <x:c r="D6541" s="18" t="str">
        <x:v>Specification type: Ms717 laser-jelly / Ms717 new hot stamping-jelly</x:v>
      </x:c>
      <x:c r="E6541" s="25" t="str">
        <x:v>$1.23</x:v>
      </x:c>
      <x:c r="F6541" s="19" t="str">
        <x:v>5</x:v>
      </x:c>
    </x:row>
    <x:row r="6542" ht="93" customHeight="1">
      <x:c r="A6542" s="19" t="n">
        <x:v>6539</x:v>
      </x:c>
      <x:c r="B6542" s="22" t="e">
        <x:f>HYPERLINK("https://cdn.shopify.com/s/files/1/0918/6066/4603/files/O1CN01lRq6QB1HlX2Zjseak__2545140798-0-cib.jpg?v=1772863794","Open")</x:f>
        <x:v>HYPERLINK is not implemented. linkLocation=https://cdn.shopify.com/s/files/1/0918/6066/4603/files/O1CN01lRq6QB1HlX2Zjseak__2545140798-0-cib.jpg?v=1772863794, friendlyName=Open</x:v>
      </x:c>
      <x:c r="C6542" s="24" t="e">
        <x:f>HYPERLINK("https://365nails.com/products/holographic-iridescent-butterfly-nail-stickers-5d-embossed-fairy-wing-set","Holographic Iridescent Butterfly Nail Stickers – 5D Embossed Fairy Wing Set")</x:f>
        <x:v>HYPERLINK is not implemented. linkLocation=https://365nails.com/products/holographic-iridescent-butterfly-nail-stickers-5d-embossed-fairy-wing-set, friendlyName=Holographic Iridescent Butterfly Nail Stickers – 5D Embossed Fairy Wing Set</x:v>
      </x:c>
      <x:c r="D6542" s="18" t="str">
        <x:v>Specification type: Ms670-jelly / Ms671-jelly / Ms676-jelly / Ms677-jelly / Ms678-jelly</x:v>
      </x:c>
      <x:c r="E6542" s="25" t="str">
        <x:v>$1.23</x:v>
      </x:c>
      <x:c r="F6542" s="19" t="str">
        <x:v>5</x:v>
      </x:c>
    </x:row>
    <x:row r="6543" ht="93" customHeight="1">
      <x:c r="A6543" s="19" t="n">
        <x:v>6540</x:v>
      </x:c>
      <x:c r="B6543" s="22" t="e">
        <x:f>HYPERLINK("https://cdn.shopify.com/s/files/1/0918/6066/4603/files/c25747ef4fea146b44c0ff716ec2b2c5.jpg?v=1772873462","Open")</x:f>
        <x:v>HYPERLINK is not implemented. linkLocation=https://cdn.shopify.com/s/files/1/0918/6066/4603/files/c25747ef4fea146b44c0ff716ec2b2c5.jpg?v=1772873462, friendlyName=Open</x:v>
      </x:c>
      <x:c r="C6543" s="24" t="e">
        <x:f>HYPERLINK("https://365nails.com/products/nail-stickers-cute-meme-character-nail-stickers-5d-embossed-playful-mood-set","nail stickers Cute Meme Character Nail Stickers – 5D Embossed Playful Mood Set")</x:f>
        <x:v>HYPERLINK is not implemented. linkLocation=https://365nails.com/products/nail-stickers-cute-meme-character-nail-stickers-5d-embossed-playful-mood-set, friendlyName=nail stickers Cute Meme Character Nail Stickers – 5D Embossed Playful Mood Set</x:v>
      </x:c>
      <x:c r="D6543" s="18" t="str">
        <x:v>Specification type: To4876</x:v>
      </x:c>
      <x:c r="E6543" s="25" t="str">
        <x:v>$1.09</x:v>
      </x:c>
      <x:c r="F6543" s="19" t="str">
        <x:v>5</x:v>
      </x:c>
    </x:row>
    <x:row r="6544" ht="93" customHeight="1">
      <x:c r="A6544" s="19" t="n">
        <x:v>6541</x:v>
      </x:c>
      <x:c r="B6544" s="22" t="e">
        <x:f>HYPERLINK("https://cdn.shopify.com/s/files/1/0918/6066/4603/files/O1CN01pIzvoK1HlX1JfArXa__2545140798-0-cib.jpg?v=1772808135","Open")</x:f>
        <x:v>HYPERLINK is not implemented. linkLocation=https://cdn.shopify.com/s/files/1/0918/6066/4603/files/O1CN01pIzvoK1HlX1JfArXa__2545140798-0-cib.jpg?v=1772808135, friendlyName=Open</x:v>
      </x:c>
      <x:c r="C6544" s="24" t="e">
        <x:f>HYPERLINK("https://365nails.com/products/holographic-citrus-slice-nail-stickers-5d-embossed-fresh-summer-set","Holographic Citrus Slice Nail Stickers – 5D Embossed Fresh Summer Set")</x:f>
        <x:v>HYPERLINK is not implemented. linkLocation=https://365nails.com/products/holographic-citrus-slice-nail-stickers-5d-embossed-fresh-summer-set, friendlyName=Holographic Citrus Slice Nail Stickers – 5D Embossed Fresh Summer Set</x:v>
      </x:c>
      <x:c r="D6544" s="18" t="str">
        <x:v>Specification type: To3269-shell light</x:v>
      </x:c>
      <x:c r="E6544" s="25" t="str">
        <x:v>$1.23</x:v>
      </x:c>
      <x:c r="F6544" s="19" t="str">
        <x:v>5</x:v>
      </x:c>
    </x:row>
    <x:row r="6545" ht="93" customHeight="1">
      <x:c r="A6545" s="19" t="n">
        <x:v>6542</x:v>
      </x:c>
      <x:c r="B6545" s="22" t="e">
        <x:f>HYPERLINK("https://cdn.shopify.com/s/files/1/0918/6066/4603/files/de98a5ff95acbb8dc6373bdc0617dc4c.jpg?v=1773147334","Open")</x:f>
        <x:v>HYPERLINK is not implemented. linkLocation=https://cdn.shopify.com/s/files/1/0918/6066/4603/files/de98a5ff95acbb8dc6373bdc0617dc4c.jpg?v=1773147334, friendlyName=Open</x:v>
      </x:c>
      <x:c r="C6545" s="24" t="e">
        <x:f>HYPERLINK("https://365nails.com/products/lace-bow-hologram-coquettish-milestone-nail-art-set","Lace Bow Hologram – Coquettish Milestone Nail Art Stickers")</x:f>
        <x:v>HYPERLINK is not implemented. linkLocation=https://365nails.com/products/lace-bow-hologram-coquettish-milestone-nail-art-set, friendlyName=Lace Bow Hologram – Coquettish Milestone Nail Art Stickers</x:v>
      </x:c>
      <x:c r="D6545" s="18" t="str">
        <x:v>Specification type: Ms937-shell light / Ms938-shell light / To5649-shell light / To5652-hot stamping</x:v>
      </x:c>
      <x:c r="E6545" s="25" t="str">
        <x:v>$1.23</x:v>
      </x:c>
      <x:c r="F6545" s="19" t="str">
        <x:v>5</x:v>
      </x:c>
    </x:row>
    <x:row r="6546" ht="93" customHeight="1">
      <x:c r="A6546" s="19" t="n">
        <x:v>6543</x:v>
      </x:c>
      <x:c r="B6546" s="22" t="e">
        <x:f>HYPERLINK("https://cdn.shopify.com/s/files/1/0918/6066/4603/files/914f539fdcad9aaefa1419b2d79dc284.jpg?v=1772799673","Open")</x:f>
        <x:v>HYPERLINK is not implemented. linkLocation=https://cdn.shopify.com/s/files/1/0918/6066/4603/files/914f539fdcad9aaefa1419b2d79dc284.jpg?v=1772799673, friendlyName=Open</x:v>
      </x:c>
      <x:c r="C6546" s="24" t="e">
        <x:f>HYPERLINK("https://365nails.com/products/ink-bamboo-nail-stickers-5d-embossed-chinese-calligraphy-set","Ink Bamboo Nail Stickers – 5D Embossed Chinese Calligraphy Set")</x:f>
        <x:v>HYPERLINK is not implemented. linkLocation=https://365nails.com/products/ink-bamboo-nail-stickers-5d-embossed-chinese-calligraphy-set, friendlyName=Ink Bamboo Nail Stickers – 5D Embossed Chinese Calligraphy Set</x:v>
      </x:c>
      <x:c r="D6546" s="18" t="str">
        <x:v>Specification type: To3523 / To3524</x:v>
      </x:c>
      <x:c r="E6546" s="25" t="str">
        <x:v>$1.09</x:v>
      </x:c>
      <x:c r="F6546" s="19" t="str">
        <x:v>5</x:v>
      </x:c>
    </x:row>
    <x:row r="6547" ht="93" customHeight="1">
      <x:c r="A6547" s="19" t="n">
        <x:v>6544</x:v>
      </x:c>
      <x:c r="B6547" s="22" t="e">
        <x:f>HYPERLINK("https://cdn.shopify.com/s/files/1/0918/6066/4603/files/O1CN01TqjvnM1HlX1vbHGPU__2545140798-0-cib.jpg?v=1773325024","Open")</x:f>
        <x:v>HYPERLINK is not implemented. linkLocation=https://cdn.shopify.com/s/files/1/0918/6066/4603/files/O1CN01TqjvnM1HlX1vbHGPU__2545140798-0-cib.jpg?v=1773325024, friendlyName=Open</x:v>
      </x:c>
      <x:c r="C6547" s="24" t="e">
        <x:f>HYPERLINK("https://365nails.com/products/holographic-crystal-flower-dreamy-fairy-nail-art-set","Holographic Crystal Flower – Dreamy Fairy Nail Art Set")</x:f>
        <x:v>HYPERLINK is not implemented. linkLocation=https://365nails.com/products/holographic-crystal-flower-dreamy-fairy-nail-art-set, friendlyName=Holographic Crystal Flower – Dreamy Fairy Nail Art Set</x:v>
      </x:c>
      <x:c r="D6547" s="18" t="str">
        <x:v>Specification type: To4175-jelly / To4204-jelly</x:v>
      </x:c>
      <x:c r="E6547" s="25" t="str">
        <x:v>$1.23</x:v>
      </x:c>
      <x:c r="F6547" s="19" t="str">
        <x:v>1</x:v>
      </x:c>
    </x:row>
    <x:row r="6548" ht="93" customHeight="1">
      <x:c r="A6548" s="19" t="n">
        <x:v>6545</x:v>
      </x:c>
      <x:c r="B6548" s="22" t="e">
        <x:f>HYPERLINK("https://cdn.shopify.com/s/files/1/0918/6066/4603/files/993249a2fc3e3cd8d56533cc39b2d3f0.jpg?v=1772872265","Open")</x:f>
        <x:v>HYPERLINK is not implemented. linkLocation=https://cdn.shopify.com/s/files/1/0918/6066/4603/files/993249a2fc3e3cd8d56533cc39b2d3f0.jpg?v=1772872265, friendlyName=Open</x:v>
      </x:c>
      <x:c r="C6548" s="24" t="e">
        <x:f>HYPERLINK("https://365nails.com/products/winter-puppy-teddy-bear-nail-stickers-5d-embossed-festive-pals-set","Winter Puppy &amp; Teddy Bear Nail Stickers – 5D Embossed Festive Pals Set")</x:f>
        <x:v>HYPERLINK is not implemented. linkLocation=https://365nails.com/products/winter-puppy-teddy-bear-nail-stickers-5d-embossed-festive-pals-set, friendlyName=Winter Puppy &amp; Teddy Bear Nail Stickers – 5D Embossed Festive Pals Set</x:v>
      </x:c>
      <x:c r="D6548" s="18" t="str">
        <x:v>Specification type: To4695-relief</x:v>
      </x:c>
      <x:c r="E6548" s="25" t="str">
        <x:v>$1.23</x:v>
      </x:c>
      <x:c r="F6548" s="19" t="str">
        <x:v>5</x:v>
      </x:c>
    </x:row>
    <x:row r="6549" ht="93" customHeight="1">
      <x:c r="A6549" s="19" t="n">
        <x:v>6546</x:v>
      </x:c>
      <x:c r="B6549" s="22" t="e">
        <x:f>HYPERLINK("https://cdn.shopify.com/s/files/1/0918/6066/4603/files/O1CN01aiRF5I1HlX6Yf1u4i__2545140798-0-cib.jpg?v=1772631853","Open")</x:f>
        <x:v>HYPERLINK is not implemented. linkLocation=https://cdn.shopify.com/s/files/1/0918/6066/4603/files/O1CN01aiRF5I1HlX6Yf1u4i__2545140798-0-cib.jpg?v=1772631853, friendlyName=Open</x:v>
      </x:c>
      <x:c r="C6549" s="24" t="e">
        <x:f>HYPERLINK("https://365nails.com/products/embossed-ocean-nail-stickers-holographic-fish-bag-seahorse-set","Embossed Ocean Nail Stickers – Holographic Fish Bag &amp; Seahorse Set")</x:f>
        <x:v>HYPERLINK is not implemented. linkLocation=https://365nails.com/products/embossed-ocean-nail-stickers-holographic-fish-bag-seahorse-set, friendlyName=Embossed Ocean Nail Stickers – Holographic Fish Bag &amp; Seahorse Set</x:v>
      </x:c>
      <x:c r="D6549" s="18" t="str">
        <x:v>Specification type: To4879-jelly / To5046-jelly</x:v>
      </x:c>
      <x:c r="E6549" s="25" t="str">
        <x:v>$1.23</x:v>
      </x:c>
      <x:c r="F6549" s="19" t="str">
        <x:v>5</x:v>
      </x:c>
    </x:row>
    <x:row r="6550" ht="93" customHeight="1">
      <x:c r="A6550" s="19" t="n">
        <x:v>6547</x:v>
      </x:c>
      <x:c r="B6550" s="22" t="e">
        <x:f>HYPERLINK("https://cdn.shopify.com/s/files/1/0918/6066/4603/files/b22de29bea1d14b7f0882326b3727d2f.jpg?v=1772800130","Open")</x:f>
        <x:v>HYPERLINK is not implemented. linkLocation=https://cdn.shopify.com/s/files/1/0918/6066/4603/files/b22de29bea1d14b7f0882326b3727d2f.jpg?v=1772800130, friendlyName=Open</x:v>
      </x:c>
      <x:c r="C6550" s="24" t="e">
        <x:f>HYPERLINK("https://365nails.com/products/holographic-phoenix-nail-stickers-embossed-mythical-iridescent-set","Holographic Phoenix Nail Stickers – Embossed Mythical Iridescent Set")</x:f>
        <x:v>HYPERLINK is not implemented. linkLocation=https://365nails.com/products/holographic-phoenix-nail-stickers-embossed-mythical-iridescent-set, friendlyName=Holographic Phoenix Nail Stickers – Embossed Mythical Iridescent Set</x:v>
      </x:c>
      <x:c r="D6550" s="18" t="str">
        <x:v>Specification type: To3538-laser powder / To3538-new hot stamping / To3538-silver / To3539-relief</x:v>
      </x:c>
      <x:c r="E6550" s="25" t="str">
        <x:v>$1.23</x:v>
      </x:c>
      <x:c r="F6550" s="19" t="str">
        <x:v>5</x:v>
      </x:c>
    </x:row>
    <x:row r="6551" ht="93" customHeight="1">
      <x:c r="A6551" s="19" t="n">
        <x:v>6548</x:v>
      </x:c>
      <x:c r="B6551" s="22" t="e">
        <x:f>HYPERLINK("https://cdn.shopify.com/s/files/1/0918/6066/4603/files/9abed3ac36347f091580c05135de2451.jpg?v=1772799325","Open")</x:f>
        <x:v>HYPERLINK is not implemented. linkLocation=https://cdn.shopify.com/s/files/1/0918/6066/4603/files/9abed3ac36347f091580c05135de2451.jpg?v=1772799325, friendlyName=Open</x:v>
      </x:c>
      <x:c r="C6551" s="24" t="e">
        <x:f>HYPERLINK("https://365nails.com/products/disney-princess-nail-stickers-5d-embossed-fairytale-set","Disney Princess Nail Stickers – 5D Embossed Fairytale Set")</x:f>
        <x:v>HYPERLINK is not implemented. linkLocation=https://365nails.com/products/disney-princess-nail-stickers-5d-embossed-fairytale-set, friendlyName=Disney Princess Nail Stickers – 5D Embossed Fairytale Set</x:v>
      </x:c>
      <x:c r="D6551" s="18" t="str">
        <x:v>Specification type: To3516</x:v>
      </x:c>
      <x:c r="E6551" s="25" t="str">
        <x:v>$1.23</x:v>
      </x:c>
      <x:c r="F6551" s="19" t="str">
        <x:v>5</x:v>
      </x:c>
    </x:row>
    <x:row r="6552" ht="93" customHeight="1">
      <x:c r="A6552" s="19" t="n">
        <x:v>6549</x:v>
      </x:c>
      <x:c r="B6552" s="22" t="e">
        <x:f>HYPERLINK("https://cdn.shopify.com/s/files/1/0918/6066/4603/files/7cdd4822828246cae2f7e7292dad2a60.jpg?v=1773468016","Open")</x:f>
        <x:v>HYPERLINK is not implemented. linkLocation=https://cdn.shopify.com/s/files/1/0918/6066/4603/files/7cdd4822828246cae2f7e7292dad2a60.jpg?v=1773468016, friendlyName=Open</x:v>
      </x:c>
      <x:c r="C6552" s="24" t="e">
        <x:f>HYPERLINK("https://365nails.com/products/thousand-li-mountains-collection-holographic-mountains-clouds-3d-embossed-nail-sticker","Thousand Li Mountains Collection: ""Holographic Mountains &amp; Clouds"" – 3D Embossed Nail Sticker")</x:f>
        <x:v>HYPERLINK is not implemented. linkLocation=https://365nails.com/products/thousand-li-mountains-collection-holographic-mountains-clouds-3d-embossed-nail-sticker, friendlyName=Thousand Li Mountains Collection: "Holographic Mountains &amp; Clouds" – 3D Embossed Nail Sticker</x:v>
      </x:c>
      <x:c r="D6552" s="18" t="str">
        <x:v>Specification type: Ms905-1-metal / Ms905-metal / To5411-relief</x:v>
      </x:c>
      <x:c r="E6552" s="25" t="str">
        <x:v>$1.23</x:v>
      </x:c>
      <x:c r="F6552" s="19" t="str">
        <x:v>5</x:v>
      </x:c>
    </x:row>
    <x:row r="6553" ht="93" customHeight="1">
      <x:c r="A6553" s="19" t="n">
        <x:v>6550</x:v>
      </x:c>
      <x:c r="B6553" s="22" t="e">
        <x:f>HYPERLINK("https://cdn.shopify.com/s/files/1/0918/6066/4603/files/b4cfde594ff2bf33dc8ad807dacd333b.jpg?v=1772799440","Open")</x:f>
        <x:v>HYPERLINK is not implemented. linkLocation=https://cdn.shopify.com/s/files/1/0918/6066/4603/files/b4cfde594ff2bf33dc8ad807dacd333b.jpg?v=1772799440, friendlyName=Open</x:v>
      </x:c>
      <x:c r="C6553" s="24" t="e">
        <x:f>HYPERLINK("https://365nails.com/products/holographic-ornate-nail-stickers-5d-embossed-fantasy-jewelry-set","Holographic Ornate Nail Stickers – 5D Embossed Fantasy Jewelry Set")</x:f>
        <x:v>HYPERLINK is not implemented. linkLocation=https://365nails.com/products/holographic-ornate-nail-stickers-5d-embossed-fantasy-jewelry-set, friendlyName=Holographic Ornate Nail Stickers – 5D Embossed Fantasy Jewelry Set</x:v>
      </x:c>
      <x:c r="D6553" s="18" t="str">
        <x:v>Specification type: To3488 / To3489-laser powder / To3489-new hot stamping / To3489-silver</x:v>
      </x:c>
      <x:c r="E6553" s="25" t="str">
        <x:v>$1.23</x:v>
      </x:c>
      <x:c r="F6553" s="19" t="str">
        <x:v>5</x:v>
      </x:c>
    </x:row>
    <x:row r="6554" ht="93" customHeight="1">
      <x:c r="A6554" s="19" t="n">
        <x:v>6551</x:v>
      </x:c>
      <x:c r="B6554" s="22" t="e">
        <x:f>HYPERLINK("https://cdn.shopify.com/s/files/1/0918/6066/4603/files/O1CN01uPKsKb1HlX5VgGiI1__2545140798-0-cib.jpg?v=1772630284","Open")</x:f>
        <x:v>HYPERLINK is not implemented. linkLocation=https://cdn.shopify.com/s/files/1/0918/6066/4603/files/O1CN01uPKsKb1HlX5VgGiI1__2545140798-0-cib.jpg?v=1772630284, friendlyName=Open</x:v>
      </x:c>
      <x:c r="C6554" s="24" t="e">
        <x:f>HYPERLINK("https://365nails.com/products/lily-of-the-valley-embossed-nail-stickers-pastel-bow-heart-set","Lily of the Valley Embossed Nail Stickers – Pastel Bow &amp; Heart Set")</x:f>
        <x:v>HYPERLINK is not implemented. linkLocation=https://365nails.com/products/lily-of-the-valley-embossed-nail-stickers-pastel-bow-heart-set, friendlyName=Lily of the Valley Embossed Nail Stickers – Pastel Bow &amp; Heart Set</x:v>
      </x:c>
      <x:c r="D6554" s="18" t="str">
        <x:v>Specification type: To4889-relief</x:v>
      </x:c>
      <x:c r="E6554" s="25" t="str">
        <x:v>$1.23</x:v>
      </x:c>
      <x:c r="F6554" s="19" t="str">
        <x:v>5</x:v>
      </x:c>
    </x:row>
    <x:row r="6555" ht="93" customHeight="1">
      <x:c r="A6555" s="19" t="n">
        <x:v>6552</x:v>
      </x:c>
      <x:c r="B6555" s="22" t="e">
        <x:f>HYPERLINK("https://cdn.shopify.com/s/files/1/0918/6066/4603/files/19f24a43e66f958d36fcf72340c4d897.jpg?v=1772871702","Open")</x:f>
        <x:v>HYPERLINK is not implemented. linkLocation=https://cdn.shopify.com/s/files/1/0918/6066/4603/files/19f24a43e66f958d36fcf72340c4d897.jpg?v=1772871702, friendlyName=Open</x:v>
      </x:c>
      <x:c r="C6555" s="24" t="e">
        <x:f>HYPERLINK("https://365nails.com/products/retro-outfit-cat-nail-stickers-5d-embossed-vintage-charm-set","Retro Outfit Cat Nail Stickers – 5D Embossed Vintage Charm Set")</x:f>
        <x:v>HYPERLINK is not implemented. linkLocation=https://365nails.com/products/retro-outfit-cat-nail-stickers-5d-embossed-vintage-charm-set, friendlyName=Retro Outfit Cat Nail Stickers – 5D Embossed Vintage Charm Set</x:v>
      </x:c>
      <x:c r="D6555" s="18" t="str">
        <x:v>Specification type: To4662-relief</x:v>
      </x:c>
      <x:c r="E6555" s="25" t="str">
        <x:v>$1.23</x:v>
      </x:c>
      <x:c r="F6555" s="19" t="str">
        <x:v>5</x:v>
      </x:c>
    </x:row>
    <x:row r="6556" ht="93" customHeight="1">
      <x:c r="A6556" s="19" t="n">
        <x:v>6553</x:v>
      </x:c>
      <x:c r="B6556" s="22" t="e">
        <x:f>HYPERLINK("https://cdn.shopify.com/s/files/1/0918/6066/4603/files/O1CN01mGB2Te1HlX1x6fDON__2545140798-0-cib.jpg?v=1773468110","Open")</x:f>
        <x:v>HYPERLINK is not implemented. linkLocation=https://cdn.shopify.com/s/files/1/0918/6066/4603/files/O1CN01mGB2Te1HlX1x6fDON__2545140798-0-cib.jpg?v=1773468110, friendlyName=Open</x:v>
      </x:c>
      <x:c r="C6556" s="24" t="e">
        <x:f>HYPERLINK("https://365nails.com/products/thousand-li-mountains-collection-holographic-mountains-clouds-3d-embossed-nail-sticker-1","Thousand Li Mountains Collection: ""Holographic Mountains &amp; Clouds"" – 3D Embossed Nail Sticker")</x:f>
        <x:v>HYPERLINK is not implemented. linkLocation=https://365nails.com/products/thousand-li-mountains-collection-holographic-mountains-clouds-3d-embossed-nail-sticker-1, friendlyName=Thousand Li Mountains Collection: "Holographic Mountains &amp; Clouds" – 3D Embossed Nail Sticker</x:v>
      </x:c>
      <x:c r="D6556" s="18" t="str">
        <x:v>Specification type: San060</x:v>
      </x:c>
      <x:c r="E6556" s="25" t="str">
        <x:v>$1.16</x:v>
      </x:c>
      <x:c r="F6556" s="19" t="str">
        <x:v>5</x:v>
      </x:c>
    </x:row>
    <x:row r="6557" ht="93" customHeight="1">
      <x:c r="A6557" s="19" t="n">
        <x:v>6554</x:v>
      </x:c>
      <x:c r="B6557" s="22" t="e">
        <x:f>HYPERLINK("https://cdn.shopify.com/s/files/1/0918/6066/4603/files/O1CN01FQBIhr1HlX5uKaIrK__2545140798-0-cib.jpg?v=1772630796","Open")</x:f>
        <x:v>HYPERLINK is not implemented. linkLocation=https://cdn.shopify.com/s/files/1/0918/6066/4603/files/O1CN01FQBIhr1HlX5uKaIrK__2545140798-0-cib.jpg?v=1772630796, friendlyName=Open</x:v>
      </x:c>
      <x:c r="C6557" s="24" t="e">
        <x:f>HYPERLINK("https://365nails.com/products/5d-embossed-doodle-nail-stickers-puppy-bunny-party-set","5D Embossed Doodle Nail Stickers – Puppy &amp; Bunny Party Set")</x:f>
        <x:v>HYPERLINK is not implemented. linkLocation=https://365nails.com/products/5d-embossed-doodle-nail-stickers-puppy-bunny-party-set, friendlyName=5D Embossed Doodle Nail Stickers – Puppy &amp; Bunny Party Set</x:v>
      </x:c>
      <x:c r="D6557" s="18" t="str">
        <x:v>Specification type: To4855-relief / To4899-relief</x:v>
      </x:c>
      <x:c r="E6557" s="25" t="str">
        <x:v>$1.23</x:v>
      </x:c>
      <x:c r="F6557" s="19" t="str">
        <x:v>5</x:v>
      </x:c>
    </x:row>
    <x:row r="6558" ht="93" customHeight="1">
      <x:c r="A6558" s="19" t="n">
        <x:v>6555</x:v>
      </x:c>
      <x:c r="B6558" s="22" t="e">
        <x:f>HYPERLINK("https://cdn.shopify.com/s/files/1/0918/6066/4603/files/88f1eec44500dd7e834bb6cd198e2562.jpg?v=1772873727","Open")</x:f>
        <x:v>HYPERLINK is not implemented. linkLocation=https://cdn.shopify.com/s/files/1/0918/6066/4603/files/88f1eec44500dd7e834bb6cd198e2562.jpg?v=1772873727, friendlyName=Open</x:v>
      </x:c>
      <x:c r="C6558" s="24" t="e">
        <x:f>HYPERLINK("https://365nails.com/products/nail-stickers-pink-crystal-rose-bow-nail-stickers-5d-embossed-sweet-lolita-set","nail stickers Pink Crystal Rose &amp; Bow Nail Stickers – 5D Embossed Sweet Lolita Set")</x:f>
        <x:v>HYPERLINK is not implemented. linkLocation=https://365nails.com/products/nail-stickers-pink-crystal-rose-bow-nail-stickers-5d-embossed-sweet-lolita-set, friendlyName=nail stickers Pink Crystal Rose &amp; Bow Nail Stickers – 5D Embossed Sweet Lolita Set</x:v>
      </x:c>
      <x:c r="D6558" s="18" t="str">
        <x:v>Specification type: Ms773-crystal diamond / Ms774-crystal diamond</x:v>
      </x:c>
      <x:c r="E6558" s="25" t="str">
        <x:v>$1.30</x:v>
      </x:c>
      <x:c r="F6558" s="19" t="str">
        <x:v>5</x:v>
      </x:c>
    </x:row>
    <x:row r="6559" ht="93" customHeight="1">
      <x:c r="A6559" s="19" t="n">
        <x:v>6556</x:v>
      </x:c>
      <x:c r="B6559" s="22" t="e">
        <x:f>HYPERLINK("https://cdn.shopify.com/s/files/1/0918/6066/4603/files/O1CN01HGYOBX1HlX5nPi6CQ__2545140798-0-cib.jpg?v=1772873611","Open")</x:f>
        <x:v>HYPERLINK is not implemented. linkLocation=https://cdn.shopify.com/s/files/1/0918/6066/4603/files/O1CN01HGYOBX1HlX5nPi6CQ__2545140798-0-cib.jpg?v=1772873611, friendlyName=Open</x:v>
      </x:c>
      <x:c r="C6559" s="24" t="e">
        <x:f>HYPERLINK("https://365nails.com/products/nail-stickers-white-lace-floral-nail-stickers-5d-embossed-bridal-elegance-set","nail stickers White Lace &amp; Floral Nail Stickers – 5D Embossed Bridal Elegance Set")</x:f>
        <x:v>HYPERLINK is not implemented. linkLocation=https://365nails.com/products/nail-stickers-white-lace-floral-nail-stickers-5d-embossed-bridal-elegance-set, friendlyName=nail stickers White Lace &amp; Floral Nail Stickers – 5D Embossed Bridal Elegance Set</x:v>
      </x:c>
      <x:c r="D6559" s="18" t="str">
        <x:v>Specification type: Ms 511 / Ms 512</x:v>
      </x:c>
      <x:c r="E6559" s="25" t="str">
        <x:v>$1.09</x:v>
      </x:c>
      <x:c r="F6559" s="19" t="str">
        <x:v>5</x:v>
      </x:c>
    </x:row>
    <x:row r="6560" ht="93" customHeight="1">
      <x:c r="A6560" s="19" t="n">
        <x:v>6557</x:v>
      </x:c>
      <x:c r="B6560" s="22" t="e">
        <x:f>HYPERLINK("https://cdn.shopify.com/s/files/1/0918/6066/4603/files/61a4606a34616fbfbf8287310e9f1250.jpg?v=1772807841","Open")</x:f>
        <x:v>HYPERLINK is not implemented. linkLocation=https://cdn.shopify.com/s/files/1/0918/6066/4603/files/61a4606a34616fbfbf8287310e9f1250.jpg?v=1772807841, friendlyName=Open</x:v>
      </x:c>
      <x:c r="C6560" s="24" t="e">
        <x:f>HYPERLINK("https://365nails.com/products/autumn-peony-butterfly-nail-stickers-5d-embossed-oriental-elegance-set","Autumn Peony &amp; Butterfly Nail Stickers – 5D Embossed Oriental Elegance Set")</x:f>
        <x:v>HYPERLINK is not implemented. linkLocation=https://365nails.com/products/autumn-peony-butterfly-nail-stickers-5d-embossed-oriental-elegance-set, friendlyName=Autumn Peony &amp; Butterfly Nail Stickers – 5D Embossed Oriental Elegance Set</x:v>
      </x:c>
      <x:c r="D6560" s="18" t="str">
        <x:v>Specification type: To3912-relief</x:v>
      </x:c>
      <x:c r="E6560" s="25" t="str">
        <x:v>$1.23</x:v>
      </x:c>
      <x:c r="F6560" s="19" t="str">
        <x:v>5</x:v>
      </x:c>
    </x:row>
    <x:row r="6561" ht="93" customHeight="1">
      <x:c r="A6561" s="19" t="n">
        <x:v>6558</x:v>
      </x:c>
      <x:c r="B6561" s="22" t="e">
        <x:f>HYPERLINK("https://cdn.shopify.com/s/files/1/0918/6066/4603/files/O1CN01aiRF5I1HlX6Yf1u4i__2545140798-0-cib_460cd44b-dec5-4086-a783-8bcac0f7f2ff.jpg?v=1772632445","Open")</x:f>
        <x:v>HYPERLINK is not implemented. linkLocation=https://cdn.shopify.com/s/files/1/0918/6066/4603/files/O1CN01aiRF5I1HlX6Yf1u4i__2545140798-0-cib_460cd44b-dec5-4086-a783-8bcac0f7f2ff.jpg?v=1772632445, friendlyName=Open</x:v>
      </x:c>
      <x:c r="C6561" s="24" t="e">
        <x:f>HYPERLINK("https://365nails.com/products/embossed-ocean-nail-stickers-holographic-fish-bag-seahorse-set-1","Embossed Ocean Nail Stickers – Holographic Fish Bag &amp; Seahorse Set")</x:f>
        <x:v>HYPERLINK is not implemented. linkLocation=https://365nails.com/products/embossed-ocean-nail-stickers-holographic-fish-bag-seahorse-set-1, friendlyName=Embossed Ocean Nail Stickers – Holographic Fish Bag &amp; Seahorse Set</x:v>
      </x:c>
      <x:c r="D6561" s="18" t="str">
        <x:v>Specification type: To4879-jelly / To5046-jelly</x:v>
      </x:c>
      <x:c r="E6561" s="25" t="str">
        <x:v>$1.23</x:v>
      </x:c>
      <x:c r="F6561" s="19" t="str">
        <x:v>5</x:v>
      </x:c>
    </x:row>
    <x:row r="6562" ht="93" customHeight="1">
      <x:c r="A6562" s="19" t="n">
        <x:v>6559</x:v>
      </x:c>
      <x:c r="B6562" s="22" t="e">
        <x:f>HYPERLINK("https://cdn.shopify.com/s/files/1/0918/6066/4603/files/f34fb1481dc7fdebda8894d6e5b42cb0.jpg?v=1772872363","Open")</x:f>
        <x:v>HYPERLINK is not implemented. linkLocation=https://cdn.shopify.com/s/files/1/0918/6066/4603/files/f34fb1481dc7fdebda8894d6e5b42cb0.jpg?v=1772872363, friendlyName=Open</x:v>
      </x:c>
      <x:c r="C6562" s="24" t="e">
        <x:f>HYPERLINK("https://365nails.com/products/laser-pink-hollow-icon-nail-stickers-5d-embossed-minimalist-shine-set","Laser Pink Hollow Icon Nail Stickers – 5D Embossed Minimalist Shine Set")</x:f>
        <x:v>HYPERLINK is not implemented. linkLocation=https://365nails.com/products/laser-pink-hollow-icon-nail-stickers-5d-embossed-minimalist-shine-set, friendlyName=Laser Pink Hollow Icon Nail Stickers – 5D Embossed Minimalist Shine Set</x:v>
      </x:c>
      <x:c r="D6562" s="18" t="str">
        <x:v>Specification type: To4800-laser powder / To4800-new hot stamping / To4800-silver</x:v>
      </x:c>
      <x:c r="E6562" s="25" t="str">
        <x:v>$1.23</x:v>
      </x:c>
      <x:c r="F6562" s="19" t="str">
        <x:v>5</x:v>
      </x:c>
    </x:row>
    <x:row r="6563" ht="93" customHeight="1">
      <x:c r="A6563" s="19" t="n">
        <x:v>6560</x:v>
      </x:c>
      <x:c r="B6563" s="22" t="e">
        <x:f>HYPERLINK("https://cdn.shopify.com/s/files/1/0918/6066/4603/files/78f698146d73885698aa373cae425dce.jpg?v=1773324836","Open")</x:f>
        <x:v>HYPERLINK is not implemented. linkLocation=https://cdn.shopify.com/s/files/1/0918/6066/4603/files/78f698146d73885698aa373cae425dce.jpg?v=1773324836, friendlyName=Open</x:v>
      </x:c>
      <x:c r="C6563" s="24" t="e">
        <x:f>HYPERLINK("https://365nails.com/products/spring-daisy-vase-fresh-romantic-nail-art-set","Spring Daisy Vase – Fresh Romantic Nail Art Set")</x:f>
        <x:v>HYPERLINK is not implemented. linkLocation=https://365nails.com/products/spring-daisy-vase-fresh-romantic-nail-art-set, friendlyName=Spring Daisy Vase – Fresh Romantic Nail Art Set</x:v>
      </x:c>
      <x:c r="D6563" s="18" t="str">
        <x:v>Specification type: To5609-relief / To5626-relief</x:v>
      </x:c>
      <x:c r="E6563" s="25" t="str">
        <x:v>$1.23</x:v>
      </x:c>
      <x:c r="F6563" s="19" t="str">
        <x:v>1</x:v>
      </x:c>
    </x:row>
    <x:row r="6564" ht="93" customHeight="1">
      <x:c r="A6564" s="19" t="n">
        <x:v>6561</x:v>
      </x:c>
      <x:c r="B6564" s="22" t="e">
        <x:f>HYPERLINK("https://cdn.shopify.com/s/files/1/0918/6066/4603/files/O1CN01C29SxZ1HlX1egCqTm__2545140798-0-cib.jpg?v=1772808872","Open")</x:f>
        <x:v>HYPERLINK is not implemented. linkLocation=https://cdn.shopify.com/s/files/1/0918/6066/4603/files/O1CN01C29SxZ1HlX1egCqTm__2545140798-0-cib.jpg?v=1772808872, friendlyName=Open</x:v>
      </x:c>
      <x:c r="C6564" s="24" t="e">
        <x:f>HYPERLINK("https://365nails.com/products/holographic-mermaid-tail-nail-stickers-5d-embossed-ocean-dream-set","Holographic Mermaid Tail Nail Stickers – 5D Embossed Ocean Dream Set")</x:f>
        <x:v>HYPERLINK is not implemented. linkLocation=https://365nails.com/products/holographic-mermaid-tail-nail-stickers-5d-embossed-ocean-dream-set, friendlyName=Holographic Mermaid Tail Nail Stickers – 5D Embossed Ocean Dream Set</x:v>
      </x:c>
      <x:c r="D6564" s="18" t="str">
        <x:v>Specification type: Ms594-shell light</x:v>
      </x:c>
      <x:c r="E6564" s="25" t="str">
        <x:v>$1.23</x:v>
      </x:c>
      <x:c r="F6564" s="19" t="str">
        <x:v>5</x:v>
      </x:c>
    </x:row>
    <x:row r="6565" ht="93" customHeight="1">
      <x:c r="A6565" s="19" t="n">
        <x:v>6562</x:v>
      </x:c>
      <x:c r="B6565" s="22" t="e">
        <x:f>HYPERLINK("https://cdn.shopify.com/s/files/1/0918/6066/4603/files/143372d10afe3da2399fb5d2539e3568.jpg?v=1772801152","Open")</x:f>
        <x:v>HYPERLINK is not implemented. linkLocation=https://cdn.shopify.com/s/files/1/0918/6066/4603/files/143372d10afe3da2399fb5d2539e3568.jpg?v=1772801152, friendlyName=Open</x:v>
      </x:c>
      <x:c r="C6565" s="24" t="e">
        <x:f>HYPERLINK("https://365nails.com/products/holographic-flower-nail-stickers-5d-embossed-romantic-set","Holographic Flower Nail Stickers – 5D Embossed Romantic Set")</x:f>
        <x:v>HYPERLINK is not implemented. linkLocation=https://365nails.com/products/holographic-flower-nail-stickers-5d-embossed-romantic-set, friendlyName=Holographic Flower Nail Stickers – 5D Embossed Romantic Set</x:v>
      </x:c>
      <x:c r="D6565" s="18" t="str">
        <x:v>Specification type: Ms508 - shell light</x:v>
      </x:c>
      <x:c r="E6565" s="25" t="str">
        <x:v>$1.23</x:v>
      </x:c>
      <x:c r="F6565" s="19" t="str">
        <x:v>5</x:v>
      </x:c>
    </x:row>
    <x:row r="6566" ht="93" customHeight="1">
      <x:c r="A6566" s="19" t="n">
        <x:v>6563</x:v>
      </x:c>
      <x:c r="B6566" s="22" t="e">
        <x:f>HYPERLINK("https://cdn.shopify.com/s/files/1/0918/6066/4603/files/O1CN01VbXQZA1HlXAvYAm1P__2545140798-0-cib.jpg?v=1772631644","Open")</x:f>
        <x:v>HYPERLINK is not implemented. linkLocation=https://cdn.shopify.com/s/files/1/0918/6066/4603/files/O1CN01VbXQZA1HlXAvYAm1P__2545140798-0-cib.jpg?v=1772631644, friendlyName=Open</x:v>
      </x:c>
      <x:c r="C6566" s="24" t="e">
        <x:f>HYPERLINK("https://365nails.com/products/embossed-new-year-nail-stickers-lucky-cat-red-packet-set","Embossed New Year Nail Stickers – Lucky Cat &amp; Red Packet Set")</x:f>
        <x:v>HYPERLINK is not implemented. linkLocation=https://365nails.com/products/embossed-new-year-nail-stickers-lucky-cat-red-packet-set, friendlyName=Embossed New Year Nail Stickers – Lucky Cat &amp; Red Packet Set</x:v>
      </x:c>
      <x:c r="D6566" s="18" t="str">
        <x:v>Specification type: To5559-metal / To5566-relief / To5567-relief</x:v>
      </x:c>
      <x:c r="E6566" s="25" t="str">
        <x:v>$1.23</x:v>
      </x:c>
      <x:c r="F6566" s="19" t="str">
        <x:v>5</x:v>
      </x:c>
    </x:row>
    <x:row r="6567" ht="93" customHeight="1">
      <x:c r="A6567" s="19" t="n">
        <x:v>6564</x:v>
      </x:c>
      <x:c r="B6567" s="22" t="e">
        <x:f>HYPERLINK("https://cdn.shopify.com/s/files/1/0918/6066/4603/files/O1CN01Ymqx5R1HlX1uT3iHl__2545140798-0-cib.jpg?v=1772810058","Open")</x:f>
        <x:v>HYPERLINK is not implemented. linkLocation=https://cdn.shopify.com/s/files/1/0918/6066/4603/files/O1CN01Ymqx5R1HlX1uT3iHl__2545140798-0-cib.jpg?v=1772810058, friendlyName=Open</x:v>
      </x:c>
      <x:c r="C6567" s="24" t="e">
        <x:f>HYPERLINK("https://365nails.com/products/hello-kitty-holographic-nail-stickers-5d-embossed-kawaii-collaboration-set","Hello Kitty Holographic Nail Stickers – 5D Embossed Kawaii Collaboration Set")</x:f>
        <x:v>HYPERLINK is not implemented. linkLocation=https://365nails.com/products/hello-kitty-holographic-nail-stickers-5d-embossed-kawaii-collaboration-set, friendlyName=Hello Kitty Holographic Nail Stickers – 5D Embossed Kawaii Collaboration Set</x:v>
      </x:c>
      <x:c r="D6567" s="18" t="str">
        <x:v>Specification type: San072-ming zijin</x:v>
      </x:c>
      <x:c r="E6567" s="25" t="str">
        <x:v>$1.30</x:v>
      </x:c>
      <x:c r="F6567" s="19" t="str">
        <x:v>5</x:v>
      </x:c>
    </x:row>
    <x:row r="6568" ht="93" customHeight="1">
      <x:c r="A6568" s="19" t="n">
        <x:v>6565</x:v>
      </x:c>
      <x:c r="B6568" s="22" t="e">
        <x:f>HYPERLINK("https://cdn.shopify.com/s/files/1/0918/6066/4603/files/a556ad2cfaddb5196982839282a1fb94.jpg?v=1773241490","Open")</x:f>
        <x:v>HYPERLINK is not implemented. linkLocation=https://cdn.shopify.com/s/files/1/0918/6066/4603/files/a556ad2cfaddb5196982839282a1fb94.jpg?v=1773241490, friendlyName=Open</x:v>
      </x:c>
      <x:c r="C6568" s="24" t="e">
        <x:f>HYPERLINK("https://365nails.com/products/iridescent-silver-gothic-cross-edgy-punk-nail-art-set","Iridescent Silver Gothic Cross – Edgy Punk Nail Art Set")</x:f>
        <x:v>HYPERLINK is not implemented. linkLocation=https://365nails.com/products/iridescent-silver-gothic-cross-edgy-punk-nail-art-set, friendlyName=Iridescent Silver Gothic Cross – Edgy Punk Nail Art Set</x:v>
      </x:c>
      <x:c r="D6568" s="18" t="str">
        <x:v>Specification type: Ms884-metal / Ms895-metal</x:v>
      </x:c>
      <x:c r="E6568" s="25" t="str">
        <x:v>$1.23</x:v>
      </x:c>
      <x:c r="F6568" s="19" t="str">
        <x:v>1</x:v>
      </x:c>
    </x:row>
    <x:row r="6569" ht="93" customHeight="1">
      <x:c r="A6569" s="19" t="n">
        <x:v>6566</x:v>
      </x:c>
      <x:c r="B6569" s="22" t="e">
        <x:f>HYPERLINK("https://cdn.shopify.com/s/files/1/0918/6066/4603/files/6467552683e4d1937b46d7041e9bc3bd.jpg?v=1772808026","Open")</x:f>
        <x:v>HYPERLINK is not implemented. linkLocation=https://cdn.shopify.com/s/files/1/0918/6066/4603/files/6467552683e4d1937b46d7041e9bc3bd.jpg?v=1772808026, friendlyName=Open</x:v>
      </x:c>
      <x:c r="C6569" s="24" t="e">
        <x:f>HYPERLINK("https://365nails.com/products/holographic-goldfish-nail-stickers-5d-embossed-oriental-pond-set","Holographic Goldfish Nail Stickers – 5D Embossed Oriental Pond Set")</x:f>
        <x:v>HYPERLINK is not implemented. linkLocation=https://365nails.com/products/holographic-goldfish-nail-stickers-5d-embossed-oriental-pond-set, friendlyName=Holographic Goldfish Nail Stickers – 5D Embossed Oriental Pond Set</x:v>
      </x:c>
      <x:c r="D6569" s="18" t="str">
        <x:v>Specification type: Ta332-shell light / Ta334-shell light</x:v>
      </x:c>
      <x:c r="E6569" s="25" t="str">
        <x:v>$1.23</x:v>
      </x:c>
      <x:c r="F6569" s="19" t="str">
        <x:v>5</x:v>
      </x:c>
    </x:row>
    <x:row r="6570" ht="93" customHeight="1">
      <x:c r="A6570" s="19" t="n">
        <x:v>6567</x:v>
      </x:c>
      <x:c r="B6570" s="22" t="e">
        <x:f>HYPERLINK("https://cdn.shopify.com/s/files/1/0918/6066/4603/files/O1CN01DvXT4B1HlXBBf6DnK__2545140798-0-cib.jpg?v=1773235483","Open")</x:f>
        <x:v>HYPERLINK is not implemented. linkLocation=https://cdn.shopify.com/s/files/1/0918/6066/4603/files/O1CN01DvXT4B1HlXBBf6DnK__2545140798-0-cib.jpg?v=1773235483, friendlyName=Open</x:v>
      </x:c>
      <x:c r="C6570" s="24" t="e">
        <x:f>HYPERLINK("https://365nails.com/products/festive-rocking-horse-new-year-lucky-nail-art-set","Festive Rocking Horse – New Year Lucky Nail Art Set")</x:f>
        <x:v>HYPERLINK is not implemented. linkLocation=https://365nails.com/products/festive-rocking-horse-new-year-lucky-nail-art-set, friendlyName=Festive Rocking Horse – New Year Lucky Nail Art Set</x:v>
      </x:c>
      <x:c r="D6570" s="18" t="str">
        <x:v>Specification type: To5622-new hot stamping / To5622-silver</x:v>
      </x:c>
      <x:c r="E6570" s="25" t="str">
        <x:v>$1.23</x:v>
      </x:c>
      <x:c r="F6570" s="19" t="str">
        <x:v>1</x:v>
      </x:c>
    </x:row>
    <x:row r="6571" ht="93" customHeight="1">
      <x:c r="A6571" s="19" t="n">
        <x:v>6568</x:v>
      </x:c>
      <x:c r="B6571" s="22" t="e">
        <x:f>HYPERLINK("https://cdn.shopify.com/s/files/1/0918/6066/4603/files/08b62af836f3bce3192ec2be59a216d0.jpg?v=1772871607","Open")</x:f>
        <x:v>HYPERLINK is not implemented. linkLocation=https://cdn.shopify.com/s/files/1/0918/6066/4603/files/08b62af836f3bce3192ec2be59a216d0.jpg?v=1772871607, friendlyName=Open</x:v>
      </x:c>
      <x:c r="C6571" s="24" t="e">
        <x:f>HYPERLINK("https://365nails.com/products/blush-rose-butterfly-nail-stickers-5d-embossed-romantic-garden-set","Blush Rose &amp; Butterfly Nail Stickers – 5D Embossed Romantic Garden Set")</x:f>
        <x:v>HYPERLINK is not implemented. linkLocation=https://365nails.com/products/blush-rose-butterfly-nail-stickers-5d-embossed-romantic-garden-set, friendlyName=Blush Rose &amp; Butterfly Nail Stickers – 5D Embossed Romantic Garden Set</x:v>
      </x:c>
      <x:c r="D6571" s="18" t="str">
        <x:v>Specification type: To4610-relief</x:v>
      </x:c>
      <x:c r="E6571" s="25" t="str">
        <x:v>$1.23</x:v>
      </x:c>
      <x:c r="F6571" s="19" t="str">
        <x:v>5</x:v>
      </x:c>
    </x:row>
    <x:row r="6572" ht="93" customHeight="1">
      <x:c r="A6572" s="19" t="n">
        <x:v>6569</x:v>
      </x:c>
      <x:c r="B6572" s="22" t="e">
        <x:f>HYPERLINK("https://cdn.shopify.com/s/files/1/0918/6066/4603/files/30c44210d986c9bc55b0d14de46e946b.jpg?v=1772872645","Open")</x:f>
        <x:v>HYPERLINK is not implemented. linkLocation=https://cdn.shopify.com/s/files/1/0918/6066/4603/files/30c44210d986c9bc55b0d14de46e946b.jpg?v=1772872645, friendlyName=Open</x:v>
      </x:c>
      <x:c r="C6572" s="24" t="e">
        <x:f>HYPERLINK("https://365nails.com/products/crystal-butterfly-snowflake-nail-stickers-5d-embossed-winter-sparkle-set","Crystal Butterfly &amp; Snowflake Nail Stickers – 5D Embossed Winter Sparkle Set")</x:f>
        <x:v>HYPERLINK is not implemented. linkLocation=https://365nails.com/products/crystal-butterfly-snowflake-nail-stickers-5d-embossed-winter-sparkle-set, friendlyName=Crystal Butterfly &amp; Snowflake Nail Stickers – 5D Embossed Winter Sparkle Set</x:v>
      </x:c>
      <x:c r="D6572" s="18" t="str">
        <x:v>Specification type: To4807-crystal diamond / To4808-crystal diamond</x:v>
      </x:c>
      <x:c r="E6572" s="25" t="str">
        <x:v>$1.30</x:v>
      </x:c>
      <x:c r="F6572" s="19" t="str">
        <x:v>5</x:v>
      </x:c>
    </x:row>
    <x:row r="6573" ht="93" customHeight="1">
      <x:c r="A6573" s="19" t="n">
        <x:v>6570</x:v>
      </x:c>
      <x:c r="B6573" s="22" t="e">
        <x:f>HYPERLINK("https://cdn.shopify.com/s/files/1/0918/6066/4603/files/O1CN01VBS6z31HlX2m1Ru0a__2545140798-0-cib_7b7bcb22-3c82-4779-aa78-9f0aa4b7a7c4.jpg?v=1775455742","Open")</x:f>
        <x:v>HYPERLINK is not implemented. linkLocation=https://cdn.shopify.com/s/files/1/0918/6066/4603/files/O1CN01VBS6z31HlX2m1Ru0a__2545140798-0-cib_7b7bcb22-3c82-4779-aa78-9f0aa4b7a7c4.jpg?v=1775455742, friendlyName=Open</x:v>
      </x:c>
      <x:c r="C6573" s="24" t="e">
        <x:f>HYPERLINK("https://365nails.com/products/365nails-cute-bear-picnic-handmade-press-on-nails","365nails: ""Cute Bear Picnic"" –Nail Art Stickers")</x:f>
        <x:v>HYPERLINK is not implemented. linkLocation=https://365nails.com/products/365nails-cute-bear-picnic-handmade-press-on-nails, friendlyName=365nails: "Cute Bear Picnic" –Nail Art Stickers</x:v>
      </x:c>
      <x:c r="D6573" s="18" t="str">
        <x:v>Specification type: Mc40-jelly / Mc42-relief / Mc43-shell light</x:v>
      </x:c>
      <x:c r="E6573" s="25" t="str">
        <x:v>$1.30</x:v>
      </x:c>
      <x:c r="F6573" s="19" t="str">
        <x:v>5</x:v>
      </x:c>
    </x:row>
    <x:row r="6574" ht="93" customHeight="1">
      <x:c r="A6574" s="19" t="n">
        <x:v>6571</x:v>
      </x:c>
      <x:c r="B6574" s="22" t="e">
        <x:f>HYPERLINK("https://cdn.shopify.com/s/files/1/0918/6066/4603/files/95178cb33f4461712d1dac8abe6833f4.jpg?v=1772947859","Open")</x:f>
        <x:v>HYPERLINK is not implemented. linkLocation=https://cdn.shopify.com/s/files/1/0918/6066/4603/files/95178cb33f4461712d1dac8abe6833f4.jpg?v=1772947859, friendlyName=Open</x:v>
      </x:c>
      <x:c r="C6574" s="24" t="e">
        <x:f>HYPERLINK("https://365nails.com/products/christmas-teddy-cute-nail-art-accent-set","Christmas Teddy – Cute Nail Art Accent Set")</x:f>
        <x:v>HYPERLINK is not implemented. linkLocation=https://365nails.com/products/christmas-teddy-cute-nail-art-accent-set, friendlyName=Christmas Teddy – Cute Nail Art Accent Set</x:v>
      </x:c>
      <x:c r="D6574" s="18" t="str">
        <x:v>Specification type: To5334-relief / To5345-relief</x:v>
      </x:c>
      <x:c r="E6574" s="25" t="str">
        <x:v>$1.23</x:v>
      </x:c>
      <x:c r="F6574" s="19" t="str">
        <x:v>5</x:v>
      </x:c>
    </x:row>
    <x:row r="6575" ht="93" customHeight="1">
      <x:c r="A6575" s="19" t="n">
        <x:v>6572</x:v>
      </x:c>
      <x:c r="B6575" s="22" t="e">
        <x:f>HYPERLINK("https://cdn.shopify.com/s/files/1/0918/6066/4603/files/1e9b402844ce0946f1944b6030200fa4.jpg?v=1772863979","Open")</x:f>
        <x:v>HYPERLINK is not implemented. linkLocation=https://cdn.shopify.com/s/files/1/0918/6066/4603/files/1e9b402844ce0946f1944b6030200fa4.jpg?v=1772863979, friendlyName=Open</x:v>
      </x:c>
      <x:c r="C6575" s="24" t="e">
        <x:f>HYPERLINK("https://365nails.com/products/holographic-butterfly-floral-nail-stickers-5d-embossed-oriental-elegance-set","Holographic Butterfly &amp; Floral Nail Stickers – 5D Embossed Oriental Elegance Set")</x:f>
        <x:v>HYPERLINK is not implemented. linkLocation=https://365nails.com/products/holographic-butterfly-floral-nail-stickers-5d-embossed-oriental-elegance-set, friendlyName=Holographic Butterfly &amp; Floral Nail Stickers – 5D Embossed Oriental Elegance Set</x:v>
      </x:c>
      <x:c r="D6575" s="18" t="str">
        <x:v>Specification type: To4269-relief / To4323-relief</x:v>
      </x:c>
      <x:c r="E6575" s="25" t="str">
        <x:v>$1.23</x:v>
      </x:c>
      <x:c r="F6575" s="19" t="str">
        <x:v>5</x:v>
      </x:c>
    </x:row>
    <x:row r="6576" ht="93" customHeight="1">
      <x:c r="A6576" s="19" t="n">
        <x:v>6573</x:v>
      </x:c>
      <x:c r="B6576" s="22" t="e">
        <x:f>HYPERLINK("https://cdn.shopify.com/s/files/1/0918/6066/4603/files/63001320b90dcb3ce3fc4e228805e2ab.jpg?v=1773324591","Open")</x:f>
        <x:v>HYPERLINK is not implemented. linkLocation=https://cdn.shopify.com/s/files/1/0918/6066/4603/files/63001320b90dcb3ce3fc4e228805e2ab.jpg?v=1773324591, friendlyName=Open</x:v>
      </x:c>
      <x:c r="C6576" s="24" t="e">
        <x:f>HYPERLINK("https://365nails.com/products/holographic-goldfish-lucky-oriental-nail-art-set","Holographic Goldfish – Lucky Oriental Nail Art Set")</x:f>
        <x:v>HYPERLINK is not implemented. linkLocation=https://365nails.com/products/holographic-goldfish-lucky-oriental-nail-art-set, friendlyName=Holographic Goldfish – Lucky Oriental Nail Art Set</x:v>
      </x:c>
      <x:c r="D6576" s="18" t="str">
        <x:v>Specification type: To4906-metal</x:v>
      </x:c>
      <x:c r="E6576" s="25" t="str">
        <x:v>$1.23</x:v>
      </x:c>
      <x:c r="F6576" s="19" t="str">
        <x:v>1</x:v>
      </x:c>
    </x:row>
    <x:row r="6577" ht="93" customHeight="1">
      <x:c r="A6577" s="19" t="n">
        <x:v>6574</x:v>
      </x:c>
      <x:c r="B6577" s="22" t="e">
        <x:f>HYPERLINK("https://cdn.shopify.com/s/files/1/0918/6066/4603/files/O1CN01R3hMEO1HlX7OSKZDX__2545140798-0-cib.jpg?v=1772879166","Open")</x:f>
        <x:v>HYPERLINK is not implemented. linkLocation=https://cdn.shopify.com/s/files/1/0918/6066/4603/files/O1CN01R3hMEO1HlX7OSKZDX__2545140798-0-cib.jpg?v=1772879166, friendlyName=Open</x:v>
      </x:c>
      <x:c r="C6577" s="24" t="e">
        <x:f>HYPERLINK("https://365nails.com/products/colorful-glitter-heart-5d-embossed-sweet-accent-set","Colorful Glitter Heart – 5D Embossed Sweet Accent Set")</x:f>
        <x:v>HYPERLINK is not implemented. linkLocation=https://365nails.com/products/colorful-glitter-heart-5d-embossed-sweet-accent-set, friendlyName=Colorful Glitter Heart – 5D Embossed Sweet Accent Set</x:v>
      </x:c>
      <x:c r="D6577" s="18" t="str">
        <x:v>Specification type: To318 / To342 / To353 / Tomoni 349 / To354 / To356 / To383-relief / To407 / To408 / To423 / To424 / To509 / To614-relief / To615-relief / To616 / To617 / To628 / To629 / To640 / To641 / To687-relief / To895-relief / To658 / To659 / To680 / To683 / To684 / To685 / To686 / To732 / To736-relief / To991-relief</x:v>
      </x:c>
      <x:c r="E6577" s="25" t="str">
        <x:v>$1.01</x:v>
      </x:c>
      <x:c r="F6577" s="19" t="str">
        <x:v>5</x:v>
      </x:c>
    </x:row>
    <x:row r="6578" ht="93" customHeight="1">
      <x:c r="A6578" s="19" t="n">
        <x:v>6575</x:v>
      </x:c>
      <x:c r="B6578" s="22" t="e">
        <x:f>HYPERLINK("https://cdn.shopify.com/s/files/1/0918/6066/4603/files/64eb55ef0cc7d31e4c848993e3df7b12.jpg?v=1772873345","Open")</x:f>
        <x:v>HYPERLINK is not implemented. linkLocation=https://cdn.shopify.com/s/files/1/0918/6066/4603/files/64eb55ef0cc7d31e4c848993e3df7b12.jpg?v=1772873345, friendlyName=Open</x:v>
      </x:c>
      <x:c r="C6578" s="24" t="e">
        <x:f>HYPERLINK("https://365nails.com/products/nail-stickers-iridescent-dragon-nail-stickers-5d-embossed-mystic-dragon-set","nail stickers Iridescent Dragon Nail Stickers – 5D Embossed Mystic Dragon Set")</x:f>
        <x:v>HYPERLINK is not implemented. linkLocation=https://365nails.com/products/nail-stickers-iridescent-dragon-nail-stickers-5d-embossed-mystic-dragon-set, friendlyName=nail stickers Iridescent Dragon Nail Stickers – 5D Embossed Mystic Dragon Set</x:v>
      </x:c>
      <x:c r="D6578" s="18" t="str">
        <x:v>Specification type: Ms527-metal / Ms528-shell light / Ms529-metal / Ms530-shell light</x:v>
      </x:c>
      <x:c r="E6578" s="25" t="str">
        <x:v>$1.23</x:v>
      </x:c>
      <x:c r="F6578" s="19" t="str">
        <x:v>5</x:v>
      </x:c>
    </x:row>
    <x:row r="6579" ht="93" customHeight="1">
      <x:c r="A6579" s="19" t="n">
        <x:v>6576</x:v>
      </x:c>
      <x:c r="B6579" s="22" t="e">
        <x:f>HYPERLINK("https://cdn.shopify.com/s/files/1/0918/6066/4603/files/50f5addd9e107b20b28cde8d2bc3fa96.jpg?v=1772884450","Open")</x:f>
        <x:v>HYPERLINK is not implemented. linkLocation=https://cdn.shopify.com/s/files/1/0918/6066/4603/files/50f5addd9e107b20b28cde8d2bc3fa96.jpg?v=1772884450, friendlyName=Open</x:v>
      </x:c>
      <x:c r="C6579" s="24" t="e">
        <x:f>HYPERLINK("https://365nails.com/products/white-lace-damask-5d-embossed-elegant-accent-set","White Lace Damask – 5D Embossed Elegant Accent Set")</x:f>
        <x:v>HYPERLINK is not implemented. linkLocation=https://365nails.com/products/white-lace-damask-5d-embossed-elegant-accent-set, friendlyName=White Lace Damask – 5D Embossed Elegant Accent Set</x:v>
      </x:c>
      <x:c r="D6579" s="18" t="str">
        <x:v>Specification type: Ta 131 / Ta 132 / Ta 133 / Ta 134 / Ta 135 / Ta 136</x:v>
      </x:c>
      <x:c r="E6579" s="25" t="str">
        <x:v>$1.09</x:v>
      </x:c>
      <x:c r="F6579" s="19" t="str">
        <x:v>5</x:v>
      </x:c>
    </x:row>
    <x:row r="6580" ht="93" customHeight="1">
      <x:c r="A6580" s="19" t="n">
        <x:v>6577</x:v>
      </x:c>
      <x:c r="B6580" s="22" t="e">
        <x:f>HYPERLINK("https://cdn.shopify.com/s/files/1/0918/6066/4603/files/O1CN01slqxVm1HlXAA6kmY0__2545140798-0-cib.jpg?v=1772702799","Open")</x:f>
        <x:v>HYPERLINK is not implemented. linkLocation=https://cdn.shopify.com/s/files/1/0918/6066/4603/files/O1CN01slqxVm1HlXAA6kmY0__2545140798-0-cib.jpg?v=1772702799, friendlyName=Open</x:v>
      </x:c>
      <x:c r="C6580" s="24" t="e">
        <x:f>HYPERLINK("https://365nails.com/products/holographic-firework-nail-stickers-3d-embossed-iridescent-celebration-set","Holographic Firework Nail Stickers – 3D Embossed Iridescent Celebration Set")</x:f>
        <x:v>HYPERLINK is not implemented. linkLocation=https://365nails.com/products/holographic-firework-nail-stickers-3d-embossed-iridescent-celebration-set, friendlyName=Holographic Firework Nail Stickers – 3D Embossed Iridescent Celebration Set</x:v>
      </x:c>
      <x:c r="D6580" s="18" t="str">
        <x:v>Specification type: To5419-glitter / Ms890-glitter powder / Ms891-metal</x:v>
      </x:c>
      <x:c r="E6580" s="25" t="str">
        <x:v>$1.23</x:v>
      </x:c>
      <x:c r="F6580" s="19" t="str">
        <x:v>5</x:v>
      </x:c>
    </x:row>
    <x:row r="6581" ht="93" customHeight="1">
      <x:c r="A6581" s="19" t="n">
        <x:v>6578</x:v>
      </x:c>
      <x:c r="B6581" s="22" t="e">
        <x:f>HYPERLINK("https://cdn.shopify.com/s/files/1/0918/6066/4603/files/84fa5f48fbced9c47d4d928421145c49.jpg?v=1772883499","Open")</x:f>
        <x:v>HYPERLINK is not implemented. linkLocation=https://cdn.shopify.com/s/files/1/0918/6066/4603/files/84fa5f48fbced9c47d4d928421145c49.jpg?v=1772883499, friendlyName=Open</x:v>
      </x:c>
      <x:c r="C6581" s="24" t="e">
        <x:f>HYPERLINK("https://365nails.com/products/autumn-squirrel-maple-leaf-5d-embossed-cozy-accent-set","Autumn Squirrel &amp; Maple Leaf – 5D Embossed Cozy Accent Set")</x:f>
        <x:v>HYPERLINK is not implemented. linkLocation=https://365nails.com/products/autumn-squirrel-maple-leaf-5d-embossed-cozy-accent-set, friendlyName=Autumn Squirrel &amp; Maple Leaf – 5D Embossed Cozy Accent Set</x:v>
      </x:c>
      <x:c r="D6581" s="18" t="str">
        <x:v>Specification type: To5479-relief</x:v>
      </x:c>
      <x:c r="E6581" s="25" t="str">
        <x:v>$1.23</x:v>
      </x:c>
      <x:c r="F6581" s="19" t="str">
        <x:v>5</x:v>
      </x:c>
    </x:row>
    <x:row r="6582" ht="93" customHeight="1">
      <x:c r="A6582" s="19" t="n">
        <x:v>6579</x:v>
      </x:c>
      <x:c r="B6582" s="22" t="e">
        <x:f>HYPERLINK("https://cdn.shopify.com/s/files/1/0918/6066/4603/files/771c2da77d909e6b5c7a7fe1bd6e9e8a.jpg?v=1772872022","Open")</x:f>
        <x:v>HYPERLINK is not implemented. linkLocation=https://cdn.shopify.com/s/files/1/0918/6066/4603/files/771c2da77d909e6b5c7a7fe1bd6e9e8a.jpg?v=1772872022, friendlyName=Open</x:v>
      </x:c>
      <x:c r="C6582" s="24" t="e">
        <x:f>HYPERLINK("https://365nails.com/products/crystal-mermaid-tail-nail-stickers-5d-embossed-ocean-fantasy-set","Crystal Mermaid Tail Nail Stickers – 5D Embossed Ocean Fantasy Set")</x:f>
        <x:v>HYPERLINK is not implemented. linkLocation=https://365nails.com/products/crystal-mermaid-tail-nail-stickers-5d-embossed-ocean-fantasy-set, friendlyName=Crystal Mermaid Tail Nail Stickers – 5D Embossed Ocean Fantasy Set</x:v>
      </x:c>
      <x:c r="D6582" s="18" t="str">
        <x:v>Specification type: Ms749-crystal diamond</x:v>
      </x:c>
      <x:c r="E6582" s="25" t="str">
        <x:v>$1.30</x:v>
      </x:c>
      <x:c r="F6582" s="19" t="str">
        <x:v>5</x:v>
      </x:c>
    </x:row>
    <x:row r="6583" ht="93" customHeight="1">
      <x:c r="A6583" s="19" t="n">
        <x:v>6580</x:v>
      </x:c>
      <x:c r="B6583" s="22" t="e">
        <x:f>HYPERLINK("https://cdn.shopify.com/s/files/1/0918/6066/4603/files/O1CN01pQyoYj1HlXA2kf2GB__2545140798-0-cib_1a690fb4-d0d4-444f-a0ba-de6610cdd9c7.jpg?v=1774595695","Open")</x:f>
        <x:v>HYPERLINK is not implemented. linkLocation=https://cdn.shopify.com/s/files/1/0918/6066/4603/files/O1CN01pQyoYj1HlXA2kf2GB__2545140798-0-cib_1a690fb4-d0d4-444f-a0ba-de6610cdd9c7.jpg?v=1774595695, friendlyName=Open</x:v>
      </x:c>
      <x:c r="C6583" s="24" t="e">
        <x:f>HYPERLINK("https://365nails.com/products/365nails-iridescent-christmas-snow-globe-handmade-press-on-nails","365nails: ""iridescent christmas snow globe"" – Nail Art Stickers")</x:f>
        <x:v>HYPERLINK is not implemented. linkLocation=https://365nails.com/products/365nails-iridescent-christmas-snow-globe-handmade-press-on-nails, friendlyName=365nails: "iridescent christmas snow globe" – Nail Art Stickers</x:v>
      </x:c>
      <x:c r="D6583" s="18" t="str">
        <x:v>Specification type: To5404-relief / To5405-relief</x:v>
      </x:c>
      <x:c r="E6583" s="25" t="str">
        <x:v>$1.23</x:v>
      </x:c>
      <x:c r="F6583" s="19" t="str">
        <x:v>5</x:v>
      </x:c>
    </x:row>
    <x:row r="6584" ht="93" customHeight="1">
      <x:c r="A6584" s="19" t="n">
        <x:v>6581</x:v>
      </x:c>
      <x:c r="B6584" s="22" t="e">
        <x:f>HYPERLINK("https://cdn.shopify.com/s/files/1/0918/6066/4603/files/8946411208688e222893ba3266781b22.jpg?v=1781017608","Open")</x:f>
        <x:v>HYPERLINK is not implemented. linkLocation=https://cdn.shopify.com/s/files/1/0918/6066/4603/files/8946411208688e222893ba3266781b22.jpg?v=1781017608, friendlyName=Open</x:v>
      </x:c>
      <x:c r="C6584" s="24" t="e">
        <x:f>HYPERLINK("https://365nails.com/products/365nails-hot-pink-stripe-polka-dot-star-y2k-hand-drawn-graphic-handmade-long-stiletto-nails","365nails: ""Hot Pink Stripe Polka Dot Star Y2K"" – Hand Drawn Graphic Handmade Long Stiletto Nails")</x:f>
        <x:v>HYPERLINK is not implemented. linkLocation=https://365nails.com/products/365nails-hot-pink-stripe-polka-dot-star-y2k-hand-drawn-graphic-handmade-long-stiletto-nails, friendlyName=365nails: "Hot Pink Stripe Polka Dot Star Y2K" – Hand Drawn Graphic Handmade Long Stiletto Nails</x:v>
      </x:c>
      <x:c r="D6584" s="18" t="str">
        <x:v>Size: XS / S / M / L</x:v>
      </x:c>
      <x:c r="E6584" s="25" t="str">
        <x:v>$4.99</x:v>
      </x:c>
      <x:c r="F6584" s="19" t="str">
        <x:v>3</x:v>
      </x:c>
    </x:row>
    <x:row r="6585" ht="93" customHeight="1">
      <x:c r="A6585" s="19" t="n">
        <x:v>6582</x:v>
      </x:c>
      <x:c r="B6585" s="22" t="e">
        <x:f>HYPERLINK("https://cdn.shopify.com/s/files/1/0918/6066/4603/files/O1CN01F0OkZ41HlWrylMP9Q__2545140798-0-cib.jpg?v=1772885408","Open")</x:f>
        <x:v>HYPERLINK is not implemented. linkLocation=https://cdn.shopify.com/s/files/1/0918/6066/4603/files/O1CN01F0OkZ41HlWrylMP9Q__2545140798-0-cib.jpg?v=1772885408, friendlyName=Open</x:v>
      </x:c>
      <x:c r="C6585" s="24" t="e">
        <x:f>HYPERLINK("https://365nails.com/products/spring-bunny-lace-5d-embossed-sweet-accent-set","Spring Bunny &amp; Lace – 5D Embossed Sweet Accent Set")</x:f>
        <x:v>HYPERLINK is not implemented. linkLocation=https://365nails.com/products/spring-bunny-lace-5d-embossed-sweet-accent-set, friendlyName=Spring Bunny &amp; Lace – 5D Embossed Sweet Accent Set</x:v>
      </x:c>
      <x:c r="D6585" s="18" t="str">
        <x:v>Specification type: To2754 / To2755 / To2756 / To2757</x:v>
      </x:c>
      <x:c r="E6585" s="25" t="str">
        <x:v>$1.23</x:v>
      </x:c>
      <x:c r="F6585" s="19" t="str">
        <x:v>5</x:v>
      </x:c>
    </x:row>
    <x:row r="6586" ht="93" customHeight="1">
      <x:c r="A6586" s="19" t="n">
        <x:v>6583</x:v>
      </x:c>
      <x:c r="B6586" s="22" t="e">
        <x:f>HYPERLINK("https://cdn.shopify.com/s/files/1/0918/6066/4603/files/99f375705f30e019ed452821cb4af83e.jpg?v=1772879270","Open")</x:f>
        <x:v>HYPERLINK is not implemented. linkLocation=https://cdn.shopify.com/s/files/1/0918/6066/4603/files/99f375705f30e019ed452821cb4af83e.jpg?v=1772879270, friendlyName=Open</x:v>
      </x:c>
      <x:c r="C6586" s="24" t="e">
        <x:f>HYPERLINK("https://365nails.com/products/lingerie-bow-5d-embossed-edgy-accent-set","Lingerie &amp; Bow – 5D Embossed Edgy Accent Set")</x:f>
        <x:v>HYPERLINK is not implemented. linkLocation=https://365nails.com/products/lingerie-bow-5d-embossed-edgy-accent-set, friendlyName=Lingerie &amp; Bow – 5D Embossed Edgy Accent Set</x:v>
      </x:c>
      <x:c r="D6586" s="18" t="str">
        <x:v>Specification type: To5141</x:v>
      </x:c>
      <x:c r="E6586" s="25" t="str">
        <x:v>$1.09</x:v>
      </x:c>
      <x:c r="F6586" s="19" t="str">
        <x:v>5</x:v>
      </x:c>
    </x:row>
    <x:row r="6587" ht="93" customHeight="1">
      <x:c r="A6587" s="19" t="n">
        <x:v>6584</x:v>
      </x:c>
      <x:c r="B6587" s="22" t="e">
        <x:f>HYPERLINK("https://cdn.shopify.com/s/files/1/0918/6066/4603/files/O1CN01D7C3Yl1HlX2uVovWi__2545140798-0-cib.jpg?v=1776517366","Open")</x:f>
        <x:v>HYPERLINK is not implemented. linkLocation=https://cdn.shopify.com/s/files/1/0918/6066/4603/files/O1CN01D7C3Yl1HlX2uVovWi__2545140798-0-cib.jpg?v=1776517366, friendlyName=Open</x:v>
      </x:c>
      <x:c r="C6587" s="24" t="e">
        <x:f>HYPERLINK("https://365nails.com/products/365nails-kawaii-holographic-picnic-nail-art-stickers","365nails: ""Kawaii Holographic Picnic"" – nail art stickers")</x:f>
        <x:v>HYPERLINK is not implemented. linkLocation=https://365nails.com/products/365nails-kawaii-holographic-picnic-nail-art-stickers, friendlyName=365nails: "Kawaii Holographic Picnic" – nail art stickers</x:v>
      </x:c>
      <x:c r="D6587" s="18" t="str">
        <x:v>Specification type: To4415-crystal diamond</x:v>
      </x:c>
      <x:c r="E6587" s="25" t="str">
        <x:v>$1.30</x:v>
      </x:c>
      <x:c r="F6587" s="19" t="str">
        <x:v>5</x:v>
      </x:c>
    </x:row>
    <x:row r="6588" ht="93" customHeight="1">
      <x:c r="A6588" s="19" t="n">
        <x:v>6585</x:v>
      </x:c>
      <x:c r="B6588" s="22" t="e">
        <x:f>HYPERLINK("https://cdn.shopify.com/s/files/1/0918/6066/4603/files/O1CN01XOV5AK1HlX1BepGLs__2545140798-0-cib_e1bbb5f5-55fb-4a5e-9267-c8d194660702.jpg?v=1775400282","Open")</x:f>
        <x:v>HYPERLINK is not implemented. linkLocation=https://cdn.shopify.com/s/files/1/0918/6066/4603/files/O1CN01XOV5AK1HlX1BepGLs__2545140798-0-cib_e1bbb5f5-55fb-4a5e-9267-c8d194660702.jpg?v=1775400282, friendlyName=Open</x:v>
      </x:c>
      <x:c r="C6588" s="24" t="e">
        <x:f>HYPERLINK("https://365nails.com/products/365nails-vintage-peony-butterfly-floral-nail-stickers","365nails: ""Vintage Peony &amp; Butterfly"" – Floral Nail Stickers")</x:f>
        <x:v>HYPERLINK is not implemented. linkLocation=https://365nails.com/products/365nails-vintage-peony-butterfly-floral-nail-stickers, friendlyName=365nails: "Vintage Peony &amp; Butterfly" – Floral Nail Stickers</x:v>
      </x:c>
      <x:c r="D6588" s="18" t="str">
        <x:v>Specification type: To3912-relief</x:v>
      </x:c>
      <x:c r="E6588" s="25" t="str">
        <x:v>$1.23</x:v>
      </x:c>
      <x:c r="F6588" s="19" t="str">
        <x:v>5</x:v>
      </x:c>
    </x:row>
    <x:row r="6589" ht="93" customHeight="1">
      <x:c r="A6589" s="19" t="n">
        <x:v>6586</x:v>
      </x:c>
      <x:c r="B6589" s="22" t="e">
        <x:f>HYPERLINK("https://cdn.shopify.com/s/files/1/0918/6066/4603/files/bddc9bb6a727f2ec478a03e461086f5c.jpg?v=1775891364","Open")</x:f>
        <x:v>HYPERLINK is not implemented. linkLocation=https://cdn.shopify.com/s/files/1/0918/6066/4603/files/bddc9bb6a727f2ec478a03e461086f5c.jpg?v=1775891364, friendlyName=Open</x:v>
      </x:c>
      <x:c r="C6589" s="24" t="e">
        <x:f>HYPERLINK("https://365nails.com/products/365nails-gothic-web-cross-stiletto-handmade-long-sharp-stiletto-nails","365nails: ""Gothic Web Cross Stiletto"" – Handmade Long Sharp Stiletto Nails")</x:f>
        <x:v>HYPERLINK is not implemented. linkLocation=https://365nails.com/products/365nails-gothic-web-cross-stiletto-handmade-long-sharp-stiletto-nails, friendlyName=365nails: "Gothic Web Cross Stiletto" – Handmade Long Sharp Stiletto Nails</x:v>
      </x:c>
      <x:c r="D6589" s="18" t="str">
        <x:v>Size: XS / S / M / L</x:v>
      </x:c>
      <x:c r="E6589" s="25" t="str">
        <x:v>$3.99</x:v>
      </x:c>
      <x:c r="F6589" s="19" t="str">
        <x:v>3</x:v>
      </x:c>
    </x:row>
    <x:row r="6590" ht="93" customHeight="1">
      <x:c r="A6590" s="19" t="n">
        <x:v>6587</x:v>
      </x:c>
      <x:c r="B6590" s="22" t="e">
        <x:f>HYPERLINK("https://cdn.shopify.com/s/files/1/0918/6066/4603/files/7a3fa7cb9cbcb2fe665a5371f6db60cf.jpg?v=1772883727","Open")</x:f>
        <x:v>HYPERLINK is not implemented. linkLocation=https://cdn.shopify.com/s/files/1/0918/6066/4603/files/7a3fa7cb9cbcb2fe665a5371f6db60cf.jpg?v=1772883727, friendlyName=Open</x:v>
      </x:c>
      <x:c r="C6590" s="24" t="e">
        <x:f>HYPERLINK("https://365nails.com/products/white-crystal-bow-5d-embossed-elegant-accent-set","White Crystal Bow – 5D Embossed Elegant Accent Set")</x:f>
        <x:v>HYPERLINK is not implemented. linkLocation=https://365nails.com/products/white-crystal-bow-5d-embossed-elegant-accent-set, friendlyName=White Crystal Bow – 5D Embossed Elegant Accent Set</x:v>
      </x:c>
      <x:c r="D6590" s="18" t="str">
        <x:v>Specification type: Ms920-crystal diamond / Ms921-crystal diamond</x:v>
      </x:c>
      <x:c r="E6590" s="25" t="str">
        <x:v>$1.34</x:v>
      </x:c>
      <x:c r="F6590" s="19" t="str">
        <x:v>5</x:v>
      </x:c>
    </x:row>
    <x:row r="6591" ht="93" customHeight="1">
      <x:c r="A6591" s="19" t="n">
        <x:v>6588</x:v>
      </x:c>
      <x:c r="B6591" s="22" t="e">
        <x:f>HYPERLINK("https://cdn.shopify.com/s/files/1/0918/6066/4603/files/a85e62c6f1dea89d5d4e76af0b6c94e8.jpg?v=1772800765","Open")</x:f>
        <x:v>HYPERLINK is not implemented. linkLocation=https://cdn.shopify.com/s/files/1/0918/6066/4603/files/a85e62c6f1dea89d5d4e76af0b6c94e8.jpg?v=1772800765, friendlyName=Open</x:v>
      </x:c>
      <x:c r="C6591" s="24" t="e">
        <x:f>HYPERLINK("https://365nails.com/products/holographic-butterfly-nail-stickers-5d-embossed-shimmer-set","Holographic Butterfly Nail Stickers – 5D Embossed Shimmer Set")</x:f>
        <x:v>HYPERLINK is not implemented. linkLocation=https://365nails.com/products/holographic-butterfly-nail-stickers-5d-embossed-shimmer-set, friendlyName=Holographic Butterfly Nail Stickers – 5D Embossed Shimmer Set</x:v>
      </x:c>
      <x:c r="D6591" s="18" t="str">
        <x:v>Specification type: To3572 / To3577</x:v>
      </x:c>
      <x:c r="E6591" s="25" t="str">
        <x:v>$1.23</x:v>
      </x:c>
      <x:c r="F6591" s="19" t="str">
        <x:v>5</x:v>
      </x:c>
    </x:row>
    <x:row r="6592" ht="93" customHeight="1">
      <x:c r="A6592" s="19" t="n">
        <x:v>6589</x:v>
      </x:c>
      <x:c r="B6592" s="22" t="e">
        <x:f>HYPERLINK("https://cdn.shopify.com/s/files/1/0918/6066/4603/files/52050499e51f6285a52b37658c0e46fb.jpg?v=1772886352","Open")</x:f>
        <x:v>HYPERLINK is not implemented. linkLocation=https://cdn.shopify.com/s/files/1/0918/6066/4603/files/52050499e51f6285a52b37658c0e46fb.jpg?v=1772886352, friendlyName=Open</x:v>
      </x:c>
      <x:c r="C6592" s="24" t="e">
        <x:f>HYPERLINK("https://365nails.com/products/dark-kawaii-bunny-5d-embossed-edgy-cute-accent-set","Dark Kawaii Bunny – 5D Embossed Edgy Cute Accent Set")</x:f>
        <x:v>HYPERLINK is not implemented. linkLocation=https://365nails.com/products/dark-kawaii-bunny-5d-embossed-edgy-cute-accent-set, friendlyName=Dark Kawaii Bunny – 5D Embossed Edgy Cute Accent Set</x:v>
      </x:c>
      <x:c r="D6592" s="18" t="str">
        <x:v>Specification type: To3406 / To3421</x:v>
      </x:c>
      <x:c r="E6592" s="25" t="str">
        <x:v>$1.09</x:v>
      </x:c>
      <x:c r="F6592" s="19" t="str">
        <x:v>5</x:v>
      </x:c>
    </x:row>
    <x:row r="6593" ht="93" customHeight="1">
      <x:c r="A6593" s="19" t="n">
        <x:v>6590</x:v>
      </x:c>
      <x:c r="B6593" s="22" t="e">
        <x:f>HYPERLINK("https://cdn.shopify.com/s/files/1/0918/6066/4603/files/504bf43795d5eb1005879d9b7ec11c3c.jpg?v=1772949310","Open")</x:f>
        <x:v>HYPERLINK is not implemented. linkLocation=https://cdn.shopify.com/s/files/1/0918/6066/4603/files/504bf43795d5eb1005879d9b7ec11c3c.jpg?v=1772949310, friendlyName=Open</x:v>
      </x:c>
      <x:c r="C6593" s="24" t="e">
        <x:f>HYPERLINK("https://365nails.com/products/jelly-crystal-butterfly-dreamy-nail-art-accent-set","Jelly Crystal Butterfly – Dreamy Nail Art Accent Set")</x:f>
        <x:v>HYPERLINK is not implemented. linkLocation=https://365nails.com/products/jelly-crystal-butterfly-dreamy-nail-art-accent-set, friendlyName=Jelly Crystal Butterfly – Dreamy Nail Art Accent Set</x:v>
      </x:c>
      <x:c r="D6593" s="18" t="str">
        <x:v>Specification type: Ms844-jelly / Ms845-jelly</x:v>
      </x:c>
      <x:c r="E6593" s="25" t="str">
        <x:v>$1.23</x:v>
      </x:c>
      <x:c r="F6593" s="19" t="str">
        <x:v>5</x:v>
      </x:c>
    </x:row>
    <x:row r="6594" ht="93" customHeight="1">
      <x:c r="A6594" s="19" t="n">
        <x:v>6591</x:v>
      </x:c>
      <x:c r="B6594" s="22" t="e">
        <x:f>HYPERLINK("https://cdn.shopify.com/s/files/1/0918/6066/4603/files/d1bb78051d24d91352d9b83e13ba7893.jpg?v=1772880212","Open")</x:f>
        <x:v>HYPERLINK is not implemented. linkLocation=https://cdn.shopify.com/s/files/1/0918/6066/4603/files/d1bb78051d24d91352d9b83e13ba7893.jpg?v=1772880212, friendlyName=Open</x:v>
      </x:c>
      <x:c r="C6594" s="24" t="e">
        <x:f>HYPERLINK("https://365nails.com/products/holographic-crystal-floral-5d-embossed-ethereal-accent-set","Holographic Crystal Floral – 5D Embossed Ethereal Accent Set")</x:f>
        <x:v>HYPERLINK is not implemented. linkLocation=https://365nails.com/products/holographic-crystal-floral-5d-embossed-ethereal-accent-set, friendlyName=Holographic Crystal Floral – 5D Embossed Ethereal Accent Set</x:v>
      </x:c>
      <x:c r="D6594" s="18" t="str">
        <x:v>Specification type: To4941-crystal diamond / To4942-crystal diamond / To5252-crystal diamond</x:v>
      </x:c>
      <x:c r="E6594" s="25" t="str">
        <x:v>$1.30</x:v>
      </x:c>
      <x:c r="F6594" s="19" t="str">
        <x:v>5</x:v>
      </x:c>
    </x:row>
    <x:row r="6595" ht="93" customHeight="1">
      <x:c r="A6595" s="19" t="n">
        <x:v>6592</x:v>
      </x:c>
      <x:c r="B6595" s="22" t="e">
        <x:f>HYPERLINK("https://cdn.shopify.com/s/files/1/0918/6066/4603/files/c9ac7a353e184970d7caf3a525eff491.jpg?v=1772879691","Open")</x:f>
        <x:v>HYPERLINK is not implemented. linkLocation=https://cdn.shopify.com/s/files/1/0918/6066/4603/files/c9ac7a353e184970d7caf3a525eff491.jpg?v=1772879691, friendlyName=Open</x:v>
      </x:c>
      <x:c r="C6595" s="24" t="e">
        <x:f>HYPERLINK("https://365nails.com/products/watercolor-floral-leaf-5d-embossed-fresh-accent-set","Watercolor Floral &amp; Leaf – 5D Embossed Fresh Accent Set")</x:f>
        <x:v>HYPERLINK is not implemented. linkLocation=https://365nails.com/products/watercolor-floral-leaf-5d-embossed-fresh-accent-set, friendlyName=Watercolor Floral &amp; Leaf – 5D Embossed Fresh Accent Set</x:v>
      </x:c>
      <x:c r="D6595" s="18" t="str">
        <x:v>Specification type: To5180-relief / To5181-relief / To5183-relief</x:v>
      </x:c>
      <x:c r="E6595" s="25" t="str">
        <x:v>$1.23</x:v>
      </x:c>
      <x:c r="F6595" s="19" t="str">
        <x:v>5</x:v>
      </x:c>
    </x:row>
    <x:row r="6596" ht="93" customHeight="1">
      <x:c r="A6596" s="19" t="n">
        <x:v>6593</x:v>
      </x:c>
      <x:c r="B6596" s="22" t="e">
        <x:f>HYPERLINK("https://cdn.shopify.com/s/files/1/0918/6066/4603/files/b734224be4beef3d68fef8f91587dfb2.jpg?v=1772877729","Open")</x:f>
        <x:v>HYPERLINK is not implemented. linkLocation=https://cdn.shopify.com/s/files/1/0918/6066/4603/files/b734224be4beef3d68fef8f91587dfb2.jpg?v=1772877729, friendlyName=Open</x:v>
      </x:c>
      <x:c r="C6596" s="24" t="e">
        <x:f>HYPERLINK("https://365nails.com/products/pastel-watercolor-floral-5d-embossed-spring-bloom-set","Pastel Watercolor Floral – 5D Embossed Spring Bloom Set")</x:f>
        <x:v>HYPERLINK is not implemented. linkLocation=https://365nails.com/products/pastel-watercolor-floral-5d-embossed-spring-bloom-set, friendlyName=Pastel Watercolor Floral – 5D Embossed Spring Bloom Set</x:v>
      </x:c>
      <x:c r="D6596" s="18" t="str">
        <x:v>Specification type: To5026-metal</x:v>
      </x:c>
      <x:c r="E6596" s="25" t="str">
        <x:v>$1.23</x:v>
      </x:c>
      <x:c r="F6596" s="19" t="str">
        <x:v>5</x:v>
      </x:c>
    </x:row>
    <x:row r="6597" ht="93" customHeight="1">
      <x:c r="A6597" s="19" t="n">
        <x:v>6594</x:v>
      </x:c>
      <x:c r="B6597" s="22" t="e">
        <x:f>HYPERLINK("https://cdn.shopify.com/s/files/1/0918/6066/4603/files/ff45beec402b9b3793d37fa2f5d21a35.jpg?v=1772886053","Open")</x:f>
        <x:v>HYPERLINK is not implemented. linkLocation=https://cdn.shopify.com/s/files/1/0918/6066/4603/files/ff45beec402b9b3793d37fa2f5d21a35.jpg?v=1772886053, friendlyName=Open</x:v>
      </x:c>
      <x:c r="C6597" s="24" t="e">
        <x:f>HYPERLINK("https://365nails.com/products/panda-bamboo-grove-5d-embossed-cute-accent-set","Panda Bamboo Grove – 5D Embossed Cute Accent Set")</x:f>
        <x:v>HYPERLINK is not implemented. linkLocation=https://365nails.com/products/panda-bamboo-grove-5d-embossed-cute-accent-set, friendlyName=Panda Bamboo Grove – 5D Embossed Cute Accent Set</x:v>
      </x:c>
      <x:c r="D6597" s="18" t="str">
        <x:v>Specification type: Ms 384</x:v>
      </x:c>
      <x:c r="E6597" s="25" t="str">
        <x:v>$1.23</x:v>
      </x:c>
      <x:c r="F6597" s="19" t="str">
        <x:v>5</x:v>
      </x:c>
    </x:row>
    <x:row r="6598" ht="93" customHeight="1">
      <x:c r="A6598" s="19" t="n">
        <x:v>6595</x:v>
      </x:c>
      <x:c r="B6598" s="22" t="e">
        <x:f>HYPERLINK("https://cdn.shopify.com/s/files/1/0918/6066/4603/files/33199a062e487aac46417b1490e3dca5.jpg?v=1773461981","Open")</x:f>
        <x:v>HYPERLINK is not implemented. linkLocation=https://cdn.shopify.com/s/files/1/0918/6066/4603/files/33199a062e487aac46417b1490e3dca5.jpg?v=1773461981, friendlyName=Open</x:v>
      </x:c>
      <x:c r="C6598" s="24" t="e">
        <x:f>HYPERLINK("https://365nails.com/products/dreamy-horse-collection-red-fantasy-horse-3d-embossed-nail-sticker","Dreamy Horse Collection: ""Red Fantasy Horse"" – 3D Embossed Nail Sticker")</x:f>
        <x:v>HYPERLINK is not implemented. linkLocation=https://365nails.com/products/dreamy-horse-collection-red-fantasy-horse-3d-embossed-nail-sticker, friendlyName=Dreamy Horse Collection: "Red Fantasy Horse" – 3D Embossed Nail Sticker</x:v>
      </x:c>
      <x:c r="D6598" s="18" t="str">
        <x:v>Specification type: To5483-red gold / To5483-new hot stamping / To5483-silver / To5484-shell light / To5485-glitter</x:v>
      </x:c>
      <x:c r="E6598" s="25" t="str">
        <x:v>$1.23</x:v>
      </x:c>
      <x:c r="F6598" s="19" t="str">
        <x:v>5</x:v>
      </x:c>
    </x:row>
    <x:row r="6599" ht="93" customHeight="1">
      <x:c r="A6599" s="19" t="n">
        <x:v>6596</x:v>
      </x:c>
      <x:c r="B6599" s="22" t="e">
        <x:f>HYPERLINK("https://cdn.shopify.com/s/files/1/0918/6066/4603/files/9caee75540343d9770b8f848cebae648.jpg?v=1772879904","Open")</x:f>
        <x:v>HYPERLINK is not implemented. linkLocation=https://cdn.shopify.com/s/files/1/0918/6066/4603/files/9caee75540343d9770b8f848cebae648.jpg?v=1772879904, friendlyName=Open</x:v>
      </x:c>
      <x:c r="C6599" s="24" t="e">
        <x:f>HYPERLINK("https://365nails.com/products/silver-snowflake-winter-hat-5d-embossed-festive-accent-set","Silver Snowflake &amp; Winter Hat – 5D Embossed Festive Accent Set")</x:f>
        <x:v>HYPERLINK is not implemented. linkLocation=https://365nails.com/products/silver-snowflake-winter-hat-5d-embossed-festive-accent-set, friendlyName=Silver Snowflake &amp; Winter Hat – 5D Embossed Festive Accent Set</x:v>
      </x:c>
      <x:c r="D6599" s="18" t="str">
        <x:v>Specification type: To5257-shell light / To5258-shell light / To5260-shell light</x:v>
      </x:c>
      <x:c r="E6599" s="25" t="str">
        <x:v>$1.23</x:v>
      </x:c>
      <x:c r="F6599" s="19" t="str">
        <x:v>5</x:v>
      </x:c>
    </x:row>
    <x:row r="6600" ht="93" customHeight="1">
      <x:c r="A6600" s="19" t="n">
        <x:v>6597</x:v>
      </x:c>
      <x:c r="B6600" s="22" t="e">
        <x:f>HYPERLINK("https://cdn.shopify.com/s/files/1/0918/6066/4603/files/O1CN01uUBc8s1HlWnKzxpJs__2545140798-0-cib.jpg?v=1772884204","Open")</x:f>
        <x:v>HYPERLINK is not implemented. linkLocation=https://cdn.shopify.com/s/files/1/0918/6066/4603/files/O1CN01uUBc8s1HlWnKzxpJs__2545140798-0-cib.jpg?v=1772884204, friendlyName=Open</x:v>
      </x:c>
      <x:c r="C6600" s="24" t="e">
        <x:f>HYPERLINK("https://365nails.com/products/holographic-frame-5d-embossed-artistic-accent-set","Holographic Frame – 5D Embossed Artistic Accent Set")</x:f>
        <x:v>HYPERLINK is not implemented. linkLocation=https://365nails.com/products/holographic-frame-5d-embossed-artistic-accent-set, friendlyName=Holographic Frame – 5D Embossed Artistic Accent Set</x:v>
      </x:c>
      <x:c r="D6600" s="18" t="str">
        <x:v>Specification type: Ta67 laser silver / Ta67 new hot stamping / Ta67 rose gold</x:v>
      </x:c>
      <x:c r="E6600" s="25" t="str">
        <x:v>$1.23</x:v>
      </x:c>
      <x:c r="F6600" s="19" t="str">
        <x:v>5</x:v>
      </x:c>
    </x:row>
    <x:row r="6601" ht="93" customHeight="1">
      <x:c r="A6601" s="19" t="n">
        <x:v>6598</x:v>
      </x:c>
      <x:c r="B6601" s="22" t="e">
        <x:f>HYPERLINK("https://cdn.shopify.com/s/files/1/0918/6066/4603/files/O1CN01d8YFON1HlWkUrZSZQ__2545140798-0-cib.jpg?v=1772950889","Open")</x:f>
        <x:v>HYPERLINK is not implemented. linkLocation=https://cdn.shopify.com/s/files/1/0918/6066/4603/files/O1CN01d8YFON1HlWkUrZSZQ__2545140798-0-cib.jpg?v=1772950889, friendlyName=Open</x:v>
      </x:c>
      <x:c r="C6601" s="24" t="e">
        <x:f>HYPERLINK("https://365nails.com/products/angel-of-love-vintage-nail-art-accent-set","Angel of Love – Vintage Nail Art Accent Set")</x:f>
        <x:v>HYPERLINK is not implemented. linkLocation=https://365nails.com/products/angel-of-love-vintage-nail-art-accent-set, friendlyName=Angel of Love – Vintage Nail Art Accent Set</x:v>
      </x:c>
      <x:c r="D6601" s="18" t="str">
        <x:v>Specification type: Ta50 / Ta51</x:v>
      </x:c>
      <x:c r="E6601" s="25" t="str">
        <x:v>$1.09</x:v>
      </x:c>
      <x:c r="F6601" s="19" t="str">
        <x:v>5</x:v>
      </x:c>
    </x:row>
    <x:row r="6602" ht="93" customHeight="1">
      <x:c r="A6602" s="19" t="n">
        <x:v>6599</x:v>
      </x:c>
      <x:c r="B6602" s="22" t="e">
        <x:f>HYPERLINK("https://cdn.shopify.com/s/files/1/0918/6066/4603/files/0f44cc2ebb92e700e8cd83c287f2aa50.jpg?v=1775891548","Open")</x:f>
        <x:v>HYPERLINK is not implemented. linkLocation=https://cdn.shopify.com/s/files/1/0918/6066/4603/files/0f44cc2ebb92e700e8cd83c287f2aa50.jpg?v=1775891548, friendlyName=Open</x:v>
      </x:c>
      <x:c r="C6602" s="24" t="e">
        <x:f>HYPERLINK("https://365nails.com/products/365nails-plum-gothic-cross-stiletto-handmade-long-sharp-stiletto-nails","365nails: ""Plum Gothic Cross Stiletto"" – Handmade Long Sharp Stiletto Nails")</x:f>
        <x:v>HYPERLINK is not implemented. linkLocation=https://365nails.com/products/365nails-plum-gothic-cross-stiletto-handmade-long-sharp-stiletto-nails, friendlyName=365nails: "Plum Gothic Cross Stiletto" – Handmade Long Sharp Stiletto Nails</x:v>
      </x:c>
      <x:c r="D6602" s="18" t="str">
        <x:v>Size: XS / S / M / L</x:v>
      </x:c>
      <x:c r="E6602" s="25" t="str">
        <x:v>$3.99</x:v>
      </x:c>
      <x:c r="F6602" s="19" t="str">
        <x:v>3</x:v>
      </x:c>
    </x:row>
    <x:row r="6603" ht="93" customHeight="1">
      <x:c r="A6603" s="19" t="n">
        <x:v>6600</x:v>
      </x:c>
      <x:c r="B6603" s="22" t="e">
        <x:f>HYPERLINK("https://cdn.shopify.com/s/files/1/0918/6066/4603/files/6a78fd1bed5e09488e5073717a6407b7.jpg?v=1772880024","Open")</x:f>
        <x:v>HYPERLINK is not implemented. linkLocation=https://cdn.shopify.com/s/files/1/0918/6066/4603/files/6a78fd1bed5e09488e5073717a6407b7.jpg?v=1772880024, friendlyName=Open</x:v>
      </x:c>
      <x:c r="C6603" s="24" t="e">
        <x:f>HYPERLINK("https://365nails.com/products/holographic-butterfly-5d-embossed-dreamy-accent-set","Holographic Butterfly – 5D Embossed Dreamy Accent Set")</x:f>
        <x:v>HYPERLINK is not implemented. linkLocation=https://365nails.com/products/holographic-butterfly-5d-embossed-dreamy-accent-set, friendlyName=Holographic Butterfly – 5D Embossed Dreamy Accent Set</x:v>
      </x:c>
      <x:c r="D6603" s="18" t="str">
        <x:v>Specification type: Ms844-jelly</x:v>
      </x:c>
      <x:c r="E6603" s="25" t="str">
        <x:v>$1.16</x:v>
      </x:c>
      <x:c r="F6603" s="19" t="str">
        <x:v>5</x:v>
      </x:c>
    </x:row>
    <x:row r="6604" ht="93" customHeight="1">
      <x:c r="A6604" s="19" t="n">
        <x:v>6601</x:v>
      </x:c>
      <x:c r="B6604" s="22" t="e">
        <x:f>HYPERLINK("https://cdn.shopify.com/s/files/1/0918/6066/4603/files/01dcd675356e20d9e40fe380c053152a.jpg?v=1772886585","Open")</x:f>
        <x:v>HYPERLINK is not implemented. linkLocation=https://cdn.shopify.com/s/files/1/0918/6066/4603/files/01dcd675356e20d9e40fe380c053152a.jpg?v=1772886585, friendlyName=Open</x:v>
      </x:c>
      <x:c r="C6604" s="24" t="e">
        <x:f>HYPERLINK("https://365nails.com/products/white-christmas-frost-5d-embossed-festive-accent-set","White Christmas Frost – 5D Embossed Festive Accent Set")</x:f>
        <x:v>HYPERLINK is not implemented. linkLocation=https://365nails.com/products/white-christmas-frost-5d-embossed-festive-accent-set, friendlyName=White Christmas Frost – 5D Embossed Festive Accent Set</x:v>
      </x:c>
      <x:c r="D6604" s="18" t="str">
        <x:v>Specification type: Ms464-relief</x:v>
      </x:c>
      <x:c r="E6604" s="25" t="str">
        <x:v>$1.23</x:v>
      </x:c>
      <x:c r="F6604" s="19" t="str">
        <x:v>5</x:v>
      </x:c>
    </x:row>
    <x:row r="6605" ht="93" customHeight="1">
      <x:c r="A6605" s="19" t="n">
        <x:v>6602</x:v>
      </x:c>
      <x:c r="B6605" s="22" t="e">
        <x:f>HYPERLINK("https://cdn.shopify.com/s/files/1/0918/6066/4603/files/O1CN01YmrmqU1HlX7VCEpIE__2545140798-0-cib_bf01e218-6b7e-4a31-acff-fbb6a5759105.jpg?v=1772947541","Open")</x:f>
        <x:v>HYPERLINK is not implemented. linkLocation=https://cdn.shopify.com/s/files/1/0918/6066/4603/files/O1CN01YmrmqU1HlX7VCEpIE__2545140798-0-cib_bf01e218-6b7e-4a31-acff-fbb6a5759105.jpg?v=1772947541, friendlyName=Open</x:v>
      </x:c>
      <x:c r="C6605" s="24" t="e">
        <x:f>HYPERLINK("https://365nails.com/products/lotso-strawberry-disney-nail-art-accent-set","Lotso Strawberry – Disney Nail Art Accent Set")</x:f>
        <x:v>HYPERLINK is not implemented. linkLocation=https://365nails.com/products/lotso-strawberry-disney-nail-art-accent-set, friendlyName=Lotso Strawberry – Disney Nail Art Accent Set</x:v>
      </x:c>
      <x:c r="D6605" s="18" t="str">
        <x:v>Specification type: Td 020t</x:v>
      </x:c>
      <x:c r="E6605" s="25" t="str">
        <x:v>$1.23</x:v>
      </x:c>
      <x:c r="F6605" s="19" t="str">
        <x:v>5</x:v>
      </x:c>
    </x:row>
    <x:row r="6606" ht="93" customHeight="1">
      <x:c r="A6606" s="19" t="n">
        <x:v>6603</x:v>
      </x:c>
      <x:c r="B6606" s="22" t="e">
        <x:f>HYPERLINK("https://cdn.shopify.com/s/files/1/0918/6066/4603/files/569d8173aa88c298f530655091b6991a.jpg?v=1772801607","Open")</x:f>
        <x:v>HYPERLINK is not implemented. linkLocation=https://cdn.shopify.com/s/files/1/0918/6066/4603/files/569d8173aa88c298f530655091b6991a.jpg?v=1772801607, friendlyName=Open</x:v>
      </x:c>
      <x:c r="C6606" s="24" t="e">
        <x:f>HYPERLINK("https://365nails.com/products/crystal-diamond-pearl-flower-nail-stickers-5d-embossed-bridal-set","Crystal Diamond &amp; Pearl Flower Nail Stickers – 5D Embossed Bridal Set")</x:f>
        <x:v>HYPERLINK is not implemented. linkLocation=https://365nails.com/products/crystal-diamond-pearl-flower-nail-stickers-5d-embossed-bridal-set, friendlyName=Crystal Diamond &amp; Pearl Flower Nail Stickers – 5D Embossed Bridal Set</x:v>
      </x:c>
      <x:c r="D6606" s="18" t="str">
        <x:v>Specification type: To3646-crystal diamond / To3646-crystal diamond (pearl)</x:v>
      </x:c>
      <x:c r="E6606" s="25" t="str">
        <x:v>$1.30</x:v>
      </x:c>
      <x:c r="F6606" s="19" t="str">
        <x:v>5</x:v>
      </x:c>
    </x:row>
    <x:row r="6607" ht="93" customHeight="1">
      <x:c r="A6607" s="19" t="n">
        <x:v>6604</x:v>
      </x:c>
      <x:c r="B6607" s="22" t="e">
        <x:f>HYPERLINK("https://cdn.shopify.com/s/files/1/0918/6066/4603/files/O1CN01PkvL8c1HlWsCmK8zy__2545140798-0-cib.jpg?v=1772948227","Open")</x:f>
        <x:v>HYPERLINK is not implemented. linkLocation=https://cdn.shopify.com/s/files/1/0918/6066/4603/files/O1CN01PkvL8c1HlWsCmK8zy__2545140798-0-cib.jpg?v=1772948227, friendlyName=Open</x:v>
      </x:c>
      <x:c r="C6607" s="24" t="e">
        <x:f>HYPERLINK("https://365nails.com/products/pastel-gingham-french-tip-nail-art-accent-set","Pastel Gingham – French Tip Nail Art Accent Set")</x:f>
        <x:v>HYPERLINK is not implemented. linkLocation=https://365nails.com/products/pastel-gingham-french-tip-nail-art-accent-set, friendlyName=Pastel Gingham – French Tip Nail Art Accent Set</x:v>
      </x:c>
      <x:c r="D6607" s="18" t="str">
        <x:v>Specification type: Ms 324 / Ms 325 / Ms 332 / Ms 334 / Ms 336</x:v>
      </x:c>
      <x:c r="E6607" s="25" t="str">
        <x:v>$1.09</x:v>
      </x:c>
      <x:c r="F6607" s="19" t="str">
        <x:v>5</x:v>
      </x:c>
    </x:row>
    <x:row r="6608" ht="93" customHeight="1">
      <x:c r="A6608" s="19" t="n">
        <x:v>6605</x:v>
      </x:c>
      <x:c r="B6608" s="22" t="e">
        <x:f>HYPERLINK("https://cdn.shopify.com/s/files/1/0918/6066/4603/files/O1CN01XzKjlr1HlX9oV7KWG__2545140798-0-cib.jpg?v=1772882272","Open")</x:f>
        <x:v>HYPERLINK is not implemented. linkLocation=https://cdn.shopify.com/s/files/1/0918/6066/4603/files/O1CN01XzKjlr1HlX9oV7KWG__2545140798-0-cib.jpg?v=1772882272, friendlyName=Open</x:v>
      </x:c>
      <x:c r="C6608" s="24" t="e">
        <x:f>HYPERLINK("https://365nails.com/products/blush-rose-butterfly-5d-embossed-romantic-accent-set","Blush Rose &amp; Butterfly – 5D Embossed Romantic Accent Set")</x:f>
        <x:v>HYPERLINK is not implemented. linkLocation=https://365nails.com/products/blush-rose-butterfly-5d-embossed-romantic-accent-set, friendlyName=Blush Rose &amp; Butterfly – 5D Embossed Romantic Accent Set</x:v>
      </x:c>
      <x:c r="D6608" s="18" t="str">
        <x:v>Specification type: Ms878-crystal diamond</x:v>
      </x:c>
      <x:c r="E6608" s="25" t="str">
        <x:v>$1.34</x:v>
      </x:c>
      <x:c r="F6608" s="19" t="str">
        <x:v>5</x:v>
      </x:c>
    </x:row>
    <x:row r="6609" ht="93" customHeight="1">
      <x:c r="A6609" s="19" t="n">
        <x:v>6606</x:v>
      </x:c>
      <x:c r="B6609" s="22" t="e">
        <x:f>HYPERLINK("https://cdn.shopify.com/s/files/1/0918/6066/4603/files/9e7a90408b6c13856f39a8ceb720f433.jpg?v=1772877827","Open")</x:f>
        <x:v>HYPERLINK is not implemented. linkLocation=https://cdn.shopify.com/s/files/1/0918/6066/4603/files/9e7a90408b6c13856f39a8ceb720f433.jpg?v=1772877827, friendlyName=Open</x:v>
      </x:c>
      <x:c r="C6609" s="24" t="e">
        <x:f>HYPERLINK("https://365nails.com/products/gold-foil-bow-ribbon-5d-embossed-luxe-accent-set","Gold Foil Bow &amp; Ribbon – 5D Embossed Luxe Accent Set")</x:f>
        <x:v>HYPERLINK is not implemented. linkLocation=https://365nails.com/products/gold-foil-bow-ribbon-5d-embossed-luxe-accent-set, friendlyName=Gold Foil Bow &amp; Ribbon – 5D Embossed Luxe Accent Set</x:v>
      </x:c>
      <x:c r="D6609" s="18" t="str">
        <x:v>Specification type: To4559-new hot stamping / To4559-silver / To4559-purple gold</x:v>
      </x:c>
      <x:c r="E6609" s="25" t="str">
        <x:v>$1.23</x:v>
      </x:c>
      <x:c r="F6609" s="19" t="str">
        <x:v>5</x:v>
      </x:c>
    </x:row>
    <x:row r="6610" ht="93" customHeight="1">
      <x:c r="A6610" s="19" t="n">
        <x:v>6607</x:v>
      </x:c>
      <x:c r="B6610" s="22" t="e">
        <x:f>HYPERLINK("https://cdn.shopify.com/s/files/1/0918/6066/4603/files/c51d83d0897eaed864cec83cfefd2bd0.jpg?v=1772877614","Open")</x:f>
        <x:v>HYPERLINK is not implemented. linkLocation=https://cdn.shopify.com/s/files/1/0918/6066/4603/files/c51d83d0897eaed864cec83cfefd2bd0.jpg?v=1772877614, friendlyName=Open</x:v>
      </x:c>
      <x:c r="C6610" s="24" t="e">
        <x:f>HYPERLINK("https://365nails.com/products/white-celestial-butterfly-5d-embossed-ethereal-flutter-set","White Celestial Butterfly – 5D Embossed Ethereal Flutter Set")</x:f>
        <x:v>HYPERLINK is not implemented. linkLocation=https://365nails.com/products/white-celestial-butterfly-5d-embossed-ethereal-flutter-set, friendlyName=White Celestial Butterfly – 5D Embossed Ethereal Flutter Set</x:v>
      </x:c>
      <x:c r="D6610" s="18" t="str">
        <x:v>Specification type: To4923 / To4931</x:v>
      </x:c>
      <x:c r="E6610" s="25" t="str">
        <x:v>$1.09</x:v>
      </x:c>
      <x:c r="F6610" s="19" t="str">
        <x:v>5</x:v>
      </x:c>
    </x:row>
    <x:row r="6611" ht="93" customHeight="1">
      <x:c r="A6611" s="19" t="n">
        <x:v>6608</x:v>
      </x:c>
      <x:c r="B6611" s="22" t="e">
        <x:f>HYPERLINK("https://cdn.shopify.com/s/files/1/0918/6066/4603/files/O1CN01s0YikX1HlX5sT0YfY__2545140798-0-cib.jpg?v=1773495294","Open")</x:f>
        <x:v>HYPERLINK is not implemented. linkLocation=https://cdn.shopify.com/s/files/1/0918/6066/4603/files/O1CN01s0YikX1HlX5sT0YfY__2545140798-0-cib.jpg?v=1773495294, friendlyName=Open</x:v>
      </x:c>
      <x:c r="C6611" s="24" t="e">
        <x:f>HYPERLINK("https://365nails.com/products/daisy-collection-pastel-daisy-3d-embossed-nail-sticker","Daisy Collection: ""Pastel Daisy"" – 3D Embossed Nail Sticker")</x:f>
        <x:v>HYPERLINK is not implemented. linkLocation=https://365nails.com/products/daisy-collection-pastel-daisy-3d-embossed-nail-sticker, friendlyName=Daisy Collection: "Pastel Daisy" – 3D Embossed Nail Sticker</x:v>
      </x:c>
      <x:c r="D6611" s="18" t="str">
        <x:v>Specification type: To4905-relief</x:v>
      </x:c>
      <x:c r="E6611" s="25" t="str">
        <x:v>$1.23</x:v>
      </x:c>
      <x:c r="F6611" s="19" t="str">
        <x:v>5</x:v>
      </x:c>
    </x:row>
    <x:row r="6612" ht="93" customHeight="1">
      <x:c r="A6612" s="19" t="n">
        <x:v>6609</x:v>
      </x:c>
      <x:c r="B6612" s="22" t="e">
        <x:f>HYPERLINK("https://cdn.shopify.com/s/files/1/0918/6066/4603/files/15b532b179a0d3f8d62a92e86032e908.jpg?v=1773462883","Open")</x:f>
        <x:v>HYPERLINK is not implemented. linkLocation=https://cdn.shopify.com/s/files/1/0918/6066/4603/files/15b532b179a0d3f8d62a92e86032e908.jpg?v=1773462883, friendlyName=Open</x:v>
      </x:c>
      <x:c r="C6612" s="24" t="e">
        <x:f>HYPERLINK("https://365nails.com/products/red-bow-collection-gilded-red-bow-3d-embossed-nail-sticker","Red Bow Collection: ""Gilded Red Bow"" – 3D Embossed Nail Sticker")</x:f>
        <x:v>HYPERLINK is not implemented. linkLocation=https://365nails.com/products/red-bow-collection-gilded-red-bow-3d-embossed-nail-sticker, friendlyName=Red Bow Collection: "Gilded Red Bow" – 3D Embossed Nail Sticker</x:v>
      </x:c>
      <x:c r="D6612" s="18" t="str">
        <x:v>Specification type: To5515-shell light / To5541-metal / To5543-new hot stamping / To5543-silver</x:v>
      </x:c>
      <x:c r="E6612" s="25" t="str">
        <x:v>$1.23</x:v>
      </x:c>
      <x:c r="F6612" s="19" t="str">
        <x:v>5</x:v>
      </x:c>
    </x:row>
    <x:row r="6613" ht="93" customHeight="1">
      <x:c r="A6613" s="19" t="n">
        <x:v>6610</x:v>
      </x:c>
      <x:c r="B6613" s="22" t="e">
        <x:f>HYPERLINK("https://cdn.shopify.com/s/files/1/0918/6066/4603/files/O1CN01YmrmqU1HlX7VCEpIE__2545140798-0-cib.jpg?v=1772879376","Open")</x:f>
        <x:v>HYPERLINK is not implemented. linkLocation=https://cdn.shopify.com/s/files/1/0918/6066/4603/files/O1CN01YmrmqU1HlX7VCEpIE__2545140798-0-cib.jpg?v=1772879376, friendlyName=Open</x:v>
      </x:c>
      <x:c r="C6613" s="24" t="e">
        <x:f>HYPERLINK("https://365nails.com/products/disney-lotso-strawberry-bear-5d-embossed-sweet-accent-set","Disney Lotso Strawberry Bear – 5D Embossed Sweet Accent Set")</x:f>
        <x:v>HYPERLINK is not implemented. linkLocation=https://365nails.com/products/disney-lotso-strawberry-bear-5d-embossed-sweet-accent-set, friendlyName=Disney Lotso Strawberry Bear – 5D Embossed Sweet Accent Set</x:v>
      </x:c>
      <x:c r="D6613" s="18" t="str">
        <x:v>Specification type: Td022 t</x:v>
      </x:c>
      <x:c r="E6613" s="25" t="str">
        <x:v>$1.23</x:v>
      </x:c>
      <x:c r="F6613" s="19" t="str">
        <x:v>5</x:v>
      </x:c>
    </x:row>
    <x:row r="6614" ht="93" customHeight="1">
      <x:c r="A6614" s="19" t="n">
        <x:v>6611</x:v>
      </x:c>
      <x:c r="B6614" s="22" t="e">
        <x:f>HYPERLINK("https://cdn.shopify.com/s/files/1/0918/6066/4603/files/442eec53511c33a8659258cf462d8781.jpg?v=1775309168","Open")</x:f>
        <x:v>HYPERLINK is not implemented. linkLocation=https://cdn.shopify.com/s/files/1/0918/6066/4603/files/442eec53511c33a8659258cf462d8781.jpg?v=1775309168, friendlyName=Open</x:v>
      </x:c>
      <x:c r="C6614" s="24" t="e">
        <x:f>HYPERLINK("https://365nails.com/products/luxe-bloom-golden-orchid-long-coffin-press-on-nails","Luxe Bloom: ""Golden Orchid"" – Long Coffin Press-on Nails")</x:f>
        <x:v>HYPERLINK is not implemented. linkLocation=https://365nails.com/products/luxe-bloom-golden-orchid-long-coffin-press-on-nails, friendlyName=Luxe Bloom: "Golden Orchid" – Long Coffin Press-on Nails</x:v>
      </x:c>
      <x:c r="D6614" s="18" t="str">
        <x:v>Size: XS / S / M / L</x:v>
      </x:c>
      <x:c r="E6614" s="25" t="str">
        <x:v>$3.99</x:v>
      </x:c>
      <x:c r="F6614" s="19" t="str">
        <x:v>5</x:v>
      </x:c>
    </x:row>
    <x:row r="6615" ht="93" customHeight="1">
      <x:c r="A6615" s="19" t="n">
        <x:v>6612</x:v>
      </x:c>
      <x:c r="B6615" s="22" t="e">
        <x:f>HYPERLINK("https://cdn.shopify.com/s/files/1/0918/6066/4603/files/938b27435a452bebe8486fbd62a35907.jpg?v=1772947136","Open")</x:f>
        <x:v>HYPERLINK is not implemented. linkLocation=https://cdn.shopify.com/s/files/1/0918/6066/4603/files/938b27435a452bebe8486fbd62a35907.jpg?v=1772947136, friendlyName=Open</x:v>
      </x:c>
      <x:c r="C6615" s="24" t="e">
        <x:f>HYPERLINK("https://365nails.com/products/lingerie-bow-chic-nail-art-accent-set","Lingerie &amp; Bow – Chic Nail Art Accent Set")</x:f>
        <x:v>HYPERLINK is not implemented. linkLocation=https://365nails.com/products/lingerie-bow-chic-nail-art-accent-set, friendlyName=Lingerie &amp; Bow – Chic Nail Art Accent Set</x:v>
      </x:c>
      <x:c r="D6615" s="18" t="str">
        <x:v>Specification type: To5140-relief</x:v>
      </x:c>
      <x:c r="E6615" s="25" t="str">
        <x:v>$1.23</x:v>
      </x:c>
      <x:c r="F6615" s="19" t="str">
        <x:v>5</x:v>
      </x:c>
    </x:row>
    <x:row r="6616" ht="93" customHeight="1">
      <x:c r="A6616" s="19" t="n">
        <x:v>6613</x:v>
      </x:c>
      <x:c r="B6616" s="22" t="e">
        <x:f>HYPERLINK("https://cdn.shopify.com/s/files/1/0918/6066/4603/files/O1CN01khHTQR1HlX9Q7PEa7__2545140798-0-cib.jpg?v=1773491738","Open")</x:f>
        <x:v>HYPERLINK is not implemented. linkLocation=https://cdn.shopify.com/s/files/1/0918/6066/4603/files/O1CN01khHTQR1HlX9Q7PEa7__2545140798-0-cib.jpg?v=1773491738, friendlyName=Open</x:v>
      </x:c>
      <x:c r="C6616" s="24" t="e">
        <x:f>HYPERLINK("https://365nails.com/products/star-collection-starry-night-3d-metallic-nail-sticker","Star Collection: ""Starry Night"" – 3D Metallic Nail Sticker")</x:f>
        <x:v>HYPERLINK is not implemented. linkLocation=https://365nails.com/products/star-collection-starry-night-3d-metallic-nail-sticker, friendlyName=Star Collection: "Starry Night" – 3D Metallic Nail Sticker</x:v>
      </x:c>
      <x:c r="D6616" s="18" t="str">
        <x:v>Specification type: To5346-shell light / To5347-metal</x:v>
      </x:c>
      <x:c r="E6616" s="25" t="str">
        <x:v>$1.23</x:v>
      </x:c>
      <x:c r="F6616" s="19" t="str">
        <x:v>5</x:v>
      </x:c>
    </x:row>
    <x:row r="6617" ht="93" customHeight="1">
      <x:c r="A6617" s="19" t="n">
        <x:v>6614</x:v>
      </x:c>
      <x:c r="B6617" s="22" t="e">
        <x:f>HYPERLINK("https://cdn.shopify.com/s/files/1/0918/6066/4603/files/O1CN01ZJQry31HlWiqZwSH1__2545140798-0-cib.jpg?v=1772951187","Open")</x:f>
        <x:v>HYPERLINK is not implemented. linkLocation=https://cdn.shopify.com/s/files/1/0918/6066/4603/files/O1CN01ZJQry31HlWiqZwSH1__2545140798-0-cib.jpg?v=1772951187, friendlyName=Open</x:v>
      </x:c>
      <x:c r="C6617" s="24" t="e">
        <x:f>HYPERLINK("https://365nails.com/products/grape-soda-plaid-nail-art-accent-set","Grape Soda Plaid – Nail Art Accent Set")</x:f>
        <x:v>HYPERLINK is not implemented. linkLocation=https://365nails.com/products/grape-soda-plaid-nail-art-accent-set, friendlyName=Grape Soda Plaid – Nail Art Accent Set</x:v>
      </x:c>
      <x:c r="D6617" s="18" t="str">
        <x:v>Specification type: Tomo 368 / Tomoni 369 / Tomoni 370 / Tomo 371 / Tomoni 372 / Tomoni 373 / Tomoni 384 / Tomo 385</x:v>
      </x:c>
      <x:c r="E6617" s="25" t="str">
        <x:v>$1.09</x:v>
      </x:c>
      <x:c r="F6617" s="19" t="str">
        <x:v>5</x:v>
      </x:c>
    </x:row>
    <x:row r="6618" ht="93" customHeight="1">
      <x:c r="A6618" s="19" t="n">
        <x:v>6615</x:v>
      </x:c>
      <x:c r="B6618" s="22" t="e">
        <x:f>HYPERLINK("https://cdn.shopify.com/s/files/1/0918/6066/4603/files/O1CN01Bw0oqz1HlWxUMUgr6__2545140798-0-cib.jpg?v=1773493613","Open")</x:f>
        <x:v>HYPERLINK is not implemented. linkLocation=https://cdn.shopify.com/s/files/1/0918/6066/4603/files/O1CN01Bw0oqz1HlWxUMUgr6__2545140798-0-cib.jpg?v=1773493613, friendlyName=Open</x:v>
      </x:c>
      <x:c r="C6618" s="24" t="e">
        <x:f>HYPERLINK("https://365nails.com/products/crystal-crane-holographic-crane-collection","""Crystal Crane"" – Holographic Crane Collection")</x:f>
        <x:v>HYPERLINK is not implemented. linkLocation=https://365nails.com/products/crystal-crane-holographic-crane-collection, friendlyName="Crystal Crane" – Holographic Crane Collection</x:v>
      </x:c>
      <x:c r="D6618" s="18" t="str">
        <x:v>Specification type: Ms476-crystal diamond / To3529-crystal diamond / To3530-crystal diamond</x:v>
      </x:c>
      <x:c r="E6618" s="25" t="str">
        <x:v>$1.30</x:v>
      </x:c>
      <x:c r="F6618" s="19" t="str">
        <x:v>5</x:v>
      </x:c>
    </x:row>
    <x:row r="6619" ht="93" customHeight="1">
      <x:c r="A6619" s="19" t="n">
        <x:v>6616</x:v>
      </x:c>
      <x:c r="B6619" s="22" t="e">
        <x:f>HYPERLINK("https://cdn.shopify.com/s/files/1/0918/6066/4603/files/ec44bf62eb438df93f6e94e9c4d3ea5b.jpg?v=1772882429","Open")</x:f>
        <x:v>HYPERLINK is not implemented. linkLocation=https://cdn.shopify.com/s/files/1/0918/6066/4603/files/ec44bf62eb438df93f6e94e9c4d3ea5b.jpg?v=1772882429, friendlyName=Open</x:v>
      </x:c>
      <x:c r="C6619" s="24" t="e">
        <x:f>HYPERLINK("https://365nails.com/products/autumn-holographic-butterfly-5d-embossed-dreamy-accent-set","Autumn Holographic Butterfly – 5D Embossed Dreamy Accent Set")</x:f>
        <x:v>HYPERLINK is not implemented. linkLocation=https://365nails.com/products/autumn-holographic-butterfly-5d-embossed-dreamy-accent-set, friendlyName=Autumn Holographic Butterfly – 5D Embossed Dreamy Accent Set</x:v>
      </x:c>
      <x:c r="D6619" s="18" t="str">
        <x:v>Specification type: To5441-shell light / To5446-metal</x:v>
      </x:c>
      <x:c r="E6619" s="25" t="str">
        <x:v>$1.23</x:v>
      </x:c>
      <x:c r="F6619" s="19" t="str">
        <x:v>5</x:v>
      </x:c>
    </x:row>
    <x:row r="6620" ht="93" customHeight="1">
      <x:c r="A6620" s="19" t="n">
        <x:v>6617</x:v>
      </x:c>
      <x:c r="B6620" s="22" t="e">
        <x:f>HYPERLINK("https://cdn.shopify.com/s/files/1/0918/6066/4603/files/8dd3d52cc9b6c9210aa3ccf9f73c19c4.jpg?v=1772879481","Open")</x:f>
        <x:v>HYPERLINK is not implemented. linkLocation=https://cdn.shopify.com/s/files/1/0918/6066/4603/files/8dd3d52cc9b6c9210aa3ccf9f73c19c4.jpg?v=1772879481, friendlyName=Open</x:v>
      </x:c>
      <x:c r="C6620" s="24" t="e">
        <x:f>HYPERLINK("https://365nails.com/products/white-embossed-crystal-frame-5d-embossed-elegant-accent-set","White Embossed Crystal Frame – 5D Embossed Elegant Accent Set")</x:f>
        <x:v>HYPERLINK is not implemented. linkLocation=https://365nails.com/products/white-embossed-crystal-frame-5d-embossed-elegant-accent-set, friendlyName=White Embossed Crystal Frame – 5D Embossed Elegant Accent Set</x:v>
      </x:c>
      <x:c r="D6620" s="18" t="str">
        <x:v>Specification type: To5149-crystal diamond</x:v>
      </x:c>
      <x:c r="E6620" s="25" t="str">
        <x:v>$1.30</x:v>
      </x:c>
      <x:c r="F6620" s="19" t="str">
        <x:v>5</x:v>
      </x:c>
    </x:row>
    <x:row r="6621" ht="93" customHeight="1">
      <x:c r="A6621" s="19" t="n">
        <x:v>6618</x:v>
      </x:c>
      <x:c r="B6621" s="22" t="e">
        <x:f>HYPERLINK("https://cdn.shopify.com/s/files/1/0918/6066/4603/files/2d3b3ef1666931ecbac95d52261944b0.jpg?v=1772885643","Open")</x:f>
        <x:v>HYPERLINK is not implemented. linkLocation=https://cdn.shopify.com/s/files/1/0918/6066/4603/files/2d3b3ef1666931ecbac95d52261944b0.jpg?v=1772885643, friendlyName=Open</x:v>
      </x:c>
      <x:c r="C6621" s="24" t="e">
        <x:f>HYPERLINK("https://365nails.com/products/panda-garden-5d-embossed-cute-accent-set","Panda Garden – 5D Embossed Cute Accent Set")</x:f>
        <x:v>HYPERLINK is not implemented. linkLocation=https://365nails.com/products/panda-garden-5d-embossed-cute-accent-set, friendlyName=Panda Garden – 5D Embossed Cute Accent Set</x:v>
      </x:c>
      <x:c r="D6621" s="18" t="str">
        <x:v>Specification type: To2871</x:v>
      </x:c>
      <x:c r="E6621" s="25" t="str">
        <x:v>$1.09</x:v>
      </x:c>
      <x:c r="F6621" s="19" t="str">
        <x:v>5</x:v>
      </x:c>
    </x:row>
    <x:row r="6622" ht="93" customHeight="1">
      <x:c r="A6622" s="19" t="n">
        <x:v>6619</x:v>
      </x:c>
      <x:c r="B6622" s="22" t="e">
        <x:f>HYPERLINK("https://cdn.shopify.com/s/files/1/0918/6066/4603/files/9bafc2a3c258d82d788cd54e963cccb4.jpg?v=1772800385","Open")</x:f>
        <x:v>HYPERLINK is not implemented. linkLocation=https://cdn.shopify.com/s/files/1/0918/6066/4603/files/9bafc2a3c258d82d788cd54e963cccb4.jpg?v=1772800385, friendlyName=Open</x:v>
      </x:c>
      <x:c r="C6622" s="24" t="e">
        <x:f>HYPERLINK("https://365nails.com/products/metallic-butterfly-nail-stickers-5d-embossed-gem-embellished-set","Metallic Butterfly Nail Stickers – 5D Embossed Gem-Embellished Set")</x:f>
        <x:v>HYPERLINK is not implemented. linkLocation=https://365nails.com/products/metallic-butterfly-nail-stickers-5d-embossed-gem-embellished-set, friendlyName=Metallic Butterfly Nail Stickers – 5D Embossed Gem-Embellished Set</x:v>
      </x:c>
      <x:c r="D6622" s="18" t="str">
        <x:v>Specification type: To3553-crystal diamond / To3554 laser powder-crystal diamond / To3554 new hot stamping-crystal diamond / To3554 silver-crystal diamond</x:v>
      </x:c>
      <x:c r="E6622" s="25" t="str">
        <x:v>$1.30</x:v>
      </x:c>
      <x:c r="F6622" s="19" t="str">
        <x:v>5</x:v>
      </x:c>
    </x:row>
    <x:row r="6623" ht="93" customHeight="1">
      <x:c r="A6623" s="19" t="n">
        <x:v>6620</x:v>
      </x:c>
      <x:c r="B6623" s="22" t="e">
        <x:f>HYPERLINK("https://cdn.shopify.com/s/files/1/0918/6066/4603/files/O1CN01GS0ywD1HlX4zbg7bK__2545140798-0-cib.jpg?v=1773541015","Open")</x:f>
        <x:v>HYPERLINK is not implemented. linkLocation=https://cdn.shopify.com/s/files/1/0918/6066/4603/files/O1CN01GS0ywD1HlX4zbg7bK__2545140798-0-cib.jpg?v=1773541015, friendlyName=Open</x:v>
      </x:c>
      <x:c r="C6623" s="24" t="e">
        <x:f>HYPERLINK("https://365nails.com/products/lace-bow-butterfly-collection-blush-lace-3d-embossed-nail-sticker","Lace Bow Butterfly Collection: ""Blush Lace"" – 3D Embossed Nail Sticker")</x:f>
        <x:v>HYPERLINK is not implemented. linkLocation=https://365nails.com/products/lace-bow-butterfly-collection-blush-lace-3d-embossed-nail-sticker, friendlyName=Lace Bow Butterfly Collection: "Blush Lace" – 3D Embossed Nail Sticker</x:v>
      </x:c>
      <x:c r="D6623" s="18" t="str">
        <x:v>Specification type: To4765 / To4766 / To4788 / To4789 / To4803</x:v>
      </x:c>
      <x:c r="E6623" s="25" t="str">
        <x:v>$1.09</x:v>
      </x:c>
      <x:c r="F6623" s="19" t="str">
        <x:v>5</x:v>
      </x:c>
    </x:row>
    <x:row r="6624" ht="93" customHeight="1">
      <x:c r="A6624" s="19" t="n">
        <x:v>6621</x:v>
      </x:c>
      <x:c r="B6624" s="22" t="e">
        <x:f>HYPERLINK("https://cdn.shopify.com/s/files/1/0918/6066/4603/files/O1CN01uGvcof1HlX25Lh5Ts__2545140798-0-cib.jpg?v=1773491074","Open")</x:f>
        <x:v>HYPERLINK is not implemented. linkLocation=https://cdn.shopify.com/s/files/1/0918/6066/4603/files/O1CN01uGvcof1HlX25Lh5Ts__2545140798-0-cib.jpg?v=1773491074, friendlyName=Open</x:v>
      </x:c>
      <x:c r="C6624" s="24" t="e">
        <x:f>HYPERLINK("https://365nails.com/products/musical-note-collection-rose-gold-melody-3d-crystal-nail-sticker","Musical Note Collection: ""Rose Gold Melody"" – 3D Crystal Nail Sticker")</x:f>
        <x:v>HYPERLINK is not implemented. linkLocation=https://365nails.com/products/musical-note-collection-rose-gold-melody-3d-crystal-nail-sticker, friendlyName=Musical Note Collection: "Rose Gold Melody" – 3D Crystal Nail Sticker</x:v>
      </x:c>
      <x:c r="D6624" s="18" t="str">
        <x:v>Specification type: Ms639-rose gold crystal diamond / Ms639-new hot stamping crystal diamond / Ms639-silver crystal diamond / Ms640-crystal diamond</x:v>
      </x:c>
      <x:c r="E6624" s="25" t="str">
        <x:v>$1.30</x:v>
      </x:c>
      <x:c r="F6624" s="19" t="str">
        <x:v>5</x:v>
      </x:c>
    </x:row>
    <x:row r="6625" ht="93" customHeight="1">
      <x:c r="A6625" s="19" t="n">
        <x:v>6622</x:v>
      </x:c>
      <x:c r="B6625" s="22" t="e">
        <x:f>HYPERLINK("https://cdn.shopify.com/s/files/1/0918/6066/4603/files/O1CN01yr6rpp1HlX9cEYLgO__2545140798-0-cib.jpg?v=1772882157","Open")</x:f>
        <x:v>HYPERLINK is not implemented. linkLocation=https://cdn.shopify.com/s/files/1/0918/6066/4603/files/O1CN01yr6rpp1HlX9cEYLgO__2545140798-0-cib.jpg?v=1772882157, friendlyName=Open</x:v>
      </x:c>
      <x:c r="C6625" s="24" t="e">
        <x:f>HYPERLINK("https://365nails.com/products/disney-mickey-friends-christmas-5d-embossed-festive-accent-set","Disney Mickey &amp; Friends Christmas – 5D Embossed Festive Accent Set")</x:f>
        <x:v>HYPERLINK is not implemented. linkLocation=https://365nails.com/products/disney-mickey-friends-christmas-5d-embossed-festive-accent-set, friendlyName=Disney Mickey &amp; Friends Christmas – 5D Embossed Festive Accent Set</x:v>
      </x:c>
      <x:c r="D6625" s="18" t="str">
        <x:v>Specification type: Td 026m</x:v>
      </x:c>
      <x:c r="E6625" s="25" t="str">
        <x:v>$1.23</x:v>
      </x:c>
      <x:c r="F6625" s="19" t="str">
        <x:v>5</x:v>
      </x:c>
    </x:row>
    <x:row r="6626" ht="93" customHeight="1">
      <x:c r="A6626" s="19" t="n">
        <x:v>6623</x:v>
      </x:c>
      <x:c r="B6626" s="22" t="e">
        <x:f>HYPERLINK("https://cdn.shopify.com/s/files/1/0918/6066/4603/files/O1CN018cxAXa1HlX7qOd8K7__2545140798-0-cib.jpg?v=1772950378","Open")</x:f>
        <x:v>HYPERLINK is not implemented. linkLocation=https://cdn.shopify.com/s/files/1/0918/6066/4603/files/O1CN018cxAXa1HlX7qOd8K7__2545140798-0-cib.jpg?v=1772950378, friendlyName=Open</x:v>
      </x:c>
      <x:c r="C6626" s="24" t="e">
        <x:f>HYPERLINK("https://365nails.com/products/puppy-playdate-kawaii-nail-art-accent-set","Puppy Playdate – Kawaii Nail Art Accent Set")</x:f>
        <x:v>HYPERLINK is not implemented. linkLocation=https://365nails.com/products/puppy-playdate-kawaii-nail-art-accent-set, friendlyName=Puppy Playdate – Kawaii Nail Art Accent Set</x:v>
      </x:c>
      <x:c r="D6626" s="18" t="str">
        <x:v>Specification type: Mc62</x:v>
      </x:c>
      <x:c r="E6626" s="25" t="str">
        <x:v>$1.16</x:v>
      </x:c>
      <x:c r="F6626" s="19" t="str">
        <x:v>5</x:v>
      </x:c>
    </x:row>
    <x:row r="6627" ht="93" customHeight="1">
      <x:c r="A6627" s="19" t="n">
        <x:v>6624</x:v>
      </x:c>
      <x:c r="B6627" s="22" t="e">
        <x:f>HYPERLINK("https://cdn.shopify.com/s/files/1/0918/6066/4603/files/O1CN016s3aW71HlX6v7M4Ud__2545140798-0-cib.jpg?v=1773494829","Open")</x:f>
        <x:v>HYPERLINK is not implemented. linkLocation=https://cdn.shopify.com/s/files/1/0918/6066/4603/files/O1CN016s3aW71HlX6v7M4Ud__2545140798-0-cib.jpg?v=1773494829, friendlyName=Open</x:v>
      </x:c>
      <x:c r="C6627" s="24" t="e">
        <x:f>HYPERLINK("https://365nails.com/products/mermaid-tail-collection-aurora-mermaid-3d-crystal-nail-sticker","Mermaid Tail Collection: ""Aurora Mermaid"" – 3D Crystal Nail Sticker")</x:f>
        <x:v>HYPERLINK is not implemented. linkLocation=https://365nails.com/products/mermaid-tail-collection-aurora-mermaid-3d-crystal-nail-sticker, friendlyName=Mermaid Tail Collection: "Aurora Mermaid" – 3D Crystal Nail Sticker</x:v>
      </x:c>
      <x:c r="D6627" s="18" t="str">
        <x:v>Specification type: Ms799-crystal diamond</x:v>
      </x:c>
      <x:c r="E6627" s="25" t="str">
        <x:v>$1.30</x:v>
      </x:c>
      <x:c r="F6627" s="19" t="str">
        <x:v>5</x:v>
      </x:c>
    </x:row>
    <x:row r="6628" ht="93" customHeight="1">
      <x:c r="A6628" s="19" t="n">
        <x:v>6625</x:v>
      </x:c>
      <x:c r="B6628" s="22" t="e">
        <x:f>HYPERLINK("https://cdn.shopify.com/s/files/1/0918/6066/4603/files/O1CN01GCKUwR1HlX714P4aP__2545140798-0-cib.jpg?v=1772949212","Open")</x:f>
        <x:v>HYPERLINK is not implemented. linkLocation=https://cdn.shopify.com/s/files/1/0918/6066/4603/files/O1CN01GCKUwR1HlX714P4aP__2545140798-0-cib.jpg?v=1772949212, friendlyName=Open</x:v>
      </x:c>
      <x:c r="C6628" s="24" t="e">
        <x:f>HYPERLINK("https://365nails.com/products/watercolor-rose-delicate-nail-art-accent-set","Watercolor Rose – Delicate Nail Art Accent Set")</x:f>
        <x:v>HYPERLINK is not implemented. linkLocation=https://365nails.com/products/watercolor-rose-delicate-nail-art-accent-set, friendlyName=Watercolor Rose – Delicate Nail Art Accent Set</x:v>
      </x:c>
      <x:c r="D6628" s="18" t="str">
        <x:v>Specification type: To5096</x:v>
      </x:c>
      <x:c r="E6628" s="25" t="str">
        <x:v>$1.09</x:v>
      </x:c>
      <x:c r="F6628" s="19" t="str">
        <x:v>5</x:v>
      </x:c>
    </x:row>
    <x:row r="6629" ht="93" customHeight="1">
      <x:c r="A6629" s="19" t="n">
        <x:v>6626</x:v>
      </x:c>
      <x:c r="B6629" s="22" t="e">
        <x:f>HYPERLINK("https://cdn.shopify.com/s/files/1/0918/6066/4603/files/O1CN01R1StPd1HlWvVPGUpp__2545140798-0-cib.jpg?v=1773493473","Open")</x:f>
        <x:v>HYPERLINK is not implemented. linkLocation=https://cdn.shopify.com/s/files/1/0918/6066/4603/files/O1CN01R1StPd1HlWvVPGUpp__2545140798-0-cib.jpg?v=1773493473, friendlyName=Open</x:v>
      </x:c>
      <x:c r="C6629" s="24" t="e">
        <x:f>HYPERLINK("https://365nails.com/products/summer-fruit-collection-sweet-summer-fruit-3d-jelly-nail-sticker","Summer Fruit Collection: ""Sweet Summer Fruit"" – 3D Jelly Nail Sticker")</x:f>
        <x:v>HYPERLINK is not implemented. linkLocation=https://365nails.com/products/summer-fruit-collection-sweet-summer-fruit-3d-jelly-nail-sticker, friendlyName=Summer Fruit Collection: "Sweet Summer Fruit" – 3D Jelly Nail Sticker</x:v>
      </x:c>
      <x:c r="D6629" s="18" t="str">
        <x:v>Specification type: To3211 / To3214 / To3216</x:v>
      </x:c>
      <x:c r="E6629" s="25" t="str">
        <x:v>$1.23</x:v>
      </x:c>
      <x:c r="F6629" s="19" t="str">
        <x:v>5</x:v>
      </x:c>
    </x:row>
    <x:row r="6630" ht="93" customHeight="1">
      <x:c r="A6630" s="19" t="n">
        <x:v>6627</x:v>
      </x:c>
      <x:c r="B6630" s="22" t="e">
        <x:f>HYPERLINK("https://cdn.shopify.com/s/files/1/0918/6066/4603/files/e44674f596dc47c116b1327c50013604.jpg?v=1772947753","Open")</x:f>
        <x:v>HYPERLINK is not implemented. linkLocation=https://cdn.shopify.com/s/files/1/0918/6066/4603/files/e44674f596dc47c116b1327c50013604.jpg?v=1772947753, friendlyName=Open</x:v>
      </x:c>
      <x:c r="C6630" s="24" t="e">
        <x:f>HYPERLINK("https://365nails.com/products/gingerbread-village-christmas-nail-art-accent-set","Gingerbread Village – Christmas Nail Art Accent Set")</x:f>
        <x:v>HYPERLINK is not implemented. linkLocation=https://365nails.com/products/gingerbread-village-christmas-nail-art-accent-set, friendlyName=Gingerbread Village – Christmas Nail Art Accent Set</x:v>
      </x:c>
      <x:c r="D6630" s="18" t="str">
        <x:v>Specification type: To5311-relief / To5313-silver / To5313-new hot stamping</x:v>
      </x:c>
      <x:c r="E6630" s="25" t="str">
        <x:v>$1.23</x:v>
      </x:c>
      <x:c r="F6630" s="19" t="str">
        <x:v>5</x:v>
      </x:c>
    </x:row>
    <x:row r="6631" ht="93" customHeight="1">
      <x:c r="A6631" s="19" t="n">
        <x:v>6628</x:v>
      </x:c>
      <x:c r="B6631" s="22" t="e">
        <x:f>HYPERLINK("https://cdn.shopify.com/s/files/1/0918/6066/4603/files/7676999dd763719d938d998e98a41b62.jpg?v=1779203007","Open")</x:f>
        <x:v>HYPERLINK is not implemented. linkLocation=https://cdn.shopify.com/s/files/1/0918/6066/4603/files/7676999dd763719d938d998e98a41b62.jpg?v=1779203007, friendlyName=Open</x:v>
      </x:c>
      <x:c r="C6631" s="24" t="e">
        <x:f>HYPERLINK("https://365nails.com/products/365nails-pink-french-orchid-handmade-medium-square-press-on-nails","365nails: ""Pink French Orchid"" – Handmade Medium Square Press-On Nails")</x:f>
        <x:v>HYPERLINK is not implemented. linkLocation=https://365nails.com/products/365nails-pink-french-orchid-handmade-medium-square-press-on-nails, friendlyName=365nails: "Pink French Orchid" – Handmade Medium Square Press-On Nails</x:v>
      </x:c>
      <x:c r="D6631" s="18" t="str">
        <x:v>Size: XS / S / M / L</x:v>
      </x:c>
      <x:c r="E6631" s="25" t="str">
        <x:v>$3.99</x:v>
      </x:c>
      <x:c r="F6631" s="19" t="str">
        <x:v>5</x:v>
      </x:c>
    </x:row>
    <x:row r="6632" ht="93" customHeight="1">
      <x:c r="A6632" s="19" t="n">
        <x:v>6629</x:v>
      </x:c>
      <x:c r="B6632" s="22" t="e">
        <x:f>HYPERLINK("https://cdn.shopify.com/s/files/1/0918/6066/4603/files/b5690efa70e4e31776f030bc5b2f9c91.jpg?v=1772878615","Open")</x:f>
        <x:v>HYPERLINK is not implemented. linkLocation=https://cdn.shopify.com/s/files/1/0918/6066/4603/files/b5690efa70e4e31776f030bc5b2f9c91.jpg?v=1772878615, friendlyName=Open</x:v>
      </x:c>
      <x:c r="C6632" s="24" t="e">
        <x:f>HYPERLINK("https://365nails.com/products/vintage-floral-frame-vase-5d-embossed-antique-accent-set","Vintage Floral Frame &amp; Vase – 5D Embossed Antique Accent Set")</x:f>
        <x:v>HYPERLINK is not implemented. linkLocation=https://365nails.com/products/vintage-floral-frame-vase-5d-embossed-antique-accent-set, friendlyName=Vintage Floral Frame &amp; Vase – 5D Embossed Antique Accent Set</x:v>
      </x:c>
      <x:c r="D6632" s="18" t="str">
        <x:v>Specification type: To5093-metal</x:v>
      </x:c>
      <x:c r="E6632" s="25" t="str">
        <x:v>$1.23</x:v>
      </x:c>
      <x:c r="F6632" s="19" t="str">
        <x:v>5</x:v>
      </x:c>
    </x:row>
    <x:row r="6633" ht="93" customHeight="1">
      <x:c r="A6633" s="19" t="n">
        <x:v>6630</x:v>
      </x:c>
      <x:c r="B6633" s="22" t="e">
        <x:f>HYPERLINK("https://cdn.shopify.com/s/files/1/0918/6066/4603/files/70a5c8d70b9a59d4adf4dd031e62accb.jpg?v=1772947242","Open")</x:f>
        <x:v>HYPERLINK is not implemented. linkLocation=https://cdn.shopify.com/s/files/1/0918/6066/4603/files/70a5c8d70b9a59d4adf4dd031e62accb.jpg?v=1772947242, friendlyName=Open</x:v>
      </x:c>
      <x:c r="C6633" s="24" t="e">
        <x:f>HYPERLINK("https://365nails.com/products/puppy-party-cute-nail-art-accent-set","Puppy Party – Cute Nail Art Accent Set")</x:f>
        <x:v>HYPERLINK is not implemented. linkLocation=https://365nails.com/products/puppy-party-cute-nail-art-accent-set, friendlyName=Puppy Party – Cute Nail Art Accent Set</x:v>
      </x:c>
      <x:c r="D6633" s="18" t="str">
        <x:v>Specification type: To5145</x:v>
      </x:c>
      <x:c r="E6633" s="25" t="str">
        <x:v>$1.09</x:v>
      </x:c>
      <x:c r="F6633" s="19" t="str">
        <x:v>5</x:v>
      </x:c>
    </x:row>
    <x:row r="6634" ht="93" customHeight="1">
      <x:c r="A6634" s="19" t="n">
        <x:v>6631</x:v>
      </x:c>
      <x:c r="B6634" s="22" t="e">
        <x:f>HYPERLINK("https://cdn.shopify.com/s/files/1/0918/6066/4603/files/3c089c3251d4590c087afc09dac7bfbb.jpg?v=1772884343","Open")</x:f>
        <x:v>HYPERLINK is not implemented. linkLocation=https://cdn.shopify.com/s/files/1/0918/6066/4603/files/3c089c3251d4590c087afc09dac7bfbb.jpg?v=1772884343, friendlyName=Open</x:v>
      </x:c>
      <x:c r="C6634" s="24" t="e">
        <x:f>HYPERLINK("https://365nails.com/products/floral-monogram-5d-micro-engraved-romantic-accent-set","Floral Monogram – 5D Micro-Engraved Romantic Accent Set")</x:f>
        <x:v>HYPERLINK is not implemented. linkLocation=https://365nails.com/products/floral-monogram-5d-micro-engraved-romantic-accent-set, friendlyName=Floral Monogram – 5D Micro-Engraved Romantic Accent Set</x:v>
      </x:c>
      <x:c r="D6634" s="18" t="str">
        <x:v>Specification type: Ms 248 / Ms 260</x:v>
      </x:c>
      <x:c r="E6634" s="25" t="str">
        <x:v>$1.23</x:v>
      </x:c>
      <x:c r="F6634" s="19" t="str">
        <x:v>5</x:v>
      </x:c>
    </x:row>
    <x:row r="6635" ht="93" customHeight="1">
      <x:c r="A6635" s="19" t="n">
        <x:v>6632</x:v>
      </x:c>
      <x:c r="B6635" s="22" t="e">
        <x:f>HYPERLINK("https://cdn.shopify.com/s/files/1/0918/6066/4603/files/98b5d036e1e363c440ad35922900a1ce.jpg?v=1772951113","Open")</x:f>
        <x:v>HYPERLINK is not implemented. linkLocation=https://cdn.shopify.com/s/files/1/0918/6066/4603/files/98b5d036e1e363c440ad35922900a1ce.jpg?v=1772951113, friendlyName=Open</x:v>
      </x:c>
      <x:c r="C6635" s="24" t="e">
        <x:f>HYPERLINK("https://365nails.com/products/bakery-treats-embossed-nail-art-accent-set","Bakery Treats – Embossed Nail Art Accent Set")</x:f>
        <x:v>HYPERLINK is not implemented. linkLocation=https://365nails.com/products/bakery-treats-embossed-nail-art-accent-set, friendlyName=Bakery Treats – Embossed Nail Art Accent Set</x:v>
      </x:c>
      <x:c r="D6635" s="18" t="str">
        <x:v>Specification type: Ad 26 / Ad 27 / Ad 28 / Ad 29</x:v>
      </x:c>
      <x:c r="E6635" s="25" t="str">
        <x:v>$1.23</x:v>
      </x:c>
      <x:c r="F6635" s="19" t="str">
        <x:v>5</x:v>
      </x:c>
    </x:row>
    <x:row r="6636" ht="93" customHeight="1">
      <x:c r="A6636" s="19" t="n">
        <x:v>6633</x:v>
      </x:c>
      <x:c r="B6636" s="22" t="e">
        <x:f>HYPERLINK("https://cdn.shopify.com/s/files/1/0918/6066/4603/files/O1CN0128L6F21HlWwmeLjTX__2545140798-0-cib.jpg?v=1772950799","Open")</x:f>
        <x:v>HYPERLINK is not implemented. linkLocation=https://cdn.shopify.com/s/files/1/0918/6066/4603/files/O1CN0128L6F21HlWwmeLjTX__2545140798-0-cib.jpg?v=1772950799, friendlyName=Open</x:v>
      </x:c>
      <x:c r="C6636" s="24" t="e">
        <x:f>HYPERLINK("https://365nails.com/products/boho-embossed-crystal-luxury-nail-art-accent-set","Boho Embossed Crystal – Luxury Nail Art Accent Set")</x:f>
        <x:v>HYPERLINK is not implemented. linkLocation=https://365nails.com/products/boho-embossed-crystal-luxury-nail-art-accent-set, friendlyName=Boho Embossed Crystal – Luxury Nail Art Accent Set</x:v>
      </x:c>
      <x:c r="D6636" s="18" t="str">
        <x:v>Specification type: L20-crystal diamond</x:v>
      </x:c>
      <x:c r="E6636" s="25" t="str">
        <x:v>$1.30</x:v>
      </x:c>
      <x:c r="F6636" s="19" t="str">
        <x:v>5</x:v>
      </x:c>
    </x:row>
    <x:row r="6637" ht="93" customHeight="1">
      <x:c r="A6637" s="19" t="n">
        <x:v>6634</x:v>
      </x:c>
      <x:c r="B6637" s="22" t="e">
        <x:f>HYPERLINK("https://cdn.shopify.com/s/files/1/0918/6066/4603/files/a3f692d2db617a9e69bafc9442f1bf8f_49e8d3e1-5ea4-4e7f-ae0a-541aebb81568.jpg?v=1772880376","Open")</x:f>
        <x:v>HYPERLINK is not implemented. linkLocation=https://cdn.shopify.com/s/files/1/0918/6066/4603/files/a3f692d2db617a9e69bafc9442f1bf8f_49e8d3e1-5ea4-4e7f-ae0a-541aebb81568.jpg?v=1772880376, friendlyName=Open</x:v>
      </x:c>
      <x:c r="C6637" s="24" t="e">
        <x:f>HYPERLINK("https://365nails.com/products/y2k-pink-punk-girl-5d-embossed-edgy-accent-set","Y2K Pink Punk Girl – 5D Embossed Edgy Accent Set")</x:f>
        <x:v>HYPERLINK is not implemented. linkLocation=https://365nails.com/products/y2k-pink-punk-girl-5d-embossed-edgy-accent-set, friendlyName=Y2K Pink Punk Girl – 5D Embossed Edgy Accent Set</x:v>
      </x:c>
      <x:c r="D6637" s="18" t="str">
        <x:v>Specification type: To4053-relief / To4055-relief</x:v>
      </x:c>
      <x:c r="E6637" s="25" t="str">
        <x:v>$1.23</x:v>
      </x:c>
      <x:c r="F6637" s="19" t="str">
        <x:v>5</x:v>
      </x:c>
    </x:row>
    <x:row r="6638" ht="93" customHeight="1">
      <x:c r="A6638" s="19" t="n">
        <x:v>6635</x:v>
      </x:c>
      <x:c r="B6638" s="22" t="e">
        <x:f>HYPERLINK("https://cdn.shopify.com/s/files/1/0918/6066/4603/files/O1CN015r0AQJ1HlX6RH4dg4__2545140798-0-cib.jpg?v=1773484037","Open")</x:f>
        <x:v>HYPERLINK is not implemented. linkLocation=https://cdn.shopify.com/s/files/1/0918/6066/4603/files/O1CN015r0AQJ1HlX6RH4dg4__2545140798-0-cib.jpg?v=1773484037, friendlyName=Open</x:v>
      </x:c>
      <x:c r="C6638" s="24" t="e">
        <x:f>HYPERLINK("https://365nails.com/products/pastel-butterfly-collection-aurora-flutter-3d-shell-shine-nail-sticker","Pastel Butterfly Collection: ""Aurora Flutter"" – 3D Shell Shine Nail Sticker")</x:f>
        <x:v>HYPERLINK is not implemented. linkLocation=https://365nails.com/products/pastel-butterfly-collection-aurora-flutter-3d-shell-shine-nail-sticker, friendlyName=Pastel Butterfly Collection: "Aurora Flutter" – 3D Shell Shine Nail Sticker</x:v>
      </x:c>
      <x:c r="D6638" s="18" t="str">
        <x:v>Specification type: Ms803-shell light / Ms804-shell light</x:v>
      </x:c>
      <x:c r="E6638" s="25" t="str">
        <x:v>$1.23</x:v>
      </x:c>
      <x:c r="F6638" s="19" t="str">
        <x:v>5</x:v>
      </x:c>
    </x:row>
    <x:row r="6639" ht="93" customHeight="1">
      <x:c r="A6639" s="19" t="n">
        <x:v>6636</x:v>
      </x:c>
      <x:c r="B6639" s="22" t="e">
        <x:f>HYPERLINK("https://cdn.shopify.com/s/files/1/0918/6066/4603/files/O1CN01RHQYqd1HlXAGpzyy9__2545140798-0-cib.jpg?v=1773494308","Open")</x:f>
        <x:v>HYPERLINK is not implemented. linkLocation=https://cdn.shopify.com/s/files/1/0918/6066/4603/files/O1CN01RHQYqd1HlXAGpzyy9__2545140798-0-cib.jpg?v=1773494308, friendlyName=Open</x:v>
      </x:c>
      <x:c r="C6639" s="24" t="e">
        <x:f>HYPERLINK("https://365nails.com/products/cute-brown-bear-collection-checkered-bear-3d-embossed-nail-sticker","Cute Brown Bear Collection: ""Checkered Bear"" – 3D Embossed Nail Sticker")</x:f>
        <x:v>HYPERLINK is not implemented. linkLocation=https://365nails.com/products/cute-brown-bear-collection-checkered-bear-3d-embossed-nail-sticker, friendlyName=Cute Brown Bear Collection: "Checkered Bear" – 3D Embossed Nail Sticker</x:v>
      </x:c>
      <x:c r="D6639" s="18" t="str">
        <x:v>Specification type: To5445-relief</x:v>
      </x:c>
      <x:c r="E6639" s="25" t="str">
        <x:v>$1.23</x:v>
      </x:c>
      <x:c r="F6639" s="19" t="str">
        <x:v>5</x:v>
      </x:c>
    </x:row>
    <x:row r="6640" ht="93" customHeight="1">
      <x:c r="A6640" s="19" t="n">
        <x:v>6637</x:v>
      </x:c>
      <x:c r="B6640" s="22" t="e">
        <x:f>HYPERLINK("https://cdn.shopify.com/s/files/1/0918/6066/4603/files/O1CN01exFjFs1HlXBLsfBAc__2545140798-0-cib.jpg?v=1773484616","Open")</x:f>
        <x:v>HYPERLINK is not implemented. linkLocation=https://cdn.shopify.com/s/files/1/0918/6066/4603/files/O1CN01exFjFs1HlXBLsfBAc__2545140798-0-cib.jpg?v=1773484616, friendlyName=Open</x:v>
      </x:c>
      <x:c r="C6640" s="24" t="e">
        <x:f>HYPERLINK("https://365nails.com/products/pearl-script-collection-pearl-cursive-3d-pearl-shine-nail-sticker","Pearl Script Collection: ""Pearl Cursive"" – 3D Pearl Shine Nail Sticker")</x:f>
        <x:v>HYPERLINK is not implemented. linkLocation=https://365nails.com/products/pearl-script-collection-pearl-cursive-3d-pearl-shine-nail-sticker, friendlyName=Pearl Script Collection: "Pearl Cursive" – 3D Pearl Shine Nail Sticker</x:v>
      </x:c>
      <x:c r="D6640" s="18" t="str">
        <x:v>Specification type: To5639-shell light / To5640-new hot stamping / To5640-silver / To5645-new hot stamping / To5645-silver / To5646-relief</x:v>
      </x:c>
      <x:c r="E6640" s="25" t="str">
        <x:v>$1.23</x:v>
      </x:c>
      <x:c r="F6640" s="19" t="str">
        <x:v>5</x:v>
      </x:c>
    </x:row>
    <x:row r="6641" ht="93" customHeight="1">
      <x:c r="A6641" s="19" t="n">
        <x:v>6638</x:v>
      </x:c>
      <x:c r="B6641" s="22" t="e">
        <x:f>HYPERLINK("https://cdn.shopify.com/s/files/1/0918/6066/4603/files/O1CN01jRFGd51HlX81LnKTg__2545140798-0-cib.jpg?v=1773541913","Open")</x:f>
        <x:v>HYPERLINK is not implemented. linkLocation=https://cdn.shopify.com/s/files/1/0918/6066/4603/files/O1CN01jRFGd51HlX81LnKTg__2545140798-0-cib.jpg?v=1773541913, friendlyName=Open</x:v>
      </x:c>
      <x:c r="C6641" s="24" t="e">
        <x:f>HYPERLINK("https://365nails.com/products/vintage-gothic-ornament-collection-gilded-celestial-3d-metallic-nail-sticker","Vintage Gothic Ornament Collection: ""Gilded Celestial"" – 3D Metallic Nail Sticker")</x:f>
        <x:v>HYPERLINK is not implemented. linkLocation=https://365nails.com/products/vintage-gothic-ornament-collection-gilded-celestial-3d-metallic-nail-sticker, friendlyName=Vintage Gothic Ornament Collection: "Gilded Celestial" – 3D Metallic Nail Sticker</x:v>
      </x:c>
      <x:c r="D6641" s="18" t="str">
        <x:v>Specification type: To4683-new hot stamping / To4683-silver</x:v>
      </x:c>
      <x:c r="E6641" s="25" t="str">
        <x:v>$1.23</x:v>
      </x:c>
      <x:c r="F6641" s="19" t="str">
        <x:v>5</x:v>
      </x:c>
    </x:row>
    <x:row r="6642" ht="93" customHeight="1">
      <x:c r="A6642" s="19" t="n">
        <x:v>6639</x:v>
      </x:c>
      <x:c r="B6642" s="22" t="e">
        <x:f>HYPERLINK("https://cdn.shopify.com/s/files/1/0918/6066/4603/files/O1CN01dcuxkV1HlX1aajuFj__2545140798-0-cib.jpg?v=1773466275","Open")</x:f>
        <x:v>HYPERLINK is not implemented. linkLocation=https://cdn.shopify.com/s/files/1/0918/6066/4603/files/O1CN01dcuxkV1HlX1aajuFj__2545140798-0-cib.jpg?v=1773466275, friendlyName=Open</x:v>
      </x:c>
      <x:c r="C6642" s="24" t="e">
        <x:f>HYPERLINK("https://365nails.com/products/white-lace-crystal-collection-elegant-white-lace-butterfly-3d-embossed-nail-sticker","White Lace &amp; Crystal Collection: ""Elegant White Lace Butterfly"" – 3D Embossed Nail Sticker")</x:f>
        <x:v>HYPERLINK is not implemented. linkLocation=https://365nails.com/products/white-lace-crystal-collection-elegant-white-lace-butterfly-3d-embossed-nail-sticker, friendlyName=White Lace &amp; Crystal Collection: "Elegant White Lace Butterfly" – 3D Embossed Nail Sticker</x:v>
      </x:c>
      <x:c r="D6642" s="18" t="str">
        <x:v>Specification type: To3979-crystal diamond / To4088-crystal diamond / To4111-crystal diamond</x:v>
      </x:c>
      <x:c r="E6642" s="25" t="str">
        <x:v>$1.30</x:v>
      </x:c>
      <x:c r="F6642" s="19" t="str">
        <x:v>5</x:v>
      </x:c>
    </x:row>
    <x:row r="6643" ht="93" customHeight="1">
      <x:c r="A6643" s="19" t="n">
        <x:v>6640</x:v>
      </x:c>
      <x:c r="B6643" s="22" t="e">
        <x:f>HYPERLINK("https://cdn.shopify.com/s/files/1/0918/6066/4603/files/O1CN01WT7srq1HlWrfVcCZW__2545140798-0-cib.jpg?v=1772885311","Open")</x:f>
        <x:v>HYPERLINK is not implemented. linkLocation=https://cdn.shopify.com/s/files/1/0918/6066/4603/files/O1CN01WT7srq1HlWrfVcCZW__2545140798-0-cib.jpg?v=1772885311, friendlyName=Open</x:v>
      </x:c>
      <x:c r="C6643" s="24" t="e">
        <x:f>HYPERLINK("https://365nails.com/products/chinese-new-year-fortune-5d-embossed-festive-accent-set","Chinese New Year Fortune – 5D Embossed Festive Accent Set")</x:f>
        <x:v>HYPERLINK is not implemented. linkLocation=https://365nails.com/products/chinese-new-year-fortune-5d-embossed-festive-accent-set, friendlyName=Chinese New Year Fortune – 5D Embossed Festive Accent Set</x:v>
      </x:c>
      <x:c r="D6643" s="18" t="str">
        <x:v>Specification type: To2634-relief / To2635-thin tough / To2659-new hot stamping / To2659-silver</x:v>
      </x:c>
      <x:c r="E6643" s="25" t="str">
        <x:v>$1.23</x:v>
      </x:c>
      <x:c r="F6643" s="19" t="str">
        <x:v>5</x:v>
      </x:c>
    </x:row>
    <x:row r="6644" ht="93" customHeight="1">
      <x:c r="A6644" s="19" t="n">
        <x:v>6641</x:v>
      </x:c>
      <x:c r="B6644" s="22" t="e">
        <x:f>HYPERLINK("https://cdn.shopify.com/s/files/1/0918/6066/4603/files/6e7cdbceccc3df4f41c423cdbb61dc8e.jpg?v=1772888905","Open")</x:f>
        <x:v>HYPERLINK is not implemented. linkLocation=https://cdn.shopify.com/s/files/1/0918/6066/4603/files/6e7cdbceccc3df4f41c423cdbb61dc8e.jpg?v=1772888905, friendlyName=Open</x:v>
      </x:c>
      <x:c r="C6644" s="24" t="e">
        <x:f>HYPERLINK("https://365nails.com/products/panda-of-china-cute-nail-art-accent-set","Panda of China – Cute Nail Art Accent Set")</x:f>
        <x:v>HYPERLINK is not implemented. linkLocation=https://365nails.com/products/panda-of-china-cute-nail-art-accent-set, friendlyName=Panda of China – Cute Nail Art Accent Set</x:v>
      </x:c>
      <x:c r="D6644" s="18" t="str">
        <x:v>Specification type: To4157-relief</x:v>
      </x:c>
      <x:c r="E6644" s="25" t="str">
        <x:v>$1.23</x:v>
      </x:c>
      <x:c r="F6644" s="19" t="str">
        <x:v>5</x:v>
      </x:c>
    </x:row>
    <x:row r="6645" ht="93" customHeight="1">
      <x:c r="A6645" s="19" t="n">
        <x:v>6642</x:v>
      </x:c>
      <x:c r="B6645" s="22" t="e">
        <x:f>HYPERLINK("https://cdn.shopify.com/s/files/1/0918/6066/4603/files/O1CN01mx4jTv1HlXAEuybIi__2545140798-0-cib.jpg?v=1773492561","Open")</x:f>
        <x:v>HYPERLINK is not implemented. linkLocation=https://cdn.shopify.com/s/files/1/0918/6066/4603/files/O1CN01mx4jTv1HlXAEuybIi__2545140798-0-cib.jpg?v=1773492561, friendlyName=Open</x:v>
      </x:c>
      <x:c r="C6645" s="24" t="e">
        <x:f>HYPERLINK("https://365nails.com/products/gothic-cross-collection-sacred-cross-3d-embossed-nail-sticker","Gothic Cross Collection: ""Sacred Cross"" – 3D Embossed Nail Sticker")</x:f>
        <x:v>HYPERLINK is not implemented. linkLocation=https://365nails.com/products/gothic-cross-collection-sacred-cross-3d-embossed-nail-sticker, friendlyName=Gothic Cross Collection: "Sacred Cross" – 3D Embossed Nail Sticker</x:v>
      </x:c>
      <x:c r="D6645" s="18" t="str">
        <x:v>Specification type: To5336 / To5457</x:v>
      </x:c>
      <x:c r="E6645" s="25" t="str">
        <x:v>$1.00</x:v>
      </x:c>
      <x:c r="F6645" s="19" t="str">
        <x:v>5</x:v>
      </x:c>
    </x:row>
    <x:row r="6646" ht="93" customHeight="1">
      <x:c r="A6646" s="19" t="n">
        <x:v>6643</x:v>
      </x:c>
      <x:c r="B6646" s="22" t="e">
        <x:f>HYPERLINK("https://cdn.shopify.com/s/files/1/0918/6066/4603/files/486f6d2bb934011a3dd37ba6494e5aa0.jpg?v=1772876141","Open")</x:f>
        <x:v>HYPERLINK is not implemented. linkLocation=https://cdn.shopify.com/s/files/1/0918/6066/4603/files/486f6d2bb934011a3dd37ba6494e5aa0.jpg?v=1772876141, friendlyName=Open</x:v>
      </x:c>
      <x:c r="C6646" s="24" t="e">
        <x:f>HYPERLINK("https://365nails.com/products/vintage-floral-vase-nail-stickers-5d-embossed-still-life-elegance-set","Vintage Floral Vase Nail Stickers – 5D Embossed Still Life Elegance Set")</x:f>
        <x:v>HYPERLINK is not implemented. linkLocation=https://365nails.com/products/vintage-floral-vase-nail-stickers-5d-embossed-still-life-elegance-set, friendlyName=Vintage Floral Vase Nail Stickers – 5D Embossed Still Life Elegance Set</x:v>
      </x:c>
      <x:c r="D6646" s="18" t="str">
        <x:v>Specification type: To4915-relief / To4928-relief</x:v>
      </x:c>
      <x:c r="E6646" s="25" t="str">
        <x:v>$1.23</x:v>
      </x:c>
      <x:c r="F6646" s="19" t="str">
        <x:v>5</x:v>
      </x:c>
    </x:row>
    <x:row r="6647" ht="93" customHeight="1">
      <x:c r="A6647" s="19" t="n">
        <x:v>6644</x:v>
      </x:c>
      <x:c r="B6647" s="22" t="e">
        <x:f>HYPERLINK("https://cdn.shopify.com/s/files/1/0918/6066/4603/files/O1CN01r7tYAQ1HlWzxeeVyb__2545140798-0-cib_b23150d7-3fe3-459d-8851-9ee83b1696d8.jpg?v=1775397683","Open")</x:f>
        <x:v>HYPERLINK is not implemented. linkLocation=https://cdn.shopify.com/s/files/1/0918/6066/4603/files/O1CN01r7tYAQ1HlWzxeeVyb__2545140798-0-cib_b23150d7-3fe3-459d-8851-9ee83b1696d8.jpg?v=1775397683, friendlyName=Open</x:v>
      </x:c>
      <x:c r="C6647" s="24" t="e">
        <x:f>HYPERLINK("https://365nails.com/products/365nails-holographic-iris-floral-handmade-press-on-nails","365nails: ""Holographic Iris Floral"" – Nail Art Stickers")</x:f>
        <x:v>HYPERLINK is not implemented. linkLocation=https://365nails.com/products/365nails-holographic-iris-floral-handmade-press-on-nails, friendlyName=365nails: "Holographic Iris Floral" – Nail Art Stickers</x:v>
      </x:c>
      <x:c r="D6647" s="18" t="str">
        <x:v>Specification type: Ms537-new hot stamping / Ms552-shell light</x:v>
      </x:c>
      <x:c r="E6647" s="25" t="str">
        <x:v>$1.23</x:v>
      </x:c>
      <x:c r="F6647" s="19" t="str">
        <x:v>5</x:v>
      </x:c>
    </x:row>
    <x:row r="6648" ht="93" customHeight="1">
      <x:c r="A6648" s="19" t="n">
        <x:v>6645</x:v>
      </x:c>
      <x:c r="B6648" s="22" t="e">
        <x:f>HYPERLINK("https://cdn.shopify.com/s/files/1/0918/6066/4603/files/O1CN01lh6GB61HlX92dnmbj__2545140798-0-cib.jpg?v=1773467329","Open")</x:f>
        <x:v>HYPERLINK is not implemented. linkLocation=https://cdn.shopify.com/s/files/1/0918/6066/4603/files/O1CN01lh6GB61HlX92dnmbj__2545140798-0-cib.jpg?v=1773467329, friendlyName=Open</x:v>
      </x:c>
      <x:c r="C6648" s="24" t="e">
        <x:f>HYPERLINK("https://365nails.com/products/gold-foil-y2k-collection-new-gold-foil-y2k-3d-embossed-nail-sticker","Gold Foil Y2K Collection: ""New Gold Foil Y2K"" – 3D Embossed Nail Sticker")</x:f>
        <x:v>HYPERLINK is not implemented. linkLocation=https://365nails.com/products/gold-foil-y2k-collection-new-gold-foil-y2k-3d-embossed-nail-sticker, friendlyName=Gold Foil Y2K Collection: "New Gold Foil Y2K" – 3D Embossed Nail Sticker</x:v>
      </x:c>
      <x:c r="D6648" s="18" t="str">
        <x:v>Specification type: Ms853-new hot stamping / Ms853-silver</x:v>
      </x:c>
      <x:c r="E6648" s="25" t="str">
        <x:v>$1.23</x:v>
      </x:c>
      <x:c r="F6648" s="19" t="str">
        <x:v>5</x:v>
      </x:c>
    </x:row>
    <x:row r="6649" ht="93" customHeight="1">
      <x:c r="A6649" s="19" t="n">
        <x:v>6646</x:v>
      </x:c>
      <x:c r="B6649" s="22" t="e">
        <x:f>HYPERLINK("https://cdn.shopify.com/s/files/1/0918/6066/4603/files/b4e24c0f7dff6185fdc1ffb06b241489.jpg?v=1772948911","Open")</x:f>
        <x:v>HYPERLINK is not implemented. linkLocation=https://cdn.shopify.com/s/files/1/0918/6066/4603/files/b4e24c0f7dff6185fdc1ffb06b241489.jpg?v=1772948911, friendlyName=Open</x:v>
      </x:c>
      <x:c r="C6649" s="24" t="e">
        <x:f>HYPERLINK("https://365nails.com/products/holographic-butterfly-crystal-nail-art-accent-set","Holographic Butterfly – Crystal Nail Art Accent Set")</x:f>
        <x:v>HYPERLINK is not implemented. linkLocation=https://365nails.com/products/holographic-butterfly-crystal-nail-art-accent-set, friendlyName=Holographic Butterfly – Crystal Nail Art Accent Set</x:v>
      </x:c>
      <x:c r="D6649" s="18" t="str">
        <x:v>Specification type: To3637-crystal diamond</x:v>
      </x:c>
      <x:c r="E6649" s="25" t="str">
        <x:v>$1.30</x:v>
      </x:c>
      <x:c r="F6649" s="19" t="str">
        <x:v>5</x:v>
      </x:c>
    </x:row>
    <x:row r="6650" ht="93" customHeight="1">
      <x:c r="A6650" s="19" t="n">
        <x:v>6647</x:v>
      </x:c>
      <x:c r="B6650" s="22" t="e">
        <x:f>HYPERLINK("https://cdn.shopify.com/s/files/1/0918/6066/4603/files/O1CN019Zdp3B1HlX8I6iCGC__2545140798-0-cib.jpg?v=1773496530","Open")</x:f>
        <x:v>HYPERLINK is not implemented. linkLocation=https://cdn.shopify.com/s/files/1/0918/6066/4603/files/O1CN019Zdp3B1HlX8I6iCGC__2545140798-0-cib.jpg?v=1773496530, friendlyName=Open</x:v>
      </x:c>
      <x:c r="C6650" s="24" t="e">
        <x:f>HYPERLINK("https://365nails.com/products/coastal-starfish-collection-seashell-star-3d-embossed-nail-sticker","Coastal Starfish Collection: ""Seashell Star"" – 3D Embossed Nail Sticker")</x:f>
        <x:v>HYPERLINK is not implemented. linkLocation=https://365nails.com/products/coastal-starfish-collection-seashell-star-3d-embossed-nail-sticker, friendlyName=Coastal Starfish Collection: "Seashell Star" – 3D Embossed Nail Sticker</x:v>
      </x:c>
      <x:c r="D6650" s="18" t="str">
        <x:v>Specification type: To5191-shell light / To5192-shell light</x:v>
      </x:c>
      <x:c r="E6650" s="25" t="str">
        <x:v>$1.23</x:v>
      </x:c>
      <x:c r="F6650" s="19" t="str">
        <x:v>5</x:v>
      </x:c>
    </x:row>
    <x:row r="6651" ht="93" customHeight="1">
      <x:c r="A6651" s="19" t="n">
        <x:v>6648</x:v>
      </x:c>
      <x:c r="B6651" s="22" t="e">
        <x:f>HYPERLINK("https://cdn.shopify.com/s/files/1/0918/6066/4603/files/O1CN01x1bPJm1HlX7VfvnJv__2545140798-0-cib.jpg?v=1773490384","Open")</x:f>
        <x:v>HYPERLINK is not implemented. linkLocation=https://cdn.shopify.com/s/files/1/0918/6066/4603/files/O1CN01x1bPJm1HlX7VfvnJv__2545140798-0-cib.jpg?v=1773490384, friendlyName=Open</x:v>
      </x:c>
      <x:c r="C6651" s="24" t="e">
        <x:f>HYPERLINK("https://365nails.com/products/birthday-celebration-collection-sweet-birthday-3d-crystal-nail-sticker","Birthday Celebration Collection: ""Sweet Birthday"" – 3D Crystal Nail Sticker")</x:f>
        <x:v>HYPERLINK is not implemented. linkLocation=https://365nails.com/products/birthday-celebration-collection-sweet-birthday-3d-crystal-nail-sticker, friendlyName=Birthday Celebration Collection: "Sweet Birthday" – 3D Crystal Nail Sticker</x:v>
      </x:c>
      <x:c r="D6651" s="18" t="str">
        <x:v>Specification type: To5146-crystal diamond</x:v>
      </x:c>
      <x:c r="E6651" s="25" t="str">
        <x:v>$1.30</x:v>
      </x:c>
      <x:c r="F6651" s="19" t="str">
        <x:v>5</x:v>
      </x:c>
    </x:row>
    <x:row r="6652" ht="93" customHeight="1">
      <x:c r="A6652" s="19" t="n">
        <x:v>6649</x:v>
      </x:c>
      <x:c r="B6652" s="22" t="e">
        <x:f>HYPERLINK("https://cdn.shopify.com/s/files/1/0918/6066/4603/files/9bb9feeb733e43266efc56e8fe2e1bbb.jpg?v=1775220389","Open")</x:f>
        <x:v>HYPERLINK is not implemented. linkLocation=https://cdn.shopify.com/s/files/1/0918/6066/4603/files/9bb9feeb733e43266efc56e8fe2e1bbb.jpg?v=1775220389, friendlyName=Open</x:v>
      </x:c>
      <x:c r="C6652" s="24" t="e">
        <x:f>HYPERLINK("https://365nails.com/products/noir-bloom-amethyst-shadow-long-stiletto-press-on-nails","Noir Bloom: ""Amethyst Shadow"" – Long Stiletto Press-on Nails")</x:f>
        <x:v>HYPERLINK is not implemented. linkLocation=https://365nails.com/products/noir-bloom-amethyst-shadow-long-stiletto-press-on-nails, friendlyName=Noir Bloom: "Amethyst Shadow" – Long Stiletto Press-on Nails</x:v>
      </x:c>
      <x:c r="D6652" s="18" t="str">
        <x:v>Size: XS / S / M / L</x:v>
      </x:c>
      <x:c r="E6652" s="25" t="str">
        <x:v>$3.99</x:v>
      </x:c>
      <x:c r="F6652" s="19" t="str">
        <x:v>3</x:v>
      </x:c>
    </x:row>
    <x:row r="6653" ht="93" customHeight="1">
      <x:c r="A6653" s="19" t="n">
        <x:v>6650</x:v>
      </x:c>
      <x:c r="B6653" s="22" t="e">
        <x:f>HYPERLINK("https://cdn.shopify.com/s/files/1/0918/6066/4603/files/O1CN01clAr6e1HlWvGpCB9q__2545140798-0-cib.jpg?v=1773484106","Open")</x:f>
        <x:v>HYPERLINK is not implemented. linkLocation=https://cdn.shopify.com/s/files/1/0918/6066/4603/files/O1CN01clAr6e1HlWvGpCB9q__2545140798-0-cib.jpg?v=1773484106, friendlyName=Open</x:v>
      </x:c>
      <x:c r="C6653" s="24" t="e">
        <x:f>HYPERLINK("https://365nails.com/products/jelly-balloon-animal-collection-playful-pop-3d-jelly-nail-sticker","Jelly Balloon Animal Collection: ""Playful Pop"" – 3D Jelly Nail Sticker")</x:f>
        <x:v>HYPERLINK is not implemented. linkLocation=https://365nails.com/products/jelly-balloon-animal-collection-playful-pop-3d-jelly-nail-sticker, friendlyName=Jelly Balloon Animal Collection: "Playful Pop" – 3D Jelly Nail Sticker</x:v>
      </x:c>
      <x:c r="D6653" s="18" t="str">
        <x:v>Specification type: To2967-jelly / To3135-jelly / To3145-jelly / To3146-relief / To3172-jelly / Ms400-jelly</x:v>
      </x:c>
      <x:c r="E6653" s="25" t="str">
        <x:v>$1.23</x:v>
      </x:c>
      <x:c r="F6653" s="19" t="str">
        <x:v>5</x:v>
      </x:c>
    </x:row>
    <x:row r="6654" ht="93" customHeight="1">
      <x:c r="A6654" s="19" t="n">
        <x:v>6651</x:v>
      </x:c>
      <x:c r="B6654" s="22" t="e">
        <x:f>HYPERLINK("https://cdn.shopify.com/s/files/1/0918/6066/4603/files/O1CN013SFSsh1HlX38GbeKk__2545140798-0-cib.jpg?v=1773541262","Open")</x:f>
        <x:v>HYPERLINK is not implemented. linkLocation=https://cdn.shopify.com/s/files/1/0918/6066/4603/files/O1CN013SFSsh1HlX38GbeKk__2545140798-0-cib.jpg?v=1773541262, friendlyName=Open</x:v>
      </x:c>
      <x:c r="C6654" s="24" t="e">
        <x:f>HYPERLINK("https://365nails.com/products/crystal-blue-floral-collection-icy-bloom-3d-crystal-nail-sticker","Crystal Blue Floral Collection: ""Icy Bloom"" – 3D Crystal Nail Sticker")</x:f>
        <x:v>HYPERLINK is not implemented. linkLocation=https://365nails.com/products/crystal-blue-floral-collection-icy-bloom-3d-crystal-nail-sticker, friendlyName=Crystal Blue Floral Collection: "Icy Bloom" – 3D Crystal Nail Sticker</x:v>
      </x:c>
      <x:c r="D6654" s="18" t="str">
        <x:v>Specification type: To4410-crystal diamond</x:v>
      </x:c>
      <x:c r="E6654" s="25" t="str">
        <x:v>$1.30</x:v>
      </x:c>
      <x:c r="F6654" s="19" t="str">
        <x:v>5</x:v>
      </x:c>
    </x:row>
    <x:row r="6655" ht="93" customHeight="1">
      <x:c r="A6655" s="19" t="n">
        <x:v>6652</x:v>
      </x:c>
      <x:c r="B6655" s="22" t="e">
        <x:f>HYPERLINK("https://cdn.shopify.com/s/files/1/0918/6066/4603/files/O1CN01DRZAxB1HlXALbBSAC__2545140798-0-cib.jpg?v=1773494378","Open")</x:f>
        <x:v>HYPERLINK is not implemented. linkLocation=https://cdn.shopify.com/s/files/1/0918/6066/4603/files/O1CN01DRZAxB1HlXALbBSAC__2545140798-0-cib.jpg?v=1773494378, friendlyName=Open</x:v>
      </x:c>
      <x:c r="C6655" s="24" t="e">
        <x:f>HYPERLINK("https://365nails.com/products/ginkgo-leaf-collection-aurora-ginkgo-3d-metallic-nail-sticker","Ginkgo Leaf Collection: ""Aurora Ginkgo"" – 3D Metallic Nail Sticker")</x:f>
        <x:v>HYPERLINK is not implemented. linkLocation=https://365nails.com/products/ginkgo-leaf-collection-aurora-ginkgo-3d-metallic-nail-sticker, friendlyName=Ginkgo Leaf Collection: "Aurora Ginkgo" – 3D Metallic Nail Sticker</x:v>
      </x:c>
      <x:c r="D6655" s="18" t="str">
        <x:v>Specification type: To5458-metal</x:v>
      </x:c>
      <x:c r="E6655" s="25" t="str">
        <x:v>$1.23</x:v>
      </x:c>
      <x:c r="F6655" s="19" t="str">
        <x:v>5</x:v>
      </x:c>
    </x:row>
    <x:row r="6656" ht="93" customHeight="1">
      <x:c r="A6656" s="19" t="n">
        <x:v>6653</x:v>
      </x:c>
      <x:c r="B6656" s="22" t="e">
        <x:f>HYPERLINK("https://cdn.shopify.com/s/files/1/0918/6066/4603/files/O1CN01nfnK9G1HlXBBsER2z__2545140798-0-cib.jpg?v=1773484539","Open")</x:f>
        <x:v>HYPERLINK is not implemented. linkLocation=https://cdn.shopify.com/s/files/1/0918/6066/4603/files/O1CN01nfnK9G1HlXBBsER2z__2545140798-0-cib.jpg?v=1773484539, friendlyName=Open</x:v>
      </x:c>
      <x:c r="C6656" s="24" t="e">
        <x:f>HYPERLINK("https://365nails.com/products/gothic-thorn-collection-gilded-thorn-3d-metallic-gold-nail-sticker","Gothic Thorn Collection: ""Gilded Thorn"" – 3D Metallic Gold Nail Sticker")</x:f>
        <x:v>HYPERLINK is not implemented. linkLocation=https://365nails.com/products/gothic-thorn-collection-gilded-thorn-3d-metallic-gold-nail-sticker, friendlyName=Gothic Thorn Collection: "Gilded Thorn" – 3D Metallic Gold Nail Sticker</x:v>
      </x:c>
      <x:c r="D6656" s="18" t="str">
        <x:v>Specification type: To5613-new hot stamping / To5613-silver</x:v>
      </x:c>
      <x:c r="E6656" s="25" t="str">
        <x:v>$1.23</x:v>
      </x:c>
      <x:c r="F6656" s="19" t="str">
        <x:v>5</x:v>
      </x:c>
    </x:row>
    <x:row r="6657" ht="93" customHeight="1">
      <x:c r="A6657" s="19" t="n">
        <x:v>6654</x:v>
      </x:c>
      <x:c r="B6657" s="22" t="e">
        <x:f>HYPERLINK("https://cdn.shopify.com/s/files/1/0918/6066/4603/files/O1CN01XYQpha1HlX73bNn2M__2545140798-0-cib.jpg?v=1773462242","Open")</x:f>
        <x:v>HYPERLINK is not implemented. linkLocation=https://cdn.shopify.com/s/files/1/0918/6066/4603/files/O1CN01XYQpha1HlX73bNn2M__2545140798-0-cib.jpg?v=1773462242, friendlyName=Open</x:v>
      </x:c>
      <x:c r="C6657" s="24" t="e">
        <x:f>HYPERLINK("https://365nails.com/products/crystal-garland-collection-colorful-crystal-garland-3d-embossed-nail-sticker","Crystal Garland Collection: ""Colorful Crystal Garland"" – 3D Embossed Nail Sticker")</x:f>
        <x:v>HYPERLINK is not implemented. linkLocation=https://365nails.com/products/crystal-garland-collection-colorful-crystal-garland-3d-embossed-nail-sticker, friendlyName=Crystal Garland Collection: "Colorful Crystal Garland" – 3D Embossed Nail Sticker</x:v>
      </x:c>
      <x:c r="D6657" s="18" t="str">
        <x:v>Specification type: Ms789-crystal diamond</x:v>
      </x:c>
      <x:c r="E6657" s="25" t="str">
        <x:v>$1.30</x:v>
      </x:c>
      <x:c r="F6657" s="19" t="str">
        <x:v>5</x:v>
      </x:c>
    </x:row>
    <x:row r="6658" ht="93" customHeight="1">
      <x:c r="A6658" s="19" t="n">
        <x:v>6655</x:v>
      </x:c>
      <x:c r="B6658" s="22" t="e">
        <x:f>HYPERLINK("https://cdn.shopify.com/s/files/1/0918/6066/4603/files/O1CN01lTMqzG1HlWpaorFn0__2545140798-0-cib_c6d0e3f1-6e0e-4344-83ad-a86646a052ed.jpg?v=1776343871","Open")</x:f>
        <x:v>HYPERLINK is not implemented. linkLocation=https://cdn.shopify.com/s/files/1/0918/6066/4603/files/O1CN01lTMqzG1HlWpaorFn0__2545140798-0-cib_c6d0e3f1-6e0e-4344-83ad-a86646a052ed.jpg?v=1776343871, friendlyName=Open</x:v>
      </x:c>
      <x:c r="C6658" s="24" t="e">
        <x:f>HYPERLINK("https://365nails.com/products/365nails-kawaii-doodle-cute-animal-snack-nail-stickers","365nails: ""Kawaii Doodle Cute Animal Snack"" – nail stickers")</x:f>
        <x:v>HYPERLINK is not implemented. linkLocation=https://365nails.com/products/365nails-kawaii-doodle-cute-animal-snack-nail-stickers, friendlyName=365nails: "Kawaii Doodle Cute Animal Snack" – nail stickers</x:v>
      </x:c>
      <x:c r="D6658" s="18" t="str">
        <x:v>Specification type: To2078</x:v>
      </x:c>
      <x:c r="E6658" s="25" t="str">
        <x:v>$1.23</x:v>
      </x:c>
      <x:c r="F6658" s="19" t="str">
        <x:v>5</x:v>
      </x:c>
    </x:row>
    <x:row r="6659" ht="93" customHeight="1">
      <x:c r="A6659" s="19" t="n">
        <x:v>6656</x:v>
      </x:c>
      <x:c r="B6659" s="22" t="e">
        <x:f>HYPERLINK("https://cdn.shopify.com/s/files/1/0918/6066/4603/files/O1CN01lTMqzG1HlWpaorFn0__2545140798-0-cib_a064584f-bb3a-45e5-b955-0d55ca2656ae.jpg?v=1776257281","Open")</x:f>
        <x:v>HYPERLINK is not implemented. linkLocation=https://cdn.shopify.com/s/files/1/0918/6066/4603/files/O1CN01lTMqzG1HlWpaorFn0__2545140798-0-cib_a064584f-bb3a-45e5-b955-0d55ca2656ae.jpg?v=1776257281, friendlyName=Open</x:v>
      </x:c>
      <x:c r="C6659" s="24" t="e">
        <x:f>HYPERLINK("https://365nails.com/products/365nails-kawaii-doodle-cute-animal-snack-nail-art-stickers","365nails: ""Kawaii Doodle Cute Animal Snack"" – nail art stickers")</x:f>
        <x:v>HYPERLINK is not implemented. linkLocation=https://365nails.com/products/365nails-kawaii-doodle-cute-animal-snack-nail-art-stickers, friendlyName=365nails: "Kawaii Doodle Cute Animal Snack" – nail art stickers</x:v>
      </x:c>
      <x:c r="D6659" s="18" t="str">
        <x:v>Specification type: To2078</x:v>
      </x:c>
      <x:c r="E6659" s="25" t="str">
        <x:v>$1.23</x:v>
      </x:c>
      <x:c r="F6659" s="19" t="str">
        <x:v>5</x:v>
      </x:c>
    </x:row>
    <x:row r="6660" ht="93" customHeight="1">
      <x:c r="A6660" s="19" t="n">
        <x:v>6657</x:v>
      </x:c>
      <x:c r="B6660" s="22" t="e">
        <x:f>HYPERLINK("https://cdn.shopify.com/s/files/1/0918/6066/4603/files/O1CN01O7KjGC1HlXAiwZ7kI__2545140798-0-cib.jpg?v=1773491010","Open")</x:f>
        <x:v>HYPERLINK is not implemented. linkLocation=https://cdn.shopify.com/s/files/1/0918/6066/4603/files/O1CN01O7KjGC1HlXAiwZ7kI__2545140798-0-cib.jpg?v=1773491010, friendlyName=Open</x:v>
      </x:c>
      <x:c r="C6660" s="24" t="e">
        <x:f>HYPERLINK("https://365nails.com/products/crystal-snowflake-collection-frosty-crystal-3d-crystal-nail-sticker","Crystal Snowflake Collection: ""Frosty Crystal"" – 3D Crystal Nail Sticker")</x:f>
        <x:v>HYPERLINK is not implemented. linkLocation=https://365nails.com/products/crystal-snowflake-collection-frosty-crystal-3d-crystal-nail-sticker, friendlyName=Crystal Snowflake Collection: "Frosty Crystal" – 3D Crystal Nail Sticker</x:v>
      </x:c>
      <x:c r="D6660" s="18" t="str">
        <x:v>Specification type: To5535-crystal diamond</x:v>
      </x:c>
      <x:c r="E6660" s="25" t="str">
        <x:v>$1.34</x:v>
      </x:c>
      <x:c r="F6660" s="19" t="str">
        <x:v>5</x:v>
      </x:c>
    </x:row>
    <x:row r="6661" ht="93" customHeight="1">
      <x:c r="A6661" s="19" t="n">
        <x:v>6658</x:v>
      </x:c>
      <x:c r="B6661" s="22" t="e">
        <x:f>HYPERLINK("https://cdn.shopify.com/s/files/1/0918/6066/4603/files/O1CN01a8GFhb1HlX9GmwUE5__2545140798-0-cib.jpg?v=1773540896","Open")</x:f>
        <x:v>HYPERLINK is not implemented. linkLocation=https://cdn.shopify.com/s/files/1/0918/6066/4603/files/O1CN01a8GFhb1HlX9GmwUE5__2545140798-0-cib.jpg?v=1773540896, friendlyName=Open</x:v>
      </x:c>
      <x:c r="C6661" s="24" t="e">
        <x:f>HYPERLINK("https://365nails.com/products/kawaii-cute-collection-lucky-little-things-3d-embossed-nail-sticker","Kawaii Cute Collection: ""Lucky Little Things"" – 3D Embossed Nail Sticker")</x:f>
        <x:v>HYPERLINK is not implemented. linkLocation=https://365nails.com/products/kawaii-cute-collection-lucky-little-things-3d-embossed-nail-sticker, friendlyName=Kawaii Cute Collection: "Lucky Little Things" – 3D Embossed Nail Sticker</x:v>
      </x:c>
      <x:c r="D6661" s="18" t="str">
        <x:v>Specification type: To5314-shell light / To5323-shell light</x:v>
      </x:c>
      <x:c r="E6661" s="25" t="str">
        <x:v>$1.23</x:v>
      </x:c>
      <x:c r="F6661" s="19" t="str">
        <x:v>5</x:v>
      </x:c>
    </x:row>
    <x:row r="6662" ht="93" customHeight="1">
      <x:c r="A6662" s="19" t="n">
        <x:v>6659</x:v>
      </x:c>
      <x:c r="B6662" s="22" t="e">
        <x:f>HYPERLINK("https://cdn.shopify.com/s/files/1/0918/6066/4603/files/47891becfe19258b239151e05ae64389.jpg?v=1772872845","Open")</x:f>
        <x:v>HYPERLINK is not implemented. linkLocation=https://cdn.shopify.com/s/files/1/0918/6066/4603/files/47891becfe19258b239151e05ae64389.jpg?v=1772872845, friendlyName=Open</x:v>
      </x:c>
      <x:c r="C6662" s="24" t="e">
        <x:f>HYPERLINK("https://365nails.com/products/nail-stickers-cherry-bow-nail-stickers-5d-embossed-sweet-cherry-set","nail stickers Cherry &amp; Bow Nail Stickers – 5D Embossed Sweet Cherry Set")</x:f>
        <x:v>HYPERLINK is not implemented. linkLocation=https://365nails.com/products/nail-stickers-cherry-bow-nail-stickers-5d-embossed-sweet-cherry-set, friendlyName=nail stickers Cherry &amp; Bow Nail Stickers – 5D Embossed Sweet Cherry Set</x:v>
      </x:c>
      <x:c r="D6662" s="18" t="str">
        <x:v>Specification type: Ta383-new hot stamping / Ta384-silver / Ta385-glitter powder</x:v>
      </x:c>
      <x:c r="E6662" s="25" t="str">
        <x:v>$1.23</x:v>
      </x:c>
      <x:c r="F6662" s="19" t="str">
        <x:v>5</x:v>
      </x:c>
    </x:row>
    <x:row r="6663" ht="93" customHeight="1">
      <x:c r="A6663" s="19" t="n">
        <x:v>6660</x:v>
      </x:c>
      <x:c r="B6663" s="22" t="e">
        <x:f>HYPERLINK("https://cdn.shopify.com/s/files/1/0918/6066/4603/files/O1CN01jUFpDP1HlWrlOFXAH__2545140798-0-cib.jpg?v=1772948142","Open")</x:f>
        <x:v>HYPERLINK is not implemented. linkLocation=https://cdn.shopify.com/s/files/1/0918/6066/4603/files/O1CN01jUFpDP1HlWrlOFXAH__2545140798-0-cib.jpg?v=1772948142, friendlyName=Open</x:v>
      </x:c>
      <x:c r="C6663" s="24" t="e">
        <x:f>HYPERLINK("https://365nails.com/products/gemstone-hologram-crystal-nail-art-accent-set","Gemstone Hologram – Crystal Nail Art Accent Set")</x:f>
        <x:v>HYPERLINK is not implemented. linkLocation=https://365nails.com/products/gemstone-hologram-crystal-nail-art-accent-set, friendlyName=Gemstone Hologram – Crystal Nail Art Accent Set</x:v>
      </x:c>
      <x:c r="D6663" s="18" t="str">
        <x:v>Specification type: To2627-laser silver</x:v>
      </x:c>
      <x:c r="E6663" s="25" t="str">
        <x:v>$1.23</x:v>
      </x:c>
      <x:c r="F6663" s="19" t="str">
        <x:v>5</x:v>
      </x:c>
    </x:row>
    <x:row r="6664" ht="93" customHeight="1">
      <x:c r="A6664" s="19" t="n">
        <x:v>6661</x:v>
      </x:c>
      <x:c r="B6664" s="22" t="e">
        <x:f>HYPERLINK("https://cdn.shopify.com/s/files/1/0918/6066/4603/files/431240cc8cb840533ea72911f086907c.jpg?v=1773483543","Open")</x:f>
        <x:v>HYPERLINK is not implemented. linkLocation=https://cdn.shopify.com/s/files/1/0918/6066/4603/files/431240cc8cb840533ea72911f086907c.jpg?v=1773483543, friendlyName=Open</x:v>
      </x:c>
      <x:c r="C6664" s="24" t="e">
        <x:f>HYPERLINK("https://365nails.com/products/pastel-floral-bow-collection-blush-garden-3d-embossed-nail-sticker","Pastel Floral Bow Collection: ""Blush Garden"" – 3D Embossed Nail Sticker")</x:f>
        <x:v>HYPERLINK is not implemented. linkLocation=https://365nails.com/products/pastel-floral-bow-collection-blush-garden-3d-embossed-nail-sticker, friendlyName=Pastel Floral Bow Collection: "Blush Garden" – 3D Embossed Nail Sticker</x:v>
      </x:c>
      <x:c r="D6664" s="18" t="str">
        <x:v>Specification type: To5089-crystal diamond</x:v>
      </x:c>
      <x:c r="E6664" s="25" t="str">
        <x:v>$1.30</x:v>
      </x:c>
      <x:c r="F6664" s="19" t="str">
        <x:v>5</x:v>
      </x:c>
    </x:row>
    <x:row r="6665" ht="93" customHeight="1">
      <x:c r="A6665" s="19" t="n">
        <x:v>6662</x:v>
      </x:c>
      <x:c r="B6665" s="22" t="e">
        <x:f>HYPERLINK("https://cdn.shopify.com/s/files/1/0918/6066/4603/files/O1CN01tsZHpc1HlWvfeQzWp__2545140798-0-cib.jpg?v=1773541493","Open")</x:f>
        <x:v>HYPERLINK is not implemented. linkLocation=https://cdn.shopify.com/s/files/1/0918/6066/4603/files/O1CN01tsZHpc1HlWvfeQzWp__2545140798-0-cib.jpg?v=1773541493, friendlyName=Open</x:v>
      </x:c>
      <x:c r="C6665" s="24" t="e">
        <x:f>HYPERLINK("https://365nails.com/products/3d-jelly-heart-collection-colorful-sweetheart-3d-embossed-nail-sticker","3D Jelly Heart Collection: ""Colorful Sweetheart"" – 3D Embossed Nail Sticker")</x:f>
        <x:v>HYPERLINK is not implemented. linkLocation=https://365nails.com/products/3d-jelly-heart-collection-colorful-sweetheart-3d-embossed-nail-sticker, friendlyName=3D Jelly Heart Collection: "Colorful Sweetheart" – 3D Embossed Nail Sticker</x:v>
      </x:c>
      <x:c r="D6665" s="18" t="str">
        <x:v>Specification type: To3215 / To3234 / To3241</x:v>
      </x:c>
      <x:c r="E6665" s="25" t="str">
        <x:v>$1.23</x:v>
      </x:c>
      <x:c r="F6665" s="19" t="str">
        <x:v>5</x:v>
      </x:c>
    </x:row>
    <x:row r="6666" ht="93" customHeight="1">
      <x:c r="A6666" s="19" t="n">
        <x:v>6663</x:v>
      </x:c>
      <x:c r="B6666" s="22" t="e">
        <x:f>HYPERLINK("https://cdn.shopify.com/s/files/1/0918/6066/4603/files/O1CN01snzzek1HlX9QVT5me__2545140798-0-cib.jpg?v=1772887781","Open")</x:f>
        <x:v>HYPERLINK is not implemented. linkLocation=https://cdn.shopify.com/s/files/1/0918/6066/4603/files/O1CN01snzzek1HlX9QVT5me__2545140798-0-cib.jpg?v=1772887781, friendlyName=Open</x:v>
      </x:c>
      <x:c r="C6666" s="24" t="e">
        <x:f>HYPERLINK("https://365nails.com/products/white-butterfly-5d-embossed-ethereal-nail-art-set","White Butterfly – 5D Embossed Ethereal Nail Art Set")</x:f>
        <x:v>HYPERLINK is not implemented. linkLocation=https://365nails.com/products/white-butterfly-5d-embossed-ethereal-nail-art-set, friendlyName=White Butterfly – 5D Embossed Ethereal Nail Art Set</x:v>
      </x:c>
      <x:c r="D6666" s="18" t="str">
        <x:v>Specification type: Ms 871</x:v>
      </x:c>
      <x:c r="E6666" s="25" t="str">
        <x:v>$1.00</x:v>
      </x:c>
      <x:c r="F6666" s="19" t="str">
        <x:v>5</x:v>
      </x:c>
    </x:row>
    <x:row r="6667" ht="93" customHeight="1">
      <x:c r="A6667" s="19" t="n">
        <x:v>6664</x:v>
      </x:c>
      <x:c r="B6667" s="22" t="e">
        <x:f>HYPERLINK("https://cdn.shopify.com/s/files/1/0918/6066/4603/files/O1CN01sg61Qh1HlXB0n0CsB__2545140798-0-cib.jpg?v=1773492282","Open")</x:f>
        <x:v>HYPERLINK is not implemented. linkLocation=https://cdn.shopify.com/s/files/1/0918/6066/4603/files/O1CN01sg61Qh1HlXB0n0CsB__2545140798-0-cib.jpg?v=1773492282, friendlyName=Open</x:v>
      </x:c>
      <x:c r="C6667" s="24" t="e">
        <x:f>HYPERLINK("https://365nails.com/products/ink-goldfish-collection-ink-goldfish-3d-embossed-nail-sticker","Ink Goldfish Collection: ""Ink Goldfish"" – 3D Embossed Nail Sticker")</x:f>
        <x:v>HYPERLINK is not implemented. linkLocation=https://365nails.com/products/ink-goldfish-collection-ink-goldfish-3d-embossed-nail-sticker, friendlyName=Ink Goldfish Collection: "Ink Goldfish" – 3D Embossed Nail Sticker</x:v>
      </x:c>
      <x:c r="D6667" s="18" t="str">
        <x:v>Specification type: Ms923-glitter powder / Ms924-glitter powder</x:v>
      </x:c>
      <x:c r="E6667" s="25" t="str">
        <x:v>$1.23</x:v>
      </x:c>
      <x:c r="F6667" s="19" t="str">
        <x:v>5</x:v>
      </x:c>
    </x:row>
    <x:row r="6668" ht="93" customHeight="1">
      <x:c r="A6668" s="19" t="n">
        <x:v>6665</x:v>
      </x:c>
      <x:c r="B6668" s="22" t="e">
        <x:f>HYPERLINK("https://cdn.shopify.com/s/files/1/0918/6066/4603/files/O1CN01cMskEY1HlX4ks2BzD__2545140798-0-cib.jpg?v=1772946755","Open")</x:f>
        <x:v>HYPERLINK is not implemented. linkLocation=https://cdn.shopify.com/s/files/1/0918/6066/4603/files/O1CN01cMskEY1HlX4ks2BzD__2545140798-0-cib.jpg?v=1772946755, friendlyName=Open</x:v>
      </x:c>
      <x:c r="C6668" s="24" t="e">
        <x:f>HYPERLINK("https://365nails.com/products/lucky-calligraphy-chinese-style-nail-art-accent-set","Lucky Calligraphy – Chinese Style Nail Art Accent Set")</x:f>
        <x:v>HYPERLINK is not implemented. linkLocation=https://365nails.com/products/lucky-calligraphy-chinese-style-nail-art-accent-set, friendlyName=Lucky Calligraphy – Chinese Style Nail Art Accent Set</x:v>
      </x:c>
      <x:c r="D6668" s="18" t="str">
        <x:v>Specification type: To4741-new hot stamping</x:v>
      </x:c>
      <x:c r="E6668" s="25" t="str">
        <x:v>$1.23</x:v>
      </x:c>
      <x:c r="F6668" s="19" t="str">
        <x:v>5</x:v>
      </x:c>
    </x:row>
    <x:row r="6669" ht="93" customHeight="1">
      <x:c r="A6669" s="19" t="n">
        <x:v>6666</x:v>
      </x:c>
      <x:c r="B6669" s="22" t="e">
        <x:f>HYPERLINK("https://cdn.shopify.com/s/files/1/0918/6066/4603/files/O1CN01nLyEYU1HlX1igoX4K__2545140798-0-cib.jpg?v=1773484930","Open")</x:f>
        <x:v>HYPERLINK is not implemented. linkLocation=https://cdn.shopify.com/s/files/1/0918/6066/4603/files/O1CN01nLyEYU1HlX1igoX4K__2545140798-0-cib.jpg?v=1773484930, friendlyName=Open</x:v>
      </x:c>
      <x:c r="C6669" s="24" t="e">
        <x:f>HYPERLINK("https://365nails.com/products/stained-glass-collection-mosaic-stained-glass-3d-iridescent-nail-sticker","Stained Glass Collection: ""Mosaic Stained Glass"" – 3D Iridescent Nail Sticker")</x:f>
        <x:v>HYPERLINK is not implemented. linkLocation=https://365nails.com/products/stained-glass-collection-mosaic-stained-glass-3d-iridescent-nail-sticker, friendlyName=Stained Glass Collection: "Mosaic Stained Glass" – 3D Iridescent Nail Sticker</x:v>
      </x:c>
      <x:c r="D6669" s="18" t="str">
        <x:v>Specification type: To4145-shell light / To4146-shell light / To4147-shell light / To4148-shell light / To4149-shell light / To4150-shell light / To4168-shell light</x:v>
      </x:c>
      <x:c r="E6669" s="25" t="str">
        <x:v>$1.23</x:v>
      </x:c>
      <x:c r="F6669" s="19" t="str">
        <x:v>5</x:v>
      </x:c>
    </x:row>
    <x:row r="6670" ht="93" customHeight="1">
      <x:c r="A6670" s="19" t="n">
        <x:v>6667</x:v>
      </x:c>
      <x:c r="B6670" s="22" t="e">
        <x:f>HYPERLINK("https://cdn.shopify.com/s/files/1/0918/6066/4603/files/54aac2e7776f3a193fb67eb3074018ab.jpg?v=1773467790","Open")</x:f>
        <x:v>HYPERLINK is not implemented. linkLocation=https://cdn.shopify.com/s/files/1/0918/6066/4603/files/54aac2e7776f3a193fb67eb3074018ab.jpg?v=1773467790, friendlyName=Open</x:v>
      </x:c>
      <x:c r="C6670" s="24" t="e">
        <x:f>HYPERLINK("https://365nails.com/products/holographic-bubble-collection-iridescent-holographic-bubble-3d-embossed-nail-sticker","Holographic Bubble Collection: ""Iridescent Holographic Bubble"" – 3D Embossed Nail Sticker")</x:f>
        <x:v>HYPERLINK is not implemented. linkLocation=https://365nails.com/products/holographic-bubble-collection-iridescent-holographic-bubble-3d-embossed-nail-sticker, friendlyName=Holographic Bubble Collection: "Iridescent Holographic Bubble" – 3D Embossed Nail Sticker</x:v>
      </x:c>
      <x:c r="D6670" s="18" t="str">
        <x:v>Specification type: To4847-shell light</x:v>
      </x:c>
      <x:c r="E6670" s="25" t="str">
        <x:v>$1.23</x:v>
      </x:c>
      <x:c r="F6670" s="19" t="str">
        <x:v>5</x:v>
      </x:c>
    </x:row>
    <x:row r="6671" ht="93" customHeight="1">
      <x:c r="A6671" s="19" t="n">
        <x:v>6668</x:v>
      </x:c>
      <x:c r="B6671" s="22" t="e">
        <x:f>HYPERLINK("https://cdn.shopify.com/s/files/1/0918/6066/4603/files/O1CN01RzpxLI1HlX2jUwHg2__2545140798-0-cib.jpg?v=1773491226","Open")</x:f>
        <x:v>HYPERLINK is not implemented. linkLocation=https://cdn.shopify.com/s/files/1/0918/6066/4603/files/O1CN01RzpxLI1HlX2jUwHg2__2545140798-0-cib.jpg?v=1773491226, friendlyName=Open</x:v>
      </x:c>
      <x:c r="C6671" s="24" t="e">
        <x:f>HYPERLINK("https://365nails.com/products/pastel-animal-fruit-collection-cute-critter-fruit-3d-embossed-nail-sticker","Pastel Animal Fruit Collection: ""Cute Critter Fruit"" – 3D Embossed Nail Sticker")</x:f>
        <x:v>HYPERLINK is not implemented. linkLocation=https://365nails.com/products/pastel-animal-fruit-collection-cute-critter-fruit-3d-embossed-nail-sticker, friendlyName=Pastel Animal Fruit Collection: "Cute Critter Fruit" – 3D Embossed Nail Sticker</x:v>
      </x:c>
      <x:c r="D6671" s="18" t="str">
        <x:v>Specification type: To4347 / To4349</x:v>
      </x:c>
      <x:c r="E6671" s="25" t="str">
        <x:v>$1.09</x:v>
      </x:c>
      <x:c r="F6671" s="19" t="str">
        <x:v>5</x:v>
      </x:c>
    </x:row>
    <x:row r="6672" ht="93" customHeight="1">
      <x:c r="A6672" s="19" t="n">
        <x:v>6669</x:v>
      </x:c>
      <x:c r="B6672" s="22" t="e">
        <x:f>HYPERLINK("https://cdn.shopify.com/s/files/1/0918/6066/4603/files/79ac500fb0b20ddbe4f676fbee066a38.jpg?v=1772887249","Open")</x:f>
        <x:v>HYPERLINK is not implemented. linkLocation=https://cdn.shopify.com/s/files/1/0918/6066/4603/files/79ac500fb0b20ddbe4f676fbee066a38.jpg?v=1772887249, friendlyName=Open</x:v>
      </x:c>
      <x:c r="C6672" s="24" t="e">
        <x:f>HYPERLINK("https://365nails.com/products/crimson-mirror-stage-gothic-lolita-nail-art-accent-set","Crimson Mirror Stage – Gothic Lolita Nail Art Accent Set")</x:f>
        <x:v>HYPERLINK is not implemented. linkLocation=https://365nails.com/products/crimson-mirror-stage-gothic-lolita-nail-art-accent-set, friendlyName=Crimson Mirror Stage – Gothic Lolita Nail Art Accent Set</x:v>
      </x:c>
      <x:c r="D6672" s="18" t="str">
        <x:v>Specification type: Ta 266 / Ta 268</x:v>
      </x:c>
      <x:c r="E6672" s="25" t="str">
        <x:v>$1.09</x:v>
      </x:c>
      <x:c r="F6672" s="19" t="str">
        <x:v>5</x:v>
      </x:c>
    </x:row>
    <x:row r="6673" ht="93" customHeight="1">
      <x:c r="A6673" s="19" t="n">
        <x:v>6670</x:v>
      </x:c>
      <x:c r="B6673" s="22" t="e">
        <x:f>HYPERLINK("https://cdn.shopify.com/s/files/1/0918/6066/4603/files/O1CN018BwlUy1HlX1diUJQf__2545140798-0-cib_6045ae5c-c69c-4801-9242-e45c97675409.jpg?v=1775449536","Open")</x:f>
        <x:v>HYPERLINK is not implemented. linkLocation=https://cdn.shopify.com/s/files/1/0918/6066/4603/files/O1CN018BwlUy1HlX1diUJQf__2545140798-0-cib_6045ae5c-c69c-4801-9242-e45c97675409.jpg?v=1775449536, friendlyName=Open</x:v>
      </x:c>
      <x:c r="C6673" s="24" t="e">
        <x:f>HYPERLINK("https://365nails.com/products/365nails-blue-gold-floral-butterfly-handmade-press-on-nails","365nails: ""Blue Gold Floral Butterfly"" – Nail Art Stickers")</x:f>
        <x:v>HYPERLINK is not implemented. linkLocation=https://365nails.com/products/365nails-blue-gold-floral-butterfly-handmade-press-on-nails, friendlyName=365nails: "Blue Gold Floral Butterfly" – Nail Art Stickers</x:v>
      </x:c>
      <x:c r="D6673" s="18" t="str">
        <x:v>Specification type: To4127-blue gold / To4127-laser silver / To4127-new hot stamping / To4127-silver</x:v>
      </x:c>
      <x:c r="E6673" s="25" t="str">
        <x:v>$1.23</x:v>
      </x:c>
      <x:c r="F6673" s="19" t="str">
        <x:v>5</x:v>
      </x:c>
    </x:row>
    <x:row r="6674" ht="93" customHeight="1">
      <x:c r="A6674" s="19" t="n">
        <x:v>6671</x:v>
      </x:c>
      <x:c r="B6674" s="22" t="e">
        <x:f>HYPERLINK("https://cdn.shopify.com/s/files/1/0918/6066/4603/files/O1CN01iR1KOK1HlX3xgj4Ep__2545140798-0-cib.jpg?v=1773491930","Open")</x:f>
        <x:v>HYPERLINK is not implemented. linkLocation=https://cdn.shopify.com/s/files/1/0918/6066/4603/files/O1CN01iR1KOK1HlX3xgj4Ep__2545140798-0-cib.jpg?v=1773491930, friendlyName=Open</x:v>
      </x:c>
      <x:c r="C6674" s="24" t="e">
        <x:f>HYPERLINK("https://365nails.com/products/holographic-snowflake-collection-iridescent-snow-3d-embossed-nail-sticker","Holographic Snowflake Collection: ""Iridescent Snow"" – 3D Embossed Nail Sticker")</x:f>
        <x:v>HYPERLINK is not implemented. linkLocation=https://365nails.com/products/holographic-snowflake-collection-iridescent-snow-3d-embossed-nail-sticker, friendlyName=Holographic Snowflake Collection: "Iridescent Snow" – 3D Embossed Nail Sticker</x:v>
      </x:c>
      <x:c r="D6674" s="18" t="str">
        <x:v>Specification type: To4604-shell light / To4605-shell light</x:v>
      </x:c>
      <x:c r="E6674" s="25" t="str">
        <x:v>$1.23</x:v>
      </x:c>
      <x:c r="F6674" s="19" t="str">
        <x:v>5</x:v>
      </x:c>
    </x:row>
    <x:row r="6675" ht="93" customHeight="1">
      <x:c r="A6675" s="19" t="n">
        <x:v>6672</x:v>
      </x:c>
      <x:c r="B6675" s="22" t="e">
        <x:f>HYPERLINK("https://cdn.shopify.com/s/files/1/0918/6066/4603/files/O1CN01COHgHu1HlX72JvIeZ__2545140798-0-cib.jpg?v=1773491649","Open")</x:f>
        <x:v>HYPERLINK is not implemented. linkLocation=https://cdn.shopify.com/s/files/1/0918/6066/4603/files/O1CN01COHgHu1HlX72JvIeZ__2545140798-0-cib.jpg?v=1773491649, friendlyName=Open</x:v>
      </x:c>
      <x:c r="C6675" s="24" t="e">
        <x:f>HYPERLINK("https://365nails.com/products/summer-fruit-dessert-collection-sweet-summer-3d-embossed-nail-sticker","Summer Fruit Dessert Collection: ""Sweet Summer"" – 3D Embossed Nail Sticker")</x:f>
        <x:v>HYPERLINK is not implemented. linkLocation=https://365nails.com/products/summer-fruit-dessert-collection-sweet-summer-3d-embossed-nail-sticker, friendlyName=Summer Fruit Dessert Collection: "Sweet Summer" – 3D Embossed Nail Sticker</x:v>
      </x:c>
      <x:c r="D6675" s="18" t="str">
        <x:v>Specification type: To5099-jelly / To5106-shell light</x:v>
      </x:c>
      <x:c r="E6675" s="25" t="str">
        <x:v>$1.23</x:v>
      </x:c>
      <x:c r="F6675" s="19" t="str">
        <x:v>5</x:v>
      </x:c>
    </x:row>
    <x:row r="6676" ht="93" customHeight="1">
      <x:c r="A6676" s="19" t="n">
        <x:v>6673</x:v>
      </x:c>
      <x:c r="B6676" s="22" t="e">
        <x:f>HYPERLINK("https://cdn.shopify.com/s/files/1/0918/6066/4603/files/c7707b6df7c7ab971507abc1babb829f.jpg?v=1772949756","Open")</x:f>
        <x:v>HYPERLINK is not implemented. linkLocation=https://cdn.shopify.com/s/files/1/0918/6066/4603/files/c7707b6df7c7ab971507abc1babb829f.jpg?v=1772949756, friendlyName=Open</x:v>
      </x:c>
      <x:c r="C6676" s="24" t="e">
        <x:f>HYPERLINK("https://365nails.com/products/emerald-crystal-butterfly-luxury-nail-art-accent-set","Emerald Crystal Butterfly – Luxury Nail Art Accent Set")</x:f>
        <x:v>HYPERLINK is not implemented. linkLocation=https://365nails.com/products/emerald-crystal-butterfly-luxury-nail-art-accent-set, friendlyName=Emerald Crystal Butterfly – Luxury Nail Art Accent Set</x:v>
      </x:c>
      <x:c r="D6676" s="18" t="str">
        <x:v>Specification type: To4107-new hot stamping-crystal diamond / To4107-silver-crystal diamond</x:v>
      </x:c>
      <x:c r="E6676" s="25" t="str">
        <x:v>$1.30</x:v>
      </x:c>
      <x:c r="F6676" s="19" t="str">
        <x:v>5</x:v>
      </x:c>
    </x:row>
    <x:row r="6677" ht="93" customHeight="1">
      <x:c r="A6677" s="19" t="n">
        <x:v>6674</x:v>
      </x:c>
      <x:c r="B6677" s="22" t="e">
        <x:f>HYPERLINK("https://cdn.shopify.com/s/files/1/0918/6066/4603/files/O1CN01GbbpxR1HlX1LUL26h__2545140798-0-cib_f6aa44b3-51a7-42db-9d46-f822b2883682.jpg?v=1775401342","Open")</x:f>
        <x:v>HYPERLINK is not implemented. linkLocation=https://cdn.shopify.com/s/files/1/0918/6066/4603/files/O1CN01GbbpxR1HlX1LUL26h__2545140798-0-cib_f6aa44b3-51a7-42db-9d46-f822b2883682.jpg?v=1775401342, friendlyName=Open</x:v>
      </x:c>
      <x:c r="C6677" s="24" t="e">
        <x:f>HYPERLINK("https://365nails.com/products/365nails-pink-crystal-heart-handmade-press-on-nails","365nails: ""Pink Crystal Heart"" – Nail Art Stickers")</x:f>
        <x:v>HYPERLINK is not implemented. linkLocation=https://365nails.com/products/365nails-pink-crystal-heart-handmade-press-on-nails, friendlyName=365nails: "Pink Crystal Heart" – Nail Art Stickers</x:v>
      </x:c>
      <x:c r="D6677" s="18" t="str">
        <x:v>Specification type: Ta302-crystal diamond</x:v>
      </x:c>
      <x:c r="E6677" s="25" t="str">
        <x:v>$1.30</x:v>
      </x:c>
      <x:c r="F6677" s="19" t="str">
        <x:v>5</x:v>
      </x:c>
    </x:row>
    <x:row r="6678" ht="93" customHeight="1">
      <x:c r="A6678" s="19" t="n">
        <x:v>6675</x:v>
      </x:c>
      <x:c r="B6678" s="22" t="e">
        <x:f>HYPERLINK("https://cdn.shopify.com/s/files/1/0918/6066/4603/files/O1CN01fFsoFj1HlX1Grzcdl__2545140798-0-cib.jpg?v=1773541387","Open")</x:f>
        <x:v>HYPERLINK is not implemented. linkLocation=https://cdn.shopify.com/s/files/1/0918/6066/4603/files/O1CN01fFsoFj1HlX1Grzcdl__2545140798-0-cib.jpg?v=1773541387, friendlyName=Open</x:v>
      </x:c>
      <x:c r="C6678" s="24" t="e">
        <x:f>HYPERLINK("https://365nails.com/products/shell-shard-star-collection-iridescent-shimmer-3d-holographic-nail-sticker","Shell Shard Star Collection: ""Iridescent Shimmer"" – 3D Holographic Nail Sticker")</x:f>
        <x:v>HYPERLINK is not implemented. linkLocation=https://365nails.com/products/shell-shard-star-collection-iridescent-shimmer-3d-holographic-nail-sticker, friendlyName=Shell Shard Star Collection: "Iridescent Shimmer" – 3D Holographic Nail Sticker</x:v>
      </x:c>
      <x:c r="D6678" s="18" t="str">
        <x:v>Specification type: Ms567-shell light / Ms568-shell light / Ms569-shell light</x:v>
      </x:c>
      <x:c r="E6678" s="25" t="str">
        <x:v>$1.23</x:v>
      </x:c>
      <x:c r="F6678" s="19" t="str">
        <x:v>5</x:v>
      </x:c>
    </x:row>
    <x:row r="6679" ht="93" customHeight="1">
      <x:c r="A6679" s="19" t="n">
        <x:v>6676</x:v>
      </x:c>
      <x:c r="B6679" s="22" t="e">
        <x:f>HYPERLINK("https://cdn.shopify.com/s/files/1/0918/6066/4603/files/O1CN01CsLJ9d1HlX511v8nd__2545140798-0-cib_3be38a16-b74e-48dd-bdef-bfac91b92267.jpg?v=1775460338","Open")</x:f>
        <x:v>HYPERLINK is not implemented. linkLocation=https://cdn.shopify.com/s/files/1/0918/6066/4603/files/O1CN01CsLJ9d1HlX511v8nd__2545140798-0-cib_3be38a16-b74e-48dd-bdef-bfac91b92267.jpg?v=1775460338, friendlyName=Open</x:v>
      </x:c>
      <x:c r="C6679" s="24" t="e">
        <x:f>HYPERLINK("https://365nails.com/products/365nails-aurora-koi-ocean-whimsy-handmade-press-on-nails","365nails: ""Aurora Koi &amp; Ocean Whimsy"" –Nail Art Stickers")</x:f>
        <x:v>HYPERLINK is not implemented. linkLocation=https://365nails.com/products/365nails-aurora-koi-ocean-whimsy-handmade-press-on-nails, friendlyName=365nails: "Aurora Koi &amp; Ocean Whimsy" –Nail Art Stickers</x:v>
      </x:c>
      <x:c r="D6679" s="18" t="str">
        <x:v>Specification type: Ms749-crystal diamond</x:v>
      </x:c>
      <x:c r="E6679" s="25" t="str">
        <x:v>$1.30</x:v>
      </x:c>
      <x:c r="F6679" s="19" t="str">
        <x:v>5</x:v>
      </x:c>
    </x:row>
    <x:row r="6680" ht="93" customHeight="1">
      <x:c r="A6680" s="19" t="n">
        <x:v>6677</x:v>
      </x:c>
      <x:c r="B6680" s="22" t="e">
        <x:f>HYPERLINK("https://cdn.shopify.com/s/files/1/0918/6066/4603/files/O1CN01rkB9ql1HlX4zMEWvq__2545140798-0-cib.jpg?v=1773541779","Open")</x:f>
        <x:v>HYPERLINK is not implemented. linkLocation=https://cdn.shopify.com/s/files/1/0918/6066/4603/files/O1CN01rkB9ql1HlX4zMEWvq__2545140798-0-cib.jpg?v=1773541779, friendlyName=Open</x:v>
      </x:c>
      <x:c r="C6680" s="24" t="e">
        <x:f>HYPERLINK("https://365nails.com/products/cute-dachshund-collection-little-sausage-dogs-3d-embossed-nail-sticker","Cute Dachshund Collection: ""Little Sausage Dogs"" – 3D Embossed Nail Sticker")</x:f>
        <x:v>HYPERLINK is not implemented. linkLocation=https://365nails.com/products/cute-dachshund-collection-little-sausage-dogs-3d-embossed-nail-sticker, friendlyName=Cute Dachshund Collection: "Little Sausage Dogs" – 3D Embossed Nail Sticker</x:v>
      </x:c>
      <x:c r="D6680" s="18" t="str">
        <x:v>Specification type: To4746 / To4782</x:v>
      </x:c>
      <x:c r="E6680" s="25" t="str">
        <x:v>$1.09</x:v>
      </x:c>
      <x:c r="F6680" s="19" t="str">
        <x:v>5</x:v>
      </x:c>
    </x:row>
    <x:row r="6681" ht="93" customHeight="1">
      <x:c r="A6681" s="19" t="n">
        <x:v>6678</x:v>
      </x:c>
      <x:c r="B6681" s="22" t="e">
        <x:f>HYPERLINK("https://cdn.shopify.com/s/files/1/0918/6066/4603/files/64e5bb61c2cef0022cba085b4a158cda.jpg?v=1772947648","Open")</x:f>
        <x:v>HYPERLINK is not implemented. linkLocation=https://cdn.shopify.com/s/files/1/0918/6066/4603/files/64e5bb61c2cef0022cba085b4a158cda.jpg?v=1772947648, friendlyName=Open</x:v>
      </x:c>
      <x:c r="C6681" s="24" t="e">
        <x:f>HYPERLINK("https://365nails.com/products/christmas-frost-crystal-diamond-nail-art-accent-set","Christmas Frost – Crystal Diamond Nail Art Accent Set")</x:f>
        <x:v>HYPERLINK is not implemented. linkLocation=https://365nails.com/products/christmas-frost-crystal-diamond-nail-art-accent-set, friendlyName=Christmas Frost – Crystal Diamond Nail Art Accent Set</x:v>
      </x:c>
      <x:c r="D6681" s="18" t="str">
        <x:v>Specification type: To5256-crystal diamond</x:v>
      </x:c>
      <x:c r="E6681" s="25" t="str">
        <x:v>$1.30</x:v>
      </x:c>
      <x:c r="F6681" s="19" t="str">
        <x:v>5</x:v>
      </x:c>
    </x:row>
    <x:row r="6682" ht="93" customHeight="1">
      <x:c r="A6682" s="19" t="n">
        <x:v>6679</x:v>
      </x:c>
      <x:c r="B6682" s="22" t="e">
        <x:f>HYPERLINK("https://cdn.shopify.com/s/files/1/0918/6066/4603/files/O1CN01XciPh01HlX3g652LY__2545140798-0-cib.jpg?v=1773483951","Open")</x:f>
        <x:v>HYPERLINK is not implemented. linkLocation=https://cdn.shopify.com/s/files/1/0918/6066/4603/files/O1CN01XciPh01HlX3g652LY__2545140798-0-cib.jpg?v=1773483951, friendlyName=Open</x:v>
      </x:c>
      <x:c r="C6682" s="24" t="e">
        <x:f>HYPERLINK("https://365nails.com/products/tweed-bow-pearl-collection-chanel-bow-3d-embossed-nail-sticker","Tweed Bow Pearl Collection: ""Chanel Bow"" – 3D Embossed Nail Sticker")</x:f>
        <x:v>HYPERLINK is not implemented. linkLocation=https://365nails.com/products/tweed-bow-pearl-collection-chanel-bow-3d-embossed-nail-sticker, friendlyName=Tweed Bow Pearl Collection: "Chanel Bow" – 3D Embossed Nail Sticker</x:v>
      </x:c>
      <x:c r="D6682" s="18" t="str">
        <x:v>Specification type: To4370-crystal diamond / To4545-crystal diamond / To4567-crystal diamond</x:v>
      </x:c>
      <x:c r="E6682" s="25" t="str">
        <x:v>$1.30</x:v>
      </x:c>
      <x:c r="F6682" s="19" t="str">
        <x:v>5</x:v>
      </x:c>
    </x:row>
    <x:row r="6683" ht="93" customHeight="1">
      <x:c r="A6683" s="19" t="n">
        <x:v>6680</x:v>
      </x:c>
      <x:c r="B6683" s="22" t="e">
        <x:f>HYPERLINK("https://cdn.shopify.com/s/files/1/0918/6066/4603/files/O1CN01vYlB8M1HlX6PGKWjE__2545140798-0-cib.jpg?v=1773493901","Open")</x:f>
        <x:v>HYPERLINK is not implemented. linkLocation=https://cdn.shopify.com/s/files/1/0918/6066/4603/files/O1CN01vYlB8M1HlX6PGKWjE__2545140798-0-cib.jpg?v=1773493901, friendlyName=Open</x:v>
      </x:c>
      <x:c r="C6683" s="24" t="e">
        <x:f>HYPERLINK("https://365nails.com/products/elegant-white-flower-collection-white-blossom-3d-embossed-nail-sticker","Elegant White Flower Collection: ""White Blossom"" – 3D Embossed Nail Sticker")</x:f>
        <x:v>HYPERLINK is not implemented. linkLocation=https://365nails.com/products/elegant-white-flower-collection-white-blossom-3d-embossed-nail-sticker, friendlyName=Elegant White Flower Collection: "White Blossom" – 3D Embossed Nail Sticker</x:v>
      </x:c>
      <x:c r="D6683" s="18" t="str">
        <x:v>Specification type: To3858-metal</x:v>
      </x:c>
      <x:c r="E6683" s="25" t="str">
        <x:v>$1.23</x:v>
      </x:c>
      <x:c r="F6683" s="19" t="str">
        <x:v>5</x:v>
      </x:c>
    </x:row>
    <x:row r="6684" ht="93" customHeight="1">
      <x:c r="A6684" s="19" t="n">
        <x:v>6681</x:v>
      </x:c>
      <x:c r="B6684" s="22" t="e">
        <x:f>HYPERLINK("https://cdn.shopify.com/s/files/1/0918/6066/4603/files/O1CN018QZCo01HlX944HA2j__2545140798-0-cib.jpg?v=1773490450","Open")</x:f>
        <x:v>HYPERLINK is not implemented. linkLocation=https://cdn.shopify.com/s/files/1/0918/6066/4603/files/O1CN018QZCo01HlX944HA2j__2545140798-0-cib.jpg?v=1773490450, friendlyName=Open</x:v>
      </x:c>
      <x:c r="C6684" s="24" t="e">
        <x:f>HYPERLINK("https://365nails.com/products/poison-apple-collection-poison-apple-cool-3d-metallic-nail-sticker","Poison Apple Collection: ""Poison Apple Cool"" – 3D Metallic Nail Sticker")</x:f>
        <x:v>HYPERLINK is not implemented. linkLocation=https://365nails.com/products/poison-apple-collection-poison-apple-cool-3d-metallic-nail-sticker, friendlyName=Poison Apple Collection: "Poison Apple Cool" – 3D Metallic Nail Sticker</x:v>
      </x:c>
      <x:c r="D6684" s="18" t="str">
        <x:v>Specification type: To5272-relief / To5298-relief / To5299-relief</x:v>
      </x:c>
      <x:c r="E6684" s="25" t="str">
        <x:v>$1.23</x:v>
      </x:c>
      <x:c r="F6684" s="19" t="str">
        <x:v>5</x:v>
      </x:c>
    </x:row>
    <x:row r="6685" ht="93" customHeight="1">
      <x:c r="A6685" s="19" t="n">
        <x:v>6682</x:v>
      </x:c>
      <x:c r="B6685" s="22" t="e">
        <x:f>HYPERLINK("https://cdn.shopify.com/s/files/1/0918/6066/4603/files/O1CN013VfnUO1HlX4ZPA90b__2545140798-0-cib.jpg?v=1773541715","Open")</x:f>
        <x:v>HYPERLINK is not implemented. linkLocation=https://cdn.shopify.com/s/files/1/0918/6066/4603/files/O1CN013VfnUO1HlX4ZPA90b__2545140798-0-cib.jpg?v=1773541715, friendlyName=Open</x:v>
      </x:c>
      <x:c r="C6685" s="24" t="e">
        <x:f>HYPERLINK("https://365nails.com/products/gothic-rose-castle-collection-vintage-gothic-3d-crystal-nail-sticker","Gothic Rose Castle Collection: ""Vintage Gothic"" – 3D Crystal Nail Sticker")</x:f>
        <x:v>HYPERLINK is not implemented. linkLocation=https://365nails.com/products/gothic-rose-castle-collection-vintage-gothic-3d-crystal-nail-sticker, friendlyName=Gothic Rose Castle Collection: "Vintage Gothic" – 3D Crystal Nail Sticker</x:v>
      </x:c>
      <x:c r="D6685" s="18" t="str">
        <x:v>Specification type: To4701-crystal diamond / To4716-crystal diamond</x:v>
      </x:c>
      <x:c r="E6685" s="25" t="str">
        <x:v>$1.30</x:v>
      </x:c>
      <x:c r="F6685" s="19" t="str">
        <x:v>5</x:v>
      </x:c>
    </x:row>
    <x:row r="6686" ht="93" customHeight="1">
      <x:c r="A6686" s="19" t="n">
        <x:v>6683</x:v>
      </x:c>
      <x:c r="B6686" s="22" t="e">
        <x:f>HYPERLINK("https://cdn.shopify.com/s/files/1/0918/6066/4603/files/7816a8a909bc6f7e2faf9c8a37c606ce.jpg?v=1772946605","Open")</x:f>
        <x:v>HYPERLINK is not implemented. linkLocation=https://cdn.shopify.com/s/files/1/0918/6066/4603/files/7816a8a909bc6f7e2faf9c8a37c606ce.jpg?v=1772946605, friendlyName=Open</x:v>
      </x:c>
      <x:c r="C6686" s="24" t="e">
        <x:f>HYPERLINK("https://365nails.com/products/aurora-crystal-swirl-crystal-diamond-nail-art-set","Aurora Crystal Swirl – Crystal Diamond Nail Art Set")</x:f>
        <x:v>HYPERLINK is not implemented. linkLocation=https://365nails.com/products/aurora-crystal-swirl-crystal-diamond-nail-art-set, friendlyName=Aurora Crystal Swirl – Crystal Diamond Nail Art Set</x:v>
      </x:c>
      <x:c r="D6686" s="18" t="str">
        <x:v>Specification type: Ms688-crystal diamond / Ms689-crystal diamond</x:v>
      </x:c>
      <x:c r="E6686" s="25" t="str">
        <x:v>$1.30</x:v>
      </x:c>
      <x:c r="F6686" s="19" t="str">
        <x:v>5</x:v>
      </x:c>
    </x:row>
    <x:row r="6687" ht="93" customHeight="1">
      <x:c r="A6687" s="19" t="n">
        <x:v>6684</x:v>
      </x:c>
      <x:c r="B6687" s="22" t="e">
        <x:f>HYPERLINK("https://cdn.shopify.com/s/files/1/0918/6066/4603/files/a76c94eea5b5043ffe21ca0148b32be8.jpg?v=1772806721","Open")</x:f>
        <x:v>HYPERLINK is not implemented. linkLocation=https://cdn.shopify.com/s/files/1/0918/6066/4603/files/a76c94eea5b5043ffe21ca0148b32be8.jpg?v=1772806721, friendlyName=Open</x:v>
      </x:c>
      <x:c r="C6687" s="24" t="e">
        <x:f>HYPERLINK("https://365nails.com/products/golden-teddy-bear-nail-stickers-5d-embossed-cute-retro-set","Golden Teddy Bear Nail Stickers – 5D Embossed Cute Retro Set")</x:f>
        <x:v>HYPERLINK is not implemented. linkLocation=https://365nails.com/products/golden-teddy-bear-nail-stickers-5d-embossed-cute-retro-set, friendlyName=Golden Teddy Bear Nail Stickers – 5D Embossed Cute Retro Set</x:v>
      </x:c>
      <x:c r="D6687" s="18" t="str">
        <x:v>Specification type: To3950-jelly / To3951-relief</x:v>
      </x:c>
      <x:c r="E6687" s="25" t="str">
        <x:v>$1.23</x:v>
      </x:c>
      <x:c r="F6687" s="19" t="str">
        <x:v>5</x:v>
      </x:c>
    </x:row>
    <x:row r="6688" ht="93" customHeight="1">
      <x:c r="A6688" s="19" t="n">
        <x:v>6685</x:v>
      </x:c>
      <x:c r="B6688" s="22" t="e">
        <x:f>HYPERLINK("https://cdn.shopify.com/s/files/1/0918/6066/4603/files/O1CN01BMgiWQ1HlX4MofFKr__2545140798-0-cib.jpg?v=1773493823","Open")</x:f>
        <x:v>HYPERLINK is not implemented. linkLocation=https://cdn.shopify.com/s/files/1/0918/6066/4603/files/O1CN01BMgiWQ1HlX4MofFKr__2545140798-0-cib.jpg?v=1773493823, friendlyName=Open</x:v>
      </x:c>
      <x:c r="C6688" s="24" t="e">
        <x:f>HYPERLINK("https://365nails.com/products/susuwatari-collection-dust-elf-3d-embossed-nail-sticker","Susuwatari Collection: ""Dust Elf"" – 3D Embossed Nail Sticker")</x:f>
        <x:v>HYPERLINK is not implemented. linkLocation=https://365nails.com/products/susuwatari-collection-dust-elf-3d-embossed-nail-sticker, friendlyName=Susuwatari Collection: "Dust Elf" – 3D Embossed Nail Sticker</x:v>
      </x:c>
      <x:c r="D6688" s="18" t="str">
        <x:v>Specification type: To4667-relief</x:v>
      </x:c>
      <x:c r="E6688" s="25" t="str">
        <x:v>$1.23</x:v>
      </x:c>
      <x:c r="F6688" s="19" t="str">
        <x:v>5</x:v>
      </x:c>
    </x:row>
    <x:row r="6689" ht="93" customHeight="1">
      <x:c r="A6689" s="19" t="n">
        <x:v>6686</x:v>
      </x:c>
      <x:c r="B6689" s="22" t="e">
        <x:f>HYPERLINK("https://cdn.shopify.com/s/files/1/0918/6066/4603/files/O1CN01N3MXSx1HlX2MYtsQl__2545140798-0-cib.jpg?v=1773484296","Open")</x:f>
        <x:v>HYPERLINK is not implemented. linkLocation=https://cdn.shopify.com/s/files/1/0918/6066/4603/files/O1CN01N3MXSx1HlX2MYtsQl__2545140798-0-cib.jpg?v=1773484296, friendlyName=Open</x:v>
      </x:c>
      <x:c r="C6689" s="24" t="e">
        <x:f>HYPERLINK("https://365nails.com/products/crystal-bow-cherry-collection-cherry-bow-crystal-3d-iridescent-nail-sticker","Crystal Bow Cherry Collection: ""Cherry Bow Crystal"" – 3D Iridescent Nail Sticker")</x:f>
        <x:v>HYPERLINK is not implemented. linkLocation=https://365nails.com/products/crystal-bow-cherry-collection-cherry-bow-crystal-3d-iridescent-nail-sticker, friendlyName=Crystal Bow Cherry Collection: "Cherry Bow Crystal" – 3D Iridescent Nail Sticker</x:v>
      </x:c>
      <x:c r="D6689" s="18" t="str">
        <x:v>Specification type: To4325-crystal diamond / To4327-crystal diamond</x:v>
      </x:c>
      <x:c r="E6689" s="25" t="str">
        <x:v>$1.30</x:v>
      </x:c>
      <x:c r="F6689" s="19" t="str">
        <x:v>5</x:v>
      </x:c>
    </x:row>
    <x:row r="6690" ht="93" customHeight="1">
      <x:c r="A6690" s="19" t="n">
        <x:v>6687</x:v>
      </x:c>
      <x:c r="B6690" s="22" t="e">
        <x:f>HYPERLINK("https://cdn.shopify.com/s/files/1/0918/6066/4603/files/87b416a0053ce9b5e5aa24f02d586805.jpg?v=1773467573","Open")</x:f>
        <x:v>HYPERLINK is not implemented. linkLocation=https://cdn.shopify.com/s/files/1/0918/6066/4603/files/87b416a0053ce9b5e5aa24f02d586805.jpg?v=1773467573, friendlyName=Open</x:v>
      </x:c>
      <x:c r="C6690" s="24" t="e">
        <x:f>HYPERLINK("https://365nails.com/products/happy-animal-collection-cute-happy-animals-rainbow-3d-embossed-nail-sticker","Happy Animal Collection: ""Cute Happy Animals &amp; Rainbow"" – 3D Embossed Nail Sticker")</x:f>
        <x:v>HYPERLINK is not implemented. linkLocation=https://365nails.com/products/happy-animal-collection-cute-happy-animals-rainbow-3d-embossed-nail-sticker, friendlyName=Happy Animal Collection: "Cute Happy Animals &amp; Rainbow" – 3D Embossed Nail Sticker</x:v>
      </x:c>
      <x:c r="D6690" s="18" t="str">
        <x:v>Specification type: To4051 / To4094 / To4193</x:v>
      </x:c>
      <x:c r="E6690" s="25" t="str">
        <x:v>$1.23</x:v>
      </x:c>
      <x:c r="F6690" s="19" t="str">
        <x:v>5</x:v>
      </x:c>
    </x:row>
    <x:row r="6691" ht="93" customHeight="1">
      <x:c r="A6691" s="19" t="n">
        <x:v>6688</x:v>
      </x:c>
      <x:c r="B6691" s="22" t="e">
        <x:f>HYPERLINK("https://cdn.shopify.com/s/files/1/0918/6066/4603/files/O1CN01bkF8gk1HlX6KHgR2u__2545140798-0-cib.jpg?v=1773497133","Open")</x:f>
        <x:v>HYPERLINK is not implemented. linkLocation=https://cdn.shopify.com/s/files/1/0918/6066/4603/files/O1CN01bkF8gk1HlX6KHgR2u__2545140798-0-cib.jpg?v=1773497133, friendlyName=Open</x:v>
      </x:c>
      <x:c r="C6691" s="24" t="e">
        <x:f>HYPERLINK("https://365nails.com/products/cat-square-collection-pastel-cat-3d-embossed-nail-sticker","Cat Square Collection: ""Pastel Cat"" – 3D Embossed Nail Sticker")</x:f>
        <x:v>HYPERLINK is not implemented. linkLocation=https://365nails.com/products/cat-square-collection-pastel-cat-3d-embossed-nail-sticker, friendlyName=Cat Square Collection: "Pastel Cat" – 3D Embossed Nail Sticker</x:v>
      </x:c>
      <x:c r="D6691" s="18" t="str">
        <x:v>Specification type: To5013-relief / To5023-shell light</x:v>
      </x:c>
      <x:c r="E6691" s="25" t="str">
        <x:v>$1.23</x:v>
      </x:c>
      <x:c r="F6691" s="19" t="str">
        <x:v>5</x:v>
      </x:c>
    </x:row>
    <x:row r="6692" ht="93" customHeight="1">
      <x:c r="A6692" s="19" t="n">
        <x:v>6689</x:v>
      </x:c>
      <x:c r="B6692" s="22" t="e">
        <x:f>HYPERLINK("https://cdn.shopify.com/s/files/1/0918/6066/4603/files/O1CN01pH3Prd1HlX3mOh5K1__2545140798-0-cib.jpg?v=1773491329","Open")</x:f>
        <x:v>HYPERLINK is not implemented. linkLocation=https://cdn.shopify.com/s/files/1/0918/6066/4603/files/O1CN01pH3Prd1HlX3mOh5K1__2545140798-0-cib.jpg?v=1773491329, friendlyName=Open</x:v>
      </x:c>
      <x:c r="C6692" s="24" t="e">
        <x:f>HYPERLINK("https://365nails.com/products/vintage-frame-collection-antique-gallery-3d-metallic-nail-sticker","Vintage Frame Collection: ""Antique Gallery"" – 3D Metallic Nail Sticker")</x:f>
        <x:v>HYPERLINK is not implemented. linkLocation=https://365nails.com/products/vintage-frame-collection-antique-gallery-3d-metallic-nail-sticker, friendlyName=Vintage Frame Collection: "Antique Gallery" – 3D Metallic Nail Sticker</x:v>
      </x:c>
      <x:c r="D6692" s="18" t="str">
        <x:v>Specification type: To4522-new hot stamping / To4523-relief / To4524-silver</x:v>
      </x:c>
      <x:c r="E6692" s="25" t="str">
        <x:v>$1.23</x:v>
      </x:c>
      <x:c r="F6692" s="19" t="str">
        <x:v>5</x:v>
      </x:c>
    </x:row>
    <x:row r="6693" ht="93" customHeight="1">
      <x:c r="A6693" s="19" t="n">
        <x:v>6690</x:v>
      </x:c>
      <x:c r="B6693" s="22" t="e">
        <x:f>HYPERLINK("https://cdn.shopify.com/s/files/1/0918/6066/4603/files/O1CN01D7uAAH1HlX3zME7rK__2545140798-0-cib.jpg?v=1773493761","Open")</x:f>
        <x:v>HYPERLINK is not implemented. linkLocation=https://cdn.shopify.com/s/files/1/0918/6066/4603/files/O1CN01D7uAAH1HlX3zME7rK__2545140798-0-cib.jpg?v=1773493761, friendlyName=Open</x:v>
      </x:c>
      <x:c r="C6693" s="24" t="e">
        <x:f>HYPERLINK("https://365nails.com/products/pastel-bow-butterfly-collection-sweet-bow-butterfly-3d-embossed-nail-sticker","Pastel Bow &amp; Butterfly Collection: ""Sweet Bow Butterfly"" – 3D Embossed Nail Sticker")</x:f>
        <x:v>HYPERLINK is not implemented. linkLocation=https://365nails.com/products/pastel-bow-butterfly-collection-sweet-bow-butterfly-3d-embossed-nail-sticker, friendlyName=Pastel Bow &amp; Butterfly Collection: "Sweet Bow Butterfly" – 3D Embossed Nail Sticker</x:v>
      </x:c>
      <x:c r="D6693" s="18" t="str">
        <x:v>Specification type: To4573-relief / To4594-relief</x:v>
      </x:c>
      <x:c r="E6693" s="25" t="str">
        <x:v>$1.23</x:v>
      </x:c>
      <x:c r="F6693" s="19" t="str">
        <x:v>5</x:v>
      </x:c>
    </x:row>
    <x:row r="6694" ht="93" customHeight="1">
      <x:c r="A6694" s="19" t="n">
        <x:v>6691</x:v>
      </x:c>
      <x:c r="B6694" s="22" t="e">
        <x:f>HYPERLINK("https://cdn.shopify.com/s/files/1/0918/6066/4603/files/8d1dc5c9a9623983998dff3bbe0fff58.jpg?v=1772949074","Open")</x:f>
        <x:v>HYPERLINK is not implemented. linkLocation=https://cdn.shopify.com/s/files/1/0918/6066/4603/files/8d1dc5c9a9623983998dff3bbe0fff58.jpg?v=1772949074, friendlyName=Open</x:v>
      </x:c>
      <x:c r="C6694" s="24" t="e">
        <x:f>HYPERLINK("https://365nails.com/products/dunhuang-apsara-holographic-chinese-style-nail-art-accent-set","Dunhuang Apsara – Holographic Chinese Style Nail Art Accent Set")</x:f>
        <x:v>HYPERLINK is not implemented. linkLocation=https://365nails.com/products/dunhuang-apsara-holographic-chinese-style-nail-art-accent-set, friendlyName=Dunhuang Apsara – Holographic Chinese Style Nail Art Accent Set</x:v>
      </x:c>
      <x:c r="D6694" s="18" t="str">
        <x:v>Specification type: To4293</x:v>
      </x:c>
      <x:c r="E6694" s="25" t="str">
        <x:v>$1.09</x:v>
      </x:c>
      <x:c r="F6694" s="19" t="str">
        <x:v>5</x:v>
      </x:c>
    </x:row>
    <x:row r="6695" ht="93" customHeight="1">
      <x:c r="A6695" s="19" t="n">
        <x:v>6692</x:v>
      </x:c>
      <x:c r="B6695" s="22" t="e">
        <x:f>HYPERLINK("https://cdn.shopify.com/s/files/1/0918/6066/4603/files/O1CN01LNMggO1HlWzi04evo__2545140798-0-cib.jpg?v=1773541185","Open")</x:f>
        <x:v>HYPERLINK is not implemented. linkLocation=https://cdn.shopify.com/s/files/1/0918/6066/4603/files/O1CN01LNMggO1HlWzi04evo__2545140798-0-cib.jpg?v=1773541185, friendlyName=Open</x:v>
      </x:c>
      <x:c r="C6695" s="24" t="e">
        <x:f>HYPERLINK("https://365nails.com/products/elegant-lace-ribbon-collection-white-lace-3d-embossed-nail-sticker","Elegant Lace Ribbon Collection: ""White Lace"" – 3D Embossed Nail Sticker")</x:f>
        <x:v>HYPERLINK is not implemented. linkLocation=https://365nails.com/products/elegant-lace-ribbon-collection-white-lace-3d-embossed-nail-sticker, friendlyName=Elegant Lace Ribbon Collection: "White Lace" – 3D Embossed Nail Sticker</x:v>
      </x:c>
      <x:c r="D6695" s="18" t="str">
        <x:v>Specification type: Ms539-relief / Ms540-relief</x:v>
      </x:c>
      <x:c r="E6695" s="25" t="str">
        <x:v>$1.23</x:v>
      </x:c>
      <x:c r="F6695" s="19" t="str">
        <x:v>5</x:v>
      </x:c>
    </x:row>
    <x:row r="6696" ht="93" customHeight="1">
      <x:c r="A6696" s="19" t="n">
        <x:v>6693</x:v>
      </x:c>
      <x:c r="B6696" s="22" t="e">
        <x:f>HYPERLINK("https://cdn.shopify.com/s/files/1/0918/6066/4603/files/6f88dccc608700fc6ff34f31e9a1f264.jpg?v=1772871924","Open")</x:f>
        <x:v>HYPERLINK is not implemented. linkLocation=https://cdn.shopify.com/s/files/1/0918/6066/4603/files/6f88dccc608700fc6ff34f31e9a1f264.jpg?v=1772871924, friendlyName=Open</x:v>
      </x:c>
      <x:c r="C6696" s="24" t="e">
        <x:f>HYPERLINK("https://365nails.com/products/pink-christmas-nail-stickers-5d-embossed-sweet-winter-set","Pink Christmas Nail Stickers – 5D Embossed Sweet Winter Set")</x:f>
        <x:v>HYPERLINK is not implemented. linkLocation=https://365nails.com/products/pink-christmas-nail-stickers-5d-embossed-sweet-winter-set, friendlyName=Pink Christmas Nail Stickers – 5D Embossed Sweet Winter Set</x:v>
      </x:c>
      <x:c r="D6696" s="18" t="str">
        <x:v>Specification type: To4578-relief / To4579-shell light</x:v>
      </x:c>
      <x:c r="E6696" s="25" t="str">
        <x:v>$1.23</x:v>
      </x:c>
      <x:c r="F6696" s="19" t="str">
        <x:v>5</x:v>
      </x:c>
    </x:row>
    <x:row r="6697" ht="93" customHeight="1">
      <x:c r="A6697" s="19" t="n">
        <x:v>6694</x:v>
      </x:c>
      <x:c r="B6697" s="22" t="e">
        <x:f>HYPERLINK("https://cdn.shopify.com/s/files/1/0918/6066/4603/files/7370298040b23a5633b66e8716efdc08.jpg?v=1772864785","Open")</x:f>
        <x:v>HYPERLINK is not implemented. linkLocation=https://cdn.shopify.com/s/files/1/0918/6066/4603/files/7370298040b23a5633b66e8716efdc08.jpg?v=1772864785, friendlyName=Open</x:v>
      </x:c>
      <x:c r="C6697" s="24" t="e">
        <x:f>HYPERLINK("https://365nails.com/products/white-floral-nail-stickers-5d-embossed-fresh-bloom-set","White Floral Nail Stickers – 5D Embossed Fresh Bloom Set")</x:f>
        <x:v>HYPERLINK is not implemented. linkLocation=https://365nails.com/products/white-floral-nail-stickers-5d-embossed-fresh-bloom-set, friendlyName=White Floral Nail Stickers – 5D Embossed Fresh Bloom Set</x:v>
      </x:c>
      <x:c r="D6697" s="18" t="str">
        <x:v>Specification type: To4235 / To4236 / To4238 / To4239</x:v>
      </x:c>
      <x:c r="E6697" s="25" t="str">
        <x:v>$1.09</x:v>
      </x:c>
      <x:c r="F6697" s="19" t="str">
        <x:v>5</x:v>
      </x:c>
    </x:row>
    <x:row r="6698" ht="93" customHeight="1">
      <x:c r="A6698" s="19" t="n">
        <x:v>6695</x:v>
      </x:c>
      <x:c r="B6698" s="22" t="e">
        <x:f>HYPERLINK("https://cdn.shopify.com/s/files/1/0918/6066/4603/files/O1CN01G9QyfR1HlXAeHTiNe__2545140798-0-cib.jpg?v=1773540818","Open")</x:f>
        <x:v>HYPERLINK is not implemented. linkLocation=https://cdn.shopify.com/s/files/1/0918/6066/4603/files/O1CN01G9QyfR1HlXAeHTiNe__2545140798-0-cib.jpg?v=1773540818, friendlyName=Open</x:v>
      </x:c>
      <x:c r="C6698" s="24" t="e">
        <x:f>HYPERLINK("https://365nails.com/products/vintage-butterfly-collection-enchanted-flutter-3d-metallic-nail-sticker","Vintage Butterfly Collection: ""Enchanted Flutter"" – 3D Metallic Nail Sticker")</x:f>
        <x:v>HYPERLINK is not implemented. linkLocation=https://365nails.com/products/vintage-butterfly-collection-enchanted-flutter-3d-metallic-nail-sticker, friendlyName=Vintage Butterfly Collection: "Enchanted Flutter" – 3D Metallic Nail Sticker</x:v>
      </x:c>
      <x:c r="D6698" s="18" t="str">
        <x:v>Specification type: Ms919-metal</x:v>
      </x:c>
      <x:c r="E6698" s="25" t="str">
        <x:v>$1.23</x:v>
      </x:c>
      <x:c r="F6698" s="19" t="str">
        <x:v>5</x:v>
      </x:c>
    </x:row>
    <x:row r="6699" ht="93" customHeight="1">
      <x:c r="A6699" s="19" t="n">
        <x:v>6696</x:v>
      </x:c>
      <x:c r="B6699" s="22" t="e">
        <x:f>HYPERLINK("https://cdn.shopify.com/s/files/1/0918/6066/4603/files/O1CN01ActLmy1HlX8A8zGJs__2545140798-0-cib.jpg?v=1773492929","Open")</x:f>
        <x:v>HYPERLINK is not implemented. linkLocation=https://cdn.shopify.com/s/files/1/0918/6066/4603/files/O1CN01ActLmy1HlX8A8zGJs__2545140798-0-cib.jpg?v=1773492929, friendlyName=Open</x:v>
      </x:c>
      <x:c r="C6699" s="24" t="e">
        <x:f>HYPERLINK("https://365nails.com/products/summer-beach-puppy-collection-puppys-summer-3d-holographic-nail-sticker","Summer Beach Puppy Collection: ""Puppy's Summer"" – 3D Holographic Nail Sticker")</x:f>
        <x:v>HYPERLINK is not implemented. linkLocation=https://365nails.com/products/summer-beach-puppy-collection-puppys-summer-3d-holographic-nail-sticker, friendlyName=Summer Beach Puppy Collection: "Puppy's Summer" – 3D Holographic Nail Sticker</x:v>
      </x:c>
      <x:c r="D6699" s="18" t="str">
        <x:v>Specification type: To5116-relief / To5122-shell light</x:v>
      </x:c>
      <x:c r="E6699" s="25" t="str">
        <x:v>$1.23</x:v>
      </x:c>
      <x:c r="F6699" s="19" t="str">
        <x:v>5</x:v>
      </x:c>
    </x:row>
    <x:row r="6700" ht="93" customHeight="1">
      <x:c r="A6700" s="19" t="n">
        <x:v>6697</x:v>
      </x:c>
      <x:c r="B6700" s="22" t="e">
        <x:f>HYPERLINK("https://cdn.shopify.com/s/files/1/0918/6066/4603/files/O1CN01smGN561HlX8fF7GpM__2545140798-0-cib.jpg?v=1773483528","Open")</x:f>
        <x:v>HYPERLINK is not implemented. linkLocation=https://cdn.shopify.com/s/files/1/0918/6066/4603/files/O1CN01smGN561HlX8fF7GpM__2545140798-0-cib.jpg?v=1773483528, friendlyName=Open</x:v>
      </x:c>
      <x:c r="C6700" s="24" t="e">
        <x:f>HYPERLINK("https://365nails.com/products/cute-bear-couple-collection-teddy-love-3d-embossed-nail-sticker","Cute Bear Couple Collection: ""Teddy Love"" – 3D Embossed Nail Sticker")</x:f>
        <x:v>HYPERLINK is not implemented. linkLocation=https://365nails.com/products/cute-bear-couple-collection-teddy-love-3d-embossed-nail-sticker, friendlyName=Cute Bear Couple Collection: "Teddy Love" – 3D Embossed Nail Sticker</x:v>
      </x:c>
      <x:c r="D6700" s="18" t="str">
        <x:v>Specification type: To5218 / To5242</x:v>
      </x:c>
      <x:c r="E6700" s="25" t="str">
        <x:v>$1.09</x:v>
      </x:c>
      <x:c r="F6700" s="19" t="str">
        <x:v>5</x:v>
      </x:c>
    </x:row>
    <x:row r="6701" ht="93" customHeight="1">
      <x:c r="A6701" s="19" t="n">
        <x:v>6698</x:v>
      </x:c>
      <x:c r="B6701" s="22" t="e">
        <x:f>HYPERLINK("https://cdn.shopify.com/s/files/1/0918/6066/4603/files/66202ef759b95ab5ee8bdd405b0add69.jpg?v=1772863388","Open")</x:f>
        <x:v>HYPERLINK is not implemented. linkLocation=https://cdn.shopify.com/s/files/1/0918/6066/4603/files/66202ef759b95ab5ee8bdd405b0add69.jpg?v=1772863388, friendlyName=Open</x:v>
      </x:c>
      <x:c r="C6701" s="24" t="e">
        <x:f>HYPERLINK("https://365nails.com/products/holographic-pink-bow-nail-stickers-5d-embossed-sweet-sparkle-set","Holographic Pink Bow Nail Stickers – 5D Embossed Sweet Sparkle Set")</x:f>
        <x:v>HYPERLINK is not implemented. linkLocation=https://365nails.com/products/holographic-pink-bow-nail-stickers-5d-embossed-sweet-sparkle-set, friendlyName=Holographic Pink Bow Nail Stickers – 5D Embossed Sweet Sparkle Set</x:v>
      </x:c>
      <x:c r="D6701" s="18" t="str">
        <x:v>Specification type: To4270-laser pink crystal diamond / To4270-laser silver crystal diamond / To4270-rose gold crystal diamond / To4270-new hot stamping crystal diamond / To4270-silver crystal diamond</x:v>
      </x:c>
      <x:c r="E6701" s="25" t="str">
        <x:v>$1.30</x:v>
      </x:c>
      <x:c r="F6701" s="19" t="str">
        <x:v>5</x:v>
      </x:c>
    </x:row>
    <x:row r="6702" ht="93" customHeight="1">
      <x:c r="A6702" s="19" t="n">
        <x:v>6699</x:v>
      </x:c>
      <x:c r="B6702" s="22" t="e">
        <x:f>HYPERLINK("https://cdn.shopify.com/s/files/1/0918/6066/4603/files/70772b65031e8cd9ff47725798ff78cb.jpg?v=1772803361","Open")</x:f>
        <x:v>HYPERLINK is not implemented. linkLocation=https://cdn.shopify.com/s/files/1/0918/6066/4603/files/70772b65031e8cd9ff47725798ff78cb.jpg?v=1772803361, friendlyName=Open</x:v>
      </x:c>
      <x:c r="C6702" s="24" t="e">
        <x:f>HYPERLINK("https://365nails.com/products/holographic-star-heart-nail-stickers-5d-embossed-shimmer-set","Holographic Star &amp; Heart Nail Stickers – 5D Embossed Shimmer Set")</x:f>
        <x:v>HYPERLINK is not implemented. linkLocation=https://365nails.com/products/holographic-star-heart-nail-stickers-5d-embossed-shimmer-set, friendlyName=Holographic Star &amp; Heart Nail Stickers – 5D Embossed Shimmer Set</x:v>
      </x:c>
      <x:c r="D6702" s="18" t="str">
        <x:v>Specification type: To3833-laser powder / To3833-new hot stamping / To3833-silver</x:v>
      </x:c>
      <x:c r="E6702" s="25" t="str">
        <x:v>$1.23</x:v>
      </x:c>
      <x:c r="F6702" s="19" t="str">
        <x:v>5</x:v>
      </x:c>
    </x:row>
    <x:row r="6703" ht="93" customHeight="1">
      <x:c r="A6703" s="19" t="n">
        <x:v>6700</x:v>
      </x:c>
      <x:c r="B6703" s="22" t="e">
        <x:f>HYPERLINK("https://cdn.shopify.com/s/files/1/0918/6066/4603/files/17fbafa8b3d956afb413d599627f1b97.jpg?v=1773462724","Open")</x:f>
        <x:v>HYPERLINK is not implemented. linkLocation=https://cdn.shopify.com/s/files/1/0918/6066/4603/files/17fbafa8b3d956afb413d599627f1b97.jpg?v=1773462724, friendlyName=Open</x:v>
      </x:c>
      <x:c r="C6703" s="24" t="e">
        <x:f>HYPERLINK("https://365nails.com/products/starry-sky-collection-silver-metallic-star-3d-embossed-nail-sticker","Starry Sky Collection: ""Silver Metallic Star"" – 3D Embossed Nail Sticker")</x:f>
        <x:v>HYPERLINK is not implemented. linkLocation=https://365nails.com/products/starry-sky-collection-silver-metallic-star-3d-embossed-nail-sticker, friendlyName=Starry Sky Collection: "Silver Metallic Star" – 3D Embossed Nail Sticker</x:v>
      </x:c>
      <x:c r="D6703" s="18" t="str">
        <x:v>Specification type: To838 silver / To841 silver / To846 silver / To1183 silver / To1216 silver / To1310 silver / To1743 silver / To1880 silver / To1914 silver / To1978silver / Ms134 silver / Ms146 silver / Ms184 silver / Ta49 silver / To837 silver</x:v>
      </x:c>
      <x:c r="E6703" s="25" t="str">
        <x:v>$1.23</x:v>
      </x:c>
      <x:c r="F6703" s="19" t="str">
        <x:v>5</x:v>
      </x:c>
    </x:row>
    <x:row r="6704" ht="93" customHeight="1">
      <x:c r="A6704" s="19" t="n">
        <x:v>6701</x:v>
      </x:c>
      <x:c r="B6704" s="22" t="e">
        <x:f>HYPERLINK("https://cdn.shopify.com/s/files/1/0918/6066/4603/files/O1CN01v2ls9V1HlX13pGavr__2545140798-0-cib.jpg?v=1773542853","Open")</x:f>
        <x:v>HYPERLINK is not implemented. linkLocation=https://cdn.shopify.com/s/files/1/0918/6066/4603/files/O1CN01v2ls9V1HlX13pGavr__2545140798-0-cib.jpg?v=1773542853, friendlyName=Open</x:v>
      </x:c>
      <x:c r="C6704" s="24" t="e">
        <x:f>HYPERLINK("https://365nails.com/products/starburst-collection-golden-radiance-3d-metallic-nail-sticker","Starburst Collection: ""Golden Radiance"" – 3D Metallic Nail Sticker")</x:f>
        <x:v>HYPERLINK is not implemented. linkLocation=https://365nails.com/products/starburst-collection-golden-radiance-3d-metallic-nail-sticker, friendlyName=Starburst Collection: "Golden Radiance" – 3D Metallic Nail Sticker</x:v>
      </x:c>
      <x:c r="D6704" s="18" t="str">
        <x:v>Specification type: To4007-laser powder / To4007-laser silver / To4007-new hot stamping / To4007-silver</x:v>
      </x:c>
      <x:c r="E6704" s="25" t="str">
        <x:v>$1.23</x:v>
      </x:c>
      <x:c r="F6704" s="19" t="str">
        <x:v>5</x:v>
      </x:c>
    </x:row>
    <x:row r="6705" ht="93" customHeight="1">
      <x:c r="A6705" s="19" t="n">
        <x:v>6702</x:v>
      </x:c>
      <x:c r="B6705" s="22" t="e">
        <x:f>HYPERLINK("https://cdn.shopify.com/s/files/1/0918/6066/4603/files/O1CN01eBnkoH1HlX39BS4wp__2545140798-0-cib.jpg?v=1773496928","Open")</x:f>
        <x:v>HYPERLINK is not implemented. linkLocation=https://cdn.shopify.com/s/files/1/0918/6066/4603/files/O1CN01eBnkoH1HlX39BS4wp__2545140798-0-cib.jpg?v=1773496928, friendlyName=Open</x:v>
      </x:c>
      <x:c r="C6705" s="24" t="e">
        <x:f>HYPERLINK("https://365nails.com/products/crystal-floral-fish-collection-pastel-koi-3d-crystal-nail-sticker","Crystal Floral Fish Collection: ""Pastel Koi"" – 3D Crystal Nail Sticker")</x:f>
        <x:v>HYPERLINK is not implemented. linkLocation=https://365nails.com/products/crystal-floral-fish-collection-pastel-koi-3d-crystal-nail-sticker, friendlyName=Crystal Floral Fish Collection: "Pastel Koi" – 3D Crystal Nail Sticker</x:v>
      </x:c>
      <x:c r="D6705" s="18" t="str">
        <x:v>Specification type: To4442-crystal diamond / To4443-crystal diamond</x:v>
      </x:c>
      <x:c r="E6705" s="25" t="str">
        <x:v>$1.30</x:v>
      </x:c>
      <x:c r="F6705" s="19" t="str">
        <x:v>5</x:v>
      </x:c>
    </x:row>
    <x:row r="6706" ht="93" customHeight="1">
      <x:c r="A6706" s="19" t="n">
        <x:v>6703</x:v>
      </x:c>
      <x:c r="B6706" s="22" t="e">
        <x:f>HYPERLINK("https://cdn.shopify.com/s/files/1/0918/6066/4603/files/48ee56fa8d2bae3897684f095ccce9b7.jpg?v=1773462098","Open")</x:f>
        <x:v>HYPERLINK is not implemented. linkLocation=https://cdn.shopify.com/s/files/1/0918/6066/4603/files/48ee56fa8d2bae3897684f095ccce9b7.jpg?v=1773462098, friendlyName=Open</x:v>
      </x:c>
      <x:c r="C6706" s="24" t="e">
        <x:f>HYPERLINK("https://365nails.com/products/puppy-cafe-collection-cute-puppy-dessert-3d-embossed-nail-sticker","Puppy Café Collection: ""Cute Puppy &amp; Dessert"" – 3D Embossed Nail Sticker")</x:f>
        <x:v>HYPERLINK is not implemented. linkLocation=https://365nails.com/products/puppy-cafe-collection-cute-puppy-dessert-3d-embossed-nail-sticker, friendlyName=Puppy Café Collection: "Cute Puppy &amp; Dessert" – 3D Embossed Nail Sticker</x:v>
      </x:c>
      <x:c r="D6706" s="18" t="str">
        <x:v>Specification type: To4666 / To4681</x:v>
      </x:c>
      <x:c r="E6706" s="25" t="str">
        <x:v>$1.09</x:v>
      </x:c>
      <x:c r="F6706" s="19" t="str">
        <x:v>5</x:v>
      </x:c>
    </x:row>
    <x:row r="6707" ht="93" customHeight="1">
      <x:c r="A6707" s="19" t="n">
        <x:v>6704</x:v>
      </x:c>
      <x:c r="B6707" s="22" t="e">
        <x:f>HYPERLINK("https://cdn.shopify.com/s/files/1/0918/6066/4603/files/44e0bea13d16f73564aecdda33286796.jpg?v=1772887902","Open")</x:f>
        <x:v>HYPERLINK is not implemented. linkLocation=https://cdn.shopify.com/s/files/1/0918/6066/4603/files/44e0bea13d16f73564aecdda33286796.jpg?v=1772887902, friendlyName=Open</x:v>
      </x:c>
      <x:c r="C6707" s="24" t="e">
        <x:f>HYPERLINK("https://365nails.com/products/holographic-butterfly-crystal-diamond-nail-art-accent-set","Holographic Butterfly – Crystal Diamond Nail Art Accent Set")</x:f>
        <x:v>HYPERLINK is not implemented. linkLocation=https://365nails.com/products/holographic-butterfly-crystal-diamond-nail-art-accent-set, friendlyName=Holographic Butterfly – Crystal Diamond Nail Art Accent Set</x:v>
      </x:c>
      <x:c r="D6707" s="18" t="str">
        <x:v>Specification type: To3861-crystal diamond / To3862-crystal diamond</x:v>
      </x:c>
      <x:c r="E6707" s="25" t="str">
        <x:v>$1.30</x:v>
      </x:c>
      <x:c r="F6707" s="19" t="str">
        <x:v>5</x:v>
      </x:c>
    </x:row>
    <x:row r="6708" ht="93" customHeight="1">
      <x:c r="A6708" s="19" t="n">
        <x:v>6705</x:v>
      </x:c>
      <x:c r="B6708" s="22" t="e">
        <x:f>HYPERLINK("https://cdn.shopify.com/s/files/1/0918/6066/4603/files/09df59f3a98386219b60a75320b5130d.jpg?v=1772865217","Open")</x:f>
        <x:v>HYPERLINK is not implemented. linkLocation=https://cdn.shopify.com/s/files/1/0918/6066/4603/files/09df59f3a98386219b60a75320b5130d.jpg?v=1772865217, friendlyName=Open</x:v>
      </x:c>
      <x:c r="C6708" s="24" t="e">
        <x:f>HYPERLINK("https://365nails.com/products/pink-heart-leopard-nail-stickers-5d-embossed-edgy-sweetness-set","Pink Heart Leopard Nail Stickers – 5D Embossed Edgy Sweetness Set")</x:f>
        <x:v>HYPERLINK is not implemented. linkLocation=https://365nails.com/products/pink-heart-leopard-nail-stickers-5d-embossed-edgy-sweetness-set, friendlyName=Pink Heart Leopard Nail Stickers – 5D Embossed Edgy Sweetness Set</x:v>
      </x:c>
      <x:c r="D6708" s="18" t="str">
        <x:v>Specification type: To4516 / To4517</x:v>
      </x:c>
      <x:c r="E6708" s="25" t="str">
        <x:v>$1.09</x:v>
      </x:c>
      <x:c r="F6708" s="19" t="str">
        <x:v>5</x:v>
      </x:c>
    </x:row>
    <x:row r="6709" ht="93" customHeight="1">
      <x:c r="A6709" s="19" t="n">
        <x:v>6706</x:v>
      </x:c>
      <x:c r="B6709" s="22" t="e">
        <x:f>HYPERLINK("https://cdn.shopify.com/s/files/1/0918/6066/4603/files/22f0edf5564fea9c2f4889abf866d772.jpg?v=1772809938","Open")</x:f>
        <x:v>HYPERLINK is not implemented. linkLocation=https://cdn.shopify.com/s/files/1/0918/6066/4603/files/22f0edf5564fea9c2f4889abf866d772.jpg?v=1772809938, friendlyName=Open</x:v>
      </x:c>
      <x:c r="C6709" s="24" t="e">
        <x:f>HYPERLINK("https://365nails.com/products/silver-happy-icon-nail-stickers-5d-embossed-minimalist-cheer-set","Silver Happy Icon Nail Stickers – 5D Embossed Minimalist Cheer Set")</x:f>
        <x:v>HYPERLINK is not implemented. linkLocation=https://365nails.com/products/silver-happy-icon-nail-stickers-5d-embossed-minimalist-cheer-set, friendlyName=Silver Happy Icon Nail Stickers – 5D Embossed Minimalist Cheer Set</x:v>
      </x:c>
      <x:c r="D6709" s="18" t="str">
        <x:v>Specification type: To4188-new hot stamping / To4188-silver</x:v>
      </x:c>
      <x:c r="E6709" s="25" t="str">
        <x:v>$1.23</x:v>
      </x:c>
      <x:c r="F6709" s="19" t="str">
        <x:v>5</x:v>
      </x:c>
    </x:row>
    <x:row r="6710" ht="93" customHeight="1">
      <x:c r="A6710" s="19" t="n">
        <x:v>6707</x:v>
      </x:c>
      <x:c r="B6710" s="22" t="e">
        <x:f>HYPERLINK("https://cdn.shopify.com/s/files/1/0918/6066/4603/files/O1CN01Kr9Pka1HlX0NhCqbx__2545140798-0-cib.jpg?v=1773541574","Open")</x:f>
        <x:v>HYPERLINK is not implemented. linkLocation=https://cdn.shopify.com/s/files/1/0918/6066/4603/files/O1CN01Kr9Pka1HlX0NhCqbx__2545140798-0-cib.jpg?v=1773541574, friendlyName=Open</x:v>
      </x:c>
      <x:c r="C6710" s="24" t="e">
        <x:f>HYPERLINK("https://365nails.com/products/pastel-picnic-collection-cute-garden-3d-embossed-nail-sticker","Pastel Picnic Collection: ""Cute Garden"" – 3D Embossed Nail Sticker")</x:f>
        <x:v>HYPERLINK is not implemented. linkLocation=https://365nails.com/products/pastel-picnic-collection-cute-garden-3d-embossed-nail-sticker, friendlyName=Pastel Picnic Collection: "Cute Garden" – 3D Embossed Nail Sticker</x:v>
      </x:c>
      <x:c r="D6710" s="18" t="str">
        <x:v>Specification type: To3842 / To3904</x:v>
      </x:c>
      <x:c r="E6710" s="25" t="str">
        <x:v>$1.23</x:v>
      </x:c>
      <x:c r="F6710" s="19" t="str">
        <x:v>5</x:v>
      </x:c>
    </x:row>
    <x:row r="6711" ht="93" customHeight="1">
      <x:c r="A6711" s="19" t="n">
        <x:v>6708</x:v>
      </x:c>
      <x:c r="B6711" s="22" t="e">
        <x:f>HYPERLINK("https://cdn.shopify.com/s/files/1/0918/6066/4603/files/934f2d01c90d582f0e81423d7dc5b1b2.jpg?v=1772863890","Open")</x:f>
        <x:v>HYPERLINK is not implemented. linkLocation=https://cdn.shopify.com/s/files/1/0918/6066/4603/files/934f2d01c90d582f0e81423d7dc5b1b2.jpg?v=1772863890, friendlyName=Open</x:v>
      </x:c>
      <x:c r="C6711" s="24" t="e">
        <x:f>HYPERLINK("https://365nails.com/products/jelly-blue-butterfly-nail-stickers-5d-embossed-cool-elegance-set","Jelly Blue Butterfly Nail Stickers – 5D Embossed Cool Elegance Set")</x:f>
        <x:v>HYPERLINK is not implemented. linkLocation=https://365nails.com/products/jelly-blue-butterfly-nail-stickers-5d-embossed-cool-elegance-set, friendlyName=Jelly Blue Butterfly Nail Stickers – 5D Embossed Cool Elegance Set</x:v>
      </x:c>
      <x:c r="D6711" s="18" t="str">
        <x:v>Specification type: Ms599-1-jelly</x:v>
      </x:c>
      <x:c r="E6711" s="25" t="str">
        <x:v>$1.23</x:v>
      </x:c>
      <x:c r="F6711" s="19" t="str">
        <x:v>5</x:v>
      </x:c>
    </x:row>
    <x:row r="6712" ht="93" customHeight="1">
      <x:c r="A6712" s="19" t="n">
        <x:v>6709</x:v>
      </x:c>
      <x:c r="B6712" s="22" t="e">
        <x:f>HYPERLINK("https://cdn.shopify.com/s/files/1/0918/6066/4603/files/O1CN01gC3YnF1HlX6Y7n939__2545140798-0-cib.jpg?v=1773542567","Open")</x:f>
        <x:v>HYPERLINK is not implemented. linkLocation=https://cdn.shopify.com/s/files/1/0918/6066/4603/files/O1CN01gC3YnF1HlX6Y7n939__2545140798-0-cib.jpg?v=1773542567, friendlyName=Open</x:v>
      </x:c>
      <x:c r="C6712" s="24" t="e">
        <x:f>HYPERLINK("https://365nails.com/products/angel-wing-collection-celestial-feathers-3d-metallic-nail-sticker","Angel Wing Collection: ""Celestial Feathers"" – 3D Metallic Nail Sticker")</x:f>
        <x:v>HYPERLINK is not implemented. linkLocation=https://365nails.com/products/angel-wing-collection-celestial-feathers-3d-metallic-nail-sticker, friendlyName=Angel Wing Collection: "Celestial Feathers" – 3D Metallic Nail Sticker</x:v>
      </x:c>
      <x:c r="D6712" s="18" t="str">
        <x:v>Specification type: Ms801-metal / Ms802-metal</x:v>
      </x:c>
      <x:c r="E6712" s="25" t="str">
        <x:v>$1.23</x:v>
      </x:c>
      <x:c r="F6712" s="19" t="str">
        <x:v>5</x:v>
      </x:c>
    </x:row>
    <x:row r="6713" ht="93" customHeight="1">
      <x:c r="A6713" s="19" t="n">
        <x:v>6710</x:v>
      </x:c>
      <x:c r="B6713" s="22" t="e">
        <x:f>HYPERLINK("https://cdn.shopify.com/s/files/1/0918/6066/4603/files/O1CN01o9XIyg1HlXA8TmDT3__2545140798-0-cib.jpg?v=1773542185","Open")</x:f>
        <x:v>HYPERLINK is not implemented. linkLocation=https://cdn.shopify.com/s/files/1/0918/6066/4603/files/O1CN01o9XIyg1HlXA8TmDT3__2545140798-0-cib.jpg?v=1773542185, friendlyName=Open</x:v>
      </x:c>
      <x:c r="C6713" s="24" t="e">
        <x:f>HYPERLINK("https://365nails.com/products/vintage-candelabra-collection-gilded-candlelight-3d-metallic-nail-sticker","Vintage Candelabra Collection: ""Gilded Candlelight"" – 3D Metallic Nail Sticker")</x:f>
        <x:v>HYPERLINK is not implemented. linkLocation=https://365nails.com/products/vintage-candelabra-collection-gilded-candlelight-3d-metallic-nail-sticker, friendlyName=Vintage Candelabra Collection: "Gilded Candlelight" – 3D Metallic Nail Sticker</x:v>
      </x:c>
      <x:c r="D6713" s="18" t="str">
        <x:v>Specification type: To5352-relief / To5417-glitter</x:v>
      </x:c>
      <x:c r="E6713" s="25" t="str">
        <x:v>$1.23</x:v>
      </x:c>
      <x:c r="F6713" s="19" t="str">
        <x:v>5</x:v>
      </x:c>
    </x:row>
    <x:row r="6714" ht="93" customHeight="1">
      <x:c r="A6714" s="19" t="n">
        <x:v>6711</x:v>
      </x:c>
      <x:c r="B6714" s="22" t="e">
        <x:f>HYPERLINK("https://cdn.shopify.com/s/files/1/0918/6066/4603/files/e8b54513d92bb5f8a846b31eb65b19e2.jpg?v=1772803465","Open")</x:f>
        <x:v>HYPERLINK is not implemented. linkLocation=https://cdn.shopify.com/s/files/1/0918/6066/4603/files/e8b54513d92bb5f8a846b31eb65b19e2.jpg?v=1772803465, friendlyName=Open</x:v>
      </x:c>
      <x:c r="C6714" s="24" t="e">
        <x:f>HYPERLINK("https://365nails.com/products/blue-gradient-butterfly-nail-stickers-5d-embossed-dreamy-set","Blue Gradient Butterfly Nail Stickers – 5D Embossed Dreamy Set")</x:f>
        <x:v>HYPERLINK is not implemented. linkLocation=https://365nails.com/products/blue-gradient-butterfly-nail-stickers-5d-embossed-dreamy-set, friendlyName=Blue Gradient Butterfly Nail Stickers – 5D Embossed Dreamy Set</x:v>
      </x:c>
      <x:c r="D6714" s="18" t="str">
        <x:v>Specification type: To3863</x:v>
      </x:c>
      <x:c r="E6714" s="25" t="str">
        <x:v>$1.09</x:v>
      </x:c>
      <x:c r="F6714" s="19" t="str">
        <x:v>5</x:v>
      </x:c>
    </x:row>
    <x:row r="6715" ht="93" customHeight="1">
      <x:c r="A6715" s="19" t="n">
        <x:v>6712</x:v>
      </x:c>
      <x:c r="B6715" s="22" t="e">
        <x:f>HYPERLINK("https://cdn.shopify.com/s/files/1/0918/6066/4603/files/O1CN01YWgxrR1HlWt4XdTfh__2545140798-0-cib.jpg?v=1773463066","Open")</x:f>
        <x:v>HYPERLINK is not implemented. linkLocation=https://cdn.shopify.com/s/files/1/0918/6066/4603/files/O1CN01YWgxrR1HlWt4XdTfh__2545140798-0-cib.jpg?v=1773463066, friendlyName=Open</x:v>
      </x:c>
      <x:c r="C6715" s="24" t="e">
        <x:f>HYPERLINK("https://365nails.com/products/candy-cherry-collection-crystal-candy-cherry-3d-embossed-nail-sticker","Candy Cherry Collection: ""Crystal Candy Cherry"" – 3D Embossed Nail Sticker")</x:f>
        <x:v>HYPERLINK is not implemented. linkLocation=https://365nails.com/products/candy-cherry-collection-crystal-candy-cherry-3d-embossed-nail-sticker, friendlyName=Candy Cherry Collection: "Crystal Candy Cherry" – 3D Embossed Nail Sticker</x:v>
      </x:c>
      <x:c r="D6715" s="18" t="str">
        <x:v>Specification type: Ta 211 / Ta 213 / Ta 215</x:v>
      </x:c>
      <x:c r="E6715" s="25" t="str">
        <x:v>$1.30</x:v>
      </x:c>
      <x:c r="F6715" s="19" t="str">
        <x:v>5</x:v>
      </x:c>
    </x:row>
    <x:row r="6716" ht="93" customHeight="1">
      <x:c r="A6716" s="19" t="n">
        <x:v>6713</x:v>
      </x:c>
      <x:c r="B6716" s="22" t="e">
        <x:f>HYPERLINK("https://cdn.shopify.com/s/files/1/0918/6066/4603/files/O1CN01Kwoz0L1HlX33uejim__2545140798-0-cib_dc120083-5286-4d8f-b7d0-1a9b5c1105fb.jpg?v=1775455574","Open")</x:f>
        <x:v>HYPERLINK is not implemented. linkLocation=https://cdn.shopify.com/s/files/1/0918/6066/4603/files/O1CN01Kwoz0L1HlX33uejim__2545140798-0-cib_dc120083-5286-4d8f-b7d0-1a9b5c1105fb.jpg?v=1775455574, friendlyName=Open</x:v>
      </x:c>
      <x:c r="C6716" s="24" t="e">
        <x:f>HYPERLINK("https://365nails.com/products/365nails-holographic-butterfly-wings-handmade-press-on-nails","365nails: ""Holographic Butterfly Wings"" –Nail Art Stickers")</x:f>
        <x:v>HYPERLINK is not implemented. linkLocation=https://365nails.com/products/365nails-holographic-butterfly-wings-handmade-press-on-nails, friendlyName=365nails: "Holographic Butterfly Wings" –Nail Art Stickers</x:v>
      </x:c>
      <x:c r="D6716" s="18" t="str">
        <x:v>Specification type: Ms679-jelly / Ms680-1 shell light / Ms680-jelly</x:v>
      </x:c>
      <x:c r="E6716" s="25" t="str">
        <x:v>$1.23</x:v>
      </x:c>
      <x:c r="F6716" s="19" t="str">
        <x:v>5</x:v>
      </x:c>
    </x:row>
    <x:row r="6717" ht="93" customHeight="1">
      <x:c r="A6717" s="19" t="n">
        <x:v>6714</x:v>
      </x:c>
      <x:c r="B6717" s="22" t="e">
        <x:f>HYPERLINK("https://cdn.shopify.com/s/files/1/0918/6066/4603/files/O1CN01lj8B2n1HlX2yOOoor__2545140798-0-cib.jpg?v=1773542314","Open")</x:f>
        <x:v>HYPERLINK is not implemented. linkLocation=https://cdn.shopify.com/s/files/1/0918/6066/4603/files/O1CN01lj8B2n1HlX2yOOoor__2545140798-0-cib.jpg?v=1773542314, friendlyName=Open</x:v>
      </x:c>
      <x:c r="C6717" s="24" t="e">
        <x:f>HYPERLINK("https://365nails.com/products/vintage-clock-collection-jelly-time-travel-3d-jelly-nail-sticker","Vintage Clock Collection: ""Jelly Time Travel"" – 3D Jelly Nail Sticker")</x:f>
        <x:v>HYPERLINK is not implemented. linkLocation=https://365nails.com/products/vintage-clock-collection-jelly-time-travel-3d-jelly-nail-sticker, friendlyName=Vintage Clock Collection: "Jelly Time Travel" – 3D Jelly Nail Sticker</x:v>
      </x:c>
      <x:c r="D6717" s="18" t="str">
        <x:v>Specification type: To4419-jelly / To4420-relief</x:v>
      </x:c>
      <x:c r="E6717" s="25" t="str">
        <x:v>$1.23</x:v>
      </x:c>
      <x:c r="F6717" s="19" t="str">
        <x:v>1</x:v>
      </x:c>
    </x:row>
    <x:row r="6718" ht="93" customHeight="1">
      <x:c r="A6718" s="19" t="n">
        <x:v>6715</x:v>
      </x:c>
      <x:c r="B6718" s="22" t="e">
        <x:f>HYPERLINK("https://cdn.shopify.com/s/files/1/0918/6066/4603/files/83fa43ff96f60bdebee310458efa3f2c.jpg?v=1774078469","Open")</x:f>
        <x:v>HYPERLINK is not implemented. linkLocation=https://cdn.shopify.com/s/files/1/0918/6066/4603/files/83fa43ff96f60bdebee310458efa3f2c.jpg?v=1774078469, friendlyName=Open</x:v>
      </x:c>
      <x:c r="C6718" s="24" t="e">
        <x:f>HYPERLINK("https://365nails.com/products/cosmic-fatale-smoky-silver-eclipse-long-sharp-stiletto-handmade-press-on-nails","Cosmic Fatale: ""Smoky Silver Eclipse"" – Long Sharp Stiletto Handmade Press On Nails")</x:f>
        <x:v>HYPERLINK is not implemented. linkLocation=https://365nails.com/products/cosmic-fatale-smoky-silver-eclipse-long-sharp-stiletto-handmade-press-on-nails, friendlyName=Cosmic Fatale: "Smoky Silver Eclipse" – Long Sharp Stiletto Handmade Press On Nails</x:v>
      </x:c>
      <x:c r="D6718" s="18" t="str">
        <x:v>Size: XS / S / M / L</x:v>
      </x:c>
      <x:c r="E6718" s="25" t="str">
        <x:v>$3.99</x:v>
      </x:c>
      <x:c r="F6718" s="19" t="str">
        <x:v>5</x:v>
      </x:c>
    </x:row>
    <x:row r="6719" ht="93" customHeight="1">
      <x:c r="A6719" s="19" t="n">
        <x:v>6716</x:v>
      </x:c>
      <x:c r="B6719" s="22" t="e">
        <x:f>HYPERLINK("https://cdn.shopify.com/s/files/1/0918/6066/4603/files/9b9e8722b41c869e2be28a745fe3a531.jpg?v=1772809632","Open")</x:f>
        <x:v>HYPERLINK is not implemented. linkLocation=https://cdn.shopify.com/s/files/1/0918/6066/4603/files/9b9e8722b41c869e2be28a745fe3a531.jpg?v=1772809632, friendlyName=Open</x:v>
      </x:c>
      <x:c r="C6719" s="24" t="e">
        <x:f>HYPERLINK("https://365nails.com/products/cute-kitten-floral-cameo-nail-stickers-5d-embossed-kawaii-garden-set","Cute Kitten &amp; Floral Cameo Nail Stickers – 5D Embossed Kawaii Garden Set")</x:f>
        <x:v>HYPERLINK is not implemented. linkLocation=https://365nails.com/products/cute-kitten-floral-cameo-nail-stickers-5d-embossed-kawaii-garden-set, friendlyName=Cute Kitten &amp; Floral Cameo Nail Stickers – 5D Embossed Kawaii Garden Set</x:v>
      </x:c>
      <x:c r="D6719" s="18" t="str">
        <x:v>Specification type: To4038-shell light / To4039-relief</x:v>
      </x:c>
      <x:c r="E6719" s="25" t="str">
        <x:v>$1.23</x:v>
      </x:c>
      <x:c r="F6719" s="19" t="str">
        <x:v>5</x:v>
      </x:c>
    </x:row>
    <x:row r="6720" ht="93" customHeight="1">
      <x:c r="A6720" s="19" t="n">
        <x:v>6717</x:v>
      </x:c>
      <x:c r="B6720" s="22" t="e">
        <x:f>HYPERLINK("https://cdn.shopify.com/s/files/1/0918/6066/4603/files/O1CN01A9mpGY1HlWzsTYFWE__2545140798-0-cib.jpg?v=1772803195","Open")</x:f>
        <x:v>HYPERLINK is not implemented. linkLocation=https://cdn.shopify.com/s/files/1/0918/6066/4603/files/O1CN01A9mpGY1HlWzsTYFWE__2545140798-0-cib.jpg?v=1772803195, friendlyName=Open</x:v>
      </x:c>
      <x:c r="C6720" s="24" t="e">
        <x:f>HYPERLINK("https://365nails.com/products/pink-holographic-butterfly-nail-stickers-5d-embossed-fairy-set","Pink Holographic Butterfly Nail Stickers – 5D Embossed Fairy Set")</x:f>
        <x:v>HYPERLINK is not implemented. linkLocation=https://365nails.com/products/pink-holographic-butterfly-nail-stickers-5d-embossed-fairy-set, friendlyName=Pink Holographic Butterfly Nail Stickers – 5D Embossed Fairy Set</x:v>
      </x:c>
      <x:c r="D6720" s="18" t="str">
        <x:v>Specification type: Ms558-jelly / Ms559-jelly / Ms560 - new gold foil stamping / Ms561-new hot stamping</x:v>
      </x:c>
      <x:c r="E6720" s="25" t="str">
        <x:v>$1.23</x:v>
      </x:c>
      <x:c r="F6720" s="19" t="str">
        <x:v>5</x:v>
      </x:c>
    </x:row>
    <x:row r="6721" ht="93" customHeight="1">
      <x:c r="A6721" s="19" t="n">
        <x:v>6718</x:v>
      </x:c>
      <x:c r="B6721" s="22" t="e">
        <x:f>HYPERLINK("https://cdn.shopify.com/s/files/1/0918/6066/4603/files/f42456bcb8f3404652b2b47ffda4998b.jpg?v=1772864871","Open")</x:f>
        <x:v>HYPERLINK is not implemented. linkLocation=https://cdn.shopify.com/s/files/1/0918/6066/4603/files/f42456bcb8f3404652b2b47ffda4998b.jpg?v=1772864871, friendlyName=Open</x:v>
      </x:c>
      <x:c r="C6721" s="24" t="e">
        <x:f>HYPERLINK("https://365nails.com/products/black-clover-nail-stickers-5d-embossed-minimalist-charm-set","Black Clover Nail Stickers – 5D Embossed Minimalist Charm Set")</x:f>
        <x:v>HYPERLINK is not implemented. linkLocation=https://365nails.com/products/black-clover-nail-stickers-5d-embossed-minimalist-charm-set, friendlyName=Black Clover Nail Stickers – 5D Embossed Minimalist Charm Set</x:v>
      </x:c>
      <x:c r="D6721" s="18" t="str">
        <x:v>Specification type: Ms698-crystal diamond / Ms699-crystal diamond</x:v>
      </x:c>
      <x:c r="E6721" s="25" t="str">
        <x:v>$1.30</x:v>
      </x:c>
      <x:c r="F6721" s="19" t="str">
        <x:v>5</x:v>
      </x:c>
    </x:row>
    <x:row r="6722" ht="93" customHeight="1">
      <x:c r="A6722" s="19" t="n">
        <x:v>6719</x:v>
      </x:c>
      <x:c r="B6722" s="22" t="e">
        <x:f>HYPERLINK("https://cdn.shopify.com/s/files/1/0918/6066/4603/files/O1CN01S6lt1G1HlX1L8Ykjq__2545140798-0-cib.jpg?v=1772808766","Open")</x:f>
        <x:v>HYPERLINK is not implemented. linkLocation=https://cdn.shopify.com/s/files/1/0918/6066/4603/files/O1CN01S6lt1G1HlX1L8Ykjq__2545140798-0-cib.jpg?v=1772808766, friendlyName=Open</x:v>
      </x:c>
      <x:c r="C6722" s="24" t="e">
        <x:f>HYPERLINK("https://365nails.com/products/black-pink-shell-nail-stickers-5d-embossed-edgy-glam-set","Black Pink Shell Nail Stickers – 5D Embossed Edgy Glam Set")</x:f>
        <x:v>HYPERLINK is not implemented. linkLocation=https://365nails.com/products/black-pink-shell-nail-stickers-5d-embossed-edgy-glam-set, friendlyName=Black Pink Shell Nail Stickers – 5D Embossed Edgy Glam Set</x:v>
      </x:c>
      <x:c r="D6722" s="18" t="str">
        <x:v>Specification type: Ta316-new hot stamping / Ta317-shell light / Ta319-silver / Ta321-shell light</x:v>
      </x:c>
      <x:c r="E6722" s="25" t="str">
        <x:v>$1.23</x:v>
      </x:c>
      <x:c r="F6722" s="19" t="str">
        <x:v>5</x:v>
      </x:c>
    </x:row>
    <x:row r="6723" ht="93" customHeight="1">
      <x:c r="A6723" s="19" t="n">
        <x:v>6720</x:v>
      </x:c>
      <x:c r="B6723" s="22" t="e">
        <x:f>HYPERLINK("https://cdn.shopify.com/s/files/1/0918/6066/4603/files/cdc2c4450399bab5da06a00b91d9d792.jpg?v=1772887542","Open")</x:f>
        <x:v>HYPERLINK is not implemented. linkLocation=https://cdn.shopify.com/s/files/1/0918/6066/4603/files/cdc2c4450399bab5da06a00b91d9d792.jpg?v=1772887542, friendlyName=Open</x:v>
      </x:c>
      <x:c r="C6723" s="24" t="e">
        <x:f>HYPERLINK("https://365nails.com/products/rose-butterfly-vintage-watercolor-nail-art-accent-set","Rose &amp; Butterfly – Vintage Watercolor Nail Art Accent Set")</x:f>
        <x:v>HYPERLINK is not implemented. linkLocation=https://365nails.com/products/rose-butterfly-vintage-watercolor-nail-art-accent-set, friendlyName=Rose &amp; Butterfly – Vintage Watercolor Nail Art Accent Set</x:v>
      </x:c>
      <x:c r="D6723" s="18" t="str">
        <x:v>Specification type: To3820-relief</x:v>
      </x:c>
      <x:c r="E6723" s="25" t="str">
        <x:v>$1.23</x:v>
      </x:c>
      <x:c r="F6723" s="19" t="str">
        <x:v>5</x:v>
      </x:c>
    </x:row>
    <x:row r="6724" ht="93" customHeight="1">
      <x:c r="A6724" s="19" t="n">
        <x:v>6721</x:v>
      </x:c>
      <x:c r="B6724" s="22" t="e">
        <x:f>HYPERLINK("https://cdn.shopify.com/s/files/1/0918/6066/4603/files/O1CN01SjLRS81HlX0IOlhJC__2545140798-0-cib.jpg?v=1773496830","Open")</x:f>
        <x:v>HYPERLINK is not implemented. linkLocation=https://cdn.shopify.com/s/files/1/0918/6066/4603/files/O1CN01SjLRS81HlX0IOlhJC__2545140798-0-cib.jpg?v=1773496830, friendlyName=Open</x:v>
      </x:c>
      <x:c r="C6724" s="24" t="e">
        <x:f>HYPERLINK("https://365nails.com/products/gothic-bunny-collection-dark-lolita-rabbit-3d-embossed-nail-sticker","Gothic Bunny Collection: ""Dark Lolita Rabbit"" – 3D Embossed Nail Sticker")</x:f>
        <x:v>HYPERLINK is not implemented. linkLocation=https://365nails.com/products/gothic-bunny-collection-dark-lolita-rabbit-3d-embossed-nail-sticker, friendlyName=Gothic Bunny Collection: "Dark Lolita Rabbit" – 3D Embossed Nail Sticker</x:v>
      </x:c>
      <x:c r="D6724" s="18" t="str">
        <x:v>Specification type: To3415-crystal diamond / To3443-crystal diamond</x:v>
      </x:c>
      <x:c r="E6724" s="25" t="str">
        <x:v>$1.30</x:v>
      </x:c>
      <x:c r="F6724" s="19" t="str">
        <x:v>5</x:v>
      </x:c>
    </x:row>
    <x:row r="6725" ht="93" customHeight="1">
      <x:c r="A6725" s="19" t="n">
        <x:v>6722</x:v>
      </x:c>
      <x:c r="B6725" s="22" t="e">
        <x:f>HYPERLINK("https://cdn.shopify.com/s/files/1/0918/6066/4603/files/bf5d0f70691316b1022845c3fd65a21a.jpg?v=1772865130","Open")</x:f>
        <x:v>HYPERLINK is not implemented. linkLocation=https://cdn.shopify.com/s/files/1/0918/6066/4603/files/bf5d0f70691316b1022845c3fd65a21a.jpg?v=1772865130, friendlyName=Open</x:v>
      </x:c>
      <x:c r="C6725" s="24" t="e">
        <x:f>HYPERLINK("https://365nails.com/products/jelly-christmas-nail-stickers-5d-embossed-festive-cheer-set","Jelly Christmas Nail Stickers – 5D Embossed Festive Cheer Set")</x:f>
        <x:v>HYPERLINK is not implemented. linkLocation=https://365nails.com/products/jelly-christmas-nail-stickers-5d-embossed-festive-cheer-set, friendlyName=Jelly Christmas Nail Stickers – 5D Embossed Festive Cheer Set</x:v>
      </x:c>
      <x:c r="D6725" s="18" t="str">
        <x:v>Specification type: To4464-new hot stamping / To4465-jelly</x:v>
      </x:c>
      <x:c r="E6725" s="25" t="str">
        <x:v>$1.23</x:v>
      </x:c>
      <x:c r="F6725" s="19" t="str">
        <x:v>5</x:v>
      </x:c>
    </x:row>
    <x:row r="6726" ht="93" customHeight="1">
      <x:c r="A6726" s="19" t="n">
        <x:v>6723</x:v>
      </x:c>
      <x:c r="B6726" s="22" t="e">
        <x:f>HYPERLINK("https://cdn.shopify.com/s/files/1/0918/6066/4603/files/62c50ec5c1b6e355dc98aa6d80cf7982.jpg?v=1772802820","Open")</x:f>
        <x:v>HYPERLINK is not implemented. linkLocation=https://cdn.shopify.com/s/files/1/0918/6066/4603/files/62c50ec5c1b6e355dc98aa6d80cf7982.jpg?v=1772802820, friendlyName=Open</x:v>
      </x:c>
      <x:c r="C6726" s="24" t="e">
        <x:f>HYPERLINK("https://365nails.com/products/vintage-rose-nail-stickers-5d-embossed-romantic-floral-set","Vintage Rose Nail Stickers – 5D Embossed Romantic Floral Set")</x:f>
        <x:v>HYPERLINK is not implemented. linkLocation=https://365nails.com/products/vintage-rose-nail-stickers-5d-embossed-romantic-floral-set, friendlyName=Vintage Rose Nail Stickers – 5D Embossed Romantic Floral Set</x:v>
      </x:c>
      <x:c r="D6726" s="18" t="str">
        <x:v>Specification type: To3713 / To3764</x:v>
      </x:c>
      <x:c r="E6726" s="25" t="str">
        <x:v>$1.09</x:v>
      </x:c>
      <x:c r="F6726" s="19" t="str">
        <x:v>5</x:v>
      </x:c>
    </x:row>
    <x:row r="6727" ht="93" customHeight="1">
      <x:c r="A6727" s="19" t="n">
        <x:v>6724</x:v>
      </x:c>
      <x:c r="B6727" s="22" t="e">
        <x:f>HYPERLINK("https://cdn.shopify.com/s/files/1/0918/6066/4603/files/c1f63d00c77a3af2361f967285feef45.jpg?v=1772803100","Open")</x:f>
        <x:v>HYPERLINK is not implemented. linkLocation=https://cdn.shopify.com/s/files/1/0918/6066/4603/files/c1f63d00c77a3af2361f967285feef45.jpg?v=1772803100, friendlyName=Open</x:v>
      </x:c>
      <x:c r="C6727" s="24" t="e">
        <x:f>HYPERLINK("https://365nails.com/products/holographic-iris-nail-stickers-5d-embossed-dreamy-floral-set","Holographic Iris Nail Stickers – 5D Embossed Dreamy Floral Set")</x:f>
        <x:v>HYPERLINK is not implemented. linkLocation=https://365nails.com/products/holographic-iris-nail-stickers-5d-embossed-dreamy-floral-set, friendlyName=Holographic Iris Nail Stickers – 5D Embossed Dreamy Floral Set</x:v>
      </x:c>
      <x:c r="D6727" s="18" t="str">
        <x:v>Specification type: Ms537-new hot stamping / Ms552-shell light</x:v>
      </x:c>
      <x:c r="E6727" s="25" t="str">
        <x:v>$1.23</x:v>
      </x:c>
      <x:c r="F6727" s="19" t="str">
        <x:v>5</x:v>
      </x:c>
    </x:row>
    <x:row r="6728" ht="93" customHeight="1">
      <x:c r="A6728" s="19" t="n">
        <x:v>6725</x:v>
      </x:c>
      <x:c r="B6728" s="22" t="e">
        <x:f>HYPERLINK("https://cdn.shopify.com/s/files/1/0918/6066/4603/files/O1CN0122LQ1t1HlX9rE4ja3__2545140798-0-cib.jpg?v=1773239841","Open")</x:f>
        <x:v>HYPERLINK is not implemented. linkLocation=https://cdn.shopify.com/s/files/1/0918/6066/4603/files/O1CN0122LQ1t1HlX9rE4ja3__2545140798-0-cib.jpg?v=1773239841, friendlyName=Open</x:v>
      </x:c>
      <x:c r="C6728" s="24" t="e">
        <x:f>HYPERLINK("https://365nails.com/products/vintage-gothic-cross-edgy-punk-nail-art-set","Vintage Gothic Cross – Edgy Punk Nail Art Set")</x:f>
        <x:v>HYPERLINK is not implemented. linkLocation=https://365nails.com/products/vintage-gothic-cross-edgy-punk-nail-art-set, friendlyName=Vintage Gothic Cross – Edgy Punk Nail Art Set</x:v>
      </x:c>
      <x:c r="D6728" s="18" t="str">
        <x:v>Specification type: Ms881-new hot stamping / Ms882-silver</x:v>
      </x:c>
      <x:c r="E6728" s="25" t="str">
        <x:v>$1.23</x:v>
      </x:c>
      <x:c r="F6728" s="19" t="str">
        <x:v>1</x:v>
      </x:c>
    </x:row>
    <x:row r="6729" ht="93" customHeight="1">
      <x:c r="A6729" s="19" t="n">
        <x:v>6726</x:v>
      </x:c>
      <x:c r="B6729" s="22" t="e">
        <x:f>HYPERLINK("https://cdn.shopify.com/s/files/1/0918/6066/4603/files/c9988a67635000983e1e2ed41e9270b8_08494853-a1c3-47f8-bc97-afa7734f97e6.jpg?v=1772888910","Open")</x:f>
        <x:v>HYPERLINK is not implemented. linkLocation=https://cdn.shopify.com/s/files/1/0918/6066/4603/files/c9988a67635000983e1e2ed41e9270b8_08494853-a1c3-47f8-bc97-afa7734f97e6.jpg?v=1772888910, friendlyName=Open</x:v>
      </x:c>
      <x:c r="C6729" s="24" t="e">
        <x:f>HYPERLINK("https://365nails.com/products/sakura-bunny-5d-embossed-cute-nail-art-set","Sakura Bunny – 5D Embossed Cute Nail Art Set")</x:f>
        <x:v>HYPERLINK is not implemented. linkLocation=https://365nails.com/products/sakura-bunny-5d-embossed-cute-nail-art-set, friendlyName=Sakura Bunny – 5D Embossed Cute Nail Art Set</x:v>
      </x:c>
      <x:c r="D6729" s="18" t="str">
        <x:v>Specification type: To3956-relief</x:v>
      </x:c>
      <x:c r="E6729" s="25" t="str">
        <x:v>$1.23</x:v>
      </x:c>
      <x:c r="F6729" s="19" t="str">
        <x:v>5</x:v>
      </x:c>
    </x:row>
    <x:row r="6730" ht="93" customHeight="1">
      <x:c r="A6730" s="19" t="n">
        <x:v>6727</x:v>
      </x:c>
      <x:c r="B6730" s="22" t="e">
        <x:f>HYPERLINK("https://cdn.shopify.com/s/files/1/0918/6066/4603/files/296a21affe426a563bdd04d8f73fc811.jpg?v=1772808669","Open")</x:f>
        <x:v>HYPERLINK is not implemented. linkLocation=https://cdn.shopify.com/s/files/1/0918/6066/4603/files/296a21affe426a563bdd04d8f73fc811.jpg?v=1772808669, friendlyName=Open</x:v>
      </x:c>
      <x:c r="C6730" s="24" t="e">
        <x:f>HYPERLINK("https://365nails.com/products/cute-panda-floral-nail-stickers-5d-embossed-kawaii-panda-set","Cute Panda &amp; Floral Nail Stickers – 5D Embossed Kawaii Panda Set")</x:f>
        <x:v>HYPERLINK is not implemented. linkLocation=https://365nails.com/products/cute-panda-floral-nail-stickers-5d-embossed-kawaii-panda-set, friendlyName=Cute Panda &amp; Floral Nail Stickers – 5D Embossed Kawaii Panda Set</x:v>
      </x:c>
      <x:c r="D6730" s="18" t="str">
        <x:v>Specification type: To4022-relief / To4025-relief</x:v>
      </x:c>
      <x:c r="E6730" s="25" t="str">
        <x:v>$1.23</x:v>
      </x:c>
      <x:c r="F6730" s="19" t="str">
        <x:v>5</x:v>
      </x:c>
    </x:row>
    <x:row r="6731" ht="93" customHeight="1">
      <x:c r="A6731" s="19" t="n">
        <x:v>6728</x:v>
      </x:c>
      <x:c r="B6731" s="22" t="e">
        <x:f>HYPERLINK("https://cdn.shopify.com/s/files/1/0918/6066/4603/files/O1CN01NPBkf71HlWvEJXTIS__2545140798-0-cib.jpg?v=1773497866","Open")</x:f>
        <x:v>HYPERLINK is not implemented. linkLocation=https://cdn.shopify.com/s/files/1/0918/6066/4603/files/O1CN01NPBkf71HlWvEJXTIS__2545140798-0-cib.jpg?v=1773497866, friendlyName=Open</x:v>
      </x:c>
      <x:c r="C6731" s="24" t="e">
        <x:f>HYPERLINK("https://365nails.com/products/vintage-rose-collection-romantic-bloom-3d-embossed-nail-sticker","Vintage Rose Collection: ""Romantic Bloom"" – 3D Embossed Nail Sticker")</x:f>
        <x:v>HYPERLINK is not implemented. linkLocation=https://365nails.com/products/vintage-rose-collection-romantic-bloom-3d-embossed-nail-sticker, friendlyName=Vintage Rose Collection: "Romantic Bloom" – 3D Embossed Nail Sticker</x:v>
      </x:c>
      <x:c r="D6731" s="18" t="str">
        <x:v>Specification type: To2707</x:v>
      </x:c>
      <x:c r="E6731" s="25" t="str">
        <x:v>$1.23</x:v>
      </x:c>
      <x:c r="F6731" s="19" t="str">
        <x:v>5</x:v>
      </x:c>
    </x:row>
    <x:row r="6732" ht="93" customHeight="1">
      <x:c r="A6732" s="19" t="n">
        <x:v>6729</x:v>
      </x:c>
      <x:c r="B6732" s="22" t="e">
        <x:f>HYPERLINK("https://cdn.shopify.com/s/files/1/0918/6066/4603/files/O1CN01hQdjJv1HlXB6Cvban__2545140798-0-cib.jpg?v=1773497674","Open")</x:f>
        <x:v>HYPERLINK is not implemented. linkLocation=https://cdn.shopify.com/s/files/1/0918/6066/4603/files/O1CN01hQdjJv1HlXB6Cvban__2545140798-0-cib.jpg?v=1773497674, friendlyName=Open</x:v>
      </x:c>
      <x:c r="C6732" s="24" t="e">
        <x:f>HYPERLINK("https://365nails.com/products/cny-cartoon-collection-lucky-kitty-3d-embossed-nail-sticker","CNY Cartoon Collection: ""Lucky Kitty"" – 3D Embossed Nail Sticker")</x:f>
        <x:v>HYPERLINK is not implemented. linkLocation=https://365nails.com/products/cny-cartoon-collection-lucky-kitty-3d-embossed-nail-sticker, friendlyName=CNY Cartoon Collection: "Lucky Kitty" – 3D Embossed Nail Sticker</x:v>
      </x:c>
      <x:c r="D6732" s="18" t="str">
        <x:v>Specification type: To5601-relief / To5602-relief</x:v>
      </x:c>
      <x:c r="E6732" s="25" t="str">
        <x:v>$1.23</x:v>
      </x:c>
      <x:c r="F6732" s="19" t="str">
        <x:v>5</x:v>
      </x:c>
    </x:row>
    <x:row r="6733" ht="93" customHeight="1">
      <x:c r="A6733" s="19" t="n">
        <x:v>6730</x:v>
      </x:c>
      <x:c r="B6733" s="22" t="e">
        <x:f>HYPERLINK("https://cdn.shopify.com/s/files/1/0918/6066/4603/files/O1CN017SSTCn1HlWzlcL8fQ__2545140798-0-cib.jpg?v=1773553477","Open")</x:f>
        <x:v>HYPERLINK is not implemented. linkLocation=https://cdn.shopify.com/s/files/1/0918/6066/4603/files/O1CN017SSTCn1HlWzlcL8fQ__2545140798-0-cib.jpg?v=1773553477, friendlyName=Open</x:v>
      </x:c>
      <x:c r="C6733" s="24" t="e">
        <x:f>HYPERLINK("https://365nails.com/products/happy-cat-family-collection-cozy-kitten-3d-embossed-nail-sticker","Happy Cat Family Collection: ""Cozy Kitten"" – 3D Embossed Nail Sticker")</x:f>
        <x:v>HYPERLINK is not implemented. linkLocation=https://365nails.com/products/happy-cat-family-collection-cozy-kitten-3d-embossed-nail-sticker, friendlyName=Happy Cat Family Collection: "Cozy Kitten" – 3D Embossed Nail Sticker</x:v>
      </x:c>
      <x:c r="D6733" s="18" t="str">
        <x:v>Specification type: Ms524 / To3733</x:v>
      </x:c>
      <x:c r="E6733" s="25" t="str">
        <x:v>$1.23</x:v>
      </x:c>
      <x:c r="F6733" s="19" t="str">
        <x:v>5</x:v>
      </x:c>
    </x:row>
    <x:row r="6734" ht="93" customHeight="1">
      <x:c r="A6734" s="19" t="n">
        <x:v>6731</x:v>
      </x:c>
      <x:c r="B6734" s="22" t="e">
        <x:f>HYPERLINK("https://cdn.shopify.com/s/files/1/0918/6066/4603/files/e9b8541fc8a3232b16a13de312412a93.jpg?v=1772863692","Open")</x:f>
        <x:v>HYPERLINK is not implemented. linkLocation=https://cdn.shopify.com/s/files/1/0918/6066/4603/files/e9b8541fc8a3232b16a13de312412a93.jpg?v=1772863692, friendlyName=Open</x:v>
      </x:c>
      <x:c r="C6734" s="24" t="e">
        <x:f>HYPERLINK("https://365nails.com/products/holographic-pink-snake-star-nail-stickers-5d-embossed-edgy-celestial-set","Holographic Pink Snake &amp; Star Nail Stickers – 5D Embossed Edgy Celestial Set")</x:f>
        <x:v>HYPERLINK is not implemented. linkLocation=https://365nails.com/products/holographic-pink-snake-star-nail-stickers-5d-embossed-edgy-celestial-set, friendlyName=Holographic Pink Snake &amp; Star Nail Stickers – 5D Embossed Edgy Celestial Set</x:v>
      </x:c>
      <x:c r="D6734" s="18" t="str">
        <x:v>Specification type: To4273-laser powder / To4273-rose gold / To4273-new hot stamping / To4273-silver</x:v>
      </x:c>
      <x:c r="E6734" s="25" t="str">
        <x:v>$1.23</x:v>
      </x:c>
      <x:c r="F6734" s="19" t="str">
        <x:v>5</x:v>
      </x:c>
    </x:row>
    <x:row r="6735" ht="93" customHeight="1">
      <x:c r="A6735" s="19" t="n">
        <x:v>6732</x:v>
      </x:c>
      <x:c r="B6735" s="22" t="e">
        <x:f>HYPERLINK("https://cdn.shopify.com/s/files/1/0918/6066/4603/files/870d4434182adbe17e3a7d53d54a5412.jpg?v=1772803668","Open")</x:f>
        <x:v>HYPERLINK is not implemented. linkLocation=https://cdn.shopify.com/s/files/1/0918/6066/4603/files/870d4434182adbe17e3a7d53d54a5412.jpg?v=1772803668, friendlyName=Open</x:v>
      </x:c>
      <x:c r="C6735" s="24" t="e">
        <x:f>HYPERLINK("https://365nails.com/products/white-ink-butterfly-nail-stickers-5d-embossed-oriental-art-set","White Ink Butterfly Nail Stickers – 5D Embossed Oriental Art Set")</x:f>
        <x:v>HYPERLINK is not implemented. linkLocation=https://365nails.com/products/white-ink-butterfly-nail-stickers-5d-embossed-oriental-art-set, friendlyName=White Ink Butterfly Nail Stickers – 5D Embossed Oriental Art Set</x:v>
      </x:c>
      <x:c r="D6735" s="18" t="str">
        <x:v>Specification type: To2687-1 / To3953</x:v>
      </x:c>
      <x:c r="E6735" s="25" t="str">
        <x:v>$1.09</x:v>
      </x:c>
      <x:c r="F6735" s="19" t="str">
        <x:v>5</x:v>
      </x:c>
    </x:row>
    <x:row r="6736" ht="93" customHeight="1">
      <x:c r="A6736" s="19" t="n">
        <x:v>6733</x:v>
      </x:c>
      <x:c r="B6736" s="22" t="e">
        <x:f>HYPERLINK("https://cdn.shopify.com/s/files/1/0918/6066/4603/files/4e4f12a774ec5debb08c78773b35893f.jpg?v=1772889215","Open")</x:f>
        <x:v>HYPERLINK is not implemented. linkLocation=https://cdn.shopify.com/s/files/1/0918/6066/4603/files/4e4f12a774ec5debb08c78773b35893f.jpg?v=1772889215, friendlyName=Open</x:v>
      </x:c>
      <x:c r="C6736" s="24" t="e">
        <x:f>HYPERLINK("https://365nails.com/products/pink-bunny-tea-party-5d-embossed-cute-nail-art-set","Pink Bunny Tea Party – 5D Embossed Cute Nail Art Set")</x:f>
        <x:v>HYPERLINK is not implemented. linkLocation=https://365nails.com/products/pink-bunny-tea-party-5d-embossed-cute-nail-art-set, friendlyName=Pink Bunny Tea Party – 5D Embossed Cute Nail Art Set</x:v>
      </x:c>
      <x:c r="D6736" s="18" t="str">
        <x:v>Specification type: To3939-relief</x:v>
      </x:c>
      <x:c r="E6736" s="25" t="str">
        <x:v>$1.23</x:v>
      </x:c>
      <x:c r="F6736" s="19" t="str">
        <x:v>5</x:v>
      </x:c>
    </x:row>
    <x:row r="6737" ht="93" customHeight="1">
      <x:c r="A6737" s="19" t="n">
        <x:v>6734</x:v>
      </x:c>
      <x:c r="B6737" s="22" t="e">
        <x:f>HYPERLINK("https://cdn.shopify.com/s/files/1/0918/6066/4603/files/526c12ce4d0e1fdaf904048dc2afc0bc.jpg?v=1772863152","Open")</x:f>
        <x:v>HYPERLINK is not implemented. linkLocation=https://cdn.shopify.com/s/files/1/0918/6066/4603/files/526c12ce4d0e1fdaf904048dc2afc0bc.jpg?v=1772863152, friendlyName=Open</x:v>
      </x:c>
      <x:c r="C6737" s="24" t="e">
        <x:f>HYPERLINK("https://365nails.com/products/oriental-tassel-ornament-nail-stickers-5d-embossed-elegant-hanfu-set","Oriental Tassel Ornament Nail Stickers – 5D Embossed Elegant Hanfu Set")</x:f>
        <x:v>HYPERLINK is not implemented. linkLocation=https://365nails.com/products/oriental-tassel-ornament-nail-stickers-5d-embossed-elegant-hanfu-set, friendlyName=Oriental Tassel Ornament Nail Stickers – 5D Embossed Elegant Hanfu Set</x:v>
      </x:c>
      <x:c r="D6737" s="18" t="str">
        <x:v>Specification type: To4240-relief</x:v>
      </x:c>
      <x:c r="E6737" s="25" t="str">
        <x:v>$1.23</x:v>
      </x:c>
      <x:c r="F6737" s="19" t="str">
        <x:v>5</x:v>
      </x:c>
    </x:row>
    <x:row r="6738" ht="93" customHeight="1">
      <x:c r="A6738" s="19" t="n">
        <x:v>6735</x:v>
      </x:c>
      <x:c r="B6738" s="22" t="e">
        <x:f>HYPERLINK("https://cdn.shopify.com/s/files/1/0918/6066/4603/files/O1CN01OoA5Ze1HlXAMtROMh__2545140798-0-cib.jpg?v=1773542123","Open")</x:f>
        <x:v>HYPERLINK is not implemented. linkLocation=https://cdn.shopify.com/s/files/1/0918/6066/4603/files/O1CN01OoA5Ze1HlXAMtROMh__2545140798-0-cib.jpg?v=1773542123, friendlyName=Open</x:v>
      </x:c>
      <x:c r="C6738" s="24" t="e">
        <x:f>HYPERLINK("https://365nails.com/products/chinese-new-year-lion-dance-collection-lucky-lion-3d-embossed-nail-sticker","Chinese New Year Lion Dance Collection: ""Lucky Lion"" – 3D Embossed Nail Sticker")</x:f>
        <x:v>HYPERLINK is not implemented. linkLocation=https://365nails.com/products/chinese-new-year-lion-dance-collection-lucky-lion-3d-embossed-nail-sticker, friendlyName=Chinese New Year Lion Dance Collection: "Lucky Lion" – 3D Embossed Nail Sticker</x:v>
      </x:c>
      <x:c r="D6738" s="18" t="str">
        <x:v>Specification type: To5428-glitter / To5429-glitter powder / To5428-1-relief / To5429-1-relief</x:v>
      </x:c>
      <x:c r="E6738" s="25" t="str">
        <x:v>$1.23</x:v>
      </x:c>
      <x:c r="F6738" s="19" t="str">
        <x:v>5</x:v>
      </x:c>
    </x:row>
    <x:row r="6739" ht="93" customHeight="1">
      <x:c r="A6739" s="19" t="n">
        <x:v>6736</x:v>
      </x:c>
      <x:c r="B6739" s="22" t="e">
        <x:f>HYPERLINK("https://cdn.shopify.com/s/files/1/0918/6066/4603/files/6ff4d549b4b37c7614c57fd50dfa6a42.jpg?v=1772808232","Open")</x:f>
        <x:v>HYPERLINK is not implemented. linkLocation=https://cdn.shopify.com/s/files/1/0918/6066/4603/files/6ff4d549b4b37c7614c57fd50dfa6a42.jpg?v=1772808232, friendlyName=Open</x:v>
      </x:c>
      <x:c r="C6739" s="24" t="e">
        <x:f>HYPERLINK("https://365nails.com/products/pink-holographic-butterfly-nail-stickers-5d-embossed-dreamy-fairy-set","Pink Holographic Butterfly Nail Stickers – 5D Embossed Dreamy Fairy Set")</x:f>
        <x:v>HYPERLINK is not implemented. linkLocation=https://365nails.com/products/pink-holographic-butterfly-nail-stickers-5d-embossed-dreamy-fairy-set, friendlyName=Pink Holographic Butterfly Nail Stickers – 5D Embossed Dreamy Fairy Set</x:v>
      </x:c>
      <x:c r="D6739" s="18" t="str">
        <x:v>Specification type: Ms616-shell light / Ms617-shell light / Ms618-shell light</x:v>
      </x:c>
      <x:c r="E6739" s="25" t="str">
        <x:v>$1.23</x:v>
      </x:c>
      <x:c r="F6739" s="19" t="str">
        <x:v>5</x:v>
      </x:c>
    </x:row>
    <x:row r="6740" ht="93" customHeight="1">
      <x:c r="A6740" s="19" t="n">
        <x:v>6737</x:v>
      </x:c>
      <x:c r="B6740" s="22" t="e">
        <x:f>HYPERLINK("https://cdn.shopify.com/s/files/1/0918/6066/4603/files/O1CN015kgHRw1HlXB0kxoFp__2545140798-0-cib.jpg?v=1773484479","Open")</x:f>
        <x:v>HYPERLINK is not implemented. linkLocation=https://cdn.shopify.com/s/files/1/0918/6066/4603/files/O1CN015kgHRw1HlXB0kxoFp__2545140798-0-cib.jpg?v=1773484479, friendlyName=Open</x:v>
      </x:c>
      <x:c r="C6740" s="24" t="e">
        <x:f>HYPERLINK("https://365nails.com/products/lucky-maneki-neko-collection-fortune-cat-3d-embossed-nail-sticker","Lucky Maneki-neko Collection: ""Fortune Cat"" – 3D Embossed Nail Sticker")</x:f>
        <x:v>HYPERLINK is not implemented. linkLocation=https://365nails.com/products/lucky-maneki-neko-collection-fortune-cat-3d-embossed-nail-sticker, friendlyName=Lucky Maneki-neko Collection: "Fortune Cat" – 3D Embossed Nail Sticker</x:v>
      </x:c>
      <x:c r="D6740" s="18" t="str">
        <x:v>Specification type: To5595-relief</x:v>
      </x:c>
      <x:c r="E6740" s="25" t="str">
        <x:v>$1.23</x:v>
      </x:c>
      <x:c r="F6740" s="19" t="str">
        <x:v>5</x:v>
      </x:c>
    </x:row>
    <x:row r="6741" ht="93" customHeight="1">
      <x:c r="A6741" s="19" t="n">
        <x:v>6738</x:v>
      </x:c>
      <x:c r="B6741" s="22" t="e">
        <x:f>HYPERLINK("https://cdn.shopify.com/s/files/1/0918/6066/4603/files/O1CN01vYyll51HlX8fWRHSJ__2545140798-0-cib.jpg?v=1773497466","Open")</x:f>
        <x:v>HYPERLINK is not implemented. linkLocation=https://cdn.shopify.com/s/files/1/0918/6066/4603/files/O1CN01vYyll51HlX8fWRHSJ__2545140798-0-cib.jpg?v=1773497466, friendlyName=Open</x:v>
      </x:c>
      <x:c r="C6741" s="24" t="e">
        <x:f>HYPERLINK("https://365nails.com/products/retro-cartoon-collection-vintage-doodle-3d-embossed-nail-sticker","Retro Cartoon Collection: ""Vintage Doodle"" – 3D Embossed Nail Sticker")</x:f>
        <x:v>HYPERLINK is not implemented. linkLocation=https://365nails.com/products/retro-cartoon-collection-vintage-doodle-3d-embossed-nail-sticker, friendlyName=Retro Cartoon Collection: "Vintage Doodle" – 3D Embossed Nail Sticker</x:v>
      </x:c>
      <x:c r="D6741" s="18" t="str">
        <x:v>Specification type: To5217-relief / To5241-shell light</x:v>
      </x:c>
      <x:c r="E6741" s="25" t="str">
        <x:v>$1.23</x:v>
      </x:c>
      <x:c r="F6741" s="19" t="str">
        <x:v>5</x:v>
      </x:c>
    </x:row>
    <x:row r="6742" ht="93" customHeight="1">
      <x:c r="A6742" s="19" t="n">
        <x:v>6739</x:v>
      </x:c>
      <x:c r="B6742" s="22" t="e">
        <x:f>HYPERLINK("https://cdn.shopify.com/s/files/1/0918/6066/4603/files/O1CN01xMvqhF1HlWpPAUvOV__2545140798-0-cib.jpg?v=1773547084","Open")</x:f>
        <x:v>HYPERLINK is not implemented. linkLocation=https://cdn.shopify.com/s/files/1/0918/6066/4603/files/O1CN01xMvqhF1HlWpPAUvOV__2545140798-0-cib.jpg?v=1773547084, friendlyName=Open</x:v>
      </x:c>
      <x:c r="C6742" s="24" t="e">
        <x:f>HYPERLINK("https://365nails.com/products/gothic-old-english-font-collection-vintage-typography-3d-embossed-nail-sticker","Gothic Old English Font Collection: ""Vintage Typography"" – 3D Embossed Nail Sticker")</x:f>
        <x:v>HYPERLINK is not implemented. linkLocation=https://365nails.com/products/gothic-old-english-font-collection-vintage-typography-3d-embossed-nail-sticker, friendlyName=Gothic Old English Font Collection: "Vintage Typography" – 3D Embossed Nail Sticker</x:v>
      </x:c>
      <x:c r="D6742" s="18" t="str">
        <x:v>Specification type: To 1971 / To1972</x:v>
      </x:c>
      <x:c r="E6742" s="25" t="str">
        <x:v>$1.23</x:v>
      </x:c>
      <x:c r="F6742" s="19" t="str">
        <x:v>5</x:v>
      </x:c>
    </x:row>
    <x:row r="6743" ht="93" customHeight="1">
      <x:c r="A6743" s="19" t="n">
        <x:v>6740</x:v>
      </x:c>
      <x:c r="B6743" s="22" t="e">
        <x:f>HYPERLINK("https://cdn.shopify.com/s/files/1/0918/6066/4603/files/O1CN01vTItdx1HlX9xZTE2R__2545140798-0-cib.jpg?v=1773497571","Open")</x:f>
        <x:v>HYPERLINK is not implemented. linkLocation=https://cdn.shopify.com/s/files/1/0918/6066/4603/files/O1CN01vTItdx1HlX9xZTE2R__2545140798-0-cib.jpg?v=1773497571, friendlyName=Open</x:v>
      </x:c>
      <x:c r="C6743" s="24" t="e">
        <x:f>HYPERLINK("https://365nails.com/products/retro-cartoon-collection-vintage-doodle-3d-embossed-nail-sticker-1","Retro Cartoon Collection: ""Vintage Doodle"" – 3D Embossed Nail Sticker")</x:f>
        <x:v>HYPERLINK is not implemented. linkLocation=https://365nails.com/products/retro-cartoon-collection-vintage-doodle-3d-embossed-nail-sticker-1, friendlyName=Retro Cartoon Collection: "Vintage Doodle" – 3D Embossed Nail Sticker</x:v>
      </x:c>
      <x:c r="D6743" s="18" t="str">
        <x:v>Specification type: To5403-hot stamping</x:v>
      </x:c>
      <x:c r="E6743" s="25" t="str">
        <x:v>$1.23</x:v>
      </x:c>
      <x:c r="F6743" s="19" t="str">
        <x:v>5</x:v>
      </x:c>
    </x:row>
    <x:row r="6744" ht="93" customHeight="1">
      <x:c r="A6744" s="19" t="n">
        <x:v>6741</x:v>
      </x:c>
      <x:c r="B6744" s="22" t="e">
        <x:f>HYPERLINK("https://cdn.shopify.com/s/files/1/0918/6066/4603/files/d01703573c01b46f2c982f6fcf57cdda.jpg?v=1773234833","Open")</x:f>
        <x:v>HYPERLINK is not implemented. linkLocation=https://cdn.shopify.com/s/files/1/0918/6066/4603/files/d01703573c01b46f2c982f6fcf57cdda.jpg?v=1773234833, friendlyName=Open</x:v>
      </x:c>
      <x:c r="C6744" s="24" t="e">
        <x:f>HYPERLINK("https://365nails.com/products/vintage-cursive-word-minimalist-elegant-nail-art-set","Vintage Cursive Word – Minimalist Elegant Nail Art Stickers")</x:f>
        <x:v>HYPERLINK is not implemented. linkLocation=https://365nails.com/products/vintage-cursive-word-minimalist-elegant-nail-art-set, friendlyName=Vintage Cursive Word – Minimalist Elegant Nail Art Stickers</x:v>
      </x:c>
      <x:c r="D6744" s="18" t="str">
        <x:v>Specification type: To5641 / To5642</x:v>
      </x:c>
      <x:c r="E6744" s="25" t="str">
        <x:v>$1.00</x:v>
      </x:c>
      <x:c r="F6744" s="19" t="str">
        <x:v>1</x:v>
      </x:c>
    </x:row>
    <x:row r="6745" ht="93" customHeight="1">
      <x:c r="A6745" s="19" t="n">
        <x:v>6742</x:v>
      </x:c>
      <x:c r="B6745" s="22" t="e">
        <x:f>HYPERLINK("https://cdn.shopify.com/s/files/1/0918/6066/4603/files/7ae2c09322de0538ecdfeeb021979022.jpg?v=1772803560","Open")</x:f>
        <x:v>HYPERLINK is not implemented. linkLocation=https://cdn.shopify.com/s/files/1/0918/6066/4603/files/7ae2c09322de0538ecdfeeb021979022.jpg?v=1772803560, friendlyName=Open</x:v>
      </x:c>
      <x:c r="C6745" s="24" t="e">
        <x:f>HYPERLINK("https://365nails.com/products/peach-blossom-fruit-nail-stickers-5d-embossed-spring-botanical-set","Peach Blossom &amp; Fruit Nail Stickers – 5D Embossed Spring Botanical Set")</x:f>
        <x:v>HYPERLINK is not implemented. linkLocation=https://365nails.com/products/peach-blossom-fruit-nail-stickers-5d-embossed-spring-botanical-set, friendlyName=Peach Blossom &amp; Fruit Nail Stickers – 5D Embossed Spring Botanical Set</x:v>
      </x:c>
      <x:c r="D6745" s="18" t="str">
        <x:v>Specification type: To3881 / To3883</x:v>
      </x:c>
      <x:c r="E6745" s="25" t="str">
        <x:v>$1.09</x:v>
      </x:c>
      <x:c r="F6745" s="19" t="str">
        <x:v>5</x:v>
      </x:c>
    </x:row>
    <x:row r="6746" ht="93" customHeight="1">
      <x:c r="A6746" s="19" t="n">
        <x:v>6743</x:v>
      </x:c>
      <x:c r="B6746" s="22" t="e">
        <x:f>HYPERLINK("https://cdn.shopify.com/s/files/1/0918/6066/4603/files/f2f559f3adea39810742b675e5ebf966.jpg?v=1772865415","Open")</x:f>
        <x:v>HYPERLINK is not implemented. linkLocation=https://cdn.shopify.com/s/files/1/0918/6066/4603/files/f2f559f3adea39810742b675e5ebf966.jpg?v=1772865415, friendlyName=Open</x:v>
      </x:c>
      <x:c r="C6746" s="24" t="e">
        <x:f>HYPERLINK("https://365nails.com/products/vintage-christmas-teddy-bear-nail-stickers-5d-embossed-nostalgic-charm-set","Vintage Christmas Teddy Bear Nail Stickers – 5D Embossed Nostalgic Charm Set")</x:f>
        <x:v>HYPERLINK is not implemented. linkLocation=https://365nails.com/products/vintage-christmas-teddy-bear-nail-stickers-5d-embossed-nostalgic-charm-set, friendlyName=Vintage Christmas Teddy Bear Nail Stickers – 5D Embossed Nostalgic Charm Set</x:v>
      </x:c>
      <x:c r="D6746" s="18" t="str">
        <x:v>Specification type: To3567-relief / To3569-relief</x:v>
      </x:c>
      <x:c r="E6746" s="25" t="str">
        <x:v>$1.23</x:v>
      </x:c>
      <x:c r="F6746" s="19" t="str">
        <x:v>5</x:v>
      </x:c>
    </x:row>
    <x:row r="6747" ht="93" customHeight="1">
      <x:c r="A6747" s="19" t="n">
        <x:v>6744</x:v>
      </x:c>
      <x:c r="B6747" s="22" t="e">
        <x:f>HYPERLINK("https://cdn.shopify.com/s/files/1/0918/6066/4603/files/O1CN0125OEEc1HlWtE3QTFX__2545140798-0-cib.jpg?v=1773552894","Open")</x:f>
        <x:v>HYPERLINK is not implemented. linkLocation=https://cdn.shopify.com/s/files/1/0918/6066/4603/files/O1CN0125OEEc1HlWtE3QTFX__2545140798-0-cib.jpg?v=1773552894, friendlyName=Open</x:v>
      </x:c>
      <x:c r="C6747" s="24" t="e">
        <x:f>HYPERLINK("https://365nails.com/products/gothic-cross-saturn-collection-dark-elegance-3d-embossed-nail-sticker","Gothic Cross Saturn Collection: ""Dark Elegance"" – 3D Embossed Nail Sticker")</x:f>
        <x:v>HYPERLINK is not implemented. linkLocation=https://365nails.com/products/gothic-cross-saturn-collection-dark-elegance-3d-embossed-nail-sticker, friendlyName=Gothic Cross Saturn Collection: "Dark Elegance" – 3D Embossed Nail Sticker</x:v>
      </x:c>
      <x:c r="D6747" s="18" t="str">
        <x:v>Specification type: To2899 / To2900</x:v>
      </x:c>
      <x:c r="E6747" s="25" t="str">
        <x:v>$1.23</x:v>
      </x:c>
      <x:c r="F6747" s="19" t="str">
        <x:v>5</x:v>
      </x:c>
    </x:row>
    <x:row r="6748" ht="93" customHeight="1">
      <x:c r="A6748" s="19" t="n">
        <x:v>6745</x:v>
      </x:c>
      <x:c r="B6748" s="22" t="e">
        <x:f>HYPERLINK("https://cdn.shopify.com/s/files/1/0918/6066/4603/files/O1CN019a1BTx1HlX5FRc3cw__2545140798-0-cib.jpg?v=1773553153","Open")</x:f>
        <x:v>HYPERLINK is not implemented. linkLocation=https://cdn.shopify.com/s/files/1/0918/6066/4603/files/O1CN019a1BTx1HlX5FRc3cw__2545140798-0-cib.jpg?v=1773553153, friendlyName=Open</x:v>
      </x:c>
      <x:c r="C6748" s="24" t="e">
        <x:f>HYPERLINK("https://365nails.com/products/cherry-bow-crystal-collection-sweet-cherry-3d-embossed-nail-sticker","Cherry Bow Crystal Collection: ""Sweet Cherry"" – 3D Embossed Nail Sticker")</x:f>
        <x:v>HYPERLINK is not implemented. linkLocation=https://365nails.com/products/cherry-bow-crystal-collection-sweet-cherry-3d-embossed-nail-sticker, friendlyName=Cherry Bow Crystal Collection: "Sweet Cherry" – 3D Embossed Nail Sticker</x:v>
      </x:c>
      <x:c r="D6748" s="18" t="str">
        <x:v>Specification type: Ta382-crystal diamond</x:v>
      </x:c>
      <x:c r="E6748" s="25" t="str">
        <x:v>$1.30</x:v>
      </x:c>
      <x:c r="F6748" s="19" t="str">
        <x:v>5</x:v>
      </x:c>
    </x:row>
    <x:row r="6749" ht="93" customHeight="1">
      <x:c r="A6749" s="19" t="n">
        <x:v>6746</x:v>
      </x:c>
      <x:c r="B6749" s="22" t="e">
        <x:f>HYPERLINK("https://cdn.shopify.com/s/files/1/0918/6066/4603/files/O1CN01WcEfsO1HlX2aW4g85__2545140798-0-cib.jpg?v=1773547668","Open")</x:f>
        <x:v>HYPERLINK is not implemented. linkLocation=https://cdn.shopify.com/s/files/1/0918/6066/4603/files/O1CN01WcEfsO1HlX2aW4g85__2545140798-0-cib.jpg?v=1773547668, friendlyName=Open</x:v>
      </x:c>
      <x:c r="C6749" s="24" t="e">
        <x:f>HYPERLINK("https://365nails.com/products/white-bow-embossed-collection-eternal-bow-3d-embossed-nail-sticker","White Bow Embossed Collection: ""Eternal Bow"" – 3D Embossed Nail Sticker")</x:f>
        <x:v>HYPERLINK is not implemented. linkLocation=https://365nails.com/products/white-bow-embossed-collection-eternal-bow-3d-embossed-nail-sticker, friendlyName=White Bow Embossed Collection: "Eternal Bow" – 3D Embossed Nail Sticker</x:v>
      </x:c>
      <x:c r="D6749" s="18" t="str">
        <x:v>Specification type: Ms656-relief / Ms657-shell light / Ms658-relief / Ms659-shell light</x:v>
      </x:c>
      <x:c r="E6749" s="25" t="str">
        <x:v>$1.23</x:v>
      </x:c>
      <x:c r="F6749" s="19" t="str">
        <x:v>5</x:v>
      </x:c>
    </x:row>
    <x:row r="6750" ht="93" customHeight="1">
      <x:c r="A6750" s="19" t="n">
        <x:v>6747</x:v>
      </x:c>
      <x:c r="B6750" s="22" t="e">
        <x:f>HYPERLINK("https://cdn.shopify.com/s/files/1/0918/6066/4603/files/O1CN01TVIB9E1HlX1Fb9Sor__2545140798-0-cib.jpg?v=1772807537","Open")</x:f>
        <x:v>HYPERLINK is not implemented. linkLocation=https://cdn.shopify.com/s/files/1/0918/6066/4603/files/O1CN01TVIB9E1HlX1Fb9Sor__2545140798-0-cib.jpg?v=1772807537, friendlyName=Open</x:v>
      </x:c>
      <x:c r="C6750" s="24" t="e">
        <x:f>HYPERLINK("https://365nails.com/products/cute-puppy-floral-nail-stickers-5d-embossed-kawaii-collaboration-set","Cute Puppy &amp; Floral Nail Stickers – 5D Embossed Kawaii Collaboration Set")</x:f>
        <x:v>HYPERLINK is not implemented. linkLocation=https://365nails.com/products/cute-puppy-floral-nail-stickers-5d-embossed-kawaii-collaboration-set, friendlyName=Cute Puppy &amp; Floral Nail Stickers – 5D Embossed Kawaii Collaboration Set</x:v>
      </x:c>
      <x:c r="D6750" s="18" t="str">
        <x:v>Specification type: Mc18-relief</x:v>
      </x:c>
      <x:c r="E6750" s="25" t="str">
        <x:v>$1.30</x:v>
      </x:c>
      <x:c r="F6750" s="19" t="str">
        <x:v>5</x:v>
      </x:c>
    </x:row>
    <x:row r="6751" ht="93" customHeight="1">
      <x:c r="A6751" s="19" t="n">
        <x:v>6748</x:v>
      </x:c>
      <x:c r="B6751" s="22" t="e">
        <x:f>HYPERLINK("https://cdn.shopify.com/s/files/1/0918/6066/4603/files/10942b4c61fda39701502aac358715c9.jpg?v=1772872126","Open")</x:f>
        <x:v>HYPERLINK is not implemented. linkLocation=https://cdn.shopify.com/s/files/1/0918/6066/4603/files/10942b4c61fda39701502aac358715c9.jpg?v=1772872126, friendlyName=Open</x:v>
      </x:c>
      <x:c r="C6751" s="24" t="e">
        <x:f>HYPERLINK("https://365nails.com/products/cute-pink-monster-nail-stickers-5d-embossed-lucky-fortune-set","Cute Pink Monster Nail Stickers – 5D Embossed Lucky Fortune Set")</x:f>
        <x:v>HYPERLINK is not implemented. linkLocation=https://365nails.com/products/cute-pink-monster-nail-stickers-5d-embossed-lucky-fortune-set, friendlyName=Cute Pink Monster Nail Stickers – 5D Embossed Lucky Fortune Set</x:v>
      </x:c>
      <x:c r="D6751" s="18" t="str">
        <x:v>Specification type: To4734-1 shell light / To4734-shell light</x:v>
      </x:c>
      <x:c r="E6751" s="25" t="str">
        <x:v>$1.23</x:v>
      </x:c>
      <x:c r="F6751" s="19" t="str">
        <x:v>5</x:v>
      </x:c>
    </x:row>
    <x:row r="6752" ht="93" customHeight="1">
      <x:c r="A6752" s="19" t="n">
        <x:v>6749</x:v>
      </x:c>
      <x:c r="B6752" s="22" t="e">
        <x:f>HYPERLINK("https://cdn.shopify.com/s/files/1/0918/6066/4603/files/O1CN017ON1Kn1HlXB6MDfNx__2545140798-0-cib.jpg?v=1773547590","Open")</x:f>
        <x:v>HYPERLINK is not implemented. linkLocation=https://cdn.shopify.com/s/files/1/0918/6066/4603/files/O1CN017ON1Kn1HlXB6MDfNx__2545140798-0-cib.jpg?v=1773547590, friendlyName=Open</x:v>
      </x:c>
      <x:c r="C6752" s="24" t="e">
        <x:f>HYPERLINK("https://365nails.com/products/gothic-dark-tattoo-collection-edgy-rebellion-3d-embossed-nail-sticker","Gothic Dark Tattoo Collection: ""Edgy Rebellion"" – 3D Embossed Nail Sticker")</x:f>
        <x:v>HYPERLINK is not implemented. linkLocation=https://365nails.com/products/gothic-dark-tattoo-collection-edgy-rebellion-3d-embossed-nail-sticker, friendlyName=Gothic Dark Tattoo Collection: "Edgy Rebellion" – 3D Embossed Nail Sticker</x:v>
      </x:c>
      <x:c r="D6752" s="18" t="str">
        <x:v>Specification type: To5614 / To5615</x:v>
      </x:c>
      <x:c r="E6752" s="25" t="str">
        <x:v>$0.65</x:v>
      </x:c>
      <x:c r="F6752" s="19" t="str">
        <x:v>5</x:v>
      </x:c>
    </x:row>
    <x:row r="6753" ht="93" customHeight="1">
      <x:c r="A6753" s="19" t="n">
        <x:v>6750</x:v>
      </x:c>
      <x:c r="B6753" s="22" t="e">
        <x:f>HYPERLINK("https://cdn.shopify.com/s/files/1/0918/6066/4603/files/d25a896d9d2bcc1940065d95e3f108d3.jpg?v=1772806594","Open")</x:f>
        <x:v>HYPERLINK is not implemented. linkLocation=https://cdn.shopify.com/s/files/1/0918/6066/4603/files/d25a896d9d2bcc1940065d95e3f108d3.jpg?v=1772806594, friendlyName=Open</x:v>
      </x:c>
      <x:c r="C6753" s="24" t="e">
        <x:f>HYPERLINK("https://365nails.com/products/holographic-shell-butterfly-nail-stickers-5d-embossed-dreamy-mermaid-set","Holographic Shell Butterfly Nail Stickers – 5D Embossed Dreamy Mermaid Set")</x:f>
        <x:v>HYPERLINK is not implemented. linkLocation=https://365nails.com/products/holographic-shell-butterfly-nail-stickers-5d-embossed-dreamy-mermaid-set, friendlyName=Holographic Shell Butterfly Nail Stickers – 5D Embossed Dreamy Mermaid Set</x:v>
      </x:c>
      <x:c r="D6753" s="18" t="str">
        <x:v>Specification type: Ms590-shell light / Ms591-shell light</x:v>
      </x:c>
      <x:c r="E6753" s="25" t="str">
        <x:v>$1.23</x:v>
      </x:c>
      <x:c r="F6753" s="19" t="str">
        <x:v>5</x:v>
      </x:c>
    </x:row>
    <x:row r="6754" ht="93" customHeight="1">
      <x:c r="A6754" s="19" t="n">
        <x:v>6751</x:v>
      </x:c>
      <x:c r="B6754" s="22" t="e">
        <x:f>HYPERLINK("https://cdn.shopify.com/s/files/1/0918/6066/4603/files/0bf4a19a4a6045ba023e3fa0705a8f77.jpg?v=1773465275","Open")</x:f>
        <x:v>HYPERLINK is not implemented. linkLocation=https://cdn.shopify.com/s/files/1/0918/6066/4603/files/0bf4a19a4a6045ba023e3fa0705a8f77.jpg?v=1773465275, friendlyName=Open</x:v>
      </x:c>
      <x:c r="C6754" s="24" t="e">
        <x:f>HYPERLINK("https://365nails.com/products/crystal-butterfly-snowflake-collection-iridescent-crystal-butterfly-snowflake-3d-embossed-nail-sticker","Crystal Butterfly &amp; Snowflake Collection: ""Iridescent Crystal Butterfly &amp; Snowflake"" – 3D Embossed Nail Sticker")</x:f>
        <x:v>HYPERLINK is not implemented. linkLocation=https://365nails.com/products/crystal-butterfly-snowflake-collection-iridescent-crystal-butterfly-snowflake-3d-embossed-nail-sticker, friendlyName=Crystal Butterfly &amp; Snowflake Collection: "Iridescent Crystal Butterfly &amp; Snowflake" – 3D Embossed Nail Sticker</x:v>
      </x:c>
      <x:c r="D6754" s="18" t="str">
        <x:v>Specification type: Customized contact customer service</x:v>
      </x:c>
      <x:c r="E6754" s="25" t="str">
        <x:v>$1.11</x:v>
      </x:c>
      <x:c r="F6754" s="19" t="str">
        <x:v>5</x:v>
      </x:c>
    </x:row>
    <x:row r="6755" ht="93" customHeight="1">
      <x:c r="A6755" s="19" t="n">
        <x:v>6752</x:v>
      </x:c>
      <x:c r="B6755" s="22" t="e">
        <x:f>HYPERLINK("https://cdn.shopify.com/s/files/1/0918/6066/4603/files/O1CN01F71jLu1HlX5P1m85B__2545140798-0-cib.jpg?v=1772873242","Open")</x:f>
        <x:v>HYPERLINK is not implemented. linkLocation=https://cdn.shopify.com/s/files/1/0918/6066/4603/files/O1CN01F71jLu1HlX5P1m85B__2545140798-0-cib.jpg?v=1772873242, friendlyName=Open</x:v>
      </x:c>
      <x:c r="C6755" s="24" t="e">
        <x:f>HYPERLINK("https://365nails.com/products/nail-stickers-cute-puppy-girl-nail-stickers-5d-embossed-happy-autumn-set","nail stickers Cute Puppy &amp; Girl Nail Stickers – 5D Embossed Happy Autumn Set")</x:f>
        <x:v>HYPERLINK is not implemented. linkLocation=https://365nails.com/products/nail-stickers-cute-puppy-girl-nail-stickers-5d-embossed-happy-autumn-set, friendlyName=nail stickers Cute Puppy &amp; Girl Nail Stickers – 5D Embossed Happy Autumn Set</x:v>
      </x:c>
      <x:c r="D6755" s="18" t="str">
        <x:v>Specification type: Mc60</x:v>
      </x:c>
      <x:c r="E6755" s="25" t="str">
        <x:v>$1.16</x:v>
      </x:c>
      <x:c r="F6755" s="19" t="str">
        <x:v>5</x:v>
      </x:c>
    </x:row>
    <x:row r="6756" ht="93" customHeight="1">
      <x:c r="A6756" s="19" t="n">
        <x:v>6753</x:v>
      </x:c>
      <x:c r="B6756" s="22" t="e">
        <x:f>HYPERLINK("https://cdn.shopify.com/s/files/1/0918/6066/4603/files/7a417feff16d1349322f5647b5adfd09.jpg?v=1772864694","Open")</x:f>
        <x:v>HYPERLINK is not implemented. linkLocation=https://cdn.shopify.com/s/files/1/0918/6066/4603/files/7a417feff16d1349322f5647b5adfd09.jpg?v=1772864694, friendlyName=Open</x:v>
      </x:c>
      <x:c r="C6756" s="24" t="e">
        <x:f>HYPERLINK("https://365nails.com/products/holographic-iridescent-butterfly-nail-stickers-5d-embossed-fairy-wing-set-1","Holographic Iridescent Butterfly Nail Stickers – 5D Embossed Fairy Wing Set")</x:f>
        <x:v>HYPERLINK is not implemented. linkLocation=https://365nails.com/products/holographic-iridescent-butterfly-nail-stickers-5d-embossed-fairy-wing-set-1, friendlyName=Holographic Iridescent Butterfly Nail Stickers – 5D Embossed Fairy Wing Set</x:v>
      </x:c>
      <x:c r="D6756" s="18" t="str">
        <x:v>Specification type: Ms679-jelly / Ms680-1 shell light / Ms680-jelly</x:v>
      </x:c>
      <x:c r="E6756" s="25" t="str">
        <x:v>$1.23</x:v>
      </x:c>
      <x:c r="F6756" s="19" t="str">
        <x:v>5</x:v>
      </x:c>
    </x:row>
    <x:row r="6757" ht="93" customHeight="1">
      <x:c r="A6757" s="19" t="n">
        <x:v>6754</x:v>
      </x:c>
      <x:c r="B6757" s="22" t="e">
        <x:f>HYPERLINK("https://cdn.shopify.com/s/files/1/0918/6066/4603/files/O1CN01XlQ4Dd1HlX5GWEWjH__2545140798-0-cib.jpg?v=1773546845","Open")</x:f>
        <x:v>HYPERLINK is not implemented. linkLocation=https://cdn.shopify.com/s/files/1/0918/6066/4603/files/O1CN01XlQ4Dd1HlX5GWEWjH__2545140798-0-cib.jpg?v=1773546845, friendlyName=Open</x:v>
      </x:c>
      <x:c r="C6757" s="24" t="e">
        <x:f>HYPERLINK("https://365nails.com/products/white-lace-butterfly-collection-romantic-flutter-3d-embossed-nail-sticker","White Lace Butterfly Collection: ""Romantic Flutter"" – 3D Embossed Nail Sticker")</x:f>
        <x:v>HYPERLINK is not implemented. linkLocation=https://365nails.com/products/white-lace-butterfly-collection-romantic-flutter-3d-embossed-nail-sticker, friendlyName=White Lace Butterfly Collection: "Romantic Flutter" – 3D Embossed Nail Sticker</x:v>
      </x:c>
      <x:c r="D6757" s="18" t="str">
        <x:v>Specification type: To4831 / To4832 / To4833</x:v>
      </x:c>
      <x:c r="E6757" s="25" t="str">
        <x:v>$1.09</x:v>
      </x:c>
      <x:c r="F6757" s="19" t="str">
        <x:v>5</x:v>
      </x:c>
    </x:row>
    <x:row r="6758" ht="93" customHeight="1">
      <x:c r="A6758" s="19" t="n">
        <x:v>6755</x:v>
      </x:c>
      <x:c r="B6758" s="22" t="e">
        <x:f>HYPERLINK("https://cdn.shopify.com/s/files/1/0918/6066/4603/files/O1CN01l5kUGd1HlWpzvAUJj__2545140798-0-cib.jpg?v=1773546770","Open")</x:f>
        <x:v>HYPERLINK is not implemented. linkLocation=https://cdn.shopify.com/s/files/1/0918/6066/4603/files/O1CN01l5kUGd1HlWpzvAUJj__2545140798-0-cib.jpg?v=1773546770, friendlyName=Open</x:v>
      </x:c>
      <x:c r="C6758" s="24" t="e">
        <x:f>HYPERLINK("https://365nails.com/products/vintage-lace-embroidery-collection-elegant-filigree-3d-embossed-nail-sticker","Vintage Lace Embroidery Collection: ""Elegant Filigree"" – 3D Embossed Nail Sticker")</x:f>
        <x:v>HYPERLINK is not implemented. linkLocation=https://365nails.com/products/vintage-lace-embroidery-collection-elegant-filigree-3d-embossed-nail-sticker, friendlyName=Vintage Lace Embroidery Collection: "Elegant Filigree" – 3D Embossed Nail Sticker</x:v>
      </x:c>
      <x:c r="D6758" s="18" t="str">
        <x:v>Specification type: Ta 126 / Ta 127 / Ta 128 / Ta 129 / Ta 130 / Ta 125</x:v>
      </x:c>
      <x:c r="E6758" s="25" t="str">
        <x:v>$1.23</x:v>
      </x:c>
      <x:c r="F6758" s="19" t="str">
        <x:v>5</x:v>
      </x:c>
    </x:row>
    <x:row r="6759" ht="93" customHeight="1">
      <x:c r="A6759" s="19" t="n">
        <x:v>6756</x:v>
      </x:c>
      <x:c r="B6759" s="22" t="e">
        <x:f>HYPERLINK("https://cdn.shopify.com/s/files/1/0918/6066/4603/files/98f4327051b5dd196d765bd7beb502e9.jpg?v=1772865690","Open")</x:f>
        <x:v>HYPERLINK is not implemented. linkLocation=https://cdn.shopify.com/s/files/1/0918/6066/4603/files/98f4327051b5dd196d765bd7beb502e9.jpg?v=1772865690, friendlyName=Open</x:v>
      </x:c>
      <x:c r="C6759" s="24" t="e">
        <x:f>HYPERLINK("https://365nails.com/products/vintage-frame-floral-nail-stickers-5d-embossed-gilded-elegance-set","Vintage Frame Floral Nail Stickers – 5D Embossed Gilded Elegance Set")</x:f>
        <x:v>HYPERLINK is not implemented. linkLocation=https://365nails.com/products/vintage-frame-floral-nail-stickers-5d-embossed-gilded-elegance-set, friendlyName=Vintage Frame Floral Nail Stickers – 5D Embossed Gilded Elegance Set</x:v>
      </x:c>
      <x:c r="D6759" s="18" t="str">
        <x:v>Specification type: Ms492-rose gold / Ms492-new hot stamping / Ms697-new hot stamping</x:v>
      </x:c>
      <x:c r="E6759" s="25" t="str">
        <x:v>$1.23</x:v>
      </x:c>
      <x:c r="F6759" s="19" t="str">
        <x:v>5</x:v>
      </x:c>
    </x:row>
    <x:row r="6760" ht="93" customHeight="1">
      <x:c r="A6760" s="19" t="n">
        <x:v>6757</x:v>
      </x:c>
      <x:c r="B6760" s="22" t="e">
        <x:f>HYPERLINK("https://cdn.shopify.com/s/files/1/0918/6066/4603/files/58b9a63adf149681d783a36323c1ea86.jpg?v=1772864955","Open")</x:f>
        <x:v>HYPERLINK is not implemented. linkLocation=https://cdn.shopify.com/s/files/1/0918/6066/4603/files/58b9a63adf149681d783a36323c1ea86.jpg?v=1772864955, friendlyName=Open</x:v>
      </x:c>
      <x:c r="C6760" s="24" t="e">
        <x:f>HYPERLINK("https://365nails.com/products/holographic-pink-snake-floral-nail-stickers-5d-embossed-sweet-serpent-set","Holographic Pink Snake &amp; Floral Nail Stickers – 5D Embossed Sweet Serpent Set")</x:f>
        <x:v>HYPERLINK is not implemented. linkLocation=https://365nails.com/products/holographic-pink-snake-floral-nail-stickers-5d-embossed-sweet-serpent-set, friendlyName=Holographic Pink Snake &amp; Floral Nail Stickers – 5D Embossed Sweet Serpent Set</x:v>
      </x:c>
      <x:c r="D6760" s="18" t="str">
        <x:v>Specification type: To4457-jelly / To4458-jelly</x:v>
      </x:c>
      <x:c r="E6760" s="25" t="str">
        <x:v>$1.23</x:v>
      </x:c>
      <x:c r="F6760" s="19" t="str">
        <x:v>5</x:v>
      </x:c>
    </x:row>
    <x:row r="6761" ht="93" customHeight="1">
      <x:c r="A6761" s="19" t="n">
        <x:v>6758</x:v>
      </x:c>
      <x:c r="B6761" s="22" t="e">
        <x:f>HYPERLINK("https://cdn.shopify.com/s/files/1/0918/6066/4603/files/O1CN01QWYiIG1HlX1iVd69M__2545140798-0-cib.jpg?v=1773544343","Open")</x:f>
        <x:v>HYPERLINK is not implemented. linkLocation=https://cdn.shopify.com/s/files/1/0918/6066/4603/files/O1CN01QWYiIG1HlX1iVd69M__2545140798-0-cib.jpg?v=1773544343, friendlyName=Open</x:v>
      </x:c>
      <x:c r="C6761" s="24" t="e">
        <x:f>HYPERLINK("https://365nails.com/products/mini-rose-bow-collection-blush-petal-3d-embossed-nail-sticker","Mini Rose Bow Collection: ""Blush Petal"" – 3D Embossed Nail Sticker")</x:f>
        <x:v>HYPERLINK is not implemented. linkLocation=https://365nails.com/products/mini-rose-bow-collection-blush-petal-3d-embossed-nail-sticker, friendlyName=Mini Rose Bow Collection: "Blush Petal" – 3D Embossed Nail Sticker</x:v>
      </x:c>
      <x:c r="D6761" s="18" t="str">
        <x:v>Specification type: Ms 637</x:v>
      </x:c>
      <x:c r="E6761" s="25" t="str">
        <x:v>$1.09</x:v>
      </x:c>
      <x:c r="F6761" s="19" t="str">
        <x:v>5</x:v>
      </x:c>
    </x:row>
    <x:row r="6762" ht="93" customHeight="1">
      <x:c r="A6762" s="19" t="n">
        <x:v>6759</x:v>
      </x:c>
      <x:c r="B6762" s="22" t="e">
        <x:f>HYPERLINK("https://cdn.shopify.com/s/files/1/0918/6066/4603/files/40de758840f7d8b67a0cdd7b09eaed26.jpg?v=1772864321","Open")</x:f>
        <x:v>HYPERLINK is not implemented. linkLocation=https://cdn.shopify.com/s/files/1/0918/6066/4603/files/40de758840f7d8b67a0cdd7b09eaed26.jpg?v=1772864321, friendlyName=Open</x:v>
      </x:c>
      <x:c r="C6762" s="24" t="e">
        <x:f>HYPERLINK("https://365nails.com/products/monochrome-panda-cat-nail-stickers-5d-embossed-edgy-minimalist-set","Monochrome Panda &amp; Cat Nail Stickers – 5D Embossed Edgy Minimalist Set")</x:f>
        <x:v>HYPERLINK is not implemented. linkLocation=https://365nails.com/products/monochrome-panda-cat-nail-stickers-5d-embossed-edgy-minimalist-set, friendlyName=Monochrome Panda &amp; Cat Nail Stickers – 5D Embossed Edgy Minimalist Set</x:v>
      </x:c>
      <x:c r="D6762" s="18" t="str">
        <x:v>Specification type: Ta368-relief / Ta369-relief / Ta370-relief</x:v>
      </x:c>
      <x:c r="E6762" s="25" t="str">
        <x:v>$1.23</x:v>
      </x:c>
      <x:c r="F6762" s="19" t="str">
        <x:v>5</x:v>
      </x:c>
    </x:row>
    <x:row r="6763" ht="93" customHeight="1">
      <x:c r="A6763" s="19" t="n">
        <x:v>6760</x:v>
      </x:c>
      <x:c r="B6763" s="22" t="e">
        <x:f>HYPERLINK("https://cdn.shopify.com/s/files/1/0918/6066/4603/files/O1CN013Crdp61HlX5apAfUs__2545140798-0-cib.jpg?v=1773548105","Open")</x:f>
        <x:v>HYPERLINK is not implemented. linkLocation=https://cdn.shopify.com/s/files/1/0918/6066/4603/files/O1CN013Crdp61HlX5apAfUs__2545140798-0-cib.jpg?v=1773548105, friendlyName=Open</x:v>
      </x:c>
      <x:c r="C6763" s="24" t="e">
        <x:f>HYPERLINK("https://365nails.com/products/daisy-spring-collection-fresh-daisy-3d-embossed-nail-sticker","Daisy Spring Collection: ""Fresh Daisy"" – 3D Embossed Nail Sticker")</x:f>
        <x:v>HYPERLINK is not implemented. linkLocation=https://365nails.com/products/daisy-spring-collection-fresh-daisy-3d-embossed-nail-sticker, friendlyName=Daisy Spring Collection: "Fresh Daisy" – 3D Embossed Nail Sticker</x:v>
      </x:c>
      <x:c r="D6763" s="18" t="str">
        <x:v>Specification type: To4877-shell light / To4878-relief</x:v>
      </x:c>
      <x:c r="E6763" s="25" t="str">
        <x:v>$1.23</x:v>
      </x:c>
      <x:c r="F6763" s="19" t="str">
        <x:v>5</x:v>
      </x:c>
    </x:row>
    <x:row r="6764" ht="93" customHeight="1">
      <x:c r="A6764" s="19" t="n">
        <x:v>6761</x:v>
      </x:c>
      <x:c r="B6764" s="22" t="e">
        <x:f>HYPERLINK("https://cdn.shopify.com/s/files/1/0918/6066/4603/files/O1CN01fPnM5x1HlX9S4b2SX__2545140798-0-cib.jpg?v=1773497359","Open")</x:f>
        <x:v>HYPERLINK is not implemented. linkLocation=https://cdn.shopify.com/s/files/1/0918/6066/4603/files/O1CN01fPnM5x1HlX9S4b2SX__2545140798-0-cib.jpg?v=1773497359, friendlyName=Open</x:v>
      </x:c>
      <x:c r="C6764" s="24" t="e">
        <x:f>HYPERLINK("https://365nails.com/products/teddy-bear-dessert-collection-sweet-teddy-3d-embossed-nail-sticker","Teddy Bear Dessert Collection: ""Sweet Teddy"" – 3D Embossed Nail Sticker")</x:f>
        <x:v>HYPERLINK is not implemented. linkLocation=https://365nails.com/products/teddy-bear-dessert-collection-sweet-teddy-3d-embossed-nail-sticker, friendlyName=Teddy Bear Dessert Collection: "Sweet Teddy" – 3D Embossed Nail Sticker</x:v>
      </x:c>
      <x:c r="D6764" s="18" t="str">
        <x:v>Specification type: To5309-relief / To5259-relief / To5360-relief</x:v>
      </x:c>
      <x:c r="E6764" s="25" t="str">
        <x:v>$1.23</x:v>
      </x:c>
      <x:c r="F6764" s="19" t="str">
        <x:v>5</x:v>
      </x:c>
    </x:row>
    <x:row r="6765" ht="93" customHeight="1">
      <x:c r="A6765" s="19" t="n">
        <x:v>6762</x:v>
      </x:c>
      <x:c r="B6765" s="22" t="e">
        <x:f>HYPERLINK("https://cdn.shopify.com/s/files/1/0918/6066/4603/files/3d30f27edfed62d31d427b8035faa286.jpg?v=1777808971","Open")</x:f>
        <x:v>HYPERLINK is not implemented. linkLocation=https://cdn.shopify.com/s/files/1/0918/6066/4603/files/3d30f27edfed62d31d427b8035faa286.jpg?v=1777808971, friendlyName=Open</x:v>
      </x:c>
      <x:c r="C6765" s="24" t="e">
        <x:f>HYPERLINK("https://365nails.com/products/365nails-burgundy-v-shade-handmade-medium-coffin-press-on-nails","365nails: ""Burgundy V-Shade"" – Handmade Medium Coffin Press-On Nails")</x:f>
        <x:v>HYPERLINK is not implemented. linkLocation=https://365nails.com/products/365nails-burgundy-v-shade-handmade-medium-coffin-press-on-nails, friendlyName=365nails: "Burgundy V-Shade" – Handmade Medium Coffin Press-On Nails</x:v>
      </x:c>
      <x:c r="D6765" s="18" t="str">
        <x:v>Size: XS / S / M / L</x:v>
      </x:c>
      <x:c r="E6765" s="25" t="str">
        <x:v>$2.99</x:v>
      </x:c>
      <x:c r="F6765" s="19" t="str">
        <x:v>5</x:v>
      </x:c>
    </x:row>
    <x:row r="6766" ht="93" customHeight="1">
      <x:c r="A6766" s="19" t="n">
        <x:v>6763</x:v>
      </x:c>
      <x:c r="B6766" s="22" t="e">
        <x:f>HYPERLINK("https://cdn.shopify.com/s/files/1/0918/6066/4603/files/O1CN01GP5Wbs1HlXB1ZfAij__2545140798-0-cib.jpg?v=1773553768","Open")</x:f>
        <x:v>HYPERLINK is not implemented. linkLocation=https://cdn.shopify.com/s/files/1/0918/6066/4603/files/O1CN01GP5Wbs1HlXB1ZfAij__2545140798-0-cib.jpg?v=1773553768, friendlyName=Open</x:v>
      </x:c>
      <x:c r="C6766" s="24" t="e">
        <x:f>HYPERLINK("https://365nails.com/products/silver-romantic-script-collection-elegant-cursive-3d-embossed-nail-sticker","Silver Romantic Script Collection: ""Elegant Cursive"" – 3D Embossed Nail Sticker")</x:f>
        <x:v>HYPERLINK is not implemented. linkLocation=https://365nails.com/products/silver-romantic-script-collection-elegant-cursive-3d-embossed-nail-sticker, friendlyName=Silver Romantic Script Collection: "Elegant Cursive" – 3D Embossed Nail Sticker</x:v>
      </x:c>
      <x:c r="D6766" s="18" t="str">
        <x:v>Specification type: To5576-laser</x:v>
      </x:c>
      <x:c r="E6766" s="25" t="str">
        <x:v>$1.23</x:v>
      </x:c>
      <x:c r="F6766" s="19" t="str">
        <x:v>5</x:v>
      </x:c>
    </x:row>
    <x:row r="6767" ht="93" customHeight="1">
      <x:c r="A6767" s="19" t="n">
        <x:v>6764</x:v>
      </x:c>
      <x:c r="B6767" s="22" t="e">
        <x:f>HYPERLINK("https://cdn.shopify.com/s/files/1/0918/6066/4603/files/de4ab2f8865d5283d4f8b6b17fc4dd97.jpg?v=1777809331","Open")</x:f>
        <x:v>HYPERLINK is not implemented. linkLocation=https://cdn.shopify.com/s/files/1/0918/6066/4603/files/de4ab2f8865d5283d4f8b6b17fc4dd97.jpg?v=1777809331, friendlyName=Open</x:v>
      </x:c>
      <x:c r="C6767" s="24" t="e">
        <x:f>HYPERLINK("https://365nails.com/products/365nails-golden-star-french-handmade-medium-stiletto-press-on-nails","365nails: ""Golden Star French"" – Handmade Medium Stiletto Press-On Nails")</x:f>
        <x:v>HYPERLINK is not implemented. linkLocation=https://365nails.com/products/365nails-golden-star-french-handmade-medium-stiletto-press-on-nails, friendlyName=365nails: "Golden Star French" – Handmade Medium Stiletto Press-On Nails</x:v>
      </x:c>
      <x:c r="D6767" s="18" t="str">
        <x:v>Size: XS / S / M / L</x:v>
      </x:c>
      <x:c r="E6767" s="25" t="str">
        <x:v>$2.99</x:v>
      </x:c>
      <x:c r="F6767" s="19" t="str">
        <x:v>5</x:v>
      </x:c>
    </x:row>
    <x:row r="6768" ht="93" customHeight="1">
      <x:c r="A6768" s="19" t="n">
        <x:v>6765</x:v>
      </x:c>
      <x:c r="B6768" s="22" t="e">
        <x:f>HYPERLINK("https://cdn.shopify.com/s/files/1/0918/6066/4603/files/bcffe0a2d79c99e7569d342f25bf02cd.jpg?v=1773239576","Open")</x:f>
        <x:v>HYPERLINK is not implemented. linkLocation=https://cdn.shopify.com/s/files/1/0918/6066/4603/files/bcffe0a2d79c99e7569d342f25bf02cd.jpg?v=1773239576, friendlyName=Open</x:v>
      </x:c>
      <x:c r="C6768" s="24" t="e">
        <x:f>HYPERLINK("https://365nails.com/products/pastel-wildflower-meadow-fresh-romantic-nail-art-set","Pastel Wildflower Meadow – Fresh Romantic Nail Art Set")</x:f>
        <x:v>HYPERLINK is not implemented. linkLocation=https://365nails.com/products/pastel-wildflower-meadow-fresh-romantic-nail-art-set, friendlyName=Pastel Wildflower Meadow – Fresh Romantic Nail Art Set</x:v>
      </x:c>
      <x:c r="D6768" s="18" t="str">
        <x:v>Specification type: To4513-relief / To4543-shell light</x:v>
      </x:c>
      <x:c r="E6768" s="25" t="str">
        <x:v>$1.23</x:v>
      </x:c>
      <x:c r="F6768" s="19" t="str">
        <x:v>1</x:v>
      </x:c>
    </x:row>
    <x:row r="6769" ht="93" customHeight="1">
      <x:c r="A6769" s="19" t="n">
        <x:v>6766</x:v>
      </x:c>
      <x:c r="B6769" s="22" t="e">
        <x:f>HYPERLINK("https://cdn.shopify.com/s/files/1/0918/6066/4603/files/O1CN016kktXZ1HlWvkmqqsp__2545140798-0-cib.jpg?v=1773552971","Open")</x:f>
        <x:v>HYPERLINK is not implemented. linkLocation=https://cdn.shopify.com/s/files/1/0918/6066/4603/files/O1CN016kktXZ1HlWvkmqqsp__2545140798-0-cib.jpg?v=1773552971, friendlyName=Open</x:v>
      </x:c>
      <x:c r="C6769" s="24" t="e">
        <x:f>HYPERLINK("https://365nails.com/products/googly-eyes-jelly-collection-silly-fun-3d-embossed-nail-sticker","Googly Eyes Jelly Collection: ""Silly Fun"" – 3D Embossed Nail Sticker")</x:f>
        <x:v>HYPERLINK is not implemented. linkLocation=https://365nails.com/products/googly-eyes-jelly-collection-silly-fun-3d-embossed-nail-sticker, friendlyName=Googly Eyes Jelly Collection: "Silly Fun" – 3D Embossed Nail Sticker</x:v>
      </x:c>
      <x:c r="D6769" s="18" t="str">
        <x:v>Specification type: Ta 251 / Ta 252 / Ta 253 / Ta 254</x:v>
      </x:c>
      <x:c r="E6769" s="25" t="str">
        <x:v>$1.23</x:v>
      </x:c>
      <x:c r="F6769" s="19" t="str">
        <x:v>5</x:v>
      </x:c>
    </x:row>
    <x:row r="6770" ht="93" customHeight="1">
      <x:c r="A6770" s="19" t="n">
        <x:v>6767</x:v>
      </x:c>
      <x:c r="B6770" s="22" t="e">
        <x:f>HYPERLINK("https://cdn.shopify.com/s/files/1/0918/6066/4603/files/O1CN01OMD9SY1HlXAuSawCc__2545140798-0-cib.jpg?v=1773546067","Open")</x:f>
        <x:v>HYPERLINK is not implemented. linkLocation=https://cdn.shopify.com/s/files/1/0918/6066/4603/files/O1CN01OMD9SY1HlXAuSawCc__2545140798-0-cib.jpg?v=1773546067, friendlyName=Open</x:v>
      </x:c>
      <x:c r="C6770" s="24" t="e">
        <x:f>HYPERLINK("https://365nails.com/products/golden-pegasus-collection-mythic-flight-3d-metallic-gold-nail-sticker","Golden Pegasus Collection: ""Mythic Flight"" – 3D Metallic Gold Nail Sticker")</x:f>
        <x:v>HYPERLINK is not implemented. linkLocation=https://365nails.com/products/golden-pegasus-collection-mythic-flight-3d-metallic-gold-nail-sticker, friendlyName=Golden Pegasus Collection: "Mythic Flight" – 3D Metallic Gold Nail Sticker</x:v>
      </x:c>
      <x:c r="D6770" s="18" t="str">
        <x:v>Specification type: To5560-new hot stamping / To5560-silver</x:v>
      </x:c>
      <x:c r="E6770" s="25" t="str">
        <x:v>$0.80</x:v>
      </x:c>
      <x:c r="F6770" s="19" t="str">
        <x:v>5</x:v>
      </x:c>
    </x:row>
    <x:row r="6771" ht="93" customHeight="1">
      <x:c r="A6771" s="19" t="n">
        <x:v>6768</x:v>
      </x:c>
      <x:c r="B6771" s="22" t="e">
        <x:f>HYPERLINK("https://cdn.shopify.com/s/files/1/0918/6066/4603/files/O1CN013Jqhtt1HlWznOu7l4__2545140798-0-cib.jpg?v=1773553582","Open")</x:f>
        <x:v>HYPERLINK is not implemented. linkLocation=https://cdn.shopify.com/s/files/1/0918/6066/4603/files/O1CN013Jqhtt1HlWznOu7l4__2545140798-0-cib.jpg?v=1773553582, friendlyName=Open</x:v>
      </x:c>
      <x:c r="C6771" s="24" t="e">
        <x:f>HYPERLINK("https://365nails.com/products/crystal-butterfly-collection-ethereal-wings-3d-embossed-nail-sticker","Crystal Butterfly Collection: ""Ethereal Wings"" – 3D Embossed Nail Sticker")</x:f>
        <x:v>HYPERLINK is not implemented. linkLocation=https://365nails.com/products/crystal-butterfly-collection-ethereal-wings-3d-embossed-nail-sticker, friendlyName=Crystal Butterfly Collection: "Ethereal Wings" – 3D Embossed Nail Sticker</x:v>
      </x:c>
      <x:c r="D6771" s="18" t="str">
        <x:v>Specification type: To3817-crystal diamond / To3818-crystal diamond</x:v>
      </x:c>
      <x:c r="E6771" s="25" t="str">
        <x:v>$1.30</x:v>
      </x:c>
      <x:c r="F6771" s="19" t="str">
        <x:v>5</x:v>
      </x:c>
    </x:row>
    <x:row r="6772" ht="93" customHeight="1">
      <x:c r="A6772" s="19" t="n">
        <x:v>6769</x:v>
      </x:c>
      <x:c r="B6772" s="22" t="e">
        <x:f>HYPERLINK("https://cdn.shopify.com/s/files/1/0918/6066/4603/files/O1CN01VBS6z31HlX2m1Ru0a__2545140798-0-cib.jpg?v=1772864405","Open")</x:f>
        <x:v>HYPERLINK is not implemented. linkLocation=https://cdn.shopify.com/s/files/1/0918/6066/4603/files/O1CN01VBS6z31HlX2m1Ru0a__2545140798-0-cib.jpg?v=1772864405, friendlyName=Open</x:v>
      </x:c>
      <x:c r="C6772" s="24" t="e">
        <x:f>HYPERLINK("https://365nails.com/products/kawaii-animal-jam-nail-stickers-5d-embossed-sweet-collaboration-set","Kawaii Animal &amp; Jam Nail Stickers – 5D Embossed Sweet Collaboration Set")</x:f>
        <x:v>HYPERLINK is not implemented. linkLocation=https://365nails.com/products/kawaii-animal-jam-nail-stickers-5d-embossed-sweet-collaboration-set, friendlyName=Kawaii Animal &amp; Jam Nail Stickers – 5D Embossed Sweet Collaboration Set</x:v>
      </x:c>
      <x:c r="D6772" s="18" t="str">
        <x:v>Specification type: Mc40-jelly / Mc42-relief / Mc43-shell light</x:v>
      </x:c>
      <x:c r="E6772" s="25" t="str">
        <x:v>$1.30</x:v>
      </x:c>
      <x:c r="F6772" s="19" t="str">
        <x:v>5</x:v>
      </x:c>
    </x:row>
    <x:row r="6773" ht="93" customHeight="1">
      <x:c r="A6773" s="19" t="n">
        <x:v>6770</x:v>
      </x:c>
      <x:c r="B6773" s="22" t="e">
        <x:f>HYPERLINK("https://cdn.shopify.com/s/files/1/0918/6066/4603/files/b88c9bc8a2dcbe576fa5bb42c5adfa4e.jpg?v=1777809120","Open")</x:f>
        <x:v>HYPERLINK is not implemented. linkLocation=https://cdn.shopify.com/s/files/1/0918/6066/4603/files/b88c9bc8a2dcbe576fa5bb42c5adfa4e.jpg?v=1777809120, friendlyName=Open</x:v>
      </x:c>
      <x:c r="C6773" s="24" t="e">
        <x:f>HYPERLINK("https://365nails.com/products/365nails-aurora-fan-french-handmade-medium-stiletto-press-on-nails","365nails: ""Aurora Fan French"" – Handmade Medium Stiletto Press-On Nails")</x:f>
        <x:v>HYPERLINK is not implemented. linkLocation=https://365nails.com/products/365nails-aurora-fan-french-handmade-medium-stiletto-press-on-nails, friendlyName=365nails: "Aurora Fan French" – Handmade Medium Stiletto Press-On Nails</x:v>
      </x:c>
      <x:c r="D6773" s="18" t="str">
        <x:v>Size: XS / S / M / L</x:v>
      </x:c>
      <x:c r="E6773" s="25" t="str">
        <x:v>$2.99</x:v>
      </x:c>
      <x:c r="F6773" s="19" t="str">
        <x:v>5</x:v>
      </x:c>
    </x:row>
    <x:row r="6774" ht="93" customHeight="1">
      <x:c r="A6774" s="19" t="n">
        <x:v>6771</x:v>
      </x:c>
      <x:c r="B6774" s="22" t="e">
        <x:f>HYPERLINK("https://cdn.shopify.com/s/files/1/0918/6066/4603/files/1e3298af2f3796de07348cb7fae28074.jpg?v=1772887083","Open")</x:f>
        <x:v>HYPERLINK is not implemented. linkLocation=https://cdn.shopify.com/s/files/1/0918/6066/4603/files/1e3298af2f3796de07348cb7fae28074.jpg?v=1772887083, friendlyName=Open</x:v>
      </x:c>
      <x:c r="C6774" s="24" t="e">
        <x:f>HYPERLINK("https://365nails.com/products/purple-orchid-porcelain-crystal-diamond-chinese-style-nail-art-set","Purple Orchid &amp; Porcelain – Crystal Diamond Chinese Style Nail Art Set")</x:f>
        <x:v>HYPERLINK is not implemented. linkLocation=https://365nails.com/products/purple-orchid-porcelain-crystal-diamond-chinese-style-nail-art-set, friendlyName=Purple Orchid &amp; Porcelain – Crystal Diamond Chinese Style Nail Art Set</x:v>
      </x:c>
      <x:c r="D6774" s="18" t="str">
        <x:v>Specification type: To3596-crystal diamond</x:v>
      </x:c>
      <x:c r="E6774" s="25" t="str">
        <x:v>$1.30</x:v>
      </x:c>
      <x:c r="F6774" s="19" t="str">
        <x:v>5</x:v>
      </x:c>
    </x:row>
    <x:row r="6775" ht="93" customHeight="1">
      <x:c r="A6775" s="19" t="n">
        <x:v>6772</x:v>
      </x:c>
      <x:c r="B6775" s="22" t="e">
        <x:f>HYPERLINK("https://cdn.shopify.com/s/files/1/0918/6066/4603/files/508b6f95ef6ec83c81e56d0a97e8bb40.jpg?v=1772873147","Open")</x:f>
        <x:v>HYPERLINK is not implemented. linkLocation=https://cdn.shopify.com/s/files/1/0918/6066/4603/files/508b6f95ef6ec83c81e56d0a97e8bb40.jpg?v=1772873147, friendlyName=Open</x:v>
      </x:c>
      <x:c r="C6775" s="24" t="e">
        <x:f>HYPERLINK("https://365nails.com/products/nail-stickers-monochrome-floral-butterfly-nail-stickers-5d-embossed-vintage-sketch-set","nail stickers Monochrome Floral &amp; Butterfly Nail Stickers – 5D Embossed Vintage Sketch Set")</x:f>
        <x:v>HYPERLINK is not implemented. linkLocation=https://365nails.com/products/nail-stickers-monochrome-floral-butterfly-nail-stickers-5d-embossed-vintage-sketch-set, friendlyName=nail stickers Monochrome Floral &amp; Butterfly Nail Stickers – 5D Embossed Vintage Sketch Set</x:v>
      </x:c>
      <x:c r="D6775" s="18" t="str">
        <x:v>Specification type: To4508 / To4509 / To4769 / To4770</x:v>
      </x:c>
      <x:c r="E6775" s="25" t="str">
        <x:v>$1.09</x:v>
      </x:c>
      <x:c r="F6775" s="19" t="str">
        <x:v>5</x:v>
      </x:c>
    </x:row>
    <x:row r="6776" ht="93" customHeight="1">
      <x:c r="A6776" s="19" t="n">
        <x:v>6773</x:v>
      </x:c>
      <x:c r="B6776" s="22" t="e">
        <x:f>HYPERLINK("https://cdn.shopify.com/s/files/1/0918/6066/4603/files/O1CN01MKgJ631HlX2JxyDNv__2545140798-0-cib.jpg?v=1773553686","Open")</x:f>
        <x:v>HYPERLINK is not implemented. linkLocation=https://cdn.shopify.com/s/files/1/0918/6066/4603/files/O1CN01MKgJ631HlX2JxyDNv__2545140798-0-cib.jpg?v=1773553686, friendlyName=Open</x:v>
      </x:c>
      <x:c r="C6776" s="24" t="e">
        <x:f>HYPERLINK("https://365nails.com/products/dunhuang-painted-tile-collection-oriental-enamel-3d-embossed-nail-sticker","Dunhuang Painted Tile Collection: ""Oriental Enamel"" – 3D Embossed Nail Sticker")</x:f>
        <x:v>HYPERLINK is not implemented. linkLocation=https://365nails.com/products/dunhuang-painted-tile-collection-oriental-enamel-3d-embossed-nail-sticker, friendlyName=Dunhuang Painted Tile Collection: "Oriental Enamel" – 3D Embossed Nail Sticker</x:v>
      </x:c>
      <x:c r="D6776" s="18" t="str">
        <x:v>Specification type: To4292-relief</x:v>
      </x:c>
      <x:c r="E6776" s="25" t="str">
        <x:v>$1.23</x:v>
      </x:c>
      <x:c r="F6776" s="19" t="str">
        <x:v>5</x:v>
      </x:c>
    </x:row>
    <x:row r="6777" ht="93" customHeight="1">
      <x:c r="A6777" s="19" t="n">
        <x:v>6774</x:v>
      </x:c>
      <x:c r="B6777" s="22" t="e">
        <x:f>HYPERLINK("https://cdn.shopify.com/s/files/1/0918/6066/4603/files/67496bcb814bbe8cd0c38fa9750a7629.jpg?v=1772865586","Open")</x:f>
        <x:v>HYPERLINK is not implemented. linkLocation=https://cdn.shopify.com/s/files/1/0918/6066/4603/files/67496bcb814bbe8cd0c38fa9750a7629.jpg?v=1772865586, friendlyName=Open</x:v>
      </x:c>
      <x:c r="C6777" s="24" t="e">
        <x:f>HYPERLINK("https://365nails.com/products/oriental-floral-butterfly-nail-stickers-5d-embossed-enchanting-garden-set","Oriental Floral &amp; Butterfly Nail Stickers – 5D Embossed Enchanting Garden Set")</x:f>
        <x:v>HYPERLINK is not implemented. linkLocation=https://365nails.com/products/oriental-floral-butterfly-nail-stickers-5d-embossed-enchanting-garden-set, friendlyName=Oriental Floral &amp; Butterfly Nail Stickers – 5D Embossed Enchanting Garden Set</x:v>
      </x:c>
      <x:c r="D6777" s="18" t="str">
        <x:v>Specification type: To4530-crystal diamond / To4532-crystal diamond</x:v>
      </x:c>
      <x:c r="E6777" s="25" t="str">
        <x:v>$1.30</x:v>
      </x:c>
      <x:c r="F6777" s="19" t="str">
        <x:v>5</x:v>
      </x:c>
    </x:row>
    <x:row r="6778" ht="93" customHeight="1">
      <x:c r="A6778" s="19" t="n">
        <x:v>6775</x:v>
      </x:c>
      <x:c r="B6778" s="22" t="e">
        <x:f>HYPERLINK("https://cdn.shopify.com/s/files/1/0918/6066/4603/files/O1CN01CJFA5P1HlX3f5Brda__2545140798-0-cib.jpg?v=1773544833","Open")</x:f>
        <x:v>HYPERLINK is not implemented. linkLocation=https://cdn.shopify.com/s/files/1/0918/6066/4603/files/O1CN01CJFA5P1HlX3f5Brda__2545140798-0-cib.jpg?v=1773544833, friendlyName=Open</x:v>
      </x:c>
      <x:c r="C6778" s="24" t="e">
        <x:f>HYPERLINK("https://365nails.com/products/angel-wing-collection-celestial-grace-3d-crystal-diamond-nail-sticker","Angel Wing Collection: ""Celestial Grace"" – 3D Crystal Diamond Nail Sticker")</x:f>
        <x:v>HYPERLINK is not implemented. linkLocation=https://365nails.com/products/angel-wing-collection-celestial-grace-3d-crystal-diamond-nail-sticker, friendlyName=Angel Wing Collection: "Celestial Grace" – 3D Crystal Diamond Nail Sticker</x:v>
      </x:c>
      <x:c r="D6778" s="18" t="str">
        <x:v>Specification type: Ms708-crystal diamond / Ms709-crystal diamond</x:v>
      </x:c>
      <x:c r="E6778" s="25" t="str">
        <x:v>$1.30</x:v>
      </x:c>
      <x:c r="F6778" s="19" t="str">
        <x:v>5</x:v>
      </x:c>
    </x:row>
    <x:row r="6779" ht="93" customHeight="1">
      <x:c r="A6779" s="19" t="n">
        <x:v>6776</x:v>
      </x:c>
      <x:c r="B6779" s="22" t="e">
        <x:f>HYPERLINK("https://cdn.shopify.com/s/files/1/0918/6066/4603/files/O1CN01UnuTDW1HlX5s6rDpC__2545140798-0-cib.jpg?v=1773543277","Open")</x:f>
        <x:v>HYPERLINK is not implemented. linkLocation=https://cdn.shopify.com/s/files/1/0918/6066/4603/files/O1CN01UnuTDW1HlX5s6rDpC__2545140798-0-cib.jpg?v=1773543277, friendlyName=Open</x:v>
      </x:c>
      <x:c r="C6779" s="24" t="e">
        <x:f>HYPERLINK("https://365nails.com/products/jelly-flower-collection-pastel-bloom-3d-jelly-nail-sticker","Jelly Flower Collection: ""Pastel Bloom"" – 3D Jelly Nail Sticker")</x:f>
        <x:v>HYPERLINK is not implemented. linkLocation=https://365nails.com/products/jelly-flower-collection-pastel-bloom-3d-jelly-nail-sticker, friendlyName=Jelly Flower Collection: "Pastel Bloom" – 3D Jelly Nail Sticker</x:v>
      </x:c>
      <x:c r="D6779" s="18" t="str">
        <x:v>Specification type: To4966-jelly / To4967-shell light</x:v>
      </x:c>
      <x:c r="E6779" s="25" t="str">
        <x:v>$1.23</x:v>
      </x:c>
      <x:c r="F6779" s="19" t="str">
        <x:v>5</x:v>
      </x:c>
    </x:row>
    <x:row r="6780" ht="93" customHeight="1">
      <x:c r="A6780" s="19" t="n">
        <x:v>6777</x:v>
      </x:c>
      <x:c r="B6780" s="22" t="e">
        <x:f>HYPERLINK("https://cdn.shopify.com/s/files/1/0918/6066/4603/files/55fc666a52bbf331708d9ec36c128a3b.jpg?v=1772863487","Open")</x:f>
        <x:v>HYPERLINK is not implemented. linkLocation=https://cdn.shopify.com/s/files/1/0918/6066/4603/files/55fc666a52bbf331708d9ec36c128a3b.jpg?v=1772863487, friendlyName=Open</x:v>
      </x:c>
      <x:c r="C6780" s="24" t="e">
        <x:f>HYPERLINK("https://365nails.com/products/holographic-ocean-creature-nail-stickers-5d-embossed-underwater-magic-set","Holographic Ocean Creature Nail Stickers – 5D Embossed Underwater Magic Set")</x:f>
        <x:v>HYPERLINK is not implemented. linkLocation=https://365nails.com/products/holographic-ocean-creature-nail-stickers-5d-embossed-underwater-magic-set, friendlyName=Holographic Ocean Creature Nail Stickers – 5D Embossed Underwater Magic Set</x:v>
      </x:c>
      <x:c r="D6780" s="18" t="str">
        <x:v>Specification type: To4315 / To4316</x:v>
      </x:c>
      <x:c r="E6780" s="25" t="str">
        <x:v>$1.23</x:v>
      </x:c>
      <x:c r="F6780" s="19" t="str">
        <x:v>5</x:v>
      </x:c>
    </x:row>
    <x:row r="6781" ht="93" customHeight="1">
      <x:c r="A6781" s="19" t="n">
        <x:v>6778</x:v>
      </x:c>
      <x:c r="B6781" s="22" t="e">
        <x:f>HYPERLINK("https://cdn.shopify.com/s/files/1/0918/6066/4603/files/11a5a2668cffa2b1d3642b932a5f0c3f.jpg?v=1772863241","Open")</x:f>
        <x:v>HYPERLINK is not implemented. linkLocation=https://cdn.shopify.com/s/files/1/0918/6066/4603/files/11a5a2668cffa2b1d3642b932a5f0c3f.jpg?v=1772863241, friendlyName=Open</x:v>
      </x:c>
      <x:c r="C6781" s="24" t="e">
        <x:f>HYPERLINK("https://365nails.com/products/ink-wash-bamboo-nail-stickers-5d-embossed-oriental-zen-set","Ink Wash Bamboo Nail Stickers – 5D Embossed Oriental Zen Set")</x:f>
        <x:v>HYPERLINK is not implemented. linkLocation=https://365nails.com/products/ink-wash-bamboo-nail-stickers-5d-embossed-oriental-zen-set, friendlyName=Ink Wash Bamboo Nail Stickers – 5D Embossed Oriental Zen Set</x:v>
      </x:c>
      <x:c r="D6781" s="18" t="str">
        <x:v>Specification type: To4241-jelly</x:v>
      </x:c>
      <x:c r="E6781" s="25" t="str">
        <x:v>$1.23</x:v>
      </x:c>
      <x:c r="F6781" s="19" t="str">
        <x:v>5</x:v>
      </x:c>
    </x:row>
    <x:row r="6782" ht="93" customHeight="1">
      <x:c r="A6782" s="19" t="n">
        <x:v>6779</x:v>
      </x:c>
      <x:c r="B6782" s="22" t="e">
        <x:f>HYPERLINK("https://cdn.shopify.com/s/files/1/0918/6066/4603/files/O1CN0132Lcgi1HlWoM3XkcF__2545140798-0-cib.jpg?v=1773187796","Open")</x:f>
        <x:v>HYPERLINK is not implemented. linkLocation=https://cdn.shopify.com/s/files/1/0918/6066/4603/files/O1CN0132Lcgi1HlWoM3XkcF__2545140798-0-cib.jpg?v=1773187796, friendlyName=Open</x:v>
      </x:c>
      <x:c r="C6782" s="24" t="e">
        <x:f>HYPERLINK("https://365nails.com/products/crayon-doodle-fun-playful-kids-nail-art-set","Crayon Doodle Fun – Playful Kids' Nail Art Set")</x:f>
        <x:v>HYPERLINK is not implemented. linkLocation=https://365nails.com/products/crayon-doodle-fun-playful-kids-nail-art-set, friendlyName=Crayon Doodle Fun – Playful Kids' Nail Art Set</x:v>
      </x:c>
      <x:c r="D6782" s="18" t="str">
        <x:v>Specification type: Tomon1478</x:v>
      </x:c>
      <x:c r="E6782" s="25" t="str">
        <x:v>$1.23</x:v>
      </x:c>
      <x:c r="F6782" s="19" t="str">
        <x:v>5</x:v>
      </x:c>
    </x:row>
    <x:row r="6783" ht="93" customHeight="1">
      <x:c r="A6783" s="19" t="n">
        <x:v>6780</x:v>
      </x:c>
      <x:c r="B6783" s="22" t="e">
        <x:f>HYPERLINK("https://cdn.shopify.com/s/files/1/0918/6066/4603/files/a2b8125e42d87dc359f6037d7e011617.jpg?v=1772886972","Open")</x:f>
        <x:v>HYPERLINK is not implemented. linkLocation=https://cdn.shopify.com/s/files/1/0918/6066/4603/files/a2b8125e42d87dc359f6037d7e011617.jpg?v=1772886972, friendlyName=Open</x:v>
      </x:c>
      <x:c r="C6783" s="24" t="e">
        <x:f>HYPERLINK("https://365nails.com/products/crystal-heart-plaid-crystal-diamond-nail-art-accent-set","Crystal Heart Plaid – Crystal Diamond Nail Art Accent Set")</x:f>
        <x:v>HYPERLINK is not implemented. linkLocation=https://365nails.com/products/crystal-heart-plaid-crystal-diamond-nail-art-accent-set, friendlyName=Crystal Heart Plaid – Crystal Diamond Nail Art Accent Set</x:v>
      </x:c>
      <x:c r="D6783" s="18" t="str">
        <x:v>Specification type: To3514-crystal diamond</x:v>
      </x:c>
      <x:c r="E6783" s="25" t="str">
        <x:v>$1.30</x:v>
      </x:c>
      <x:c r="F6783" s="19" t="str">
        <x:v>5</x:v>
      </x:c>
    </x:row>
    <x:row r="6784" ht="93" customHeight="1">
      <x:c r="A6784" s="19" t="n">
        <x:v>6781</x:v>
      </x:c>
      <x:c r="B6784" s="22" t="e">
        <x:f>HYPERLINK("https://cdn.shopify.com/s/files/1/0918/6066/4603/files/O1CN01iNTRNf1HlX881IAgP__2545140798-0-cib.jpg?v=1773547238","Open")</x:f>
        <x:v>HYPERLINK is not implemented. linkLocation=https://cdn.shopify.com/s/files/1/0918/6066/4603/files/O1CN01iNTRNf1HlX881IAgP__2545140798-0-cib.jpg?v=1773547238, friendlyName=Open</x:v>
      </x:c>
      <x:c r="C6784" s="24" t="e">
        <x:f>HYPERLINK("https://365nails.com/products/blue-floral-metallic-collection-elegant-cornflower-3d-embossed-nail-sticker","Blue Floral Metallic Collection: ""Elegant Cornflower"" – 3D Embossed Nail Sticker")</x:f>
        <x:v>HYPERLINK is not implemented. linkLocation=https://365nails.com/products/blue-floral-metallic-collection-elegant-cornflower-3d-embossed-nail-sticker, friendlyName=Blue Floral Metallic Collection: "Elegant Cornflower" – 3D Embossed Nail Sticker</x:v>
      </x:c>
      <x:c r="D6784" s="18" t="str">
        <x:v>Specification type: To5184-metal</x:v>
      </x:c>
      <x:c r="E6784" s="25" t="str">
        <x:v>$1.23</x:v>
      </x:c>
      <x:c r="F6784" s="19" t="str">
        <x:v>5</x:v>
      </x:c>
    </x:row>
    <x:row r="6785" ht="93" customHeight="1">
      <x:c r="A6785" s="19" t="n">
        <x:v>6782</x:v>
      </x:c>
      <x:c r="B6785" s="22" t="e">
        <x:f>HYPERLINK("https://cdn.shopify.com/s/files/1/0918/6066/4603/files/b2c9a9ae1c688386a4b4a9852f3c4b76.jpg?v=1772866588","Open")</x:f>
        <x:v>HYPERLINK is not implemented. linkLocation=https://cdn.shopify.com/s/files/1/0918/6066/4603/files/b2c9a9ae1c688386a4b4a9852f3c4b76.jpg?v=1772866588, friendlyName=Open</x:v>
      </x:c>
      <x:c r="C6785" s="24" t="e">
        <x:f>HYPERLINK("https://365nails.com/products/oriental-floral-butterfly-nail-stickers-5d-embossed-enchanting-garden-set-1","Oriental Floral &amp; Butterfly Nail Stickers – 5D Embossed Enchanting Garden Set")</x:f>
        <x:v>HYPERLINK is not implemented. linkLocation=https://365nails.com/products/oriental-floral-butterfly-nail-stickers-5d-embossed-enchanting-garden-set-1, friendlyName=Oriental Floral &amp; Butterfly Nail Stickers – 5D Embossed Enchanting Garden Set</x:v>
      </x:c>
      <x:c r="D6785" s="18" t="str">
        <x:v>Specification type: To4531 / To4557</x:v>
      </x:c>
      <x:c r="E6785" s="25" t="str">
        <x:v>$1.09</x:v>
      </x:c>
      <x:c r="F6785" s="19" t="str">
        <x:v>5</x:v>
      </x:c>
    </x:row>
    <x:row r="6786" ht="93" customHeight="1">
      <x:c r="A6786" s="19" t="n">
        <x:v>6783</x:v>
      </x:c>
      <x:c r="B6786" s="22" t="e">
        <x:f>HYPERLINK("https://cdn.shopify.com/s/files/1/0918/6066/4603/files/O1CN01msJcwo1HlXAcwOdZ8__2545140798-0-cib.jpg?v=1773552664","Open")</x:f>
        <x:v>HYPERLINK is not implemented. linkLocation=https://cdn.shopify.com/s/files/1/0918/6066/4603/files/O1CN01msJcwo1HlXAcwOdZ8__2545140798-0-cib.jpg?v=1773552664, friendlyName=Open</x:v>
      </x:c>
      <x:c r="C6786" s="24" t="e">
        <x:f>HYPERLINK("https://365nails.com/products/white-snowflake-winter-collection-frosty-elegance-3d-embossed-nail-sticker","White Snowflake Winter Collection: ""Frosty Elegance"" – 3D Embossed Nail Sticker")</x:f>
        <x:v>HYPERLINK is not implemented. linkLocation=https://365nails.com/products/white-snowflake-winter-collection-frosty-elegance-3d-embossed-nail-sticker, friendlyName=White Snowflake Winter Collection: "Frosty Elegance" – 3D Embossed Nail Sticker</x:v>
      </x:c>
      <x:c r="D6786" s="18" t="str">
        <x:v>Specification type: Ms917-glitter powder / Ms918-metal</x:v>
      </x:c>
      <x:c r="E6786" s="25" t="str">
        <x:v>$1.23</x:v>
      </x:c>
      <x:c r="F6786" s="19" t="str">
        <x:v>5</x:v>
      </x:c>
    </x:row>
    <x:row r="6787" ht="93" customHeight="1">
      <x:c r="A6787" s="19" t="n">
        <x:v>6784</x:v>
      </x:c>
      <x:c r="B6787" s="22" t="e">
        <x:f>HYPERLINK("https://cdn.shopify.com/s/files/1/0918/6066/4603/files/O1CN01dG7S0z1HlX7zfCfof__2545140798-0-cib.jpg?v=1773548445","Open")</x:f>
        <x:v>HYPERLINK is not implemented. linkLocation=https://cdn.shopify.com/s/files/1/0918/6066/4603/files/O1CN01dG7S0z1HlX7zfCfof__2545140798-0-cib.jpg?v=1773548445, friendlyName=Open</x:v>
      </x:c>
      <x:c r="C6787" s="24" t="e">
        <x:f>HYPERLINK("https://365nails.com/products/pastel-pansy-crystal-collection-soft-pansy-3d-embossed-nail-sticker","Pastel Pansy Crystal Collection: ""Soft Pansy"" – 3D Embossed Nail Sticker")</x:f>
        <x:v>HYPERLINK is not implemented. linkLocation=https://365nails.com/products/pastel-pansy-crystal-collection-soft-pansy-3d-embossed-nail-sticker, friendlyName=Pastel Pansy Crystal Collection: "Soft Pansy" – 3D Embossed Nail Sticker</x:v>
      </x:c>
      <x:c r="D6787" s="18" t="str">
        <x:v>Specification type: To5171-relief</x:v>
      </x:c>
      <x:c r="E6787" s="25" t="str">
        <x:v>$1.23</x:v>
      </x:c>
      <x:c r="F6787" s="19" t="str">
        <x:v>5</x:v>
      </x:c>
    </x:row>
    <x:row r="6788" ht="93" customHeight="1">
      <x:c r="A6788" s="19" t="n">
        <x:v>6785</x:v>
      </x:c>
      <x:c r="B6788" s="22" t="e">
        <x:f>HYPERLINK("https://cdn.shopify.com/s/files/1/0918/6066/4603/files/6ad3ab374a695422aeee9d795f7dbdd0.jpg?v=1772864502","Open")</x:f>
        <x:v>HYPERLINK is not implemented. linkLocation=https://cdn.shopify.com/s/files/1/0918/6066/4603/files/6ad3ab374a695422aeee9d795f7dbdd0.jpg?v=1772864502, friendlyName=Open</x:v>
      </x:c>
      <x:c r="C6788" s="24" t="e">
        <x:f>HYPERLINK("https://365nails.com/products/oriental-persimmon-dragon-nail-stickers-5d-embossed-auspicious-prosperity-set","Oriental Persimmon &amp; Dragon Nail Stickers – 5D Embossed Auspicious Prosperity Set")</x:f>
        <x:v>HYPERLINK is not implemented. linkLocation=https://365nails.com/products/oriental-persimmon-dragon-nail-stickers-5d-embossed-auspicious-prosperity-set, friendlyName=Oriental Persimmon &amp; Dragon Nail Stickers – 5D Embossed Auspicious Prosperity Set</x:v>
      </x:c>
      <x:c r="D6788" s="18" t="str">
        <x:v>Specification type: Wy-35-relief / Wy-38-relief / Wy-40-shell light</x:v>
      </x:c>
      <x:c r="E6788" s="25" t="str">
        <x:v>$1.23</x:v>
      </x:c>
      <x:c r="F6788" s="19" t="str">
        <x:v>5</x:v>
      </x:c>
    </x:row>
    <x:row r="6789" ht="93" customHeight="1">
      <x:c r="A6789" s="19" t="n">
        <x:v>6786</x:v>
      </x:c>
      <x:c r="B6789" s="22" t="e">
        <x:f>HYPERLINK("https://cdn.shopify.com/s/files/1/0918/6066/4603/files/O1CN01jByDw71HlX6KHr9iI__2545140798-0-cib.jpg?v=1773549267","Open")</x:f>
        <x:v>HYPERLINK is not implemented. linkLocation=https://cdn.shopify.com/s/files/1/0918/6066/4603/files/O1CN01jByDw71HlX6KHr9iI__2545140798-0-cib.jpg?v=1773549267, friendlyName=Open</x:v>
      </x:c>
      <x:c r="C6789" s="24" t="e">
        <x:f>HYPERLINK("https://365nails.com/products/sweet-party-teddy-collection-dreamy-party-3d-embossed-nail-sticker","Sweet Party Teddy Collection: ""Dreamy Party"" – 3D Embossed Nail Sticker")</x:f>
        <x:v>HYPERLINK is not implemented. linkLocation=https://365nails.com/products/sweet-party-teddy-collection-dreamy-party-3d-embossed-nail-sticker, friendlyName=Sweet Party Teddy Collection: "Dreamy Party" – 3D Embossed Nail Sticker</x:v>
      </x:c>
      <x:c r="D6789" s="18" t="str">
        <x:v>Specification type: To4392-relief / To4948-shell light</x:v>
      </x:c>
      <x:c r="E6789" s="25" t="str">
        <x:v>$1.23</x:v>
      </x:c>
      <x:c r="F6789" s="19" t="str">
        <x:v>5</x:v>
      </x:c>
    </x:row>
    <x:row r="6790" ht="93" customHeight="1">
      <x:c r="A6790" s="19" t="n">
        <x:v>6787</x:v>
      </x:c>
      <x:c r="B6790" s="22" t="e">
        <x:f>HYPERLINK("https://cdn.shopify.com/s/files/1/0918/6066/4603/files/O1CN011heW1E1HlX4GAs4sG__2545140798-0-cib.jpg?v=1773547752","Open")</x:f>
        <x:v>HYPERLINK is not implemented. linkLocation=https://cdn.shopify.com/s/files/1/0918/6066/4603/files/O1CN011heW1E1HlX4GAs4sG__2545140798-0-cib.jpg?v=1773547752, friendlyName=Open</x:v>
      </x:c>
      <x:c r="C6790" s="24" t="e">
        <x:f>HYPERLINK("https://365nails.com/products/silver-starburst-metallic-collection-starry-sparkle-3d-embossed-nail-sticker","Silver Starburst Metallic Collection: ""Starry Sparkle"" – 3D Embossed Nail Sticker")</x:f>
        <x:v>HYPERLINK is not implemented. linkLocation=https://365nails.com/products/silver-starburst-metallic-collection-starry-sparkle-3d-embossed-nail-sticker, friendlyName=Silver Starburst Metallic Collection: "Starry Sparkle" – 3D Embossed Nail Sticker</x:v>
      </x:c>
      <x:c r="D6790" s="18" t="str">
        <x:v>Specification type: To4682-laser powder / To4682-laser silver / To4682-rose gold / To4682-glitter / To4682-flash silver / To4682-new hot stamping / To4682-silver</x:v>
      </x:c>
      <x:c r="E6790" s="25" t="str">
        <x:v>$1.23</x:v>
      </x:c>
      <x:c r="F6790" s="19" t="str">
        <x:v>5</x:v>
      </x:c>
    </x:row>
    <x:row r="6791" ht="93" customHeight="1">
      <x:c r="A6791" s="19" t="n">
        <x:v>6788</x:v>
      </x:c>
      <x:c r="B6791" s="22" t="e">
        <x:f>HYPERLINK("https://cdn.shopify.com/s/files/1/0918/6066/4603/files/O1CN01xH9aCD1HlX9qmWWuy__2545140798-0-cib.jpg?v=1773546616","Open")</x:f>
        <x:v>HYPERLINK is not implemented. linkLocation=https://cdn.shopify.com/s/files/1/0918/6066/4603/files/O1CN01xH9aCD1HlX9qmWWuy__2545140798-0-cib.jpg?v=1773546616, friendlyName=Open</x:v>
      </x:c>
      <x:c r="C6791" s="24" t="e">
        <x:f>HYPERLINK("https://365nails.com/products/golden-winter-snowflake-collection-elegant-frost-3d-metallic-nail-sticker","Golden Winter Snowflake Collection: ""Elegant Frost"" – 3D Metallic Nail Sticker")</x:f>
        <x:v>HYPERLINK is not implemented. linkLocation=https://365nails.com/products/golden-winter-snowflake-collection-elegant-frost-3d-metallic-nail-sticker, friendlyName=Golden Winter Snowflake Collection: "Elegant Frost" – 3D Metallic Nail Sticker</x:v>
      </x:c>
      <x:c r="D6791" s="18" t="str">
        <x:v>Specification type: To5394-metal / To5398-metal / Ms863-metal</x:v>
      </x:c>
      <x:c r="E6791" s="25" t="str">
        <x:v>$0.80</x:v>
      </x:c>
      <x:c r="F6791" s="19" t="str">
        <x:v>5</x:v>
      </x:c>
    </x:row>
    <x:row r="6792" ht="93" customHeight="1">
      <x:c r="A6792" s="19" t="n">
        <x:v>6789</x:v>
      </x:c>
      <x:c r="B6792" s="22" t="e">
        <x:f>HYPERLINK("https://cdn.shopify.com/s/files/1/0918/6066/4603/files/O1CN014e0vN71HlWksW9tJ9__2545140798-0-cib.jpg?v=1773543356","Open")</x:f>
        <x:v>HYPERLINK is not implemented. linkLocation=https://cdn.shopify.com/s/files/1/0918/6066/4603/files/O1CN014e0vN71HlWksW9tJ9__2545140798-0-cib.jpg?v=1773543356, friendlyName=Open</x:v>
      </x:c>
      <x:c r="C6792" s="24" t="e">
        <x:f>HYPERLINK("https://365nails.com/products/strawberry-bear-collection-kawaii-berry-friends-3d-embossed-nail-sticker","Strawberry Bear Collection: ""Kawaii Berry Friends"" – 3D Embossed Nail Sticker")</x:f>
        <x:v>HYPERLINK is not implemented. linkLocation=https://365nails.com/products/strawberry-bear-collection-kawaii-berry-friends-3d-embossed-nail-sticker, friendlyName=Strawberry Bear Collection: "Kawaii Berry Friends" – 3D Embossed Nail Sticker</x:v>
      </x:c>
      <x:c r="D6792" s="18" t="str">
        <x:v>Specification type: To606 relief / To607 relief / To608 relief / To609 relief / To597 relief</x:v>
      </x:c>
      <x:c r="E6792" s="25" t="str">
        <x:v>$1.23</x:v>
      </x:c>
      <x:c r="F6792" s="19" t="str">
        <x:v>5</x:v>
      </x:c>
    </x:row>
    <x:row r="6793" ht="93" customHeight="1">
      <x:c r="A6793" s="19" t="n">
        <x:v>6790</x:v>
      </x:c>
      <x:c r="B6793" s="22" t="e">
        <x:f>HYPERLINK("https://cdn.shopify.com/s/files/1/0918/6066/4603/files/O1CN01FdQ73J1HlX59rmQoT__2545140798-0-cib.jpg?v=1773545024","Open")</x:f>
        <x:v>HYPERLINK is not implemented. linkLocation=https://cdn.shopify.com/s/files/1/0918/6066/4603/files/O1CN01FdQ73J1HlX59rmQoT__2545140798-0-cib.jpg?v=1773545024, friendlyName=Open</x:v>
      </x:c>
      <x:c r="C6793" s="24" t="e">
        <x:f>HYPERLINK("https://365nails.com/products/crimson-butterfly-collection-jelly-ruby-3d-jelly-nail-sticker","Crimson Butterfly Collection: ""Jelly Ruby"" – 3D Jelly Nail Sticker")</x:f>
        <x:v>HYPERLINK is not implemented. linkLocation=https://365nails.com/products/crimson-butterfly-collection-jelly-ruby-3d-jelly-nail-sticker, friendlyName=Crimson Butterfly Collection: "Jelly Ruby" – 3D Jelly Nail Sticker</x:v>
      </x:c>
      <x:c r="D6793" s="18" t="str">
        <x:v>Specification type: Ms753-jelly</x:v>
      </x:c>
      <x:c r="E6793" s="25" t="str">
        <x:v>$1.23</x:v>
      </x:c>
      <x:c r="F6793" s="19" t="str">
        <x:v>5</x:v>
      </x:c>
    </x:row>
    <x:row r="6794" ht="93" customHeight="1">
      <x:c r="A6794" s="19" t="n">
        <x:v>6791</x:v>
      </x:c>
      <x:c r="B6794" s="22" t="e">
        <x:f>HYPERLINK("https://cdn.shopify.com/s/files/1/0918/6066/4603/files/O1CN01vNBKvV1HlX6tTc36z__2545140798-0-cib.jpg?v=1773543032","Open")</x:f>
        <x:v>HYPERLINK is not implemented. linkLocation=https://cdn.shopify.com/s/files/1/0918/6066/4603/files/O1CN01vNBKvV1HlX6tTc36z__2545140798-0-cib.jpg?v=1773543032, friendlyName=Open</x:v>
      </x:c>
      <x:c r="C6794" s="24" t="e">
        <x:f>HYPERLINK("https://365nails.com/products/ocean-shell-collection-iridescent-seashell-3d-holographic-nail-sticker","Ocean Shell Collection: ""Iridescent Seashell"" – 3D Holographic Nail Sticker")</x:f>
        <x:v>HYPERLINK is not implemented. linkLocation=https://365nails.com/products/ocean-shell-collection-iridescent-seashell-3d-holographic-nail-sticker, friendlyName=Ocean Shell Collection: "Iridescent Seashell" – 3D Holographic Nail Sticker</x:v>
      </x:c>
      <x:c r="D6794" s="18" t="str">
        <x:v>Specification type: To5080-flash silver / To5081-shell light</x:v>
      </x:c>
      <x:c r="E6794" s="25" t="str">
        <x:v>$1.23</x:v>
      </x:c>
      <x:c r="F6794" s="19" t="str">
        <x:v>5</x:v>
      </x:c>
    </x:row>
    <x:row r="6795" ht="93" customHeight="1">
      <x:c r="A6795" s="19" t="n">
        <x:v>6792</x:v>
      </x:c>
      <x:c r="B6795" s="22" t="e">
        <x:f>HYPERLINK("https://cdn.shopify.com/s/files/1/0918/6066/4603/files/O1CN01gUXqOL1HlXAGcBGYI__2545140798-0-cib.jpg?v=1773549859","Open")</x:f>
        <x:v>HYPERLINK is not implemented. linkLocation=https://cdn.shopify.com/s/files/1/0918/6066/4603/files/O1CN01gUXqOL1HlXAGcBGYI__2545140798-0-cib.jpg?v=1773549859, friendlyName=Open</x:v>
      </x:c>
      <x:c r="C6795" s="24" t="e">
        <x:f>HYPERLINK("https://365nails.com/products/ivory-butterfly-flower-collection-ethereal-grace-3d-embossed-nail-sticker","Ivory Butterfly &amp; Flower Collection: ""Ethereal Grace"" – 3D Embossed Nail Sticker")</x:f>
        <x:v>HYPERLINK is not implemented. linkLocation=https://365nails.com/products/ivory-butterfly-flower-collection-ethereal-grace-3d-embossed-nail-sticker, friendlyName=Ivory Butterfly &amp; Flower Collection: "Ethereal Grace" – 3D Embossed Nail Sticker</x:v>
      </x:c>
      <x:c r="D6795" s="18" t="str">
        <x:v>Specification type: Ms902-jelly / Ms903-gilt</x:v>
      </x:c>
      <x:c r="E6795" s="25" t="str">
        <x:v>$1.23</x:v>
      </x:c>
      <x:c r="F6795" s="19" t="str">
        <x:v>5</x:v>
      </x:c>
    </x:row>
    <x:row r="6796" ht="93" customHeight="1">
      <x:c r="A6796" s="19" t="n">
        <x:v>6793</x:v>
      </x:c>
      <x:c r="B6796" s="22" t="e">
        <x:f>HYPERLINK("https://cdn.shopify.com/s/files/1/0918/6066/4603/files/6ca898e084f8f920dc52673c0e84f54b.jpg?v=1772872745","Open")</x:f>
        <x:v>HYPERLINK is not implemented. linkLocation=https://cdn.shopify.com/s/files/1/0918/6066/4603/files/6ca898e084f8f920dc52673c0e84f54b.jpg?v=1772872745, friendlyName=Open</x:v>
      </x:c>
      <x:c r="C6796" s="24" t="e">
        <x:f>HYPERLINK("https://365nails.com/products/crystal-winter-castle-nail-stickers-5d-embossed-frosty-fantasy-set","Crystal Winter Castle Nail Stickers – 5D Embossed Frosty Fantasy Set")</x:f>
        <x:v>HYPERLINK is not implemented. linkLocation=https://365nails.com/products/crystal-winter-castle-nail-stickers-5d-embossed-frosty-fantasy-set, friendlyName=Crystal Winter Castle Nail Stickers – 5D Embossed Frosty Fantasy Set</x:v>
      </x:c>
      <x:c r="D6796" s="18" t="str">
        <x:v>Specification type: To4793-crystal diamond / To4794-crystal diamond</x:v>
      </x:c>
      <x:c r="E6796" s="25" t="str">
        <x:v>$1.30</x:v>
      </x:c>
      <x:c r="F6796" s="19" t="str">
        <x:v>5</x:v>
      </x:c>
    </x:row>
    <x:row r="6797" ht="93" customHeight="1">
      <x:c r="A6797" s="19" t="n">
        <x:v>6794</x:v>
      </x:c>
      <x:c r="B6797" s="22" t="e">
        <x:f>HYPERLINK("https://cdn.shopify.com/s/files/1/0918/6066/4603/files/O1CN01Sy7Cgc1HlX3stjGtW__2545140798-0-cib.jpg?v=1772870833","Open")</x:f>
        <x:v>HYPERLINK is not implemented. linkLocation=https://cdn.shopify.com/s/files/1/0918/6066/4603/files/O1CN01Sy7Cgc1HlX3stjGtW__2545140798-0-cib.jpg?v=1772870833, friendlyName=Open</x:v>
      </x:c>
      <x:c r="C6797" s="24" t="e">
        <x:f>HYPERLINK("https://365nails.com/products/celestial-gold-gem-nail-stickers-5d-embossed-astrology-opulence-set","Celestial Gold Gem Nail Stickers – 5D Embossed Astrology Opulence Set")</x:f>
        <x:v>HYPERLINK is not implemented. linkLocation=https://365nails.com/products/celestial-gold-gem-nail-stickers-5d-embossed-astrology-opulence-set, friendlyName=Celestial Gold Gem Nail Stickers – 5D Embossed Astrology Opulence Set</x:v>
      </x:c>
      <x:c r="D6797" s="18" t="str">
        <x:v>Specification type: To4470-new hot stamping / To4470-rose gold / To4470-silver</x:v>
      </x:c>
      <x:c r="E6797" s="25" t="str">
        <x:v>$1.23</x:v>
      </x:c>
      <x:c r="F6797" s="19" t="str">
        <x:v>5</x:v>
      </x:c>
    </x:row>
    <x:row r="6798" ht="93" customHeight="1">
      <x:c r="A6798" s="19" t="n">
        <x:v>6795</x:v>
      </x:c>
      <x:c r="B6798" s="22" t="e">
        <x:f>HYPERLINK("https://cdn.shopify.com/s/files/1/0918/6066/4603/files/O1CN016dA2gj1HlWxbzxVhv__2545140798-0-cib.jpg?v=1773544164","Open")</x:f>
        <x:v>HYPERLINK is not implemented. linkLocation=https://cdn.shopify.com/s/files/1/0918/6066/4603/files/O1CN016dA2gj1HlWxbzxVhv__2545140798-0-cib.jpg?v=1773544164, friendlyName=Open</x:v>
      </x:c>
      <x:c r="C6798" s="24" t="e">
        <x:f>HYPERLINK("https://365nails.com/products/sketch-pet-collection-cute-hologram-paws-3d-holographic-nail-sticker","Sketch Pet Collection: ""Cute Hologram Paws"" – 3D Holographic Nail Sticker")</x:f>
        <x:v>HYPERLINK is not implemented. linkLocation=https://365nails.com/products/sketch-pet-collection-cute-hologram-paws-3d-holographic-nail-sticker, friendlyName=Sketch Pet Collection: "Cute Hologram Paws" – 3D Holographic Nail Sticker</x:v>
      </x:c>
      <x:c r="D6798" s="18" t="str">
        <x:v>Specification type: To3564-laser</x:v>
      </x:c>
      <x:c r="E6798" s="25" t="str">
        <x:v>$1.23</x:v>
      </x:c>
      <x:c r="F6798" s="19" t="str">
        <x:v>5</x:v>
      </x:c>
    </x:row>
    <x:row r="6799" ht="93" customHeight="1">
      <x:c r="A6799" s="19" t="n">
        <x:v>6796</x:v>
      </x:c>
      <x:c r="B6799" s="22" t="e">
        <x:f>HYPERLINK("https://cdn.shopify.com/s/files/1/0918/6066/4603/files/O1CN01TRWMFD1HlWrRcUy8s__2545140798-0-cib.jpg?v=1773543610","Open")</x:f>
        <x:v>HYPERLINK is not implemented. linkLocation=https://cdn.shopify.com/s/files/1/0918/6066/4603/files/O1CN01TRWMFD1HlWrRcUy8s__2545140798-0-cib.jpg?v=1773543610, friendlyName=Open</x:v>
      </x:c>
      <x:c r="C6799" s="24" t="e">
        <x:f>HYPERLINK("https://365nails.com/products/argyle-plaid-collection-caramel-check-3d-embossed-nail-sticker","Argyle Plaid Collection: ""Caramel Check"" – 3D Embossed Nail Sticker")</x:f>
        <x:v>HYPERLINK is not implemented. linkLocation=https://365nails.com/products/argyle-plaid-collection-caramel-check-3d-embossed-nail-sticker, friendlyName=Argyle Plaid Collection: "Caramel Check" – 3D Embossed Nail Sticker</x:v>
      </x:c>
      <x:c r="D6799" s="18" t="str">
        <x:v>Specification type: To2562 / To2561 new hot stamping</x:v>
      </x:c>
      <x:c r="E6799" s="25" t="str">
        <x:v>$0.94</x:v>
      </x:c>
      <x:c r="F6799" s="19" t="str">
        <x:v>5</x:v>
      </x:c>
    </x:row>
    <x:row r="6800" ht="93" customHeight="1">
      <x:c r="A6800" s="19" t="n">
        <x:v>6797</x:v>
      </x:c>
      <x:c r="B6800" s="22" t="e">
        <x:f>HYPERLINK("https://cdn.shopify.com/s/files/1/0918/6066/4603/files/O1CN01PkY0Il1HlX5T6sMCv__2545140798-0-cib.jpg?v=1773545181","Open")</x:f>
        <x:v>HYPERLINK is not implemented. linkLocation=https://cdn.shopify.com/s/files/1/0918/6066/4603/files/O1CN01PkY0Il1HlX5T6sMCv__2545140798-0-cib.jpg?v=1773545181, friendlyName=Open</x:v>
      </x:c>
      <x:c r="C6800" s="24" t="e">
        <x:f>HYPERLINK("https://365nails.com/products/spring-floral-wreath-collection-pastel-blossom-3d-crystal-diamond-nail-sticker","Spring Floral Wreath Collection: ""Pastel Blossom"" – 3D Crystal Diamond Nail Sticker")</x:f>
        <x:v>HYPERLINK is not implemented. linkLocation=https://365nails.com/products/spring-floral-wreath-collection-pastel-blossom-3d-crystal-diamond-nail-sticker, friendlyName=Spring Floral Wreath Collection: "Pastel Blossom" – 3D Crystal Diamond Nail Sticker</x:v>
      </x:c>
      <x:c r="D6800" s="18" t="str">
        <x:v>Specification type: To4857-crystal diamond / To4870-crystal diamond</x:v>
      </x:c>
      <x:c r="E6800" s="25" t="str">
        <x:v>$1.30</x:v>
      </x:c>
      <x:c r="F6800" s="19" t="str">
        <x:v>5</x:v>
      </x:c>
    </x:row>
    <x:row r="6801" ht="93" customHeight="1">
      <x:c r="A6801" s="19" t="n">
        <x:v>6798</x:v>
      </x:c>
      <x:c r="B6801" s="22" t="e">
        <x:f>HYPERLINK("https://cdn.shopify.com/s/files/1/0918/6066/4603/files/O1CN01sfyNIL1HlXAeAQC0W__2545140798-0-cib.jpg?v=1773546300","Open")</x:f>
        <x:v>HYPERLINK is not implemented. linkLocation=https://cdn.shopify.com/s/files/1/0918/6066/4603/files/O1CN01sfyNIL1HlXAeAQC0W__2545140798-0-cib.jpg?v=1773546300, friendlyName=Open</x:v>
      </x:c>
      <x:c r="C6801" s="24" t="e">
        <x:f>HYPERLINK("https://365nails.com/products/winter-snowflake-collection-frosty-sparkle-3d-metallic-silver-nail-sticker","Winter Snowflake Collection: ""Frosty Sparkle"" – 3D Metallic Silver Nail Sticker")</x:f>
        <x:v>HYPERLINK is not implemented. linkLocation=https://365nails.com/products/winter-snowflake-collection-frosty-sparkle-3d-metallic-silver-nail-sticker, friendlyName=Winter Snowflake Collection: "Frosty Sparkle" – 3D Metallic Silver Nail Sticker</x:v>
      </x:c>
      <x:c r="D6801" s="18" t="str">
        <x:v>Specification type: Ms913-metal / Ms914-glitter powder</x:v>
      </x:c>
      <x:c r="E6801" s="25" t="str">
        <x:v>$0.80</x:v>
      </x:c>
      <x:c r="F6801" s="19" t="str">
        <x:v>5</x:v>
      </x:c>
    </x:row>
    <x:row r="6802" ht="93" customHeight="1">
      <x:c r="A6802" s="19" t="n">
        <x:v>6799</x:v>
      </x:c>
      <x:c r="B6802" s="22" t="e">
        <x:f>HYPERLINK("https://cdn.shopify.com/s/files/1/0918/6066/4603/files/a60c1761d619f7b7c07a535551790992.jpg?v=1777517363","Open")</x:f>
        <x:v>HYPERLINK is not implemented. linkLocation=https://cdn.shopify.com/s/files/1/0918/6066/4603/files/a60c1761d619f7b7c07a535551790992.jpg?v=1777517363, friendlyName=Open</x:v>
      </x:c>
      <x:c r="C6802" s="24" t="e">
        <x:f>HYPERLINK("https://365nails.com/products/365nails-gothic-dark-romance-handmade-gothic-press-on-nails","365nails: ""Gothic Dark Romance"" Handmade Gothic Press-On Nails")</x:f>
        <x:v>HYPERLINK is not implemented. linkLocation=https://365nails.com/products/365nails-gothic-dark-romance-handmade-gothic-press-on-nails, friendlyName=365nails: "Gothic Dark Romance" Handmade Gothic Press-On Nails</x:v>
      </x:c>
      <x:c r="D6802" s="18" t="str">
        <x:v>Size: XS / S / M / L</x:v>
      </x:c>
      <x:c r="E6802" s="25" t="str">
        <x:v>$4.99</x:v>
      </x:c>
      <x:c r="F6802" s="19" t="str">
        <x:v>3</x:v>
      </x:c>
    </x:row>
    <x:row r="6803" ht="93" customHeight="1">
      <x:c r="A6803" s="19" t="n">
        <x:v>6800</x:v>
      </x:c>
      <x:c r="B6803" s="22" t="e">
        <x:f>HYPERLINK("https://cdn.shopify.com/s/files/1/0918/6066/4603/files/O1CN01180j8m1HlX3suSaP1__2545140798-0-cib.jpg?v=1773542948","Open")</x:f>
        <x:v>HYPERLINK is not implemented. linkLocation=https://cdn.shopify.com/s/files/1/0918/6066/4603/files/O1CN01180j8m1HlX3suSaP1__2545140798-0-cib.jpg?v=1773542948, friendlyName=Open</x:v>
      </x:c>
      <x:c r="C6803" s="24" t="e">
        <x:f>HYPERLINK("https://365nails.com/products/cosmic-planet-collection-galaxy-cat-eye-3d-glitter-nail-sticker","Cosmic Planet Collection: ""Galaxy Cat Eye"" – 3D Glitter Nail Sticker")</x:f>
        <x:v>HYPERLINK is not implemented. linkLocation=https://365nails.com/products/cosmic-planet-collection-galaxy-cat-eye-3d-glitter-nail-sticker, friendlyName=Cosmic Planet Collection: "Galaxy Cat Eye" – 3D Glitter Nail Sticker</x:v>
      </x:c>
      <x:c r="D6803" s="18" t="str">
        <x:v>Specification type: To4596-cat eye / To4597-cat eye</x:v>
      </x:c>
      <x:c r="E6803" s="25" t="str">
        <x:v>$1.23</x:v>
      </x:c>
      <x:c r="F6803" s="19" t="str">
        <x:v>5</x:v>
      </x:c>
    </x:row>
    <x:row r="6804" ht="93" customHeight="1">
      <x:c r="A6804" s="19" t="n">
        <x:v>6801</x:v>
      </x:c>
      <x:c r="B6804" s="22" t="e">
        <x:f>HYPERLINK("https://cdn.shopify.com/s/files/1/0918/6066/4603/files/c0c7ed4238a32843fd6ae856f997bb47.jpg?v=1772807452","Open")</x:f>
        <x:v>HYPERLINK is not implemented. linkLocation=https://cdn.shopify.com/s/files/1/0918/6066/4603/files/c0c7ed4238a32843fd6ae856f997bb47.jpg?v=1772807452, friendlyName=Open</x:v>
      </x:c>
      <x:c r="C6804" s="24" t="e">
        <x:f>HYPERLINK("https://365nails.com/products/holographic-cameo-nail-stickers-5d-embossed-vintage-gem-set","Holographic Cameo Nail Stickers – 5D Embossed Vintage Gem Set")</x:f>
        <x:v>HYPERLINK is not implemented. linkLocation=https://365nails.com/products/holographic-cameo-nail-stickers-5d-embossed-vintage-gem-set, friendlyName=Holographic Cameo Nail Stickers – 5D Embossed Vintage Gem Set</x:v>
      </x:c>
      <x:c r="D6804" s="18" t="str">
        <x:v>Specification type: To3849-relief / To3850-shell light / To3851-relief / To3852-shell light</x:v>
      </x:c>
      <x:c r="E6804" s="25" t="str">
        <x:v>$1.23</x:v>
      </x:c>
      <x:c r="F6804" s="19" t="str">
        <x:v>5</x:v>
      </x:c>
    </x:row>
    <x:row r="6805" ht="93" customHeight="1">
      <x:c r="A6805" s="19" t="n">
        <x:v>6802</x:v>
      </x:c>
      <x:c r="B6805" s="22" t="e">
        <x:f>HYPERLINK("https://cdn.shopify.com/s/files/1/0918/6066/4603/files/O1CN01c3h6oN1HlX4ObBXGY__2545140798-0-cib.jpg?v=1773753643","Open")</x:f>
        <x:v>HYPERLINK is not implemented. linkLocation=https://cdn.shopify.com/s/files/1/0918/6066/4603/files/O1CN01c3h6oN1HlX4ObBXGY__2545140798-0-cib.jpg?v=1773753643, friendlyName=Open</x:v>
      </x:c>
      <x:c r="C6805" s="24" t="e">
        <x:f>HYPERLINK("https://365nails.com/products/retro-outfit-cat-nail-stickers-embossed-vintage-charm-set","Retro Outfit Cat Nail Stickers – Embossed Vintage Charm Stickers")</x:f>
        <x:v>HYPERLINK is not implemented. linkLocation=https://365nails.com/products/retro-outfit-cat-nail-stickers-embossed-vintage-charm-set, friendlyName=Retro Outfit Cat Nail Stickers – Embossed Vintage Charm Stickers</x:v>
      </x:c>
      <x:c r="D6805" s="18" t="str">
        <x:v>Specification type: Ta373-shell light / Ta374-shell light</x:v>
      </x:c>
      <x:c r="E6805" s="25" t="str">
        <x:v>$1.23</x:v>
      </x:c>
      <x:c r="F6805" s="19" t="str">
        <x:v>5</x:v>
      </x:c>
    </x:row>
    <x:row r="6806" ht="93" customHeight="1">
      <x:c r="A6806" s="19" t="n">
        <x:v>6803</x:v>
      </x:c>
      <x:c r="B6806" s="22" t="e">
        <x:f>HYPERLINK("https://cdn.shopify.com/s/files/1/0918/6066/4603/files/O1CN01GTbyyT1HlWy6WpSZj__2545140798-0-cib.jpg?v=1773553055","Open")</x:f>
        <x:v>HYPERLINK is not implemented. linkLocation=https://cdn.shopify.com/s/files/1/0918/6066/4603/files/O1CN01GTbyyT1HlWy6WpSZj__2545140798-0-cib.jpg?v=1773553055, friendlyName=Open</x:v>
      </x:c>
      <x:c r="C6806" s="24" t="e">
        <x:f>HYPERLINK("https://365nails.com/products/monochrome-rose-sereno-collection-elegant-noir-3d-embossed-nail-sticker","Monochrome Rose Sereno Collection: ""Elegant Noir"" – 3D Embossed Nail Sticker")</x:f>
        <x:v>HYPERLINK is not implemented. linkLocation=https://365nails.com/products/monochrome-rose-sereno-collection-elegant-noir-3d-embossed-nail-sticker, friendlyName=Monochrome Rose Sereno Collection: "Elegant Noir" – 3D Embossed Nail Sticker</x:v>
      </x:c>
      <x:c r="D6806" s="18" t="str">
        <x:v>Specification type: Ms 502 / Ms 503 / Ms 505</x:v>
      </x:c>
      <x:c r="E6806" s="25" t="str">
        <x:v>$1.09</x:v>
      </x:c>
      <x:c r="F6806" s="19" t="str">
        <x:v>5</x:v>
      </x:c>
    </x:row>
    <x:row r="6807" ht="93" customHeight="1">
      <x:c r="A6807" s="19" t="n">
        <x:v>6804</x:v>
      </x:c>
      <x:c r="B6807" s="22" t="e">
        <x:f>HYPERLINK("https://cdn.shopify.com/s/files/1/0918/6066/4603/files/O1CN01wLVQ371HlX4XA9Gw6__2545140798-0-cib.jpg?v=1773544910","Open")</x:f>
        <x:v>HYPERLINK is not implemented. linkLocation=https://cdn.shopify.com/s/files/1/0918/6066/4603/files/O1CN01wLVQ371HlX4XA9Gw6__2545140798-0-cib.jpg?v=1773544910, friendlyName=Open</x:v>
      </x:c>
      <x:c r="C6807" s="24" t="e">
        <x:f>HYPERLINK("https://365nails.com/products/pink-ribbon-bow-collection-blush-ribbon-3d-holographic-nail-sticker","Pink Ribbon Bow Collection: ""Blush Ribbon"" – 3D Holographic Nail Sticker")</x:f>
        <x:v>HYPERLINK is not implemented. linkLocation=https://365nails.com/products/pink-ribbon-bow-collection-blush-ribbon-3d-holographic-nail-sticker, friendlyName=Pink Ribbon Bow Collection: "Blush Ribbon" – 3D Holographic Nail Sticker</x:v>
      </x:c>
      <x:c r="D6807" s="18" t="str">
        <x:v>Specification type: To4612-shell light / To4614-shell light</x:v>
      </x:c>
      <x:c r="E6807" s="25" t="str">
        <x:v>$1.23</x:v>
      </x:c>
      <x:c r="F6807" s="19" t="str">
        <x:v>5</x:v>
      </x:c>
    </x:row>
    <x:row r="6808" ht="93" customHeight="1">
      <x:c r="A6808" s="19" t="n">
        <x:v>6805</x:v>
      </x:c>
      <x:c r="B6808" s="22" t="e">
        <x:f>HYPERLINK("https://cdn.shopify.com/s/files/1/0918/6066/4603/files/O1CN01TZxceh1HlX6RPokLa__2545140798-0-cib.jpg?v=1773542472","Open")</x:f>
        <x:v>HYPERLINK is not implemented. linkLocation=https://cdn.shopify.com/s/files/1/0918/6066/4603/files/O1CN01TZxceh1HlX6RPokLa__2545140798-0-cib.jpg?v=1773542472, friendlyName=Open</x:v>
      </x:c>
      <x:c r="C6808" s="24" t="e">
        <x:f>HYPERLINK("https://365nails.com/products/iridescent-lily-flower-collection-white-bloom-5d-stereoscopic-nail-sticker","Iridescent Lily &amp; Flower Collection: ""White Bloom"" – 5D Stereoscopic Nail Sticker")</x:f>
        <x:v>HYPERLINK is not implemented. linkLocation=https://365nails.com/products/iridescent-lily-flower-collection-white-bloom-5d-stereoscopic-nail-sticker, friendlyName=Iridescent Lily &amp; Flower Collection: "White Bloom" – 5D Stereoscopic Nail Sticker</x:v>
      </x:c>
      <x:c r="D6808" s="18" t="str">
        <x:v>Specification type: To4757-shell light</x:v>
      </x:c>
      <x:c r="E6808" s="25" t="str">
        <x:v>$1.23</x:v>
      </x:c>
      <x:c r="F6808" s="19" t="str">
        <x:v>5</x:v>
      </x:c>
    </x:row>
    <x:row r="6809" ht="93" customHeight="1">
      <x:c r="A6809" s="19" t="n">
        <x:v>6806</x:v>
      </x:c>
      <x:c r="B6809" s="22" t="e">
        <x:f>HYPERLINK("https://cdn.shopify.com/s/files/1/0918/6066/4603/files/O1CN01MUWREW1HlX8GXMZMA__2545140798-0-cib.jpg?v=1773545767","Open")</x:f>
        <x:v>HYPERLINK is not implemented. linkLocation=https://cdn.shopify.com/s/files/1/0918/6066/4603/files/O1CN01MUWREW1HlX8GXMZMA__2545140798-0-cib.jpg?v=1773545767, friendlyName=Open</x:v>
      </x:c>
      <x:c r="C6809" s="24" t="e">
        <x:f>HYPERLINK("https://365nails.com/products/sapphire-butterfly-collection-blue-morpho-3d-metallic-nail-sticker","Sapphire Butterfly Collection: ""Blue Morpho"" – 3D Metallic Nail Sticker")</x:f>
        <x:v>HYPERLINK is not implemented. linkLocation=https://365nails.com/products/sapphire-butterfly-collection-blue-morpho-3d-metallic-nail-sticker, friendlyName=Sapphire Butterfly Collection: "Blue Morpho" – 3D Metallic Nail Sticker</x:v>
      </x:c>
      <x:c r="D6809" s="18" t="str">
        <x:v>Specification type: To5161-1-metal / To5161-metal / To5161-2-metal</x:v>
      </x:c>
      <x:c r="E6809" s="25" t="str">
        <x:v>$0.80</x:v>
      </x:c>
      <x:c r="F6809" s="19" t="str">
        <x:v>5</x:v>
      </x:c>
    </x:row>
    <x:row r="6810" ht="93" customHeight="1">
      <x:c r="A6810" s="19" t="n">
        <x:v>6807</x:v>
      </x:c>
      <x:c r="B6810" s="22" t="e">
        <x:f>HYPERLINK("https://cdn.shopify.com/s/files/1/0918/6066/4603/files/e6174259841831b7db2dc50863f2c1da.jpg?v=1777808326","Open")</x:f>
        <x:v>HYPERLINK is not implemented. linkLocation=https://cdn.shopify.com/s/files/1/0918/6066/4603/files/e6174259841831b7db2dc50863f2c1da.jpg?v=1777808326, friendlyName=Open</x:v>
      </x:c>
      <x:c r="C6810" s="24" t="e">
        <x:f>HYPERLINK("https://365nails.com/products/365nails-gothic-punk-chain-handmade-short-square-press-on-nails","365nails: ""Gothic Punk Chain"" – Handmade Short Square Press-On Nails")</x:f>
        <x:v>HYPERLINK is not implemented. linkLocation=https://365nails.com/products/365nails-gothic-punk-chain-handmade-short-square-press-on-nails, friendlyName=365nails: "Gothic Punk Chain" – Handmade Short Square Press-On Nails</x:v>
      </x:c>
      <x:c r="D6810" s="18" t="str">
        <x:v>Size: XS / S / M / L</x:v>
      </x:c>
      <x:c r="E6810" s="25" t="str">
        <x:v>$2.99</x:v>
      </x:c>
      <x:c r="F6810" s="19" t="str">
        <x:v>5</x:v>
      </x:c>
    </x:row>
    <x:row r="6811" ht="93" customHeight="1">
      <x:c r="A6811" s="19" t="n">
        <x:v>6808</x:v>
      </x:c>
      <x:c r="B6811" s="22" t="e">
        <x:f>HYPERLINK("https://cdn.shopify.com/s/files/1/0918/6066/4603/files/O1CN01VylKGe1HlX9wggqg5__2545140798-0-cib.jpg?v=1773548818","Open")</x:f>
        <x:v>HYPERLINK is not implemented. linkLocation=https://cdn.shopify.com/s/files/1/0918/6066/4603/files/O1CN01VylKGe1HlX9wggqg5__2545140798-0-cib.jpg?v=1773548818, friendlyName=Open</x:v>
      </x:c>
      <x:c r="C6811" s="24" t="e">
        <x:f>HYPERLINK("https://365nails.com/products/pomegranate-branch-collection-autumn-harvest-3d-embossed-nail-sticker","Pomegranate Branch Collection: ""Autumn Harvest"" – 3D Embossed Nail Sticker")</x:f>
        <x:v>HYPERLINK is not implemented. linkLocation=https://365nails.com/products/pomegranate-branch-collection-autumn-harvest-3d-embossed-nail-sticker, friendlyName=Pomegranate Branch Collection: "Autumn Harvest" – 3D Embossed Nail Sticker</x:v>
      </x:c>
      <x:c r="D6811" s="18" t="str">
        <x:v>Specification type: Ta403-jelly</x:v>
      </x:c>
      <x:c r="E6811" s="25" t="str">
        <x:v>$1.23</x:v>
      </x:c>
      <x:c r="F6811" s="19" t="str">
        <x:v>5</x:v>
      </x:c>
    </x:row>
    <x:row r="6812" ht="93" customHeight="1">
      <x:c r="A6812" s="19" t="n">
        <x:v>6809</x:v>
      </x:c>
      <x:c r="B6812" s="22" t="e">
        <x:f>HYPERLINK("https://cdn.shopify.com/s/files/1/0918/6066/4603/files/O1CN017mnXfD1HlWtYFBWA1__2545140798-0-cib.jpg?v=1772886475","Open")</x:f>
        <x:v>HYPERLINK is not implemented. linkLocation=https://cdn.shopify.com/s/files/1/0918/6066/4603/files/O1CN017mnXfD1HlWtYFBWA1__2545140798-0-cib.jpg?v=1772886475, friendlyName=Open</x:v>
      </x:c>
      <x:c r="C6812" s="24" t="e">
        <x:f>HYPERLINK("https://365nails.com/products/golden-lucky-cat-pastry-5d-embossed-festive-cute-accent-set","Golden Lucky Cat &amp; Pastry – 5D Embossed Festive Cute Accent Set")</x:f>
        <x:v>HYPERLINK is not implemented. linkLocation=https://365nails.com/products/golden-lucky-cat-pastry-5d-embossed-festive-cute-accent-set, friendlyName=Golden Lucky Cat &amp; Pastry – 5D Embossed Festive Cute Accent Set</x:v>
      </x:c>
      <x:c r="D6812" s="18" t="str">
        <x:v>Specification type: To1878 / To2928</x:v>
      </x:c>
      <x:c r="E6812" s="25" t="str">
        <x:v>$1.23</x:v>
      </x:c>
      <x:c r="F6812" s="19" t="str">
        <x:v>5</x:v>
      </x:c>
    </x:row>
    <x:row r="6813" ht="93" customHeight="1">
      <x:c r="A6813" s="19" t="n">
        <x:v>6810</x:v>
      </x:c>
      <x:c r="B6813" s="22" t="e">
        <x:f>HYPERLINK("https://cdn.shopify.com/s/files/1/0918/6066/4603/files/02f64523a91fd62e4fa8c2a6b9311df5.jpg?v=1772807362","Open")</x:f>
        <x:v>HYPERLINK is not implemented. linkLocation=https://cdn.shopify.com/s/files/1/0918/6066/4603/files/02f64523a91fd62e4fa8c2a6b9311df5.jpg?v=1772807362, friendlyName=Open</x:v>
      </x:c>
      <x:c r="C6813" s="24" t="e">
        <x:f>HYPERLINK("https://365nails.com/products/white-floral-crystal-nail-stickers-5d-embossed-bridal-elegance-set","White Floral Crystal Nail Stickers – 5D Embossed Bridal Elegance Set")</x:f>
        <x:v>HYPERLINK is not implemented. linkLocation=https://365nails.com/products/white-floral-crystal-nail-stickers-5d-embossed-bridal-elegance-set, friendlyName=White Floral Crystal Nail Stickers – 5D Embossed Bridal Elegance Set</x:v>
      </x:c>
      <x:c r="D6813" s="18" t="str">
        <x:v>Specification type: To4032-crystal diamond / To4033-crystal diamond</x:v>
      </x:c>
      <x:c r="E6813" s="25" t="str">
        <x:v>$1.30</x:v>
      </x:c>
      <x:c r="F6813" s="19" t="str">
        <x:v>5</x:v>
      </x:c>
    </x:row>
    <x:row r="6814" ht="93" customHeight="1">
      <x:c r="A6814" s="19" t="n">
        <x:v>6811</x:v>
      </x:c>
      <x:c r="B6814" s="22" t="e">
        <x:f>HYPERLINK("https://cdn.shopify.com/s/files/1/0918/6066/4603/files/O1CN01XPRgXZ1HlX0lvDugO__2545140798-0-cib.jpg?v=1773549139","Open")</x:f>
        <x:v>HYPERLINK is not implemented. linkLocation=https://cdn.shopify.com/s/files/1/0918/6066/4603/files/O1CN01XPRgXZ1HlX0lvDugO__2545140798-0-cib.jpg?v=1773549139, friendlyName=Open</x:v>
      </x:c>
      <x:c r="C6814" s="24" t="e">
        <x:f>HYPERLINK("https://365nails.com/products/hello-kitty-pink-bow-collection-sweet-kitty-3d-embossed-nail-sticker","Hello Kitty Pink Bow Collection: ""Sweet Kitty"" – 3D Embossed Nail Sticker")</x:f>
        <x:v>HYPERLINK is not implemented. linkLocation=https://365nails.com/products/hello-kitty-pink-bow-collection-sweet-kitty-3d-embossed-nail-sticker, friendlyName=Hello Kitty Pink Bow Collection: "Sweet Kitty" – 3D Embossed Nail Sticker</x:v>
      </x:c>
      <x:c r="D6814" s="18" t="str">
        <x:v>Specification type: San037</x:v>
      </x:c>
      <x:c r="E6814" s="25" t="str">
        <x:v>$1.16</x:v>
      </x:c>
      <x:c r="F6814" s="19" t="str">
        <x:v>5</x:v>
      </x:c>
    </x:row>
    <x:row r="6815" ht="93" customHeight="1">
      <x:c r="A6815" s="19" t="n">
        <x:v>6812</x:v>
      </x:c>
      <x:c r="B6815" s="22" t="e">
        <x:f>HYPERLINK("https://cdn.shopify.com/s/files/1/0918/6066/4603/files/O1CN01H87MA41HlX5b0JSPR__2545140798-0-cib.jpg?v=1773543689","Open")</x:f>
        <x:v>HYPERLINK is not implemented. linkLocation=https://cdn.shopify.com/s/files/1/0918/6066/4603/files/O1CN01H87MA41HlX5b0JSPR__2545140798-0-cib.jpg?v=1773543689, friendlyName=Open</x:v>
      </x:c>
      <x:c r="C6815" s="24" t="e">
        <x:f>HYPERLINK("https://365nails.com/products/firework-lion-dance-collection-festive-lion-3d-embossed-nail-sticker","Firework Lion Dance Collection: ""Festive Lion"" – 3D Embossed Nail Sticker")</x:f>
        <x:v>HYPERLINK is not implemented. linkLocation=https://365nails.com/products/firework-lion-dance-collection-festive-lion-3d-embossed-nail-sticker, friendlyName=Firework Lion Dance Collection: "Festive Lion" – 3D Embossed Nail Sticker</x:v>
      </x:c>
      <x:c r="D6815" s="18" t="str">
        <x:v>Specification type: To4864-relief / To4864-1-relief</x:v>
      </x:c>
      <x:c r="E6815" s="25" t="str">
        <x:v>$1.23</x:v>
      </x:c>
      <x:c r="F6815" s="19" t="str">
        <x:v>5</x:v>
      </x:c>
    </x:row>
    <x:row r="6816" ht="93" customHeight="1">
      <x:c r="A6816" s="19" t="n">
        <x:v>6813</x:v>
      </x:c>
      <x:c r="B6816" s="22" t="e">
        <x:f>HYPERLINK("https://cdn.shopify.com/s/files/1/0918/6066/4603/files/O1CN01O3x0Hg1HlX6ZRObtV__2545140798-0-cib.jpg?v=1773545541","Open")</x:f>
        <x:v>HYPERLINK is not implemented. linkLocation=https://cdn.shopify.com/s/files/1/0918/6066/4603/files/O1CN01O3x0Hg1HlX6ZRObtV__2545140798-0-cib.jpg?v=1773545541, friendlyName=Open</x:v>
      </x:c>
      <x:c r="C6816" s="24" t="e">
        <x:f>HYPERLINK("https://365nails.com/products/minimalist-smile-line-collection-pearl-smile-3d-holographic-nail-sticker","Minimalist Smile Line Collection: ""Pearl Smile"" – 3D Holographic Nail Sticker")</x:f>
        <x:v>HYPERLINK is not implemented. linkLocation=https://365nails.com/products/minimalist-smile-line-collection-pearl-smile-3d-holographic-nail-sticker, friendlyName=Minimalist Smile Line Collection: "Pearl Smile" – 3D Holographic Nail Sticker</x:v>
      </x:c>
      <x:c r="D6816" s="18" t="str">
        <x:v>Specification type: To5008-shell light / To5009-shell light / To5010-laser powder / To5010-new hot stamping / To5010-silver</x:v>
      </x:c>
      <x:c r="E6816" s="25" t="str">
        <x:v>$1.23</x:v>
      </x:c>
      <x:c r="F6816" s="19" t="str">
        <x:v>5</x:v>
      </x:c>
    </x:row>
    <x:row r="6817" ht="93" customHeight="1">
      <x:c r="A6817" s="19" t="n">
        <x:v>6814</x:v>
      </x:c>
      <x:c r="B6817" s="22" t="e">
        <x:f>HYPERLINK("https://cdn.shopify.com/s/files/1/0918/6066/4603/files/O1CN012Jrrb21HlX1fYh7bD__2545140798-0-cib.jpg?v=1773544500","Open")</x:f>
        <x:v>HYPERLINK is not implemented. linkLocation=https://cdn.shopify.com/s/files/1/0918/6066/4603/files/O1CN012Jrrb21HlX1fYh7bD__2545140798-0-cib.jpg?v=1773544500, friendlyName=Open</x:v>
      </x:c>
      <x:c r="C6817" s="24" t="e">
        <x:f>HYPERLINK("https://365nails.com/products/royal-heart-collection-enamel-gold-3d-metallic-nail-sticker","Royal Heart Collection: ""Enamel Gold"" – 3D Metallic Nail Sticker")</x:f>
        <x:v>HYPERLINK is not implemented. linkLocation=https://365nails.com/products/royal-heart-collection-enamel-gold-3d-metallic-nail-sticker, friendlyName=Royal Heart Collection: "Enamel Gold" – 3D Metallic Nail Sticker</x:v>
      </x:c>
      <x:c r="D6817" s="18" t="str">
        <x:v>Specification type: To4139-new hot stamping / To4139-silver / To4172-rose gold / To4172-new hot stamping / To4172-silver / To4173-new hot stamping / To4174-new hot stamping</x:v>
      </x:c>
      <x:c r="E6817" s="25" t="str">
        <x:v>$1.23</x:v>
      </x:c>
      <x:c r="F6817" s="19" t="str">
        <x:v>5</x:v>
      </x:c>
    </x:row>
    <x:row r="6818" ht="93" customHeight="1">
      <x:c r="A6818" s="19" t="n">
        <x:v>6815</x:v>
      </x:c>
      <x:c r="B6818" s="22" t="e">
        <x:f>HYPERLINK("https://cdn.shopify.com/s/files/1/0918/6066/4603/files/44496634b233256f7ad929848b2ec2f1.jpg?v=1772807933","Open")</x:f>
        <x:v>HYPERLINK is not implemented. linkLocation=https://cdn.shopify.com/s/files/1/0918/6066/4603/files/44496634b233256f7ad929848b2ec2f1.jpg?v=1772807933, friendlyName=Open</x:v>
      </x:c>
      <x:c r="C6818" s="24" t="e">
        <x:f>HYPERLINK("https://365nails.com/products/bamboo-ink-calligraphy-nail-stickers-5d-embossed-oriental-zen-set","Bamboo &amp; Ink Calligraphy Nail Stickers – 5D Embossed Oriental Zen Set")</x:f>
        <x:v>HYPERLINK is not implemented. linkLocation=https://365nails.com/products/bamboo-ink-calligraphy-nail-stickers-5d-embossed-oriental-zen-set, friendlyName=Bamboo &amp; Ink Calligraphy Nail Stickers – 5D Embossed Oriental Zen Set</x:v>
      </x:c>
      <x:c r="D6818" s="18" t="str">
        <x:v>Specification type: To4001-relief</x:v>
      </x:c>
      <x:c r="E6818" s="25" t="str">
        <x:v>$1.23</x:v>
      </x:c>
      <x:c r="F6818" s="19" t="str">
        <x:v>5</x:v>
      </x:c>
    </x:row>
    <x:row r="6819" ht="93" customHeight="1">
      <x:c r="A6819" s="19" t="n">
        <x:v>6816</x:v>
      </x:c>
      <x:c r="B6819" s="22" t="e">
        <x:f>HYPERLINK("https://cdn.shopify.com/s/files/1/0918/6066/4603/files/O1CN01o1EBSG1HlX6vwW2b9__2545140798-0-cib_7ba3e942-b518-4982-a7f6-744703a00b35.jpg?v=1775487038","Open")</x:f>
        <x:v>HYPERLINK is not implemented. linkLocation=https://cdn.shopify.com/s/files/1/0918/6066/4603/files/O1CN01o1EBSG1HlX6vwW2b9__2545140798-0-cib_7ba3e942-b518-4982-a7f6-744703a00b35.jpg?v=1775487038, friendlyName=Open</x:v>
      </x:c>
      <x:c r="C6819" s="24" t="e">
        <x:f>HYPERLINK("https://365nails.com/products/365nails-vintage-floral-frame-handmade-press-on-nails","365nails：“ Vintage Floral Frame ”-Nail Art Stickers")</x:f>
        <x:v>HYPERLINK is not implemented. linkLocation=https://365nails.com/products/365nails-vintage-floral-frame-handmade-press-on-nails, friendlyName=365nails：“ Vintage Floral Frame ”-Nail Art Stickers</x:v>
      </x:c>
      <x:c r="D6819" s="18" t="str">
        <x:v>Specification type: To5093-metal</x:v>
      </x:c>
      <x:c r="E6819" s="25" t="str">
        <x:v>$1.23</x:v>
      </x:c>
      <x:c r="F6819" s="19" t="str">
        <x:v>5</x:v>
      </x:c>
    </x:row>
    <x:row r="6820" ht="93" customHeight="1">
      <x:c r="A6820" s="19" t="n">
        <x:v>6817</x:v>
      </x:c>
      <x:c r="B6820" s="22" t="e">
        <x:f>HYPERLINK("https://cdn.shopify.com/s/files/1/0918/6066/4603/files/O1CN018NqINA1HlX1bo0VY6__2545140798-0-cib.jpg?v=1773542661","Open")</x:f>
        <x:v>HYPERLINK is not implemented. linkLocation=https://cdn.shopify.com/s/files/1/0918/6066/4603/files/O1CN018NqINA1HlX1bo0VY6__2545140798-0-cib.jpg?v=1773542661, friendlyName=Open</x:v>
      </x:c>
      <x:c r="C6820" s="24" t="e">
        <x:f>HYPERLINK("https://365nails.com/products/oriental-goldfish-collection-koi-cherry-blossom-3d-embossed-nail-sticker","Oriental Goldfish Collection: ""Koi &amp; Cherry Blossom"" – 3D Embossed Nail Sticker")</x:f>
        <x:v>HYPERLINK is not implemented. linkLocation=https://365nails.com/products/oriental-goldfish-collection-koi-cherry-blossom-3d-embossed-nail-sticker, friendlyName=Oriental Goldfish Collection: "Koi &amp; Cherry Blossom" – 3D Embossed Nail Sticker</x:v>
      </x:c>
      <x:c r="D6820" s="18" t="str">
        <x:v>Specification type: Ms632-relief</x:v>
      </x:c>
      <x:c r="E6820" s="25" t="str">
        <x:v>$1.23</x:v>
      </x:c>
      <x:c r="F6820" s="19" t="str">
        <x:v>5</x:v>
      </x:c>
    </x:row>
    <x:row r="6821" ht="93" customHeight="1">
      <x:c r="A6821" s="19" t="n">
        <x:v>6818</x:v>
      </x:c>
      <x:c r="B6821" s="22" t="e">
        <x:f>HYPERLINK("https://cdn.shopify.com/s/files/1/0918/6066/4603/files/O1CN01nGhGDa1HlWnKLOLGS__2545140798-0-cib.jpg?v=1773543447","Open")</x:f>
        <x:v>HYPERLINK is not implemented. linkLocation=https://cdn.shopify.com/s/files/1/0918/6066/4603/files/O1CN01nGhGDa1HlWnKLOLGS__2545140798-0-cib.jpg?v=1773543447, friendlyName=Open</x:v>
      </x:c>
      <x:c r="C6821" s="24" t="e">
        <x:f>HYPERLINK("https://365nails.com/products/lucky-koi-collection-wealth-prosperity-3d-embossed-nail-sticker","Lucky Koi Collection: ""Wealth &amp; Prosperity"" – 3D Embossed Nail Sticker")</x:f>
        <x:v>HYPERLINK is not implemented. linkLocation=https://365nails.com/products/lucky-koi-collection-wealth-prosperity-3d-embossed-nail-sticker, friendlyName=Lucky Koi Collection: "Wealth &amp; Prosperity" – 3D Embossed Nail Sticker</x:v>
      </x:c>
      <x:c r="D6821" s="18" t="str">
        <x:v>Specification type: To1177</x:v>
      </x:c>
      <x:c r="E6821" s="25" t="str">
        <x:v>$1.23</x:v>
      </x:c>
      <x:c r="F6821" s="19" t="str">
        <x:v>5</x:v>
      </x:c>
    </x:row>
    <x:row r="6822" ht="93" customHeight="1">
      <x:c r="A6822" s="19" t="n">
        <x:v>6819</x:v>
      </x:c>
      <x:c r="B6822" s="22" t="e">
        <x:f>HYPERLINK("https://cdn.shopify.com/s/files/1/0918/6066/4603/files/O1CN019oQPyS1HlWzxcGszH__2545140798-0-cib.jpg?v=1773547970","Open")</x:f>
        <x:v>HYPERLINK is not implemented. linkLocation=https://cdn.shopify.com/s/files/1/0918/6066/4603/files/O1CN019oQPyS1HlWzxcGszH__2545140798-0-cib.jpg?v=1773547970, friendlyName=Open</x:v>
      </x:c>
      <x:c r="C6822" s="24" t="e">
        <x:f>HYPERLINK("https://365nails.com/products/orchid-crystal-embossed-collection-elegant-orchid-3d-crystal-nail-sticker","Orchid Crystal Embossed Collection: ""Elegant Orchid"" – 3D Crystal Nail Sticker")</x:f>
        <x:v>HYPERLINK is not implemented. linkLocation=https://365nails.com/products/orchid-crystal-embossed-collection-elegant-orchid-3d-crystal-nail-sticker, friendlyName=Orchid Crystal Embossed Collection: "Elegant Orchid" – 3D Crystal Nail Sticker</x:v>
      </x:c>
      <x:c r="D6822" s="18" t="str">
        <x:v>Specification type: To3827-crystal diamond</x:v>
      </x:c>
      <x:c r="E6822" s="25" t="str">
        <x:v>$1.30</x:v>
      </x:c>
      <x:c r="F6822" s="19" t="str">
        <x:v>5</x:v>
      </x:c>
    </x:row>
    <x:row r="6823" ht="93" customHeight="1">
      <x:c r="A6823" s="19" t="n">
        <x:v>6820</x:v>
      </x:c>
      <x:c r="B6823" s="22" t="e">
        <x:f>HYPERLINK("https://cdn.shopify.com/s/files/1/0918/6066/4603/files/O1CN01muUvi81HlWqYfXvOd__2545140798-0-cib.jpg?v=1773549722","Open")</x:f>
        <x:v>HYPERLINK is not implemented. linkLocation=https://cdn.shopify.com/s/files/1/0918/6066/4603/files/O1CN01muUvi81HlWqYfXvOd__2545140798-0-cib.jpg?v=1773549722, friendlyName=Open</x:v>
      </x:c>
      <x:c r="C6823" s="24" t="e">
        <x:f>HYPERLINK("https://365nails.com/products/rainbow-heart-dot-collection-sweet-love-3d-embossed-nail-sticker","Rainbow Heart Dot Collection: ""Sweet Love"" – 3D Embossed Nail Sticker")</x:f>
        <x:v>HYPERLINK is not implemented. linkLocation=https://365nails.com/products/rainbow-heart-dot-collection-sweet-love-3d-embossed-nail-sticker, friendlyName=Rainbow Heart Dot Collection: "Sweet Love" – 3D Embossed Nail Sticker</x:v>
      </x:c>
      <x:c r="D6823" s="18" t="str">
        <x:v>Specification type: To2350 / To2354</x:v>
      </x:c>
      <x:c r="E6823" s="25" t="str">
        <x:v>$1.23</x:v>
      </x:c>
      <x:c r="F6823" s="19" t="str">
        <x:v>5</x:v>
      </x:c>
    </x:row>
    <x:row r="6824" ht="93" customHeight="1">
      <x:c r="A6824" s="19" t="n">
        <x:v>6821</x:v>
      </x:c>
      <x:c r="B6824" s="22" t="e">
        <x:f>HYPERLINK("https://cdn.shopify.com/s/files/1/0918/6066/4603/files/O1CN018gZwnA1HlX5sTMiMj__2545140798-0-cib.jpg?v=1773549201","Open")</x:f>
        <x:v>HYPERLINK is not implemented. linkLocation=https://cdn.shopify.com/s/files/1/0918/6066/4603/files/O1CN018gZwnA1HlX5sTMiMj__2545140798-0-cib.jpg?v=1773549201, friendlyName=Open</x:v>
      </x:c>
      <x:c r="C6824" s="24" t="e">
        <x:f>HYPERLINK("https://365nails.com/products/white-magnolia-gold-collection-elegant-magnolia-3d-embossed-nail-sticker","White Magnolia Gold Collection: ""Elegant Magnolia"" – 3D Embossed Nail Sticker")</x:f>
        <x:v>HYPERLINK is not implemented. linkLocation=https://365nails.com/products/white-magnolia-gold-collection-elegant-magnolia-3d-embossed-nail-sticker, friendlyName=White Magnolia Gold Collection: "Elegant Magnolia" – 3D Embossed Nail Sticker</x:v>
      </x:c>
      <x:c r="D6824" s="18" t="str">
        <x:v>Specification type: To4943-metal / To4944-relief</x:v>
      </x:c>
      <x:c r="E6824" s="25" t="str">
        <x:v>$1.23</x:v>
      </x:c>
      <x:c r="F6824" s="19" t="str">
        <x:v>5</x:v>
      </x:c>
    </x:row>
    <x:row r="6825" ht="93" customHeight="1">
      <x:c r="A6825" s="19" t="n">
        <x:v>6822</x:v>
      </x:c>
      <x:c r="B6825" s="22" t="e">
        <x:f>HYPERLINK("https://cdn.shopify.com/s/files/1/0918/6066/4603/files/41f14f00e19cb291fe59f0e644661e2d.jpg?v=1772801378","Open")</x:f>
        <x:v>HYPERLINK is not implemented. linkLocation=https://cdn.shopify.com/s/files/1/0918/6066/4603/files/41f14f00e19cb291fe59f0e644661e2d.jpg?v=1772801378, friendlyName=Open</x:v>
      </x:c>
      <x:c r="C6825" s="24" t="e">
        <x:f>HYPERLINK("https://365nails.com/products/holographic-butterfly-star-nail-stickers-5d-embossed-ethereal-set","Holographic Butterfly &amp; Star Nail Stickers – 5D Embossed Ethereal Set")</x:f>
        <x:v>HYPERLINK is not implemented. linkLocation=https://365nails.com/products/holographic-butterfly-star-nail-stickers-5d-embossed-ethereal-set, friendlyName=Holographic Butterfly &amp; Star Nail Stickers – 5D Embossed Ethereal Set</x:v>
      </x:c>
      <x:c r="D6825" s="18" t="str">
        <x:v>Specification type: To3647-shell light / To3654-shell light</x:v>
      </x:c>
      <x:c r="E6825" s="25" t="str">
        <x:v>$1.23</x:v>
      </x:c>
      <x:c r="F6825" s="19" t="str">
        <x:v>5</x:v>
      </x:c>
    </x:row>
    <x:row r="6826" ht="93" customHeight="1">
      <x:c r="A6826" s="19" t="n">
        <x:v>6823</x:v>
      </x:c>
      <x:c r="B6826" s="22" t="e">
        <x:f>HYPERLINK("https://cdn.shopify.com/s/files/1/0918/6066/4603/files/O1CN01FkkAgc1HlX6ChvevR__2545140798-0-cib.jpg?v=1773545334","Open")</x:f>
        <x:v>HYPERLINK is not implemented. linkLocation=https://cdn.shopify.com/s/files/1/0918/6066/4603/files/O1CN01FkkAgc1HlX6ChvevR__2545140798-0-cib.jpg?v=1773545334, friendlyName=Open</x:v>
      </x:c>
      <x:c r="C6826" s="24" t="e">
        <x:f>HYPERLINK("https://365nails.com/products/mini-wildflower-collection-meadow-petal-3d-embossed-nail-sticker","Mini Wildflower Collection: ""Meadow Petal"" – 3D Embossed Nail Sticker")</x:f>
        <x:v>HYPERLINK is not implemented. linkLocation=https://365nails.com/products/mini-wildflower-collection-meadow-petal-3d-embossed-nail-sticker, friendlyName=Mini Wildflower Collection: "Meadow Petal" – 3D Embossed Nail Sticker</x:v>
      </x:c>
      <x:c r="D6826" s="18" t="str">
        <x:v>Specification type: To3784-1 / To3787-1 / To5021</x:v>
      </x:c>
      <x:c r="E6826" s="25" t="str">
        <x:v>$1.09</x:v>
      </x:c>
      <x:c r="F6826" s="19" t="str">
        <x:v>5</x:v>
      </x:c>
    </x:row>
    <x:row r="6827" ht="93" customHeight="1">
      <x:c r="A6827" s="19" t="n">
        <x:v>6824</x:v>
      </x:c>
      <x:c r="B6827" s="22" t="e">
        <x:f>HYPERLINK("https://cdn.shopify.com/s/files/1/0918/6066/4603/files/a7a708740effa32e4d0bc52c690027c3.jpg?v=1772801289","Open")</x:f>
        <x:v>HYPERLINK is not implemented. linkLocation=https://cdn.shopify.com/s/files/1/0918/6066/4603/files/a7a708740effa32e4d0bc52c690027c3.jpg?v=1772801289, friendlyName=Open</x:v>
      </x:c>
      <x:c r="C6827" s="24" t="e">
        <x:f>HYPERLINK("https://365nails.com/products/holographic-butterfly-nail-stickers-5d-embossed-iridescent-set","Holographic Butterfly Nail Stickers – 5D Embossed Iridescent Set")</x:f>
        <x:v>HYPERLINK is not implemented. linkLocation=https://365nails.com/products/holographic-butterfly-nail-stickers-5d-embossed-iridescent-set, friendlyName=Holographic Butterfly Nail Stickers – 5D Embossed Iridescent Set</x:v>
      </x:c>
      <x:c r="D6827" s="18" t="str">
        <x:v>Specification type: Ms496-shell light / Ms497-shell light</x:v>
      </x:c>
      <x:c r="E6827" s="25" t="str">
        <x:v>$1.23</x:v>
      </x:c>
      <x:c r="F6827" s="19" t="str">
        <x:v>5</x:v>
      </x:c>
    </x:row>
    <x:row r="6828" ht="93" customHeight="1">
      <x:c r="A6828" s="19" t="n">
        <x:v>6825</x:v>
      </x:c>
      <x:c r="B6828" s="22" t="e">
        <x:f>HYPERLINK("https://cdn.shopify.com/s/files/1/0918/6066/4603/files/O1CN01Nnymic1HlX9WvEVGK__2545140798-0-cib.jpg?v=1773548530","Open")</x:f>
        <x:v>HYPERLINK is not implemented. linkLocation=https://cdn.shopify.com/s/files/1/0918/6066/4603/files/O1CN01Nnymic1HlX9WvEVGK__2545140798-0-cib.jpg?v=1773548530, friendlyName=Open</x:v>
      </x:c>
      <x:c r="C6828" s="24" t="e">
        <x:f>HYPERLINK("https://365nails.com/products/lilac-gold-metallic-collection-dainty-blossom-3d-embossed-nail-sticker","Lilac Gold Metallic Collection: ""Dainty Blossom"" – 3D Embossed Nail Sticker")</x:f>
        <x:v>HYPERLINK is not implemented. linkLocation=https://365nails.com/products/lilac-gold-metallic-collection-dainty-blossom-3d-embossed-nail-sticker, friendlyName=Lilac Gold Metallic Collection: "Dainty Blossom" – 3D Embossed Nail Sticker</x:v>
      </x:c>
      <x:c r="D6828" s="18" t="str">
        <x:v>Specification type: Ms864-metal</x:v>
      </x:c>
      <x:c r="E6828" s="25" t="str">
        <x:v>$1.89</x:v>
      </x:c>
      <x:c r="F6828" s="19" t="str">
        <x:v>5</x:v>
      </x:c>
    </x:row>
    <x:row r="6829" ht="93" customHeight="1">
      <x:c r="A6829" s="19" t="n">
        <x:v>6826</x:v>
      </x:c>
      <x:c r="B6829" s="22" t="e">
        <x:f>HYPERLINK("https://cdn.shopify.com/s/files/1/0918/6066/4603/files/O1CN01cS3JpF1HlX1SYCRHM__2545140798-0-cib.jpg?v=1773546915","Open")</x:f>
        <x:v>HYPERLINK is not implemented. linkLocation=https://cdn.shopify.com/s/files/1/0918/6066/4603/files/O1CN01cS3JpF1HlX1SYCRHM__2545140798-0-cib.jpg?v=1773546915, friendlyName=Open</x:v>
      </x:c>
      <x:c r="C6829" s="24" t="e">
        <x:f>HYPERLINK("https://365nails.com/products/pastel-orchid-crystal-collection-elegant-bloom-3d-embossed-nail-sticker","Pastel Orchid Crystal Collection: ""Elegant Bloom"" – 3D Embossed Nail Sticker")</x:f>
        <x:v>HYPERLINK is not implemented. linkLocation=https://365nails.com/products/pastel-orchid-crystal-collection-elegant-bloom-3d-embossed-nail-sticker, friendlyName=Pastel Orchid Crystal Collection: "Elegant Bloom" – 3D Embossed Nail Sticker</x:v>
      </x:c>
      <x:c r="D6829" s="18" t="str">
        <x:v>Specification type: To4120-crystal diamond / To4121-crystal diamond</x:v>
      </x:c>
      <x:c r="E6829" s="25" t="str">
        <x:v>$1.30</x:v>
      </x:c>
      <x:c r="F6829" s="19" t="str">
        <x:v>5</x:v>
      </x:c>
    </x:row>
    <x:row r="6830" ht="93" customHeight="1">
      <x:c r="A6830" s="19" t="n">
        <x:v>6827</x:v>
      </x:c>
      <x:c r="B6830" s="22" t="e">
        <x:f>HYPERLINK("https://cdn.shopify.com/s/files/1/0918/6066/4603/files/O1CN01C0owg11HlWtR2dhWv__2545140798-0-cib.jpg?v=1773544262","Open")</x:f>
        <x:v>HYPERLINK is not implemented. linkLocation=https://cdn.shopify.com/s/files/1/0918/6066/4603/files/O1CN01C0owg11HlWtR2dhWv__2545140798-0-cib.jpg?v=1773544262, friendlyName=Open</x:v>
      </x:c>
      <x:c r="C6830" s="24" t="e">
        <x:f>HYPERLINK("https://365nails.com/products/sweet-candy-collection-jelly-treats-3d-jelly-nail-sticker","Sweet Candy Collection: ""Jelly Treats"" – 3D Jelly Nail Sticker")</x:f>
        <x:v>HYPERLINK is not implemented. linkLocation=https://365nails.com/products/sweet-candy-collection-jelly-treats-3d-jelly-nail-sticker, friendlyName=Sweet Candy Collection: "Jelly Treats" – 3D Jelly Nail Sticker</x:v>
      </x:c>
      <x:c r="D6830" s="18" t="str">
        <x:v>Specification type: To2923 / To2935 / To2948 / To2949</x:v>
      </x:c>
      <x:c r="E6830" s="25" t="str">
        <x:v>$1.23</x:v>
      </x:c>
      <x:c r="F6830" s="19" t="str">
        <x:v>5</x:v>
      </x:c>
    </x:row>
    <x:row r="6831" ht="93" customHeight="1">
      <x:c r="A6831" s="19" t="n">
        <x:v>6828</x:v>
      </x:c>
      <x:c r="B6831" s="22" t="e">
        <x:f>HYPERLINK("https://cdn.shopify.com/s/files/1/0918/6066/4603/files/O1CN01DSCi9C1HlX51xhynY__2545140798-0-cib.jpg?v=1773545920","Open")</x:f>
        <x:v>HYPERLINK is not implemented. linkLocation=https://cdn.shopify.com/s/files/1/0918/6066/4603/files/O1CN01DSCi9C1HlX51xhynY__2545140798-0-cib.jpg?v=1773545920, friendlyName=Open</x:v>
      </x:c>
      <x:c r="C6831" s="24" t="e">
        <x:f>HYPERLINK("https://365nails.com/products/lucky-cat-fortune-collection-fortune-kitten-3d-embossed-nail-sticker","Lucky Cat &amp; Fortune Collection: ""Fortune Kitten"" – 3D Embossed Nail Sticker")</x:f>
        <x:v>HYPERLINK is not implemented. linkLocation=https://365nails.com/products/lucky-cat-fortune-collection-fortune-kitten-3d-embossed-nail-sticker, friendlyName=Lucky Cat &amp; Fortune Collection: "Fortune Kitten" – 3D Embossed Nail Sticker</x:v>
      </x:c>
      <x:c r="D6831" s="18" t="str">
        <x:v>Specification type: To4806 / To4809</x:v>
      </x:c>
      <x:c r="E6831" s="25" t="str">
        <x:v>$1.09</x:v>
      </x:c>
      <x:c r="F6831" s="19" t="str">
        <x:v>5</x:v>
      </x:c>
    </x:row>
    <x:row r="6832" ht="93" customHeight="1">
      <x:c r="A6832" s="19" t="n">
        <x:v>6829</x:v>
      </x:c>
      <x:c r="B6832" s="22" t="e">
        <x:f>HYPERLINK("https://cdn.shopify.com/s/files/1/0918/6066/4603/files/2af455ea40f166f07b2bb9ab1b120af1.jpg?v=1772947038","Open")</x:f>
        <x:v>HYPERLINK is not implemented. linkLocation=https://cdn.shopify.com/s/files/1/0918/6066/4603/files/2af455ea40f166f07b2bb9ab1b120af1.jpg?v=1772947038, friendlyName=Open</x:v>
      </x:c>
      <x:c r="C6832" s="24" t="e">
        <x:f>HYPERLINK("https://365nails.com/products/cute-doodle-mix-nail-art-accent-set","Cute Doodle Mix – Nail Art Accent Set")</x:f>
        <x:v>HYPERLINK is not implemented. linkLocation=https://365nails.com/products/cute-doodle-mix-nail-art-accent-set, friendlyName=Cute Doodle Mix – Nail Art Accent Set</x:v>
      </x:c>
      <x:c r="D6832" s="18" t="str">
        <x:v>Specification type: To5040 / To5078</x:v>
      </x:c>
      <x:c r="E6832" s="25" t="str">
        <x:v>$1.09</x:v>
      </x:c>
      <x:c r="F6832" s="19" t="str">
        <x:v>5</x:v>
      </x:c>
    </x:row>
    <x:row r="6833" ht="93" customHeight="1">
      <x:c r="A6833" s="19" t="n">
        <x:v>6830</x:v>
      </x:c>
      <x:c r="B6833" s="22" t="e">
        <x:f>HYPERLINK("https://cdn.shopify.com/s/files/1/0918/6066/4603/files/O1CN014qxHBD1HlWqVzDh3n__2545140798-0-cib.jpg?v=1774255264","Open")</x:f>
        <x:v>HYPERLINK is not implemented. linkLocation=https://cdn.shopify.com/s/files/1/0918/6066/4603/files/O1CN014qxHBD1HlWqVzDh3n__2545140798-0-cib.jpg?v=1774255264, friendlyName=Open</x:v>
      </x:c>
      <x:c r="C6833" s="24" t="e">
        <x:f>HYPERLINK("https://365nails.com/products/vintage-lace-floral-nail-sticker-set-elegant-lace-romance","Vintage Lace &amp; Floral Nail Sticker Set – ""Elegant Lace Romance""")</x:f>
        <x:v>HYPERLINK is not implemented. linkLocation=https://365nails.com/products/vintage-lace-floral-nail-sticker-set-elegant-lace-romance, friendlyName=Vintage Lace &amp; Floral Nail Sticker Set – "Elegant Lace Romance"</x:v>
      </x:c>
      <x:c r="D6833" s="18" t="str">
        <x:v>Specification type: To2421 / To2423</x:v>
      </x:c>
      <x:c r="E6833" s="25" t="str">
        <x:v>$1.09</x:v>
      </x:c>
      <x:c r="F6833" s="19" t="str">
        <x:v>5</x:v>
      </x:c>
    </x:row>
    <x:row r="6834" ht="93" customHeight="1">
      <x:c r="A6834" s="19" t="n">
        <x:v>6831</x:v>
      </x:c>
      <x:c r="B6834" s="22" t="e">
        <x:f>HYPERLINK("https://cdn.shopify.com/s/files/1/0918/6066/4603/files/O1CN01MQbuqf1HlX4tUfewF__2545140798-0-cib.jpg?v=1773543184","Open")</x:f>
        <x:v>HYPERLINK is not implemented. linkLocation=https://cdn.shopify.com/s/files/1/0918/6066/4603/files/O1CN01MQbuqf1HlX4tUfewF__2545140798-0-cib.jpg?v=1773543184, friendlyName=Open</x:v>
      </x:c>
      <x:c r="C6834" s="24" t="e">
        <x:f>HYPERLINK("https://365nails.com/products/iridescent-butterfly-collection-holographic-flutter-3d-embossed-nail-sticker","Iridescent Butterfly Collection: ""Holographic Flutter"" – 3D Embossed Nail Sticker")</x:f>
        <x:v>HYPERLINK is not implemented. linkLocation=https://365nails.com/products/iridescent-butterfly-collection-holographic-flutter-3d-embossed-nail-sticker, friendlyName=Iridescent Butterfly Collection: "Holographic Flutter" – 3D Embossed Nail Sticker</x:v>
      </x:c>
      <x:c r="D6834" s="18" t="str">
        <x:v>Specification type: To4648-shell light / To4650-shell light</x:v>
      </x:c>
      <x:c r="E6834" s="25" t="str">
        <x:v>$1.23</x:v>
      </x:c>
      <x:c r="F6834" s="19" t="str">
        <x:v>5</x:v>
      </x:c>
    </x:row>
    <x:row r="6835" ht="93" customHeight="1">
      <x:c r="A6835" s="19" t="n">
        <x:v>6832</x:v>
      </x:c>
      <x:c r="B6835" s="22" t="e">
        <x:f>HYPERLINK("https://cdn.shopify.com/s/files/1/0918/6066/4603/files/929abaac7e87d64b6a3c82b279417d42.jpg?v=1772946226","Open")</x:f>
        <x:v>HYPERLINK is not implemented. linkLocation=https://cdn.shopify.com/s/files/1/0918/6066/4603/files/929abaac7e87d64b6a3c82b279417d42.jpg?v=1772946226, friendlyName=Open</x:v>
      </x:c>
      <x:c r="C6835" s="24" t="e">
        <x:f>HYPERLINK("https://365nails.com/products/pastel-doodle-mix-5d-embossed-cute-nail-art-set","Pastel Doodle Mix – 5D Embossed Cute Nail Art Set")</x:f>
        <x:v>HYPERLINK is not implemented. linkLocation=https://365nails.com/products/pastel-doodle-mix-5d-embossed-cute-nail-art-set, friendlyName=Pastel Doodle Mix – 5D Embossed Cute Nail Art Set</x:v>
      </x:c>
      <x:c r="D6835" s="18" t="str">
        <x:v>Specification type: Ta330-relief / Ta331-relief</x:v>
      </x:c>
      <x:c r="E6835" s="25" t="str">
        <x:v>$1.23</x:v>
      </x:c>
      <x:c r="F6835" s="19" t="str">
        <x:v>5</x:v>
      </x:c>
    </x:row>
    <x:row r="6836" ht="93" customHeight="1">
      <x:c r="A6836" s="19" t="n">
        <x:v>6833</x:v>
      </x:c>
      <x:c r="B6836" s="22" t="e">
        <x:f>HYPERLINK("https://cdn.shopify.com/s/files/1/0918/6066/4603/files/O1CN01JBZZSK1HlXALy6gSJ__2545140798-0-cib.jpg?v=1773553387","Open")</x:f>
        <x:v>HYPERLINK is not implemented. linkLocation=https://cdn.shopify.com/s/files/1/0918/6066/4603/files/O1CN01JBZZSK1HlXALy6gSJ__2545140798-0-cib.jpg?v=1773553387, friendlyName=Open</x:v>
      </x:c>
      <x:c r="C6836" s="24" t="e">
        <x:f>HYPERLINK("https://365nails.com/products/vintage-horse-portrait-collection-baroque-equestrian-3d-embossed-nail-sticker","Vintage Horse Portrait Collection: ""Baroque Equestrian"" – 3D Embossed Nail Sticker")</x:f>
        <x:v>HYPERLINK is not implemented. linkLocation=https://365nails.com/products/vintage-horse-portrait-collection-baroque-equestrian-3d-embossed-nail-sticker, friendlyName=Vintage Horse Portrait Collection: "Baroque Equestrian" – 3D Embossed Nail Sticker</x:v>
      </x:c>
      <x:c r="D6836" s="18" t="str">
        <x:v>Specification type: To5279-metal / To5280-relief / To5284-relief</x:v>
      </x:c>
      <x:c r="E6836" s="25" t="str">
        <x:v>$1.23</x:v>
      </x:c>
      <x:c r="F6836" s="19" t="str">
        <x:v>5</x:v>
      </x:c>
    </x:row>
    <x:row r="6837" ht="93" customHeight="1">
      <x:c r="A6837" s="19" t="n">
        <x:v>6834</x:v>
      </x:c>
      <x:c r="B6837" s="22" t="e">
        <x:f>HYPERLINK("https://cdn.shopify.com/s/files/1/0918/6066/4603/files/dcee4c8fc3e4992b6f420997946427b1.jpg?v=1772878844","Open")</x:f>
        <x:v>HYPERLINK is not implemented. linkLocation=https://cdn.shopify.com/s/files/1/0918/6066/4603/files/dcee4c8fc3e4992b6f420997946427b1.jpg?v=1772878844, friendlyName=Open</x:v>
      </x:c>
      <x:c r="C6837" s="24" t="e">
        <x:f>HYPERLINK("https://365nails.com/products/holographic-bubble-bunny-5d-embossed-dreamy-accent-set","Holographic Bubble &amp; Bunny – 5D Embossed Dreamy Accent Set")</x:f>
        <x:v>HYPERLINK is not implemented. linkLocation=https://365nails.com/products/holographic-bubble-bunny-5d-embossed-dreamy-accent-set, friendlyName=Holographic Bubble &amp; Bunny – 5D Embossed Dreamy Accent Set</x:v>
      </x:c>
      <x:c r="D6837" s="18" t="str">
        <x:v>Specification type: To5114-shell light</x:v>
      </x:c>
      <x:c r="E6837" s="25" t="str">
        <x:v>$1.23</x:v>
      </x:c>
      <x:c r="F6837" s="19" t="str">
        <x:v>5</x:v>
      </x:c>
    </x:row>
    <x:row r="6838" ht="93" customHeight="1">
      <x:c r="A6838" s="19" t="n">
        <x:v>6835</x:v>
      </x:c>
      <x:c r="B6838" s="22" t="e">
        <x:f>HYPERLINK("https://cdn.shopify.com/s/files/1/0918/6066/4603/files/fbbf2dc997f4c72aa8d9fc0aedf3fdd4.jpg?v=1772870935","Open")</x:f>
        <x:v>HYPERLINK is not implemented. linkLocation=https://cdn.shopify.com/s/files/1/0918/6066/4603/files/fbbf2dc997f4c72aa8d9fc0aedf3fdd4.jpg?v=1772870935, friendlyName=Open</x:v>
      </x:c>
      <x:c r="C6838" s="24" t="e">
        <x:f>HYPERLINK("https://365nails.com/products/5d-embossed-christmas-characters-nail-stickers-festive-cartoon-holiday-set","5D Embossed Christmas Characters Nail Stickers – Festive Cartoon Holiday Set")</x:f>
        <x:v>HYPERLINK is not implemented. linkLocation=https://365nails.com/products/5d-embossed-christmas-characters-nail-stickers-festive-cartoon-holiday-set, friendlyName=5D Embossed Christmas Characters Nail Stickers – Festive Cartoon Holiday Set</x:v>
      </x:c>
      <x:c r="D6838" s="18" t="str">
        <x:v>Specification type: To4588-relief / To4589-relief</x:v>
      </x:c>
      <x:c r="E6838" s="25" t="str">
        <x:v>$1.23</x:v>
      </x:c>
      <x:c r="F6838" s="19" t="str">
        <x:v>5</x:v>
      </x:c>
    </x:row>
    <x:row r="6839" ht="93" customHeight="1">
      <x:c r="A6839" s="19" t="n">
        <x:v>6836</x:v>
      </x:c>
      <x:c r="B6839" s="22" t="e">
        <x:f>HYPERLINK("https://cdn.shopify.com/s/files/1/0918/6066/4603/files/O1CN019GefHC1HlXAvFyK67__2545140798-0-cib.jpg?v=1773546225","Open")</x:f>
        <x:v>HYPERLINK is not implemented. linkLocation=https://cdn.shopify.com/s/files/1/0918/6066/4603/files/O1CN019GefHC1HlXAvFyK67__2545140798-0-cib.jpg?v=1773546225, friendlyName=Open</x:v>
      </x:c>
      <x:c r="C6839" s="24" t="e">
        <x:f>HYPERLINK("https://365nails.com/products/chinese-orchid-collection-elegant-orchid-3d-embossed-nail-sticker","Chinese Orchid Collection: ""Elegant Orchid"" – 3D Embossed Nail Sticker")</x:f>
        <x:v>HYPERLINK is not implemented. linkLocation=https://365nails.com/products/chinese-orchid-collection-elegant-orchid-3d-embossed-nail-sticker, friendlyName=Chinese Orchid Collection: "Elegant Orchid" – 3D Embossed Nail Sticker</x:v>
      </x:c>
      <x:c r="D6839" s="18" t="str">
        <x:v>Specification type: To4959 / To5551</x:v>
      </x:c>
      <x:c r="E6839" s="25" t="str">
        <x:v>$0.65</x:v>
      </x:c>
      <x:c r="F6839" s="19" t="str">
        <x:v>5</x:v>
      </x:c>
    </x:row>
    <x:row r="6840" ht="93" customHeight="1">
      <x:c r="A6840" s="19" t="n">
        <x:v>6837</x:v>
      </x:c>
      <x:c r="B6840" s="22" t="e">
        <x:f>HYPERLINK("https://cdn.shopify.com/s/files/1/0918/6066/4603/files/O1CN014hsQwB1HlX8xO4yhn__2545140798-0-cib.jpg?v=1773542050","Open")</x:f>
        <x:v>HYPERLINK is not implemented. linkLocation=https://cdn.shopify.com/s/files/1/0918/6066/4603/files/O1CN014hsQwB1HlX8xO4yhn__2545140798-0-cib.jpg?v=1773542050, friendlyName=Open</x:v>
      </x:c>
      <x:c r="C6840" s="24" t="e">
        <x:f>HYPERLINK("https://365nails.com/products/sanrio-character-collection-kawaii-friends-3d-embossed-nail-sticker","Sanrio Character Collection: ""Kawaii Friends"" – 3D Embossed Nail Sticker")</x:f>
        <x:v>HYPERLINK is not implemented. linkLocation=https://365nails.com/products/sanrio-character-collection-kawaii-friends-3d-embossed-nail-sticker, friendlyName=Sanrio Character Collection: "Kawaii Friends" – 3D Embossed Nail Sticker</x:v>
      </x:c>
      <x:c r="D6840" s="18" t="str">
        <x:v>Specification type: Rn002-relief / Rn003-relief / Rn004-relief / Rn005-relief / Rn008-relief</x:v>
      </x:c>
      <x:c r="E6840" s="25" t="str">
        <x:v>$1.30</x:v>
      </x:c>
      <x:c r="F6840" s="19" t="str">
        <x:v>5</x:v>
      </x:c>
    </x:row>
    <x:row r="6841" ht="93" customHeight="1">
      <x:c r="A6841" s="19" t="n">
        <x:v>6838</x:v>
      </x:c>
      <x:c r="B6841" s="22" t="e">
        <x:f>HYPERLINK("https://cdn.shopify.com/s/files/1/0918/6066/4603/files/O1CN01Z828ZZ1HlX78BbNur__2545140798-0-cib.jpg?v=1772878725","Open")</x:f>
        <x:v>HYPERLINK is not implemented. linkLocation=https://cdn.shopify.com/s/files/1/0918/6066/4603/files/O1CN01Z828ZZ1HlX78BbNur__2545140798-0-cib.jpg?v=1772878725, friendlyName=Open</x:v>
      </x:c>
      <x:c r="C6841" s="24" t="e">
        <x:f>HYPERLINK("https://365nails.com/products/pink-seashell-starfish-5d-embossed-coastal-accent-set","Pink Seashell &amp; Starfish – 5D Embossed Coastal Accent Set")</x:f>
        <x:v>HYPERLINK is not implemented. linkLocation=https://365nails.com/products/pink-seashell-starfish-5d-embossed-coastal-accent-set, friendlyName=Pink Seashell &amp; Starfish – 5D Embossed Coastal Accent Set</x:v>
      </x:c>
      <x:c r="D6841" s="18" t="str">
        <x:v>Specification type: To5108-relief</x:v>
      </x:c>
      <x:c r="E6841" s="25" t="str">
        <x:v>$1.23</x:v>
      </x:c>
      <x:c r="F6841" s="19" t="str">
        <x:v>5</x:v>
      </x:c>
    </x:row>
    <x:row r="6842" ht="93" customHeight="1">
      <x:c r="A6842" s="19" t="n">
        <x:v>6839</x:v>
      </x:c>
      <x:c r="B6842" s="22" t="e">
        <x:f>HYPERLINK("https://cdn.shopify.com/s/files/1/0918/6066/4603/files/O1CN01HGXilx1HlX3KfdNAa__2545140798-0-cib.jpg?v=1773547163","Open")</x:f>
        <x:v>HYPERLINK is not implemented. linkLocation=https://cdn.shopify.com/s/files/1/0918/6066/4603/files/O1CN01HGXilx1HlX3KfdNAa__2545140798-0-cib.jpg?v=1773547163, friendlyName=Open</x:v>
      </x:c>
      <x:c r="C6842" s="24" t="e">
        <x:f>HYPERLINK("https://365nails.com/products/my-melody-shell-shimmer-collection-sweet-bunny-3d-iridescent-nail-sticker","My Melody Shell Shimmer Collection: ""Sweet Bunny"" – 3D Iridescent Nail Sticker")</x:f>
        <x:v>HYPERLINK is not implemented. linkLocation=https://365nails.com/products/my-melody-shell-shimmer-collection-sweet-bunny-3d-iridescent-nail-sticker, friendlyName=My Melody Shell Shimmer Collection: "Sweet Bunny" – 3D Iridescent Nail Sticker</x:v>
      </x:c>
      <x:c r="D6842" s="18" t="str">
        <x:v>Specification type: Mn042-shell light / Mn043-relief</x:v>
      </x:c>
      <x:c r="E6842" s="25" t="str">
        <x:v>$1.23</x:v>
      </x:c>
      <x:c r="F6842" s="19" t="str">
        <x:v>5</x:v>
      </x:c>
    </x:row>
    <x:row r="6843" ht="93" customHeight="1">
      <x:c r="A6843" s="19" t="n">
        <x:v>6840</x:v>
      </x:c>
      <x:c r="B6843" s="22" t="e">
        <x:f>HYPERLINK("https://cdn.shopify.com/s/files/1/0918/6066/4603/files/O1CN018ZoZLA1HlWlb6cw3p__2545140798-0-cib.jpg?v=1772883843","Open")</x:f>
        <x:v>HYPERLINK is not implemented. linkLocation=https://cdn.shopify.com/s/files/1/0918/6066/4603/files/O1CN018ZoZLA1HlWlb6cw3p__2545140798-0-cib.jpg?v=1772883843, friendlyName=Open</x:v>
      </x:c>
      <x:c r="C6843" s="24" t="e">
        <x:f>HYPERLINK("https://365nails.com/products/pastel-bunny-bow-5d-embossed-cute-accent-set","Pastel Bunny &amp; Bow – 5D Embossed Cute Accent Set")</x:f>
        <x:v>HYPERLINK is not implemented. linkLocation=https://365nails.com/products/pastel-bunny-bow-5d-embossed-cute-accent-set, friendlyName=Pastel Bunny &amp; Bow – 5D Embossed Cute Accent Set</x:v>
      </x:c>
      <x:c r="D6843" s="18" t="str">
        <x:v>Specification type: To800 / To801</x:v>
      </x:c>
      <x:c r="E6843" s="25" t="str">
        <x:v>$1.23</x:v>
      </x:c>
      <x:c r="F6843" s="19" t="str">
        <x:v>5</x:v>
      </x:c>
    </x:row>
    <x:row r="6844" ht="93" customHeight="1">
      <x:c r="A6844" s="19" t="n">
        <x:v>6841</x:v>
      </x:c>
      <x:c r="B6844" s="22" t="e">
        <x:f>HYPERLINK("https://cdn.shopify.com/s/files/1/0918/6066/4603/files/O1CN01oCHfHf1HlX0TqmpR2__2545140798-0-cib.jpg?v=1773546145","Open")</x:f>
        <x:v>HYPERLINK is not implemented. linkLocation=https://cdn.shopify.com/s/files/1/0918/6066/4603/files/O1CN01oCHfHf1HlX0TqmpR2__2545140798-0-cib.jpg?v=1773546145, friendlyName=Open</x:v>
      </x:c>
      <x:c r="C6844" s="24" t="e">
        <x:f>HYPERLINK("https://365nails.com/products/strawberry-garden-collection-sweet-berry-3d-embossed-nail-sticker","Strawberry Garden Collection: ""Sweet Berry"" – 3D Embossed Nail Sticker")</x:f>
        <x:v>HYPERLINK is not implemented. linkLocation=https://365nails.com/products/strawberry-garden-collection-sweet-berry-3d-embossed-nail-sticker, friendlyName=Strawberry Garden Collection: "Sweet Berry" – 3D Embossed Nail Sticker</x:v>
      </x:c>
      <x:c r="D6844" s="18" t="str">
        <x:v>Specification type: To3924-relief</x:v>
      </x:c>
      <x:c r="E6844" s="25" t="str">
        <x:v>$1.23</x:v>
      </x:c>
      <x:c r="F6844" s="19" t="str">
        <x:v>5</x:v>
      </x:c>
    </x:row>
    <x:row r="6845" ht="93" customHeight="1">
      <x:c r="A6845" s="19" t="n">
        <x:v>6842</x:v>
      </x:c>
      <x:c r="B6845" s="22" t="e">
        <x:f>HYPERLINK("https://cdn.shopify.com/s/files/1/0918/6066/4603/files/O1CN01eowHoq1HlX1rD0wYC__2545140798-0-cib.jpg?v=1773546692","Open")</x:f>
        <x:v>HYPERLINK is not implemented. linkLocation=https://cdn.shopify.com/s/files/1/0918/6066/4603/files/O1CN01eowHoq1HlX1rD0wYC__2545140798-0-cib.jpg?v=1773546692, friendlyName=Open</x:v>
      </x:c>
      <x:c r="C6845" s="24" t="e">
        <x:f>HYPERLINK("https://365nails.com/products/iridescent-butterfly-collection-aurora-flutter-3d-holographic-nail-sticker","Iridescent Butterfly Collection: ""Aurora Flutter"" – 3D Holographic Nail Sticker")</x:f>
        <x:v>HYPERLINK is not implemented. linkLocation=https://365nails.com/products/iridescent-butterfly-collection-aurora-flutter-3d-holographic-nail-sticker, friendlyName=Iridescent Butterfly Collection: "Aurora Flutter" – 3D Holographic Nail Sticker</x:v>
      </x:c>
      <x:c r="D6845" s="18" t="str">
        <x:v>Specification type: Ms643-shell light / Ms644-shell light</x:v>
      </x:c>
      <x:c r="E6845" s="25" t="str">
        <x:v>$1.23</x:v>
      </x:c>
      <x:c r="F6845" s="19" t="str">
        <x:v>5</x:v>
      </x:c>
    </x:row>
    <x:row r="6846" ht="93" customHeight="1">
      <x:c r="A6846" s="19" t="n">
        <x:v>6843</x:v>
      </x:c>
      <x:c r="B6846" s="22" t="e">
        <x:f>HYPERLINK("https://cdn.shopify.com/s/files/1/0918/6066/4603/files/O1CN01Vfka8C1HlWsYX0jMP__2545140798-0-cib.jpg?v=1773550103","Open")</x:f>
        <x:v>HYPERLINK is not implemented. linkLocation=https://cdn.shopify.com/s/files/1/0918/6066/4603/files/O1CN01Vfka8C1HlWsYX0jMP__2545140798-0-cib.jpg?v=1773550103, friendlyName=Open</x:v>
      </x:c>
      <x:c r="C6846" s="24" t="e">
        <x:f>HYPERLINK("https://365nails.com/products/vintage-baroque-gold-collection-royal-elegance-3d-embossed-nail-sticker","Vintage Baroque Gold Collection: ""Royal Elegance"" – 3D Embossed Nail Sticker")</x:f>
        <x:v>HYPERLINK is not implemented. linkLocation=https://365nails.com/products/vintage-baroque-gold-collection-royal-elegance-3d-embossed-nail-sticker, friendlyName=Vintage Baroque Gold Collection: "Royal Elegance" – 3D Embossed Nail Sticker</x:v>
      </x:c>
      <x:c r="D6846" s="18" t="str">
        <x:v>Specification type: To2802-relief / To2803-new hot stamping / To2803-silver / To2827-relief / To2828-thin tough / To2829-relief</x:v>
      </x:c>
      <x:c r="E6846" s="25" t="str">
        <x:v>$1.23</x:v>
      </x:c>
      <x:c r="F6846" s="19" t="str">
        <x:v>5</x:v>
      </x:c>
    </x:row>
    <x:row r="6847" ht="93" customHeight="1">
      <x:c r="A6847" s="19" t="n">
        <x:v>6844</x:v>
      </x:c>
      <x:c r="B6847" s="22" t="e">
        <x:f>HYPERLINK("https://cdn.shopify.com/s/files/1/0918/6066/4603/files/O1CN01R0bUWb1HlWzX6sZBB__2545140798-0-cib.jpg?v=1773547371","Open")</x:f>
        <x:v>HYPERLINK is not implemented. linkLocation=https://cdn.shopify.com/s/files/1/0918/6066/4603/files/O1CN01R0bUWb1HlWzX6sZBB__2545140798-0-cib.jpg?v=1773547371, friendlyName=Open</x:v>
      </x:c>
      <x:c r="C6847" s="24" t="e">
        <x:f>HYPERLINK("https://365nails.com/products/vintage-cameo-shell-shimmer-collection-elegant-cameo-3d-iridescent-nail-sticker","Vintage Cameo Shell Shimmer Collection: ""Elegant Cameo"" – 3D Iridescent Nail Sticker")</x:f>
        <x:v>HYPERLINK is not implemented. linkLocation=https://365nails.com/products/vintage-cameo-shell-shimmer-collection-elegant-cameo-3d-iridescent-nail-sticker, friendlyName=Vintage Cameo Shell Shimmer Collection: "Elegant Cameo" – 3D Iridescent Nail Sticker</x:v>
      </x:c>
      <x:c r="D6847" s="18" t="str">
        <x:v>Specification type: Ms541-shell light / Ms542-relief</x:v>
      </x:c>
      <x:c r="E6847" s="25" t="str">
        <x:v>$1.23</x:v>
      </x:c>
      <x:c r="F6847" s="19" t="str">
        <x:v>5</x:v>
      </x:c>
    </x:row>
    <x:row r="6848" ht="93" customHeight="1">
      <x:c r="A6848" s="19" t="n">
        <x:v>6845</x:v>
      </x:c>
      <x:c r="B6848" s="22" t="e">
        <x:f>HYPERLINK("https://cdn.shopify.com/s/files/1/0918/6066/4603/files/O1CN01zoV65r1HlXAXEJpfr__2545140798-0-cib.jpg?v=1773546379","Open")</x:f>
        <x:v>HYPERLINK is not implemented. linkLocation=https://cdn.shopify.com/s/files/1/0918/6066/4603/files/O1CN01zoV65r1HlXAXEJpfr__2545140798-0-cib.jpg?v=1773546379, friendlyName=Open</x:v>
      </x:c>
      <x:c r="C6848" s="24" t="e">
        <x:f>HYPERLINK("https://365nails.com/products/pastel-butterfly-ribbon-collection-whimsical-flutter-3d-glitter-nail-sticker","Pastel Butterfly &amp; Ribbon Collection: ""Whimsical Flutter"" – 3D Glitter Nail Sticker")</x:f>
        <x:v>HYPERLINK is not implemented. linkLocation=https://365nails.com/products/pastel-butterfly-ribbon-collection-whimsical-flutter-3d-glitter-nail-sticker, friendlyName=Pastel Butterfly &amp; Ribbon Collection: "Whimsical Flutter" – 3D Glitter Nail Sticker</x:v>
      </x:c>
      <x:c r="D6848" s="18" t="str">
        <x:v>Specification type: Ms911-glitter powder / Ms912-glitter powder</x:v>
      </x:c>
      <x:c r="E6848" s="25" t="str">
        <x:v>$0.80</x:v>
      </x:c>
      <x:c r="F6848" s="19" t="str">
        <x:v>5</x:v>
      </x:c>
    </x:row>
    <x:row r="6849" ht="93" customHeight="1">
      <x:c r="A6849" s="19" t="n">
        <x:v>6846</x:v>
      </x:c>
      <x:c r="B6849" s="22" t="e">
        <x:f>HYPERLINK("https://cdn.shopify.com/s/files/1/0918/6066/4603/files/O1CN01Nr7SJ41HlX9csmfqk__2545140798-0-cib.jpg?v=1773552546","Open")</x:f>
        <x:v>HYPERLINK is not implemented. linkLocation=https://cdn.shopify.com/s/files/1/0918/6066/4603/files/O1CN01Nr7SJ41HlX9csmfqk__2545140798-0-cib.jpg?v=1773552546, friendlyName=Open</x:v>
      </x:c>
      <x:c r="C6849" s="24" t="e">
        <x:f>HYPERLINK("https://365nails.com/products/ethnic-turquoise-gold-collection-oriental-treasure-3d-embossed-nail-sticker","Ethnic Turquoise Gold Collection: ""Oriental Treasure"" – 3D Embossed Nail Sticker")</x:f>
        <x:v>HYPERLINK is not implemented. linkLocation=https://365nails.com/products/ethnic-turquoise-gold-collection-oriental-treasure-3d-embossed-nail-sticker, friendlyName=Ethnic Turquoise Gold Collection: "Oriental Treasure" – 3D Embossed Nail Sticker</x:v>
      </x:c>
      <x:c r="D6849" s="18" t="str">
        <x:v>Specification type: Ms879-metal</x:v>
      </x:c>
      <x:c r="E6849" s="25" t="str">
        <x:v>$1.23</x:v>
      </x:c>
      <x:c r="F6849" s="19" t="str">
        <x:v>5</x:v>
      </x:c>
    </x:row>
    <x:row r="6850" ht="93" customHeight="1">
      <x:c r="A6850" s="19" t="n">
        <x:v>6847</x:v>
      </x:c>
      <x:c r="B6850" s="22" t="e">
        <x:f>HYPERLINK("https://cdn.shopify.com/s/files/1/0918/6066/4603/files/O1CN015ccGzK1HlWuvndtOe__2545140798-0-cib.jpg?v=1773543874","Open")</x:f>
        <x:v>HYPERLINK is not implemented. linkLocation=https://cdn.shopify.com/s/files/1/0918/6066/4603/files/O1CN015ccGzK1HlWuvndtOe__2545140798-0-cib.jpg?v=1773543874, friendlyName=Open</x:v>
      </x:c>
      <x:c r="C6850" s="24" t="e">
        <x:f>HYPERLINK("https://365nails.com/products/colorful-bear-collection-rainbow-jelly-friends-3d-jelly-nail-sticker","Colorful Bear Collection: ""Rainbow Jelly Friends"" – 3D Jelly Nail Sticker")</x:f>
        <x:v>HYPERLINK is not implemented. linkLocation=https://365nails.com/products/colorful-bear-collection-rainbow-jelly-friends-3d-jelly-nail-sticker, friendlyName=Colorful Bear Collection: "Rainbow Jelly Friends" – 3D Jelly Nail Sticker</x:v>
      </x:c>
      <x:c r="D6850" s="18" t="str">
        <x:v>Specification type: To3101 / To3102 / To3103 / To3104 / To3105 / To3106 / To3108 / To3109 / To3117</x:v>
      </x:c>
      <x:c r="E6850" s="25" t="str">
        <x:v>$1.23</x:v>
      </x:c>
      <x:c r="F6850" s="19" t="str">
        <x:v>5</x:v>
      </x:c>
    </x:row>
    <x:row r="6851" ht="93" customHeight="1">
      <x:c r="A6851" s="19" t="n">
        <x:v>6848</x:v>
      </x:c>
      <x:c r="B6851" s="22" t="e">
        <x:f>HYPERLINK("https://cdn.shopify.com/s/files/1/0918/6066/4603/files/c21d134cd25c0139757d154fa8988b7e.jpg?v=1772878412","Open")</x:f>
        <x:v>HYPERLINK is not implemented. linkLocation=https://cdn.shopify.com/s/files/1/0918/6066/4603/files/c21d134cd25c0139757d154fa8988b7e.jpg?v=1772878412, friendlyName=Open</x:v>
      </x:c>
      <x:c r="C6851" s="24" t="e">
        <x:f>HYPERLINK("https://365nails.com/products/pastel-star-moon-5d-embossed-celestial-accent-set","Pastel Star &amp; Moon – 5D Embossed Celestial Accent Set")</x:f>
        <x:v>HYPERLINK is not implemented. linkLocation=https://365nails.com/products/pastel-star-moon-5d-embossed-celestial-accent-set, friendlyName=Pastel Star &amp; Moon – 5D Embossed Celestial Accent Set</x:v>
      </x:c>
      <x:c r="D6851" s="18" t="str">
        <x:v>Specification type: To5055-jelly</x:v>
      </x:c>
      <x:c r="E6851" s="25" t="str">
        <x:v>$1.23</x:v>
      </x:c>
      <x:c r="F6851" s="19" t="str">
        <x:v>5</x:v>
      </x:c>
    </x:row>
    <x:row r="6852" ht="93" customHeight="1">
      <x:c r="A6852" s="19" t="n">
        <x:v>6849</x:v>
      </x:c>
      <x:c r="B6852" s="22" t="e">
        <x:f>HYPERLINK("https://cdn.shopify.com/s/files/1/0918/6066/4603/files/O1CN01rqUAWH1HlX7cc7g2l__2545140798-0-cib.jpg?v=1773546537","Open")</x:f>
        <x:v>HYPERLINK is not implemented. linkLocation=https://cdn.shopify.com/s/files/1/0918/6066/4603/files/O1CN01rqUAWH1HlX7cc7g2l__2545140798-0-cib.jpg?v=1773546537, friendlyName=Open</x:v>
      </x:c>
      <x:c r="C6852" s="24" t="e">
        <x:f>HYPERLINK("https://365nails.com/products/summer-beach-dessert-collection-seaside-sweet-3d-embossed-nail-sticker","Summer Beach &amp; Dessert Collection: ""Seaside Sweet"" – 3D Embossed Nail Sticker")</x:f>
        <x:v>HYPERLINK is not implemented. linkLocation=https://365nails.com/products/summer-beach-dessert-collection-seaside-sweet-3d-embossed-nail-sticker, friendlyName=Summer Beach &amp; Dessert Collection: "Seaside Sweet" – 3D Embossed Nail Sticker</x:v>
      </x:c>
      <x:c r="D6852" s="18" t="str">
        <x:v>Specification type: To5126-relief / To5144-relief</x:v>
      </x:c>
      <x:c r="E6852" s="25" t="str">
        <x:v>$1.23</x:v>
      </x:c>
      <x:c r="F6852" s="19" t="str">
        <x:v>5</x:v>
      </x:c>
    </x:row>
    <x:row r="6853" ht="93" customHeight="1">
      <x:c r="A6853" s="19" t="n">
        <x:v>6850</x:v>
      </x:c>
      <x:c r="B6853" s="22" t="e">
        <x:f>HYPERLINK("https://cdn.shopify.com/s/files/1/0918/6066/4603/files/2e13a836b260a464f431a80cdc5e5f21.jpg?v=1772878947","Open")</x:f>
        <x:v>HYPERLINK is not implemented. linkLocation=https://cdn.shopify.com/s/files/1/0918/6066/4603/files/2e13a836b260a464f431a80cdc5e5f21.jpg?v=1772878947, friendlyName=Open</x:v>
      </x:c>
      <x:c r="C6853" s="24" t="e">
        <x:f>HYPERLINK("https://365nails.com/products/summer-beach-cat-5d-embossed-playful-accent-set","Summer Beach Cat – 5D Embossed Playful Accent Set")</x:f>
        <x:v>HYPERLINK is not implemented. linkLocation=https://365nails.com/products/summer-beach-cat-5d-embossed-playful-accent-set, friendlyName=Summer Beach Cat – 5D Embossed Playful Accent Set</x:v>
      </x:c>
      <x:c r="D6853" s="18" t="str">
        <x:v>Specification type: To5117 / To5123</x:v>
      </x:c>
      <x:c r="E6853" s="25" t="str">
        <x:v>$1.09</x:v>
      </x:c>
      <x:c r="F6853" s="19" t="str">
        <x:v>5</x:v>
      </x:c>
    </x:row>
    <x:row r="6854" ht="93" customHeight="1">
      <x:c r="A6854" s="19" t="n">
        <x:v>6851</x:v>
      </x:c>
      <x:c r="B6854" s="22" t="e">
        <x:f>HYPERLINK("https://cdn.shopify.com/s/files/1/0918/6066/4603/files/cbdf6664d459e0abc64249c67f669e90.jpg?v=1772806960","Open")</x:f>
        <x:v>HYPERLINK is not implemented. linkLocation=https://cdn.shopify.com/s/files/1/0918/6066/4603/files/cbdf6664d459e0abc64249c67f669e90.jpg?v=1772806960, friendlyName=Open</x:v>
      </x:c>
      <x:c r="C6854" s="24" t="e">
        <x:f>HYPERLINK("https://365nails.com/products/monochrome-wildflower-nail-stickers-5d-embossed-minimalist-botanical-set","Monochrome Wildflower Nail Stickers – 5D Embossed Minimalist Botanical Set")</x:f>
        <x:v>HYPERLINK is not implemented. linkLocation=https://365nails.com/products/monochrome-wildflower-nail-stickers-5d-embossed-minimalist-botanical-set, friendlyName=Monochrome Wildflower Nail Stickers – 5D Embossed Minimalist Botanical Set</x:v>
      </x:c>
      <x:c r="D6854" s="18" t="str">
        <x:v>Specification type: To3977</x:v>
      </x:c>
      <x:c r="E6854" s="25" t="str">
        <x:v>$1.09</x:v>
      </x:c>
      <x:c r="F6854" s="19" t="str">
        <x:v>5</x:v>
      </x:c>
    </x:row>
    <x:row r="6855" ht="93" customHeight="1">
      <x:c r="A6855" s="19" t="n">
        <x:v>6852</x:v>
      </x:c>
      <x:c r="B6855" s="22" t="e">
        <x:f>HYPERLINK("https://cdn.shopify.com/s/files/1/0918/6066/4603/files/073497d470c23b988652a6fd76b90b68.jpg?v=1772802583","Open")</x:f>
        <x:v>HYPERLINK is not implemented. linkLocation=https://cdn.shopify.com/s/files/1/0918/6066/4603/files/073497d470c23b988652a6fd76b90b68.jpg?v=1772802583, friendlyName=Open</x:v>
      </x:c>
      <x:c r="C6855" s="24" t="e">
        <x:f>HYPERLINK("https://365nails.com/products/chinese-plum-blossom-nail-stickers-5d-embossed-ink-painting-set","Chinese Plum Blossom Nail Stickers – 5D Embossed Ink Painting Set")</x:f>
        <x:v>HYPERLINK is not implemented. linkLocation=https://365nails.com/products/chinese-plum-blossom-nail-stickers-5d-embossed-ink-painting-set, friendlyName=Chinese Plum Blossom Nail Stickers – 5D Embossed Ink Painting Set</x:v>
      </x:c>
      <x:c r="D6855" s="18" t="str">
        <x:v>Specification type: To3718 / To3720</x:v>
      </x:c>
      <x:c r="E6855" s="25" t="str">
        <x:v>$1.09</x:v>
      </x:c>
      <x:c r="F6855" s="19" t="str">
        <x:v>5</x:v>
      </x:c>
    </x:row>
    <x:row r="6856" ht="93" customHeight="1">
      <x:c r="A6856" s="19" t="n">
        <x:v>6853</x:v>
      </x:c>
      <x:c r="B6856" s="22" t="e">
        <x:f>HYPERLINK("https://cdn.shopify.com/s/files/1/0918/6066/4603/files/O1CN016HNfBv1HlWxNYY3pj__2545140798-0-cib.jpg?v=1773549074","Open")</x:f>
        <x:v>HYPERLINK is not implemented. linkLocation=https://cdn.shopify.com/s/files/1/0918/6066/4603/files/O1CN016HNfBv1HlWxNYY3pj__2545140798-0-cib.jpg?v=1773549074, friendlyName=Open</x:v>
      </x:c>
      <x:c r="C6856" s="24" t="e">
        <x:f>HYPERLINK("https://365nails.com/products/chinese-traditional-pattern-collection-oriental-elegance-3d-embossed-nail-sticker","Chinese Traditional Pattern Collection: ""Oriental Elegance"" – 3D Embossed Nail Sticker")</x:f>
        <x:v>HYPERLINK is not implemented. linkLocation=https://365nails.com/products/chinese-traditional-pattern-collection-oriental-elegance-3d-embossed-nail-sticker, friendlyName=Chinese Traditional Pattern Collection: "Oriental Elegance" – 3D Embossed Nail Sticker</x:v>
      </x:c>
      <x:c r="D6856" s="18" t="str">
        <x:v>Specification type: L25th</x:v>
      </x:c>
      <x:c r="E6856" s="25" t="str">
        <x:v>$1.23</x:v>
      </x:c>
      <x:c r="F6856" s="19" t="str">
        <x:v>5</x:v>
      </x:c>
    </x:row>
    <x:row r="6857" ht="93" customHeight="1">
      <x:c r="A6857" s="19" t="n">
        <x:v>6854</x:v>
      </x:c>
      <x:c r="B6857" s="22" t="e">
        <x:f>HYPERLINK("https://cdn.shopify.com/s/files/1/0918/6066/4603/files/O1CN01GbUzPf1HlX7MNioBn__2545140798-0-cib.jpg?v=1773546451","Open")</x:f>
        <x:v>HYPERLINK is not implemented. linkLocation=https://cdn.shopify.com/s/files/1/0918/6066/4603/files/O1CN01GbUzPf1HlX7MNioBn__2545140798-0-cib.jpg?v=1773546451, friendlyName=Open</x:v>
      </x:c>
      <x:c r="C6857" s="24" t="e">
        <x:f>HYPERLINK("https://365nails.com/products/cute-bear-village-collection-cozy-cottage-3d-jelly-nail-sticker","Cute Bear Village Collection: ""Cozy Cottage"" – 3D Jelly Nail Sticker")</x:f>
        <x:v>HYPERLINK is not implemented. linkLocation=https://365nails.com/products/cute-bear-village-collection-cozy-cottage-3d-jelly-nail-sticker, friendlyName=Cute Bear Village Collection: "Cozy Cottage" – 3D Jelly Nail Sticker</x:v>
      </x:c>
      <x:c r="D6857" s="18" t="str">
        <x:v>Specification type: To5053-relief / To5054-relief</x:v>
      </x:c>
      <x:c r="E6857" s="25" t="str">
        <x:v>$1.23</x:v>
      </x:c>
      <x:c r="F6857" s="19" t="str">
        <x:v>5</x:v>
      </x:c>
    </x:row>
    <x:row r="6858" ht="93" customHeight="1">
      <x:c r="A6858" s="19" t="n">
        <x:v>6855</x:v>
      </x:c>
      <x:c r="B6858" s="22" t="e">
        <x:f>HYPERLINK("https://cdn.shopify.com/s/files/1/0918/6066/4603/files/4c0f7a8a81e1626b579c1ccbc6ebf7b8.jpg?v=1772881929","Open")</x:f>
        <x:v>HYPERLINK is not implemented. linkLocation=https://cdn.shopify.com/s/files/1/0918/6066/4603/files/4c0f7a8a81e1626b579c1ccbc6ebf7b8.jpg?v=1772881929, friendlyName=Open</x:v>
      </x:c>
      <x:c r="C6858" s="24" t="e">
        <x:f>HYPERLINK("https://365nails.com/products/pastel-crystal-bow-5d-embossed-sweet-accent-set","Pastel Crystal Bow – 5D Embossed Sweet Accent Set")</x:f>
        <x:v>HYPERLINK is not implemented. linkLocation=https://365nails.com/products/pastel-crystal-bow-5d-embossed-sweet-accent-set, friendlyName=Pastel Crystal Bow – 5D Embossed Sweet Accent Set</x:v>
      </x:c>
      <x:c r="D6858" s="18" t="str">
        <x:v>Specification type: To5030-crystal diamond / To5031-crystal diamond</x:v>
      </x:c>
      <x:c r="E6858" s="25" t="str">
        <x:v>$1.34</x:v>
      </x:c>
      <x:c r="F6858" s="19" t="str">
        <x:v>5</x:v>
      </x:c>
    </x:row>
    <x:row r="6859" ht="93" customHeight="1">
      <x:c r="A6859" s="19" t="n">
        <x:v>6856</x:v>
      </x:c>
      <x:c r="B6859" s="22" t="e">
        <x:f>HYPERLINK("https://cdn.shopify.com/s/files/1/0918/6066/4603/files/O1CN01MXC2D11HlXAFvXxgI__2545140798-0-cib.jpg?v=1773549789","Open")</x:f>
        <x:v>HYPERLINK is not implemented. linkLocation=https://cdn.shopify.com/s/files/1/0918/6066/4603/files/O1CN01MXC2D11HlXAFvXxgI__2545140798-0-cib.jpg?v=1773549789, friendlyName=Open</x:v>
      </x:c>
      <x:c r="C6859" s="24" t="e">
        <x:f>HYPERLINK("https://365nails.com/products/golden-rose-vintage-collection-elegant-romance-3d-embossed-nail-sticker","Golden Rose Vintage Collection: ""Elegant Romance"" – 3D Embossed Nail Sticker")</x:f>
        <x:v>HYPERLINK is not implemented. linkLocation=https://365nails.com/products/golden-rose-vintage-collection-elegant-romance-3d-embossed-nail-sticker, friendlyName=Golden Rose Vintage Collection: "Elegant Romance" – 3D Embossed Nail Sticker</x:v>
      </x:c>
      <x:c r="D6859" s="18" t="str">
        <x:v>Specification type: Ms897-metal</x:v>
      </x:c>
      <x:c r="E6859" s="25" t="str">
        <x:v>$1.23</x:v>
      </x:c>
      <x:c r="F6859" s="19" t="str">
        <x:v>5</x:v>
      </x:c>
    </x:row>
    <x:row r="6860" ht="93" customHeight="1">
      <x:c r="A6860" s="19" t="n">
        <x:v>6857</x:v>
      </x:c>
      <x:c r="B6860" s="22" t="e">
        <x:f>HYPERLINK("https://cdn.shopify.com/s/files/1/0918/6066/4603/files/O1CN01sqdPfH1HlX60VGC1U__2545140798-0-cib.jpg?v=1773548185","Open")</x:f>
        <x:v>HYPERLINK is not implemented. linkLocation=https://cdn.shopify.com/s/files/1/0918/6066/4603/files/O1CN01sqdPfH1HlX60VGC1U__2545140798-0-cib.jpg?v=1773548185, friendlyName=Open</x:v>
      </x:c>
      <x:c r="C6860" s="24" t="e">
        <x:f>HYPERLINK("https://365nails.com/products/crystal-bunny-collection-sweet-bunny-3d-iridescent-nail-sticker","Crystal Bunny Collection: ""Sweet Bunny"" – 3D Iridescent Nail Sticker")</x:f>
        <x:v>HYPERLINK is not implemented. linkLocation=https://365nails.com/products/crystal-bunny-collection-sweet-bunny-3d-iridescent-nail-sticker, friendlyName=Crystal Bunny Collection: "Sweet Bunny" – 3D Iridescent Nail Sticker</x:v>
      </x:c>
      <x:c r="D6860" s="18" t="str">
        <x:v>Specification type: To4936-crystal diamond</x:v>
      </x:c>
      <x:c r="E6860" s="25" t="str">
        <x:v>$1.30</x:v>
      </x:c>
      <x:c r="F6860" s="19" t="str">
        <x:v>5</x:v>
      </x:c>
    </x:row>
    <x:row r="6861" ht="93" customHeight="1">
      <x:c r="A6861" s="19" t="n">
        <x:v>6858</x:v>
      </x:c>
      <x:c r="B6861" s="22" t="e">
        <x:f>HYPERLINK("https://cdn.shopify.com/s/files/1/0918/6066/4603/files/O1CN01t9ZSvj1HlX9AeH0hN__2545140798-0-cib.jpg?v=1773545838","Open")</x:f>
        <x:v>HYPERLINK is not implemented. linkLocation=https://cdn.shopify.com/s/files/1/0918/6066/4603/files/O1CN01t9ZSvj1HlX9AeH0hN__2545140798-0-cib.jpg?v=1773545838, friendlyName=Open</x:v>
      </x:c>
      <x:c r="C6861" s="24" t="e">
        <x:f>HYPERLINK("https://365nails.com/products/snow-globe-village-collection-winter-wonderland-3d-jelly-nail-sticker","Snow Globe Village Collection: ""Winter Wonderland"" – 3D Jelly Nail Sticker")</x:f>
        <x:v>HYPERLINK is not implemented. linkLocation=https://365nails.com/products/snow-globe-village-collection-winter-wonderland-3d-jelly-nail-sticker, friendlyName=Snow Globe Village Collection: "Winter Wonderland" – 3D Jelly Nail Sticker</x:v>
      </x:c>
      <x:c r="D6861" s="18" t="str">
        <x:v>Specification type: To5281-new hot stamping / To5281-silver / To5287-jelly / To5303-relief / To5306-relief / To5290-relief</x:v>
      </x:c>
      <x:c r="E6861" s="25" t="str">
        <x:v>$0.80</x:v>
      </x:c>
      <x:c r="F6861" s="19" t="str">
        <x:v>5</x:v>
      </x:c>
    </x:row>
    <x:row r="6862" ht="93" customHeight="1">
      <x:c r="A6862" s="19" t="n">
        <x:v>6859</x:v>
      </x:c>
      <x:c r="B6862" s="22" t="e">
        <x:f>HYPERLINK("https://cdn.shopify.com/s/files/1/0918/6066/4603/files/O1CN01cYTxN41HlX9p9dokc__2545140798-0-cib.jpg?v=1772949505","Open")</x:f>
        <x:v>HYPERLINK is not implemented. linkLocation=https://cdn.shopify.com/s/files/1/0918/6066/4603/files/O1CN01cYTxN41HlX9p9dokc__2545140798-0-cib.jpg?v=1772949505, friendlyName=Open</x:v>
      </x:c>
      <x:c r="C6862" s="24" t="e">
        <x:f>HYPERLINK("https://365nails.com/products/pastel-starry-sky-cute-nail-art-accent-set","Pastel Starry Sky – Cute Nail Art Accent Set")</x:f>
        <x:v>HYPERLINK is not implemented. linkLocation=https://365nails.com/products/pastel-starry-sky-cute-nail-art-accent-set, friendlyName=Pastel Starry Sky – Cute Nail Art Accent Set</x:v>
      </x:c>
      <x:c r="D6862" s="18" t="str">
        <x:v>Specification type: To5348 / To5381</x:v>
      </x:c>
      <x:c r="E6862" s="25" t="str">
        <x:v>$1.09</x:v>
      </x:c>
      <x:c r="F6862" s="19" t="str">
        <x:v>5</x:v>
      </x:c>
    </x:row>
    <x:row r="6863" ht="93" customHeight="1">
      <x:c r="A6863" s="19" t="n">
        <x:v>6860</x:v>
      </x:c>
      <x:c r="B6863" s="22" t="e">
        <x:f>HYPERLINK("https://cdn.shopify.com/s/files/1/0918/6066/4603/files/O1CN01iw4pER1HlWuqV3bGC__2545140798-0-cib.jpg?v=1776493871","Open")</x:f>
        <x:v>HYPERLINK is not implemented. linkLocation=https://cdn.shopify.com/s/files/1/0918/6066/4603/files/O1CN01iw4pER1HlWuqV3bGC__2545140798-0-cib.jpg?v=1776493871, friendlyName=Open</x:v>
      </x:c>
      <x:c r="C6863" s="24" t="e">
        <x:f>HYPERLINK("https://365nails.com/products/365nails-traditional-japanese-noh-mask-nail-art-stickers","365nails: ""Traditional Japanese Noh Mask"" – nail art stickers")</x:f>
        <x:v>HYPERLINK is not implemented. linkLocation=https://365nails.com/products/365nails-traditional-japanese-noh-mask-nail-art-stickers, friendlyName=365nails: "Traditional Japanese Noh Mask" – nail art stickers</x:v>
      </x:c>
      <x:c r="D6863" s="18" t="str">
        <x:v>Specification type: To3098 / To3100 / To3122 / To3124</x:v>
      </x:c>
      <x:c r="E6863" s="25" t="str">
        <x:v>$1.09</x:v>
      </x:c>
      <x:c r="F6863" s="19" t="str">
        <x:v>5</x:v>
      </x:c>
    </x:row>
    <x:row r="6864" ht="93" customHeight="1">
      <x:c r="A6864" s="19" t="n">
        <x:v>6861</x:v>
      </x:c>
      <x:c r="B6864" s="22" t="e">
        <x:f>HYPERLINK("https://cdn.shopify.com/s/files/1/0918/6066/4603/files/O1CN01bzGp5X1HlX2s3sLVi__2545140798-0-cib.jpg?v=1773547438","Open")</x:f>
        <x:v>HYPERLINK is not implemented. linkLocation=https://cdn.shopify.com/s/files/1/0918/6066/4603/files/O1CN01bzGp5X1HlX2s3sLVi__2545140798-0-cib.jpg?v=1773547438, friendlyName=Open</x:v>
      </x:c>
      <x:c r="C6864" s="24" t="e">
        <x:f>HYPERLINK("https://365nails.com/products/iridescent-christmas-collection-festive-sparkle-3d-holographic-nail-sticker","Iridescent Christmas Collection: ""Festive Sparkle"" – 3D Holographic Nail Sticker")</x:f>
        <x:v>HYPERLINK is not implemented. linkLocation=https://365nails.com/products/iridescent-christmas-collection-festive-sparkle-3d-holographic-nail-sticker, friendlyName=Iridescent Christmas Collection: "Festive Sparkle" – 3D Holographic Nail Sticker</x:v>
      </x:c>
      <x:c r="D6864" s="18" t="str">
        <x:v>Specification type: To3606 / To3606-1</x:v>
      </x:c>
      <x:c r="E6864" s="25" t="str">
        <x:v>$1.23</x:v>
      </x:c>
      <x:c r="F6864" s="19" t="str">
        <x:v>5</x:v>
      </x:c>
    </x:row>
    <x:row r="6865" ht="93" customHeight="1">
      <x:c r="A6865" s="19" t="n">
        <x:v>6862</x:v>
      </x:c>
      <x:c r="B6865" s="22" t="e">
        <x:f>HYPERLINK("https://cdn.shopify.com/s/files/1/0918/6066/4603/files/O1CN01TGSGgh1HlXAMUgh4X__2545140798-0-cib.jpg?v=1773545995","Open")</x:f>
        <x:v>HYPERLINK is not implemented. linkLocation=https://cdn.shopify.com/s/files/1/0918/6066/4603/files/O1CN01TGSGgh1HlXAMUgh4X__2545140798-0-cib.jpg?v=1773545995, friendlyName=Open</x:v>
      </x:c>
      <x:c r="C6865" s="24" t="e">
        <x:f>HYPERLINK("https://365nails.com/products/gothic-heart-cross-collection-vintage-royal-3d-metallic-gold-nail-sticker","Gothic Heart &amp; Cross Collection: ""Vintage Royal"" – 3D Metallic Gold Nail Sticker")</x:f>
        <x:v>HYPERLINK is not implemented. linkLocation=https://365nails.com/products/gothic-heart-cross-collection-vintage-royal-3d-metallic-gold-nail-sticker, friendlyName=Gothic Heart &amp; Cross Collection: "Vintage Royal" – 3D Metallic Gold Nail Sticker</x:v>
      </x:c>
      <x:c r="D6865" s="18" t="str">
        <x:v>Specification type: Ms904-gilt</x:v>
      </x:c>
      <x:c r="E6865" s="25" t="str">
        <x:v>$0.80</x:v>
      </x:c>
      <x:c r="F6865" s="19" t="str">
        <x:v>5</x:v>
      </x:c>
    </x:row>
    <x:row r="6866" ht="93" customHeight="1">
      <x:c r="A6866" s="19" t="n">
        <x:v>6863</x:v>
      </x:c>
      <x:c r="B6866" s="22" t="e">
        <x:f>HYPERLINK("https://cdn.shopify.com/s/files/1/0918/6066/4603/files/06df8828285defa168a4fcd4dfa36345.jpg?v=1772879589","Open")</x:f>
        <x:v>HYPERLINK is not implemented. linkLocation=https://cdn.shopify.com/s/files/1/0918/6066/4603/files/06df8828285defa168a4fcd4dfa36345.jpg?v=1772879589, friendlyName=Open</x:v>
      </x:c>
      <x:c r="C6866" s="24" t="e">
        <x:f>HYPERLINK("https://365nails.com/products/holographic-bubble-pearl-5d-embossed-dreamy-accent-set","Holographic Bubble &amp; Pearl – 5D Embossed Dreamy Accent Set")</x:f>
        <x:v>HYPERLINK is not implemented. linkLocation=https://365nails.com/products/holographic-bubble-pearl-5d-embossed-dreamy-accent-set, friendlyName=Holographic Bubble &amp; Pearl – 5D Embossed Dreamy Accent Set</x:v>
      </x:c>
      <x:c r="D6866" s="18" t="str">
        <x:v>Specification type: Ms828-shell light / Ms829-shell light / Ms830-relief</x:v>
      </x:c>
      <x:c r="E6866" s="25" t="str">
        <x:v>$1.23</x:v>
      </x:c>
      <x:c r="F6866" s="19" t="str">
        <x:v>5</x:v>
      </x:c>
    </x:row>
    <x:row r="6867" ht="93" customHeight="1">
      <x:c r="A6867" s="19" t="n">
        <x:v>6864</x:v>
      </x:c>
      <x:c r="B6867" s="22" t="e">
        <x:f>HYPERLINK("https://cdn.shopify.com/s/files/1/0918/6066/4603/files/dd73df03e1b17a5ad98c1ef3fb5343a3.jpg?v=1772885755","Open")</x:f>
        <x:v>HYPERLINK is not implemented. linkLocation=https://cdn.shopify.com/s/files/1/0918/6066/4603/files/dd73df03e1b17a5ad98c1ef3fb5343a3.jpg?v=1772885755, friendlyName=Open</x:v>
      </x:c>
      <x:c r="C6867" s="24" t="e">
        <x:f>HYPERLINK("https://365nails.com/products/gothic-lolita-portrait-5d-embossed-artistic-accent-set","Gothic Lolita Portrait – 5D Embossed Artistic Accent Set")</x:f>
        <x:v>HYPERLINK is not implemented. linkLocation=https://365nails.com/products/gothic-lolita-portrait-5d-embossed-artistic-accent-set, friendlyName=Gothic Lolita Portrait – 5D Embossed Artistic Accent Set</x:v>
      </x:c>
      <x:c r="D6867" s="18" t="str">
        <x:v>Specification type: To2873</x:v>
      </x:c>
      <x:c r="E6867" s="25" t="str">
        <x:v>$1.23</x:v>
      </x:c>
      <x:c r="F6867" s="19" t="str">
        <x:v>5</x:v>
      </x:c>
    </x:row>
    <x:row r="6868" ht="93" customHeight="1">
      <x:c r="A6868" s="19" t="n">
        <x:v>6865</x:v>
      </x:c>
      <x:c r="B6868" s="22" t="e">
        <x:f>HYPERLINK("https://cdn.shopify.com/s/files/1/0918/6066/4603/files/O1CN01wpU5eq1HlXATPhLT5__2545140798-0-cib.jpg?v=1773549548","Open")</x:f>
        <x:v>HYPERLINK is not implemented. linkLocation=https://cdn.shopify.com/s/files/1/0918/6066/4603/files/O1CN01wpU5eq1HlXATPhLT5__2545140798-0-cib.jpg?v=1773549548, friendlyName=Open</x:v>
      </x:c>
      <x:c r="C6868" s="24" t="e">
        <x:f>HYPERLINK("https://365nails.com/products/red-plum-enamel-collection-oriental-charm-3d-embossed-nail-sticker","Red Plum Enamel Collection: ""Oriental Charm"" – 3D Embossed Nail Sticker")</x:f>
        <x:v>HYPERLINK is not implemented. linkLocation=https://365nails.com/products/red-plum-enamel-collection-oriental-charm-3d-embossed-nail-sticker, friendlyName=Red Plum Enamel Collection: "Oriental Charm" – 3D Embossed Nail Sticker</x:v>
      </x:c>
      <x:c r="D6868" s="18" t="str">
        <x:v>Specification type: To5463-jelly</x:v>
      </x:c>
      <x:c r="E6868" s="25" t="str">
        <x:v>$1.23</x:v>
      </x:c>
      <x:c r="F6868" s="19" t="str">
        <x:v>5</x:v>
      </x:c>
    </x:row>
    <x:row r="6869" ht="93" customHeight="1">
      <x:c r="A6869" s="19" t="n">
        <x:v>6866</x:v>
      </x:c>
      <x:c r="B6869" s="22" t="e">
        <x:f>HYPERLINK("https://cdn.shopify.com/s/files/1/0918/6066/4603/files/O1CN01ayj7Wq1HlX4hsNmdo__2545140798-0-cib.jpg?v=1773543109","Open")</x:f>
        <x:v>HYPERLINK is not implemented. linkLocation=https://cdn.shopify.com/s/files/1/0918/6066/4603/files/O1CN01ayj7Wq1HlX4hsNmdo__2545140798-0-cib.jpg?v=1773543109, friendlyName=Open</x:v>
      </x:c>
      <x:c r="C6869" s="24" t="e">
        <x:f>HYPERLINK("https://365nails.com/products/chinese-lucky-character-collection-fortune-blessing-3d-embossed-nail-sticker","Chinese Lucky Character Collection: ""Fortune &amp; Blessing"" – 3D Embossed Nail Sticker")</x:f>
        <x:v>HYPERLINK is not implemented. linkLocation=https://365nails.com/products/chinese-lucky-character-collection-fortune-blessing-3d-embossed-nail-sticker, friendlyName=Chinese Lucky Character Collection: "Fortune &amp; Blessing" – 3D Embossed Nail Sticker</x:v>
      </x:c>
      <x:c r="D6869" s="18" t="str">
        <x:v>Specification type: To4727 / To4739</x:v>
      </x:c>
      <x:c r="E6869" s="25" t="str">
        <x:v>$1.09</x:v>
      </x:c>
      <x:c r="F6869" s="19" t="str">
        <x:v>5</x:v>
      </x:c>
    </x:row>
    <x:row r="6870" ht="93" customHeight="1">
      <x:c r="A6870" s="19" t="n">
        <x:v>6867</x:v>
      </x:c>
      <x:c r="B6870" s="22" t="e">
        <x:f>HYPERLINK("https://cdn.shopify.com/s/files/1/0918/6066/4603/files/O1CN01ryxiuK1HlX2aWIm6U__2545140798-0-cib.jpg?v=1772949836","Open")</x:f>
        <x:v>HYPERLINK is not implemented. linkLocation=https://cdn.shopify.com/s/files/1/0918/6066/4603/files/O1CN01ryxiuK1HlX2aWIm6U__2545140798-0-cib.jpg?v=1772949836, friendlyName=Open</x:v>
      </x:c>
      <x:c r="C6870" s="24" t="e">
        <x:f>HYPERLINK("https://365nails.com/products/pastel-ribbon-bow-crystal-nail-art-accent-set","Pastel Ribbon Bow – Crystal Nail Art Accent Set")</x:f>
        <x:v>HYPERLINK is not implemented. linkLocation=https://365nails.com/products/pastel-ribbon-bow-crystal-nail-art-accent-set, friendlyName=Pastel Ribbon Bow – Crystal Nail Art Accent Set</x:v>
      </x:c>
      <x:c r="D6870" s="18" t="str">
        <x:v>Specification type: Ms660-crystal diamond / Ms661-crystal diamond</x:v>
      </x:c>
      <x:c r="E6870" s="25" t="str">
        <x:v>$1.30</x:v>
      </x:c>
      <x:c r="F6870" s="19" t="str">
        <x:v>5</x:v>
      </x:c>
    </x:row>
    <x:row r="6871" ht="93" customHeight="1">
      <x:c r="A6871" s="19" t="n">
        <x:v>6868</x:v>
      </x:c>
      <x:c r="B6871" s="22" t="e">
        <x:f>HYPERLINK("https://cdn.shopify.com/s/files/1/0918/6066/4603/files/O1CN017qx8po1HlX23ff5so__2545140798-0-cib.jpg?v=1773547513","Open")</x:f>
        <x:v>HYPERLINK is not implemented. linkLocation=https://cdn.shopify.com/s/files/1/0918/6066/4603/files/O1CN017qx8po1HlX23ff5so__2545140798-0-cib.jpg?v=1773547513, friendlyName=Open</x:v>
      </x:c>
      <x:c r="C6871" s="24" t="e">
        <x:f>HYPERLINK("https://365nails.com/products/lucky-clover-iridescent-collection-fresh-luck-3d-embossed-nail-sticker","Lucky Clover Iridescent Collection: ""Fresh Luck"" – 3D Embossed Nail Sticker")</x:f>
        <x:v>HYPERLINK is not implemented. linkLocation=https://365nails.com/products/lucky-clover-iridescent-collection-fresh-luck-3d-embossed-nail-sticker, friendlyName=Lucky Clover Iridescent Collection: "Fresh Luck" – 3D Embossed Nail Sticker</x:v>
      </x:c>
      <x:c r="D6871" s="18" t="str">
        <x:v>Specification type: To4226-new hot stamping / To4254-shell light</x:v>
      </x:c>
      <x:c r="E6871" s="25" t="str">
        <x:v>$1.23</x:v>
      </x:c>
      <x:c r="F6871" s="19" t="str">
        <x:v>5</x:v>
      </x:c>
    </x:row>
    <x:row r="6872" ht="93" customHeight="1">
      <x:c r="A6872" s="19" t="n">
        <x:v>6869</x:v>
      </x:c>
      <x:c r="B6872" s="22" t="e">
        <x:f>HYPERLINK("https://cdn.shopify.com/s/files/1/0918/6066/4603/files/O1CN01mCYTtv1HlX6QcoMoR__2545140798-0-cib.jpg?v=1773545450","Open")</x:f>
        <x:v>HYPERLINK is not implemented. linkLocation=https://cdn.shopify.com/s/files/1/0918/6066/4603/files/O1CN01mCYTtv1HlX6QcoMoR__2545140798-0-cib.jpg?v=1773545450, friendlyName=Open</x:v>
      </x:c>
      <x:c r="C6872" s="24" t="e">
        <x:f>HYPERLINK("https://365nails.com/products/vintage-castle-frame-collection-fairy-tale-castle-3d-crystal-diamond-nail-sticker","Vintage Castle &amp; Frame Collection: ""Fairy Tale Castle"" – 3D Crystal Diamond Nail Sticker")</x:f>
        <x:v>HYPERLINK is not implemented. linkLocation=https://365nails.com/products/vintage-castle-frame-collection-fairy-tale-castle-3d-crystal-diamond-nail-sticker, friendlyName=Vintage Castle &amp; Frame Collection: "Fairy Tale Castle" – 3D Crystal Diamond Nail Sticker</x:v>
      </x:c>
      <x:c r="D6872" s="18" t="str">
        <x:v>Specification type: To4519-crystal diamond</x:v>
      </x:c>
      <x:c r="E6872" s="25" t="str">
        <x:v>$1.30</x:v>
      </x:c>
      <x:c r="F6872" s="19" t="str">
        <x:v>5</x:v>
      </x:c>
    </x:row>
    <x:row r="6873" ht="93" customHeight="1">
      <x:c r="A6873" s="19" t="n">
        <x:v>6870</x:v>
      </x:c>
      <x:c r="B6873" s="22" t="e">
        <x:f>HYPERLINK("https://cdn.shopify.com/s/files/1/0918/6066/4603/files/b624e6faeee2256514f51da357a1af39.jpg?v=1772949399","Open")</x:f>
        <x:v>HYPERLINK is not implemented. linkLocation=https://cdn.shopify.com/s/files/1/0918/6066/4603/files/b624e6faeee2256514f51da357a1af39.jpg?v=1772949399, friendlyName=Open</x:v>
      </x:c>
      <x:c r="C6873" s="24" t="e">
        <x:f>HYPERLINK("https://365nails.com/products/bread-house-foodie-nail-art-accent-set","Bread House – Foodie Nail Art Accent Set")</x:f>
        <x:v>HYPERLINK is not implemented. linkLocation=https://365nails.com/products/bread-house-foodie-nail-art-accent-set, friendlyName=Bread House – Foodie Nail Art Accent Set</x:v>
      </x:c>
      <x:c r="D6873" s="18" t="str">
        <x:v>Specification type: To5282-relief / To5289-jelly</x:v>
      </x:c>
      <x:c r="E6873" s="25" t="str">
        <x:v>$1.23</x:v>
      </x:c>
      <x:c r="F6873" s="19" t="str">
        <x:v>5</x:v>
      </x:c>
    </x:row>
    <x:row r="6874" ht="93" customHeight="1">
      <x:c r="A6874" s="19" t="n">
        <x:v>6871</x:v>
      </x:c>
      <x:c r="B6874" s="22" t="e">
        <x:f>HYPERLINK("https://cdn.shopify.com/s/files/1/0918/6066/4603/files/cf6dd0eeec3a8fbd04070d0cdf1f61e2.jpg?v=1772873948","Open")</x:f>
        <x:v>HYPERLINK is not implemented. linkLocation=https://cdn.shopify.com/s/files/1/0918/6066/4603/files/cf6dd0eeec3a8fbd04070d0cdf1f61e2.jpg?v=1772873948, friendlyName=Open</x:v>
      </x:c>
      <x:c r="C6874" s="24" t="e">
        <x:f>HYPERLINK("https://365nails.com/products/holographic-aurora-butterfly-nail-stickers-5d-embossed-iridescent-flutter-set","Holographic Aurora Butterfly Nail Stickers – 5D Embossed Iridescent Flutter Set")</x:f>
        <x:v>HYPERLINK is not implemented. linkLocation=https://365nails.com/products/holographic-aurora-butterfly-nail-stickers-5d-embossed-iridescent-flutter-set, friendlyName=Holographic Aurora Butterfly Nail Stickers – 5D Embossed Iridescent Flutter Set</x:v>
      </x:c>
      <x:c r="D6874" s="18" t="str">
        <x:v>Specification type: To4962-metal / To4963 shell light / To4964 shell light</x:v>
      </x:c>
      <x:c r="E6874" s="25" t="str">
        <x:v>$1.23</x:v>
      </x:c>
      <x:c r="F6874" s="19" t="str">
        <x:v>5</x:v>
      </x:c>
    </x:row>
    <x:row r="6875" ht="93" customHeight="1">
      <x:c r="A6875" s="19" t="n">
        <x:v>6872</x:v>
      </x:c>
      <x:c r="B6875" s="22" t="e">
        <x:f>HYPERLINK("https://cdn.shopify.com/s/files/1/0918/6066/4603/files/6797eb781b717cc3407730fdac28dfb9.jpg?v=1772883606","Open")</x:f>
        <x:v>HYPERLINK is not implemented. linkLocation=https://cdn.shopify.com/s/files/1/0918/6066/4603/files/6797eb781b717cc3407730fdac28dfb9.jpg?v=1772883606, friendlyName=Open</x:v>
      </x:c>
      <x:c r="C6875" s="24" t="e">
        <x:f>HYPERLINK("https://365nails.com/products/holographic-snowflake-5d-embossed-festive-accent-set","Holographic Snowflake – 5D Embossed Festive Accent Set")</x:f>
        <x:v>HYPERLINK is not implemented. linkLocation=https://365nails.com/products/holographic-snowflake-5d-embossed-festive-accent-set, friendlyName=Holographic Snowflake – 5D Embossed Festive Accent Set</x:v>
      </x:c>
      <x:c r="D6875" s="18" t="str">
        <x:v>Specification type: To5504-glitter</x:v>
      </x:c>
      <x:c r="E6875" s="25" t="str">
        <x:v>$1.23</x:v>
      </x:c>
      <x:c r="F6875" s="19" t="str">
        <x:v>5</x:v>
      </x:c>
    </x:row>
    <x:row r="6876" ht="93" customHeight="1">
      <x:c r="A6876" s="19" t="n">
        <x:v>6873</x:v>
      </x:c>
      <x:c r="B6876" s="22" t="e">
        <x:f>HYPERLINK("https://cdn.shopify.com/s/files/1/0918/6066/4603/files/4fbbabb4438cb29858372334a3d78408.jpg?v=1772878077","Open")</x:f>
        <x:v>HYPERLINK is not implemented. linkLocation=https://cdn.shopify.com/s/files/1/0918/6066/4603/files/4fbbabb4438cb29858372334a3d78408.jpg?v=1772878077, friendlyName=Open</x:v>
      </x:c>
      <x:c r="C6876" s="24" t="e">
        <x:f>HYPERLINK("https://365nails.com/products/rainbow-watercolor-floral-5d-embossed-summer-bloom-set","Rainbow Watercolor Floral – 5D Embossed Summer Bloom Set")</x:f>
        <x:v>HYPERLINK is not implemented. linkLocation=https://365nails.com/products/rainbow-watercolor-floral-5d-embossed-summer-bloom-set, friendlyName=Rainbow Watercolor Floral – 5D Embossed Summer Bloom Set</x:v>
      </x:c>
      <x:c r="D6876" s="18" t="str">
        <x:v>Specification type: To5047-relief</x:v>
      </x:c>
      <x:c r="E6876" s="25" t="str">
        <x:v>$1.23</x:v>
      </x:c>
      <x:c r="F6876" s="19" t="str">
        <x:v>5</x:v>
      </x:c>
    </x:row>
    <x:row r="6877" ht="93" customHeight="1">
      <x:c r="A6877" s="19" t="n">
        <x:v>6874</x:v>
      </x:c>
      <x:c r="B6877" s="22" t="e">
        <x:f>HYPERLINK("https://cdn.shopify.com/s/files/1/0918/6066/4603/files/O1CN01QWnS7s1HlX7bA82jT__2545140798-0-cib.jpg?v=1773545687","Open")</x:f>
        <x:v>HYPERLINK is not implemented. linkLocation=https://cdn.shopify.com/s/files/1/0918/6066/4603/files/O1CN01QWnS7s1HlX7bA82jT__2545140798-0-cib.jpg?v=1773545687, friendlyName=Open</x:v>
      </x:c>
      <x:c r="C6877" s="24" t="e">
        <x:f>HYPERLINK("https://365nails.com/products/koi-floral-bottle-collection-aurora-koi-3d-holographic-nail-sticker","Koi &amp; Floral Bottle Collection: ""Aurora Koi"" – 3D Holographic Nail Sticker")</x:f>
        <x:v>HYPERLINK is not implemented. linkLocation=https://365nails.com/products/koi-floral-bottle-collection-aurora-koi-3d-holographic-nail-sticker, friendlyName=Koi &amp; Floral Bottle Collection: "Aurora Koi" – 3D Holographic Nail Sticker</x:v>
      </x:c>
      <x:c r="D6877" s="18" t="str">
        <x:v>Specification type: To5147-shell light / To5150-shell light</x:v>
      </x:c>
      <x:c r="E6877" s="25" t="str">
        <x:v>$1.23</x:v>
      </x:c>
      <x:c r="F6877" s="19" t="str">
        <x:v>5</x:v>
      </x:c>
    </x:row>
    <x:row r="6878" ht="93" customHeight="1">
      <x:c r="A6878" s="19" t="n">
        <x:v>6875</x:v>
      </x:c>
      <x:c r="B6878" s="22" t="e">
        <x:f>HYPERLINK("https://cdn.shopify.com/s/files/1/0918/6066/4603/files/O1CN01zRu4Z81HlX4iuO2LB__2545140798-0-cib.jpg?v=1773545103","Open")</x:f>
        <x:v>HYPERLINK is not implemented. linkLocation=https://cdn.shopify.com/s/files/1/0918/6066/4603/files/O1CN01zRu4Z81HlX4iuO2LB__2545140798-0-cib.jpg?v=1773545103, friendlyName=Open</x:v>
      </x:c>
      <x:c r="C6878" s="24" t="e">
        <x:f>HYPERLINK("https://365nails.com/products/chinese-lucky-character-collection-fortune-blessing-3d-embossed-nail-sticker-1","Chinese Lucky Character Collection: ""Fortune &amp; Blessing"" – 3D Embossed Nail Sticker")</x:f>
        <x:v>HYPERLINK is not implemented. linkLocation=https://365nails.com/products/chinese-lucky-character-collection-fortune-blessing-3d-embossed-nail-sticker-1, friendlyName=Chinese Lucky Character Collection: "Fortune &amp; Blessing" – 3D Embossed Nail Sticker</x:v>
      </x:c>
      <x:c r="D6878" s="18" t="str">
        <x:v>Specification type: To4726-relief / To4738-relief</x:v>
      </x:c>
      <x:c r="E6878" s="25" t="str">
        <x:v>$1.23</x:v>
      </x:c>
      <x:c r="F6878" s="19" t="str">
        <x:v>5</x:v>
      </x:c>
    </x:row>
    <x:row r="6879" ht="93" customHeight="1">
      <x:c r="A6879" s="19" t="n">
        <x:v>6876</x:v>
      </x:c>
      <x:c r="B6879" s="22" t="e">
        <x:f>HYPERLINK("https://cdn.shopify.com/s/files/1/0918/6066/4603/files/617a8ddb8410dabb64b844566fe1ef56.jpg?v=1772874100","Open")</x:f>
        <x:v>HYPERLINK is not implemented. linkLocation=https://cdn.shopify.com/s/files/1/0918/6066/4603/files/617a8ddb8410dabb64b844566fe1ef56.jpg?v=1772874100, friendlyName=Open</x:v>
      </x:c>
      <x:c r="C6879" s="24" t="e">
        <x:f>HYPERLINK("https://365nails.com/products/pastel-aurora-butterfly-nail-stickers-5d-embossed-dreamy-flutter-set","Pastel Aurora Butterfly Nail Stickers – 5D Embossed Dreamy Flutter Set")</x:f>
        <x:v>HYPERLINK is not implemented. linkLocation=https://365nails.com/products/pastel-aurora-butterfly-nail-stickers-5d-embossed-dreamy-flutter-set, friendlyName=Pastel Aurora Butterfly Nail Stickers – 5D Embossed Dreamy Flutter Set</x:v>
      </x:c>
      <x:c r="D6879" s="18" t="str">
        <x:v>Specification type: To4960-metal</x:v>
      </x:c>
      <x:c r="E6879" s="25" t="str">
        <x:v>$1.23</x:v>
      </x:c>
      <x:c r="F6879" s="19" t="str">
        <x:v>5</x:v>
      </x:c>
    </x:row>
    <x:row r="6880" ht="93" customHeight="1">
      <x:c r="A6880" s="19" t="n">
        <x:v>6877</x:v>
      </x:c>
      <x:c r="B6880" s="22" t="e">
        <x:f>HYPERLINK("https://cdn.shopify.com/s/files/1/0918/6066/4603/files/O1CN01LALgMi1HlWuxeiXQB__2545140798-0-cib.jpg?v=1773543971","Open")</x:f>
        <x:v>HYPERLINK is not implemented. linkLocation=https://cdn.shopify.com/s/files/1/0918/6066/4603/files/O1CN01LALgMi1HlWuxeiXQB__2545140798-0-cib.jpg?v=1773543971, friendlyName=Open</x:v>
      </x:c>
      <x:c r="C6880" s="24" t="e">
        <x:f>HYPERLINK("https://365nails.com/products/holographic-geometric-heart-collection-rainbow-iridescence-3d-holographic-nail-sticker","Holographic Geometric Heart Collection: ""Rainbow Iridescence"" – 3D Holographic Nail Sticker")</x:f>
        <x:v>HYPERLINK is not implemented. linkLocation=https://365nails.com/products/holographic-geometric-heart-collection-rainbow-iridescence-3d-holographic-nail-sticker, friendlyName=Holographic Geometric Heart Collection: "Rainbow Iridescence" – 3D Holographic Nail Sticker</x:v>
      </x:c>
      <x:c r="D6880" s="18" t="str">
        <x:v>Specification type: To3140 / To3147 / To3148</x:v>
      </x:c>
      <x:c r="E6880" s="25" t="str">
        <x:v>$1.23</x:v>
      </x:c>
      <x:c r="F6880" s="19" t="str">
        <x:v>5</x:v>
      </x:c>
    </x:row>
    <x:row r="6881" ht="93" customHeight="1">
      <x:c r="A6881" s="19" t="n">
        <x:v>6878</x:v>
      </x:c>
      <x:c r="B6881" s="22" t="e">
        <x:f>HYPERLINK("https://cdn.shopify.com/s/files/1/0918/6066/4603/files/b066f5e146b303f36fb73596686b35cf.jpg?v=1772886204","Open")</x:f>
        <x:v>HYPERLINK is not implemented. linkLocation=https://cdn.shopify.com/s/files/1/0918/6066/4603/files/b066f5e146b303f36fb73596686b35cf.jpg?v=1772886204, friendlyName=Open</x:v>
      </x:c>
      <x:c r="C6881" s="24" t="e">
        <x:f>HYPERLINK("https://365nails.com/products/ancient-chinese-scroll-5d-embossed-artistic-accent-set","Ancient Chinese Scroll – 5D Embossed Artistic Accent Set")</x:f>
        <x:v>HYPERLINK is not implemented. linkLocation=https://365nails.com/products/ancient-chinese-scroll-5d-embossed-artistic-accent-set, friendlyName=Ancient Chinese Scroll – 5D Embossed Artistic Accent Set</x:v>
      </x:c>
      <x:c r="D6881" s="18" t="str">
        <x:v>Specification type: Ms381-silver / Ms387-new hot stamping</x:v>
      </x:c>
      <x:c r="E6881" s="25" t="str">
        <x:v>$1.23</x:v>
      </x:c>
      <x:c r="F6881" s="19" t="str">
        <x:v>5</x:v>
      </x:c>
    </x:row>
    <x:row r="6882" ht="93" customHeight="1">
      <x:c r="A6882" s="19" t="n">
        <x:v>6879</x:v>
      </x:c>
      <x:c r="B6882" s="22" t="e">
        <x:f>HYPERLINK("https://cdn.shopify.com/s/files/1/0918/6066/4603/files/caceb74c382dcbf15900cf615776e735.jpg?v=1772878517","Open")</x:f>
        <x:v>HYPERLINK is not implemented. linkLocation=https://cdn.shopify.com/s/files/1/0918/6066/4603/files/caceb74c382dcbf15900cf615776e735.jpg?v=1772878517, friendlyName=Open</x:v>
      </x:c>
      <x:c r="C6882" s="24" t="e">
        <x:f>HYPERLINK("https://365nails.com/products/watercolor-summer-fruits-5d-embossed-fresh-accent-set","Watercolor Summer Fruits – 5D Embossed Fresh Accent Set")</x:f>
        <x:v>HYPERLINK is not implemented. linkLocation=https://365nails.com/products/watercolor-summer-fruits-5d-embossed-fresh-accent-set, friendlyName=Watercolor Summer Fruits – 5D Embossed Fresh Accent Set</x:v>
      </x:c>
      <x:c r="D6882" s="18" t="str">
        <x:v>Specification type: To4362</x:v>
      </x:c>
      <x:c r="E6882" s="25" t="str">
        <x:v>$1.09</x:v>
      </x:c>
      <x:c r="F6882" s="19" t="str">
        <x:v>5</x:v>
      </x:c>
    </x:row>
    <x:row r="6883" ht="93" customHeight="1">
      <x:c r="A6883" s="19" t="n">
        <x:v>6880</x:v>
      </x:c>
      <x:c r="B6883" s="22" t="e">
        <x:f>HYPERLINK("https://cdn.shopify.com/s/files/1/0918/6066/4603/files/O1CN01KZsUq01HlX7NkAiG1__2545140798-0-cib_aa37239f-8217-44c8-b589-c5c28573c2af.jpg?v=1774357078","Open")</x:f>
        <x:v>HYPERLINK is not implemented. linkLocation=https://cdn.shopify.com/s/files/1/0918/6066/4603/files/O1CN01KZsUq01HlX7NkAiG1__2545140798-0-cib_aa37239f-8217-44c8-b589-c5c28573c2af.jpg?v=1774357078, friendlyName=Open</x:v>
      </x:c>
      <x:c r="C6883" s="24" t="e">
        <x:f>HYPERLINK("https://365nails.com/products/365nails-multicolor-cross-charm-embossed-set-handmade-press-on-nails","365nails: ""multicolor cross charm embossed set"" – Nail Art Stickers")</x:f>
        <x:v>HYPERLINK is not implemented. linkLocation=https://365nails.com/products/365nails-multicolor-cross-charm-embossed-set-handmade-press-on-nails, friendlyName=365nails: "multicolor cross charm embossed set" – Nail Art Stickers</x:v>
      </x:c>
      <x:c r="D6883" s="18" t="str">
        <x:v>Specification type: To5134-relief / To5135</x:v>
      </x:c>
      <x:c r="E6883" s="25" t="str">
        <x:v>$1.00–$1.23</x:v>
      </x:c>
      <x:c r="F6883" s="19" t="str">
        <x:v>5</x:v>
      </x:c>
    </x:row>
    <x:row r="6884" ht="93" customHeight="1">
      <x:c r="A6884" s="19" t="n">
        <x:v>6881</x:v>
      </x:c>
      <x:c r="B6884" s="22" t="e">
        <x:f>HYPERLINK("https://cdn.shopify.com/s/files/1/0918/6066/4603/files/049bd7171c15a3ef264afbb841d68ac2.jpg?v=1772946681","Open")</x:f>
        <x:v>HYPERLINK is not implemented. linkLocation=https://cdn.shopify.com/s/files/1/0918/6066/4603/files/049bd7171c15a3ef264afbb841d68ac2.jpg?v=1772946681, friendlyName=Open</x:v>
      </x:c>
      <x:c r="C6884" s="24" t="e">
        <x:f>HYPERLINK("https://365nails.com/products/pink-jelly-butterfly-nail-art-accent-set","Pink Jelly Butterfly – Nail Art Accent Set")</x:f>
        <x:v>HYPERLINK is not implemented. linkLocation=https://365nails.com/products/pink-jelly-butterfly-nail-art-accent-set, friendlyName=Pink Jelly Butterfly – Nail Art Accent Set</x:v>
      </x:c>
      <x:c r="D6884" s="18" t="str">
        <x:v>Specification type: To4423-jelly / To4424-jelly</x:v>
      </x:c>
      <x:c r="E6884" s="25" t="str">
        <x:v>$1.23</x:v>
      </x:c>
      <x:c r="F6884" s="19" t="str">
        <x:v>5</x:v>
      </x:c>
    </x:row>
    <x:row r="6885" ht="93" customHeight="1">
      <x:c r="A6885" s="19" t="n">
        <x:v>6882</x:v>
      </x:c>
      <x:c r="B6885" s="22" t="e">
        <x:f>HYPERLINK("https://cdn.shopify.com/s/files/1/0918/6066/4603/files/O1CN01gpTmv41HlWr0C0Xzv__2545140798-0-cib.jpg?v=1772950543","Open")</x:f>
        <x:v>HYPERLINK is not implemented. linkLocation=https://cdn.shopify.com/s/files/1/0918/6066/4603/files/O1CN01gpTmv41HlWr0C0Xzv__2545140798-0-cib.jpg?v=1772950543, friendlyName=Open</x:v>
      </x:c>
      <x:c r="C6885" s="24" t="e">
        <x:f>HYPERLINK("https://365nails.com/products/persian-tile-luxury-nail-art-accent-set","Persian Tile – Luxury Nail Art Accent Set")</x:f>
        <x:v>HYPERLINK is not implemented. linkLocation=https://365nails.com/products/persian-tile-luxury-nail-art-accent-set, friendlyName=Persian Tile – Luxury Nail Art Accent Set</x:v>
      </x:c>
      <x:c r="D6885" s="18" t="str">
        <x:v>Specification type: L16th / L17th</x:v>
      </x:c>
      <x:c r="E6885" s="25" t="str">
        <x:v>$1.09</x:v>
      </x:c>
      <x:c r="F6885" s="19" t="str">
        <x:v>5</x:v>
      </x:c>
    </x:row>
    <x:row r="6886" ht="93" customHeight="1">
      <x:c r="A6886" s="19" t="n">
        <x:v>6883</x:v>
      </x:c>
      <x:c r="B6886" s="22" t="e">
        <x:f>HYPERLINK("https://cdn.shopify.com/s/files/1/0918/6066/4603/files/O1CN019Fv6lT1HlX94n0IlF__2545140798-0-cib.jpg?v=1772880111","Open")</x:f>
        <x:v>HYPERLINK is not implemented. linkLocation=https://cdn.shopify.com/s/files/1/0918/6066/4603/files/O1CN019Fv6lT1HlX94n0IlF__2545140798-0-cib.jpg?v=1772880111, friendlyName=Open</x:v>
      </x:c>
      <x:c r="C6886" s="24" t="e">
        <x:f>HYPERLINK("https://365nails.com/products/miiichan-vintage-tea-party-5d-embossed-cute-accent-set","Miiichan Vintage Tea Party – 5D Embossed Cute Accent Set")</x:f>
        <x:v>HYPERLINK is not implemented. linkLocation=https://365nails.com/products/miiichan-vintage-tea-party-5d-embossed-cute-accent-set, friendlyName=Miiichan Vintage Tea Party – 5D Embossed Cute Accent Set</x:v>
      </x:c>
      <x:c r="D6886" s="18" t="str">
        <x:v>Specification type: Mc69-relief / Mc71-relief</x:v>
      </x:c>
      <x:c r="E6886" s="25" t="str">
        <x:v>$0.87</x:v>
      </x:c>
      <x:c r="F6886" s="19" t="str">
        <x:v>5</x:v>
      </x:c>
    </x:row>
    <x:row r="6887" ht="93" customHeight="1">
      <x:c r="A6887" s="19" t="n">
        <x:v>6884</x:v>
      </x:c>
      <x:c r="B6887" s="22" t="e">
        <x:f>HYPERLINK("https://cdn.shopify.com/s/files/1/0918/6066/4603/files/O1CN01MDEqWD1HlX2DWZJt2__2545140798-0-cib.jpg?v=1773544415","Open")</x:f>
        <x:v>HYPERLINK is not implemented. linkLocation=https://cdn.shopify.com/s/files/1/0918/6066/4603/files/O1CN01MDEqWD1HlX2DWZJt2__2545140798-0-cib.jpg?v=1773544415, friendlyName=Open</x:v>
      </x:c>
      <x:c r="C6887" s="24" t="e">
        <x:f>HYPERLINK("https://365nails.com/products/iridescent-butterfly-bow-collection-pastel-dream-3d-holographic-nail-sticker","Iridescent Butterfly Bow Collection: ""Pastel Dream"" – 3D Holographic Nail Sticker")</x:f>
        <x:v>HYPERLINK is not implemented. linkLocation=https://365nails.com/products/iridescent-butterfly-bow-collection-pastel-dream-3d-holographic-nail-sticker, friendlyName=Iridescent Butterfly Bow Collection: "Pastel Dream" – 3D Holographic Nail Sticker</x:v>
      </x:c>
      <x:c r="D6887" s="18" t="str">
        <x:v>Specification type: Ms649-shell light</x:v>
      </x:c>
      <x:c r="E6887" s="25" t="str">
        <x:v>$1.23</x:v>
      </x:c>
      <x:c r="F6887" s="19" t="str">
        <x:v>5</x:v>
      </x:c>
    </x:row>
    <x:row r="6888" ht="93" customHeight="1">
      <x:c r="A6888" s="19" t="n">
        <x:v>6885</x:v>
      </x:c>
      <x:c r="B6888" s="22" t="e">
        <x:f>HYPERLINK("https://cdn.shopify.com/s/files/1/0918/6066/4603/files/O1CN01RiOfNS1HlX9zGh8Fz__2545140798-0-cib.jpg?v=1772949621","Open")</x:f>
        <x:v>HYPERLINK is not implemented. linkLocation=https://cdn.shopify.com/s/files/1/0918/6066/4603/files/O1CN01RiOfNS1HlX9zGh8Fz__2545140798-0-cib.jpg?v=1772949621, friendlyName=Open</x:v>
      </x:c>
      <x:c r="C6888" s="24" t="e">
        <x:f>HYPERLINK("https://365nails.com/products/snowy-friends-winter-nail-art-accent-set","Snowy Friends – Winter Nail Art Accent Set")</x:f>
        <x:v>HYPERLINK is not implemented. linkLocation=https://365nails.com/products/snowy-friends-winter-nail-art-accent-set, friendlyName=Snowy Friends – Winter Nail Art Accent Set</x:v>
      </x:c>
      <x:c r="D6888" s="18" t="str">
        <x:v>Specification type: To5377-relief / To5378-relief</x:v>
      </x:c>
      <x:c r="E6888" s="25" t="str">
        <x:v>$1.23</x:v>
      </x:c>
      <x:c r="F6888" s="19" t="str">
        <x:v>5</x:v>
      </x:c>
    </x:row>
    <x:row r="6889" ht="93" customHeight="1">
      <x:c r="A6889" s="19" t="n">
        <x:v>6886</x:v>
      </x:c>
      <x:c r="B6889" s="22" t="e">
        <x:f>HYPERLINK("https://cdn.shopify.com/s/files/1/0918/6066/4603/files/O1CN01XcLKpC1HlWnN6cNoD__2545140798-0-cib.jpg?v=1773558949","Open")</x:f>
        <x:v>HYPERLINK is not implemented. linkLocation=https://cdn.shopify.com/s/files/1/0918/6066/4603/files/O1CN01XcLKpC1HlWnN6cNoD__2545140798-0-cib.jpg?v=1773558949, friendlyName=Open</x:v>
      </x:c>
      <x:c r="C6889" s="24" t="e">
        <x:f>HYPERLINK("https://365nails.com/products/fresh-floral-tulip-heart-3d-embossed-nail-sticker","Fresh Floral: ""Tulip &amp; Heart"" – 3D Embossed Nail Sticker")</x:f>
        <x:v>HYPERLINK is not implemented. linkLocation=https://365nails.com/products/fresh-floral-tulip-heart-3d-embossed-nail-sticker, friendlyName=Fresh Floral: "Tulip &amp; Heart" – 3D Embossed Nail Sticker</x:v>
      </x:c>
      <x:c r="D6889" s="18" t="str">
        <x:v>Specification type: To1171 relief / To1170 / To1154</x:v>
      </x:c>
      <x:c r="E6889" s="25" t="str">
        <x:v>$1.23</x:v>
      </x:c>
      <x:c r="F6889" s="19" t="str">
        <x:v>5</x:v>
      </x:c>
    </x:row>
    <x:row r="6890" ht="93" customHeight="1">
      <x:c r="A6890" s="19" t="n">
        <x:v>6887</x:v>
      </x:c>
      <x:c r="B6890" s="22" t="e">
        <x:f>HYPERLINK("https://cdn.shopify.com/s/files/1/0918/6066/4603/files/O1CN019Lb5Qt1HlX6DYhnpP__2545140798-0-cib.jpg?v=1773545264","Open")</x:f>
        <x:v>HYPERLINK is not implemented. linkLocation=https://cdn.shopify.com/s/files/1/0918/6066/4603/files/O1CN019Lb5Qt1HlX6DYhnpP__2545140798-0-cib.jpg?v=1773545264, friendlyName=Open</x:v>
      </x:c>
      <x:c r="C6890" s="24" t="e">
        <x:f>HYPERLINK("https://365nails.com/products/koi-fish-plum-blossom-collection-oriental-elegance-3d-holographic-nail-sticker","Koi Fish &amp; Plum Blossom Collection: ""Oriental Elegance"" – 3D Holographic Nail Sticker")</x:f>
        <x:v>HYPERLINK is not implemented. linkLocation=https://365nails.com/products/koi-fish-plum-blossom-collection-oriental-elegance-3d-holographic-nail-sticker, friendlyName=Koi Fish &amp; Plum Blossom Collection: "Oriental Elegance" – 3D Holographic Nail Sticker</x:v>
      </x:c>
      <x:c r="D6890" s="18" t="str">
        <x:v>Specification type: To4972-metal</x:v>
      </x:c>
      <x:c r="E6890" s="25" t="str">
        <x:v>$1.23</x:v>
      </x:c>
      <x:c r="F6890" s="19" t="str">
        <x:v>5</x:v>
      </x:c>
    </x:row>
    <x:row r="6891" ht="93" customHeight="1">
      <x:c r="A6891" s="19" t="n">
        <x:v>6888</x:v>
      </x:c>
      <x:c r="B6891" s="22" t="e">
        <x:f>HYPERLINK("https://cdn.shopify.com/s/files/1/0918/6066/4603/files/ab345c7ed3d5a6cfba2f4a811ca8865a.jpg?v=1772948992","Open")</x:f>
        <x:v>HYPERLINK is not implemented. linkLocation=https://cdn.shopify.com/s/files/1/0918/6066/4603/files/ab345c7ed3d5a6cfba2f4a811ca8865a.jpg?v=1772948992, friendlyName=Open</x:v>
      </x:c>
      <x:c r="C6891" s="24" t="e">
        <x:f>HYPERLINK("https://365nails.com/products/reading-time-with-puppies-cute-nail-art-accent-set","Reading Time with Puppies – Cute Nail Art Accent Set")</x:f>
        <x:v>HYPERLINK is not implemented. linkLocation=https://365nails.com/products/reading-time-with-puppies-cute-nail-art-accent-set, friendlyName=Reading Time with Puppies – Cute Nail Art Accent Set</x:v>
      </x:c>
      <x:c r="D6891" s="18" t="str">
        <x:v>Specification type: Mc06s / Mc10s</x:v>
      </x:c>
      <x:c r="E6891" s="25" t="str">
        <x:v>$1.16</x:v>
      </x:c>
      <x:c r="F6891" s="19" t="str">
        <x:v>5</x:v>
      </x:c>
    </x:row>
    <x:row r="6892" ht="93" customHeight="1">
      <x:c r="A6892" s="19" t="n">
        <x:v>6889</x:v>
      </x:c>
      <x:c r="B6892" s="22" t="e">
        <x:f>HYPERLINK("https://cdn.shopify.com/s/files/1/0918/6066/4603/files/O1CN01Ojmyne1HlWuoR6aV9__2545140798-0-cib.jpg?v=1776493969","Open")</x:f>
        <x:v>HYPERLINK is not implemented. linkLocation=https://cdn.shopify.com/s/files/1/0918/6066/4603/files/O1CN01Ojmyne1HlWuoR6aV9__2545140798-0-cib.jpg?v=1776493969, friendlyName=Open</x:v>
      </x:c>
      <x:c r="C6892" s="24" t="e">
        <x:f>HYPERLINK("https://365nails.com/products/365nails-cute-piggy-and-flower-nail-art-stickers","365nails: ""Cute Piggy and Flower"" – nail art stickers")</x:f>
        <x:v>HYPERLINK is not implemented. linkLocation=https://365nails.com/products/365nails-cute-piggy-and-flower-nail-art-stickers, friendlyName=365nails: "Cute Piggy and Flower" – nail art stickers</x:v>
      </x:c>
      <x:c r="D6892" s="18" t="str">
        <x:v>Specification type: To3111 / To3113 / To3115</x:v>
      </x:c>
      <x:c r="E6892" s="25" t="str">
        <x:v>$1.23</x:v>
      </x:c>
      <x:c r="F6892" s="19" t="str">
        <x:v>5</x:v>
      </x:c>
    </x:row>
    <x:row r="6893" ht="93" customHeight="1">
      <x:c r="A6893" s="19" t="n">
        <x:v>6890</x:v>
      </x:c>
      <x:c r="B6893" s="22" t="e">
        <x:f>HYPERLINK("https://cdn.shopify.com/s/files/1/0918/6066/4603/files/O1CN01XYQ7Yo1HlX93GYbHU__2545140798-0-cib.jpg?v=1773547305","Open")</x:f>
        <x:v>HYPERLINK is not implemented. linkLocation=https://cdn.shopify.com/s/files/1/0918/6066/4603/files/O1CN01XYQ7Yo1HlX93GYbHU__2545140798-0-cib.jpg?v=1773547305, friendlyName=Open</x:v>
      </x:c>
      <x:c r="C6893" s="24" t="e">
        <x:f>HYPERLINK("https://365nails.com/products/iridescent-cherry-blossom-butterfly-collection-ethereal-petal-3d-holographic-nail-sticker","Iridescent Cherry Blossom &amp; Butterfly Collection: ""Ethereal Petal"" – 3D Holographic Nail Sticker")</x:f>
        <x:v>HYPERLINK is not implemented. linkLocation=https://365nails.com/products/iridescent-cherry-blossom-butterfly-collection-ethereal-petal-3d-holographic-nail-sticker, friendlyName=Iridescent Cherry Blossom &amp; Butterfly Collection: "Ethereal Petal" – 3D Holographic Nail Sticker</x:v>
      </x:c>
      <x:c r="D6893" s="18" t="str">
        <x:v>Specification type: To5296-metal / To5297-relief</x:v>
      </x:c>
      <x:c r="E6893" s="25" t="str">
        <x:v>$0.80</x:v>
      </x:c>
      <x:c r="F6893" s="19" t="str">
        <x:v>5</x:v>
      </x:c>
    </x:row>
    <x:row r="6894" ht="93" customHeight="1">
      <x:c r="A6894" s="19" t="n">
        <x:v>6891</x:v>
      </x:c>
      <x:c r="B6894" s="22" t="e">
        <x:f>HYPERLINK("https://cdn.shopify.com/s/files/1/0918/6066/4603/files/O1CN01LuoRCA1HlWvGxeteu__2545140798-0-cib.jpg?v=1773544057","Open")</x:f>
        <x:v>HYPERLINK is not implemented. linkLocation=https://cdn.shopify.com/s/files/1/0918/6066/4603/files/O1CN01LuoRCA1HlWvGxeteu__2545140798-0-cib.jpg?v=1773544057, friendlyName=Open</x:v>
      </x:c>
      <x:c r="C6894" s="24" t="e">
        <x:f>HYPERLINK("https://365nails.com/products/crystal-diamond-butterfly-collection-iridescent-wings-3d-crystal-nail-sticker","Crystal Diamond Butterfly Collection: ""Iridescent Wings"" – 3D Crystal Nail Sticker")</x:f>
        <x:v>HYPERLINK is not implemented. linkLocation=https://365nails.com/products/crystal-diamond-butterfly-collection-iridescent-wings-3d-crystal-nail-sticker, friendlyName=Crystal Diamond Butterfly Collection: "Iridescent Wings" – 3D Crystal Nail Sticker</x:v>
      </x:c>
      <x:c r="D6894" s="18" t="str">
        <x:v>Specification type: To3168-colorful / To3187-colorful / Ms403-crystal diamond / Ms407-crystal diamond / Ms408-colorful / Ms409-crystal diamond</x:v>
      </x:c>
      <x:c r="E6894" s="25" t="str">
        <x:v>$1.30</x:v>
      </x:c>
      <x:c r="F6894" s="19" t="str">
        <x:v>5</x:v>
      </x:c>
    </x:row>
    <x:row r="6895" ht="93" customHeight="1">
      <x:c r="A6895" s="19" t="n">
        <x:v>6892</x:v>
      </x:c>
      <x:c r="B6895" s="22" t="e">
        <x:f>HYPERLINK("https://cdn.shopify.com/s/files/1/0918/6066/4603/files/21808055392_1801976554.jpg?v=1772947963","Open")</x:f>
        <x:v>HYPERLINK is not implemented. linkLocation=https://cdn.shopify.com/s/files/1/0918/6066/4603/files/21808055392_1801976554.jpg?v=1772947963, friendlyName=Open</x:v>
      </x:c>
      <x:c r="C6895" s="24" t="e">
        <x:f>HYPERLINK("https://365nails.com/products/inspirational-script-minimalist-nail-art-accent-set","Inspirational Script – Minimalist Nail Art Accent Set")</x:f>
        <x:v>HYPERLINK is not implemented. linkLocation=https://365nails.com/products/inspirational-script-minimalist-nail-art-accent-set, friendlyName=Inspirational Script – Minimalist Nail Art Accent Set</x:v>
      </x:c>
      <x:c r="D6895" s="18" t="str">
        <x:v>Color: Tomoni 196 / Tomoni 197</x:v>
      </x:c>
      <x:c r="E6895" s="25" t="str">
        <x:v>$1.06</x:v>
      </x:c>
      <x:c r="F6895" s="19" t="str">
        <x:v>5</x:v>
      </x:c>
    </x:row>
    <x:row r="6896" ht="93" customHeight="1">
      <x:c r="A6896" s="19" t="n">
        <x:v>6893</x:v>
      </x:c>
      <x:c r="B6896" s="22" t="e">
        <x:f>HYPERLINK("https://cdn.shopify.com/s/files/1/0918/6066/4603/files/670d333dbc3579162f59550288f1c6a9.jpg?v=1772882051","Open")</x:f>
        <x:v>HYPERLINK is not implemented. linkLocation=https://cdn.shopify.com/s/files/1/0918/6066/4603/files/670d333dbc3579162f59550288f1c6a9.jpg?v=1772882051, friendlyName=Open</x:v>
      </x:c>
      <x:c r="C6896" s="24" t="e">
        <x:f>HYPERLINK("https://365nails.com/products/gold-white-snow-butterfly-5d-embossed-elegant-accent-set","Gold &amp; White Snow Butterfly – 5D Embossed Elegant Accent Set")</x:f>
        <x:v>HYPERLINK is not implemented. linkLocation=https://365nails.com/products/gold-white-snow-butterfly-5d-embossed-elegant-accent-set, friendlyName=Gold &amp; White Snow Butterfly – 5D Embossed Elegant Accent Set</x:v>
      </x:c>
      <x:c r="D6896" s="18" t="str">
        <x:v>Specification type: To5312 new hot stamping-jelly / To5312 silver-jelly</x:v>
      </x:c>
      <x:c r="E6896" s="25" t="str">
        <x:v>$1.23</x:v>
      </x:c>
      <x:c r="F6896" s="19" t="str">
        <x:v>5</x:v>
      </x:c>
    </x:row>
    <x:row r="6897" ht="93" customHeight="1">
      <x:c r="A6897" s="19" t="n">
        <x:v>6894</x:v>
      </x:c>
      <x:c r="B6897" s="22" t="e">
        <x:f>HYPERLINK("https://cdn.shopify.com/s/files/1/0918/6066/4603/files/5c2541ec89a69d37af4fcec038e2f647.jpg?v=1779203075","Open")</x:f>
        <x:v>HYPERLINK is not implemented. linkLocation=https://cdn.shopify.com/s/files/1/0918/6066/4603/files/5c2541ec89a69d37af4fcec038e2f647.jpg?v=1779203075, friendlyName=Open</x:v>
      </x:c>
      <x:c r="C6897" s="24" t="e">
        <x:f>HYPERLINK("https://365nails.com/products/365nails-mocha-retro-daisy-handmade-medium-square-press-on-nails","365nails: ""Mocha Retro Daisy"" – Handmade Medium Square Press-On Nails")</x:f>
        <x:v>HYPERLINK is not implemented. linkLocation=https://365nails.com/products/365nails-mocha-retro-daisy-handmade-medium-square-press-on-nails, friendlyName=365nails: "Mocha Retro Daisy" – Handmade Medium Square Press-On Nails</x:v>
      </x:c>
      <x:c r="D6897" s="18" t="str">
        <x:v>Size: XS / S / M / L</x:v>
      </x:c>
      <x:c r="E6897" s="25" t="str">
        <x:v>$3.99</x:v>
      </x:c>
      <x:c r="F6897" s="19" t="str">
        <x:v>5</x:v>
      </x:c>
    </x:row>
    <x:row r="6898" ht="93" customHeight="1">
      <x:c r="A6898" s="19" t="n">
        <x:v>6895</x:v>
      </x:c>
      <x:c r="B6898" s="22" t="e">
        <x:f>HYPERLINK("https://cdn.shopify.com/s/files/1/0918/6066/4603/files/O1CN01c1CS3m1HlX6hwNTf7__2545140798-0-cib.jpg?v=1772878307","Open")</x:f>
        <x:v>HYPERLINK is not implemented. linkLocation=https://cdn.shopify.com/s/files/1/0918/6066/4603/files/O1CN01c1CS3m1HlX6hwNTf7__2545140798-0-cib.jpg?v=1772878307, friendlyName=Open</x:v>
      </x:c>
      <x:c r="C6898" s="24" t="e">
        <x:f>HYPERLINK("https://365nails.com/products/disney-chibi-character-5d-embossed-playful-accent-set","Disney Chibi Character – 5D Embossed Playful Accent Set")</x:f>
        <x:v>HYPERLINK is not implemented. linkLocation=https://365nails.com/products/disney-chibi-character-5d-embossed-playful-accent-set, friendlyName=Disney Chibi Character – 5D Embossed Playful Accent Set</x:v>
      </x:c>
      <x:c r="D6898" s="18" t="str">
        <x:v>Specification type: Td008m-relief</x:v>
      </x:c>
      <x:c r="E6898" s="25" t="str">
        <x:v>$1.23</x:v>
      </x:c>
      <x:c r="F6898" s="19" t="str">
        <x:v>5</x:v>
      </x:c>
    </x:row>
    <x:row r="6899" ht="93" customHeight="1">
      <x:c r="A6899" s="19" t="n">
        <x:v>6896</x:v>
      </x:c>
      <x:c r="B6899" s="22" t="e">
        <x:f>HYPERLINK("https://cdn.shopify.com/s/files/1/0918/6066/4603/files/704d951e3b13a9e31c0246e06df9bea9.jpg?v=1772946957","Open")</x:f>
        <x:v>HYPERLINK is not implemented. linkLocation=https://cdn.shopify.com/s/files/1/0918/6066/4603/files/704d951e3b13a9e31c0246e06df9bea9.jpg?v=1772946957, friendlyName=Open</x:v>
      </x:c>
      <x:c r="C6899" s="24" t="e">
        <x:f>HYPERLINK("https://365nails.com/products/ink-bamboo-whisper-chinese-style-nail-art-accent-set","Ink Bamboo Whisper – Chinese Style Nail Art Accent Set")</x:f>
        <x:v>HYPERLINK is not implemented. linkLocation=https://365nails.com/products/ink-bamboo-whisper-chinese-style-nail-art-accent-set, friendlyName=Ink Bamboo Whisper – Chinese Style Nail Art Accent Set</x:v>
      </x:c>
      <x:c r="D6899" s="18" t="str">
        <x:v>Specification type: To4940-1 / To4940</x:v>
      </x:c>
      <x:c r="E6899" s="25" t="str">
        <x:v>$1.09</x:v>
      </x:c>
      <x:c r="F6899" s="19" t="str">
        <x:v>5</x:v>
      </x:c>
    </x:row>
    <x:row r="6900" ht="93" customHeight="1">
      <x:c r="A6900" s="19" t="n">
        <x:v>6897</x:v>
      </x:c>
      <x:c r="B6900" s="22" t="e">
        <x:f>HYPERLINK("https://cdn.shopify.com/s/files/1/0918/6066/4603/files/fa4adf6cb7990337ee8d03a4a109f4f9.jpg?v=1772946524","Open")</x:f>
        <x:v>HYPERLINK is not implemented. linkLocation=https://cdn.shopify.com/s/files/1/0918/6066/4603/files/fa4adf6cb7990337ee8d03a4a109f4f9.jpg?v=1772946524, friendlyName=Open</x:v>
      </x:c>
      <x:c r="C6900" s="24" t="e">
        <x:f>HYPERLINK("https://365nails.com/products/jelly-iridescent-butterfly-nail-art-accent-set","Jelly Iridescent Butterfly – Nail Art Accent Set")</x:f>
        <x:v>HYPERLINK is not implemented. linkLocation=https://365nails.com/products/jelly-iridescent-butterfly-nail-art-accent-set, friendlyName=Jelly Iridescent Butterfly – Nail Art Accent Set</x:v>
      </x:c>
      <x:c r="D6900" s="18" t="str">
        <x:v>Specification type: To4372-1-jelly / To4372-jelly</x:v>
      </x:c>
      <x:c r="E6900" s="25" t="str">
        <x:v>$1.23</x:v>
      </x:c>
      <x:c r="F6900" s="19" t="str">
        <x:v>5</x:v>
      </x:c>
    </x:row>
    <x:row r="6901" ht="93" customHeight="1">
      <x:c r="A6901" s="19" t="n">
        <x:v>6898</x:v>
      </x:c>
      <x:c r="B6901" s="22" t="e">
        <x:f>HYPERLINK("https://cdn.shopify.com/s/files/1/0918/6066/4603/files/O1CN01NBybUD1HlWuLGIrIP__2545140798-0-cib.jpg?v=1776493582","Open")</x:f>
        <x:v>HYPERLINK is not implemented. linkLocation=https://cdn.shopify.com/s/files/1/0918/6066/4603/files/O1CN01NBybUD1HlWuLGIrIP__2545140798-0-cib.jpg?v=1776493582, friendlyName=Open</x:v>
      </x:c>
      <x:c r="C6901" s="24" t="e">
        <x:f>HYPERLINK("https://365nails.com/products/365nails-cute-pastel-animal-mix-nail-art-stickers","365nails: ""Cute Pastel Animal Mix"" – nail art stickers")</x:f>
        <x:v>HYPERLINK is not implemented. linkLocation=https://365nails.com/products/365nails-cute-pastel-animal-mix-nail-art-stickers, friendlyName=365nails: "Cute Pastel Animal Mix" – nail art stickers</x:v>
      </x:c>
      <x:c r="D6901" s="18" t="str">
        <x:v>Specification type: To3005 / To3038 / To3049 / To3053 / To3062 / To3067</x:v>
      </x:c>
      <x:c r="E6901" s="25" t="str">
        <x:v>$1.09</x:v>
      </x:c>
      <x:c r="F6901" s="19" t="str">
        <x:v>5</x:v>
      </x:c>
    </x:row>
    <x:row r="6902" ht="93" customHeight="1">
      <x:c r="A6902" s="19" t="n">
        <x:v>6899</x:v>
      </x:c>
      <x:c r="B6902" s="22" t="e">
        <x:f>HYPERLINK("https://cdn.shopify.com/s/files/1/0918/6066/4603/files/O1CN01FYonWh1HlX4t1BS4B__2545140798-0-cib.jpg?v=1773547001","Open")</x:f>
        <x:v>HYPERLINK is not implemented. linkLocation=https://cdn.shopify.com/s/files/1/0918/6066/4603/files/O1CN01FYonWh1HlX4t1BS4B__2545140798-0-cib.jpg?v=1773547001, friendlyName=Open</x:v>
      </x:c>
      <x:c r="C6902" s="24" t="e">
        <x:f>HYPERLINK("https://365nails.com/products/chinese-wedding-double-happiness-collection-blissful-bloom-3d-crystal-embossed-nail-sticker","Chinese Wedding Double Happiness Collection: ""Blissful Bloom"" – 3D Crystal Embossed Nail Sticker")</x:f>
        <x:v>HYPERLINK is not implemented. linkLocation=https://365nails.com/products/chinese-wedding-double-happiness-collection-blissful-bloom-3d-crystal-embossed-nail-sticker, friendlyName=Chinese Wedding Double Happiness Collection: "Blissful Bloom" – 3D Crystal Embossed Nail Sticker</x:v>
      </x:c>
      <x:c r="D6902" s="18" t="str">
        <x:v>Specification type: To4747-crystal diamond / To4748-crystal diamond</x:v>
      </x:c>
      <x:c r="E6902" s="25" t="str">
        <x:v>$1.30</x:v>
      </x:c>
      <x:c r="F6902" s="19" t="str">
        <x:v>5</x:v>
      </x:c>
    </x:row>
    <x:row r="6903" ht="93" customHeight="1">
      <x:c r="A6903" s="19" t="n">
        <x:v>6900</x:v>
      </x:c>
      <x:c r="B6903" s="22" t="e">
        <x:f>HYPERLINK("https://cdn.shopify.com/s/files/1/0918/6066/4603/files/O1CN01jM28kq1HlWj6u2lrJ__2545140798-0-cib.jpg?v=1772951375","Open")</x:f>
        <x:v>HYPERLINK is not implemented. linkLocation=https://cdn.shopify.com/s/files/1/0918/6066/4603/files/O1CN01jM28kq1HlWj6u2lrJ__2545140798-0-cib.jpg?v=1772951375, friendlyName=Open</x:v>
      </x:c>
      <x:c r="C6903" s="24" t="e">
        <x:f>HYPERLINK("https://365nails.com/products/sakura-night-lanterns-dreamy-nail-art-accent-set","Sakura Night Lanterns – Dreamy Nail Art Accent Set")</x:f>
        <x:v>HYPERLINK is not implemented. linkLocation=https://365nails.com/products/sakura-night-lanterns-dreamy-nail-art-accent-set, friendlyName=Sakura Night Lanterns – Dreamy Nail Art Accent Set</x:v>
      </x:c>
      <x:c r="D6903" s="18" t="str">
        <x:v>Specification type: Ms40 thin and tough / Ms41 relief / Ms42 is thin and tough</x:v>
      </x:c>
      <x:c r="E6903" s="25" t="str">
        <x:v>$1.00–$1.23</x:v>
      </x:c>
      <x:c r="F6903" s="19" t="str">
        <x:v>5</x:v>
      </x:c>
    </x:row>
    <x:row r="6904" ht="93" customHeight="1">
      <x:c r="A6904" s="19" t="n">
        <x:v>6901</x:v>
      </x:c>
      <x:c r="B6904" s="22" t="e">
        <x:f>HYPERLINK("https://cdn.shopify.com/s/files/1/0918/6066/4603/files/c9c460dce3315fb3b88c9f1db3a6c0f3.jpg?v=1772946867","Open")</x:f>
        <x:v>HYPERLINK is not implemented. linkLocation=https://cdn.shopify.com/s/files/1/0918/6066/4603/files/c9c460dce3315fb3b88c9f1db3a6c0f3.jpg?v=1772946867, friendlyName=Open</x:v>
      </x:c>
      <x:c r="C6904" s="24" t="e">
        <x:f>HYPERLINK("https://365nails.com/products/forest-tea-party-cute-nail-art-accent-set","Forest Tea Party – Cute Nail Art Accent Set")</x:f>
        <x:v>HYPERLINK is not implemented. linkLocation=https://365nails.com/products/forest-tea-party-cute-nail-art-accent-set, friendlyName=Forest Tea Party – Cute Nail Art Accent Set</x:v>
      </x:c>
      <x:c r="D6904" s="18" t="str">
        <x:v>Specification type: To4826 / To4828</x:v>
      </x:c>
      <x:c r="E6904" s="25" t="str">
        <x:v>$1.09</x:v>
      </x:c>
      <x:c r="F6904" s="19" t="str">
        <x:v>5</x:v>
      </x:c>
    </x:row>
    <x:row r="6905" ht="93" customHeight="1">
      <x:c r="A6905" s="19" t="n">
        <x:v>6902</x:v>
      </x:c>
      <x:c r="B6905" s="22" t="e">
        <x:f>HYPERLINK("https://cdn.shopify.com/s/files/1/0918/6066/4603/files/O1CN019kBPm01HlWlyGUsyl__2545140798-0-cib.jpg?v=1772883963","Open")</x:f>
        <x:v>HYPERLINK is not implemented. linkLocation=https://cdn.shopify.com/s/files/1/0918/6066/4603/files/O1CN019kBPm01HlWlyGUsyl__2545140798-0-cib.jpg?v=1772883963, friendlyName=Open</x:v>
      </x:c>
      <x:c r="C6905" s="24" t="e">
        <x:f>HYPERLINK("https://365nails.com/products/holographic-heart-dot-nail-transfer-foil-set","Holographic Heart &amp; Dot – Nail Transfer Foil Set")</x:f>
        <x:v>HYPERLINK is not implemented. linkLocation=https://365nails.com/products/holographic-heart-dot-nail-transfer-foil-set, friendlyName=Holographic Heart &amp; Dot – Nail Transfer Foil Set</x:v>
      </x:c>
      <x:c r="D6905" s="18" t="str">
        <x:v>Specification type: Laser love</x:v>
      </x:c>
      <x:c r="E6905" s="25" t="str">
        <x:v>$1.06</x:v>
      </x:c>
      <x:c r="F6905" s="19" t="str">
        <x:v>5</x:v>
      </x:c>
    </x:row>
    <x:row r="6906" ht="93" customHeight="1">
      <x:c r="A6906" s="19" t="n">
        <x:v>6903</x:v>
      </x:c>
      <x:c r="B6906" s="22" t="e">
        <x:f>HYPERLINK("https://cdn.shopify.com/s/files/1/0918/6066/4603/files/O1CN01sZGjFh1HlWx0A02ch__2545140798-0-cib.jpg?v=1773541115","Open")</x:f>
        <x:v>HYPERLINK is not implemented. linkLocation=https://cdn.shopify.com/s/files/1/0918/6066/4603/files/O1CN01sZGjFh1HlWx0A02ch__2545140798-0-cib.jpg?v=1773541115, friendlyName=Open</x:v>
      </x:c>
      <x:c r="C6906" s="24" t="e">
        <x:f>HYPERLINK("https://365nails.com/products/shell-firework-collection-iridescent-sparkle-3d-holographic-nail-sticker","Shell Firework Collection: ""Iridescent Sparkle"" – 3D Holographic Nail Sticker")</x:f>
        <x:v>HYPERLINK is not implemented. linkLocation=https://365nails.com/products/shell-firework-collection-iridescent-sparkle-3d-holographic-nail-sticker, friendlyName=Shell Firework Collection: "Iridescent Sparkle" – 3D Holographic Nail Sticker</x:v>
      </x:c>
      <x:c r="D6906" s="18" t="str">
        <x:v>Specification type: To3469-shell light / To3470-shell light / To3471- rainbow hot stamping / To3471-laser silver</x:v>
      </x:c>
      <x:c r="E6906" s="25" t="str">
        <x:v>$1.23</x:v>
      </x:c>
      <x:c r="F6906" s="19" t="str">
        <x:v>5</x:v>
      </x:c>
    </x:row>
    <x:row r="6907" ht="93" customHeight="1">
      <x:c r="A6907" s="19" t="n">
        <x:v>6904</x:v>
      </x:c>
      <x:c r="B6907" s="22" t="e">
        <x:f>HYPERLINK("https://cdn.shopify.com/s/files/1/0918/6066/4603/files/O1CN01TsQVxd1HlX51x6aDv__2545140798-0-cib_9131586f-2bf7-4624-b961-257fb43dfd3c.jpg?v=1775460422","Open")</x:f>
        <x:v>HYPERLINK is not implemented. linkLocation=https://cdn.shopify.com/s/files/1/0918/6066/4603/files/O1CN01TsQVxd1HlX51x6aDv__2545140798-0-cib_9131586f-2bf7-4624-b961-257fb43dfd3c.jpg?v=1775460422, friendlyName=Open</x:v>
      </x:c>
      <x:c r="C6907" s="24" t="e">
        <x:f>HYPERLINK("https://365nails.com/products/365nails-auspicious-cloud-fortune-handmade-press-on-nails","365nails: ""Auspicious Cloud &amp; Fortune"" –Nail Art Stickers")</x:f>
        <x:v>HYPERLINK is not implemented. linkLocation=https://365nails.com/products/365nails-auspicious-cloud-fortune-handmade-press-on-nails, friendlyName=365nails: "Auspicious Cloud &amp; Fortune" –Nail Art Stickers</x:v>
      </x:c>
      <x:c r="D6907" s="18" t="str">
        <x:v>Specification type: To4800-laser powder / To4800-new hot stamping / To4800-silver</x:v>
      </x:c>
      <x:c r="E6907" s="25" t="str">
        <x:v>$1.23</x:v>
      </x:c>
      <x:c r="F6907" s="19" t="str">
        <x:v>5</x:v>
      </x:c>
    </x:row>
    <x:row r="6908" ht="93" customHeight="1">
      <x:c r="A6908" s="19" t="n">
        <x:v>6905</x:v>
      </x:c>
      <x:c r="B6908" s="22" t="e">
        <x:f>HYPERLINK("https://cdn.shopify.com/s/files/1/0918/6066/4603/files/O1CN01GfBaDB1HlX8GUsJ2H__2545140798-0-cib.jpg?v=1773496032","Open")</x:f>
        <x:v>HYPERLINK is not implemented. linkLocation=https://cdn.shopify.com/s/files/1/0918/6066/4603/files/O1CN01GfBaDB1HlX8GUsJ2H__2545140798-0-cib.jpg?v=1773496032, friendlyName=Open</x:v>
      </x:c>
      <x:c r="C6908" s="24" t="e">
        <x:f>HYPERLINK("https://365nails.com/products/tomato-collection-jelly-tomato-3d-embossed-nail-sticker","Tomato Collection: ""Jelly Tomato"" – 3D Embossed Nail Sticker")</x:f>
        <x:v>HYPERLINK is not implemented. linkLocation=https://365nails.com/products/tomato-collection-jelly-tomato-3d-embossed-nail-sticker, friendlyName=Tomato Collection: "Jelly Tomato" – 3D Embossed Nail Sticker</x:v>
      </x:c>
      <x:c r="D6908" s="18" t="str">
        <x:v>Specification type: To5188-jelly</x:v>
      </x:c>
      <x:c r="E6908" s="25" t="str">
        <x:v>$1.23</x:v>
      </x:c>
      <x:c r="F6908" s="19" t="str">
        <x:v>5</x:v>
      </x:c>
    </x:row>
    <x:row r="6909" ht="93" customHeight="1">
      <x:c r="A6909" s="19" t="n">
        <x:v>6906</x:v>
      </x:c>
      <x:c r="B6909" s="22" t="e">
        <x:f>HYPERLINK("https://cdn.shopify.com/s/files/1/0918/6066/4603/files/O1CN01seaZA61HlWm3gUgvR__2545140798-0-cib.jpg?v=1772884104","Open")</x:f>
        <x:v>HYPERLINK is not implemented. linkLocation=https://cdn.shopify.com/s/files/1/0918/6066/4603/files/O1CN01seaZA61HlWm3gUgvR__2545140798-0-cib.jpg?v=1772884104, friendlyName=Open</x:v>
      </x:c>
      <x:c r="C6909" s="24" t="e">
        <x:f>HYPERLINK("https://365nails.com/products/blue-floral-damask-5d-embossed-elegant-accent-set","Blue Floral Damask – 5D Embossed Elegant Accent Set")</x:f>
        <x:v>HYPERLINK is not implemented. linkLocation=https://365nails.com/products/blue-floral-damask-5d-embossed-elegant-accent-set, friendlyName=Blue Floral Damask – 5D Embossed Elegant Accent Set</x:v>
      </x:c>
      <x:c r="D6909" s="18" t="str">
        <x:v>Specification type: L04 / L07 / L10th</x:v>
      </x:c>
      <x:c r="E6909" s="25" t="str">
        <x:v>$1.23</x:v>
      </x:c>
      <x:c r="F6909" s="19" t="str">
        <x:v>5</x:v>
      </x:c>
    </x:row>
    <x:row r="6910" ht="93" customHeight="1">
      <x:c r="A6910" s="19" t="n">
        <x:v>6907</x:v>
      </x:c>
      <x:c r="B6910" s="22" t="e">
        <x:f>HYPERLINK("https://cdn.shopify.com/s/files/1/0918/6066/4603/files/4f9ce0f04f7ce867e7adfd0ab9d1081c.jpg?v=1781018757","Open")</x:f>
        <x:v>HYPERLINK is not implemented. linkLocation=https://cdn.shopify.com/s/files/1/0918/6066/4603/files/4f9ce0f04f7ce867e7adfd0ab9d1081c.jpg?v=1781018757, friendlyName=Open</x:v>
      </x:c>
      <x:c r="C6910" s="24" t="e">
        <x:f>HYPERLINK("https://365nails.com/products/365nails-transparent-red-white-polka-dot-jelly-classic-handmade-long-stiletto-nails","365nails: ""Transparent Red White Polka Dot Jelly"" – Classic Handmade Long Stiletto Nails")</x:f>
        <x:v>HYPERLINK is not implemented. linkLocation=https://365nails.com/products/365nails-transparent-red-white-polka-dot-jelly-classic-handmade-long-stiletto-nails, friendlyName=365nails: "Transparent Red White Polka Dot Jelly" – Classic Handmade Long Stiletto Nails</x:v>
      </x:c>
      <x:c r="D6910" s="18" t="str">
        <x:v>Size: XS / S / M / L</x:v>
      </x:c>
      <x:c r="E6910" s="25" t="str">
        <x:v>$4.99</x:v>
      </x:c>
      <x:c r="F6910" s="19" t="str">
        <x:v>3</x:v>
      </x:c>
    </x:row>
    <x:row r="6911" ht="93" customHeight="1">
      <x:c r="A6911" s="19" t="n">
        <x:v>6908</x:v>
      </x:c>
      <x:c r="B6911" s="22" t="e">
        <x:f>HYPERLINK("https://cdn.shopify.com/s/files/1/0918/6066/4603/files/O1CN01Qy9IxG1HlX88BeWLl__2545140798-0-cib.jpg?v=1773496207","Open")</x:f>
        <x:v>HYPERLINK is not implemented. linkLocation=https://cdn.shopify.com/s/files/1/0918/6066/4603/files/O1CN01Qy9IxG1HlX88BeWLl__2545140798-0-cib.jpg?v=1773496207, friendlyName=Open</x:v>
      </x:c>
      <x:c r="C6911" s="24" t="e">
        <x:f>HYPERLINK("https://365nails.com/products/gothic-alphabet-collection-gold-foil-gothic-3d-metallic-nail-sticker","Gothic Alphabet Collection: ""Gold Foil Gothic"" – 3D Metallic Nail Sticker")</x:f>
        <x:v>HYPERLINK is not implemented. linkLocation=https://365nails.com/products/gothic-alphabet-collection-gold-foil-gothic-3d-metallic-nail-sticker, friendlyName=Gothic Alphabet Collection: "Gold Foil Gothic" – 3D Metallic Nail Sticker</x:v>
      </x:c>
      <x:c r="D6911" s="18" t="str">
        <x:v>Specification type: To5168-new hot stamping / To5168-silver</x:v>
      </x:c>
      <x:c r="E6911" s="25" t="str">
        <x:v>$1.23</x:v>
      </x:c>
      <x:c r="F6911" s="19" t="str">
        <x:v>5</x:v>
      </x:c>
    </x:row>
    <x:row r="6912" ht="93" customHeight="1">
      <x:c r="A6912" s="19" t="n">
        <x:v>6909</x:v>
      </x:c>
      <x:c r="B6912" s="22" t="e">
        <x:f>HYPERLINK("https://cdn.shopify.com/s/files/1/0918/6066/4603/files/O1CN01i3S8tB1HlX2xmKyKA__2545140798-0-cib.jpg?v=1773541640","Open")</x:f>
        <x:v>HYPERLINK is not implemented. linkLocation=https://cdn.shopify.com/s/files/1/0918/6066/4603/files/O1CN01i3S8tB1HlX2xmKyKA__2545140798-0-cib.jpg?v=1773541640, friendlyName=Open</x:v>
      </x:c>
      <x:c r="C6912" s="24" t="e">
        <x:f>HYPERLINK("https://365nails.com/products/monochrome-butterfly-collection-midnight-flutter-3d-embossed-nail-sticker","Monochrome Butterfly Collection: ""Midnight Flutter"" – 3D Embossed Nail Sticker")</x:f>
        <x:v>HYPERLINK is not implemented. linkLocation=https://365nails.com/products/monochrome-butterfly-collection-midnight-flutter-3d-embossed-nail-sticker, friendlyName=Monochrome Butterfly Collection: "Midnight Flutter" – 3D Embossed Nail Sticker</x:v>
      </x:c>
      <x:c r="D6912" s="18" t="str">
        <x:v>Specification type: To4373 / To4374 / To4378</x:v>
      </x:c>
      <x:c r="E6912" s="25" t="str">
        <x:v>$1.09</x:v>
      </x:c>
      <x:c r="F6912" s="19" t="str">
        <x:v>5</x:v>
      </x:c>
    </x:row>
    <x:row r="6913" ht="93" customHeight="1">
      <x:c r="A6913" s="19" t="n">
        <x:v>6910</x:v>
      </x:c>
      <x:c r="B6913" s="22" t="e">
        <x:f>HYPERLINK("https://cdn.shopify.com/s/files/1/0918/6066/4603/files/e6c0ed0d0b42aefac6c71df226869f49.jpg?v=1772948806","Open")</x:f>
        <x:v>HYPERLINK is not implemented. linkLocation=https://cdn.shopify.com/s/files/1/0918/6066/4603/files/e6c0ed0d0b42aefac6c71df226869f49.jpg?v=1772948806, friendlyName=Open</x:v>
      </x:c>
      <x:c r="C6913" s="24" t="e">
        <x:f>HYPERLINK("https://365nails.com/products/persimmon-auspicious-jelly-nail-art-accent-set","Persimmon Auspicious – Jelly Nail Art Accent Set")</x:f>
        <x:v>HYPERLINK is not implemented. linkLocation=https://365nails.com/products/persimmon-auspicious-jelly-nail-art-accent-set, friendlyName=Persimmon Auspicious – Jelly Nail Art Accent Set</x:v>
      </x:c>
      <x:c r="D6913" s="18" t="str">
        <x:v>Specification type: Ta281-relief / Ta283-jelly</x:v>
      </x:c>
      <x:c r="E6913" s="25" t="str">
        <x:v>$1.23</x:v>
      </x:c>
      <x:c r="F6913" s="19" t="str">
        <x:v>5</x:v>
      </x:c>
    </x:row>
    <x:row r="6914" ht="93" customHeight="1">
      <x:c r="A6914" s="19" t="n">
        <x:v>6911</x:v>
      </x:c>
      <x:c r="B6914" s="22" t="e">
        <x:f>HYPERLINK("https://cdn.shopify.com/s/files/1/0918/6066/4603/files/O1CN01TFGNLT1HlX6pUBf5b__2545140798-0-cib.jpg?v=1773554870","Open")</x:f>
        <x:v>HYPERLINK is not implemented. linkLocation=https://cdn.shopify.com/s/files/1/0918/6066/4603/files/O1CN01TFGNLT1HlX6pUBf5b__2545140798-0-cib.jpg?v=1773554870, friendlyName=Open</x:v>
      </x:c>
      <x:c r="C6914" s="24" t="e">
        <x:f>HYPERLINK("https://365nails.com/products/sweet-teddy-bear-strawberry-picnic-3d-embossed-nail-sticker","Sweet Teddy Bear: ""Strawberry Picnic"" – 3D Embossed Nail Sticker")</x:f>
        <x:v>HYPERLINK is not implemented. linkLocation=https://365nails.com/products/sweet-teddy-bear-strawberry-picnic-3d-embossed-nail-sticker, friendlyName=Sweet Teddy Bear: "Strawberry Picnic" – 3D Embossed Nail Sticker</x:v>
      </x:c>
      <x:c r="D6914" s="18" t="str">
        <x:v>Specification type: To5085-relief / To5086-shell light</x:v>
      </x:c>
      <x:c r="E6914" s="25" t="str">
        <x:v>$1.23</x:v>
      </x:c>
      <x:c r="F6914" s="19" t="str">
        <x:v>5</x:v>
      </x:c>
    </x:row>
    <x:row r="6915" ht="93" customHeight="1">
      <x:c r="A6915" s="19" t="n">
        <x:v>6912</x:v>
      </x:c>
      <x:c r="B6915" s="22" t="e">
        <x:f>HYPERLINK("https://cdn.shopify.com/s/files/1/0918/6066/4603/files/O1CN016Ozmiu1HlX6bcucnM__2545140798-0-cib.jpg?v=1773497024","Open")</x:f>
        <x:v>HYPERLINK is not implemented. linkLocation=https://cdn.shopify.com/s/files/1/0918/6066/4603/files/O1CN016Ozmiu1HlX6bcucnM__2545140798-0-cib.jpg?v=1773497024, friendlyName=Open</x:v>
      </x:c>
      <x:c r="C6915" s="24" t="e">
        <x:f>HYPERLINK("https://365nails.com/products/jelly-bear-collection-pastel-sweet-3d-jelly-nail-sticker","Jelly Bear Collection: ""Pastel Sweet"" – 3D Jelly Nail Sticker")</x:f>
        <x:v>HYPERLINK is not implemented. linkLocation=https://365nails.com/products/jelly-bear-collection-pastel-sweet-3d-jelly-nail-sticker, friendlyName=Jelly Bear Collection: "Pastel Sweet" – 3D Jelly Nail Sticker</x:v>
      </x:c>
      <x:c r="D6915" s="18" t="str">
        <x:v>Specification type: To5052-jelly / To5064-jelly</x:v>
      </x:c>
      <x:c r="E6915" s="25" t="str">
        <x:v>$1.23</x:v>
      </x:c>
      <x:c r="F6915" s="19" t="str">
        <x:v>5</x:v>
      </x:c>
    </x:row>
    <x:row r="6916" ht="93" customHeight="1">
      <x:c r="A6916" s="19" t="n">
        <x:v>6913</x:v>
      </x:c>
      <x:c r="B6916" s="22" t="e">
        <x:f>HYPERLINK("https://cdn.shopify.com/s/files/1/0918/6066/4603/files/bab66cc205d6034862c61c5df75d832b.jpg?v=1773462562","Open")</x:f>
        <x:v>HYPERLINK is not implemented. linkLocation=https://cdn.shopify.com/s/files/1/0918/6066/4603/files/bab66cc205d6034862c61c5df75d832b.jpg?v=1773462562, friendlyName=Open</x:v>
      </x:c>
      <x:c r="C6916" s="24" t="e">
        <x:f>HYPERLINK("https://365nails.com/products/pastel-floral-collection-gentle-floral-bow-3d-embossed-nail-sticker","Pastel Floral Collection: ""Gentle Floral Bow"" – 3D Embossed Nail Sticker")</x:f>
        <x:v>HYPERLINK is not implemented. linkLocation=https://365nails.com/products/pastel-floral-collection-gentle-floral-bow-3d-embossed-nail-sticker, friendlyName=Pastel Floral Collection: "Gentle Floral Bow" – 3D Embossed Nail Sticker</x:v>
      </x:c>
      <x:c r="D6916" s="18" t="str">
        <x:v>Specification type: To5592-shell light / To5608-shell light</x:v>
      </x:c>
      <x:c r="E6916" s="25" t="str">
        <x:v>$1.23</x:v>
      </x:c>
      <x:c r="F6916" s="19" t="str">
        <x:v>5</x:v>
      </x:c>
    </x:row>
    <x:row r="6917" ht="93" customHeight="1">
      <x:c r="A6917" s="19" t="n">
        <x:v>6914</x:v>
      </x:c>
      <x:c r="B6917" s="22" t="e">
        <x:f>HYPERLINK("https://cdn.shopify.com/s/files/1/0918/6066/4603/files/O1CN01Dul8Ik1HlX5yPmQR9__2545140798-0-cib_f4ff8c6c-b664-4c2a-92f2-59a673a24223.jpg?v=1775484712","Open")</x:f>
        <x:v>HYPERLINK is not implemented. linkLocation=https://cdn.shopify.com/s/files/1/0918/6066/4603/files/O1CN01Dul8Ik1HlX5yPmQR9__2545140798-0-cib_f4ff8c6c-b664-4c2a-92f2-59a673a24223.jpg?v=1775484712, friendlyName=Open</x:v>
      </x:c>
      <x:c r="C6917" s="24" t="e">
        <x:f>HYPERLINK("https://365nails.com/products/365nails-hologram-teal-butterfly-handmade-press-on-nails","365nails: ""Hologram Teal Butterfly"" –Nail Art Stickers")</x:f>
        <x:v>HYPERLINK is not implemented. linkLocation=https://365nails.com/products/365nails-hologram-teal-butterfly-handmade-press-on-nails, friendlyName=365nails: "Hologram Teal Butterfly" –Nail Art Stickers</x:v>
      </x:c>
      <x:c r="D6917" s="18" t="str">
        <x:v>Specification type: To4962-metal / To4963 shell light / To4964 shell light</x:v>
      </x:c>
      <x:c r="E6917" s="25" t="str">
        <x:v>$1.23</x:v>
      </x:c>
      <x:c r="F6917" s="19" t="str">
        <x:v>5</x:v>
      </x:c>
    </x:row>
    <x:row r="6918" ht="93" customHeight="1">
      <x:c r="A6918" s="19" t="n">
        <x:v>6915</x:v>
      </x:c>
      <x:c r="B6918" s="22" t="e">
        <x:f>HYPERLINK("https://cdn.shopify.com/s/files/1/0918/6066/4603/files/b44d8183441f5fa75f26b203e2a18275.jpg?v=1772946360","Open")</x:f>
        <x:v>HYPERLINK is not implemented. linkLocation=https://cdn.shopify.com/s/files/1/0918/6066/4603/files/b44d8183441f5fa75f26b203e2a18275.jpg?v=1772946360, friendlyName=Open</x:v>
      </x:c>
      <x:c r="C6918" s="24" t="e">
        <x:f>HYPERLINK("https://365nails.com/products/moon-heart-crystal-crystal-diamond-nail-art-accent-set","Moon &amp; Heart Crystal – Crystal Diamond Nail Art Accent Set")</x:f>
        <x:v>HYPERLINK is not implemented. linkLocation=https://365nails.com/products/moon-heart-crystal-crystal-diamond-nail-art-accent-set, friendlyName=Moon &amp; Heart Crystal – Crystal Diamond Nail Art Accent Set</x:v>
      </x:c>
      <x:c r="D6918" s="18" t="str">
        <x:v>Specification type: To3908-crystal diamond / To3909-platinum crystal diamond / To3909-mint gold crystal diamond / To3909-laser pink crystal diamond</x:v>
      </x:c>
      <x:c r="E6918" s="25" t="str">
        <x:v>$1.30</x:v>
      </x:c>
      <x:c r="F6918" s="19" t="str">
        <x:v>5</x:v>
      </x:c>
    </x:row>
    <x:row r="6919" ht="93" customHeight="1">
      <x:c r="A6919" s="19" t="n">
        <x:v>6916</x:v>
      </x:c>
      <x:c r="B6919" s="22" t="e">
        <x:f>HYPERLINK("https://cdn.shopify.com/s/files/1/0918/6066/4603/files/b85c55200456fd027405896454bf5091.jpg?v=1772888007","Open")</x:f>
        <x:v>HYPERLINK is not implemented. linkLocation=https://cdn.shopify.com/s/files/1/0918/6066/4603/files/b85c55200456fd027405896454bf5091.jpg?v=1772888007, friendlyName=Open</x:v>
      </x:c>
      <x:c r="C6919" s="24" t="e">
        <x:f>HYPERLINK("https://365nails.com/products/peach-blossom-jade-chinese-style-nail-art-accent-set","Peach Blossom &amp; Jade – Chinese Style Nail Art Accent Set")</x:f>
        <x:v>HYPERLINK is not implemented. linkLocation=https://365nails.com/products/peach-blossom-jade-chinese-style-nail-art-accent-set, friendlyName=Peach Blossom &amp; Jade – Chinese Style Nail Art Accent Set</x:v>
      </x:c>
      <x:c r="D6919" s="18" t="str">
        <x:v>Specification type: To3855 / To3860</x:v>
      </x:c>
      <x:c r="E6919" s="25" t="str">
        <x:v>$1.09</x:v>
      </x:c>
      <x:c r="F6919" s="19" t="str">
        <x:v>5</x:v>
      </x:c>
    </x:row>
    <x:row r="6920" ht="93" customHeight="1">
      <x:c r="A6920" s="19" t="n">
        <x:v>6917</x:v>
      </x:c>
      <x:c r="B6920" s="22" t="e">
        <x:f>HYPERLINK("https://cdn.shopify.com/s/files/1/0918/6066/4603/files/a3b86da6595bc08c5d3efb56045738e1_4a1a0b09-694b-46f5-a7d6-fad8c894a039.jpg?v=1781019033","Open")</x:f>
        <x:v>HYPERLINK is not implemented. linkLocation=https://cdn.shopify.com/s/files/1/0918/6066/4603/files/a3b86da6595bc08c5d3efb56045738e1_4a1a0b09-694b-46f5-a7d6-fad8c894a039.jpg?v=1781019033, friendlyName=Open</x:v>
      </x:c>
      <x:c r="C6920" s="24" t="e">
        <x:f>HYPERLINK("https://365nails.com/products/365nails-pink-gradient-butterfly-heart-rhinestone-leopard-polka-dot-sweet-multi-decor-handmade-medium-square-nails","365nails: ""Pink Gradient Butterfly Heart Rhinestone Leopard Polka Dot"" – Sweet Multi-Decor Handmade Medium Square Nails")</x:f>
        <x:v>HYPERLINK is not implemented. linkLocation=https://365nails.com/products/365nails-pink-gradient-butterfly-heart-rhinestone-leopard-polka-dot-sweet-multi-decor-handmade-medium-square-nails, friendlyName=365nails: "Pink Gradient Butterfly Heart Rhinestone Leopard Polka Dot" – Sweet Multi-Decor Handmade Medium Square Nails</x:v>
      </x:c>
      <x:c r="D6920" s="18" t="str">
        <x:v>Size: XS / S / M / L</x:v>
      </x:c>
      <x:c r="E6920" s="25" t="str">
        <x:v>$4.29</x:v>
      </x:c>
      <x:c r="F6920" s="19" t="str">
        <x:v>3</x:v>
      </x:c>
    </x:row>
    <x:row r="6921" ht="93" customHeight="1">
      <x:c r="A6921" s="19" t="n">
        <x:v>6918</x:v>
      </x:c>
      <x:c r="B6921" s="22" t="e">
        <x:f>HYPERLINK("https://cdn.shopify.com/s/files/1/0918/6066/4603/files/O1CN01rWH6l71HlX3FFgV4B__2545140798-0-cib.jpg?v=1773560187","Open")</x:f>
        <x:v>HYPERLINK is not implemented. linkLocation=https://cdn.shopify.com/s/files/1/0918/6066/4603/files/O1CN01rWH6l71HlX3FFgV4B__2545140798-0-cib.jpg?v=1773560187, friendlyName=Open</x:v>
      </x:c>
      <x:c r="C6921" s="24" t="e">
        <x:f>HYPERLINK("https://365nails.com/products/wispy-smoke-black-ink-swirl-3d-nail-sticker","Wispy Smoke: ""Black Ink Swirl"" – 3D Nail Sticker")</x:f>
        <x:v>HYPERLINK is not implemented. linkLocation=https://365nails.com/products/wispy-smoke-black-ink-swirl-3d-nail-sticker, friendlyName=Wispy Smoke: "Black Ink Swirl" – 3D Nail Sticker</x:v>
      </x:c>
      <x:c r="D6921" s="18" t="str">
        <x:v>Specification type: Ms 695 / Ms 696</x:v>
      </x:c>
      <x:c r="E6921" s="25" t="str">
        <x:v>$1.09</x:v>
      </x:c>
      <x:c r="F6921" s="19" t="str">
        <x:v>5</x:v>
      </x:c>
    </x:row>
    <x:row r="6922" ht="93" customHeight="1">
      <x:c r="A6922" s="19" t="n">
        <x:v>6919</x:v>
      </x:c>
      <x:c r="B6922" s="22" t="e">
        <x:f>HYPERLINK("https://cdn.shopify.com/s/files/1/0918/6066/4603/files/O1CN01lRcLVE1HlX8Fhl4xu__2545140798-0-cib.jpg?v=1773541974","Open")</x:f>
        <x:v>HYPERLINK is not implemented. linkLocation=https://cdn.shopify.com/s/files/1/0918/6066/4603/files/O1CN01lRcLVE1HlX8Fhl4xu__2545140798-0-cib.jpg?v=1773541974, friendlyName=Open</x:v>
      </x:c>
      <x:c r="C6922" s="24" t="e">
        <x:f>HYPERLINK("https://365nails.com/products/gold-foil-vein-collection-golden-marble-3d-metallic-nail-sticker","Gold Foil Vein Collection: ""Golden Marble"" – 3D Metallic Nail Sticker")</x:f>
        <x:v>HYPERLINK is not implemented. linkLocation=https://365nails.com/products/gold-foil-vein-collection-golden-marble-3d-metallic-nail-sticker, friendlyName=Gold Foil Vein Collection: "Golden Marble" – 3D Metallic Nail Sticker</x:v>
      </x:c>
      <x:c r="D6922" s="18" t="str">
        <x:v>Specification type: To5182-new hot stamping / To5182-silver</x:v>
      </x:c>
      <x:c r="E6922" s="25" t="str">
        <x:v>$1.23</x:v>
      </x:c>
      <x:c r="F6922" s="19" t="str">
        <x:v>5</x:v>
      </x:c>
    </x:row>
    <x:row r="6923" ht="93" customHeight="1">
      <x:c r="A6923" s="19" t="n">
        <x:v>6920</x:v>
      </x:c>
      <x:c r="B6923" s="22" t="e">
        <x:f>HYPERLINK("https://cdn.shopify.com/s/files/1/0918/6066/4603/files/O1CN01FrLztb1HlX1nF1axa__2545140798-0-cib.jpg?v=1772946439","Open")</x:f>
        <x:v>HYPERLINK is not implemented. linkLocation=https://cdn.shopify.com/s/files/1/0918/6066/4603/files/O1CN01FrLztb1HlX1nF1axa__2545140798-0-cib.jpg?v=1772946439, friendlyName=Open</x:v>
      </x:c>
      <x:c r="C6923" s="24" t="e">
        <x:f>HYPERLINK("https://365nails.com/products/holographic-cross-floral-crystal-diamond-nail-art-set","Holographic Cross &amp; Floral – Crystal Diamond Nail Art Set")</x:f>
        <x:v>HYPERLINK is not implemented. linkLocation=https://365nails.com/products/holographic-cross-floral-crystal-diamond-nail-art-set, friendlyName=Holographic Cross &amp; Floral – Crystal Diamond Nail Art Set</x:v>
      </x:c>
      <x:c r="D6923" s="18" t="str">
        <x:v>Specification type: To4014-shell light / To4014-1-shell light</x:v>
      </x:c>
      <x:c r="E6923" s="25" t="str">
        <x:v>$1.23</x:v>
      </x:c>
      <x:c r="F6923" s="19" t="str">
        <x:v>5</x:v>
      </x:c>
    </x:row>
    <x:row r="6924" ht="93" customHeight="1">
      <x:c r="A6924" s="19" t="n">
        <x:v>6921</x:v>
      </x:c>
      <x:c r="B6924" s="22" t="e">
        <x:f>HYPERLINK("https://cdn.shopify.com/s/files/1/0918/6066/4603/files/O1CN01f2zWS21HlX8xpdX3z__2545140798-0-cib.jpg?v=1773555111","Open")</x:f>
        <x:v>HYPERLINK is not implemented. linkLocation=https://cdn.shopify.com/s/files/1/0918/6066/4603/files/O1CN01f2zWS21HlX8xpdX3z__2545140798-0-cib.jpg?v=1773555111, friendlyName=Open</x:v>
      </x:c>
      <x:c r="C6924" s="24" t="e">
        <x:f>HYPERLINK("https://365nails.com/products/gothic-sacred-rose-gold-relic-3d-hot-stamping-nail-sticker","Gothic Sacred: ""Rose Gold Relic"" – 3D Hot Stamping Nail Sticker")</x:f>
        <x:v>HYPERLINK is not implemented. linkLocation=https://365nails.com/products/gothic-sacred-rose-gold-relic-3d-hot-stamping-nail-sticker, friendlyName=Gothic Sacred: "Rose Gold Relic" – 3D Hot Stamping Nail Sticker</x:v>
      </x:c>
      <x:c r="D6924" s="18" t="str">
        <x:v>Specification type: To5249-rose gold / To5249-new hot stamping / To5249-silver / To5283-metal</x:v>
      </x:c>
      <x:c r="E6924" s="25" t="str">
        <x:v>$1.23</x:v>
      </x:c>
      <x:c r="F6924" s="19" t="str">
        <x:v>5</x:v>
      </x:c>
    </x:row>
    <x:row r="6925" ht="93" customHeight="1">
      <x:c r="A6925" s="19" t="n">
        <x:v>6922</x:v>
      </x:c>
      <x:c r="B6925" s="22" t="e">
        <x:f>HYPERLINK("https://cdn.shopify.com/s/files/1/0918/6066/4603/files/O1CN01ODS6RY1HlX5V5AsAm__2545140798-0-cib.jpg?v=1773493086","Open")</x:f>
        <x:v>HYPERLINK is not implemented. linkLocation=https://cdn.shopify.com/s/files/1/0918/6066/4603/files/O1CN01ODS6RY1HlX5V5AsAm__2545140798-0-cib.jpg?v=1773493086, friendlyName=Open</x:v>
      </x:c>
      <x:c r="C6925" s="24" t="e">
        <x:f>HYPERLINK("https://365nails.com/products/red-firework-collection-festive-firework-3d-embossed-nail-sticker","Red Firework Collection: ""Festive Firework"" – 3D Embossed Nail Sticker")</x:f>
        <x:v>HYPERLINK is not implemented. linkLocation=https://365nails.com/products/red-firework-collection-festive-firework-3d-embossed-nail-sticker, friendlyName=Red Firework Collection: "Festive Firework" – 3D Embossed Nail Sticker</x:v>
      </x:c>
      <x:c r="D6925" s="18" t="str">
        <x:v>Specification type: To4888-metal</x:v>
      </x:c>
      <x:c r="E6925" s="25" t="str">
        <x:v>$1.23</x:v>
      </x:c>
      <x:c r="F6925" s="19" t="str">
        <x:v>5</x:v>
      </x:c>
    </x:row>
    <x:row r="6926" ht="93" customHeight="1">
      <x:c r="A6926" s="19" t="n">
        <x:v>6923</x:v>
      </x:c>
      <x:c r="B6926" s="22" t="e">
        <x:f>HYPERLINK("https://cdn.shopify.com/s/files/1/0918/6066/4603/files/O1CN01Ymqx5R1HlX1uT3iHl__2545140798-0-cib_be0fb995-94c8-4493-8e69-6e8273a6ccce.jpg?v=1775453099","Open")</x:f>
        <x:v>HYPERLINK is not implemented. linkLocation=https://cdn.shopify.com/s/files/1/0918/6066/4603/files/O1CN01Ymqx5R1HlX1uT3iHl__2545140798-0-cib_be0fb995-94c8-4493-8e69-6e8273a6ccce.jpg?v=1775453099, friendlyName=Open</x:v>
      </x:c>
      <x:c r="C6926" s="24" t="e">
        <x:f>HYPERLINK("https://365nails.com/products/365nails-holographic-hello-kitty-handmade-press-on-nails","365nails: ""Holographic Hello Kitty"" – Nail Art Stickers")</x:f>
        <x:v>HYPERLINK is not implemented. linkLocation=https://365nails.com/products/365nails-holographic-hello-kitty-handmade-press-on-nails, friendlyName=365nails: "Holographic Hello Kitty" – Nail Art Stickers</x:v>
      </x:c>
      <x:c r="D6926" s="18" t="str">
        <x:v>Specification type: San072-ming zijin</x:v>
      </x:c>
      <x:c r="E6926" s="25" t="str">
        <x:v>$1.30</x:v>
      </x:c>
      <x:c r="F6926" s="19" t="str">
        <x:v>5</x:v>
      </x:c>
    </x:row>
    <x:row r="6927" ht="93" customHeight="1">
      <x:c r="A6927" s="19" t="n">
        <x:v>6924</x:v>
      </x:c>
      <x:c r="B6927" s="22" t="e">
        <x:f>HYPERLINK("https://cdn.shopify.com/s/files/1/0918/6066/4603/files/339c1b8ee44389813d35cd10f72fb385.jpg?v=1772888582","Open")</x:f>
        <x:v>HYPERLINK is not implemented. linkLocation=https://cdn.shopify.com/s/files/1/0918/6066/4603/files/339c1b8ee44389813d35cd10f72fb385.jpg?v=1772888582, friendlyName=Open</x:v>
      </x:c>
      <x:c r="C6927" s="24" t="e">
        <x:f>HYPERLINK("https://365nails.com/products/lily-serenity-watercolor-chinese-style-nail-art-set","Lily Serenity – Watercolor Chinese Style Nail Art Set")</x:f>
        <x:v>HYPERLINK is not implemented. linkLocation=https://365nails.com/products/lily-serenity-watercolor-chinese-style-nail-art-set, friendlyName=Lily Serenity – Watercolor Chinese Style Nail Art Set</x:v>
      </x:c>
      <x:c r="D6927" s="18" t="str">
        <x:v>Specification type: To3903</x:v>
      </x:c>
      <x:c r="E6927" s="25" t="str">
        <x:v>$1.09</x:v>
      </x:c>
      <x:c r="F6927" s="19" t="str">
        <x:v>5</x:v>
      </x:c>
    </x:row>
    <x:row r="6928" ht="93" customHeight="1">
      <x:c r="A6928" s="19" t="n">
        <x:v>6925</x:v>
      </x:c>
      <x:c r="B6928" s="22" t="e">
        <x:f>HYPERLINK("https://cdn.shopify.com/s/files/1/0918/6066/4603/files/f6be95f8e3ad24c725036d62cb24d742.jpg?v=1772809090","Open")</x:f>
        <x:v>HYPERLINK is not implemented. linkLocation=https://cdn.shopify.com/s/files/1/0918/6066/4603/files/f6be95f8e3ad24c725036d62cb24d742.jpg?v=1772809090, friendlyName=Open</x:v>
      </x:c>
      <x:c r="C6928" s="24" t="e">
        <x:f>HYPERLINK("https://365nails.com/products/pastel-heart-bow-nail-stickers-5d-embossed-kawaii-sweet-set","Pastel Heart &amp; Bow Nail Stickers – 5D Embossed Kawaii Sweet Set")</x:f>
        <x:v>HYPERLINK is not implemented. linkLocation=https://365nails.com/products/pastel-heart-bow-nail-stickers-5d-embossed-kawaii-sweet-set, friendlyName=Pastel Heart &amp; Bow Nail Stickers – 5D Embossed Kawaii Sweet Set</x:v>
      </x:c>
      <x:c r="D6928" s="18" t="str">
        <x:v>Specification type: To3976 / To3997</x:v>
      </x:c>
      <x:c r="E6928" s="25" t="str">
        <x:v>$1.23</x:v>
      </x:c>
      <x:c r="F6928" s="19" t="str">
        <x:v>5</x:v>
      </x:c>
    </x:row>
    <x:row r="6929" ht="93" customHeight="1">
      <x:c r="A6929" s="19" t="n">
        <x:v>6926</x:v>
      </x:c>
      <x:c r="B6929" s="22" t="e">
        <x:f>HYPERLINK("https://cdn.shopify.com/s/files/1/0918/6066/4603/files/O1CN01V1Xhrq1HlWu3elknT__2545140798-0-cib.jpg?v=1776258529","Open")</x:f>
        <x:v>HYPERLINK is not implemented. linkLocation=https://cdn.shopify.com/s/files/1/0918/6066/4603/files/O1CN01V1Xhrq1HlWu3elknT__2545140798-0-cib.jpg?v=1776258529, friendlyName=Open</x:v>
      </x:c>
      <x:c r="C6929" s="24" t="e">
        <x:f>HYPERLINK("https://365nails.com/products/365nails-black-white-polka-dot-gradient-nail-art-stickers","365nails: ""Black White Polka Dot Gradient"" – nail art stickers")</x:f>
        <x:v>HYPERLINK is not implemented. linkLocation=https://365nails.com/products/365nails-black-white-polka-dot-gradient-nail-art-stickers, friendlyName=365nails: "Black White Polka Dot Gradient" – nail art stickers</x:v>
      </x:c>
      <x:c r="D6929" s="18" t="str">
        <x:v>Specification type: Ms361-thin tough / Ms362-new hot stamping / Ms362-silver / Ms363-thin tough / Ms364-thin and tough</x:v>
      </x:c>
      <x:c r="E6929" s="25" t="str">
        <x:v>$1.23</x:v>
      </x:c>
      <x:c r="F6929" s="19" t="str">
        <x:v>5</x:v>
      </x:c>
    </x:row>
    <x:row r="6930" ht="93" customHeight="1">
      <x:c r="A6930" s="19" t="n">
        <x:v>6927</x:v>
      </x:c>
      <x:c r="B6930" s="22" t="e">
        <x:f>HYPERLINK("https://cdn.shopify.com/s/files/1/0918/6066/4603/files/4f87e7c0ac944497b319673d23fb5231.jpg?v=1773463613","Open")</x:f>
        <x:v>HYPERLINK is not implemented. linkLocation=https://cdn.shopify.com/s/files/1/0918/6066/4603/files/4f87e7c0ac944497b319673d23fb5231.jpg?v=1773463613, friendlyName=Open</x:v>
      </x:c>
      <x:c r="C6930" s="24" t="e">
        <x:f>HYPERLINK("https://365nails.com/products/denim-teddy-collection-denim-teddy-cherry-3d-embossed-nail-sticker","Denim Teddy Collection: ""Denim Teddy &amp; Cherry"" – 3D Embossed Nail Sticker")</x:f>
        <x:v>HYPERLINK is not implemented. linkLocation=https://365nails.com/products/denim-teddy-collection-denim-teddy-cherry-3d-embossed-nail-sticker, friendlyName=Denim Teddy Collection: "Denim Teddy &amp; Cherry" – 3D Embossed Nail Sticker</x:v>
      </x:c>
      <x:c r="D6930" s="18" t="str">
        <x:v>Specification type: To5151-crystal diamond / To5185-relief / To4676-new hot stamping / To4646-relief / To2283-thin tough / To2282-relief</x:v>
      </x:c>
      <x:c r="E6930" s="25" t="str">
        <x:v>$1.00–$1.34</x:v>
      </x:c>
      <x:c r="F6930" s="19" t="str">
        <x:v>5</x:v>
      </x:c>
    </x:row>
    <x:row r="6931" ht="93" customHeight="1">
      <x:c r="A6931" s="19" t="n">
        <x:v>6928</x:v>
      </x:c>
      <x:c r="B6931" s="22" t="e">
        <x:f>HYPERLINK("https://cdn.shopify.com/s/files/1/0918/6066/4603/files/O1CN01oDK4oV1HlXA158VsZ__2545140798-0-cib.jpg?v=1774255290","Open")</x:f>
        <x:v>HYPERLINK is not implemented. linkLocation=https://cdn.shopify.com/s/files/1/0918/6066/4603/files/O1CN01oDK4oV1HlXA158VsZ__2545140798-0-cib.jpg?v=1774255290, friendlyName=Open</x:v>
      </x:c>
      <x:c r="C6931" s="24" t="e">
        <x:f>HYPERLINK("https://365nails.com/products/christmas-kawaii-animal-festive-nail-sticker-set-winter-christmas-pals","Christmas Kawaii Animal &amp; Festive Nail Sticker Set – ""Winter Christmas Pals""")</x:f>
        <x:v>HYPERLINK is not implemented. linkLocation=https://365nails.com/products/christmas-kawaii-animal-festive-nail-sticker-set-winter-christmas-pals, friendlyName=Christmas Kawaii Animal &amp; Festive Nail Sticker Set – "Winter Christmas Pals"</x:v>
      </x:c>
      <x:c r="D6931" s="18" t="str">
        <x:v>Specification type: To5324-relief / To5410-relief</x:v>
      </x:c>
      <x:c r="E6931" s="25" t="str">
        <x:v>$1.23</x:v>
      </x:c>
      <x:c r="F6931" s="19" t="str">
        <x:v>5</x:v>
      </x:c>
    </x:row>
    <x:row r="6932" ht="93" customHeight="1">
      <x:c r="A6932" s="19" t="n">
        <x:v>6929</x:v>
      </x:c>
      <x:c r="B6932" s="22" t="e">
        <x:f>HYPERLINK("https://cdn.shopify.com/s/files/1/0918/6066/4603/files/O1CN011tGl9L1HlXAoOL9JR__2545140798-0-cib.jpg?v=1773491861","Open")</x:f>
        <x:v>HYPERLINK is not implemented. linkLocation=https://cdn.shopify.com/s/files/1/0918/6066/4603/files/O1CN011tGl9L1HlXAoOL9JR__2545140798-0-cib.jpg?v=1773491861, friendlyName=Open</x:v>
      </x:c>
      <x:c r="C6932" s="24" t="e">
        <x:f>HYPERLINK("https://365nails.com/products/pastel-bow-collection-sweet-bow-3d-embossed-nail-sticker","Pastel Bow Collection: ""Sweet Bow"" – 3D Embossed Nail Sticker")</x:f>
        <x:v>HYPERLINK is not implemented. linkLocation=https://365nails.com/products/pastel-bow-collection-sweet-bow-3d-embossed-nail-sticker, friendlyName=Pastel Bow Collection: "Sweet Bow" – 3D Embossed Nail Sticker</x:v>
      </x:c>
      <x:c r="D6932" s="18" t="str">
        <x:v>Specification type: To5516 / To5542</x:v>
      </x:c>
      <x:c r="E6932" s="25" t="str">
        <x:v>$1.00</x:v>
      </x:c>
      <x:c r="F6932" s="19" t="str">
        <x:v>5</x:v>
      </x:c>
    </x:row>
    <x:row r="6933" ht="93" customHeight="1">
      <x:c r="A6933" s="19" t="n">
        <x:v>6930</x:v>
      </x:c>
      <x:c r="B6933" s="22" t="e">
        <x:f>HYPERLINK("https://cdn.shopify.com/s/files/1/0918/6066/4603/files/O1CN01nfoVBf1HlX3rCC6hG__2545140798-0-cib.jpg?v=1773496745","Open")</x:f>
        <x:v>HYPERLINK is not implemented. linkLocation=https://cdn.shopify.com/s/files/1/0918/6066/4603/files/O1CN01nfoVBf1HlX3rCC6hG__2545140798-0-cib.jpg?v=1773496745, friendlyName=Open</x:v>
      </x:c>
      <x:c r="C6933" s="24" t="e">
        <x:f>HYPERLINK("https://365nails.com/products/aurora-chrysanthemum-collection-hologram-bloom-3d-holographic-nail-sticker","Aurora Chrysanthemum Collection: ""Hologram Bloom"" – 3D Holographic Nail Sticker")</x:f>
        <x:v>HYPERLINK is not implemented. linkLocation=https://365nails.com/products/aurora-chrysanthemum-collection-hologram-bloom-3d-holographic-nail-sticker, friendlyName=Aurora Chrysanthemum Collection: "Hologram Bloom" – 3D Holographic Nail Sticker</x:v>
      </x:c>
      <x:c r="D6933" s="18" t="str">
        <x:v>Specification type: To4617-shell light / To4618-relief</x:v>
      </x:c>
      <x:c r="E6933" s="25" t="str">
        <x:v>$1.23</x:v>
      </x:c>
      <x:c r="F6933" s="19" t="str">
        <x:v>5</x:v>
      </x:c>
    </x:row>
    <x:row r="6934" ht="93" customHeight="1">
      <x:c r="A6934" s="19" t="n">
        <x:v>6931</x:v>
      </x:c>
      <x:c r="B6934" s="22" t="e">
        <x:f>HYPERLINK("https://cdn.shopify.com/s/files/1/0918/6066/4603/files/O1CN01Y3UpKG1HlX5DEJGpw__2545140798-0-cib.jpg?v=1773542378","Open")</x:f>
        <x:v>HYPERLINK is not implemented. linkLocation=https://cdn.shopify.com/s/files/1/0918/6066/4603/files/O1CN01Y3UpKG1HlX5DEJGpw__2545140798-0-cib.jpg?v=1773542378, friendlyName=Open</x:v>
      </x:c>
      <x:c r="C6934" s="24" t="e">
        <x:f>HYPERLINK("https://365nails.com/products/mini-bow-collection-red-gold-ribbon-3d-metallic-nail-sticker","Mini Bow Collection: ""Red-Gold Ribbon"" – 3D Metallic Nail Sticker")</x:f>
        <x:v>HYPERLINK is not implemented. linkLocation=https://365nails.com/products/mini-bow-collection-red-gold-ribbon-3d-metallic-nail-sticker, friendlyName=Mini Bow Collection: "Red-Gold Ribbon" – 3D Metallic Nail Sticker</x:v>
      </x:c>
      <x:c r="D6934" s="18" t="str">
        <x:v>Specification type: To4501-red gold / To4501-laser powder / To4502-red gold</x:v>
      </x:c>
      <x:c r="E6934" s="25" t="str">
        <x:v>$1.23</x:v>
      </x:c>
      <x:c r="F6934" s="19" t="str">
        <x:v>5</x:v>
      </x:c>
    </x:row>
    <x:row r="6935" ht="93" customHeight="1">
      <x:c r="A6935" s="19" t="n">
        <x:v>6932</x:v>
      </x:c>
      <x:c r="B6935" s="22" t="e">
        <x:f>HYPERLINK("https://cdn.shopify.com/s/files/1/0918/6066/4603/files/O1CN01wr39nf1HlWqv6di0c__2545140798-0-cib.jpg?v=1776262808","Open")</x:f>
        <x:v>HYPERLINK is not implemented. linkLocation=https://cdn.shopify.com/s/files/1/0918/6066/4603/files/O1CN01wr39nf1HlWqv6di0c__2545140798-0-cib.jpg?v=1776262808, friendlyName=Open</x:v>
      </x:c>
      <x:c r="C6935" s="24" t="e">
        <x:f>HYPERLINK("https://365nails.com/products/365nails-pastel-blue-pink-star-gradient-nail-art-stickers","365nails: ""Pastel Blue Pink Star Gradient"" – nail art stickers")</x:f>
        <x:v>HYPERLINK is not implemented. linkLocation=https://365nails.com/products/365nails-pastel-blue-pink-star-gradient-nail-art-stickers, friendlyName=365nails: "Pastel Blue Pink Star Gradient" – nail art stickers</x:v>
      </x:c>
      <x:c r="D6935" s="18" t="str">
        <x:v>Specification type: To2492 / To2493</x:v>
      </x:c>
      <x:c r="E6935" s="25" t="str">
        <x:v>$1.09</x:v>
      </x:c>
      <x:c r="F6935" s="19" t="str">
        <x:v>5</x:v>
      </x:c>
    </x:row>
    <x:row r="6936" ht="93" customHeight="1">
      <x:c r="A6936" s="19" t="n">
        <x:v>6933</x:v>
      </x:c>
      <x:c r="B6936" s="22" t="e">
        <x:f>HYPERLINK("https://cdn.shopify.com/s/files/1/0918/6066/4603/files/O1CN01YfP9x81HlWsXGYqPJ__2545140798-0-cib.jpg?v=1773548918","Open")</x:f>
        <x:v>HYPERLINK is not implemented. linkLocation=https://cdn.shopify.com/s/files/1/0918/6066/4603/files/O1CN01YfP9x81HlWsXGYqPJ__2545140798-0-cib.jpg?v=1773548918, friendlyName=Open</x:v>
      </x:c>
      <x:c r="C6936" s="24" t="e">
        <x:f>HYPERLINK("https://365nails.com/products/white-lace-stripe-collection-elegant-lace-3d-embossed-nail-sticker","White Lace Stripe Collection: ""Elegant Lace"" – 3D Embossed Nail Sticker")</x:f>
        <x:v>HYPERLINK is not implemented. linkLocation=https://365nails.com/products/white-lace-stripe-collection-elegant-lace-3d-embossed-nail-sticker, friendlyName=White Lace Stripe Collection: "Elegant Lace" – 3D Embossed Nail Sticker</x:v>
      </x:c>
      <x:c r="D6936" s="18" t="str">
        <x:v>Specification type: To704-white lace / To708--white lace / To704-black lace / To708-black lace</x:v>
      </x:c>
      <x:c r="E6936" s="25" t="str">
        <x:v>$1.23</x:v>
      </x:c>
      <x:c r="F6936" s="19" t="str">
        <x:v>5</x:v>
      </x:c>
    </x:row>
    <x:row r="6937" ht="93" customHeight="1">
      <x:c r="A6937" s="19" t="n">
        <x:v>6934</x:v>
      </x:c>
      <x:c r="B6937" s="22" t="e">
        <x:f>HYPERLINK("https://cdn.shopify.com/s/files/1/0918/6066/4603/files/O1CN01TWyfl51HlX6wB4t79__2545140798-0-cib.jpg?v=1773542757","Open")</x:f>
        <x:v>HYPERLINK is not implemented. linkLocation=https://cdn.shopify.com/s/files/1/0918/6066/4603/files/O1CN01TWyfl51HlX6wB4t79__2545140798-0-cib.jpg?v=1773542757, friendlyName=Open</x:v>
      </x:c>
      <x:c r="C6937" s="24" t="e">
        <x:f>HYPERLINK("https://365nails.com/products/dusty-rose-collection-vintage-pink-roses-3d-metallic-nail-sticker","Dusty Rose Collection: ""Vintage Pink Roses"" – 3D Metallic Nail Sticker")</x:f>
        <x:v>HYPERLINK is not implemented. linkLocation=https://365nails.com/products/dusty-rose-collection-vintage-pink-roses-3d-metallic-nail-sticker, friendlyName=Dusty Rose Collection: "Vintage Pink Roses" – 3D Metallic Nail Sticker</x:v>
      </x:c>
      <x:c r="D6937" s="18" t="str">
        <x:v>Specification type: To5075-metal</x:v>
      </x:c>
      <x:c r="E6937" s="25" t="str">
        <x:v>$1.23</x:v>
      </x:c>
      <x:c r="F6937" s="19" t="str">
        <x:v>5</x:v>
      </x:c>
    </x:row>
    <x:row r="6938" ht="93" customHeight="1">
      <x:c r="A6938" s="19" t="n">
        <x:v>6935</x:v>
      </x:c>
      <x:c r="B6938" s="22" t="e">
        <x:f>HYPERLINK("https://cdn.shopify.com/s/files/1/0918/6066/4603/files/O1CN01079Vxm1HlWvr02MdI__2545140798-0-cib.jpg?v=1776257726","Open")</x:f>
        <x:v>HYPERLINK is not implemented. linkLocation=https://cdn.shopify.com/s/files/1/0918/6066/4603/files/O1CN01079Vxm1HlWvr02MdI__2545140798-0-cib.jpg?v=1776257726, friendlyName=Open</x:v>
      </x:c>
      <x:c r="C6938" s="24" t="e">
        <x:f>HYPERLINK("https://365nails.com/products/365nails-pastel-dream-swirl-heart-rainbow-nail-art-stickers","365nails: ""Pastel Dream Swirl Heart Rainbow"" – nail art stickers")</x:f>
        <x:v>HYPERLINK is not implemented. linkLocation=https://365nails.com/products/365nails-pastel-dream-swirl-heart-rainbow-nail-art-stickers, friendlyName=365nails: "Pastel Dream Swirl Heart Rainbow" – nail art stickers</x:v>
      </x:c>
      <x:c r="D6938" s="18" t="str">
        <x:v>Specification type: To3261 / To3263 / To3224</x:v>
      </x:c>
      <x:c r="E6938" s="25" t="str">
        <x:v>$1.09</x:v>
      </x:c>
      <x:c r="F6938" s="19" t="str">
        <x:v>5</x:v>
      </x:c>
    </x:row>
    <x:row r="6939" ht="93" customHeight="1">
      <x:c r="A6939" s="19" t="n">
        <x:v>6936</x:v>
      </x:c>
      <x:c r="B6939" s="22" t="e">
        <x:f>HYPERLINK("https://cdn.shopify.com/s/files/1/0918/6066/4603/files/O1CN01uMEMZb1HlX6REFxR1__2545140798-0-cib.jpg?v=1773553234","Open")</x:f>
        <x:v>HYPERLINK is not implemented. linkLocation=https://cdn.shopify.com/s/files/1/0918/6066/4603/files/O1CN01uMEMZb1HlX6REFxR1__2545140798-0-cib.jpg?v=1773553234, friendlyName=Open</x:v>
      </x:c>
      <x:c r="C6939" s="24" t="e">
        <x:f>HYPERLINK("https://365nails.com/products/golden-3d-floral-collection-luxury-petal-3d-embossed-nail-sticker","Golden 3D Floral Collection: ""Luxury Petal"" – 3D Embossed Nail Sticker")</x:f>
        <x:v>HYPERLINK is not implemented. linkLocation=https://365nails.com/products/golden-3d-floral-collection-luxury-petal-3d-embossed-nail-sticker, friendlyName=Golden 3D Floral Collection: "Luxury Petal" – 3D Embossed Nail Sticker</x:v>
      </x:c>
      <x:c r="D6939" s="18" t="str">
        <x:v>Specification type: To3998-metal</x:v>
      </x:c>
      <x:c r="E6939" s="25" t="str">
        <x:v>$1.23</x:v>
      </x:c>
      <x:c r="F6939" s="19" t="str">
        <x:v>5</x:v>
      </x:c>
    </x:row>
    <x:row r="6940" ht="93" customHeight="1">
      <x:c r="A6940" s="19" t="n">
        <x:v>6937</x:v>
      </x:c>
      <x:c r="B6940" s="22" t="e">
        <x:f>HYPERLINK("https://cdn.shopify.com/s/files/1/0918/6066/4603/files/15a889c6a86200d006d632da7c46e7d1.jpg?v=1777807707","Open")</x:f>
        <x:v>HYPERLINK is not implemented. linkLocation=https://cdn.shopify.com/s/files/1/0918/6066/4603/files/15a889c6a86200d006d632da7c46e7d1.jpg?v=1777807707, friendlyName=Open</x:v>
      </x:c>
      <x:c r="C6940" s="24" t="e">
        <x:f>HYPERLINK("https://365nails.com/products/365nails-cute-monster-party-3d-cartoon-handmade-short-square-press-on-nails","365nails: ""Cute Monster Party"" – 3D Cartoon Handmade Short Square Press-On Nails")</x:f>
        <x:v>HYPERLINK is not implemented. linkLocation=https://365nails.com/products/365nails-cute-monster-party-3d-cartoon-handmade-short-square-press-on-nails, friendlyName=365nails: "Cute Monster Party" – 3D Cartoon Handmade Short Square Press-On Nails</x:v>
      </x:c>
      <x:c r="D6940" s="18" t="str">
        <x:v>Size: XS / S / M / L</x:v>
      </x:c>
      <x:c r="E6940" s="25" t="str">
        <x:v>$3.49</x:v>
      </x:c>
      <x:c r="F6940" s="19" t="str">
        <x:v>5</x:v>
      </x:c>
    </x:row>
    <x:row r="6941" ht="93" customHeight="1">
      <x:c r="A6941" s="19" t="n">
        <x:v>6938</x:v>
      </x:c>
      <x:c r="B6941" s="22" t="e">
        <x:f>HYPERLINK("https://cdn.shopify.com/s/files/1/0918/6066/4603/files/O1CN01qV0RTn1HlX0ezioHk__2545140798-0-cib.jpg?v=1773563351","Open")</x:f>
        <x:v>HYPERLINK is not implemented. linkLocation=https://cdn.shopify.com/s/files/1/0918/6066/4603/files/O1CN01qV0RTn1HlX0ezioHk__2545140798-0-cib.jpg?v=1773563351, friendlyName=Open</x:v>
      </x:c>
      <x:c r="C6941" s="24" t="e">
        <x:f>HYPERLINK("https://365nails.com/products/gold-ornament-daisy-pine-3d-nail-sticker","Gold Ornament: ""Daisy &amp; Pine"" – 3D Nail Sticker")</x:f>
        <x:v>HYPERLINK is not implemented. linkLocation=https://365nails.com/products/gold-ornament-daisy-pine-3d-nail-sticker, friendlyName=Gold Ornament: "Daisy &amp; Pine" – 3D Nail Sticker</x:v>
      </x:c>
      <x:c r="D6941" s="18" t="str">
        <x:v>Specification type: To3915-new hot stamping / To3915-silver</x:v>
      </x:c>
      <x:c r="E6941" s="25" t="str">
        <x:v>$1.23</x:v>
      </x:c>
      <x:c r="F6941" s="19" t="str">
        <x:v>5</x:v>
      </x:c>
    </x:row>
    <x:row r="6942" ht="93" customHeight="1">
      <x:c r="A6942" s="19" t="n">
        <x:v>6939</x:v>
      </x:c>
      <x:c r="B6942" s="22" t="e">
        <x:f>HYPERLINK("https://cdn.shopify.com/s/files/1/0918/6066/4603/files/O1CN01El0NAE1HlX7SPHg9a__2545140798-0-cib.jpg?v=1773495617","Open")</x:f>
        <x:v>HYPERLINK is not implemented. linkLocation=https://cdn.shopify.com/s/files/1/0918/6066/4603/files/O1CN01El0NAE1HlX7SPHg9a__2545140798-0-cib.jpg?v=1773495617, friendlyName=Open</x:v>
      </x:c>
      <x:c r="C6942" s="24" t="e">
        <x:f>HYPERLINK("https://365nails.com/products/goldfish-bubble-collection-aurora-goldfish-3d-holographic-nail-sticker","Goldfish Bubble Collection: ""Aurora Goldfish"" – 3D Holographic Nail Sticker")</x:f>
        <x:v>HYPERLINK is not implemented. linkLocation=https://365nails.com/products/goldfish-bubble-collection-aurora-goldfish-3d-holographic-nail-sticker, friendlyName=Goldfish Bubble Collection: "Aurora Goldfish" – 3D Holographic Nail Sticker</x:v>
      </x:c>
      <x:c r="D6942" s="18" t="str">
        <x:v>Specification type: To5137-shell light / To5143-shell light</x:v>
      </x:c>
      <x:c r="E6942" s="25" t="str">
        <x:v>$1.23</x:v>
      </x:c>
      <x:c r="F6942" s="19" t="str">
        <x:v>5</x:v>
      </x:c>
    </x:row>
    <x:row r="6943" ht="93" customHeight="1">
      <x:c r="A6943" s="19" t="n">
        <x:v>6940</x:v>
      </x:c>
      <x:c r="B6943" s="22" t="e">
        <x:f>HYPERLINK("https://cdn.shopify.com/s/files/1/0918/6066/4603/files/O1CN01alFlG51HlWvKTn8fs__2545140798-0-cib.jpg?v=1773492715","Open")</x:f>
        <x:v>HYPERLINK is not implemented. linkLocation=https://cdn.shopify.com/s/files/1/0918/6066/4603/files/O1CN01alFlG51HlWvKTn8fs__2545140798-0-cib.jpg?v=1773492715, friendlyName=Open</x:v>
      </x:c>
      <x:c r="C6943" s="24" t="e">
        <x:f>HYPERLINK("https://365nails.com/products/holographic-fairy-collection-crystal-fairy-3d-crystal-nail-sticker","Holographic Fairy Collection: ""Crystal Fairy"" – 3D Crystal Nail Sticker")</x:f>
        <x:v>HYPERLINK is not implemented. linkLocation=https://365nails.com/products/holographic-fairy-collection-crystal-fairy-3d-crystal-nail-sticker, friendlyName=Holographic Fairy Collection: "Crystal Fairy" – 3D Crystal Nail Sticker</x:v>
      </x:c>
      <x:c r="D6943" s="18" t="str">
        <x:v>Specification type: To3174 / To3178 / To3179-colorful / To3185-crystal diamond</x:v>
      </x:c>
      <x:c r="E6943" s="25" t="str">
        <x:v>$1.23</x:v>
      </x:c>
      <x:c r="F6943" s="19" t="str">
        <x:v>5</x:v>
      </x:c>
    </x:row>
    <x:row r="6944" ht="93" customHeight="1">
      <x:c r="A6944" s="19" t="n">
        <x:v>6941</x:v>
      </x:c>
      <x:c r="B6944" s="22" t="e">
        <x:f>HYPERLINK("https://cdn.shopify.com/s/files/1/0918/6066/4603/files/O1CN01z8EuIz1HlX5r2cVK5__2545140798-0-cib.jpg?v=1772520475","Open")</x:f>
        <x:v>HYPERLINK is not implemented. linkLocation=https://cdn.shopify.com/s/files/1/0918/6066/4603/files/O1CN01z8EuIz1HlX5r2cVK5__2545140798-0-cib.jpg?v=1772520475, friendlyName=Open</x:v>
      </x:c>
      <x:c r="C6944" s="24" t="e">
        <x:f>HYPERLINK("https://365nails.com/products/aurora-orchid-luminous-flora-series","Luminous Flora: ""Aurora Orchid"" – Long Stiletto Handmade Press On Nails")</x:f>
        <x:v>HYPERLINK is not implemented. linkLocation=https://365nails.com/products/aurora-orchid-luminous-flora-series, friendlyName=Luminous Flora: "Aurora Orchid" – Long Stiletto Handmade Press On Nails</x:v>
      </x:c>
      <x:c r="D6944" s="18" t="str">
        <x:v>Specification type: Ms483-shell light / Ms575-shell light / Ms533-shell light / Ms553-crystal diamond / To4807-crystal diamond / To4808-crystal diamond / Ms753-jelly / Ms764-jelly / To4289-new hot stamping / Ms546-crystal diamond / Ms717 laser-jelly / To3888-shell light / Ms600-jelly / Ms543-jelly</x:v>
      </x:c>
      <x:c r="E6944" s="25" t="str">
        <x:v>$1.23</x:v>
      </x:c>
      <x:c r="F6944" s="19" t="str">
        <x:v>5</x:v>
      </x:c>
    </x:row>
    <x:row r="6945" ht="93" customHeight="1">
      <x:c r="A6945" s="19" t="n">
        <x:v>6942</x:v>
      </x:c>
      <x:c r="B6945" s="22" t="e">
        <x:f>HYPERLINK("https://cdn.shopify.com/s/files/1/0918/6066/4603/files/O1CN01bl60dm1HlX5zvcFtw__2545140798-0-cib.jpg?v=1773491397","Open")</x:f>
        <x:v>HYPERLINK is not implemented. linkLocation=https://cdn.shopify.com/s/files/1/0918/6066/4603/files/O1CN01bl60dm1HlX5zvcFtw__2545140798-0-cib.jpg?v=1773491397, friendlyName=Open</x:v>
      </x:c>
      <x:c r="C6945" s="24" t="e">
        <x:f>HYPERLINK("https://365nails.com/products/sunflower-collection-sunny-sunflower-3d-embossed-nail-sticker","Sunflower Collection: ""Sunny Sunflower"" – 3D Embossed Nail Sticker")</x:f>
        <x:v>HYPERLINK is not implemented. linkLocation=https://365nails.com/products/sunflower-collection-sunny-sunflower-3d-embossed-nail-sticker, friendlyName=Sunflower Collection: "Sunny Sunflower" – 3D Embossed Nail Sticker</x:v>
      </x:c>
      <x:c r="D6945" s="18" t="str">
        <x:v>Specification type: To4903-relief / To4904-shell light</x:v>
      </x:c>
      <x:c r="E6945" s="25" t="str">
        <x:v>$1.23</x:v>
      </x:c>
      <x:c r="F6945" s="19" t="str">
        <x:v>5</x:v>
      </x:c>
    </x:row>
    <x:row r="6946" ht="93" customHeight="1">
      <x:c r="A6946" s="19" t="n">
        <x:v>6943</x:v>
      </x:c>
      <x:c r="B6946" s="22" t="e">
        <x:f>HYPERLINK("https://cdn.shopify.com/s/files/1/0918/6066/4603/files/a8bae9c1873c3fb38a5888e5b55f0963.jpg?v=1777803643","Open")</x:f>
        <x:v>HYPERLINK is not implemented. linkLocation=https://cdn.shopify.com/s/files/1/0918/6066/4603/files/a8bae9c1873c3fb38a5888e5b55f0963.jpg?v=1777803643, friendlyName=Open</x:v>
      </x:c>
      <x:c r="C6946" s="24" t="e">
        <x:f>HYPERLINK("https://365nails.com/products/365nails-blush-pink-red-lily-pearl-3d-flower-handmade-medium-stiletto-press-on-nails","365nails: ""Blush Pink Red Lily Pearl"" – 3D Flower Handmade Medium Stiletto Press-On Nails")</x:f>
        <x:v>HYPERLINK is not implemented. linkLocation=https://365nails.com/products/365nails-blush-pink-red-lily-pearl-3d-flower-handmade-medium-stiletto-press-on-nails, friendlyName=365nails: "Blush Pink Red Lily Pearl" – 3D Flower Handmade Medium Stiletto Press-On Nails</x:v>
      </x:c>
      <x:c r="D6946" s="18" t="str">
        <x:v>Size: XS / S / M / L</x:v>
      </x:c>
      <x:c r="E6946" s="25" t="str">
        <x:v>$3.49</x:v>
      </x:c>
      <x:c r="F6946" s="19" t="str">
        <x:v>5</x:v>
      </x:c>
    </x:row>
    <x:row r="6947" ht="93" customHeight="1">
      <x:c r="A6947" s="19" t="n">
        <x:v>6944</x:v>
      </x:c>
      <x:c r="B6947" s="22" t="e">
        <x:f>HYPERLINK("https://cdn.shopify.com/s/files/1/0918/6066/4603/files/1e25d8a3f1d29ae750f55502388e2c32.jpg?v=1777799146","Open")</x:f>
        <x:v>HYPERLINK is not implemented. linkLocation=https://cdn.shopify.com/s/files/1/0918/6066/4603/files/1e25d8a3f1d29ae750f55502388e2c32.jpg?v=1777799146, friendlyName=Open</x:v>
      </x:c>
      <x:c r="C6947" s="24" t="e">
        <x:f>HYPERLINK("https://365nails.com/products/365nails-nude-black-cow-print-star-mix-handmade-medium-stiletto-press-on-nails","365nails: ""Nude Black Cow Print Star Mix"" – Handmade Medium Stiletto Press-On Nails")</x:f>
        <x:v>HYPERLINK is not implemented. linkLocation=https://365nails.com/products/365nails-nude-black-cow-print-star-mix-handmade-medium-stiletto-press-on-nails, friendlyName=365nails: "Nude Black Cow Print Star Mix" – Handmade Medium Stiletto Press-On Nails</x:v>
      </x:c>
      <x:c r="D6947" s="18" t="str">
        <x:v>Size: XS / S / M / L</x:v>
      </x:c>
      <x:c r="E6947" s="25" t="str">
        <x:v>$3.49</x:v>
      </x:c>
      <x:c r="F6947" s="19" t="str">
        <x:v>5</x:v>
      </x:c>
    </x:row>
    <x:row r="6948" ht="93" customHeight="1">
      <x:c r="A6948" s="19" t="n">
        <x:v>6945</x:v>
      </x:c>
      <x:c r="B6948" s="22" t="e">
        <x:f>HYPERLINK("https://cdn.shopify.com/s/files/1/0918/6066/4603/files/9773578b0514f4116322b137a6698c27.jpg?v=1777802438","Open")</x:f>
        <x:v>HYPERLINK is not implemented. linkLocation=https://cdn.shopify.com/s/files/1/0918/6066/4603/files/9773578b0514f4116322b137a6698c27.jpg?v=1777802438, friendlyName=Open</x:v>
      </x:c>
      <x:c r="C6948" s="24" t="e">
        <x:f>HYPERLINK("https://365nails.com/products/365nails-blush-pink-zebra-plumeria-mix-handmade-medium-stiletto-press-on-nails","365nails: ""Blush Pink Zebra Plumeria Mix"" – Handmade Medium Stiletto Press-On Nails")</x:f>
        <x:v>HYPERLINK is not implemented. linkLocation=https://365nails.com/products/365nails-blush-pink-zebra-plumeria-mix-handmade-medium-stiletto-press-on-nails, friendlyName=365nails: "Blush Pink Zebra Plumeria Mix" – Handmade Medium Stiletto Press-On Nails</x:v>
      </x:c>
      <x:c r="D6948" s="18" t="str">
        <x:v>Size: XS / S / M / L</x:v>
      </x:c>
      <x:c r="E6948" s="25" t="str">
        <x:v>$3.49</x:v>
      </x:c>
      <x:c r="F6948" s="19" t="str">
        <x:v>5</x:v>
      </x:c>
    </x:row>
    <x:row r="6949" ht="93" customHeight="1">
      <x:c r="A6949" s="19" t="n">
        <x:v>6946</x:v>
      </x:c>
      <x:c r="B6949" s="22" t="e">
        <x:f>HYPERLINK("https://cdn.shopify.com/s/files/1/0918/6066/4603/files/O1CN01lAyjpC1HlX1QlFQl4__2545140798-0-cib.jpg?v=1773463788","Open")</x:f>
        <x:v>HYPERLINK is not implemented. linkLocation=https://cdn.shopify.com/s/files/1/0918/6066/4603/files/O1CN01lAyjpC1HlX1QlFQl4__2545140798-0-cib.jpg?v=1773463788, friendlyName=Open</x:v>
      </x:c>
      <x:c r="C6949" s="24" t="e">
        <x:f>HYPERLINK("https://365nails.com/products/bubble-light-collection-holographic-bubble-star-3d-embossed-nail-sticker","Bubble Light Collection: ""Holographic Bubble &amp; Star"" – 3D Embossed Nail Sticker")</x:f>
        <x:v>HYPERLINK is not implemented. linkLocation=https://365nails.com/products/bubble-light-collection-holographic-bubble-star-3d-embossed-nail-sticker, friendlyName=Bubble Light Collection: "Holographic Bubble &amp; Star" – 3D Embossed Nail Sticker</x:v>
      </x:c>
      <x:c r="D6949" s="18" t="str">
        <x:v>Specification type: To4109-shell light / To4134-shell light / To4153-jelly</x:v>
      </x:c>
      <x:c r="E6949" s="25" t="str">
        <x:v>$1.23</x:v>
      </x:c>
      <x:c r="F6949" s="19" t="str">
        <x:v>5</x:v>
      </x:c>
    </x:row>
    <x:row r="6950" ht="93" customHeight="1">
      <x:c r="A6950" s="19" t="n">
        <x:v>6947</x:v>
      </x:c>
      <x:c r="B6950" s="22" t="e">
        <x:f>HYPERLINK("https://cdn.shopify.com/s/files/1/0918/6066/4603/files/6c8fbaed0bc96fb1f4176512f969eb6a.jpg?v=1773465400","Open")</x:f>
        <x:v>HYPERLINK is not implemented. linkLocation=https://cdn.shopify.com/s/files/1/0918/6066/4603/files/6c8fbaed0bc96fb1f4176512f969eb6a.jpg?v=1773465400, friendlyName=Open</x:v>
      </x:c>
      <x:c r="C6950" s="24" t="e">
        <x:f>HYPERLINK("https://365nails.com/products/winter-castle-collection-snowflake-ice-castle-3d-embossed-nail-sticker","Winter Castle Collection: ""Snowflake &amp; Ice Castle"" – 3D Embossed Nail Sticker")</x:f>
        <x:v>HYPERLINK is not implemented. linkLocation=https://365nails.com/products/winter-castle-collection-snowflake-ice-castle-3d-embossed-nail-sticker, friendlyName=Winter Castle Collection: "Snowflake &amp; Ice Castle" – 3D Embossed Nail Sticker</x:v>
      </x:c>
      <x:c r="D6950" s="18" t="str">
        <x:v>Specification type: To5480-new hot stamping / To5480-silver / To5481-glitter / To5487 glitter powder / To5488-glitter</x:v>
      </x:c>
      <x:c r="E6950" s="25" t="str">
        <x:v>$1.23</x:v>
      </x:c>
      <x:c r="F6950" s="19" t="str">
        <x:v>5</x:v>
      </x:c>
    </x:row>
    <x:row r="6951" ht="93" customHeight="1">
      <x:c r="A6951" s="19" t="n">
        <x:v>6948</x:v>
      </x:c>
      <x:c r="B6951" s="22" t="e">
        <x:f>HYPERLINK("https://cdn.shopify.com/s/files/1/0918/6066/4603/files/b365a050518edf4da0fe9dd0161e412a.jpg?v=1773464987","Open")</x:f>
        <x:v>HYPERLINK is not implemented. linkLocation=https://cdn.shopify.com/s/files/1/0918/6066/4603/files/b365a050518edf4da0fe9dd0161e412a.jpg?v=1773464987, friendlyName=Open</x:v>
      </x:c>
      <x:c r="C6951" s="24" t="e">
        <x:f>HYPERLINK("https://365nails.com/products/gilded-wildflower-collection-new-gold-foil-wildflower-3d-embossed-nail-sticker","Gilded Wildflower Collection: ""New Gold Foil Wildflower"" – 3D Embossed Nail Sticker")</x:f>
        <x:v>HYPERLINK is not implemented. linkLocation=https://365nails.com/products/gilded-wildflower-collection-new-gold-foil-wildflower-3d-embossed-nail-sticker, friendlyName=Gilded Wildflower Collection: "New Gold Foil Wildflower" – 3D Embossed Nail Sticker</x:v>
      </x:c>
      <x:c r="D6951" s="18" t="str">
        <x:v>Specification type: To4454-new hot stamping / To4481-new hot stamping</x:v>
      </x:c>
      <x:c r="E6951" s="25" t="str">
        <x:v>$1.23</x:v>
      </x:c>
      <x:c r="F6951" s="19" t="str">
        <x:v>5</x:v>
      </x:c>
    </x:row>
    <x:row r="6952" ht="93" customHeight="1">
      <x:c r="A6952" s="19" t="n">
        <x:v>6949</x:v>
      </x:c>
      <x:c r="B6952" s="22" t="e">
        <x:f>HYPERLINK("https://cdn.shopify.com/s/files/1/0918/6066/4603/files/a09ff9bde6a3995725d7078d42f3f693.jpg?v=1777802179","Open")</x:f>
        <x:v>HYPERLINK is not implemented. linkLocation=https://cdn.shopify.com/s/files/1/0918/6066/4603/files/a09ff9bde6a3995725d7078d42f3f693.jpg?v=1777802179, friendlyName=Open</x:v>
      </x:c>
      <x:c r="C6952" s="24" t="e">
        <x:f>HYPERLINK("https://365nails.com/products/365nails-pastel-pink-blue-star-abstract-handmade-short-squoval-press-on-nails","365nails: ""Pastel Pink Blue Star Abstract"" – Handmade Short Squoval Press-On Nails")</x:f>
        <x:v>HYPERLINK is not implemented. linkLocation=https://365nails.com/products/365nails-pastel-pink-blue-star-abstract-handmade-short-squoval-press-on-nails, friendlyName=365nails: "Pastel Pink Blue Star Abstract" – Handmade Short Squoval Press-On Nails</x:v>
      </x:c>
      <x:c r="D6952" s="18" t="str">
        <x:v>Size: XS / S / M / L</x:v>
      </x:c>
      <x:c r="E6952" s="25" t="str">
        <x:v>$3.49</x:v>
      </x:c>
      <x:c r="F6952" s="19" t="str">
        <x:v>5</x:v>
      </x:c>
    </x:row>
    <x:row r="6953" ht="93" customHeight="1">
      <x:c r="A6953" s="19" t="n">
        <x:v>6950</x:v>
      </x:c>
      <x:c r="B6953" s="22" t="e">
        <x:f>HYPERLINK("https://cdn.shopify.com/s/files/1/0918/6066/4603/files/O1CN01CTBR9d1HlX75HEaPB__2545140798-0-cib.jpg?v=1773497773","Open")</x:f>
        <x:v>HYPERLINK is not implemented. linkLocation=https://cdn.shopify.com/s/files/1/0918/6066/4603/files/O1CN01CTBR9d1HlX75HEaPB__2545140798-0-cib.jpg?v=1773497773, friendlyName=Open</x:v>
      </x:c>
      <x:c r="C6953" s="24" t="e">
        <x:f>HYPERLINK("https://365nails.com/products/holographic-fish-collection-ocean-glow-3d-metallic-nail-sticker","Holographic Fish Collection: ""Ocean Glow"" – 3D Metallic Nail Sticker")</x:f>
        <x:v>HYPERLINK is not implemented. linkLocation=https://365nails.com/products/holographic-fish-collection-ocean-glow-3d-metallic-nail-sticker, friendlyName=Holographic Fish Collection: "Ocean Glow" – 3D Metallic Nail Sticker</x:v>
      </x:c>
      <x:c r="D6953" s="18" t="str">
        <x:v>Specification type: Ms813-metal / Ms814-shell light / Ms815-metal / Ms816-shell light</x:v>
      </x:c>
      <x:c r="E6953" s="25" t="str">
        <x:v>$1.23</x:v>
      </x:c>
      <x:c r="F6953" s="19" t="str">
        <x:v>5</x:v>
      </x:c>
    </x:row>
    <x:row r="6954" ht="93" customHeight="1">
      <x:c r="A6954" s="19" t="n">
        <x:v>6951</x:v>
      </x:c>
      <x:c r="B6954" s="22" t="e">
        <x:f>HYPERLINK("https://cdn.shopify.com/s/files/1/0918/6066/4603/files/8749d50400f34f7ca920445018d4185c.jpg?v=1775297941","Open")</x:f>
        <x:v>HYPERLINK is not implemented. linkLocation=https://cdn.shopify.com/s/files/1/0918/6066/4603/files/8749d50400f34f7ca920445018d4185c.jpg?v=1775297941, friendlyName=Open</x:v>
      </x:c>
      <x:c r="C6954" s="24" t="e">
        <x:f>HYPERLINK("https://365nails.com/products/spring-bloom-dewy-petal-long-coffin-press-on-nails","Spring Bloom: ""Dewy Petal"" – Long Coffin Press-on Nails")</x:f>
        <x:v>HYPERLINK is not implemented. linkLocation=https://365nails.com/products/spring-bloom-dewy-petal-long-coffin-press-on-nails, friendlyName=Spring Bloom: "Dewy Petal" – Long Coffin Press-on Nails</x:v>
      </x:c>
      <x:c r="D6954" s="18" t="str">
        <x:v>Size: XS / S / M / L</x:v>
      </x:c>
      <x:c r="E6954" s="25" t="str">
        <x:v>$3.99</x:v>
      </x:c>
      <x:c r="F6954" s="19" t="str">
        <x:v>5</x:v>
      </x:c>
    </x:row>
    <x:row r="6955" ht="93" customHeight="1">
      <x:c r="A6955" s="19" t="n">
        <x:v>6952</x:v>
      </x:c>
      <x:c r="B6955" s="22" t="e">
        <x:f>HYPERLINK("https://cdn.shopify.com/s/files/1/0918/6066/4603/files/272a694fdea2b68ccabe7e3d814e7562.jpg?v=1773462179","Open")</x:f>
        <x:v>HYPERLINK is not implemented. linkLocation=https://cdn.shopify.com/s/files/1/0918/6066/4603/files/272a694fdea2b68ccabe7e3d814e7562.jpg?v=1773462179, friendlyName=Open</x:v>
      </x:c>
      <x:c r="C6955" s="24" t="e">
        <x:f>HYPERLINK("https://365nails.com/products/pastel-moroccan-collection-enchanting-moroccan-tile-3d-embossed-nail-sticker","Pastel Moroccan Collection: ""Enchanting Moroccan Tile"" – 3D Embossed Nail Sticker")</x:f>
        <x:v>HYPERLINK is not implemented. linkLocation=https://365nails.com/products/pastel-moroccan-collection-enchanting-moroccan-tile-3d-embossed-nail-sticker, friendlyName=Pastel Moroccan Collection: "Enchanting Moroccan Tile" – 3D Embossed Nail Sticker</x:v>
      </x:c>
      <x:c r="D6955" s="18" t="str">
        <x:v>Specification type: Ms791-relief / Ms792-relief / Ms793-relief / Ms794-shell light / Ms795-shell light</x:v>
      </x:c>
      <x:c r="E6955" s="25" t="str">
        <x:v>$1.23</x:v>
      </x:c>
      <x:c r="F6955" s="19" t="str">
        <x:v>5</x:v>
      </x:c>
    </x:row>
    <x:row r="6956" ht="93" customHeight="1">
      <x:c r="A6956" s="19" t="n">
        <x:v>6953</x:v>
      </x:c>
      <x:c r="B6956" s="22" t="e">
        <x:f>HYPERLINK("https://cdn.shopify.com/s/files/1/0918/6066/4603/files/O1CN01dUQJVB1HlWuKF4TZo__2545140798-0-cib.jpg?v=1776262693","Open")</x:f>
        <x:v>HYPERLINK is not implemented. linkLocation=https://cdn.shopify.com/s/files/1/0918/6066/4603/files/O1CN01dUQJVB1HlWuKF4TZo__2545140798-0-cib.jpg?v=1776262693, friendlyName=Open</x:v>
      </x:c>
      <x:c r="C6956" s="24" t="e">
        <x:f>HYPERLINK("https://365nails.com/products/365nails-y2k-rainbow-flower-smile-face-nail-art-stickers","365nails: ""Y2K Rainbow Flower Smile Face"" – nail art stickers")</x:f>
        <x:v>HYPERLINK is not implemented. linkLocation=https://365nails.com/products/365nails-y2k-rainbow-flower-smile-face-nail-art-stickers, friendlyName=365nails: "Y2K Rainbow Flower Smile Face" – nail art stickers</x:v>
      </x:c>
      <x:c r="D6956" s="18" t="str">
        <x:v>Specification type: To3046 / To3048</x:v>
      </x:c>
      <x:c r="E6956" s="25" t="str">
        <x:v>$1.23</x:v>
      </x:c>
      <x:c r="F6956" s="19" t="str">
        <x:v>5</x:v>
      </x:c>
    </x:row>
    <x:row r="6957" ht="93" customHeight="1">
      <x:c r="A6957" s="19" t="n">
        <x:v>6954</x:v>
      </x:c>
      <x:c r="B6957" s="22" t="e">
        <x:f>HYPERLINK("https://cdn.shopify.com/s/files/1/0918/6066/4603/files/O1CN01Qgc3iU1HlX7DWwydy__2545140798-0-cib.jpg?v=1773464797","Open")</x:f>
        <x:v>HYPERLINK is not implemented. linkLocation=https://cdn.shopify.com/s/files/1/0918/6066/4603/files/O1CN01Qgc3iU1HlX7DWwydy__2545140798-0-cib.jpg?v=1773464797, friendlyName=Open</x:v>
      </x:c>
      <x:c r="C6957" s="24" t="e">
        <x:f>HYPERLINK("https://365nails.com/products/holographic-fish-collection-iridescent-sea-fish-3d-embossed-nail-sticker","Holographic Fish Collection: ""Iridescent Sea Fish"" – 3D Embossed Nail Sticker")</x:f>
        <x:v>HYPERLINK is not implemented. linkLocation=https://365nails.com/products/holographic-fish-collection-iridescent-sea-fish-3d-embossed-nail-sticker, friendlyName=Holographic Fish Collection: "Iridescent Sea Fish" – 3D Embossed Nail Sticker</x:v>
      </x:c>
      <x:c r="D6957" s="18" t="str">
        <x:v>Specification type: To5109-shell light / To5110-laser silver / To5110-silver</x:v>
      </x:c>
      <x:c r="E6957" s="25" t="str">
        <x:v>$1.23</x:v>
      </x:c>
      <x:c r="F6957" s="19" t="str">
        <x:v>5</x:v>
      </x:c>
    </x:row>
    <x:row r="6958" ht="93" customHeight="1">
      <x:c r="A6958" s="19" t="n">
        <x:v>6955</x:v>
      </x:c>
      <x:c r="B6958" s="22" t="e">
        <x:f>HYPERLINK("https://cdn.shopify.com/s/files/1/0918/6066/4603/files/O1CN01AhiFYq1HlXAFhuSgP__2545140798-0-cib.jpg?v=1773464534","Open")</x:f>
        <x:v>HYPERLINK is not implemented. linkLocation=https://cdn.shopify.com/s/files/1/0918/6066/4603/files/O1CN01AhiFYq1HlXAFhuSgP__2545140798-0-cib.jpg?v=1773464534, friendlyName=Open</x:v>
      </x:c>
      <x:c r="C6958" s="24" t="e">
        <x:f>HYPERLINK("https://365nails.com/products/golden-firework-collection-crystal-firework-pearl-3d-nail-sticker","Golden Firework Collection: ""Crystal Firework &amp; Pearl"" – 3D Nail Sticker")</x:f>
        <x:v>HYPERLINK is not implemented. linkLocation=https://365nails.com/products/golden-firework-collection-crystal-firework-pearl-3d-nail-sticker, friendlyName=Golden Firework Collection: "Crystal Firework &amp; Pearl" – 3D Nail Sticker</x:v>
      </x:c>
      <x:c r="D6958" s="18" t="str">
        <x:v>Specification type: Md 002 / Md 004 / Md009s / Md 011</x:v>
      </x:c>
      <x:c r="E6958" s="25" t="str">
        <x:v>$3.62–$3.91</x:v>
      </x:c>
      <x:c r="F6958" s="19" t="str">
        <x:v>5</x:v>
      </x:c>
    </x:row>
    <x:row r="6959" ht="93" customHeight="1">
      <x:c r="A6959" s="19" t="n">
        <x:v>6956</x:v>
      </x:c>
      <x:c r="B6959" s="22" t="e">
        <x:f>HYPERLINK("https://cdn.shopify.com/s/files/1/0918/6066/4603/files/0f2f9ce6242592f150abd8a1a8afeafd.jpg?v=1773466992","Open")</x:f>
        <x:v>HYPERLINK is not implemented. linkLocation=https://cdn.shopify.com/s/files/1/0918/6066/4603/files/0f2f9ce6242592f150abd8a1a8afeafd.jpg?v=1773466992, friendlyName=Open</x:v>
      </x:c>
      <x:c r="C6959" s="24" t="e">
        <x:f>HYPERLINK("https://365nails.com/products/lucky-koi-collection-vintage-koi-fish-lotus-3d-embossed-nail-sticker","Lucky Koi Collection: ""Vintage Koi Fish &amp; Lotus"" – 3D Embossed Nail Sticker")</x:f>
        <x:v>HYPERLINK is not implemented. linkLocation=https://365nails.com/products/lucky-koi-collection-vintage-koi-fish-lotus-3d-embossed-nail-sticker, friendlyName=Lucky Koi Collection: "Vintage Koi Fish &amp; Lotus" – 3D Embossed Nail Sticker</x:v>
      </x:c>
      <x:c r="D6959" s="18" t="str">
        <x:v>Specification type: To1067</x:v>
      </x:c>
      <x:c r="E6959" s="25" t="str">
        <x:v>$1.09</x:v>
      </x:c>
      <x:c r="F6959" s="19" t="str">
        <x:v>5</x:v>
      </x:c>
    </x:row>
    <x:row r="6960" ht="93" customHeight="1">
      <x:c r="A6960" s="19" t="n">
        <x:v>6957</x:v>
      </x:c>
      <x:c r="B6960" s="22" t="e">
        <x:f>HYPERLINK("https://cdn.shopify.com/s/files/1/0918/6066/4603/files/O1CN01pZkq1l1HlWqoKWsvF__2545140798-0-cib.jpg?v=1776263080","Open")</x:f>
        <x:v>HYPERLINK is not implemented. linkLocation=https://cdn.shopify.com/s/files/1/0918/6066/4603/files/O1CN01pZkq1l1HlWqoKWsvF__2545140798-0-cib.jpg?v=1776263080, friendlyName=Open</x:v>
      </x:c>
      <x:c r="C6960" s="24" t="e">
        <x:f>HYPERLINK("https://365nails.com/products/365nails-holographic-rainbow-butterfly-nail-art-stickers","365nails: ""Holographic Rainbow Butterfly"" – nail art stickers")</x:f>
        <x:v>HYPERLINK is not implemented. linkLocation=https://365nails.com/products/365nails-holographic-rainbow-butterfly-nail-art-stickers, friendlyName=365nails: "Holographic Rainbow Butterfly" – nail art stickers</x:v>
      </x:c>
      <x:c r="D6960" s="18" t="str">
        <x:v>Specification type: To2520 / To2521 laser / To2473laser</x:v>
      </x:c>
      <x:c r="E6960" s="25" t="str">
        <x:v>$1.23</x:v>
      </x:c>
      <x:c r="F6960" s="19" t="str">
        <x:v>5</x:v>
      </x:c>
    </x:row>
    <x:row r="6961" ht="93" customHeight="1">
      <x:c r="A6961" s="19" t="n">
        <x:v>6958</x:v>
      </x:c>
      <x:c r="B6961" s="22" t="e">
        <x:f>HYPERLINK("https://cdn.shopify.com/s/files/1/0918/6066/4603/files/1b417514772761d8673411573fa69b9d.jpg?v=1777801938","Open")</x:f>
        <x:v>HYPERLINK is not implemented. linkLocation=https://cdn.shopify.com/s/files/1/0918/6066/4603/files/1b417514772761d8673411573fa69b9d.jpg?v=1777801938, friendlyName=Open</x:v>
      </x:c>
      <x:c r="C6961" s="24" t="e">
        <x:f>HYPERLINK("https://365nails.com/products/365nails-honey-bee-3a365nails-blush-pink-green-flower-shell-mix-handmade-medium-stiletto-press-on-nailsd-flower-stripe-handmade-medium-stiletto-press-on-nails","365nails: ""Blush Pink Green Flower Shell Mix"" – Handmade Medium Stiletto Press-On Nails")</x:f>
        <x:v>HYPERLINK is not implemented. linkLocation=https://365nails.com/products/365nails-honey-bee-3a365nails-blush-pink-green-flower-shell-mix-handmade-medium-stiletto-press-on-nailsd-flower-stripe-handmade-medium-stiletto-press-on-nails, friendlyName=365nails: "Blush Pink Green Flower Shell Mix" – Handmade Medium Stiletto Press-On Nails</x:v>
      </x:c>
      <x:c r="D6961" s="18" t="str">
        <x:v>Size: XS / S / M / L</x:v>
      </x:c>
      <x:c r="E6961" s="25" t="str">
        <x:v>$3.49</x:v>
      </x:c>
      <x:c r="F6961" s="19" t="str">
        <x:v>5</x:v>
      </x:c>
    </x:row>
    <x:row r="6962" ht="93" customHeight="1">
      <x:c r="A6962" s="19" t="n">
        <x:v>6959</x:v>
      </x:c>
      <x:c r="B6962" s="22" t="e">
        <x:f>HYPERLINK("https://cdn.shopify.com/s/files/1/0918/6066/4603/files/6e5bb01d4f084f26d81b99a3dda7c086.jpg?v=1773462649","Open")</x:f>
        <x:v>HYPERLINK is not implemented. linkLocation=https://cdn.shopify.com/s/files/1/0918/6066/4603/files/6e5bb01d4f084f26d81b99a3dda7c086.jpg?v=1773462649, friendlyName=Open</x:v>
      </x:c>
      <x:c r="C6962" s="24" t="e">
        <x:f>HYPERLINK("https://365nails.com/products/rich-flower-collection-rich-lucky-flower-3d-embossed-nail-sticker","Rich Flower Collection: ""Rich &amp; Lucky Flower"" – 3D Embossed Nail Sticker")</x:f>
        <x:v>HYPERLINK is not implemented. linkLocation=https://365nails.com/products/rich-flower-collection-rich-lucky-flower-3d-embossed-nail-sticker, friendlyName=Rich Flower Collection: "Rich &amp; Lucky Flower" – 3D Embossed Nail Sticker</x:v>
      </x:c>
      <x:c r="D6962" s="18" t="str">
        <x:v>Specification type: To5540-relief</x:v>
      </x:c>
      <x:c r="E6962" s="25" t="str">
        <x:v>$1.23</x:v>
      </x:c>
      <x:c r="F6962" s="19" t="str">
        <x:v>5</x:v>
      </x:c>
    </x:row>
    <x:row r="6963" ht="93" customHeight="1">
      <x:c r="A6963" s="19" t="n">
        <x:v>6960</x:v>
      </x:c>
      <x:c r="B6963" s="22" t="e">
        <x:f>HYPERLINK("https://cdn.shopify.com/s/files/1/0918/6066/4603/files/9817e40251db375bf07864fdaa52574b.jpg?v=1776414225","Open")</x:f>
        <x:v>HYPERLINK is not implemented. linkLocation=https://cdn.shopify.com/s/files/1/0918/6066/4603/files/9817e40251db375bf07864fdaa52574b.jpg?v=1776414225, friendlyName=Open</x:v>
      </x:c>
      <x:c r="C6963" s="24" t="e">
        <x:f>HYPERLINK("https://365nails.com/products/365nails-demon-slayer-chibi-crew-handmade-medium-almond-press-on-nails","365nails: ""Demon Slayer Chibi Crew"" – Handmade Medium Almond Press-On Nails")</x:f>
        <x:v>HYPERLINK is not implemented. linkLocation=https://365nails.com/products/365nails-demon-slayer-chibi-crew-handmade-medium-almond-press-on-nails, friendlyName=365nails: "Demon Slayer Chibi Crew" – Handmade Medium Almond Press-On Nails</x:v>
      </x:c>
      <x:c r="D6963" s="18" t="str">
        <x:v>Size: XS / S / M</x:v>
      </x:c>
      <x:c r="E6963" s="25" t="str">
        <x:v>$3.49</x:v>
      </x:c>
      <x:c r="F6963" s="19" t="str">
        <x:v>5</x:v>
      </x:c>
    </x:row>
    <x:row r="6964" ht="93" customHeight="1">
      <x:c r="A6964" s="19" t="n">
        <x:v>6961</x:v>
      </x:c>
      <x:c r="B6964" s="22" t="e">
        <x:f>HYPERLINK("https://cdn.shopify.com/s/files/1/0918/6066/4603/files/O1CN010VqQKz1HlX6pBQ4GG__2545140798-0-cib.jpg?v=1773553303","Open")</x:f>
        <x:v>HYPERLINK is not implemented. linkLocation=https://cdn.shopify.com/s/files/1/0918/6066/4603/files/O1CN010VqQKz1HlX6pBQ4GG__2545140798-0-cib.jpg?v=1773553303, friendlyName=Open</x:v>
      </x:c>
      <x:c r="C6964" s="24" t="e">
        <x:f>HYPERLINK("https://365nails.com/products/whimsical-mushroom-collection-fairy-forest-3d-embossed-nail-sticker","Whimsical Mushroom Collection: ""Fairy Forest"" – 3D Embossed Nail Sticker")</x:f>
        <x:v>HYPERLINK is not implemented. linkLocation=https://365nails.com/products/whimsical-mushroom-collection-fairy-forest-3d-embossed-nail-sticker, friendlyName=Whimsical Mushroom Collection: "Fairy Forest" – 3D Embossed Nail Sticker</x:v>
      </x:c>
      <x:c r="D6964" s="18" t="str">
        <x:v>Specification type: To5057-shell light</x:v>
      </x:c>
      <x:c r="E6964" s="25" t="str">
        <x:v>$1.23</x:v>
      </x:c>
      <x:c r="F6964" s="19" t="str">
        <x:v>5</x:v>
      </x:c>
    </x:row>
    <x:row r="6965" ht="93" customHeight="1">
      <x:c r="A6965" s="19" t="n">
        <x:v>6962</x:v>
      </x:c>
      <x:c r="B6965" s="22" t="e">
        <x:f>HYPERLINK("https://cdn.shopify.com/s/files/1/0918/6066/4603/files/O1CN01TtbFS51HlWtE1jvSW__2545140798-0-cib_bc812fac-1aff-4a2d-9a7c-5e44ef65b5e0.jpg?v=1773552814","Open")</x:f>
        <x:v>HYPERLINK is not implemented. linkLocation=https://cdn.shopify.com/s/files/1/0918/6066/4603/files/O1CN01TtbFS51HlWtE1jvSW__2545140798-0-cib_bc812fac-1aff-4a2d-9a7c-5e44ef65b5e0.jpg?v=1773552814, friendlyName=Open</x:v>
      </x:c>
      <x:c r="C6965" s="24" t="e">
        <x:f>HYPERLINK("https://365nails.com/products/jelly-rainbow-squiggle-collection-playful-pop-3d-embossed-nail-sticker","Jelly Rainbow Squiggle Collection: ""Playful Pop"" – 3D Embossed Nail Sticker")</x:f>
        <x:v>HYPERLINK is not implemented. linkLocation=https://365nails.com/products/jelly-rainbow-squiggle-collection-playful-pop-3d-embossed-nail-sticker, friendlyName=Jelly Rainbow Squiggle Collection: "Playful Pop" – 3D Embossed Nail Sticker</x:v>
      </x:c>
      <x:c r="D6965" s="18" t="str">
        <x:v>Specification type: Ms 339 / Ms 340 / To2800</x:v>
      </x:c>
      <x:c r="E6965" s="25" t="str">
        <x:v>$1.23</x:v>
      </x:c>
      <x:c r="F6965" s="19" t="str">
        <x:v>5</x:v>
      </x:c>
    </x:row>
    <x:row r="6966" ht="93" customHeight="1">
      <x:c r="A6966" s="19" t="n">
        <x:v>6963</x:v>
      </x:c>
      <x:c r="B6966" s="22" t="e">
        <x:f>HYPERLINK("https://cdn.shopify.com/s/files/1/0918/6066/4603/files/O1CN01tyuEYQ1HlWr6zpq6w__2545140798-0-cib.jpg?v=1776261528","Open")</x:f>
        <x:v>HYPERLINK is not implemented. linkLocation=https://cdn.shopify.com/s/files/1/0918/6066/4603/files/O1CN01tyuEYQ1HlWr6zpq6w__2545140798-0-cib.jpg?v=1776261528, friendlyName=Open</x:v>
      </x:c>
      <x:c r="C6966" s="24" t="e">
        <x:f>HYPERLINK("https://365nails.com/products/365nails-disenchantment-cartoon-character-nail-art-stickers","365nails: ""Disenchantment Cartoon Character"" – nail art stickers")</x:f>
        <x:v>HYPERLINK is not implemented. linkLocation=https://365nails.com/products/365nails-disenchantment-cartoon-character-nail-art-stickers, friendlyName=365nails: "Disenchantment Cartoon Character" – nail art stickers</x:v>
      </x:c>
      <x:c r="D6966" s="18" t="str">
        <x:v>Specification type: Sl–122–f / Sl–123 / Sl-126–f / Sl–127 / Sl–131 / Sl–137</x:v>
      </x:c>
      <x:c r="E6966" s="25" t="str">
        <x:v>$1.23</x:v>
      </x:c>
      <x:c r="F6966" s="19" t="str">
        <x:v>5</x:v>
      </x:c>
    </x:row>
    <x:row r="6967" ht="93" customHeight="1">
      <x:c r="A6967" s="19" t="n">
        <x:v>6964</x:v>
      </x:c>
      <x:c r="B6967" s="22" t="e">
        <x:f>HYPERLINK("https://cdn.shopify.com/s/files/1/0918/6066/4603/files/0a12df5795418d17ff443884c32594e4.jpg?v=1777807496","Open")</x:f>
        <x:v>HYPERLINK is not implemented. linkLocation=https://cdn.shopify.com/s/files/1/0918/6066/4603/files/0a12df5795418d17ff443884c32594e4.jpg?v=1777807496, friendlyName=Open</x:v>
      </x:c>
      <x:c r="C6967" s="24" t="e">
        <x:f>HYPERLINK("https://365nails.com/products/365nails-tiger-print-sakura-cross-handmade-medium-stiletto-press-on-nails","365nails: ""Tiger Print Sakura Cross"" – Handmade Medium Stiletto Press-On Nails")</x:f>
        <x:v>HYPERLINK is not implemented. linkLocation=https://365nails.com/products/365nails-tiger-print-sakura-cross-handmade-medium-stiletto-press-on-nails, friendlyName=365nails: "Tiger Print Sakura Cross" – Handmade Medium Stiletto Press-On Nails</x:v>
      </x:c>
      <x:c r="D6967" s="18" t="str">
        <x:v>Size: XS / S / M / L</x:v>
      </x:c>
      <x:c r="E6967" s="25" t="str">
        <x:v>$3.49</x:v>
      </x:c>
      <x:c r="F6967" s="19" t="str">
        <x:v>5</x:v>
      </x:c>
    </x:row>
    <x:row r="6968" ht="93" customHeight="1">
      <x:c r="A6968" s="19" t="n">
        <x:v>6965</x:v>
      </x:c>
      <x:c r="B6968" s="22" t="e">
        <x:f>HYPERLINK("https://cdn.shopify.com/s/files/1/0918/6066/4603/files/O1CN01sXbsBd1HlWuarQ7Jy__2545140798-0-cib.jpg?v=1774255249","Open")</x:f>
        <x:v>HYPERLINK is not implemented. linkLocation=https://cdn.shopify.com/s/files/1/0918/6066/4603/files/O1CN01sXbsBd1HlWuarQ7Jy__2545140798-0-cib.jpg?v=1774255249, friendlyName=Open</x:v>
      </x:c>
      <x:c r="C6968" s="24" t="e">
        <x:f>HYPERLINK("https://365nails.com/products/chinese-ancient-figure-landscape-nail-sticker-set-oriental-scroll-poetry","Chinese Ancient Figure &amp; Landscape Nail Sticker Set – ""Oriental Scroll Poetry""")</x:f>
        <x:v>HYPERLINK is not implemented. linkLocation=https://365nails.com/products/chinese-ancient-figure-landscape-nail-sticker-set-oriental-scroll-poetry, friendlyName=Chinese Ancient Figure &amp; Landscape Nail Sticker Set – "Oriental Scroll Poetry"</x:v>
      </x:c>
      <x:c r="D6968" s="18" t="str">
        <x:v>Specification type: To3060 / Ms 371 / Ms 385 / Ms 386</x:v>
      </x:c>
      <x:c r="E6968" s="25" t="str">
        <x:v>$1.09</x:v>
      </x:c>
      <x:c r="F6968" s="19" t="str">
        <x:v>5</x:v>
      </x:c>
    </x:row>
    <x:row r="6969" ht="93" customHeight="1">
      <x:c r="A6969" s="19" t="n">
        <x:v>6966</x:v>
      </x:c>
      <x:c r="B6969" s="22" t="e">
        <x:f>HYPERLINK("https://cdn.shopify.com/s/files/1/0918/6066/4603/files/O1CN01a1PwgQ1HlXAxRf7DR__2545140798-0-cib.jpg?v=1773549927","Open")</x:f>
        <x:v>HYPERLINK is not implemented. linkLocation=https://cdn.shopify.com/s/files/1/0918/6066/4603/files/O1CN01a1PwgQ1HlXAxRf7DR__2545140798-0-cib.jpg?v=1773549927, friendlyName=Open</x:v>
      </x:c>
      <x:c r="C6969" s="24" t="e">
        <x:f>HYPERLINK("https://365nails.com/products/chinese-knot-lucky-collection-festive-blessings-3d-embossed-nail-sticker","Chinese Knot Lucky Collection: ""Festive Blessings"" – 3D Embossed Nail Sticker")</x:f>
        <x:v>HYPERLINK is not implemented. linkLocation=https://365nails.com/products/chinese-knot-lucky-collection-festive-blessings-3d-embossed-nail-sticker, friendlyName=Chinese Knot Lucky Collection: "Festive Blessings" – 3D Embossed Nail Sticker</x:v>
      </x:c>
      <x:c r="D6969" s="18" t="str">
        <x:v>Specification type: To5585-relief</x:v>
      </x:c>
      <x:c r="E6969" s="25" t="str">
        <x:v>$1.23</x:v>
      </x:c>
      <x:c r="F6969" s="19" t="str">
        <x:v>5</x:v>
      </x:c>
    </x:row>
    <x:row r="6970" ht="93" customHeight="1">
      <x:c r="A6970" s="19" t="n">
        <x:v>6967</x:v>
      </x:c>
      <x:c r="B6970" s="22" t="e">
        <x:f>HYPERLINK("https://cdn.shopify.com/s/files/1/0918/6066/4603/files/05b802420cad3cf1f04d6dd45f59f1f6.jpg?v=1776415424","Open")</x:f>
        <x:v>HYPERLINK is not implemented. linkLocation=https://cdn.shopify.com/s/files/1/0918/6066/4603/files/05b802420cad3cf1f04d6dd45f59f1f6.jpg?v=1776415424, friendlyName=Open</x:v>
      </x:c>
      <x:c r="C6970" s="24" t="e">
        <x:f>HYPERLINK("https://365nails.com/products/365nails-demon-slayer-muichiro-tokito-handmade-medium-trapezoid-press-on-nails","365nails: ""Demon Slayer Muichiro Tokito"" – Handmade Medium Trapezoid Press-On Nails")</x:f>
        <x:v>HYPERLINK is not implemented. linkLocation=https://365nails.com/products/365nails-demon-slayer-muichiro-tokito-handmade-medium-trapezoid-press-on-nails, friendlyName=365nails: "Demon Slayer Muichiro Tokito" – Handmade Medium Trapezoid Press-On Nails</x:v>
      </x:c>
      <x:c r="D6970" s="18" t="str">
        <x:v>Size: XS / S / M</x:v>
      </x:c>
      <x:c r="E6970" s="25" t="str">
        <x:v>$3.49</x:v>
      </x:c>
      <x:c r="F6970" s="19" t="str">
        <x:v>5</x:v>
      </x:c>
    </x:row>
    <x:row r="6971" ht="93" customHeight="1">
      <x:c r="A6971" s="19" t="n">
        <x:v>6968</x:v>
      </x:c>
      <x:c r="B6971" s="22" t="e">
        <x:f>HYPERLINK("https://cdn.shopify.com/s/files/1/0918/6066/4603/files/O1CN01oUQg8u1HlWqYlWeDX__2545140798-0-cib.jpg?v=1776261441","Open")</x:f>
        <x:v>HYPERLINK is not implemented. linkLocation=https://cdn.shopify.com/s/files/1/0918/6066/4603/files/O1CN01oUQg8u1HlWqYlWeDX__2545140798-0-cib.jpg?v=1776261441, friendlyName=Open</x:v>
      </x:c>
      <x:c r="C6971" s="24" t="e">
        <x:f>HYPERLINK("https://365nails.com/products/365nails-vintage-floral-border-bow-lace-nail-art-stickers","365nails: ""Vintage Floral Border Bow Lace"" – nail art stickers")</x:f>
        <x:v>HYPERLINK is not implemented. linkLocation=https://365nails.com/products/365nails-vintage-floral-border-bow-lace-nail-art-stickers, friendlyName=365nails: "Vintage Floral Border Bow Lace" – nail art stickers</x:v>
      </x:c>
      <x:c r="D6971" s="18" t="str">
        <x:v>Specification type: To2449</x:v>
      </x:c>
      <x:c r="E6971" s="25" t="str">
        <x:v>$1.23</x:v>
      </x:c>
      <x:c r="F6971" s="19" t="str">
        <x:v>5</x:v>
      </x:c>
    </x:row>
    <x:row r="6972" ht="93" customHeight="1">
      <x:c r="A6972" s="19" t="n">
        <x:v>6969</x:v>
      </x:c>
      <x:c r="B6972" s="22" t="e">
        <x:f>HYPERLINK("https://cdn.shopify.com/s/files/1/0918/6066/4603/files/90f917802dff5ab3a1cd67e35f92abda.jpg?v=1777798333","Open")</x:f>
        <x:v>HYPERLINK is not implemented. linkLocation=https://cdn.shopify.com/s/files/1/0918/6066/4603/files/90f917802dff5ab3a1cd67e35f92abda.jpg?v=1777798333, friendlyName=Open</x:v>
      </x:c>
      <x:c r="C6972" s="24" t="e">
        <x:f>HYPERLINK("https://365nails.com/products/365nails-nude-pink-flower-wave-short-handmade-short-almond-press-on-nails","365nails: ""Nude Pink Flower Wave Short"" – Handmade Short Almond Press-On Nails")</x:f>
        <x:v>HYPERLINK is not implemented. linkLocation=https://365nails.com/products/365nails-nude-pink-flower-wave-short-handmade-short-almond-press-on-nails, friendlyName=365nails: "Nude Pink Flower Wave Short" – Handmade Short Almond Press-On Nails</x:v>
      </x:c>
      <x:c r="D6972" s="18" t="str">
        <x:v>Size: XS / S / M / L</x:v>
      </x:c>
      <x:c r="E6972" s="25" t="str">
        <x:v>$3.49</x:v>
      </x:c>
      <x:c r="F6972" s="19" t="str">
        <x:v>5</x:v>
      </x:c>
    </x:row>
    <x:row r="6973" ht="93" customHeight="1">
      <x:c r="A6973" s="19" t="n">
        <x:v>6970</x:v>
      </x:c>
      <x:c r="B6973" s="22" t="e">
        <x:f>HYPERLINK("https://cdn.shopify.com/s/files/1/0918/6066/4603/files/61acaba5020d6f509e612986c70cb245.jpg?v=1772887414","Open")</x:f>
        <x:v>HYPERLINK is not implemented. linkLocation=https://cdn.shopify.com/s/files/1/0918/6066/4603/files/61acaba5020d6f509e612986c70cb245.jpg?v=1772887414, friendlyName=Open</x:v>
      </x:c>
      <x:c r="C6973" s="24" t="e">
        <x:f>HYPERLINK("https://365nails.com/products/aurora-dragon-crystal-diamond-chinese-style-nail-art-set","Aurora Dragon – Crystal Diamond Chinese Style Nail Art Set")</x:f>
        <x:v>HYPERLINK is not implemented. linkLocation=https://365nails.com/products/aurora-dragon-crystal-diamond-chinese-style-nail-art-set, friendlyName=Aurora Dragon – Crystal Diamond Chinese Style Nail Art Set</x:v>
      </x:c>
      <x:c r="D6973" s="18" t="str">
        <x:v>Specification type: Ms534-crystal diamond</x:v>
      </x:c>
      <x:c r="E6973" s="25" t="str">
        <x:v>$1.30</x:v>
      </x:c>
      <x:c r="F6973" s="19" t="str">
        <x:v>5</x:v>
      </x:c>
    </x:row>
    <x:row r="6974" ht="93" customHeight="1">
      <x:c r="A6974" s="19" t="n">
        <x:v>6971</x:v>
      </x:c>
      <x:c r="B6974" s="22" t="e">
        <x:f>HYPERLINK("https://cdn.shopify.com/s/files/1/0918/6066/4603/files/cace9c4b7b1eafdb6ca869a6f63480f7.jpg?v=1777798779","Open")</x:f>
        <x:v>HYPERLINK is not implemented. linkLocation=https://cdn.shopify.com/s/files/1/0918/6066/4603/files/cace9c4b7b1eafdb6ca869a6f63480f7.jpg?v=1777798779, friendlyName=Open</x:v>
      </x:c>
      <x:c r="C6974" s="24" t="e">
        <x:f>HYPERLINK("https://365nails.com/products/365nails-pink-shell-flower-starfish-3d-handmade-medium-stiletto-press-on-nails","365nails: ""Pink Shell Flower Starfish 3D"" – Handmade Medium Stiletto Press-On Nails")</x:f>
        <x:v>HYPERLINK is not implemented. linkLocation=https://365nails.com/products/365nails-pink-shell-flower-starfish-3d-handmade-medium-stiletto-press-on-nails, friendlyName=365nails: "Pink Shell Flower Starfish 3D" – Handmade Medium Stiletto Press-On Nails</x:v>
      </x:c>
      <x:c r="D6974" s="18" t="str">
        <x:v>Size: XS / S / M / L</x:v>
      </x:c>
      <x:c r="E6974" s="25" t="str">
        <x:v>$3.49</x:v>
      </x:c>
      <x:c r="F6974" s="19" t="str">
        <x:v>5</x:v>
      </x:c>
    </x:row>
    <x:row r="6975" ht="93" customHeight="1">
      <x:c r="A6975" s="19" t="n">
        <x:v>6972</x:v>
      </x:c>
      <x:c r="B6975" s="22" t="e">
        <x:f>HYPERLINK("https://cdn.shopify.com/s/files/1/0918/6066/4603/files/O1CN0152HBzl1HlWr4wzcgZ__2545140798-0-cib.jpg?v=1776261577","Open")</x:f>
        <x:v>HYPERLINK is not implemented. linkLocation=https://cdn.shopify.com/s/files/1/0918/6066/4603/files/O1CN0152HBzl1HlWr4wzcgZ__2545140798-0-cib.jpg?v=1776261577, friendlyName=Open</x:v>
      </x:c>
      <x:c r="C6975" s="24" t="e">
        <x:f>HYPERLINK("https://365nails.com/products/365nails-purple-butterfly-crystal-gemstone-nail-art-stickers","365nails: ""Purple Butterfly Crystal Gemstone"" – nail art stickers")</x:f>
        <x:v>HYPERLINK is not implemented. linkLocation=https://365nails.com/products/365nails-purple-butterfly-crystal-gemstone-nail-art-stickers, friendlyName=365nails: "Purple Butterfly Crystal Gemstone" – nail art stickers</x:v>
      </x:c>
      <x:c r="D6975" s="18" t="str">
        <x:v>Specification type: Ta 177 / Ta 178</x:v>
      </x:c>
      <x:c r="E6975" s="25" t="str">
        <x:v>$1.23</x:v>
      </x:c>
      <x:c r="F6975" s="19" t="str">
        <x:v>5</x:v>
      </x:c>
    </x:row>
    <x:row r="6976" ht="93" customHeight="1">
      <x:c r="A6976" s="19" t="n">
        <x:v>6973</x:v>
      </x:c>
      <x:c r="B6976" s="22" t="e">
        <x:f>HYPERLINK("https://cdn.shopify.com/s/files/1/0918/6066/4603/files/43c5ba3e42e3f495d6c66687c16d08fd.jpg?v=1777807664","Open")</x:f>
        <x:v>HYPERLINK is not implemented. linkLocation=https://cdn.shopify.com/s/files/1/0918/6066/4603/files/43c5ba3e42e3f495d6c66687c16d08fd.jpg?v=1777807664, friendlyName=Open</x:v>
      </x:c>
      <x:c r="C6976" s="24" t="e">
        <x:f>HYPERLINK("https://365nails.com/products/365nails-hello-kitty-sakura-party-3d-kitty-flower-handmade-medium-stiletto-press-on-nails","365nails: ""Hello Kitty Sakura Party"" – 3D Kitty &amp; Flower Handmade Medium Stiletto Press-On Nails")</x:f>
        <x:v>HYPERLINK is not implemented. linkLocation=https://365nails.com/products/365nails-hello-kitty-sakura-party-3d-kitty-flower-handmade-medium-stiletto-press-on-nails, friendlyName=365nails: "Hello Kitty Sakura Party" – 3D Kitty &amp; Flower Handmade Medium Stiletto Press-On Nails</x:v>
      </x:c>
      <x:c r="D6976" s="18" t="str">
        <x:v>Size: XS / S / M / L</x:v>
      </x:c>
      <x:c r="E6976" s="25" t="str">
        <x:v>$3.49</x:v>
      </x:c>
      <x:c r="F6976" s="19" t="str">
        <x:v>5</x:v>
      </x:c>
    </x:row>
    <x:row r="6977" ht="93" customHeight="1">
      <x:c r="A6977" s="19" t="n">
        <x:v>6974</x:v>
      </x:c>
      <x:c r="B6977" s="22" t="e">
        <x:f>HYPERLINK("https://cdn.shopify.com/s/files/1/0918/6066/4603/files/O1CN010Zz2cK1HlWutkLteA__2545140798-0-cib.jpg?v=1776261329","Open")</x:f>
        <x:v>HYPERLINK is not implemented. linkLocation=https://cdn.shopify.com/s/files/1/0918/6066/4603/files/O1CN010Zz2cK1HlWutkLteA__2545140798-0-cib.jpg?v=1776261329, friendlyName=Open</x:v>
      </x:c>
      <x:c r="C6977" s="24" t="e">
        <x:f>HYPERLINK("https://365nails.com/products/365nails-red-berry-green-leaf-oriental-nail-art-stickers","365nails: ""Red Berry Green Leaf Oriental"" – nail art stickers")</x:f>
        <x:v>HYPERLINK is not implemented. linkLocation=https://365nails.com/products/365nails-red-berry-green-leaf-oriental-nail-art-stickers, friendlyName=365nails: "Red Berry Green Leaf Oriental" – nail art stickers</x:v>
      </x:c>
      <x:c r="D6977" s="18" t="str">
        <x:v>Specification type: To3097 / To3099 / To3121 / To3123</x:v>
      </x:c>
      <x:c r="E6977" s="25" t="str">
        <x:v>$1.23</x:v>
      </x:c>
      <x:c r="F6977" s="19" t="str">
        <x:v>5</x:v>
      </x:c>
    </x:row>
    <x:row r="6978" ht="93" customHeight="1">
      <x:c r="A6978" s="19" t="n">
        <x:v>6975</x:v>
      </x:c>
      <x:c r="B6978" s="22" t="e">
        <x:f>HYPERLINK("https://cdn.shopify.com/s/files/1/0918/6066/4603/files/O1CN0142A0JE1HlWqV2s27c__2545140798-0-cib_608b467f-088f-493a-945a-5d13de985070.jpg?v=1776257827","Open")</x:f>
        <x:v>HYPERLINK is not implemented. linkLocation=https://cdn.shopify.com/s/files/1/0918/6066/4603/files/O1CN0142A0JE1HlWqV2s27c__2545140798-0-cib_608b467f-088f-493a-945a-5d13de985070.jpg?v=1776257827, friendlyName=Open</x:v>
      </x:c>
      <x:c r="C6978" s="24" t="e">
        <x:f>HYPERLINK("https://365nails.com/products/365nails-crayon-shin-chan-cute-cartoon-nail-art-stickers","365nails: ""Crayon Shin-chan Cute Cartoon"" – nail art stickers")</x:f>
        <x:v>HYPERLINK is not implemented. linkLocation=https://365nails.com/products/365nails-crayon-shin-chan-cute-cartoon-nail-art-stickers, friendlyName=365nails: "Crayon Shin-chan Cute Cartoon" – nail art stickers</x:v>
      </x:c>
      <x:c r="D6978" s="18" t="str">
        <x:v>Specification type: To2410</x:v>
      </x:c>
      <x:c r="E6978" s="25" t="str">
        <x:v>$1.23</x:v>
      </x:c>
      <x:c r="F6978" s="19" t="str">
        <x:v>5</x:v>
      </x:c>
    </x:row>
    <x:row r="6979" ht="93" customHeight="1">
      <x:c r="A6979" s="19" t="n">
        <x:v>6976</x:v>
      </x:c>
      <x:c r="B6979" s="22" t="e">
        <x:f>HYPERLINK("https://cdn.shopify.com/s/files/1/0918/6066/4603/files/95611df6bdba871f7bade01ff5cb5c5c.jpg?v=1777780387","Open")</x:f>
        <x:v>HYPERLINK is not implemented. linkLocation=https://cdn.shopify.com/s/files/1/0918/6066/4603/files/95611df6bdba871f7bade01ff5cb5c5c.jpg?v=1777780387, friendlyName=Open</x:v>
      </x:c>
      <x:c r="C6979" s="24" t="e">
        <x:f>HYPERLINK("https://365nails.com/products/365nails-milk-white-cross-crack-long-handmade-long-trapezoid-press-on-nails","365nails: ""Milk White Cross Crack Long"" – Handmade Long Trapezoid Press-On Nails")</x:f>
        <x:v>HYPERLINK is not implemented. linkLocation=https://365nails.com/products/365nails-milk-white-cross-crack-long-handmade-long-trapezoid-press-on-nails, friendlyName=365nails: "Milk White Cross Crack Long" – Handmade Long Trapezoid Press-On Nails</x:v>
      </x:c>
      <x:c r="D6979" s="18" t="str">
        <x:v>Size: XS / S / M / L</x:v>
      </x:c>
      <x:c r="E6979" s="25" t="str">
        <x:v>$4.49</x:v>
      </x:c>
      <x:c r="F6979" s="19" t="str">
        <x:v>5</x:v>
      </x:c>
    </x:row>
    <x:row r="6980" ht="93" customHeight="1">
      <x:c r="A6980" s="19" t="n">
        <x:v>6977</x:v>
      </x:c>
      <x:c r="B6980" s="22" t="e">
        <x:f>HYPERLINK("https://cdn.shopify.com/s/files/1/0918/6066/4603/files/O1CN01Cso61D1HlX2EzV4lb__2545140798-0-cib.jpg?v=1773544656","Open")</x:f>
        <x:v>HYPERLINK is not implemented. linkLocation=https://cdn.shopify.com/s/files/1/0918/6066/4603/files/O1CN01Cso61D1HlX2EzV4lb__2545140798-0-cib.jpg?v=1773544656, friendlyName=Open</x:v>
      </x:c>
      <x:c r="C6980" s="24" t="e">
        <x:f>HYPERLINK("https://365nails.com/products/sakura-branch-collection-pink-blossom-3d-embossed-nail-sticker","Sakura Branch Collection: ""Pink Blossom"" – 3D Embossed Nail Sticker")</x:f>
        <x:v>HYPERLINK is not implemented. linkLocation=https://365nails.com/products/sakura-branch-collection-pink-blossom-3d-embossed-nail-sticker, friendlyName=Sakura Branch Collection: "Pink Blossom" – 3D Embossed Nail Sticker</x:v>
      </x:c>
      <x:c r="D6980" s="18" t="str">
        <x:v>Specification type: To4272 / To4277</x:v>
      </x:c>
      <x:c r="E6980" s="25" t="str">
        <x:v>$1.09</x:v>
      </x:c>
      <x:c r="F6980" s="19" t="str">
        <x:v>5</x:v>
      </x:c>
    </x:row>
    <x:row r="6981" ht="93" customHeight="1">
      <x:c r="A6981" s="19" t="n">
        <x:v>6978</x:v>
      </x:c>
      <x:c r="B6981" s="22" t="e">
        <x:f>HYPERLINK("https://cdn.shopify.com/s/files/1/0918/6066/4603/files/77ce69b264c7ea965797c5f0f80bd32a.jpg?v=1773462411","Open")</x:f>
        <x:v>HYPERLINK is not implemented. linkLocation=https://cdn.shopify.com/s/files/1/0918/6066/4603/files/77ce69b264c7ea965797c5f0f80bd32a.jpg?v=1773462411, friendlyName=Open</x:v>
      </x:c>
      <x:c r="C6981" s="24" t="e">
        <x:f>HYPERLINK("https://365nails.com/products/sweet-bunny-collection-strawberry-bunny-3d-embossed-nail-sticker","Sweet Bunny Collection: ""Strawberry Bunny"" – 3D Embossed Nail Sticker")</x:f>
        <x:v>HYPERLINK is not implemented. linkLocation=https://365nails.com/products/sweet-bunny-collection-strawberry-bunny-3d-embossed-nail-sticker, friendlyName=Sweet Bunny Collection: "Strawberry Bunny" – 3D Embossed Nail Sticker</x:v>
      </x:c>
      <x:c r="D6981" s="18" t="str">
        <x:v>Specification type: To5546-relief / To5547-shell light</x:v>
      </x:c>
      <x:c r="E6981" s="25" t="str">
        <x:v>$1.23</x:v>
      </x:c>
      <x:c r="F6981" s="19" t="str">
        <x:v>5</x:v>
      </x:c>
    </x:row>
    <x:row r="6982" ht="93" customHeight="1">
      <x:c r="A6982" s="19" t="n">
        <x:v>6979</x:v>
      </x:c>
      <x:c r="B6982" s="22" t="e">
        <x:f>HYPERLINK("https://cdn.shopify.com/s/files/1/0918/6066/4603/files/O1CN015xTrt91HlXB56ug3q__2545140798-0-cib.jpg?v=1773238346","Open")</x:f>
        <x:v>HYPERLINK is not implemented. linkLocation=https://cdn.shopify.com/s/files/1/0918/6066/4603/files/O1CN015xTrt91HlXB56ug3q__2545140798-0-cib.jpg?v=1773238346, friendlyName=Open</x:v>
      </x:c>
      <x:c r="C6982" s="24" t="e">
        <x:f>HYPERLINK("https://365nails.com/products/pink-rose-crystal-romantic-vintage-nail-art-set","Pink Rose Crystal – Romantic Vintage Nail Art Stickers")</x:f>
        <x:v>HYPERLINK is not implemented. linkLocation=https://365nails.com/products/pink-rose-crystal-romantic-vintage-nail-art-set, friendlyName=Pink Rose Crystal – Romantic Vintage Nail Art Stickers</x:v>
      </x:c>
      <x:c r="D6982" s="18" t="str">
        <x:v>Specification type: Ms922-crystal diamond / Ms925-crystal diamond / Ms926-crystal diamond</x:v>
      </x:c>
      <x:c r="E6982" s="25" t="str">
        <x:v>$1.34</x:v>
      </x:c>
      <x:c r="F6982" s="19" t="str">
        <x:v>1</x:v>
      </x:c>
    </x:row>
    <x:row r="6983" ht="93" customHeight="1">
      <x:c r="A6983" s="19" t="n">
        <x:v>6980</x:v>
      </x:c>
      <x:c r="B6983" s="22" t="e">
        <x:f>HYPERLINK("https://cdn.shopify.com/s/files/1/0918/6066/4603/files/O1CN011HXaRk1HlWq2CqJNg__2545140798-0-cib_6085fd2d-6148-4e84-84f1-bd021cc92dd5.jpg?v=1776257360","Open")</x:f>
        <x:v>HYPERLINK is not implemented. linkLocation=https://cdn.shopify.com/s/files/1/0918/6066/4603/files/O1CN011HXaRk1HlWq2CqJNg__2545140798-0-cib_6085fd2d-6148-4e84-84f1-bd021cc92dd5.jpg?v=1776257360, friendlyName=Open</x:v>
      </x:c>
      <x:c r="C6983" s="24" t="e">
        <x:f>HYPERLINK("https://365nails.com/products/365nails-kitsune-fox-spider-lily-oriental-nail-art-stickers","365nails: ""Kitsune Fox Spider Lily Oriental"" – nail art stickers")</x:f>
        <x:v>HYPERLINK is not implemented. linkLocation=https://365nails.com/products/365nails-kitsune-fox-spider-lily-oriental-nail-art-stickers, friendlyName=365nails: "Kitsune Fox Spider Lily Oriental" – nail art stickers</x:v>
      </x:c>
      <x:c r="D6983" s="18" t="str">
        <x:v>Specification type: To2255 / To2273</x:v>
      </x:c>
      <x:c r="E6983" s="25" t="str">
        <x:v>$1.09</x:v>
      </x:c>
      <x:c r="F6983" s="19" t="str">
        <x:v>5</x:v>
      </x:c>
    </x:row>
    <x:row r="6984" ht="93" customHeight="1">
      <x:c r="A6984" s="19" t="n">
        <x:v>6981</x:v>
      </x:c>
      <x:c r="B6984" s="22" t="e">
        <x:f>HYPERLINK("https://cdn.shopify.com/s/files/1/0918/6066/4603/files/2ad1a08b8b5dabd9eef796c1b119c711.jpg?v=1773465711","Open")</x:f>
        <x:v>HYPERLINK is not implemented. linkLocation=https://cdn.shopify.com/s/files/1/0918/6066/4603/files/2ad1a08b8b5dabd9eef796c1b119c711.jpg?v=1773465711, friendlyName=Open</x:v>
      </x:c>
      <x:c r="C6984" s="24" t="e">
        <x:f>HYPERLINK("https://365nails.com/products/holographic-butterfly-collection-iridescent-crystal-butterfly-3d-embossed-nail-sticker","Holographic Butterfly Collection: ""Iridescent Crystal Butterfly"" – 3D Embossed Nail Sticker")</x:f>
        <x:v>HYPERLINK is not implemented. linkLocation=https://365nails.com/products/holographic-butterfly-collection-iridescent-crystal-butterfly-3d-embossed-nail-sticker, friendlyName=Holographic Butterfly Collection: "Iridescent Crystal Butterfly" – 3D Embossed Nail Sticker</x:v>
      </x:c>
      <x:c r="D6984" s="18" t="str">
        <x:v>Specification type: Ms555-shell light / Ms556-shell light / Ms557-shell light / Ms575-shell light</x:v>
      </x:c>
      <x:c r="E6984" s="25" t="str">
        <x:v>$1.23</x:v>
      </x:c>
      <x:c r="F6984" s="19" t="str">
        <x:v>5</x:v>
      </x:c>
    </x:row>
    <x:row r="6985" ht="93" customHeight="1">
      <x:c r="A6985" s="19" t="n">
        <x:v>6982</x:v>
      </x:c>
      <x:c r="B6985" s="22" t="e">
        <x:f>HYPERLINK("https://cdn.shopify.com/s/files/1/0918/6066/4603/files/23a1a91edc3dd614b9aadbf223d5ec3a.jpg?v=1777800351","Open")</x:f>
        <x:v>HYPERLINK is not implemented. linkLocation=https://cdn.shopify.com/s/files/1/0918/6066/4603/files/23a1a91edc3dd614b9aadbf223d5ec3a.jpg?v=1777800351, friendlyName=Open</x:v>
      </x:c>
      <x:c r="C6985" s="24" t="e">
        <x:f>HYPERLINK("https://365nails.com/products/365nails-burgundy-pink-sea-urchin-3d-handmade-short-almond-press-on-nails","365nails: ""Burgundy Pink Sea Urchin 3D"" – Handmade Short Almond Press-On Nails")</x:f>
        <x:v>HYPERLINK is not implemented. linkLocation=https://365nails.com/products/365nails-burgundy-pink-sea-urchin-3d-handmade-short-almond-press-on-nails, friendlyName=365nails: "Burgundy Pink Sea Urchin 3D" – Handmade Short Almond Press-On Nails</x:v>
      </x:c>
      <x:c r="D6985" s="18" t="str">
        <x:v>Size: XS / S / M / L</x:v>
      </x:c>
      <x:c r="E6985" s="25" t="str">
        <x:v>$3.49</x:v>
      </x:c>
      <x:c r="F6985" s="19" t="str">
        <x:v>5</x:v>
      </x:c>
    </x:row>
    <x:row r="6986" ht="93" customHeight="1">
      <x:c r="A6986" s="19" t="n">
        <x:v>6983</x:v>
      </x:c>
      <x:c r="B6986" s="22" t="e">
        <x:f>HYPERLINK("https://cdn.shopify.com/s/files/1/0918/6066/4603/files/36badd1d74102e4bf4257714af8cfc55.jpg?v=1775909088","Open")</x:f>
        <x:v>HYPERLINK is not implemented. linkLocation=https://cdn.shopify.com/s/files/1/0918/6066/4603/files/36badd1d74102e4bf4257714af8cfc55.jpg?v=1775909088, friendlyName=Open</x:v>
      </x:c>
      <x:c r="C6986" s="24" t="e">
        <x:f>HYPERLINK("https://365nails.com/products/365nails-blush-gold-flare-handmade-medium-stiletto-press-on-nails","365nails: ""Blush Gold Flare"" – Handmade Medium Stiletto Press-On Nails")</x:f>
        <x:v>HYPERLINK is not implemented. linkLocation=https://365nails.com/products/365nails-blush-gold-flare-handmade-medium-stiletto-press-on-nails, friendlyName=365nails: "Blush Gold Flare" – Handmade Medium Stiletto Press-On Nails</x:v>
      </x:c>
      <x:c r="D6986" s="18" t="str">
        <x:v>Size: XS / S / M / L</x:v>
      </x:c>
      <x:c r="E6986" s="25" t="str">
        <x:v>$3.49</x:v>
      </x:c>
      <x:c r="F6986" s="19" t="str">
        <x:v>5</x:v>
      </x:c>
    </x:row>
    <x:row r="6987" ht="93" customHeight="1">
      <x:c r="A6987" s="19" t="n">
        <x:v>6984</x:v>
      </x:c>
      <x:c r="B6987" s="22" t="e">
        <x:f>HYPERLINK("https://cdn.shopify.com/s/files/1/0918/6066/4603/files/be787375d1fea5460443ba5714ba8af7.jpg?v=1777800297","Open")</x:f>
        <x:v>HYPERLINK is not implemented. linkLocation=https://cdn.shopify.com/s/files/1/0918/6066/4603/files/be787375d1fea5460443ba5714ba8af7.jpg?v=1777800297, friendlyName=Open</x:v>
      </x:c>
      <x:c r="C6987" s="24" t="e">
        <x:f>HYPERLINK("https://365nails.com/products/365nails-white-pink-green-flower-3d-mix-handmade-medium-stiletto-press-on-nails","365nails: ""White Pink Green Flower 3D Mix"" – Handmade Medium Stiletto Press-On Nails")</x:f>
        <x:v>HYPERLINK is not implemented. linkLocation=https://365nails.com/products/365nails-white-pink-green-flower-3d-mix-handmade-medium-stiletto-press-on-nails, friendlyName=365nails: "White Pink Green Flower 3D Mix" – Handmade Medium Stiletto Press-On Nails</x:v>
      </x:c>
      <x:c r="D6987" s="18" t="str">
        <x:v>Size: XS / S / M / L</x:v>
      </x:c>
      <x:c r="E6987" s="25" t="str">
        <x:v>$3.49</x:v>
      </x:c>
      <x:c r="F6987" s="19" t="str">
        <x:v>5</x:v>
      </x:c>
    </x:row>
    <x:row r="6988" ht="93" customHeight="1">
      <x:c r="A6988" s="19" t="n">
        <x:v>6985</x:v>
      </x:c>
      <x:c r="B6988" s="22" t="e">
        <x:f>HYPERLINK("https://cdn.shopify.com/s/files/1/0918/6066/4603/files/e6b30f85f97dfccd9811ec1de6a05a1b.jpg?v=1777790889","Open")</x:f>
        <x:v>HYPERLINK is not implemented. linkLocation=https://cdn.shopify.com/s/files/1/0918/6066/4603/files/e6b30f85f97dfccd9811ec1de6a05a1b.jpg?v=1777790889, friendlyName=Open</x:v>
      </x:c>
      <x:c r="C6988" s="24" t="e">
        <x:f>HYPERLINK("https://365nails.com/products/365nails-colorful-flower-shell-pearl-3d-handmade-medium-stiletto-press-on-nails","365nails: ""Colorful Flower Shell Pearl 3D"" – Handmade Medium Stiletto Press-On Nails")</x:f>
        <x:v>HYPERLINK is not implemented. linkLocation=https://365nails.com/products/365nails-colorful-flower-shell-pearl-3d-handmade-medium-stiletto-press-on-nails, friendlyName=365nails: "Colorful Flower Shell Pearl 3D" – Handmade Medium Stiletto Press-On Nails</x:v>
      </x:c>
      <x:c r="D6988" s="18" t="str">
        <x:v>Size: XS / S / M / L</x:v>
      </x:c>
      <x:c r="E6988" s="25" t="str">
        <x:v>$3.49</x:v>
      </x:c>
      <x:c r="F6988" s="19" t="str">
        <x:v>5</x:v>
      </x:c>
    </x:row>
    <x:row r="6989" ht="93" customHeight="1">
      <x:c r="A6989" s="19" t="n">
        <x:v>6986</x:v>
      </x:c>
      <x:c r="B6989" s="22" t="e">
        <x:f>HYPERLINK("https://cdn.shopify.com/s/files/1/0918/6066/4603/files/O1CN01Nss2571HlWsFGKa9v__2545140798-0-cib.jpg?v=1776263657","Open")</x:f>
        <x:v>HYPERLINK is not implemented. linkLocation=https://cdn.shopify.com/s/files/1/0918/6066/4603/files/O1CN01Nss2571HlWsFGKa9v__2545140798-0-cib.jpg?v=1776263657, friendlyName=Open</x:v>
      </x:c>
      <x:c r="C6989" s="24" t="e">
        <x:f>HYPERLINK("https://365nails.com/products/365nails-red-apple-bunny-cherry-bow-nail-art-stickers","365nails: ""Red Apple Bunny Cherry Bow"" – nail art stickers")</x:f>
        <x:v>HYPERLINK is not implemented. linkLocation=https://365nails.com/products/365nails-red-apple-bunny-cherry-bow-nail-art-stickers, friendlyName=365nails: "Red Apple Bunny Cherry Bow" – nail art stickers</x:v>
      </x:c>
      <x:c r="D6989" s="18" t="str">
        <x:v>Specification type: To2766</x:v>
      </x:c>
      <x:c r="E6989" s="25" t="str">
        <x:v>$1.09</x:v>
      </x:c>
      <x:c r="F6989" s="19" t="str">
        <x:v>5</x:v>
      </x:c>
    </x:row>
    <x:row r="6990" ht="93" customHeight="1">
      <x:c r="A6990" s="19" t="n">
        <x:v>6987</x:v>
      </x:c>
      <x:c r="B6990" s="22" t="e">
        <x:f>HYPERLINK("https://cdn.shopify.com/s/files/1/0918/6066/4603/files/O1CN01toGnI81HlWtEN2opN__2545140798-0-cib.jpg?v=1776261061","Open")</x:f>
        <x:v>HYPERLINK is not implemented. linkLocation=https://cdn.shopify.com/s/files/1/0918/6066/4603/files/O1CN01toGnI81HlWtEN2opN__2545140798-0-cib.jpg?v=1776261061, friendlyName=Open</x:v>
      </x:c>
      <x:c r="C6990" s="24" t="e">
        <x:f>HYPERLINK("https://365nails.com/products/365nails-vintage-tulip-frame-crystal-rhinestone-nail-art-stickers","365nails: ""Vintage Tulip Frame Crystal Rhinestone"" – nail art stickers")</x:f>
        <x:v>HYPERLINK is not implemented. linkLocation=https://365nails.com/products/365nails-vintage-tulip-frame-crystal-rhinestone-nail-art-stickers, friendlyName=365nails: "Vintage Tulip Frame Crystal Rhinestone" – nail art stickers</x:v>
      </x:c>
      <x:c r="D6990" s="18" t="str">
        <x:v>Specification type: To2887</x:v>
      </x:c>
      <x:c r="E6990" s="25" t="str">
        <x:v>$1.30</x:v>
      </x:c>
      <x:c r="F6990" s="19" t="str">
        <x:v>5</x:v>
      </x:c>
    </x:row>
    <x:row r="6991" ht="93" customHeight="1">
      <x:c r="A6991" s="19" t="n">
        <x:v>6988</x:v>
      </x:c>
      <x:c r="B6991" s="22" t="e">
        <x:f>HYPERLINK("https://cdn.shopify.com/s/files/1/0918/6066/4603/files/18cba155e12c0741ad49aa09cf19f854.jpg?v=1777798819","Open")</x:f>
        <x:v>HYPERLINK is not implemented. linkLocation=https://cdn.shopify.com/s/files/1/0918/6066/4603/files/18cba155e12c0741ad49aa09cf19f854.jpg?v=1777798819, friendlyName=Open</x:v>
      </x:c>
      <x:c r="C6991" s="24" t="e">
        <x:f>HYPERLINK("https://365nails.com/products/365nails-pink-black-flower-pearl-mix-handmade-medium-stiletto-press-on-nails","365nails: ""Pink Black Flower Pearl Mix"" – Handmade Medium Stiletto Press-On Nails")</x:f>
        <x:v>HYPERLINK is not implemented. linkLocation=https://365nails.com/products/365nails-pink-black-flower-pearl-mix-handmade-medium-stiletto-press-on-nails, friendlyName=365nails: "Pink Black Flower Pearl Mix" – Handmade Medium Stiletto Press-On Nails</x:v>
      </x:c>
      <x:c r="D6991" s="18" t="str">
        <x:v>Size: XS / S / M / L</x:v>
      </x:c>
      <x:c r="E6991" s="25" t="str">
        <x:v>$3.49</x:v>
      </x:c>
      <x:c r="F6991" s="19" t="str">
        <x:v>5</x:v>
      </x:c>
    </x:row>
    <x:row r="6992" ht="93" customHeight="1">
      <x:c r="A6992" s="19" t="n">
        <x:v>6989</x:v>
      </x:c>
      <x:c r="B6992" s="22" t="e">
        <x:f>HYPERLINK("https://cdn.shopify.com/s/files/1/0918/6066/4603/files/2fd6ec52e225554a6b865558651a77f5.jpg?v=1777801023","Open")</x:f>
        <x:v>HYPERLINK is not implemented. linkLocation=https://cdn.shopify.com/s/files/1/0918/6066/4603/files/2fd6ec52e225554a6b865558651a77f5.jpg?v=1777801023, friendlyName=Open</x:v>
      </x:c>
      <x:c r="C6992" s="24" t="e">
        <x:f>HYPERLINK("https://365nails.com/products/365nails-nude-black-zebra-rhinestone-gold-mix-handmade-medium-stiletto-press-on-nails","365nails: ""Nude Black Zebra Rhinestone Gold Mix"" – Handmade Medium Stiletto Press-On Nails")</x:f>
        <x:v>HYPERLINK is not implemented. linkLocation=https://365nails.com/products/365nails-nude-black-zebra-rhinestone-gold-mix-handmade-medium-stiletto-press-on-nails, friendlyName=365nails: "Nude Black Zebra Rhinestone Gold Mix" – Handmade Medium Stiletto Press-On Nails</x:v>
      </x:c>
      <x:c r="D6992" s="18" t="str">
        <x:v>Size: XS / S / M / L</x:v>
      </x:c>
      <x:c r="E6992" s="25" t="str">
        <x:v>$3.49</x:v>
      </x:c>
      <x:c r="F6992" s="19" t="str">
        <x:v>5</x:v>
      </x:c>
    </x:row>
    <x:row r="6993" ht="93" customHeight="1">
      <x:c r="A6993" s="19" t="n">
        <x:v>6990</x:v>
      </x:c>
      <x:c r="B6993" s="22" t="e">
        <x:f>HYPERLINK("https://cdn.shopify.com/s/files/1/0918/6066/4603/files/O1CN01PC93os1HlWs6pJ8bO__2545140798-0-cib.jpg?v=1776263463","Open")</x:f>
        <x:v>HYPERLINK is not implemented. linkLocation=https://cdn.shopify.com/s/files/1/0918/6066/4603/files/O1CN01PC93os1HlWs6pJ8bO__2545140798-0-cib.jpg?v=1776263463, friendlyName=Open</x:v>
      </x:c>
      <x:c r="C6993" s="24" t="e">
        <x:f>HYPERLINK("https://365nails.com/products/365nails-cute-miffy-rabbit-cartoon-nail-art-stickers","365nails: ""Cute Miffy Rabbit Cartoon"" – nail art stickers")</x:f>
        <x:v>HYPERLINK is not implemented. linkLocation=https://365nails.com/products/365nails-cute-miffy-rabbit-cartoon-nail-art-stickers, friendlyName=365nails: "Cute Miffy Rabbit Cartoon" – nail art stickers</x:v>
      </x:c>
      <x:c r="D6993" s="18" t="str">
        <x:v>Specification type: To2699 / To2711</x:v>
      </x:c>
      <x:c r="E6993" s="25" t="str">
        <x:v>$1.23</x:v>
      </x:c>
      <x:c r="F6993" s="19" t="str">
        <x:v>5</x:v>
      </x:c>
    </x:row>
    <x:row r="6994" ht="93" customHeight="1">
      <x:c r="A6994" s="19" t="n">
        <x:v>6991</x:v>
      </x:c>
      <x:c r="B6994" s="22" t="e">
        <x:f>HYPERLINK("https://cdn.shopify.com/s/files/1/0918/6066/4603/files/049639f4f8ad8fda51326f9817dd000a.jpg?v=1777778379","Open")</x:f>
        <x:v>HYPERLINK is not implemented. linkLocation=https://cdn.shopify.com/s/files/1/0918/6066/4603/files/049639f4f8ad8fda51326f9817dd000a.jpg?v=1777778379, friendlyName=Open</x:v>
      </x:c>
      <x:c r="C6994" s="24" t="e">
        <x:f>HYPERLINK("https://365nails.com/products/365nails-pink-cherry-strawberry-handmade-long-trapezoid-press-on-nails","365nails: ""Pink Cherry Strawberry"" – Handmade Long Trapezoid Press-On Nails")</x:f>
        <x:v>HYPERLINK is not implemented. linkLocation=https://365nails.com/products/365nails-pink-cherry-strawberry-handmade-long-trapezoid-press-on-nails, friendlyName=365nails: "Pink Cherry Strawberry" – Handmade Long Trapezoid Press-On Nails</x:v>
      </x:c>
      <x:c r="D6994" s="18" t="str">
        <x:v>Size: XS / S / M / L</x:v>
      </x:c>
      <x:c r="E6994" s="25" t="str">
        <x:v>$4.49</x:v>
      </x:c>
      <x:c r="F6994" s="19" t="str">
        <x:v>5</x:v>
      </x:c>
    </x:row>
    <x:row r="6995" ht="93" customHeight="1">
      <x:c r="A6995" s="19" t="n">
        <x:v>6992</x:v>
      </x:c>
      <x:c r="B6995" s="22" t="e">
        <x:f>HYPERLINK("https://cdn.shopify.com/s/files/1/0918/6066/4603/files/c7d921252758405258e9ca4141180107.jpg?v=1777806915","Open")</x:f>
        <x:v>HYPERLINK is not implemented. linkLocation=https://cdn.shopify.com/s/files/1/0918/6066/4603/files/c7d921252758405258e9ca4141180107.jpg?v=1777806915, friendlyName=Open</x:v>
      </x:c>
      <x:c r="C6995" s="24" t="e">
        <x:f>HYPERLINK("https://365nails.com/products/365nails-fruit-blossom-dew-drop-3d-flower-water-drop-handmade-medium-stiletto-press-on-nails","365nails: ""Fruit Blossom Dew Drop"" – 3D Flower &amp; Water Drop Handmade Medium Stiletto Press-On Nails")</x:f>
        <x:v>HYPERLINK is not implemented. linkLocation=https://365nails.com/products/365nails-fruit-blossom-dew-drop-3d-flower-water-drop-handmade-medium-stiletto-press-on-nails, friendlyName=365nails: "Fruit Blossom Dew Drop" – 3D Flower &amp; Water Drop Handmade Medium Stiletto Press-On Nails</x:v>
      </x:c>
      <x:c r="D6995" s="18" t="str">
        <x:v>Size: XS / S / M / L</x:v>
      </x:c>
      <x:c r="E6995" s="25" t="str">
        <x:v>$3.49</x:v>
      </x:c>
      <x:c r="F6995" s="19" t="str">
        <x:v>5</x:v>
      </x:c>
    </x:row>
    <x:row r="6996" ht="93" customHeight="1">
      <x:c r="A6996" s="19" t="n">
        <x:v>6993</x:v>
      </x:c>
      <x:c r="B6996" s="22" t="e">
        <x:f>HYPERLINK("https://cdn.shopify.com/s/files/1/0918/6066/4603/files/O1CN01pc4rMb1HlWzwDpjpE__2545140798-0-cib.jpg?v=1772887665","Open")</x:f>
        <x:v>HYPERLINK is not implemented. linkLocation=https://cdn.shopify.com/s/files/1/0918/6066/4603/files/O1CN01pc4rMb1HlWzwDpjpE__2545140798-0-cib.jpg?v=1772887665, friendlyName=Open</x:v>
      </x:c>
      <x:c r="C6996" s="24" t="e">
        <x:f>HYPERLINK("https://365nails.com/products/fluffy-white-cat-floral-5d-embossed-cute-nail-art-set","Fluffy White Cat &amp; Floral – 5D Embossed Cute Nail Art Set")</x:f>
        <x:v>HYPERLINK is not implemented. linkLocation=https://365nails.com/products/fluffy-white-cat-floral-5d-embossed-cute-nail-art-set, friendlyName=Fluffy White Cat &amp; Floral – 5D Embossed Cute Nail Art Set</x:v>
      </x:c>
      <x:c r="D6996" s="18" t="str">
        <x:v>Specification type: To3663-relief</x:v>
      </x:c>
      <x:c r="E6996" s="25" t="str">
        <x:v>$1.23</x:v>
      </x:c>
      <x:c r="F6996" s="19" t="str">
        <x:v>5</x:v>
      </x:c>
    </x:row>
    <x:row r="6997" ht="93" customHeight="1">
      <x:c r="A6997" s="19" t="n">
        <x:v>6994</x:v>
      </x:c>
      <x:c r="B6997" s="22" t="e">
        <x:f>HYPERLINK("https://cdn.shopify.com/s/files/1/0918/6066/4603/files/O1CN01FTJds01HlWqdBUnKO__2545140798-0-cib_9ebf02dd-61fe-4412-b00d-eec420af7dc3.jpg?v=1776258188","Open")</x:f>
        <x:v>HYPERLINK is not implemented. linkLocation=https://cdn.shopify.com/s/files/1/0918/6066/4603/files/O1CN01FTJds01HlWqdBUnKO__2545140798-0-cib_9ebf02dd-61fe-4412-b00d-eec420af7dc3.jpg?v=1776258188, friendlyName=Open</x:v>
      </x:c>
      <x:c r="C6997" s="24" t="e">
        <x:f>HYPERLINK("https://365nails.com/products/365nails-christmas-holiday-santa-tree-nail-art-stickers","365nails: ""Christmas Holiday Santa Tree"" – nail art stickers")</x:f>
        <x:v>HYPERLINK is not implemented. linkLocation=https://365nails.com/products/365nails-christmas-holiday-santa-tree-nail-art-stickers, friendlyName=365nails: "Christmas Holiday Santa Tree" – nail art stickers</x:v>
      </x:c>
      <x:c r="D6997" s="18" t="str">
        <x:v>Specification type: To2379 / To2381 / To2384 / To2412</x:v>
      </x:c>
      <x:c r="E6997" s="25" t="str">
        <x:v>$1.23</x:v>
      </x:c>
      <x:c r="F6997" s="19" t="str">
        <x:v>5</x:v>
      </x:c>
    </x:row>
    <x:row r="6998" ht="93" customHeight="1">
      <x:c r="A6998" s="19" t="n">
        <x:v>6995</x:v>
      </x:c>
      <x:c r="B6998" s="22" t="e">
        <x:f>HYPERLINK("https://cdn.shopify.com/s/files/1/0918/6066/4603/files/O1CN011e0ZGb1HlWrvUjuhB__2545140798-0-cib.jpg?v=1776261957","Open")</x:f>
        <x:v>HYPERLINK is not implemented. linkLocation=https://cdn.shopify.com/s/files/1/0918/6066/4603/files/O1CN011e0ZGb1HlWrvUjuhB__2545140798-0-cib.jpg?v=1776261957, friendlyName=Open</x:v>
      </x:c>
      <x:c r="C6998" s="24" t="e">
        <x:f>HYPERLINK("https://365nails.com/products/365nails-cute-rabbit-strawberry-mushroom-nail-art-stickers","365nails: ""Cute Rabbit Strawberry Mushroom"" – nail art stickers")</x:f>
        <x:v>HYPERLINK is not implemented. linkLocation=https://365nails.com/products/365nails-cute-rabbit-strawberry-mushroom-nail-art-stickers, friendlyName=365nails: "Cute Rabbit Strawberry Mushroom" – nail art stickers</x:v>
      </x:c>
      <x:c r="D6998" s="18" t="str">
        <x:v>Specification type: To2675 / To2703 / To2697</x:v>
      </x:c>
      <x:c r="E6998" s="25" t="str">
        <x:v>$1.23</x:v>
      </x:c>
      <x:c r="F6998" s="19" t="str">
        <x:v>5</x:v>
      </x:c>
    </x:row>
    <x:row r="6999" ht="93" customHeight="1">
      <x:c r="A6999" s="19" t="n">
        <x:v>6996</x:v>
      </x:c>
      <x:c r="B6999" s="22" t="e">
        <x:f>HYPERLINK("https://cdn.shopify.com/s/files/1/0918/6066/4603/files/37c8abf26d6f58621c33466e432d2a2a.jpg?v=1777799590","Open")</x:f>
        <x:v>HYPERLINK is not implemented. linkLocation=https://cdn.shopify.com/s/files/1/0918/6066/4603/files/37c8abf26d6f58621c33466e432d2a2a.jpg?v=1777799590, friendlyName=Open</x:v>
      </x:c>
      <x:c r="C6999" s="24" t="e">
        <x:f>HYPERLINK("https://365nails.com/products/365nails-white-star-flower-wave-3d-handmade-medium-stiletto-press-on-nails","365nails: ""White Star Flower Wave 3D"" – Handmade Medium Stiletto Press-On Nails")</x:f>
        <x:v>HYPERLINK is not implemented. linkLocation=https://365nails.com/products/365nails-white-star-flower-wave-3d-handmade-medium-stiletto-press-on-nails, friendlyName=365nails: "White Star Flower Wave 3D" – Handmade Medium Stiletto Press-On Nails</x:v>
      </x:c>
      <x:c r="D6999" s="18" t="str">
        <x:v>Size: XS / S / M / L</x:v>
      </x:c>
      <x:c r="E6999" s="25" t="str">
        <x:v>$3.49</x:v>
      </x:c>
      <x:c r="F6999" s="19" t="str">
        <x:v>5</x:v>
      </x:c>
    </x:row>
    <x:row r="7000" ht="93" customHeight="1">
      <x:c r="A7000" s="19" t="n">
        <x:v>6997</x:v>
      </x:c>
      <x:c r="B7000" s="22" t="e">
        <x:f>HYPERLINK("https://cdn.shopify.com/s/files/1/0918/6066/4603/files/O1CN01DQeYCM1HlWt1UJ5Dm__2545140798-0-cib.jpg?v=1773582437","Open")</x:f>
        <x:v>HYPERLINK is not implemented. linkLocation=https://cdn.shopify.com/s/files/1/0918/6066/4603/files/O1CN01DQeYCM1HlWt1UJ5Dm__2545140798-0-cib.jpg?v=1773582437, friendlyName=Open</x:v>
      </x:c>
      <x:c r="C7000" s="24" t="e">
        <x:f>HYPERLINK("https://365nails.com/products/cute-monster-space-playful-galaxy-3d-embossed-nail-sticker","Cute Monster &amp; Space: ""Playful Galaxy"" – 3D Embossed Nail Sticker")</x:f>
        <x:v>HYPERLINK is not implemented. linkLocation=https://365nails.com/products/cute-monster-space-playful-galaxy-3d-embossed-nail-sticker, friendlyName=Cute Monster &amp; Space: "Playful Galaxy" – 3D Embossed Nail Sticker</x:v>
      </x:c>
      <x:c r="D7000" s="18" t="str">
        <x:v>Specification type: To2861 / To2891 / To2859 / To2886</x:v>
      </x:c>
      <x:c r="E7000" s="25" t="str">
        <x:v>$1.09</x:v>
      </x:c>
      <x:c r="F7000" s="19" t="str">
        <x:v>5</x:v>
      </x:c>
    </x:row>
    <x:row r="7001" ht="93" customHeight="1">
      <x:c r="A7001" s="19" t="n">
        <x:v>6998</x:v>
      </x:c>
      <x:c r="B7001" s="22" t="e">
        <x:f>HYPERLINK("https://cdn.shopify.com/s/files/1/0918/6066/4603/files/O1CN01UyZNBP1HlWnw1Q0oM__2545140798-0-cib.jpg?v=1773552734","Open")</x:f>
        <x:v>HYPERLINK is not implemented. linkLocation=https://cdn.shopify.com/s/files/1/0918/6066/4603/files/O1CN01UyZNBP1HlWnw1Q0oM__2545140798-0-cib.jpg?v=1773552734, friendlyName=Open</x:v>
      </x:c>
      <x:c r="C7001" s="24" t="e">
        <x:f>HYPERLINK("https://365nails.com/products/cute-bunny-bear-collection-happy-garden-3d-embossed-nail-sticker","Cute Bunny &amp; Bear Collection: ""Happy Garden"" – 3D Embossed Nail Sticker")</x:f>
        <x:v>HYPERLINK is not implemented. linkLocation=https://365nails.com/products/cute-bunny-bear-collection-happy-garden-3d-embossed-nail-sticker, friendlyName=Cute Bunny &amp; Bear Collection: "Happy Garden" – 3D Embossed Nail Sticker</x:v>
      </x:c>
      <x:c r="D7001" s="18" t="str">
        <x:v>Specification type: To1479</x:v>
      </x:c>
      <x:c r="E7001" s="25" t="str">
        <x:v>$1.23</x:v>
      </x:c>
      <x:c r="F7001" s="19" t="str">
        <x:v>5</x:v>
      </x:c>
    </x:row>
    <x:row r="7002" ht="93" customHeight="1">
      <x:c r="A7002" s="19" t="n">
        <x:v>6999</x:v>
      </x:c>
      <x:c r="B7002" s="22" t="e">
        <x:f>HYPERLINK("https://cdn.shopify.com/s/files/1/0918/6066/4603/files/bdd0cc682448860d82b275c4fb33a204.jpg?v=1772873839","Open")</x:f>
        <x:v>HYPERLINK is not implemented. linkLocation=https://cdn.shopify.com/s/files/1/0918/6066/4603/files/bdd0cc682448860d82b275c4fb33a204.jpg?v=1772873839, friendlyName=Open</x:v>
      </x:c>
      <x:c r="C7002" s="24" t="e">
        <x:f>HYPERLINK("https://365nails.com/products/nail-stickers-iridescent-butterfly-tulip-nail-stickers-5d-embossed-fairy-garden-set","nail stickers Iridescent Butterfly &amp; Tulip Nail Stickers – 5D Embossed Fairy Garden Set")</x:f>
        <x:v>HYPERLINK is not implemented. linkLocation=https://365nails.com/products/nail-stickers-iridescent-butterfly-tulip-nail-stickers-5d-embossed-fairy-garden-set, friendlyName=nail stickers Iridescent Butterfly &amp; Tulip Nail Stickers – 5D Embossed Fairy Garden Set</x:v>
      </x:c>
      <x:c r="D7002" s="18" t="str">
        <x:v>Specification type: Ms775-crystal diamond / Ms776-crystal diamond / Ms775-1-crystal diamond</x:v>
      </x:c>
      <x:c r="E7002" s="25" t="str">
        <x:v>$1.30</x:v>
      </x:c>
      <x:c r="F7002" s="19" t="str">
        <x:v>5</x:v>
      </x:c>
    </x:row>
    <x:row r="7003" ht="93" customHeight="1">
      <x:c r="A7003" s="19" t="n">
        <x:v>7000</x:v>
      </x:c>
      <x:c r="B7003" s="22" t="e">
        <x:f>HYPERLINK("https://cdn.shopify.com/s/files/1/0918/6066/4603/files/O1CN01gAFp511HlWuMktFyO__2545140798-0-cib.jpg?v=1776261225","Open")</x:f>
        <x:v>HYPERLINK is not implemented. linkLocation=https://cdn.shopify.com/s/files/1/0918/6066/4603/files/O1CN01gAFp511HlWuMktFyO__2545140798-0-cib.jpg?v=1776261225, friendlyName=Open</x:v>
      </x:c>
      <x:c r="C7003" s="24" t="e">
        <x:f>HYPERLINK("https://365nails.com/products/365nails-crystal-heart-gemstone-gold-foil-nail-art-stickers","365nails: ""Crystal Heart Gemstone Gold Foil"" – nail art stickers")</x:f>
        <x:v>HYPERLINK is not implemented. linkLocation=https://365nails.com/products/365nails-crystal-heart-gemstone-gold-foil-nail-art-stickers, friendlyName=365nails: "Crystal Heart Gemstone Gold Foil" – nail art stickers</x:v>
      </x:c>
      <x:c r="D7003" s="18" t="str">
        <x:v>Specification type: Ms 375 / Ms 374</x:v>
      </x:c>
      <x:c r="E7003" s="25" t="str">
        <x:v>$1.23</x:v>
      </x:c>
      <x:c r="F7003" s="19" t="str">
        <x:v>5</x:v>
      </x:c>
    </x:row>
    <x:row r="7004" ht="93" customHeight="1">
      <x:c r="A7004" s="19" t="n">
        <x:v>7001</x:v>
      </x:c>
      <x:c r="B7004" s="22" t="e">
        <x:f>HYPERLINK("https://cdn.shopify.com/s/files/1/0918/6066/4603/files/8369d54dbeb71b8e368de4d50d7f5a3a.jpg?v=1777807247","Open")</x:f>
        <x:v>HYPERLINK is not implemented. linkLocation=https://cdn.shopify.com/s/files/1/0918/6066/4603/files/8369d54dbeb71b8e368de4d50d7f5a3a.jpg?v=1777807247, friendlyName=Open</x:v>
      </x:c>
      <x:c r="C7004" s="24" t="e">
        <x:f>HYPERLINK("https://365nails.com/products/365nails-ocean-mermaid-tail-pearl-handmade-medium-stiletto-press-on-nails","365nails: ""Ocean Mermaid Tail Pearl"" – Handmade Medium Stiletto Press-On Nails")</x:f>
        <x:v>HYPERLINK is not implemented. linkLocation=https://365nails.com/products/365nails-ocean-mermaid-tail-pearl-handmade-medium-stiletto-press-on-nails, friendlyName=365nails: "Ocean Mermaid Tail Pearl" – Handmade Medium Stiletto Press-On Nails</x:v>
      </x:c>
      <x:c r="D7004" s="18" t="str">
        <x:v>Size: XS / S / M / L</x:v>
      </x:c>
      <x:c r="E7004" s="25" t="str">
        <x:v>$3.49</x:v>
      </x:c>
      <x:c r="F7004" s="19" t="str">
        <x:v>5</x:v>
      </x:c>
    </x:row>
    <x:row r="7005" ht="93" customHeight="1">
      <x:c r="A7005" s="19" t="n">
        <x:v>7002</x:v>
      </x:c>
      <x:c r="B7005" s="22" t="e">
        <x:f>HYPERLINK("https://cdn.shopify.com/s/files/1/0918/6066/4603/files/ed58966579d1296b4310596bce1192c9.jpg?v=1777801712","Open")</x:f>
        <x:v>HYPERLINK is not implemented. linkLocation=https://cdn.shopify.com/s/files/1/0918/6066/4603/files/ed58966579d1296b4310596bce1192c9.jpg?v=1777801712, friendlyName=Open</x:v>
      </x:c>
      <x:c r="C7005" s="24" t="e">
        <x:f>HYPERLINK("https://365nails.com/products/365nails-pale-pink-cherry-blossom-3d-wave-mix-handmade-medium-stiletto-press-on-nails","365nails: ""Pale Pink Cherry Blossom 3D Wave Mix"" – Handmade Medium Stiletto Press-On Nails")</x:f>
        <x:v>HYPERLINK is not implemented. linkLocation=https://365nails.com/products/365nails-pale-pink-cherry-blossom-3d-wave-mix-handmade-medium-stiletto-press-on-nails, friendlyName=365nails: "Pale Pink Cherry Blossom 3D Wave Mix" – Handmade Medium Stiletto Press-On Nails</x:v>
      </x:c>
      <x:c r="D7005" s="18" t="str">
        <x:v>Size: XS / S / M / L</x:v>
      </x:c>
      <x:c r="E7005" s="25" t="str">
        <x:v>$3.49</x:v>
      </x:c>
      <x:c r="F7005" s="19" t="str">
        <x:v>5</x:v>
      </x:c>
    </x:row>
    <x:row r="7006" ht="93" customHeight="1">
      <x:c r="A7006" s="19" t="n">
        <x:v>7003</x:v>
      </x:c>
      <x:c r="B7006" s="22" t="e">
        <x:f>HYPERLINK("https://cdn.shopify.com/s/files/1/0918/6066/4603/files/4a0dee48fe9af7584bcb49f77eaa7912.jpg?v=1777777859","Open")</x:f>
        <x:v>HYPERLINK is not implemented. linkLocation=https://cdn.shopify.com/s/files/1/0918/6066/4603/files/4a0dee48fe9af7584bcb49f77eaa7912.jpg?v=1777777859, friendlyName=Open</x:v>
      </x:c>
      <x:c r="C7006" s="24" t="e">
        <x:f>HYPERLINK("https://365nails.com/products/365nails-pink-glitter-butterfly-handmade-long-trapezoid-press-on-nails","365nails: ""Pink Glitter Butterfly"" – Handmade Long Trapezoid Press-On Nails")</x:f>
        <x:v>HYPERLINK is not implemented. linkLocation=https://365nails.com/products/365nails-pink-glitter-butterfly-handmade-long-trapezoid-press-on-nails, friendlyName=365nails: "Pink Glitter Butterfly" – Handmade Long Trapezoid Press-On Nails</x:v>
      </x:c>
      <x:c r="D7006" s="18" t="str">
        <x:v>Size: XS / S / M / L</x:v>
      </x:c>
      <x:c r="E7006" s="25" t="str">
        <x:v>$4.49</x:v>
      </x:c>
      <x:c r="F7006" s="19" t="str">
        <x:v>5</x:v>
      </x:c>
    </x:row>
    <x:row r="7007" ht="93" customHeight="1">
      <x:c r="A7007" s="19" t="n">
        <x:v>7004</x:v>
      </x:c>
      <x:c r="B7007" s="22" t="e">
        <x:f>HYPERLINK("https://cdn.shopify.com/s/files/1/0918/6066/4603/files/6405f301c798932157af131be3b469b5.jpg?v=1777803307","Open")</x:f>
        <x:v>HYPERLINK is not implemented. linkLocation=https://cdn.shopify.com/s/files/1/0918/6066/4603/files/6405f301c798932157af131be3b469b5.jpg?v=1777803307, friendlyName=Open</x:v>
      </x:c>
      <x:c r="C7007" s="24" t="e">
        <x:f>HYPERLINK("https://365nails.com/products/365nails-burgundy-cherry-amber-heart-mix-handmade-medium-stiletto-press-on-nails","365nails: ""Burgundy Cherry Amber Heart Mix"" – Handmade Medium Stiletto Press-On Nails")</x:f>
        <x:v>HYPERLINK is not implemented. linkLocation=https://365nails.com/products/365nails-burgundy-cherry-amber-heart-mix-handmade-medium-stiletto-press-on-nails, friendlyName=365nails: "Burgundy Cherry Amber Heart Mix" – Handmade Medium Stiletto Press-On Nails</x:v>
      </x:c>
      <x:c r="D7007" s="18" t="str">
        <x:v>Size: XS / S / M / L</x:v>
      </x:c>
      <x:c r="E7007" s="25" t="str">
        <x:v>$3.49</x:v>
      </x:c>
      <x:c r="F7007" s="19" t="str">
        <x:v>5</x:v>
      </x:c>
    </x:row>
    <x:row r="7008" ht="93" customHeight="1">
      <x:c r="A7008" s="19" t="n">
        <x:v>7005</x:v>
      </x:c>
      <x:c r="B7008" s="22" t="e">
        <x:f>HYPERLINK("https://cdn.shopify.com/s/files/1/0918/6066/4603/files/d050c100b91b3d9fa3f8a240b80070d7.jpg?v=1777799186","Open")</x:f>
        <x:v>HYPERLINK is not implemented. linkLocation=https://cdn.shopify.com/s/files/1/0918/6066/4603/files/d050c100b91b3d9fa3f8a240b80070d7.jpg?v=1777799186, friendlyName=Open</x:v>
      </x:c>
      <x:c r="C7008" s="24" t="e">
        <x:f>HYPERLINK("https://365nails.com/products/365nails-pink-green-flower-wave-3d-handmade-medium-stiletto-press-on-nails","365nails: ""Pink Green Flower Wave 3D"" – Handmade Medium Stiletto Press-On Nails")</x:f>
        <x:v>HYPERLINK is not implemented. linkLocation=https://365nails.com/products/365nails-pink-green-flower-wave-3d-handmade-medium-stiletto-press-on-nails, friendlyName=365nails: "Pink Green Flower Wave 3D" – Handmade Medium Stiletto Press-On Nails</x:v>
      </x:c>
      <x:c r="D7008" s="18" t="str">
        <x:v>Size: XS / S / M / L</x:v>
      </x:c>
      <x:c r="E7008" s="25" t="str">
        <x:v>$3.49</x:v>
      </x:c>
      <x:c r="F7008" s="19" t="str">
        <x:v>5</x:v>
      </x:c>
    </x:row>
    <x:row r="7009" ht="93" customHeight="1">
      <x:c r="A7009" s="19" t="n">
        <x:v>7006</x:v>
      </x:c>
      <x:c r="B7009" s="22" t="e">
        <x:f>HYPERLINK("https://cdn.shopify.com/s/files/1/0918/6066/4603/files/d7ca0bfb7af7b11eb0d9e566e0e76bb9.jpg?v=1777778893","Open")</x:f>
        <x:v>HYPERLINK is not implemented. linkLocation=https://cdn.shopify.com/s/files/1/0918/6066/4603/files/d7ca0bfb7af7b11eb0d9e566e0e76bb9.jpg?v=1777778893, friendlyName=Open</x:v>
      </x:c>
      <x:c r="C7009" s="24" t="e">
        <x:f>HYPERLINK("https://365nails.com/products/365nails-leopard-print-rhinestone-handmade-long-trapezoid-press-on-nails","365nails: ""Leopard Print Rhinestone"" – Handmade Long Trapezoid Press-On Nails")</x:f>
        <x:v>HYPERLINK is not implemented. linkLocation=https://365nails.com/products/365nails-leopard-print-rhinestone-handmade-long-trapezoid-press-on-nails, friendlyName=365nails: "Leopard Print Rhinestone" – Handmade Long Trapezoid Press-On Nails</x:v>
      </x:c>
      <x:c r="D7009" s="18" t="str">
        <x:v>Size: XS / S / M / L</x:v>
      </x:c>
      <x:c r="E7009" s="25" t="str">
        <x:v>$4.49</x:v>
      </x:c>
      <x:c r="F7009" s="19" t="str">
        <x:v>5</x:v>
      </x:c>
    </x:row>
    <x:row r="7010" ht="93" customHeight="1">
      <x:c r="A7010" s="19" t="n">
        <x:v>7007</x:v>
      </x:c>
      <x:c r="B7010" s="22" t="e">
        <x:f>HYPERLINK("https://cdn.shopify.com/s/files/1/0918/6066/4603/files/2b99e9864fba6c44a6355db692bfdd1d.jpg?v=1776416915","Open")</x:f>
        <x:v>HYPERLINK is not implemented. linkLocation=https://cdn.shopify.com/s/files/1/0918/6066/4603/files/2b99e9864fba6c44a6355db692bfdd1d.jpg?v=1776416915, friendlyName=Open</x:v>
      </x:c>
      <x:c r="C7010" s="24" t="e">
        <x:f>HYPERLINK("https://365nails.com/products/365nails-demon-slayer-akaza-handmade-short-almond-press-on-nails","365nails: ""Demon Slayer Akaza"" – Handmade Short Almond Press-On Nails")</x:f>
        <x:v>HYPERLINK is not implemented. linkLocation=https://365nails.com/products/365nails-demon-slayer-akaza-handmade-short-almond-press-on-nails, friendlyName=365nails: "Demon Slayer Akaza" – Handmade Short Almond Press-On Nails</x:v>
      </x:c>
      <x:c r="D7010" s="18" t="str">
        <x:v>Size: XS / S / M</x:v>
      </x:c>
      <x:c r="E7010" s="25" t="str">
        <x:v>$3.49</x:v>
      </x:c>
      <x:c r="F7010" s="19" t="str">
        <x:v>5</x:v>
      </x:c>
    </x:row>
    <x:row r="7011" ht="93" customHeight="1">
      <x:c r="A7011" s="19" t="n">
        <x:v>7008</x:v>
      </x:c>
      <x:c r="B7011" s="22" t="e">
        <x:f>HYPERLINK("https://cdn.shopify.com/s/files/1/0918/6066/4603/files/52f5aa0dd661bd8fed3b79cc3584c5e5.jpg?v=1777807134","Open")</x:f>
        <x:v>HYPERLINK is not implemented. linkLocation=https://cdn.shopify.com/s/files/1/0918/6066/4603/files/52f5aa0dd661bd8fed3b79cc3584c5e5.jpg?v=1777807134, friendlyName=Open</x:v>
      </x:c>
      <x:c r="C7011" s="24" t="e">
        <x:f>HYPERLINK("https://365nails.com/products/365nails-lavender-lily-butterfly-wing-handmade-medium-stiletto-press-on-nails","365nails: ""Lavender Lily Butterfly Wing"" – Handmade Medium Stiletto Press-On Nails")</x:f>
        <x:v>HYPERLINK is not implemented. linkLocation=https://365nails.com/products/365nails-lavender-lily-butterfly-wing-handmade-medium-stiletto-press-on-nails, friendlyName=365nails: "Lavender Lily Butterfly Wing" – Handmade Medium Stiletto Press-On Nails</x:v>
      </x:c>
      <x:c r="D7011" s="18" t="str">
        <x:v>Size: XS / S / M / L</x:v>
      </x:c>
      <x:c r="E7011" s="25" t="str">
        <x:v>$3.49</x:v>
      </x:c>
      <x:c r="F7011" s="19" t="str">
        <x:v>5</x:v>
      </x:c>
    </x:row>
    <x:row r="7012" ht="93" customHeight="1">
      <x:c r="A7012" s="19" t="n">
        <x:v>7009</x:v>
      </x:c>
      <x:c r="B7012" s="22" t="e">
        <x:f>HYPERLINK("https://cdn.shopify.com/s/files/1/0918/6066/4603/files/6e430e44ee8b1b8adaf577e2ff69cf88.jpg?v=1774077373","Open")</x:f>
        <x:v>HYPERLINK is not implemented. linkLocation=https://cdn.shopify.com/s/files/1/0918/6066/4603/files/6e430e44ee8b1b8adaf577e2ff69cf88.jpg?v=1774077373, friendlyName=Open</x:v>
      </x:c>
      <x:c r="C7012" s="24" t="e">
        <x:f>HYPERLINK("https://365nails.com/products/cosmic-fatale-cyber-thorn-veins-long-sharp-stiletto-handmade-press-on-nails","Cosmic Fatale: ""Cyber Thorn Veins"" – Long Sharp Stiletto Handmade Press On Nails")</x:f>
        <x:v>HYPERLINK is not implemented. linkLocation=https://365nails.com/products/cosmic-fatale-cyber-thorn-veins-long-sharp-stiletto-handmade-press-on-nails, friendlyName=Cosmic Fatale: "Cyber Thorn Veins" – Long Sharp Stiletto Handmade Press On Nails</x:v>
      </x:c>
      <x:c r="D7012" s="18" t="str">
        <x:v>Size: XS / S / M / L</x:v>
      </x:c>
      <x:c r="E7012" s="25" t="str">
        <x:v>$3.99</x:v>
      </x:c>
      <x:c r="F7012" s="19" t="str">
        <x:v>5</x:v>
      </x:c>
    </x:row>
    <x:row r="7013" ht="93" customHeight="1">
      <x:c r="A7013" s="19" t="n">
        <x:v>7010</x:v>
      </x:c>
      <x:c r="B7013" s="22" t="e">
        <x:f>HYPERLINK("https://cdn.shopify.com/s/files/1/0918/6066/4603/files/O1CN01btP4oI1HlX7sksH25__2545140798-0-cib.jpg?v=1773549341","Open")</x:f>
        <x:v>HYPERLINK is not implemented. linkLocation=https://cdn.shopify.com/s/files/1/0918/6066/4603/files/O1CN01btP4oI1HlX7sksH25__2545140798-0-cib.jpg?v=1773549341, friendlyName=Open</x:v>
      </x:c>
      <x:c r="C7013" s="24" t="e">
        <x:f>HYPERLINK("https://365nails.com/products/cute-critter-dot-collection-playful-buddies-3d-embossed-nail-sticker","Cute Critter Dot Collection: ""Playful Buddies"" – 3D Embossed Nail Sticker")</x:f>
        <x:v>HYPERLINK is not implemented. linkLocation=https://365nails.com/products/cute-critter-dot-collection-playful-buddies-3d-embossed-nail-sticker, friendlyName=Cute Critter Dot Collection: "Playful Buddies" – 3D Embossed Nail Sticker</x:v>
      </x:c>
      <x:c r="D7013" s="18" t="str">
        <x:v>Specification type: To5164-shell light / To5172-shell light</x:v>
      </x:c>
      <x:c r="E7013" s="25" t="str">
        <x:v>$1.23</x:v>
      </x:c>
      <x:c r="F7013" s="19" t="str">
        <x:v>5</x:v>
      </x:c>
    </x:row>
    <x:row r="7014" ht="93" customHeight="1">
      <x:c r="A7014" s="19" t="n">
        <x:v>7011</x:v>
      </x:c>
      <x:c r="B7014" s="22" t="e">
        <x:f>HYPERLINK("https://cdn.shopify.com/s/files/1/0918/6066/4603/files/12ccc04e7cdb6a8f0f7a199ba9bc8087.jpg?v=1777792135","Open")</x:f>
        <x:v>HYPERLINK is not implemented. linkLocation=https://cdn.shopify.com/s/files/1/0918/6066/4603/files/12ccc04e7cdb6a8f0f7a199ba9bc8087.jpg?v=1777792135, friendlyName=Open</x:v>
      </x:c>
      <x:c r="C7014" s="24" t="e">
        <x:f>HYPERLINK("https://365nails.com/products/365nails-nude-teal-wave-flower-3d-handmade-medium-stiletto-press-on-nails","365nails: ""Nude Teal Wave Flower 3D"" – Handmade Medium Stiletto Press-On Nails")</x:f>
        <x:v>HYPERLINK is not implemented. linkLocation=https://365nails.com/products/365nails-nude-teal-wave-flower-3d-handmade-medium-stiletto-press-on-nails, friendlyName=365nails: "Nude Teal Wave Flower 3D" – Handmade Medium Stiletto Press-On Nails</x:v>
      </x:c>
      <x:c r="D7014" s="18" t="str">
        <x:v>Size: XS / S / M / L</x:v>
      </x:c>
      <x:c r="E7014" s="25" t="str">
        <x:v>$3.49</x:v>
      </x:c>
      <x:c r="F7014" s="19" t="str">
        <x:v>5</x:v>
      </x:c>
    </x:row>
    <x:row r="7015" ht="93" customHeight="1">
      <x:c r="A7015" s="19" t="n">
        <x:v>7012</x:v>
      </x:c>
      <x:c r="B7015" s="22" t="e">
        <x:f>HYPERLINK("https://cdn.shopify.com/s/files/1/0918/6066/4603/files/6e430e44ee8b1b8adaf577e2ff69cf88_88098e63-f889-4d07-b4ad-20ff1c430885.jpg?v=1774077483","Open")</x:f>
        <x:v>HYPERLINK is not implemented. linkLocation=https://cdn.shopify.com/s/files/1/0918/6066/4603/files/6e430e44ee8b1b8adaf577e2ff69cf88_88098e63-f889-4d07-b4ad-20ff1c430885.jpg?v=1774077483, friendlyName=Open</x:v>
      </x:c>
      <x:c r="C7015" s="24" t="e">
        <x:f>HYPERLINK("https://365nails.com/products/cosmic-fatale-cyber-thorn-veins-long-sharp-stiletto-handmade-press-on-nails-1","Cosmic Fatale: ""Cyber Thorn Veins"" – Long Sharp Stiletto Handmade Press On Nails")</x:f>
        <x:v>HYPERLINK is not implemented. linkLocation=https://365nails.com/products/cosmic-fatale-cyber-thorn-veins-long-sharp-stiletto-handmade-press-on-nails-1, friendlyName=Cosmic Fatale: "Cyber Thorn Veins" – Long Sharp Stiletto Handmade Press On Nails</x:v>
      </x:c>
      <x:c r="D7015" s="18" t="str">
        <x:v>Size: XS / S / M / L</x:v>
      </x:c>
      <x:c r="E7015" s="25" t="str">
        <x:v>$4.99</x:v>
      </x:c>
      <x:c r="F7015" s="19" t="str">
        <x:v>5</x:v>
      </x:c>
    </x:row>
    <x:row r="7016" ht="93" customHeight="1">
      <x:c r="A7016" s="19" t="n">
        <x:v>7013</x:v>
      </x:c>
      <x:c r="B7016" s="22" t="e">
        <x:f>HYPERLINK("https://cdn.shopify.com/s/files/1/0918/6066/4603/files/b853af896c16419cf63dcba8b6c54b05.jpg?v=1776414644","Open")</x:f>
        <x:v>HYPERLINK is not implemented. linkLocation=https://cdn.shopify.com/s/files/1/0918/6066/4603/files/b853af896c16419cf63dcba8b6c54b05.jpg?v=1776414644, friendlyName=Open</x:v>
      </x:c>
      <x:c r="C7016" s="24" t="e">
        <x:f>HYPERLINK("https://365nails.com/products/365nails-demon-slayer-mitsuri-kanroji-handmade-short-almond-press-on-nails","365nails: ""Demon Slayer Mitsuri Kanroji"" – Handmade Short Almond Press-On Nails")</x:f>
        <x:v>HYPERLINK is not implemented. linkLocation=https://365nails.com/products/365nails-demon-slayer-mitsuri-kanroji-handmade-short-almond-press-on-nails, friendlyName=365nails: "Demon Slayer Mitsuri Kanroji" – Handmade Short Almond Press-On Nails</x:v>
      </x:c>
      <x:c r="D7016" s="18" t="str">
        <x:v>Size: XS / S / M</x:v>
      </x:c>
      <x:c r="E7016" s="25" t="str">
        <x:v>$3.49</x:v>
      </x:c>
      <x:c r="F7016" s="19" t="str">
        <x:v>5</x:v>
      </x:c>
    </x:row>
    <x:row r="7017" ht="93" customHeight="1">
      <x:c r="A7017" s="19" t="n">
        <x:v>7014</x:v>
      </x:c>
      <x:c r="B7017" s="22" t="e">
        <x:f>HYPERLINK("https://cdn.shopify.com/s/files/1/0918/6066/4603/files/230a27ba4dfa8153a83396dbe518f5c1.jpg?v=1777780139","Open")</x:f>
        <x:v>HYPERLINK is not implemented. linkLocation=https://cdn.shopify.com/s/files/1/0918/6066/4603/files/230a27ba4dfa8153a83396dbe518f5c1.jpg?v=1777780139, friendlyName=Open</x:v>
      </x:c>
      <x:c r="C7017" s="24" t="e">
        <x:f>HYPERLINK("https://365nails.com/products/365nails-colorful-mix-heart-checker-short-handmade-short-trapezoid-press-on-nails","365nails: ""Colorful Mix Heart Checker Short"" – Handmade Short Trapezoid Press-On Nails")</x:f>
        <x:v>HYPERLINK is not implemented. linkLocation=https://365nails.com/products/365nails-colorful-mix-heart-checker-short-handmade-short-trapezoid-press-on-nails, friendlyName=365nails: "Colorful Mix Heart Checker Short" – Handmade Short Trapezoid Press-On Nails</x:v>
      </x:c>
      <x:c r="D7017" s="18" t="str">
        <x:v>Size: XS / S / M / L</x:v>
      </x:c>
      <x:c r="E7017" s="25" t="str">
        <x:v>$4.49</x:v>
      </x:c>
      <x:c r="F7017" s="19" t="str">
        <x:v>5</x:v>
      </x:c>
    </x:row>
    <x:row r="7018" ht="93" customHeight="1">
      <x:c r="A7018" s="19" t="n">
        <x:v>7015</x:v>
      </x:c>
      <x:c r="B7018" s="22" t="e">
        <x:f>HYPERLINK("https://cdn.shopify.com/s/files/1/0918/6066/4603/files/d6e8e9d354aaec26bda96f7dd20c5016.jpg?v=1777782778","Open")</x:f>
        <x:v>HYPERLINK is not implemented. linkLocation=https://cdn.shopify.com/s/files/1/0918/6066/4603/files/d6e8e9d354aaec26bda96f7dd20c5016.jpg?v=1777782778, friendlyName=Open</x:v>
      </x:c>
      <x:c r="C7018" s="24" t="e">
        <x:f>HYPERLINK("https://365nails.com/products/365nails-pink-pearl-bow-flower-medium-handmade-medium-trapezoid-press-on-nails","365nails: ""Pink Pearl Bow Flower Medium"" – Handmade Medium Trapezoid Press-On Nails")</x:f>
        <x:v>HYPERLINK is not implemented. linkLocation=https://365nails.com/products/365nails-pink-pearl-bow-flower-medium-handmade-medium-trapezoid-press-on-nails, friendlyName=365nails: "Pink Pearl Bow Flower Medium" – Handmade Medium Trapezoid Press-On Nails</x:v>
      </x:c>
      <x:c r="D7018" s="18" t="str">
        <x:v>Size: XS / S / M / L</x:v>
      </x:c>
      <x:c r="E7018" s="25" t="str">
        <x:v>$4.49</x:v>
      </x:c>
      <x:c r="F7018" s="19" t="str">
        <x:v>5</x:v>
      </x:c>
    </x:row>
    <x:row r="7019" ht="93" customHeight="1">
      <x:c r="A7019" s="19" t="n">
        <x:v>7016</x:v>
      </x:c>
      <x:c r="B7019" s="22" t="e">
        <x:f>HYPERLINK("https://cdn.shopify.com/s/files/1/0918/6066/4603/files/O1CN01CBDlX81HlWqeuBGzs__2545140798-0-cib_4d3ad73b-2f4a-421e-b668-425f96a65419.jpg?v=1776258324","Open")</x:f>
        <x:v>HYPERLINK is not implemented. linkLocation=https://cdn.shopify.com/s/files/1/0918/6066/4603/files/O1CN01CBDlX81HlWqeuBGzs__2545140798-0-cib_4d3ad73b-2f4a-421e-b668-425f96a65419.jpg?v=1776258324, friendlyName=Open</x:v>
      </x:c>
      <x:c r="C7019" s="24" t="e">
        <x:f>HYPERLINK("https://365nails.com/products/365nails-vintage-baroque-frame-border-embossed-nail-art-stickers","365nails: ""Vintage Baroque Frame Border Embossed"" – nail art stickers")</x:f>
        <x:v>HYPERLINK is not implemented. linkLocation=https://365nails.com/products/365nails-vintage-baroque-frame-border-embossed-nail-art-stickers, friendlyName=365nails: "Vintage Baroque Frame Border Embossed" – nail art stickers</x:v>
      </x:c>
      <x:c r="D7019" s="18" t="str">
        <x:v>Specification type: Ta 140 / Ta 141 / Ta 142 / Ta 143 / Ta 150 / Ta 151</x:v>
      </x:c>
      <x:c r="E7019" s="25" t="str">
        <x:v>$1.23</x:v>
      </x:c>
      <x:c r="F7019" s="19" t="str">
        <x:v>5</x:v>
      </x:c>
    </x:row>
    <x:row r="7020" ht="93" customHeight="1">
      <x:c r="A7020" s="19" t="n">
        <x:v>7017</x:v>
      </x:c>
      <x:c r="B7020" s="22" t="e">
        <x:f>HYPERLINK("https://cdn.shopify.com/s/files/1/0918/6066/4603/files/O1CN01bDNGm11HlX5UVKRjM__2545140798-0-cib.jpg?v=1773547872","Open")</x:f>
        <x:v>HYPERLINK is not implemented. linkLocation=https://cdn.shopify.com/s/files/1/0918/6066/4603/files/O1CN01bDNGm11HlX5UVKRjM__2545140798-0-cib.jpg?v=1773547872, friendlyName=Open</x:v>
      </x:c>
      <x:c r="C7020" s="24" t="e">
        <x:f>HYPERLINK("https://365nails.com/products/wildflower-meadow-collection-fresh-petal-3d-embossed-nail-sticker","Wildflower Meadow Collection: ""Fresh Petal"" – 3D Embossed Nail Sticker")</x:f>
        <x:v>HYPERLINK is not implemented. linkLocation=https://365nails.com/products/wildflower-meadow-collection-fresh-petal-3d-embossed-nail-sticker, friendlyName=Wildflower Meadow Collection: "Fresh Petal" – 3D Embossed Nail Sticker</x:v>
      </x:c>
      <x:c r="D7020" s="18" t="str">
        <x:v>Specification type: To4504 / To4858</x:v>
      </x:c>
      <x:c r="E7020" s="25" t="str">
        <x:v>$1.09</x:v>
      </x:c>
      <x:c r="F7020" s="19" t="str">
        <x:v>5</x:v>
      </x:c>
    </x:row>
    <x:row r="7021" ht="93" customHeight="1">
      <x:c r="A7021" s="19" t="n">
        <x:v>7018</x:v>
      </x:c>
      <x:c r="B7021" s="22" t="e">
        <x:f>HYPERLINK("https://cdn.shopify.com/s/files/1/0918/6066/4603/files/7fe4b835c0b743651f5ede2f4eeb14fb.jpg?v=1777793749","Open")</x:f>
        <x:v>HYPERLINK is not implemented. linkLocation=https://cdn.shopify.com/s/files/1/0918/6066/4603/files/7fe4b835c0b743651f5ede2f4eeb14fb.jpg?v=1777793749, friendlyName=Open</x:v>
      </x:c>
      <x:c r="C7021" s="24" t="e">
        <x:f>HYPERLINK("https://365nails.com/products/365nails-nude-mix-tip-flower-leopard-handmade-medium-square-press-on-nails","365nails: ""Nude Mix Tip Flower Leopard"" – Handmade Medium Square Press-On Nails")</x:f>
        <x:v>HYPERLINK is not implemented. linkLocation=https://365nails.com/products/365nails-nude-mix-tip-flower-leopard-handmade-medium-square-press-on-nails, friendlyName=365nails: "Nude Mix Tip Flower Leopard" – Handmade Medium Square Press-On Nails</x:v>
      </x:c>
      <x:c r="D7021" s="18" t="str">
        <x:v>Size: XS / S / M / L</x:v>
      </x:c>
      <x:c r="E7021" s="25" t="str">
        <x:v>$3.49</x:v>
      </x:c>
      <x:c r="F7021" s="19" t="str">
        <x:v>5</x:v>
      </x:c>
    </x:row>
    <x:row r="7022" ht="93" customHeight="1">
      <x:c r="A7022" s="19" t="n">
        <x:v>7019</x:v>
      </x:c>
      <x:c r="B7022" s="22" t="e">
        <x:f>HYPERLINK("https://cdn.shopify.com/s/files/1/0918/6066/4603/files/69e690da6a867a71c0eaae5e42d287fc.jpg?v=1781017688","Open")</x:f>
        <x:v>HYPERLINK is not implemented. linkLocation=https://cdn.shopify.com/s/files/1/0918/6066/4603/files/69e690da6a867a71c0eaae5e42d287fc.jpg?v=1781017688, friendlyName=Open</x:v>
      </x:c>
      <x:c r="C7022" s="24" t="e">
        <x:f>HYPERLINK("https://365nails.com/products/365nails-black-blue-gradient-silver-glitter-ombre-minimalist-handmade-long-stiletto-nails","365nails: ""Black Blue Gradient Silver Glitter Ombre"" – Minimalist Handmade Long Stiletto Nails")</x:f>
        <x:v>HYPERLINK is not implemented. linkLocation=https://365nails.com/products/365nails-black-blue-gradient-silver-glitter-ombre-minimalist-handmade-long-stiletto-nails, friendlyName=365nails: "Black Blue Gradient Silver Glitter Ombre" – Minimalist Handmade Long Stiletto Nails</x:v>
      </x:c>
      <x:c r="D7022" s="18" t="str">
        <x:v>Size: XS / S / M / L</x:v>
      </x:c>
      <x:c r="E7022" s="25" t="str">
        <x:v>$4.99</x:v>
      </x:c>
      <x:c r="F7022" s="19" t="str">
        <x:v>3</x:v>
      </x:c>
    </x:row>
    <x:row r="7023" ht="93" customHeight="1">
      <x:c r="A7023" s="19" t="n">
        <x:v>7020</x:v>
      </x:c>
      <x:c r="B7023" s="22" t="e">
        <x:f>HYPERLINK("https://cdn.shopify.com/s/files/1/0918/6066/4603/files/O1CN01d8kyI61HlWuWeqPcw__2545140798-0-cib.jpg?v=1776261278","Open")</x:f>
        <x:v>HYPERLINK is not implemented. linkLocation=https://cdn.shopify.com/s/files/1/0918/6066/4603/files/O1CN01d8kyI61HlWuWeqPcw__2545140798-0-cib.jpg?v=1776261278, friendlyName=Open</x:v>
      </x:c>
      <x:c r="C7023" s="24" t="e">
        <x:f>HYPERLINK("https://365nails.com/products/365nails-mermaid-tail-iridescent-seashell-nail-art-stickers","365nails: ""Mermaid Tail Iridescent Seashell"" – nail art stickers")</x:f>
        <x:v>HYPERLINK is not implemented. linkLocation=https://365nails.com/products/365nails-mermaid-tail-iridescent-seashell-nail-art-stickers, friendlyName=365nails: "Mermaid Tail Iridescent Seashell" – nail art stickers</x:v>
      </x:c>
      <x:c r="D7023" s="18" t="str">
        <x:v>Specification type: To3071-relief laser / To3072-laser / To3091-colorful / To3093-relief laser / To3094-colorful / Ms378-laser silver / To3095-crystal diamond</x:v>
      </x:c>
      <x:c r="E7023" s="25" t="str">
        <x:v>$1.23</x:v>
      </x:c>
      <x:c r="F7023" s="19" t="str">
        <x:v>5</x:v>
      </x:c>
    </x:row>
    <x:row r="7024" ht="93" customHeight="1">
      <x:c r="A7024" s="19" t="n">
        <x:v>7021</x:v>
      </x:c>
      <x:c r="B7024" s="22" t="e">
        <x:f>HYPERLINK("https://cdn.shopify.com/s/files/1/0918/6066/4603/files/b0c3a96947949c64684826c6d8bc5463.jpg?v=1777798619","Open")</x:f>
        <x:v>HYPERLINK is not implemented. linkLocation=https://cdn.shopify.com/s/files/1/0918/6066/4603/files/b0c3a96947949c64684826c6d8bc5463.jpg?v=1777798619, friendlyName=Open</x:v>
      </x:c>
      <x:c r="C7024" s="24" t="e">
        <x:f>HYPERLINK("https://365nails.com/products/365nails-pink-shell-flower-starfish-3d-handmade-medium-stiletto-press-on-nails-1","365nails: ""Pink Shell Flower Starfish 3D"" – Handmade Medium Stiletto Press-On Nails")</x:f>
        <x:v>HYPERLINK is not implemented. linkLocation=https://365nails.com/products/365nails-pink-shell-flower-starfish-3d-handmade-medium-stiletto-press-on-nails-1, friendlyName=365nails: "Pink Shell Flower Starfish 3D" – Handmade Medium Stiletto Press-On Nails</x:v>
      </x:c>
      <x:c r="D7024" s="18" t="str">
        <x:v>Size: XS / S / M / L</x:v>
      </x:c>
      <x:c r="E7024" s="25" t="str">
        <x:v>$3.49</x:v>
      </x:c>
      <x:c r="F7024" s="19" t="str">
        <x:v>5</x:v>
      </x:c>
    </x:row>
    <x:row r="7025" ht="93" customHeight="1">
      <x:c r="A7025" s="19" t="n">
        <x:v>7022</x:v>
      </x:c>
      <x:c r="B7025" s="22" t="e">
        <x:f>HYPERLINK("https://cdn.shopify.com/s/files/1/0918/6066/4603/files/O1CN01zfFqsn1HlWs5fyvMv__2545140798-0-cib.jpg?v=1776263600","Open")</x:f>
        <x:v>HYPERLINK is not implemented. linkLocation=https://cdn.shopify.com/s/files/1/0918/6066/4603/files/O1CN01zfFqsn1HlWs5fyvMv__2545140798-0-cib.jpg?v=1776263600, friendlyName=Open</x:v>
      </x:c>
      <x:c r="C7025" s="24" t="e">
        <x:f>HYPERLINK("https://365nails.com/products/365nails-watercolor-bunny-rabbit-daisy-nail-art-stickers","365nails: ""Watercolor Bunny Rabbit Daisy"" – nail art stickers")</x:f>
        <x:v>HYPERLINK is not implemented. linkLocation=https://365nails.com/products/365nails-watercolor-bunny-rabbit-daisy-nail-art-stickers, friendlyName=365nails: "Watercolor Bunny Rabbit Daisy" – nail art stickers</x:v>
      </x:c>
      <x:c r="D7025" s="18" t="str">
        <x:v>Specification type: To2693 / To2712</x:v>
      </x:c>
      <x:c r="E7025" s="25" t="str">
        <x:v>$1.09</x:v>
      </x:c>
      <x:c r="F7025" s="19" t="str">
        <x:v>5</x:v>
      </x:c>
    </x:row>
    <x:row r="7026" ht="93" customHeight="1">
      <x:c r="A7026" s="19" t="n">
        <x:v>7023</x:v>
      </x:c>
      <x:c r="B7026" s="22" t="e">
        <x:f>HYPERLINK("https://cdn.shopify.com/s/files/1/0918/6066/4603/files/O1CN01jF8sFc1HlXAjYzPrO__2545140798-0-cib.jpg?v=1773549636","Open")</x:f>
        <x:v>HYPERLINK is not implemented. linkLocation=https://cdn.shopify.com/s/files/1/0918/6066/4603/files/O1CN01jF8sFc1HlXAjYzPrO__2545140798-0-cib.jpg?v=1773549636, friendlyName=Open</x:v>
      </x:c>
      <x:c r="C7026" s="24" t="e">
        <x:f>HYPERLINK("https://365nails.com/products/cute-lion-dance-collection-lucky-lions-3d-embossed-nail-sticker","Cute Lion Dance Collection: ""Lucky Lions"" – 3D Embossed Nail Sticker")</x:f>
        <x:v>HYPERLINK is not implemented. linkLocation=https://365nails.com/products/cute-lion-dance-collection-lucky-lions-3d-embossed-nail-sticker, friendlyName=Cute Lion Dance Collection: "Lucky Lions" – 3D Embossed Nail Sticker</x:v>
      </x:c>
      <x:c r="D7026" s="18" t="str">
        <x:v>Specification type: To5527-relief / To5533 relief</x:v>
      </x:c>
      <x:c r="E7026" s="25" t="str">
        <x:v>$1.23</x:v>
      </x:c>
      <x:c r="F7026" s="19" t="str">
        <x:v>5</x:v>
      </x:c>
    </x:row>
    <x:row r="7027" ht="93" customHeight="1">
      <x:c r="A7027" s="19" t="n">
        <x:v>7024</x:v>
      </x:c>
      <x:c r="B7027" s="22" t="e">
        <x:f>HYPERLINK("https://cdn.shopify.com/s/files/1/0918/6066/4603/files/af45ff681e9f3bafd378b671b5368b66.jpg?v=1773234922","Open")</x:f>
        <x:v>HYPERLINK is not implemented. linkLocation=https://cdn.shopify.com/s/files/1/0918/6066/4603/files/af45ff681e9f3bafd378b671b5368b66.jpg?v=1773234922, friendlyName=Open</x:v>
      </x:c>
      <x:c r="C7027" s="24" t="e">
        <x:f>HYPERLINK("https://365nails.com/products/pastel-wildflower-wreath-romantic-vintage-nail-art-set","Pastel Wildflower Wreath – Romantic Vintage Nail Art Stickers")</x:f>
        <x:v>HYPERLINK is not implemented. linkLocation=https://365nails.com/products/pastel-wildflower-wreath-romantic-vintage-nail-art-set, friendlyName=Pastel Wildflower Wreath – Romantic Vintage Nail Art Stickers</x:v>
      </x:c>
      <x:c r="D7027" s="18" t="str">
        <x:v>Specification type: Ms939-metal / Ms940-relief / Ms941-metal</x:v>
      </x:c>
      <x:c r="E7027" s="25" t="str">
        <x:v>$1.23</x:v>
      </x:c>
      <x:c r="F7027" s="19" t="str">
        <x:v>1</x:v>
      </x:c>
    </x:row>
    <x:row r="7028" ht="93" customHeight="1">
      <x:c r="A7028" s="19" t="n">
        <x:v>7025</x:v>
      </x:c>
      <x:c r="B7028" s="22" t="e">
        <x:f>HYPERLINK("https://cdn.shopify.com/s/files/1/0918/6066/4603/files/O1CN01IISnWY1HlWvJJk2QD__2545140798-0-cib.jpg?v=1776257504","Open")</x:f>
        <x:v>HYPERLINK is not implemented. linkLocation=https://cdn.shopify.com/s/files/1/0918/6066/4603/files/O1CN01IISnWY1HlWvJJk2QD__2545140798-0-cib.jpg?v=1776257504, friendlyName=Open</x:v>
      </x:c>
      <x:c r="C7028" s="24" t="e">
        <x:f>HYPERLINK("https://365nails.com/products/365nails-oriental-bamboo-calligraphy-gold-foil-nail-art-stickers","365nails: ""Oriental Bamboo Calligraphy Gold Foil"" – nail art stickers")</x:f>
        <x:v>HYPERLINK is not implemented. linkLocation=https://365nails.com/products/365nails-oriental-bamboo-calligraphy-gold-foil-nail-art-stickers, friendlyName=365nails: "Oriental Bamboo Calligraphy Gold Foil" – nail art stickers</x:v>
      </x:c>
      <x:c r="D7028" s="18" t="str">
        <x:v>Specification type: Ms 412 / Ms413-new hot stamping / Ms414-green gold</x:v>
      </x:c>
      <x:c r="E7028" s="25" t="str">
        <x:v>$1.09</x:v>
      </x:c>
      <x:c r="F7028" s="19" t="str">
        <x:v>5</x:v>
      </x:c>
    </x:row>
    <x:row r="7029" ht="93" customHeight="1">
      <x:c r="A7029" s="19" t="n">
        <x:v>7026</x:v>
      </x:c>
      <x:c r="B7029" s="22" t="e">
        <x:f>HYPERLINK("https://cdn.shopify.com/s/files/1/0918/6066/4603/files/O1CN010aZIQl1HlWrtyU3hN__2545140798-0-cib.jpg?v=1776262021","Open")</x:f>
        <x:v>HYPERLINK is not implemented. linkLocation=https://cdn.shopify.com/s/files/1/0918/6066/4603/files/O1CN010aZIQl1HlWrtyU3hN__2545140798-0-cib.jpg?v=1776262021, friendlyName=Open</x:v>
      </x:c>
      <x:c r="C7029" s="24" t="e">
        <x:f>HYPERLINK("https://365nails.com/products/365nails-vintage-red-butterfly-crystal-lace-nail-art-stickers","365nails: ""Vintage Red Butterfly Crystal Lace"" – nail art stickers")</x:f>
        <x:v>HYPERLINK is not implemented. linkLocation=https://365nails.com/products/365nails-vintage-red-butterfly-crystal-lace-nail-art-stickers, friendlyName=365nails: "Vintage Red Butterfly Crystal Lace" – nail art stickers</x:v>
      </x:c>
      <x:c r="D7029" s="18" t="str">
        <x:v>Specification type: To2662 / To2664 / Ms 315</x:v>
      </x:c>
      <x:c r="E7029" s="25" t="str">
        <x:v>$1.23</x:v>
      </x:c>
      <x:c r="F7029" s="19" t="str">
        <x:v>5</x:v>
      </x:c>
    </x:row>
    <x:row r="7030" ht="93" customHeight="1">
      <x:c r="A7030" s="19" t="n">
        <x:v>7027</x:v>
      </x:c>
      <x:c r="B7030" s="22" t="e">
        <x:f>HYPERLINK("https://cdn.shopify.com/s/files/1/0918/6066/4603/files/9edc1d77a3659c7dabc15ac0b6743fc8.jpg?v=1777793371","Open")</x:f>
        <x:v>HYPERLINK is not implemented. linkLocation=https://cdn.shopify.com/s/files/1/0918/6066/4603/files/9edc1d77a3659c7dabc15ac0b6743fc8.jpg?v=1777793371, friendlyName=Open</x:v>
      </x:c>
      <x:c r="C7030" s="24" t="e">
        <x:f>HYPERLINK("https://365nails.com/products/365nails-nude-brown-flower-wave-3d-handmade-medium-stiletto-press-on-nails","365nails: ""Nude Brown Flower Wave 3D"" – Handmade Medium Stiletto Press-On Nails")</x:f>
        <x:v>HYPERLINK is not implemented. linkLocation=https://365nails.com/products/365nails-nude-brown-flower-wave-3d-handmade-medium-stiletto-press-on-nails, friendlyName=365nails: "Nude Brown Flower Wave 3D" – Handmade Medium Stiletto Press-On Nails</x:v>
      </x:c>
      <x:c r="D7030" s="18" t="str">
        <x:v>Size: XS / S / M / L</x:v>
      </x:c>
      <x:c r="E7030" s="25" t="str">
        <x:v>$3.49</x:v>
      </x:c>
      <x:c r="F7030" s="19" t="str">
        <x:v>5</x:v>
      </x:c>
    </x:row>
    <x:row r="7031" ht="93" customHeight="1">
      <x:c r="A7031" s="19" t="n">
        <x:v>7028</x:v>
      </x:c>
      <x:c r="B7031" s="22" t="e">
        <x:f>HYPERLINK("https://cdn.shopify.com/s/files/1/0918/6066/4603/files/f0f91de9e13a149b86535216c6950010.jpg?v=1772872975","Open")</x:f>
        <x:v>HYPERLINK is not implemented. linkLocation=https://cdn.shopify.com/s/files/1/0918/6066/4603/files/f0f91de9e13a149b86535216c6950010.jpg?v=1772872975, friendlyName=Open</x:v>
      </x:c>
      <x:c r="C7031" s="24" t="e">
        <x:f>HYPERLINK("https://365nails.com/products/nail-stickers-iridescent-white-butterfly-nail-stickers-5d-embossed-ethereal-flutter-set","nail stickers Iridescent White Butterfly Nail Stickers – 5D Embossed Ethereal Flutter Set")</x:f>
        <x:v>HYPERLINK is not implemented. linkLocation=https://365nails.com/products/nail-stickers-iridescent-white-butterfly-nail-stickers-5d-embossed-ethereal-flutter-set, friendlyName=nail stickers Iridescent White Butterfly Nail Stickers – 5D Embossed Ethereal Flutter Set</x:v>
      </x:c>
      <x:c r="D7031" s="18" t="str">
        <x:v>Specification type: To4620-shell light</x:v>
      </x:c>
      <x:c r="E7031" s="25" t="str">
        <x:v>$1.23</x:v>
      </x:c>
      <x:c r="F7031" s="19" t="str">
        <x:v>5</x:v>
      </x:c>
    </x:row>
    <x:row r="7032" ht="93" customHeight="1">
      <x:c r="A7032" s="19" t="n">
        <x:v>7029</x:v>
      </x:c>
      <x:c r="B7032" s="22" t="e">
        <x:f>HYPERLINK("https://cdn.shopify.com/s/files/1/0918/6066/4603/files/O1CN01xIm6cp1HlWsrMmVk2__2545140798-0-cib.jpg?v=1776258464","Open")</x:f>
        <x:v>HYPERLINK is not implemented. linkLocation=https://cdn.shopify.com/s/files/1/0918/6066/4603/files/O1CN01xIm6cp1HlWsrMmVk2__2545140798-0-cib.jpg?v=1776258464, friendlyName=Open</x:v>
      </x:c>
      <x:c r="C7032" s="24" t="e">
        <x:f>HYPERLINK("https://365nails.com/products/365nails-gold-foil-star-moon-celestial-ornament-nail-art-stickers","365nails: ""Gold Foil Star Moon Celestial Ornament"" – nail art stickers")</x:f>
        <x:v>HYPERLINK is not implemented. linkLocation=https://365nails.com/products/365nails-gold-foil-star-moon-celestial-ornament-nail-art-stickers, friendlyName=365nails: "Gold Foil Star Moon Celestial Ornament" – nail art stickers</x:v>
      </x:c>
      <x:c r="D7032" s="18" t="str">
        <x:v>Specification type: To2857-new hot stamping / To2857-silver</x:v>
      </x:c>
      <x:c r="E7032" s="25" t="str">
        <x:v>$1.23</x:v>
      </x:c>
      <x:c r="F7032" s="19" t="str">
        <x:v>5</x:v>
      </x:c>
    </x:row>
    <x:row r="7033" ht="93" customHeight="1">
      <x:c r="A7033" s="19" t="n">
        <x:v>7030</x:v>
      </x:c>
      <x:c r="B7033" s="22" t="e">
        <x:f>HYPERLINK("https://cdn.shopify.com/s/files/1/0918/6066/4603/files/8183f5ea1185c821be4eeac6b38ece64.jpg?v=1777793632","Open")</x:f>
        <x:v>HYPERLINK is not implemented. linkLocation=https://cdn.shopify.com/s/files/1/0918/6066/4603/files/8183f5ea1185c821be4eeac6b38ece64.jpg?v=1777793632, friendlyName=Open</x:v>
      </x:c>
      <x:c r="C7033" s="24" t="e">
        <x:f>HYPERLINK("https://365nails.com/products/365nails-pink-fruit-mix-3d-handmade-medium-stiletto-press-on-nails","365nails: ""Pink Fruit Mix 3D"" – Handmade Medium Stiletto Press-On Nails")</x:f>
        <x:v>HYPERLINK is not implemented. linkLocation=https://365nails.com/products/365nails-pink-fruit-mix-3d-handmade-medium-stiletto-press-on-nails, friendlyName=365nails: "Pink Fruit Mix 3D" – Handmade Medium Stiletto Press-On Nails</x:v>
      </x:c>
      <x:c r="D7033" s="18" t="str">
        <x:v>Size: XS / S / M / L</x:v>
      </x:c>
      <x:c r="E7033" s="25" t="str">
        <x:v>$3.49</x:v>
      </x:c>
      <x:c r="F7033" s="19" t="str">
        <x:v>5</x:v>
      </x:c>
    </x:row>
    <x:row r="7034" ht="93" customHeight="1">
      <x:c r="A7034" s="19" t="n">
        <x:v>7031</x:v>
      </x:c>
      <x:c r="B7034" s="22" t="e">
        <x:f>HYPERLINK("https://cdn.shopify.com/s/files/1/0918/6066/4603/files/fd3a0cfd16ac0a6a218445137db8c395.jpg?v=1775294113","Open")</x:f>
        <x:v>HYPERLINK is not implemented. linkLocation=https://cdn.shopify.com/s/files/1/0918/6066/4603/files/fd3a0cfd16ac0a6a218445137db8c395.jpg?v=1775294113, friendlyName=Open</x:v>
      </x:c>
      <x:c r="C7034" s="24" t="e">
        <x:f>HYPERLINK("https://365nails.com/products/gothic-bloom-ivory-lily-long-coffin-press-on-nails","Gothic Bloom: ""Ivory Lily"" – Long Coffin Press-on Nails")</x:f>
        <x:v>HYPERLINK is not implemented. linkLocation=https://365nails.com/products/gothic-bloom-ivory-lily-long-coffin-press-on-nails, friendlyName=Gothic Bloom: "Ivory Lily" – Long Coffin Press-on Nails</x:v>
      </x:c>
      <x:c r="D7034" s="18" t="str">
        <x:v>Size: XS / S / M / L</x:v>
      </x:c>
      <x:c r="E7034" s="25" t="str">
        <x:v>$3.99</x:v>
      </x:c>
      <x:c r="F7034" s="19" t="str">
        <x:v>5</x:v>
      </x:c>
    </x:row>
    <x:row r="7035" ht="93" customHeight="1">
      <x:c r="A7035" s="19" t="n">
        <x:v>7032</x:v>
      </x:c>
      <x:c r="B7035" s="22" t="e">
        <x:f>HYPERLINK("https://cdn.shopify.com/s/files/1/0918/6066/4603/files/ec0a29f1c764fe97be7014be25357d4b.jpg?v=1777800726","Open")</x:f>
        <x:v>HYPERLINK is not implemented. linkLocation=https://cdn.shopify.com/s/files/1/0918/6066/4603/files/ec0a29f1c764fe97be7014be25357d4b.jpg?v=1777800726, friendlyName=Open</x:v>
      </x:c>
      <x:c r="C7035" s="24" t="e">
        <x:f>HYPERLINK("https://365nails.com/products/365nails-ocean-blue-hibiscus-shell-3d-handmade-medium-stiletto-press-on-nails","365nails: ""Ocean Blue Hibiscus Shell 3D"" – Handmade Medium Stiletto Press-On Nails")</x:f>
        <x:v>HYPERLINK is not implemented. linkLocation=https://365nails.com/products/365nails-ocean-blue-hibiscus-shell-3d-handmade-medium-stiletto-press-on-nails, friendlyName=365nails: "Ocean Blue Hibiscus Shell 3D" – Handmade Medium Stiletto Press-On Nails</x:v>
      </x:c>
      <x:c r="D7035" s="18" t="str">
        <x:v>Size: XS / S / M / L</x:v>
      </x:c>
      <x:c r="E7035" s="25" t="str">
        <x:v>$3.49</x:v>
      </x:c>
      <x:c r="F7035" s="19" t="str">
        <x:v>5</x:v>
      </x:c>
    </x:row>
    <x:row r="7036" ht="93" customHeight="1">
      <x:c r="A7036" s="19" t="n">
        <x:v>7033</x:v>
      </x:c>
      <x:c r="B7036" s="22" t="e">
        <x:f>HYPERLINK("https://cdn.shopify.com/s/files/1/0918/6066/4603/files/f054510e43edf3a3085ac7c3b8516b0b.jpg?v=1776416521","Open")</x:f>
        <x:v>HYPERLINK is not implemented. linkLocation=https://cdn.shopify.com/s/files/1/0918/6066/4603/files/f054510e43edf3a3085ac7c3b8516b0b.jpg?v=1776416521, friendlyName=Open</x:v>
      </x:c>
      <x:c r="C7036" s="24" t="e">
        <x:f>HYPERLINK("https://365nails.com/products/365nails-demon-slayer-yoriichi-tsugikuni-handmade-short-almond-press-on-nails","365nails: ""Demon Slayer Yoriichi Tsugikuni"" – Handmade Short Almond Press-On Nails")</x:f>
        <x:v>HYPERLINK is not implemented. linkLocation=https://365nails.com/products/365nails-demon-slayer-yoriichi-tsugikuni-handmade-short-almond-press-on-nails, friendlyName=365nails: "Demon Slayer Yoriichi Tsugikuni" – Handmade Short Almond Press-On Nails</x:v>
      </x:c>
      <x:c r="D7036" s="18" t="str">
        <x:v>Size: XS / S / M</x:v>
      </x:c>
      <x:c r="E7036" s="25" t="str">
        <x:v>$3.49</x:v>
      </x:c>
      <x:c r="F7036" s="19" t="str">
        <x:v>5</x:v>
      </x:c>
    </x:row>
    <x:row r="7037" ht="93" customHeight="1">
      <x:c r="A7037" s="19" t="n">
        <x:v>7034</x:v>
      </x:c>
      <x:c r="B7037" s="22" t="e">
        <x:f>HYPERLINK("https://cdn.shopify.com/s/files/1/0918/6066/4603/files/575cd63c26355eaad813c5ef48ac1fbc.jpg?v=1772948686","Open")</x:f>
        <x:v>HYPERLINK is not implemented. linkLocation=https://cdn.shopify.com/s/files/1/0918/6066/4603/files/575cd63c26355eaad813c5ef48ac1fbc.jpg?v=1772948686, friendlyName=Open</x:v>
      </x:c>
      <x:c r="C7037" s="24" t="e">
        <x:f>HYPERLINK("https://365nails.com/products/tomoni-nail-sticker-storage-album","Tomoni Nail Sticker Storage Album")</x:f>
        <x:v>HYPERLINK is not implemented. linkLocation=https://365nails.com/products/tomoni-nail-sticker-storage-album, friendlyName=Tomoni Nail Sticker Storage Album</x:v>
      </x:c>
      <x:c r="D7037" s="18" t="str">
        <x:v>Color classification: Big green photo album</x:v>
      </x:c>
      <x:c r="E7037" s="25" t="str">
        <x:v>$12.70</x:v>
      </x:c>
      <x:c r="F7037" s="19" t="str">
        <x:v>1</x:v>
      </x:c>
    </x:row>
    <x:row r="7038" ht="93" customHeight="1">
      <x:c r="A7038" s="19" t="n">
        <x:v>7035</x:v>
      </x:c>
      <x:c r="B7038" s="22" t="e">
        <x:f>HYPERLINK("https://cdn.shopify.com/s/files/1/0918/6066/4603/files/5a6636e25ca0cfb5c26b44009227bba4.jpg?v=1776412625","Open")</x:f>
        <x:v>HYPERLINK is not implemented. linkLocation=https://cdn.shopify.com/s/files/1/0918/6066/4603/files/5a6636e25ca0cfb5c26b44009227bba4.jpg?v=1776412625, friendlyName=Open</x:v>
      </x:c>
      <x:c r="C7038" s="24" t="e">
        <x:f>HYPERLINK("https://365nails.com/products/365nails-yellow-anime-character-handmade-medium-almond-press-on-nails","365nails: ""Yellow Anime Character"" – Handmade Medium Almond Press-On Nails")</x:f>
        <x:v>HYPERLINK is not implemented. linkLocation=https://365nails.com/products/365nails-yellow-anime-character-handmade-medium-almond-press-on-nails, friendlyName=365nails: "Yellow Anime Character" – Handmade Medium Almond Press-On Nails</x:v>
      </x:c>
      <x:c r="D7038" s="18" t="str">
        <x:v>Size: XS / S / M</x:v>
      </x:c>
      <x:c r="E7038" s="25" t="str">
        <x:v>$3.49</x:v>
      </x:c>
      <x:c r="F7038" s="19" t="str">
        <x:v>5</x:v>
      </x:c>
    </x:row>
    <x:row r="7039" ht="93" customHeight="1">
      <x:c r="A7039" s="19" t="n">
        <x:v>7036</x:v>
      </x:c>
      <x:c r="B7039" s="22" t="e">
        <x:f>HYPERLINK("https://cdn.shopify.com/s/files/1/0918/6066/4603/files/O1CN0155qcOH1HlWuKF6UOl__2545140798-0-cib.jpg?v=1776262490","Open")</x:f>
        <x:v>HYPERLINK is not implemented. linkLocation=https://cdn.shopify.com/s/files/1/0918/6066/4603/files/O1CN0155qcOH1HlWuKF6UOl__2545140798-0-cib.jpg?v=1776262490, friendlyName=Open</x:v>
      </x:c>
      <x:c r="C7039" s="24" t="e">
        <x:f>HYPERLINK("https://365nails.com/products/365nails-iridescent-jellyfish-ocean-bubble-nail-art-stickers","365nails: ""Iridescent Jellyfish Ocean Bubble"" – nail art stickers")</x:f>
        <x:v>HYPERLINK is not implemented. linkLocation=https://365nails.com/products/365nails-iridescent-jellyfish-ocean-bubble-nail-art-stickers, friendlyName=365nails: "Iridescent Jellyfish Ocean Bubble" – nail art stickers</x:v>
      </x:c>
      <x:c r="D7039" s="18" t="str">
        <x:v>Specification type: To3063 / To3066</x:v>
      </x:c>
      <x:c r="E7039" s="25" t="str">
        <x:v>$1.23</x:v>
      </x:c>
      <x:c r="F7039" s="19" t="str">
        <x:v>5</x:v>
      </x:c>
    </x:row>
    <x:row r="7040" ht="93" customHeight="1">
      <x:c r="A7040" s="19" t="n">
        <x:v>7037</x:v>
      </x:c>
      <x:c r="B7040" s="22" t="e">
        <x:f>HYPERLINK("https://cdn.shopify.com/s/files/1/0918/6066/4603/files/f212ca5524a58414f1f1ad05157b6c8e.jpg?v=1777810493","Open")</x:f>
        <x:v>HYPERLINK is not implemented. linkLocation=https://cdn.shopify.com/s/files/1/0918/6066/4603/files/f212ca5524a58414f1f1ad05157b6c8e.jpg?v=1777810493, friendlyName=Open</x:v>
      </x:c>
      <x:c r="C7040" s="24" t="e">
        <x:f>HYPERLINK("https://365nails.com/products/365nails-pink-cartoon-heart-drip-handmade-long-trapezoid-press-on-nails","365nails: ""Pink Cartoon Heart Drip"" – Handmade Long Trapezoid Press-On Nails")</x:f>
        <x:v>HYPERLINK is not implemented. linkLocation=https://365nails.com/products/365nails-pink-cartoon-heart-drip-handmade-long-trapezoid-press-on-nails, friendlyName=365nails: "Pink Cartoon Heart Drip" – Handmade Long Trapezoid Press-On Nails</x:v>
      </x:c>
      <x:c r="D7040" s="18" t="str">
        <x:v>Size: XS / S / M / L</x:v>
      </x:c>
      <x:c r="E7040" s="25" t="str">
        <x:v>$4.49</x:v>
      </x:c>
      <x:c r="F7040" s="19" t="str">
        <x:v>5</x:v>
      </x:c>
    </x:row>
    <x:row r="7041" ht="93" customHeight="1">
      <x:c r="A7041" s="19" t="n">
        <x:v>7038</x:v>
      </x:c>
      <x:c r="B7041" s="22" t="e">
        <x:f>HYPERLINK("https://cdn.shopify.com/s/files/1/0918/6066/4603/files/8106a6cd5f5d4811e5cf20726da97791.jpg?v=1776417252","Open")</x:f>
        <x:v>HYPERLINK is not implemented. linkLocation=https://cdn.shopify.com/s/files/1/0918/6066/4603/files/8106a6cd5f5d4811e5cf20726da97791.jpg?v=1776417252, friendlyName=Open</x:v>
      </x:c>
      <x:c r="C7041" s="24" t="e">
        <x:f>HYPERLINK("https://365nails.com/products/365nails-demon-slayer-akaza-handmade-short-trapezoid-press-on-nails","365nails: ""Demon Slayer Akaza"" – Handmade Short Trapezoid Press-On Nails")</x:f>
        <x:v>HYPERLINK is not implemented. linkLocation=https://365nails.com/products/365nails-demon-slayer-akaza-handmade-short-trapezoid-press-on-nails, friendlyName=365nails: "Demon Slayer Akaza" – Handmade Short Trapezoid Press-On Nails</x:v>
      </x:c>
      <x:c r="D7041" s="18" t="str">
        <x:v>Size: XS / S / M</x:v>
      </x:c>
      <x:c r="E7041" s="25" t="str">
        <x:v>$3.49</x:v>
      </x:c>
      <x:c r="F7041" s="19" t="str">
        <x:v>5</x:v>
      </x:c>
    </x:row>
    <x:row r="7042" ht="93" customHeight="1">
      <x:c r="A7042" s="19" t="n">
        <x:v>7039</x:v>
      </x:c>
      <x:c r="B7042" s="22" t="e">
        <x:f>HYPERLINK("https://cdn.shopify.com/s/files/1/0918/6066/4603/files/f89be08006549b8ac02138c417766501.jpg?v=1777791792","Open")</x:f>
        <x:v>HYPERLINK is not implemented. linkLocation=https://cdn.shopify.com/s/files/1/0918/6066/4603/files/f89be08006549b8ac02138c417766501.jpg?v=1777791792, friendlyName=Open</x:v>
      </x:c>
      <x:c r="C7042" s="24" t="e">
        <x:f>HYPERLINK("https://365nails.com/products/365nails-white-glitter-rose-butterfly-rhinestone-handmade-medium-coffin-press-on-nails","365nails: ""White Glitter Rose Butterfly Rhinestone"" – Handmade Medium Coffin Press-On Nails")</x:f>
        <x:v>HYPERLINK is not implemented. linkLocation=https://365nails.com/products/365nails-white-glitter-rose-butterfly-rhinestone-handmade-medium-coffin-press-on-nails, friendlyName=365nails: "White Glitter Rose Butterfly Rhinestone" – Handmade Medium Coffin Press-On Nails</x:v>
      </x:c>
      <x:c r="D7042" s="18" t="str">
        <x:v>Size: XS / S / M / L</x:v>
      </x:c>
      <x:c r="E7042" s="25" t="str">
        <x:v>$3.49</x:v>
      </x:c>
      <x:c r="F7042" s="19" t="str">
        <x:v>5</x:v>
      </x:c>
    </x:row>
    <x:row r="7043" ht="93" customHeight="1">
      <x:c r="A7043" s="19" t="n">
        <x:v>7040</x:v>
      </x:c>
      <x:c r="B7043" s="22" t="e">
        <x:f>HYPERLINK("https://cdn.shopify.com/s/files/1/0918/6066/4603/files/34eabe2f6ce7bc0a6f757268775bcc7b.jpg?v=1777799792","Open")</x:f>
        <x:v>HYPERLINK is not implemented. linkLocation=https://cdn.shopify.com/s/files/1/0918/6066/4603/files/34eabe2f6ce7bc0a6f757268775bcc7b.jpg?v=1777799792, friendlyName=Open</x:v>
      </x:c>
      <x:c r="C7043" s="24" t="e">
        <x:f>HYPERLINK("https://365nails.com/products/365nails-pink-white-gradient-flower-3d-handmade-medium-stiletto-press-on-nails","365nails: ""Pink White Gradient Flower 3D"" – Handmade Medium Stiletto Press-On Nails")</x:f>
        <x:v>HYPERLINK is not implemented. linkLocation=https://365nails.com/products/365nails-pink-white-gradient-flower-3d-handmade-medium-stiletto-press-on-nails, friendlyName=365nails: "Pink White Gradient Flower 3D" – Handmade Medium Stiletto Press-On Nails</x:v>
      </x:c>
      <x:c r="D7043" s="18" t="str">
        <x:v>Size: XS / S / M / L</x:v>
      </x:c>
      <x:c r="E7043" s="25" t="str">
        <x:v>$3.49</x:v>
      </x:c>
      <x:c r="F7043" s="19" t="str">
        <x:v>5</x:v>
      </x:c>
    </x:row>
    <x:row r="7044" ht="93" customHeight="1">
      <x:c r="A7044" s="19" t="n">
        <x:v>7041</x:v>
      </x:c>
      <x:c r="B7044" s="22" t="e">
        <x:f>HYPERLINK("https://cdn.shopify.com/s/files/1/0918/6066/4603/files/60fc7e756e85f7243e36e239bd19d94f.jpg?v=1776412376","Open")</x:f>
        <x:v>HYPERLINK is not implemented. linkLocation=https://cdn.shopify.com/s/files/1/0918/6066/4603/files/60fc7e756e85f7243e36e239bd19d94f.jpg?v=1776412376, friendlyName=Open</x:v>
      </x:c>
      <x:c r="C7044" s="24" t="e">
        <x:f>HYPERLINK("https://365nails.com/products/365nails-anime-character-red-black-handmade-short-almond-press-on-nails","365nails: ""Anime Character Red Black"" – Handmade Short Almond Press-On Nails")</x:f>
        <x:v>HYPERLINK is not implemented. linkLocation=https://365nails.com/products/365nails-anime-character-red-black-handmade-short-almond-press-on-nails, friendlyName=365nails: "Anime Character Red Black" – Handmade Short Almond Press-On Nails</x:v>
      </x:c>
      <x:c r="D7044" s="18" t="str">
        <x:v>Size: XS / S / M</x:v>
      </x:c>
      <x:c r="E7044" s="25" t="str">
        <x:v>$3.49</x:v>
      </x:c>
      <x:c r="F7044" s="19" t="str">
        <x:v>5</x:v>
      </x:c>
    </x:row>
    <x:row r="7045" ht="93" customHeight="1">
      <x:c r="A7045" s="19" t="n">
        <x:v>7042</x:v>
      </x:c>
      <x:c r="B7045" s="22" t="e">
        <x:f>HYPERLINK("https://cdn.shopify.com/s/files/1/0918/6066/4603/files/O1CN01S2hh0r1HlWrzJw1eU__2545140798-0-cib.jpg?v=1776263552","Open")</x:f>
        <x:v>HYPERLINK is not implemented. linkLocation=https://cdn.shopify.com/s/files/1/0918/6066/4603/files/O1CN01S2hh0r1HlWrzJw1eU__2545140798-0-cib.jpg?v=1776263552, friendlyName=Open</x:v>
      </x:c>
      <x:c r="C7045" s="24" t="e">
        <x:f>HYPERLINK("https://365nails.com/products/365nails-chinese-traditional-pattern-nail-art-stickers","365nails: ""Chinese Traditional Pattern"" – nail art stickers")</x:f>
        <x:v>HYPERLINK is not implemented. linkLocation=https://365nails.com/products/365nails-chinese-traditional-pattern-nail-art-stickers, friendlyName=365nails: "Chinese Traditional Pattern" – nail art stickers</x:v>
      </x:c>
      <x:c r="D7045" s="18" t="str">
        <x:v>Specification type: To2682-relief / To2683-thin tough / To2701-relief / To2702-thin tough</x:v>
      </x:c>
      <x:c r="E7045" s="25" t="str">
        <x:v>$1.23</x:v>
      </x:c>
      <x:c r="F7045" s="19" t="str">
        <x:v>5</x:v>
      </x:c>
    </x:row>
    <x:row r="7046" ht="93" customHeight="1">
      <x:c r="A7046" s="19" t="n">
        <x:v>7043</x:v>
      </x:c>
      <x:c r="B7046" s="22" t="e">
        <x:f>HYPERLINK("https://cdn.shopify.com/s/files/1/0918/6066/4603/files/68e1e16a72e1c46a03ecf35a99f8be01.jpg?v=1777785363","Open")</x:f>
        <x:v>HYPERLINK is not implemented. linkLocation=https://cdn.shopify.com/s/files/1/0918/6066/4603/files/68e1e16a72e1c46a03ecf35a99f8be01.jpg?v=1777785363, friendlyName=Open</x:v>
      </x:c>
      <x:c r="C7046" s="24" t="e">
        <x:f>HYPERLINK("https://365nails.com/products/365nails-colorful-butterfly-flower-short-handmade-short-trapezoid-press-on-nails","365nails: ""Colorful Butterfly Flower Short"" – Handmade Short Trapezoid Press-On Nails")</x:f>
        <x:v>HYPERLINK is not implemented. linkLocation=https://365nails.com/products/365nails-colorful-butterfly-flower-short-handmade-short-trapezoid-press-on-nails, friendlyName=365nails: "Colorful Butterfly Flower Short" – Handmade Short Trapezoid Press-On Nails</x:v>
      </x:c>
      <x:c r="D7046" s="18" t="str">
        <x:v>Size: XS / S / M / L</x:v>
      </x:c>
      <x:c r="E7046" s="25" t="str">
        <x:v>$4.49</x:v>
      </x:c>
      <x:c r="F7046" s="19" t="str">
        <x:v>5</x:v>
      </x:c>
    </x:row>
    <x:row r="7047" ht="93" customHeight="1">
      <x:c r="A7047" s="19" t="n">
        <x:v>7044</x:v>
      </x:c>
      <x:c r="B7047" s="22" t="e">
        <x:f>HYPERLINK("https://cdn.shopify.com/s/files/1/0918/6066/4603/files/O1CN01CQquvS1HlWv8SHsuC__2545140798-0-cib.jpg?v=1776261386","Open")</x:f>
        <x:v>HYPERLINK is not implemented. linkLocation=https://cdn.shopify.com/s/files/1/0918/6066/4603/files/O1CN01CQquvS1HlWv8SHsuC__2545140798-0-cib.jpg?v=1776261386, friendlyName=Open</x:v>
      </x:c>
      <x:c r="C7047" s="24" t="e">
        <x:f>HYPERLINK("https://365nails.com/products/365nails-gothic-butterfly-crystal-iridescent-nail-art-stickers","365nails: ""Gothic Butterfly Crystal Iridescent"" – nail art stickers")</x:f>
        <x:v>HYPERLINK is not implemented. linkLocation=https://365nails.com/products/365nails-gothic-butterfly-crystal-iridescent-nail-art-stickers, friendlyName=365nails: "Gothic Butterfly Crystal Iridescent" – nail art stickers</x:v>
      </x:c>
      <x:c r="D7047" s="18" t="str">
        <x:v>Specification type: To3130-new hot stamping crystal diamond / To3130-silver crystal diamond / To3189-crystal diamond / To3190-crystal diamond</x:v>
      </x:c>
      <x:c r="E7047" s="25" t="str">
        <x:v>$1.30</x:v>
      </x:c>
      <x:c r="F7047" s="19" t="str">
        <x:v>5</x:v>
      </x:c>
    </x:row>
    <x:row r="7048" ht="93" customHeight="1">
      <x:c r="A7048" s="19" t="n">
        <x:v>7045</x:v>
      </x:c>
      <x:c r="B7048" s="22" t="e">
        <x:f>HYPERLINK("https://cdn.shopify.com/s/files/1/0918/6066/4603/files/O1CN01JgMqOf1HlX1IWN44Z__2545140798-0-cib.jpg?v=1776506166","Open")</x:f>
        <x:v>HYPERLINK is not implemented. linkLocation=https://cdn.shopify.com/s/files/1/0918/6066/4603/files/O1CN01JgMqOf1HlX1IWN44Z__2545140798-0-cib.jpg?v=1776506166, friendlyName=Open</x:v>
      </x:c>
      <x:c r="C7048" s="24" t="e">
        <x:f>HYPERLINK("https://365nails.com/products/365nails-delicate-cherry-bow-nail-art-stickers","365nails: ""Delicate Cherry &amp; Bow"" – nail art stickers")</x:f>
        <x:v>HYPERLINK is not implemented. linkLocation=https://365nails.com/products/365nails-delicate-cherry-bow-nail-art-stickers, friendlyName=365nails: "Delicate Cherry &amp; Bow" – nail art stickers</x:v>
      </x:c>
      <x:c r="D7048" s="18" t="str">
        <x:v>Specification type: Ta339-crystal diamond / Ta340-crystal diamond / Ta341-crystal diamond / Ta342-crystal diamond</x:v>
      </x:c>
      <x:c r="E7048" s="25" t="str">
        <x:v>$1.30</x:v>
      </x:c>
      <x:c r="F7048" s="19" t="str">
        <x:v>5</x:v>
      </x:c>
    </x:row>
    <x:row r="7049" ht="93" customHeight="1">
      <x:c r="A7049" s="19" t="n">
        <x:v>7046</x:v>
      </x:c>
      <x:c r="B7049" s="22" t="e">
        <x:f>HYPERLINK("https://cdn.shopify.com/s/files/1/0918/6066/4603/files/93d303974c0ef442ec3663c542db2a20.jpg?v=1777808727","Open")</x:f>
        <x:v>HYPERLINK is not implemented. linkLocation=https://cdn.shopify.com/s/files/1/0918/6066/4603/files/93d303974c0ef442ec3663c542db2a20.jpg?v=1777808727, friendlyName=Open</x:v>
      </x:c>
      <x:c r="C7049" s="24" t="e">
        <x:f>HYPERLINK("https://365nails.com/products/365nails-anime-heart-armor-handmade-medium-stiletto-press-on-nails","365nails: ""Anime Heart Armor"" – Handmade Medium Stiletto Press-On Nails")</x:f>
        <x:v>HYPERLINK is not implemented. linkLocation=https://365nails.com/products/365nails-anime-heart-armor-handmade-medium-stiletto-press-on-nails, friendlyName=365nails: "Anime Heart Armor" – Handmade Medium Stiletto Press-On Nails</x:v>
      </x:c>
      <x:c r="D7049" s="18" t="str">
        <x:v>Size: XS / S / M / L</x:v>
      </x:c>
      <x:c r="E7049" s="25" t="str">
        <x:v>$2.99</x:v>
      </x:c>
      <x:c r="F7049" s="19" t="str">
        <x:v>5</x:v>
      </x:c>
    </x:row>
    <x:row r="7050" ht="93" customHeight="1">
      <x:c r="A7050" s="19" t="n">
        <x:v>7047</x:v>
      </x:c>
      <x:c r="B7050" s="22" t="e">
        <x:f>HYPERLINK("https://cdn.shopify.com/s/files/1/0918/6066/4603/files/cabd2eedc7a5f502bc3a10fc83c7d24b.jpg?v=1777792806","Open")</x:f>
        <x:v>HYPERLINK is not implemented. linkLocation=https://cdn.shopify.com/s/files/1/0918/6066/4603/files/cabd2eedc7a5f502bc3a10fc83c7d24b.jpg?v=1777792806, friendlyName=Open</x:v>
      </x:c>
      <x:c r="C7050" s="24" t="e">
        <x:f>HYPERLINK("https://365nails.com/products/365nails-pink-red-ice-cream-flower-starfish-3d-handmade-medium-stiletto-press-on-nails","365nails: ""Pink Red Ice Cream Flower Starfish 3D"" – Handmade Medium Stiletto Press-On Nails")</x:f>
        <x:v>HYPERLINK is not implemented. linkLocation=https://365nails.com/products/365nails-pink-red-ice-cream-flower-starfish-3d-handmade-medium-stiletto-press-on-nails, friendlyName=365nails: "Pink Red Ice Cream Flower Starfish 3D" – Handmade Medium Stiletto Press-On Nails</x:v>
      </x:c>
      <x:c r="D7050" s="18" t="str">
        <x:v>Size: XS / S / M / L</x:v>
      </x:c>
      <x:c r="E7050" s="25" t="str">
        <x:v>$3.49</x:v>
      </x:c>
      <x:c r="F7050" s="19" t="str">
        <x:v>5</x:v>
      </x:c>
    </x:row>
    <x:row r="7051" ht="93" customHeight="1">
      <x:c r="A7051" s="19" t="n">
        <x:v>7048</x:v>
      </x:c>
      <x:c r="B7051" s="22" t="e">
        <x:f>HYPERLINK("https://cdn.shopify.com/s/files/1/0918/6066/4603/files/49233dea6803bb28226594f49f198596.jpg?v=1777778619","Open")</x:f>
        <x:v>HYPERLINK is not implemented. linkLocation=https://cdn.shopify.com/s/files/1/0918/6066/4603/files/49233dea6803bb28226594f49f198596.jpg?v=1777778619, friendlyName=Open</x:v>
      </x:c>
      <x:c r="C7051" s="24" t="e">
        <x:f>HYPERLINK("https://365nails.com/products/365nails-pink-green-flower-butterfly-handmade-short-trapezoid-press-on-nails","365nails: ""Pink Green Flower Butterfly"" – Handmade Short Trapezoid Press-On Nails")</x:f>
        <x:v>HYPERLINK is not implemented. linkLocation=https://365nails.com/products/365nails-pink-green-flower-butterfly-handmade-short-trapezoid-press-on-nails, friendlyName=365nails: "Pink Green Flower Butterfly" – Handmade Short Trapezoid Press-On Nails</x:v>
      </x:c>
      <x:c r="D7051" s="18" t="str">
        <x:v>Size: XS / S / M / L</x:v>
      </x:c>
      <x:c r="E7051" s="25" t="str">
        <x:v>$4.49</x:v>
      </x:c>
      <x:c r="F7051" s="19" t="str">
        <x:v>5</x:v>
      </x:c>
    </x:row>
    <x:row r="7052" ht="93" customHeight="1">
      <x:c r="A7052" s="19" t="n">
        <x:v>7049</x:v>
      </x:c>
      <x:c r="B7052" s="22" t="e">
        <x:f>HYPERLINK("https://cdn.shopify.com/s/files/1/0918/6066/4603/files/7e0227b9de1df78cb4139b86c5715ed7.jpg?v=1777799482","Open")</x:f>
        <x:v>HYPERLINK is not implemented. linkLocation=https://cdn.shopify.com/s/files/1/0918/6066/4603/files/7e0227b9de1df78cb4139b86c5715ed7.jpg?v=1777799482, friendlyName=Open</x:v>
      </x:c>
      <x:c r="C7052" s="24" t="e">
        <x:f>HYPERLINK("https://365nails.com/products/365nails-green-pink-starfish-shell-flower-3d-handmade-medium-stiletto-press-on-nails","365nails: ""Green Pink Starfish Shell Flower 3D"" – Handmade Medium Stiletto Press-On Nails")</x:f>
        <x:v>HYPERLINK is not implemented. linkLocation=https://365nails.com/products/365nails-green-pink-starfish-shell-flower-3d-handmade-medium-stiletto-press-on-nails, friendlyName=365nails: "Green Pink Starfish Shell Flower 3D" – Handmade Medium Stiletto Press-On Nails</x:v>
      </x:c>
      <x:c r="D7052" s="18" t="str">
        <x:v>Size: XS / S / M / L</x:v>
      </x:c>
      <x:c r="E7052" s="25" t="str">
        <x:v>$3.49</x:v>
      </x:c>
      <x:c r="F7052" s="19" t="str">
        <x:v>5</x:v>
      </x:c>
    </x:row>
    <x:row r="7053" ht="93" customHeight="1">
      <x:c r="A7053" s="19" t="n">
        <x:v>7050</x:v>
      </x:c>
      <x:c r="B7053" s="22" t="e">
        <x:f>HYPERLINK("https://cdn.shopify.com/s/files/1/0918/6066/4603/files/13d2bf182a9f507b8614b248b62d9036.jpg?v=1777792525","Open")</x:f>
        <x:v>HYPERLINK is not implemented. linkLocation=https://cdn.shopify.com/s/files/1/0918/6066/4603/files/13d2bf182a9f507b8614b248b62d9036.jpg?v=1777792525, friendlyName=Open</x:v>
      </x:c>
      <x:c r="C7053" s="24" t="e">
        <x:f>HYPERLINK("https://365nails.com/products/365nails-pink-white-flower-rhinestone-heart-handmade-medium-stiletto-press-on-nails","365nails: ""Pink White Flower Rhinestone Heart"" – Handmade Medium Stiletto Press-On Nails")</x:f>
        <x:v>HYPERLINK is not implemented. linkLocation=https://365nails.com/products/365nails-pink-white-flower-rhinestone-heart-handmade-medium-stiletto-press-on-nails, friendlyName=365nails: "Pink White Flower Rhinestone Heart" – Handmade Medium Stiletto Press-On Nails</x:v>
      </x:c>
      <x:c r="D7053" s="18" t="str">
        <x:v>Size: XS / S / M / L</x:v>
      </x:c>
      <x:c r="E7053" s="25" t="str">
        <x:v>$3.49</x:v>
      </x:c>
      <x:c r="F7053" s="19" t="str">
        <x:v>5</x:v>
      </x:c>
    </x:row>
    <x:row r="7054" ht="93" customHeight="1">
      <x:c r="A7054" s="19" t="n">
        <x:v>7051</x:v>
      </x:c>
      <x:c r="B7054" s="22" t="e">
        <x:f>HYPERLINK("https://cdn.shopify.com/s/files/1/0918/6066/4603/files/O1CN01Op8f3Z1HlX1GmwEph__2545140798-0-cib.jpg?v=1776505699","Open")</x:f>
        <x:v>HYPERLINK is not implemented. linkLocation=https://cdn.shopify.com/s/files/1/0918/6066/4603/files/O1CN01Op8f3Z1HlX1GmwEph__2545140798-0-cib.jpg?v=1776505699, friendlyName=Open</x:v>
      </x:c>
      <x:c r="C7054" s="24" t="e">
        <x:f>HYPERLINK("https://365nails.com/products/365nails-colorful-hollow-stars-nail-art-stickers","365nails: ""Colorful Hollow Stars"" – nail art stickers")</x:f>
        <x:v>HYPERLINK is not implemented. linkLocation=https://365nails.com/products/365nails-colorful-hollow-stars-nail-art-stickers, friendlyName=365nails: "Colorful Hollow Stars" – nail art stickers</x:v>
      </x:c>
      <x:c r="D7054" s="18" t="str">
        <x:v>Specification type: To3615-shell light</x:v>
      </x:c>
      <x:c r="E7054" s="25" t="str">
        <x:v>$1.23</x:v>
      </x:c>
      <x:c r="F7054" s="19" t="str">
        <x:v>5</x:v>
      </x:c>
    </x:row>
    <x:row r="7055" ht="93" customHeight="1">
      <x:c r="A7055" s="19" t="n">
        <x:v>7052</x:v>
      </x:c>
      <x:c r="B7055" s="22" t="e">
        <x:f>HYPERLINK("https://cdn.shopify.com/s/files/1/0918/6066/4603/files/c872e33a2b122a1085b74e92d671a2a0.jpg?v=1777793074","Open")</x:f>
        <x:v>HYPERLINK is not implemented. linkLocation=https://cdn.shopify.com/s/files/1/0918/6066/4603/files/c872e33a2b122a1085b74e92d671a2a0.jpg?v=1777793074, friendlyName=Open</x:v>
      </x:c>
      <x:c r="C7055" s="24" t="e">
        <x:f>HYPERLINK("https://365nails.com/products/365nails-nude-brown-flower-rose-gold-mix-handmade-medium-stiletto-press-on-nails","365nails: ""Nude Brown Flower Rose Gold Mix"" – Handmade Medium Stiletto Press-On Nails")</x:f>
        <x:v>HYPERLINK is not implemented. linkLocation=https://365nails.com/products/365nails-nude-brown-flower-rose-gold-mix-handmade-medium-stiletto-press-on-nails, friendlyName=365nails: "Nude Brown Flower Rose Gold Mix" – Handmade Medium Stiletto Press-On Nails</x:v>
      </x:c>
      <x:c r="D7055" s="18" t="str">
        <x:v>Size: XS / S / M / L</x:v>
      </x:c>
      <x:c r="E7055" s="25" t="str">
        <x:v>$3.49</x:v>
      </x:c>
      <x:c r="F7055" s="19" t="str">
        <x:v>5</x:v>
      </x:c>
    </x:row>
    <x:row r="7056" ht="93" customHeight="1">
      <x:c r="A7056" s="19" t="n">
        <x:v>7053</x:v>
      </x:c>
      <x:c r="B7056" s="22" t="e">
        <x:f>HYPERLINK("https://cdn.shopify.com/s/files/1/0918/6066/4603/files/f60e42a0299335efdc6cd6853f2ddded.jpg?v=1777808623","Open")</x:f>
        <x:v>HYPERLINK is not implemented. linkLocation=https://cdn.shopify.com/s/files/1/0918/6066/4603/files/f60e42a0299335efdc6cd6853f2ddded.jpg?v=1777808623, friendlyName=Open</x:v>
      </x:c>
      <x:c r="C7056" s="24" t="e">
        <x:f>HYPERLINK("https://365nails.com/products/365nails-gothic-lolita-heart-handmade-medium-coffin-press-on-nails","365nails: ""Gothic Lolita Heart"" – Handmade Medium Coffin Press-On Nails")</x:f>
        <x:v>HYPERLINK is not implemented. linkLocation=https://365nails.com/products/365nails-gothic-lolita-heart-handmade-medium-coffin-press-on-nails, friendlyName=365nails: "Gothic Lolita Heart" – Handmade Medium Coffin Press-On Nails</x:v>
      </x:c>
      <x:c r="D7056" s="18" t="str">
        <x:v>Size: XS / S / M / L</x:v>
      </x:c>
      <x:c r="E7056" s="25" t="str">
        <x:v>$2.99</x:v>
      </x:c>
      <x:c r="F7056" s="19" t="str">
        <x:v>5</x:v>
      </x:c>
    </x:row>
    <x:row r="7057" ht="93" customHeight="1">
      <x:c r="A7057" s="19" t="n">
        <x:v>7054</x:v>
      </x:c>
      <x:c r="B7057" s="22" t="e">
        <x:f>HYPERLINK("https://cdn.shopify.com/s/files/1/0918/6066/4603/files/O1CN01BQzgkD1HlX2BvRAxC__2545140798-0-cib.jpg?v=1776506415","Open")</x:f>
        <x:v>HYPERLINK is not implemented. linkLocation=https://cdn.shopify.com/s/files/1/0918/6066/4603/files/O1CN01BQzgkD1HlX2BvRAxC__2545140798-0-cib.jpg?v=1776506415, friendlyName=Open</x:v>
      </x:c>
      <x:c r="C7057" s="24" t="e">
        <x:f>HYPERLINK("https://365nails.com/products/365nails-neon-pink-graffiti-heart-nail-art-stickers","365nails: ""Neon Pink Graffiti Heart"" – nail art stickers")</x:f>
        <x:v>HYPERLINK is not implemented. linkLocation=https://365nails.com/products/365nails-neon-pink-graffiti-heart-nail-art-stickers, friendlyName=365nails: "Neon Pink Graffiti Heart" – nail art stickers</x:v>
      </x:c>
      <x:c r="D7057" s="18" t="str">
        <x:v>Specification type: To4103 / To4105 / To4106</x:v>
      </x:c>
      <x:c r="E7057" s="25" t="str">
        <x:v>$1.09</x:v>
      </x:c>
      <x:c r="F7057" s="19" t="str">
        <x:v>5</x:v>
      </x:c>
    </x:row>
    <x:row r="7058" ht="93" customHeight="1">
      <x:c r="A7058" s="19" t="n">
        <x:v>7055</x:v>
      </x:c>
      <x:c r="B7058" s="22" t="e">
        <x:f>HYPERLINK("https://cdn.shopify.com/s/files/1/0918/6066/4603/files/394b6f0785f86060261de04729dc9211.jpg?v=1776070412","Open")</x:f>
        <x:v>HYPERLINK is not implemented. linkLocation=https://cdn.shopify.com/s/files/1/0918/6066/4603/files/394b6f0785f86060261de04729dc9211.jpg?v=1776070412, friendlyName=Open</x:v>
      </x:c>
      <x:c r="C7058" s="24" t="e">
        <x:f>HYPERLINK("https://365nails.com/products/365nails-pink-white-flower-kitty-short-handmade-short-trapezoid-press-on-nails","365nails: ""Pink White Flower Kitty Short"" – Handmade Short Trapezoid Press-On Nails")</x:f>
        <x:v>HYPERLINK is not implemented. linkLocation=https://365nails.com/products/365nails-pink-white-flower-kitty-short-handmade-short-trapezoid-press-on-nails, friendlyName=365nails: "Pink White Flower Kitty Short" – Handmade Short Trapezoid Press-On Nails</x:v>
      </x:c>
      <x:c r="D7058" s="18" t="str">
        <x:v>Size: XS / S / M / L</x:v>
      </x:c>
      <x:c r="E7058" s="25" t="str">
        <x:v>$4.49</x:v>
      </x:c>
      <x:c r="F7058" s="19" t="str">
        <x:v>5</x:v>
      </x:c>
    </x:row>
    <x:row r="7059" ht="93" customHeight="1">
      <x:c r="A7059" s="19" t="n">
        <x:v>7056</x:v>
      </x:c>
      <x:c r="B7059" s="22" t="e">
        <x:f>HYPERLINK("https://cdn.shopify.com/s/files/1/0918/6066/4603/files/O1CN01c5sspm1HlX37BmRV0__2545140798-0-cib.jpg?v=1773544755","Open")</x:f>
        <x:v>HYPERLINK is not implemented. linkLocation=https://cdn.shopify.com/s/files/1/0918/6066/4603/files/O1CN01c5sspm1HlX37BmRV0__2545140798-0-cib.jpg?v=1773544755, friendlyName=Open</x:v>
      </x:c>
      <x:c r="C7059" s="24" t="e">
        <x:f>HYPERLINK("https://365nails.com/products/christmas-crystal-collection-festive-sparkle-3d-crystal-diamond-nail-sticker","Christmas Crystal Collection: ""Festive Sparkle"" – 3D Crystal Diamond Nail Sticker")</x:f>
        <x:v>HYPERLINK is not implemented. linkLocation=https://365nails.com/products/christmas-crystal-collection-festive-sparkle-3d-crystal-diamond-nail-sticker, friendlyName=Christmas Crystal Collection: "Festive Sparkle" – 3D Crystal Diamond Nail Sticker</x:v>
      </x:c>
      <x:c r="D7059" s="18" t="str">
        <x:v>Specification type: To4434-crystal diamond / To4438-crystal diamond / To4439-crystal diamond</x:v>
      </x:c>
      <x:c r="E7059" s="25" t="str">
        <x:v>$1.30</x:v>
      </x:c>
      <x:c r="F7059" s="19" t="str">
        <x:v>5</x:v>
      </x:c>
    </x:row>
    <x:row r="7060" ht="93" customHeight="1">
      <x:c r="A7060" s="19" t="n">
        <x:v>7057</x:v>
      </x:c>
      <x:c r="B7060" s="22" t="e">
        <x:f>HYPERLINK("https://cdn.shopify.com/s/files/1/0918/6066/4603/files/O1CN01Vsoni31HlX1ZEg7ra__2545140798-0-cib.jpg?v=1776511241","Open")</x:f>
        <x:v>HYPERLINK is not implemented. linkLocation=https://cdn.shopify.com/s/files/1/0918/6066/4603/files/O1CN01Vsoni31HlX1ZEg7ra__2545140798-0-cib.jpg?v=1776511241, friendlyName=Open</x:v>
      </x:c>
      <x:c r="C7060" s="24" t="e">
        <x:f>HYPERLINK("https://365nails.com/products/365nails-kuromi-sweet-pastel-nail-art-stickers","365nails: ""Kuromi Sweet Pastel"" – nail art stickers")</x:f>
        <x:v>HYPERLINK is not implemented. linkLocation=https://365nails.com/products/365nails-kuromi-sweet-pastel-nail-art-stickers, friendlyName=365nails: "Kuromi Sweet Pastel" – nail art stickers</x:v>
      </x:c>
      <x:c r="D7060" s="18" t="str">
        <x:v>Specification type: San054</x:v>
      </x:c>
      <x:c r="E7060" s="25" t="str">
        <x:v>$1.16</x:v>
      </x:c>
      <x:c r="F7060" s="19" t="str">
        <x:v>5</x:v>
      </x:c>
    </x:row>
    <x:row r="7061" ht="93" customHeight="1">
      <x:c r="A7061" s="19" t="n">
        <x:v>7058</x:v>
      </x:c>
      <x:c r="B7061" s="22" t="e">
        <x:f>HYPERLINK("https://cdn.shopify.com/s/files/1/0918/6066/4603/files/O1CN01TGFQih1HlX1ZCrwVw__2545140798-0-cib.jpg?v=1776511169","Open")</x:f>
        <x:v>HYPERLINK is not implemented. linkLocation=https://cdn.shopify.com/s/files/1/0918/6066/4603/files/O1CN01TGFQih1HlX1ZCrwVw__2545140798-0-cib.jpg?v=1776511169, friendlyName=Open</x:v>
      </x:c>
      <x:c r="C7061" s="24" t="e">
        <x:f>HYPERLINK("https://365nails.com/products/365nails-birthday-bear-party-nail-art-stickers","365nails: ""Birthday Bear Party"" – nail art stickers")</x:f>
        <x:v>HYPERLINK is not implemented. linkLocation=https://365nails.com/products/365nails-birthday-bear-party-nail-art-stickers, friendlyName=365nails: "Birthday Bear Party" – nail art stickers</x:v>
      </x:c>
      <x:c r="D7061" s="18" t="str">
        <x:v>Specification type: Mc 27 / Mc 31</x:v>
      </x:c>
      <x:c r="E7061" s="25" t="str">
        <x:v>$1.16</x:v>
      </x:c>
      <x:c r="F7061" s="19" t="str">
        <x:v>5</x:v>
      </x:c>
    </x:row>
    <x:row r="7062" ht="93" customHeight="1">
      <x:c r="A7062" s="19" t="n">
        <x:v>7059</x:v>
      </x:c>
      <x:c r="B7062" s="22" t="e">
        <x:f>HYPERLINK("https://cdn.shopify.com/s/files/1/0918/6066/4603/files/O1CN01gkfZeC1HlXAMWwyge__2545140798-0-cib.jpg?v=1773549475","Open")</x:f>
        <x:v>HYPERLINK is not implemented. linkLocation=https://cdn.shopify.com/s/files/1/0918/6066/4603/files/O1CN01gkfZeC1HlXAMWwyge__2545140798-0-cib.jpg?v=1773549475, friendlyName=Open</x:v>
      </x:c>
      <x:c r="C7062" s="24" t="e">
        <x:f>HYPERLINK("https://365nails.com/products/blue-enamel-flower-collection-oriental-grace-3d-embossed-nail-sticker","Blue Enamel Flower Collection: ""Oriental Grace"" – 3D Embossed Nail Sticker")</x:f>
        <x:v>HYPERLINK is not implemented. linkLocation=https://365nails.com/products/blue-enamel-flower-collection-oriental-grace-3d-embossed-nail-sticker, friendlyName=Blue Enamel Flower Collection: "Oriental Grace" – 3D Embossed Nail Sticker</x:v>
      </x:c>
      <x:c r="D7062" s="18" t="str">
        <x:v>Specification type: To5462-1-jelly / To5462-jelly</x:v>
      </x:c>
      <x:c r="E7062" s="25" t="str">
        <x:v>$1.23</x:v>
      </x:c>
      <x:c r="F7062" s="19" t="str">
        <x:v>5</x:v>
      </x:c>
    </x:row>
    <x:row r="7063" ht="93" customHeight="1">
      <x:c r="A7063" s="19" t="n">
        <x:v>7060</x:v>
      </x:c>
      <x:c r="B7063" s="22" t="e">
        <x:f>HYPERLINK("https://cdn.shopify.com/s/files/1/0918/6066/4603/files/O1CN01d7byCK1HlWnUDJYXr__2545140798-0-cib.jpg?v=1772953466","Open")</x:f>
        <x:v>HYPERLINK is not implemented. linkLocation=https://cdn.shopify.com/s/files/1/0918/6066/4603/files/O1CN01d7byCK1HlWnUDJYXr__2545140798-0-cib.jpg?v=1772953466, friendlyName=Open</x:v>
      </x:c>
      <x:c r="C7063" s="24" t="e">
        <x:f>HYPERLINK("https://365nails.com/products/chrome-hearts-retro-gothic-nail-art-accent-set","Chrome Hearts Retro – Gothic Nail Art Accent Set")</x:f>
        <x:v>HYPERLINK is not implemented. linkLocation=https://365nails.com/products/chrome-hearts-retro-gothic-nail-art-accent-set, friendlyName=Chrome Hearts Retro – Gothic Nail Art Accent Set</x:v>
      </x:c>
      <x:c r="D7063" s="18" t="str">
        <x:v>Specification type: To1194</x:v>
      </x:c>
      <x:c r="E7063" s="25" t="str">
        <x:v>$1.23</x:v>
      </x:c>
      <x:c r="F7063" s="19" t="str">
        <x:v>5</x:v>
      </x:c>
    </x:row>
    <x:row r="7064" ht="93" customHeight="1">
      <x:c r="A7064" s="19" t="n">
        <x:v>7061</x:v>
      </x:c>
      <x:c r="B7064" s="22" t="e">
        <x:f>HYPERLINK("https://cdn.shopify.com/s/files/1/0918/6066/4603/files/4104b5b150f19263f5287239defb64a6.jpg?v=1772952396","Open")</x:f>
        <x:v>HYPERLINK is not implemented. linkLocation=https://cdn.shopify.com/s/files/1/0918/6066/4603/files/4104b5b150f19263f5287239defb64a6.jpg?v=1772952396, friendlyName=Open</x:v>
      </x:c>
      <x:c r="C7064" s="24" t="e">
        <x:f>HYPERLINK("https://365nails.com/products/green-retro-florals-vintage-nail-art-accent-set","Green Retro Florals – Vintage Nail Art Accent Set")</x:f>
        <x:v>HYPERLINK is not implemented. linkLocation=https://365nails.com/products/green-retro-florals-vintage-nail-art-accent-set, friendlyName=Green Retro Florals – Vintage Nail Art Accent Set</x:v>
      </x:c>
      <x:c r="D7064" s="18" t="str">
        <x:v>Specification type: To818 / To819 / To817</x:v>
      </x:c>
      <x:c r="E7064" s="25" t="str">
        <x:v>$1.09</x:v>
      </x:c>
      <x:c r="F7064" s="19" t="str">
        <x:v>5</x:v>
      </x:c>
    </x:row>
    <x:row r="7065" ht="93" customHeight="1">
      <x:c r="A7065" s="19" t="n">
        <x:v>7062</x:v>
      </x:c>
      <x:c r="B7065" s="22" t="e">
        <x:f>HYPERLINK("https://cdn.shopify.com/s/files/1/0918/6066/4603/files/O1CN01OQI1zk1HlX7KvwLLX__2545140798-0-cib.jpg?v=1772879042","Open")</x:f>
        <x:v>HYPERLINK is not implemented. linkLocation=https://cdn.shopify.com/s/files/1/0918/6066/4603/files/O1CN01OQI1zk1HlX7KvwLLX__2545140798-0-cib.jpg?v=1772879042, friendlyName=Open</x:v>
      </x:c>
      <x:c r="C7065" s="24" t="e">
        <x:f>HYPERLINK("https://365nails.com/products/miiichan-puppy-girl-5d-embossed-cute-accent-set","Miiichan Puppy &amp; Girl – 5D Embossed Cute Accent Set")</x:f>
        <x:v>HYPERLINK is not implemented. linkLocation=https://365nails.com/products/miiichan-puppy-girl-5d-embossed-cute-accent-set, friendlyName=Miiichan Puppy &amp; Girl – 5D Embossed Cute Accent Set</x:v>
      </x:c>
      <x:c r="D7065" s="18" t="str">
        <x:v>Specification type: Mc64 / Mc66</x:v>
      </x:c>
      <x:c r="E7065" s="25" t="str">
        <x:v>$1.16</x:v>
      </x:c>
      <x:c r="F7065" s="19" t="str">
        <x:v>5</x:v>
      </x:c>
    </x:row>
    <x:row r="7066" ht="93" customHeight="1">
      <x:c r="A7066" s="19" t="n">
        <x:v>7063</x:v>
      </x:c>
      <x:c r="B7066" s="22" t="e">
        <x:f>HYPERLINK("https://cdn.shopify.com/s/files/1/0918/6066/4603/files/O1CN01flOnhn1HlX1W8q7KD__2545140798-0-cib.jpg?v=1776511391","Open")</x:f>
        <x:v>HYPERLINK is not implemented. linkLocation=https://cdn.shopify.com/s/files/1/0918/6066/4603/files/O1CN01flOnhn1HlX1W8q7KD__2545140798-0-cib.jpg?v=1776511391, friendlyName=Open</x:v>
      </x:c>
      <x:c r="C7066" s="24" t="e">
        <x:f>HYPERLINK("https://365nails.com/products/365nails-colorful-hollow-flower-nail-art-stickers","365nails: ""Colorful Hollow Flower"" – nail art stickers")</x:f>
        <x:v>HYPERLINK is not implemented. linkLocation=https://365nails.com/products/365nails-colorful-hollow-flower-nail-art-stickers, friendlyName=365nails: "Colorful Hollow Flower" – nail art stickers</x:v>
      </x:c>
      <x:c r="D7066" s="18" t="str">
        <x:v>Specification type: Ta349-jelly / Ta350-relief</x:v>
      </x:c>
      <x:c r="E7066" s="25" t="str">
        <x:v>$1.23</x:v>
      </x:c>
      <x:c r="F7066" s="19" t="str">
        <x:v>5</x:v>
      </x:c>
    </x:row>
    <x:row r="7067" ht="93" customHeight="1">
      <x:c r="A7067" s="19" t="n">
        <x:v>7064</x:v>
      </x:c>
      <x:c r="B7067" s="22" t="e">
        <x:f>HYPERLINK("https://cdn.shopify.com/s/files/1/0918/6066/4603/files/67076abd2aab1b40fde8cfef5b2301ca.jpg?v=1777791513","Open")</x:f>
        <x:v>HYPERLINK is not implemented. linkLocation=https://cdn.shopify.com/s/files/1/0918/6066/4603/files/67076abd2aab1b40fde8cfef5b2301ca.jpg?v=1777791513, friendlyName=Open</x:v>
      </x:c>
      <x:c r="C7067" s="24" t="e">
        <x:f>HYPERLINK("https://365nails.com/products/365nails-pink-silver-butterfly-bow-pearl-3d-handmade-medium-stiletto-press-on-nails","365nails: ""Pink Silver Butterfly Bow Pearl 3D"" – Handmade Medium Stiletto Press-On Nails")</x:f>
        <x:v>HYPERLINK is not implemented. linkLocation=https://365nails.com/products/365nails-pink-silver-butterfly-bow-pearl-3d-handmade-medium-stiletto-press-on-nails, friendlyName=365nails: "Pink Silver Butterfly Bow Pearl 3D" – Handmade Medium Stiletto Press-On Nails</x:v>
      </x:c>
      <x:c r="D7067" s="18" t="str">
        <x:v>Size: XS / S / M / L</x:v>
      </x:c>
      <x:c r="E7067" s="25" t="str">
        <x:v>$3.49</x:v>
      </x:c>
      <x:c r="F7067" s="19" t="str">
        <x:v>5</x:v>
      </x:c>
    </x:row>
    <x:row r="7068" ht="93" customHeight="1">
      <x:c r="A7068" s="19" t="n">
        <x:v>7065</x:v>
      </x:c>
      <x:c r="B7068" s="22" t="e">
        <x:f>HYPERLINK("https://cdn.shopify.com/s/files/1/0918/6066/4603/files/O1CN013cIoht1HlXA42O3gC__2545140798-0-cib.jpg?v=1773549405","Open")</x:f>
        <x:v>HYPERLINK is not implemented. linkLocation=https://cdn.shopify.com/s/files/1/0918/6066/4603/files/O1CN013cIoht1HlXA42O3gC__2545140798-0-cib.jpg?v=1773549405, friendlyName=Open</x:v>
      </x:c>
      <x:c r="C7068" s="24" t="e">
        <x:f>HYPERLINK("https://365nails.com/products/vintage-dessert-frame-collection-sweet-nostalgia-3d-embossed-nail-sticker","Vintage Dessert Frame Collection: ""Sweet Nostalgia"" – 3D Embossed Nail Sticker")</x:f>
        <x:v>HYPERLINK is not implemented. linkLocation=https://365nails.com/products/vintage-dessert-frame-collection-sweet-nostalgia-3d-embossed-nail-sticker, friendlyName=Vintage Dessert Frame Collection: "Sweet Nostalgia" – 3D Embossed Nail Sticker</x:v>
      </x:c>
      <x:c r="D7068" s="18" t="str">
        <x:v>Specification type: To5353-relief / To5380-relief</x:v>
      </x:c>
      <x:c r="E7068" s="25" t="str">
        <x:v>$1.23</x:v>
      </x:c>
      <x:c r="F7068" s="19" t="str">
        <x:v>5</x:v>
      </x:c>
    </x:row>
    <x:row r="7069" ht="93" customHeight="1">
      <x:c r="A7069" s="19" t="n">
        <x:v>7066</x:v>
      </x:c>
      <x:c r="B7069" s="22" t="e">
        <x:f>HYPERLINK("https://cdn.shopify.com/s/files/1/0918/6066/4603/files/O1CN01yL9jQA1HlX2d35PBY__2545140798-0-cib.jpg?v=1776512334","Open")</x:f>
        <x:v>HYPERLINK is not implemented. linkLocation=https://cdn.shopify.com/s/files/1/0918/6066/4603/files/O1CN01yL9jQA1HlX2d35PBY__2545140798-0-cib.jpg?v=1776512334, friendlyName=Open</x:v>
      </x:c>
      <x:c r="C7069" s="24" t="e">
        <x:f>HYPERLINK("https://365nails.com/products/365nails-embossed-silver-rose-nail-art-stickers","365nails: ""Embossed Silver Rose"" – nail art stickers")</x:f>
        <x:v>HYPERLINK is not implemented. linkLocation=https://365nails.com/products/365nails-embossed-silver-rose-nail-art-stickers, friendlyName=365nails: "Embossed Silver Rose" – nail art stickers</x:v>
      </x:c>
      <x:c r="D7069" s="18" t="str">
        <x:v>Specification type: Ms674-relief</x:v>
      </x:c>
      <x:c r="E7069" s="25" t="str">
        <x:v>$1.23</x:v>
      </x:c>
      <x:c r="F7069" s="19" t="str">
        <x:v>5</x:v>
      </x:c>
    </x:row>
    <x:row r="7070" ht="93" customHeight="1">
      <x:c r="A7070" s="19" t="n">
        <x:v>7067</x:v>
      </x:c>
      <x:c r="B7070" s="22" t="e">
        <x:f>HYPERLINK("https://cdn.shopify.com/s/files/1/0918/6066/4603/files/O1CN01nh4tG81HlX1IA1nuO__2545140798-0-cib.jpg?v=1776505941","Open")</x:f>
        <x:v>HYPERLINK is not implemented. linkLocation=https://cdn.shopify.com/s/files/1/0918/6066/4603/files/O1CN01nh4tG81HlX1IA1nuO__2545140798-0-cib.jpg?v=1776505941, friendlyName=Open</x:v>
      </x:c>
      <x:c r="C7070" s="24" t="e">
        <x:f>HYPERLINK("https://365nails.com/products/365nails-strawberry-teddy-friends-nail-art-stickers","365nails: ""Strawberry Teddy &amp; Friends"" – nail art stickers")</x:f>
        <x:v>HYPERLINK is not implemented. linkLocation=https://365nails.com/products/365nails-strawberry-teddy-friends-nail-art-stickers, friendlyName=365nails: "Strawberry Teddy &amp; Friends" – nail art stickers</x:v>
      </x:c>
      <x:c r="D7070" s="18" t="str">
        <x:v>Specification type: Mc 23</x:v>
      </x:c>
      <x:c r="E7070" s="25" t="str">
        <x:v>$1.16</x:v>
      </x:c>
      <x:c r="F7070" s="19" t="str">
        <x:v>5</x:v>
      </x:c>
    </x:row>
    <x:row r="7071" ht="93" customHeight="1">
      <x:c r="A7071" s="19" t="n">
        <x:v>7068</x:v>
      </x:c>
      <x:c r="B7071" s="22" t="e">
        <x:f>HYPERLINK("https://cdn.shopify.com/s/files/1/0918/6066/4603/files/O1CN015Aut7D1HlX1988ffc__2545140798-0-cib.jpg?v=1776505546","Open")</x:f>
        <x:v>HYPERLINK is not implemented. linkLocation=https://cdn.shopify.com/s/files/1/0918/6066/4603/files/O1CN015Aut7D1HlX1988ffc__2545140798-0-cib.jpg?v=1776505546, friendlyName=Open</x:v>
      </x:c>
      <x:c r="C7071" s="24" t="e">
        <x:f>HYPERLINK("https://365nails.com/products/365nails-cute-face-expressions-nail-art-stickers","365nails: ""Cute Face Expressions"" – nail art stickers")</x:f>
        <x:v>HYPERLINK is not implemented. linkLocation=https://365nails.com/products/365nails-cute-face-expressions-nail-art-stickers, friendlyName=365nails: "Cute Face Expressions" – nail art stickers</x:v>
      </x:c>
      <x:c r="D7071" s="18" t="str">
        <x:v>Specification type: Ta333-relief</x:v>
      </x:c>
      <x:c r="E7071" s="25" t="str">
        <x:v>$1.23</x:v>
      </x:c>
      <x:c r="F7071" s="19" t="str">
        <x:v>5</x:v>
      </x:c>
    </x:row>
    <x:row r="7072" ht="93" customHeight="1">
      <x:c r="A7072" s="19" t="n">
        <x:v>7069</x:v>
      </x:c>
      <x:c r="B7072" s="22" t="e">
        <x:f>HYPERLINK("https://cdn.shopify.com/s/files/1/0918/6066/4603/files/O1CN01q6FUxc1HlX1OX3hhP__2545140798-0-cib.jpg?v=1776506079","Open")</x:f>
        <x:v>HYPERLINK is not implemented. linkLocation=https://cdn.shopify.com/s/files/1/0918/6066/4603/files/O1CN01q6FUxc1HlX1OX3hhP__2545140798-0-cib.jpg?v=1776506079, friendlyName=Open</x:v>
      </x:c>
      <x:c r="C7072" s="24" t="e">
        <x:f>HYPERLINK("https://365nails.com/products/365nails-pastel-teddy-party-nail-art-stickers","365nails: ""Pastel Teddy Party"" – nail art stickers")</x:f>
        <x:v>HYPERLINK is not implemented. linkLocation=https://365nails.com/products/365nails-pastel-teddy-party-nail-art-stickers, friendlyName=365nails: "Pastel Teddy Party" – nail art stickers</x:v>
      </x:c>
      <x:c r="D7072" s="18" t="str">
        <x:v>Specification type: To4076-crystal diamond / To4078-crystal diamond</x:v>
      </x:c>
      <x:c r="E7072" s="25" t="str">
        <x:v>$1.30</x:v>
      </x:c>
      <x:c r="F7072" s="19" t="str">
        <x:v>5</x:v>
      </x:c>
    </x:row>
    <x:row r="7073" ht="93" customHeight="1">
      <x:c r="A7073" s="19" t="n">
        <x:v>7070</x:v>
      </x:c>
      <x:c r="B7073" s="22" t="e">
        <x:f>HYPERLINK("https://cdn.shopify.com/s/files/1/0918/6066/4603/files/O1CN01S5dbKN1HlX12g2H9Z__2545140798-0-cib.jpg?v=1776505779","Open")</x:f>
        <x:v>HYPERLINK is not implemented. linkLocation=https://cdn.shopify.com/s/files/1/0918/6066/4603/files/O1CN01S5dbKN1HlX12g2H9Z__2545140798-0-cib.jpg?v=1776505779, friendlyName=Open</x:v>
      </x:c>
      <x:c r="C7073" s="24" t="e">
        <x:f>HYPERLINK("https://365nails.com/products/365nails-vintage-pink-blossom-swallow-nail-art-stickers","365nails: ""Vintage Pink Blossom &amp; Swallow"" – nail art stickers")</x:f>
        <x:v>HYPERLINK is not implemented. linkLocation=https://365nails.com/products/365nails-vintage-pink-blossom-swallow-nail-art-stickers, friendlyName=365nails: "Vintage Pink Blossom &amp; Swallow" – nail art stickers</x:v>
      </x:c>
      <x:c r="D7073" s="18" t="str">
        <x:v>Specification type: Ms593-crystal diamond</x:v>
      </x:c>
      <x:c r="E7073" s="25" t="str">
        <x:v>$1.30</x:v>
      </x:c>
      <x:c r="F7073" s="19" t="str">
        <x:v>5</x:v>
      </x:c>
    </x:row>
    <x:row r="7074" ht="93" customHeight="1">
      <x:c r="A7074" s="19" t="n">
        <x:v>7071</x:v>
      </x:c>
      <x:c r="B7074" s="22" t="e">
        <x:f>HYPERLINK("https://cdn.shopify.com/s/files/1/0918/6066/4603/files/O1CN01rUAPbe1HlWrVpWIkX__2545140798-0-cib.jpg?v=1776263378","Open")</x:f>
        <x:v>HYPERLINK is not implemented. linkLocation=https://cdn.shopify.com/s/files/1/0918/6066/4603/files/O1CN01rUAPbe1HlWrVpWIkX__2545140798-0-cib.jpg?v=1776263378, friendlyName=Open</x:v>
      </x:c>
      <x:c r="C7074" s="24" t="e">
        <x:f>HYPERLINK("https://365nails.com/products/365nails-vintage-holographic-floral-border-nail-art-stickers","365nails: ""Vintage Holographic Floral Border"" – nail art stickers")</x:f>
        <x:v>HYPERLINK is not implemented. linkLocation=https://365nails.com/products/365nails-vintage-holographic-floral-border-nail-art-stickers, friendlyName=365nails: "Vintage Holographic Floral Border" – nail art stickers</x:v>
      </x:c>
      <x:c r="D7074" s="18" t="str">
        <x:v>Specification type: Sl-148-g / Sl-149-g / Sl-150 g / Sl-151–g / Sl-152-g / Sl-153 g / Sl-154-g / Sl-155-g</x:v>
      </x:c>
      <x:c r="E7074" s="25" t="str">
        <x:v>$1.46</x:v>
      </x:c>
      <x:c r="F7074" s="19" t="str">
        <x:v>5</x:v>
      </x:c>
    </x:row>
    <x:row r="7075" ht="93" customHeight="1">
      <x:c r="A7075" s="19" t="n">
        <x:v>7072</x:v>
      </x:c>
      <x:c r="B7075" s="22" t="e">
        <x:f>HYPERLINK("https://cdn.shopify.com/s/files/1/0918/6066/4603/files/O1CN01odBFX81HlX6JqcCa9__2545140798-0-cib.jpg?v=1773543532","Open")</x:f>
        <x:v>HYPERLINK is not implemented. linkLocation=https://cdn.shopify.com/s/files/1/0918/6066/4603/files/O1CN01odBFX81HlX6JqcCa9__2545140798-0-cib.jpg?v=1773543532, friendlyName=Open</x:v>
      </x:c>
      <x:c r="C7075" s="24" t="e">
        <x:f>HYPERLINK("https://365nails.com/products/blue-porcelain-flower-collection-celadon-vase-3d-holographic-nail-sticker","Blue Porcelain Flower Collection: ""Celadon Vase"" – 3D Holographic Nail Sticker")</x:f>
        <x:v>HYPERLINK is not implemented. linkLocation=https://365nails.com/products/blue-porcelain-flower-collection-celadon-vase-3d-holographic-nail-sticker, friendlyName=Blue Porcelain Flower Collection: "Celadon Vase" – 3D Holographic Nail Sticker</x:v>
      </x:c>
      <x:c r="D7075" s="18" t="str">
        <x:v>Specification type: To4988-metal</x:v>
      </x:c>
      <x:c r="E7075" s="25" t="str">
        <x:v>$1.23</x:v>
      </x:c>
      <x:c r="F7075" s="19" t="str">
        <x:v>5</x:v>
      </x:c>
    </x:row>
    <x:row r="7076" ht="93" customHeight="1">
      <x:c r="A7076" s="19" t="n">
        <x:v>7073</x:v>
      </x:c>
      <x:c r="B7076" s="22" t="e">
        <x:f>HYPERLINK("https://cdn.shopify.com/s/files/1/0918/6066/4603/files/O1CN01sequ0D1HlX2dkp6J1__2545140798-0-cib.jpg?v=1776512781","Open")</x:f>
        <x:v>HYPERLINK is not implemented. linkLocation=https://cdn.shopify.com/s/files/1/0918/6066/4603/files/O1CN01sequ0D1HlX2dkp6J1__2545140798-0-cib.jpg?v=1776512781, friendlyName=Open</x:v>
      </x:c>
      <x:c r="C7076" s="24" t="e">
        <x:f>HYPERLINK("https://365nails.com/products/365nails-white-lace-butterfly-nail-art-stickers","365nails: ""White Lace Butterfly"" – nail art stickers")</x:f>
        <x:v>HYPERLINK is not implemented. linkLocation=https://365nails.com/products/365nails-white-lace-butterfly-nail-art-stickers, friendlyName=365nails: "White Lace Butterfly" – nail art stickers</x:v>
      </x:c>
      <x:c r="D7076" s="18" t="str">
        <x:v>Specification type: To4330-relief / To4331-relief / To4332-relief</x:v>
      </x:c>
      <x:c r="E7076" s="25" t="str">
        <x:v>$1.23</x:v>
      </x:c>
      <x:c r="F7076" s="19" t="str">
        <x:v>5</x:v>
      </x:c>
    </x:row>
    <x:row r="7077" ht="93" customHeight="1">
      <x:c r="A7077" s="19" t="n">
        <x:v>7074</x:v>
      </x:c>
      <x:c r="B7077" s="22" t="e">
        <x:f>HYPERLINK("https://cdn.shopify.com/s/files/1/0918/6066/4603/files/O1CN01t2gaNJ1HlWt5tSUUI__2545140798-0-cib.jpg?v=1773543772","Open")</x:f>
        <x:v>HYPERLINK is not implemented. linkLocation=https://cdn.shopify.com/s/files/1/0918/6066/4603/files/O1CN01t2gaNJ1HlWt5tSUUI__2545140798-0-cib.jpg?v=1773543772, friendlyName=Open</x:v>
      </x:c>
      <x:c r="C7077" s="24" t="e">
        <x:f>HYPERLINK("https://365nails.com/products/jelly-blush-heart-collection-black-cherry-blush-3d-jelly-nail-sticker","Jelly Blush Heart Collection: ""Black Cherry Blush"" – 3D Jelly Nail Sticker")</x:f>
        <x:v>HYPERLINK is not implemented. linkLocation=https://365nails.com/products/jelly-blush-heart-collection-black-cherry-blush-3d-jelly-nail-sticker, friendlyName=Jelly Blush Heart Collection: "Black Cherry Blush" – 3D Jelly Nail Sticker</x:v>
      </x:c>
      <x:c r="D7077" s="18" t="str">
        <x:v>Specification type: To2830 / To2853 / To2864 / To2869</x:v>
      </x:c>
      <x:c r="E7077" s="25" t="str">
        <x:v>$1.23</x:v>
      </x:c>
      <x:c r="F7077" s="19" t="str">
        <x:v>5</x:v>
      </x:c>
    </x:row>
    <x:row r="7078" ht="93" customHeight="1">
      <x:c r="A7078" s="19" t="n">
        <x:v>7075</x:v>
      </x:c>
      <x:c r="B7078" s="22" t="e">
        <x:f>HYPERLINK("https://cdn.shopify.com/s/files/1/0918/6066/4603/files/O1CN01tV9iH71HlX16kO7kv__2545140798-0-cib.jpg?v=1776511557","Open")</x:f>
        <x:v>HYPERLINK is not implemented. linkLocation=https://cdn.shopify.com/s/files/1/0918/6066/4603/files/O1CN01tV9iH71HlX16kO7kv__2545140798-0-cib.jpg?v=1776511557, friendlyName=Open</x:v>
      </x:c>
      <x:c r="C7078" s="24" t="e">
        <x:f>HYPERLINK("https://365nails.com/products/365nails-miiiichan-cute-animal-friends-nail-art-stickers","365nails: ""Miiiichan Cute Animal Friends"" – nail art stickers")</x:f>
        <x:v>HYPERLINK is not implemented. linkLocation=https://365nails.com/products/365nails-miiiichan-cute-animal-friends-nail-art-stickers, friendlyName=365nails: "Miiiichan Cute Animal Friends" – nail art stickers</x:v>
      </x:c>
      <x:c r="D7078" s="18" t="str">
        <x:v>Specification type: Mc 19</x:v>
      </x:c>
      <x:c r="E7078" s="25" t="str">
        <x:v>$1.16</x:v>
      </x:c>
      <x:c r="F7078" s="19" t="str">
        <x:v>5</x:v>
      </x:c>
    </x:row>
    <x:row r="7079" ht="93" customHeight="1">
      <x:c r="A7079" s="19" t="n">
        <x:v>7076</x:v>
      </x:c>
      <x:c r="B7079" s="22" t="e">
        <x:f>HYPERLINK("https://cdn.shopify.com/s/files/1/0918/6066/4603/files/O1CN01XkXZWt1HlWq10uRjV__2545140798-0-cib.jpg?v=1773548999","Open")</x:f>
        <x:v>HYPERLINK is not implemented. linkLocation=https://cdn.shopify.com/s/files/1/0918/6066/4603/files/O1CN01XkXZWt1HlWq10uRjV__2545140798-0-cib.jpg?v=1773548999, friendlyName=Open</x:v>
      </x:c>
      <x:c r="C7079" s="24" t="e">
        <x:f>HYPERLINK("https://365nails.com/products/powerpuff-girls-collection-retro-heroine-3d-embossed-nail-sticker","Powerpuff Girls Collection: ""Retro Heroine"" – 3D Embossed Nail Sticker")</x:f>
        <x:v>HYPERLINK is not implemented. linkLocation=https://365nails.com/products/powerpuff-girls-collection-retro-heroine-3d-embossed-nail-sticker, friendlyName=Powerpuff Girls Collection: "Retro Heroine" – 3D Embossed Nail Sticker</x:v>
      </x:c>
      <x:c r="D7079" s="18" t="str">
        <x:v>Specification type: To 1921 / To1380</x:v>
      </x:c>
      <x:c r="E7079" s="25" t="str">
        <x:v>$1.23</x:v>
      </x:c>
      <x:c r="F7079" s="19" t="str">
        <x:v>5</x:v>
      </x:c>
    </x:row>
    <x:row r="7080" ht="93" customHeight="1">
      <x:c r="A7080" s="19" t="n">
        <x:v>7077</x:v>
      </x:c>
      <x:c r="B7080" s="22" t="e">
        <x:f>HYPERLINK("https://cdn.shopify.com/s/files/1/0918/6066/4603/files/O1CN01S6lt1G1HlX1L8Ykjq__2545140798-0-cib_d897cf92-6d24-4684-b1eb-5c83a7fe33b5.jpg?v=1775451437","Open")</x:f>
        <x:v>HYPERLINK is not implemented. linkLocation=https://cdn.shopify.com/s/files/1/0918/6066/4603/files/O1CN01S6lt1G1HlX1L8Ykjq__2545140798-0-cib_d897cf92-6d24-4684-b1eb-5c83a7fe33b5.jpg?v=1775451437, friendlyName=Open</x:v>
      </x:c>
      <x:c r="C7080" s="24" t="e">
        <x:f>HYPERLINK("https://365nails.com/products/365nails-dual-tone-heart-chain-handmade-press-on","365nails: ""Dual-tone Heart &amp; Chain""")</x:f>
        <x:v>HYPERLINK is not implemented. linkLocation=https://365nails.com/products/365nails-dual-tone-heart-chain-handmade-press-on, friendlyName=365nails: "Dual-tone Heart &amp; Chain"</x:v>
      </x:c>
      <x:c r="D7080" s="18" t="str">
        <x:v>Specification type: Ta316-new hot stamping / Ta317-shell light / Ta319-silver / Ta321-shell light</x:v>
      </x:c>
      <x:c r="E7080" s="25" t="str">
        <x:v>$1.23</x:v>
      </x:c>
      <x:c r="F7080" s="19" t="str">
        <x:v>5</x:v>
      </x:c>
    </x:row>
    <x:row r="7081" ht="93" customHeight="1">
      <x:c r="A7081" s="19" t="n">
        <x:v>7078</x:v>
      </x:c>
      <x:c r="B7081" s="22" t="e">
        <x:f>HYPERLINK("https://cdn.shopify.com/s/files/1/0918/6066/4603/files/O1CN01GEN5Sl1HlXBCzyA0N__2545140798-0-cib.jpg?v=1773550002","Open")</x:f>
        <x:v>HYPERLINK is not implemented. linkLocation=https://cdn.shopify.com/s/files/1/0918/6066/4603/files/O1CN01GEN5Sl1HlXBCzyA0N__2545140798-0-cib.jpg?v=1773550002, friendlyName=Open</x:v>
      </x:c>
      <x:c r="C7081" s="24" t="e">
        <x:f>HYPERLINK("https://365nails.com/products/peacock-feather-enamel-collection-oriental-splendor-3d-embossed-nail-sticker","Peacock Feather Enamel Collection: ""Oriental Splendor"" – 3D Embossed Nail Sticker")</x:f>
        <x:v>HYPERLINK is not implemented. linkLocation=https://365nails.com/products/peacock-feather-enamel-collection-oriental-splendor-3d-embossed-nail-sticker, friendlyName=Peacock Feather Enamel Collection: "Oriental Splendor" – 3D Embossed Nail Sticker</x:v>
      </x:c>
      <x:c r="D7081" s="18" t="str">
        <x:v>Specification type: To5621-hot stamping</x:v>
      </x:c>
      <x:c r="E7081" s="25" t="str">
        <x:v>$1.23</x:v>
      </x:c>
      <x:c r="F7081" s="19" t="str">
        <x:v>5</x:v>
      </x:c>
    </x:row>
    <x:row r="7082" ht="93" customHeight="1">
      <x:c r="A7082" s="19" t="n">
        <x:v>7079</x:v>
      </x:c>
      <x:c r="B7082" s="22" t="e">
        <x:f>HYPERLINK("https://cdn.shopify.com/s/files/1/0918/6066/4603/files/O1CN01hbRIHP1HlX1w5UcpA__2545140798-0-cib.jpg?v=1776512187","Open")</x:f>
        <x:v>HYPERLINK is not implemented. linkLocation=https://cdn.shopify.com/s/files/1/0918/6066/4603/files/O1CN01hbRIHP1HlX1w5UcpA__2545140798-0-cib.jpg?v=1776512187, friendlyName=Open</x:v>
      </x:c>
      <x:c r="C7082" s="24" t="e">
        <x:f>HYPERLINK("https://365nails.com/products/365nails-minimalist-palm-tree-nail-art-stickers","365nails: ""Minimalist Palm Tree"" – nail art stickers")</x:f>
        <x:v>HYPERLINK is not implemented. linkLocation=https://365nails.com/products/365nails-minimalist-palm-tree-nail-art-stickers, friendlyName=365nails: "Minimalist Palm Tree" – nail art stickers</x:v>
      </x:c>
      <x:c r="D7082" s="18" t="str">
        <x:v>Specification type: To4227 / To4228</x:v>
      </x:c>
      <x:c r="E7082" s="25" t="str">
        <x:v>$1.09</x:v>
      </x:c>
      <x:c r="F7082" s="19" t="str">
        <x:v>5</x:v>
      </x:c>
    </x:row>
    <x:row r="7083" ht="93" customHeight="1">
      <x:c r="A7083" s="19" t="n">
        <x:v>7080</x:v>
      </x:c>
      <x:c r="B7083" s="22" t="e">
        <x:f>HYPERLINK("https://cdn.shopify.com/s/files/1/0918/6066/4603/files/O1CN0198x4VB1HlX2dl8q5r__2545140798-0-cib.jpg?v=1776512856","Open")</x:f>
        <x:v>HYPERLINK is not implemented. linkLocation=https://cdn.shopify.com/s/files/1/0918/6066/4603/files/O1CN0198x4VB1HlX2dl8q5r__2545140798-0-cib.jpg?v=1776512856, friendlyName=Open</x:v>
      </x:c>
      <x:c r="C7083" s="24" t="e">
        <x:f>HYPERLINK("https://365nails.com/products/365nails-lolita-cat-doll-nail-art-stickers","365nails: ""Lolita Cat Doll"" – nail art stickers")</x:f>
        <x:v>HYPERLINK is not implemented. linkLocation=https://365nails.com/products/365nails-lolita-cat-doll-nail-art-stickers, friendlyName=365nails: "Lolita Cat Doll" – nail art stickers</x:v>
      </x:c>
      <x:c r="D7083" s="18" t="str">
        <x:v>Specification type: To4342-crystal diamond</x:v>
      </x:c>
      <x:c r="E7083" s="25" t="str">
        <x:v>$1.30</x:v>
      </x:c>
      <x:c r="F7083" s="19" t="str">
        <x:v>5</x:v>
      </x:c>
    </x:row>
    <x:row r="7084" ht="93" customHeight="1">
      <x:c r="A7084" s="19" t="n">
        <x:v>7081</x:v>
      </x:c>
      <x:c r="B7084" s="22" t="e">
        <x:f>HYPERLINK("https://cdn.shopify.com/s/files/1/0918/6066/4603/files/O1CN01Z7QVlL1HlWlYWhYOV__2545140798-0-cib.jpg?v=1772952256","Open")</x:f>
        <x:v>HYPERLINK is not implemented. linkLocation=https://cdn.shopify.com/s/files/1/0918/6066/4603/files/O1CN01Z7QVlL1HlWlYWhYOV__2545140798-0-cib.jpg?v=1772952256, friendlyName=Open</x:v>
      </x:c>
      <x:c r="C7084" s="24" t="e">
        <x:f>HYPERLINK("https://365nails.com/products/vintage-lace-frames-elegant-nail-art-accent-set","Vintage Lace Frames – Elegant Nail Art Accent Set")</x:f>
        <x:v>HYPERLINK is not implemented. linkLocation=https://365nails.com/products/vintage-lace-frames-elegant-nail-art-accent-set, friendlyName=Vintage Lace Frames – Elegant Nail Art Accent Set</x:v>
      </x:c>
      <x:c r="D7084" s="18" t="str">
        <x:v>Specification type: To812 / To813</x:v>
      </x:c>
      <x:c r="E7084" s="25" t="str">
        <x:v>$1.23</x:v>
      </x:c>
      <x:c r="F7084" s="19" t="str">
        <x:v>5</x:v>
      </x:c>
    </x:row>
    <x:row r="7085" ht="93" customHeight="1">
      <x:c r="A7085" s="19" t="n">
        <x:v>7082</x:v>
      </x:c>
      <x:c r="B7085" s="22" t="e">
        <x:f>HYPERLINK("https://cdn.shopify.com/s/files/1/0918/6066/4603/files/O1CN01dpx6Mc1HlX2mQa5Pg__2545140798-0-cib.jpg?v=1776512955","Open")</x:f>
        <x:v>HYPERLINK is not implemented. linkLocation=https://cdn.shopify.com/s/files/1/0918/6066/4603/files/O1CN01dpx6Mc1HlX2mQa5Pg__2545140798-0-cib.jpg?v=1776512955, friendlyName=Open</x:v>
      </x:c>
      <x:c r="C7085" s="24" t="e">
        <x:f>HYPERLINK("https://365nails.com/products/365nails-white-lace-rose-butterfly-nail-art-stickers","365nails: ""White Lace Rose &amp; Butterfly"" – nail art stickers")</x:f>
        <x:v>HYPERLINK is not implemented. linkLocation=https://365nails.com/products/365nails-white-lace-rose-butterfly-nail-art-stickers, friendlyName=365nails: "White Lace Rose &amp; Butterfly" – nail art stickers</x:v>
      </x:c>
      <x:c r="D7085" s="18" t="str">
        <x:v>Specification type: To3677 / To3678</x:v>
      </x:c>
      <x:c r="E7085" s="25" t="str">
        <x:v>$1.09</x:v>
      </x:c>
      <x:c r="F7085" s="19" t="str">
        <x:v>5</x:v>
      </x:c>
    </x:row>
    <x:row r="7086" ht="93" customHeight="1">
      <x:c r="A7086" s="19" t="n">
        <x:v>7083</x:v>
      </x:c>
      <x:c r="B7086" s="22" t="e">
        <x:f>HYPERLINK("https://cdn.shopify.com/s/files/1/0918/6066/4603/files/1c07cf89c4269a94dc726388f916ab25.jpg?v=1772885925","Open")</x:f>
        <x:v>HYPERLINK is not implemented. linkLocation=https://cdn.shopify.com/s/files/1/0918/6066/4603/files/1c07cf89c4269a94dc726388f916ab25.jpg?v=1772885925, friendlyName=Open</x:v>
      </x:c>
      <x:c r="C7086" s="24" t="e">
        <x:f>HYPERLINK("https://365nails.com/products/renaissance-cameo-5d-embossed-artistic-accent-set","Renaissance Cameo – 5D Embossed Artistic Accent Set")</x:f>
        <x:v>HYPERLINK is not implemented. linkLocation=https://365nails.com/products/renaissance-cameo-5d-embossed-artistic-accent-set, friendlyName=Renaissance Cameo – 5D Embossed Artistic Accent Set</x:v>
      </x:c>
      <x:c r="D7086" s="18" t="str">
        <x:v>Specification type: Ms 308 / Ms 310</x:v>
      </x:c>
      <x:c r="E7086" s="25" t="str">
        <x:v>$1.09</x:v>
      </x:c>
      <x:c r="F7086" s="19" t="str">
        <x:v>5</x:v>
      </x:c>
    </x:row>
    <x:row r="7087" ht="93" customHeight="1">
      <x:c r="A7087" s="19" t="n">
        <x:v>7084</x:v>
      </x:c>
      <x:c r="B7087" s="22" t="e">
        <x:f>HYPERLINK("https://cdn.shopify.com/s/files/1/0918/6066/4603/files/O1CN01B96yN21HlWrvtkr9s__2545140798-0-cib.jpg?v=1772952179","Open")</x:f>
        <x:v>HYPERLINK is not implemented. linkLocation=https://cdn.shopify.com/s/files/1/0918/6066/4603/files/O1CN01B96yN21HlWrvtkr9s__2545140798-0-cib.jpg?v=1772952179, friendlyName=Open</x:v>
      </x:c>
      <x:c r="C7087" s="24" t="e">
        <x:f>HYPERLINK("https://365nails.com/products/cute-abstract-lines-playful-nail-art-accent-set","Cute Abstract Lines – Playful Nail Art Accent Set")</x:f>
        <x:v>HYPERLINK is not implemented. linkLocation=https://365nails.com/products/cute-abstract-lines-playful-nail-art-accent-set, friendlyName=Cute Abstract Lines – Playful Nail Art Accent Set</x:v>
      </x:c>
      <x:c r="D7087" s="18" t="str">
        <x:v>Specification type: To605 / To1242 / To2684 / To2685</x:v>
      </x:c>
      <x:c r="E7087" s="25" t="str">
        <x:v>$1.23</x:v>
      </x:c>
      <x:c r="F7087" s="19" t="str">
        <x:v>5</x:v>
      </x:c>
    </x:row>
    <x:row r="7088" ht="93" customHeight="1">
      <x:c r="A7088" s="19" t="n">
        <x:v>7085</x:v>
      </x:c>
      <x:c r="B7088" s="22" t="e">
        <x:f>HYPERLINK("https://cdn.shopify.com/s/files/1/0918/6066/4603/files/O1CN01IdO9dg1HlX2ZsMo6E__2545140798-0-cib.jpg?v=1776512101","Open")</x:f>
        <x:v>HYPERLINK is not implemented. linkLocation=https://cdn.shopify.com/s/files/1/0918/6066/4603/files/O1CN01IdO9dg1HlX2ZsMo6E__2545140798-0-cib.jpg?v=1776512101, friendlyName=Open</x:v>
      </x:c>
      <x:c r="C7088" s="24" t="e">
        <x:f>HYPERLINK("https://365nails.com/products/365nails-golden-ginkgo-calligraphy-nail-art-stickers","365nails: ""Golden Ginkgo &amp; Calligraphy"" – nail art stickers")</x:f>
        <x:v>HYPERLINK is not implemented. linkLocation=https://365nails.com/products/365nails-golden-ginkgo-calligraphy-nail-art-stickers, friendlyName=365nails: "Golden Ginkgo &amp; Calligraphy" – nail art stickers</x:v>
      </x:c>
      <x:c r="D7088" s="18" t="str">
        <x:v>Specification type: To4275 / To4279</x:v>
      </x:c>
      <x:c r="E7088" s="25" t="str">
        <x:v>$1.09</x:v>
      </x:c>
      <x:c r="F7088" s="19" t="str">
        <x:v>5</x:v>
      </x:c>
    </x:row>
    <x:row r="7089" ht="93" customHeight="1">
      <x:c r="A7089" s="19" t="n">
        <x:v>7086</x:v>
      </x:c>
      <x:c r="B7089" s="22" t="e">
        <x:f>HYPERLINK("https://cdn.shopify.com/s/files/1/0918/6066/4603/files/O1CN018V7Ga21HlWrMqB6qr__2545140798-0-cib.jpg?v=1772885213","Open")</x:f>
        <x:v>HYPERLINK is not implemented. linkLocation=https://cdn.shopify.com/s/files/1/0918/6066/4603/files/O1CN018V7Ga21HlWrMqB6qr__2545140798-0-cib.jpg?v=1772885213, friendlyName=Open</x:v>
      </x:c>
      <x:c r="C7089" s="24" t="e">
        <x:f>HYPERLINK("https://365nails.com/products/vintage-rose-love-letter-5d-embossed-romantic-accent-set","Vintage Rose &amp; Love Letter – 5D Embossed Romantic Accent Set")</x:f>
        <x:v>HYPERLINK is not implemented. linkLocation=https://365nails.com/products/vintage-rose-love-letter-5d-embossed-romantic-accent-set, friendlyName=Vintage Rose &amp; Love Letter – 5D Embossed Romantic Accent Set</x:v>
      </x:c>
      <x:c r="D7089" s="18" t="str">
        <x:v>Specification type: To2583-relief / To2584-thin tough / To2585-relief / To2586-thin tough</x:v>
      </x:c>
      <x:c r="E7089" s="25" t="str">
        <x:v>$1.09</x:v>
      </x:c>
      <x:c r="F7089" s="19" t="str">
        <x:v>5</x:v>
      </x:c>
    </x:row>
    <x:row r="7090" ht="93" customHeight="1">
      <x:c r="A7090" s="19" t="n">
        <x:v>7087</x:v>
      </x:c>
      <x:c r="B7090" s="22" t="e">
        <x:f>HYPERLINK("https://cdn.shopify.com/s/files/1/0918/6066/4603/files/O1CN01tQa2dm1HlX2dmA9Aw__2545140798-0-cib.jpg?v=1776511844","Open")</x:f>
        <x:v>HYPERLINK is not implemented. linkLocation=https://cdn.shopify.com/s/files/1/0918/6066/4603/files/O1CN01tQa2dm1HlX2dmA9Aw__2545140798-0-cib.jpg?v=1776511844, friendlyName=Open</x:v>
      </x:c>
      <x:c r="C7090" s="24" t="e">
        <x:f>HYPERLINK("https://365nails.com/products/365nails-iridescent-bunny-party-nail-art-stickers","365nails: ""Iridescent Bunny Party"" – nail art stickers")</x:f>
        <x:v>HYPERLINK is not implemented. linkLocation=https://365nails.com/products/365nails-iridescent-bunny-party-nail-art-stickers, friendlyName=365nails: "Iridescent Bunny Party" – nail art stickers</x:v>
      </x:c>
      <x:c r="D7090" s="18" t="str">
        <x:v>Specification type: To4367-shell light</x:v>
      </x:c>
      <x:c r="E7090" s="25" t="str">
        <x:v>$1.23</x:v>
      </x:c>
      <x:c r="F7090" s="19" t="str">
        <x:v>5</x:v>
      </x:c>
    </x:row>
    <x:row r="7091" ht="93" customHeight="1">
      <x:c r="A7091" s="19" t="n">
        <x:v>7088</x:v>
      </x:c>
      <x:c r="B7091" s="22" t="e">
        <x:f>HYPERLINK("https://cdn.shopify.com/s/files/1/0918/6066/4603/files/89a3550f8227e31ef0aeaa3f4636fd9d.jpg?v=1772878218","Open")</x:f>
        <x:v>HYPERLINK is not implemented. linkLocation=https://cdn.shopify.com/s/files/1/0918/6066/4603/files/89a3550f8227e31ef0aeaa3f4636fd9d.jpg?v=1772878218, friendlyName=Open</x:v>
      </x:c>
      <x:c r="C7091" s="24" t="e">
        <x:f>HYPERLINK("https://365nails.com/products/pastel-crystal-bow-ribbon-5d-embossed-sweet-accent-set","Pastel Crystal Bow &amp; Ribbon – 5D Embossed Sweet Accent Set")</x:f>
        <x:v>HYPERLINK is not implemented. linkLocation=https://365nails.com/products/pastel-crystal-bow-ribbon-5d-embossed-sweet-accent-set, friendlyName=Pastel Crystal Bow &amp; Ribbon – 5D Embossed Sweet Accent Set</x:v>
      </x:c>
      <x:c r="D7091" s="18" t="str">
        <x:v>Specification type: To3258-crystal diamond</x:v>
      </x:c>
      <x:c r="E7091" s="25" t="str">
        <x:v>$1.30</x:v>
      </x:c>
      <x:c r="F7091" s="19" t="str">
        <x:v>5</x:v>
      </x:c>
    </x:row>
    <x:row r="7092" ht="93" customHeight="1">
      <x:c r="A7092" s="19" t="n">
        <x:v>7089</x:v>
      </x:c>
      <x:c r="B7092" s="22" t="e">
        <x:f>HYPERLINK("https://cdn.shopify.com/s/files/1/0918/6066/4603/files/O1CN01gIkOBY1HlX15u0Hb3__2545140798-0-cib.jpg?v=1776505466","Open")</x:f>
        <x:v>HYPERLINK is not implemented. linkLocation=https://cdn.shopify.com/s/files/1/0918/6066/4603/files/O1CN01gIkOBY1HlX15u0Hb3__2545140798-0-cib.jpg?v=1776505466, friendlyName=Open</x:v>
      </x:c>
      <x:c r="C7092" s="24" t="e">
        <x:f>HYPERLINK("https://365nails.com/products/365nails-holographic-heart-outline-nail-art-stickers","365nails: ""Holographic Heart Outline"" – nail art stickers")</x:f>
        <x:v>HYPERLINK is not implemented. linkLocation=https://365nails.com/products/365nails-holographic-heart-outline-nail-art-stickers, friendlyName=365nails: "Holographic Heart Outline" – nail art stickers</x:v>
      </x:c>
      <x:c r="D7092" s="18" t="str">
        <x:v>Specification type: To3957-laser powder / To3957-ming zijin / To3957-pink gold</x:v>
      </x:c>
      <x:c r="E7092" s="25" t="str">
        <x:v>$1.23</x:v>
      </x:c>
      <x:c r="F7092" s="19" t="str">
        <x:v>5</x:v>
      </x:c>
    </x:row>
    <x:row r="7093" ht="93" customHeight="1">
      <x:c r="A7093" s="19" t="n">
        <x:v>7090</x:v>
      </x:c>
      <x:c r="B7093" s="22" t="e">
        <x:f>HYPERLINK("https://cdn.shopify.com/s/files/1/0918/6066/4603/files/O1CN01htEYyK1HlX0AAZ2cf__2545140798-0-cib.jpg?v=1776505866","Open")</x:f>
        <x:v>HYPERLINK is not implemented. linkLocation=https://cdn.shopify.com/s/files/1/0918/6066/4603/files/O1CN01htEYyK1HlX0AAZ2cf__2545140798-0-cib.jpg?v=1776505866, friendlyName=Open</x:v>
      </x:c>
      <x:c r="C7093" s="24" t="e">
        <x:f>HYPERLINK("https://365nails.com/products/365nails-vibrant-tulip-garden-nail-art-stickers","365nails: ""Vibrant Tulip Garden"" – nail art stickers")</x:f>
        <x:v>HYPERLINK is not implemented. linkLocation=https://365nails.com/products/365nails-vibrant-tulip-garden-nail-art-stickers, friendlyName=365nails: "Vibrant Tulip Garden" – nail art stickers</x:v>
      </x:c>
      <x:c r="D7093" s="18" t="str">
        <x:v>Specification type: To3824-relief / To3831-relief</x:v>
      </x:c>
      <x:c r="E7093" s="25" t="str">
        <x:v>$1.23</x:v>
      </x:c>
      <x:c r="F7093" s="19" t="str">
        <x:v>5</x:v>
      </x:c>
    </x:row>
    <x:row r="7094" ht="93" customHeight="1">
      <x:c r="A7094" s="19" t="n">
        <x:v>7091</x:v>
      </x:c>
      <x:c r="B7094" s="22" t="e">
        <x:f>HYPERLINK("https://cdn.shopify.com/s/files/1/0918/6066/4603/files/O1CN01CFRcfl1HlX1uouIHc__2545140798-0-cib.jpg?v=1776511746","Open")</x:f>
        <x:v>HYPERLINK is not implemented. linkLocation=https://cdn.shopify.com/s/files/1/0918/6066/4603/files/O1CN01CFRcfl1HlX1uouIHc__2545140798-0-cib.jpg?v=1776511746, friendlyName=Open</x:v>
      </x:c>
      <x:c r="C7094" s="24" t="e">
        <x:f>HYPERLINK("https://365nails.com/products/365nails-watercolor-multicolor-bow-nail-art-stickers","365nails: ""Watercolor Multicolor Bow"" – nail art stickers")</x:f>
        <x:v>HYPERLINK is not implemented. linkLocation=https://365nails.com/products/365nails-watercolor-multicolor-bow-nail-art-stickers, friendlyName=365nails: "Watercolor Multicolor Bow" – nail art stickers</x:v>
      </x:c>
      <x:c r="D7094" s="18" t="str">
        <x:v>Specification type: To4089-crystal diamond</x:v>
      </x:c>
      <x:c r="E7094" s="25" t="str">
        <x:v>$1.30</x:v>
      </x:c>
      <x:c r="F7094" s="19" t="str">
        <x:v>5</x:v>
      </x:c>
    </x:row>
    <x:row r="7095" ht="93" customHeight="1">
      <x:c r="A7095" s="19" t="n">
        <x:v>7092</x:v>
      </x:c>
      <x:c r="B7095" s="22" t="e">
        <x:f>HYPERLINK("https://cdn.shopify.com/s/files/1/0918/6066/4603/files/O1CN01TtUWDI1HlX4PXGZU0__2545140798-0-cib_debfae20-9a7f-4507-886b-b31c4b782b31.jpg?v=1774255329","Open")</x:f>
        <x:v>HYPERLINK is not implemented. linkLocation=https://cdn.shopify.com/s/files/1/0918/6066/4603/files/O1CN01TtUWDI1HlX4PXGZU0__2545140798-0-cib_debfae20-9a7f-4507-886b-b31c4b782b31.jpg?v=1774255329, friendlyName=Open</x:v>
      </x:c>
      <x:c r="C7095" s="24" t="e">
        <x:f>HYPERLINK("https://365nails.com/products/blue-morpho-butterfly-script-nail-sticker-set-azure-blue-butterfly","Blue Morpho Butterfly &amp; Script Nail Sticker Set – ""Azure Blue Butterfly""")</x:f>
        <x:v>HYPERLINK is not implemented. linkLocation=https://365nails.com/products/blue-morpho-butterfly-script-nail-sticker-set-azure-blue-butterfly, friendlyName=Blue Morpho Butterfly &amp; Script Nail Sticker Set – "Azure Blue Butterfly"</x:v>
      </x:c>
      <x:c r="D7095" s="18" t="str">
        <x:v>Specification type: To4711</x:v>
      </x:c>
      <x:c r="E7095" s="25" t="str">
        <x:v>$1.09</x:v>
      </x:c>
      <x:c r="F7095" s="19" t="str">
        <x:v>5</x:v>
      </x:c>
    </x:row>
    <x:row r="7096" ht="93" customHeight="1">
      <x:c r="A7096" s="19" t="n">
        <x:v>7093</x:v>
      </x:c>
      <x:c r="B7096" s="22" t="e">
        <x:f>HYPERLINK("https://cdn.shopify.com/s/files/1/0918/6066/4603/files/O1CN018FviR61HlX2e7sScZ__2545140798-0-cib.jpg?v=1776512676","Open")</x:f>
        <x:v>HYPERLINK is not implemented. linkLocation=https://cdn.shopify.com/s/files/1/0918/6066/4603/files/O1CN018FviR61HlX2e7sScZ__2545140798-0-cib.jpg?v=1776512676, friendlyName=Open</x:v>
      </x:c>
      <x:c r="C7096" s="24" t="e">
        <x:f>HYPERLINK("https://365nails.com/products/365nails-colorful-slime-monster-nail-art-stickers","365nails: ""Colorful Slime Monster"" – nail art stickers")</x:f>
        <x:v>HYPERLINK is not implemented. linkLocation=https://365nails.com/products/365nails-colorful-slime-monster-nail-art-stickers, friendlyName=365nails: "Colorful Slime Monster" – nail art stickers</x:v>
      </x:c>
      <x:c r="D7096" s="18" t="str">
        <x:v>Specification type: To4358-jelly</x:v>
      </x:c>
      <x:c r="E7096" s="25" t="str">
        <x:v>$1.23</x:v>
      </x:c>
      <x:c r="F7096" s="19" t="str">
        <x:v>5</x:v>
      </x:c>
    </x:row>
    <x:row r="7097" ht="93" customHeight="1">
      <x:c r="A7097" s="19" t="n">
        <x:v>7094</x:v>
      </x:c>
      <x:c r="B7097" s="22" t="e">
        <x:f>HYPERLINK("https://cdn.shopify.com/s/files/1/0918/6066/4603/files/171fa678af06e521eea02409ee72d4e1.jpg?v=1775307993","Open")</x:f>
        <x:v>HYPERLINK is not implemented. linkLocation=https://cdn.shopify.com/s/files/1/0918/6066/4603/files/171fa678af06e521eea02409ee72d4e1.jpg?v=1775307993, friendlyName=Open</x:v>
      </x:c>
      <x:c r="C7097" s="24" t="e">
        <x:f>HYPERLINK("https://365nails.com/products/metallic-bloom-rainbow-orchid-long-coffin-press-on-nails","Metallic Bloom: ""Rainbow Orchid"" – Long Coffin Press-on Nails")</x:f>
        <x:v>HYPERLINK is not implemented. linkLocation=https://365nails.com/products/metallic-bloom-rainbow-orchid-long-coffin-press-on-nails, friendlyName=Metallic Bloom: "Rainbow Orchid" – Long Coffin Press-on Nails</x:v>
      </x:c>
      <x:c r="D7097" s="18" t="str">
        <x:v>Size: XS / S / M / L</x:v>
      </x:c>
      <x:c r="E7097" s="25" t="str">
        <x:v>$3.99</x:v>
      </x:c>
      <x:c r="F7097" s="19" t="str">
        <x:v>5</x:v>
      </x:c>
    </x:row>
    <x:row r="7098" ht="93" customHeight="1">
      <x:c r="A7098" s="19" t="n">
        <x:v>7095</x:v>
      </x:c>
      <x:c r="B7098" s="22" t="e">
        <x:f>HYPERLINK("https://cdn.shopify.com/s/files/1/0918/6066/4603/files/O1CN013QXM1a1HlX2NsWsyX__2545140798-0-cib.jpg?v=1776512440","Open")</x:f>
        <x:v>HYPERLINK is not implemented. linkLocation=https://cdn.shopify.com/s/files/1/0918/6066/4603/files/O1CN013QXM1a1HlX2NsWsyX__2545140798-0-cib.jpg?v=1776512440, friendlyName=Open</x:v>
      </x:c>
      <x:c r="C7098" s="24" t="e">
        <x:f>HYPERLINK("https://365nails.com/products/365nails-iridescent-crystal-butterfly-nail-art-stickers","365nails: ""Iridescent Crystal Butterfly"" – nail art stickers")</x:f>
        <x:v>HYPERLINK is not implemented. linkLocation=https://365nails.com/products/365nails-iridescent-crystal-butterfly-nail-art-stickers, friendlyName=365nails: "Iridescent Crystal Butterfly" – nail art stickers</x:v>
      </x:c>
      <x:c r="D7098" s="18" t="str">
        <x:v>Specification type: To4280-crystal diamond / To4282-crystal diamond / To4283-crystal diamond</x:v>
      </x:c>
      <x:c r="E7098" s="25" t="str">
        <x:v>$1.30</x:v>
      </x:c>
      <x:c r="F7098" s="19" t="str">
        <x:v>5</x:v>
      </x:c>
    </x:row>
    <x:row r="7099" ht="93" customHeight="1">
      <x:c r="A7099" s="19" t="n">
        <x:v>7096</x:v>
      </x:c>
      <x:c r="B7099" s="22" t="e">
        <x:f>HYPERLINK("https://cdn.shopify.com/s/files/1/0918/6066/4603/files/O1CN012YzzWY1HlX2MWi451__2545140798-0-cib.jpg?v=1776511938","Open")</x:f>
        <x:v>HYPERLINK is not implemented. linkLocation=https://cdn.shopify.com/s/files/1/0918/6066/4603/files/O1CN012YzzWY1HlX2MWi451__2545140798-0-cib.jpg?v=1776511938, friendlyName=Open</x:v>
      </x:c>
      <x:c r="C7099" s="24" t="e">
        <x:f>HYPERLINK("https://365nails.com/products/365nails-iridescent-crystal-butterfly-flower-nail-art-stickers","365nails: ""Iridescent Crystal Butterfly &amp; Flower"" – nail art stickers")</x:f>
        <x:v>HYPERLINK is not implemented. linkLocation=https://365nails.com/products/365nails-iridescent-crystal-butterfly-flower-nail-art-stickers, friendlyName=365nails: "Iridescent Crystal Butterfly &amp; Flower" – nail art stickers</x:v>
      </x:c>
      <x:c r="D7099" s="18" t="str">
        <x:v>Specification type: To4294-crystal diamond / To4295-crystal diamond</x:v>
      </x:c>
      <x:c r="E7099" s="25" t="str">
        <x:v>$1.30</x:v>
      </x:c>
      <x:c r="F7099" s="19" t="str">
        <x:v>5</x:v>
      </x:c>
    </x:row>
    <x:row r="7100" ht="93" customHeight="1">
      <x:c r="A7100" s="19" t="n">
        <x:v>7097</x:v>
      </x:c>
      <x:c r="B7100" s="22" t="e">
        <x:f>HYPERLINK("https://cdn.shopify.com/s/files/1/0918/6066/4603/files/8d7073b2e9e106ff16eecb93edd53c9d.jpg?v=1779203657","Open")</x:f>
        <x:v>HYPERLINK is not implemented. linkLocation=https://cdn.shopify.com/s/files/1/0918/6066/4603/files/8d7073b2e9e106ff16eecb93edd53c9d.jpg?v=1779203657, friendlyName=Open</x:v>
      </x:c>
      <x:c r="C7100" s="24" t="e">
        <x:f>HYPERLINK("https://365nails.com/products/365nails-scarlet-petal-handmade-medium-square-press-on-nails","365nails: ""Scarlet Petal"" – Handmade Medium Square Press-On Nails")</x:f>
        <x:v>HYPERLINK is not implemented. linkLocation=https://365nails.com/products/365nails-scarlet-petal-handmade-medium-square-press-on-nails, friendlyName=365nails: "Scarlet Petal" – Handmade Medium Square Press-On Nails</x:v>
      </x:c>
      <x:c r="D7100" s="18" t="str">
        <x:v>Size: XS / S / M / L</x:v>
      </x:c>
      <x:c r="E7100" s="25" t="str">
        <x:v>$3.99</x:v>
      </x:c>
      <x:c r="F7100" s="19" t="str">
        <x:v>5</x:v>
      </x:c>
    </x:row>
    <x:row r="7101" ht="93" customHeight="1">
      <x:c r="A7101" s="19" t="n">
        <x:v>7098</x:v>
      </x:c>
      <x:c r="B7101" s="22" t="e">
        <x:f>HYPERLINK("https://cdn.shopify.com/s/files/1/0918/6066/4603/files/O1CN01ghwqse1HlWnvJpcNg__2545140798-0-cib.jpg?v=1772955289","Open")</x:f>
        <x:v>HYPERLINK is not implemented. linkLocation=https://cdn.shopify.com/s/files/1/0918/6066/4603/files/O1CN01ghwqse1HlWnvJpcNg__2545140798-0-cib.jpg?v=1772955289, friendlyName=Open</x:v>
      </x:c>
      <x:c r="C7101" s="24" t="e">
        <x:f>HYPERLINK("https://365nails.com/products/celestial-pegasus-dreamy-nail-art-accent-set","Celestial Pegasus – Dreamy Nail Art Accent Set")</x:f>
        <x:v>HYPERLINK is not implemented. linkLocation=https://365nails.com/products/celestial-pegasus-dreamy-nail-art-accent-set, friendlyName=Celestial Pegasus – Dreamy Nail Art Accent Set</x:v>
      </x:c>
      <x:c r="D7101" s="18" t="str">
        <x:v>Specification type: To1412 / To1413 / To1415</x:v>
      </x:c>
      <x:c r="E7101" s="25" t="str">
        <x:v>$1.23</x:v>
      </x:c>
      <x:c r="F7101" s="19" t="str">
        <x:v>5</x:v>
      </x:c>
    </x:row>
    <x:row r="7102" ht="93" customHeight="1">
      <x:c r="A7102" s="19" t="n">
        <x:v>7099</x:v>
      </x:c>
      <x:c r="B7102" s="22" t="e">
        <x:f>HYPERLINK("https://cdn.shopify.com/s/files/1/0918/6066/4603/files/O1CN01HuKSzt1HlWmtmKrnm__2545140798-0-cib.jpg?v=1772953161","Open")</x:f>
        <x:v>HYPERLINK is not implemented. linkLocation=https://cdn.shopify.com/s/files/1/0918/6066/4603/files/O1CN01HuKSzt1HlWmtmKrnm__2545140798-0-cib.jpg?v=1772953161, friendlyName=Open</x:v>
      </x:c>
      <x:c r="C7102" s="24" t="e">
        <x:f>HYPERLINK("https://365nails.com/products/kawaii-pink-puffball-cute-nail-art-accent-set","Kawaii Pink Puffball – Cute Nail Art Accent Set")</x:f>
        <x:v>HYPERLINK is not implemented. linkLocation=https://365nails.com/products/kawaii-pink-puffball-cute-nail-art-accent-set, friendlyName=Kawaii Pink Puffball – Cute Nail Art Accent Set</x:v>
      </x:c>
      <x:c r="D7102" s="18" t="str">
        <x:v>Specification type: To1098</x:v>
      </x:c>
      <x:c r="E7102" s="25" t="str">
        <x:v>$1.09</x:v>
      </x:c>
      <x:c r="F7102" s="19" t="str">
        <x:v>5</x:v>
      </x:c>
    </x:row>
    <x:row r="7103" ht="93" customHeight="1">
      <x:c r="A7103" s="19" t="n">
        <x:v>7100</x:v>
      </x:c>
      <x:c r="B7103" s="22" t="e">
        <x:f>HYPERLINK("https://cdn.shopify.com/s/files/1/0918/6066/4603/files/O1CN01kavvjw1HlWoSG9Gke__2545140798-0-cib.jpg?v=1772955698","Open")</x:f>
        <x:v>HYPERLINK is not implemented. linkLocation=https://cdn.shopify.com/s/files/1/0918/6066/4603/files/O1CN01kavvjw1HlWoSG9Gke__2545140798-0-cib.jpg?v=1772955698, friendlyName=Open</x:v>
      </x:c>
      <x:c r="C7103" s="24" t="e">
        <x:f>HYPERLINK("https://365nails.com/products/super-mario-adventure-retro-game-nail-art-set","Super Mario Adventure – Retro Game Nail Art Set")</x:f>
        <x:v>HYPERLINK is not implemented. linkLocation=https://365nails.com/products/super-mario-adventure-retro-game-nail-art-set, friendlyName=Super Mario Adventure – Retro Game Nail Art Set</x:v>
      </x:c>
      <x:c r="D7103" s="18" t="str">
        <x:v>Specification type: To1559 / To1629</x:v>
      </x:c>
      <x:c r="E7103" s="25" t="str">
        <x:v>$1.23</x:v>
      </x:c>
      <x:c r="F7103" s="19" t="str">
        <x:v>5</x:v>
      </x:c>
    </x:row>
    <x:row r="7104" ht="93" customHeight="1">
      <x:c r="A7104" s="19" t="n">
        <x:v>7101</x:v>
      </x:c>
      <x:c r="B7104" s="22" t="e">
        <x:f>HYPERLINK("https://cdn.shopify.com/s/files/1/0918/6066/4603/files/O1CN01NoMfCE1HlWs6mKaQM__2545140798-0-cib.jpg?v=1776697448","Open")</x:f>
        <x:v>HYPERLINK is not implemented. linkLocation=https://cdn.shopify.com/s/files/1/0918/6066/4603/files/O1CN01NoMfCE1HlWs6mKaQM__2545140798-0-cib.jpg?v=1776697448, friendlyName=Open</x:v>
      </x:c>
      <x:c r="C7104" s="24" t="e">
        <x:f>HYPERLINK("https://365nails.com/products/365nails-pastel-starry-night-nail-art-stickers","365nails: ""Pastel Starry Night"" – nail art stickers")</x:f>
        <x:v>HYPERLINK is not implemented. linkLocation=https://365nails.com/products/365nails-pastel-starry-night-nail-art-stickers, friendlyName=365nails: "Pastel Starry Night" – nail art stickers</x:v>
      </x:c>
      <x:c r="D7104" s="18" t="str">
        <x:v>Specification type: To2720-relief / To2721-thin tough / To2742-relief / To2743-thin tough</x:v>
      </x:c>
      <x:c r="E7104" s="25" t="str">
        <x:v>$1.23</x:v>
      </x:c>
      <x:c r="F7104" s="19" t="str">
        <x:v>5</x:v>
      </x:c>
    </x:row>
    <x:row r="7105" ht="93" customHeight="1">
      <x:c r="A7105" s="19" t="n">
        <x:v>7102</x:v>
      </x:c>
      <x:c r="B7105" s="22" t="e">
        <x:f>HYPERLINK("https://cdn.shopify.com/s/files/1/0918/6066/4603/files/02f7f642221297abecaf254f0918c29f.jpg?v=1774080155","Open")</x:f>
        <x:v>HYPERLINK is not implemented. linkLocation=https://cdn.shopify.com/s/files/1/0918/6066/4603/files/02f7f642221297abecaf254f0918c29f.jpg?v=1774080155, friendlyName=Open</x:v>
      </x:c>
      <x:c r="C7105" s="24" t="e">
        <x:f>HYPERLINK("https://365nails.com/products/cosmic-fatale-lilac-polka-dream-long-sharp-stiletto-handmade-press-on-nails","Cosmic Fatale: ""Lilac Polka Dream"" – Long Sharp Stiletto Handmade Press On Nails")</x:f>
        <x:v>HYPERLINK is not implemented. linkLocation=https://365nails.com/products/cosmic-fatale-lilac-polka-dream-long-sharp-stiletto-handmade-press-on-nails, friendlyName=Cosmic Fatale: "Lilac Polka Dream" – Long Sharp Stiletto Handmade Press On Nails</x:v>
      </x:c>
      <x:c r="D7105" s="18" t="str">
        <x:v>Size: XS / S / M / L</x:v>
      </x:c>
      <x:c r="E7105" s="25" t="str">
        <x:v>$3.99</x:v>
      </x:c>
      <x:c r="F7105" s="19" t="str">
        <x:v>5</x:v>
      </x:c>
    </x:row>
    <x:row r="7106" ht="93" customHeight="1">
      <x:c r="A7106" s="19" t="n">
        <x:v>7103</x:v>
      </x:c>
      <x:c r="B7106" s="22" t="e">
        <x:f>HYPERLINK("https://cdn.shopify.com/s/files/1/0918/6066/4603/files/O1CN010SyFoh1HlXAT33MHv__2545140798-0-cib.jpg?v=1776698013","Open")</x:f>
        <x:v>HYPERLINK is not implemented. linkLocation=https://cdn.shopify.com/s/files/1/0918/6066/4603/files/O1CN010SyFoh1HlXAT33MHv__2545140798-0-cib.jpg?v=1776698013, friendlyName=Open</x:v>
      </x:c>
      <x:c r="C7106" s="24" t="e">
        <x:f>HYPERLINK("https://365nails.com/products/365nails-silver-gothic-sun-cross-nail-art-stickers","365nails: ""Silver Gothic Sun &amp; Cross"" – nail art stickers")</x:f>
        <x:v>HYPERLINK is not implemented. linkLocation=https://365nails.com/products/365nails-silver-gothic-sun-cross-nail-art-stickers, friendlyName=365nails: "Silver Gothic Sun &amp; Cross" – nail art stickers</x:v>
      </x:c>
      <x:c r="D7106" s="18" t="str">
        <x:v>Specification type: Ms896-new hot stamping / Ms896-1-silver</x:v>
      </x:c>
      <x:c r="E7106" s="25" t="str">
        <x:v>$1.23</x:v>
      </x:c>
      <x:c r="F7106" s="19" t="str">
        <x:v>5</x:v>
      </x:c>
    </x:row>
    <x:row r="7107" ht="93" customHeight="1">
      <x:c r="A7107" s="19" t="n">
        <x:v>7104</x:v>
      </x:c>
      <x:c r="B7107" s="22" t="e">
        <x:f>HYPERLINK("https://cdn.shopify.com/s/files/1/0918/6066/4603/files/O1CN01R994pY1HlX6PIvEjM__2545140798-0-cib.jpg?v=1772950021","Open")</x:f>
        <x:v>HYPERLINK is not implemented. linkLocation=https://cdn.shopify.com/s/files/1/0918/6066/4603/files/O1CN01R994pY1HlX6PIvEjM__2545140798-0-cib.jpg?v=1772950021, friendlyName=Open</x:v>
      </x:c>
      <x:c r="C7107" s="24" t="e">
        <x:f>HYPERLINK("https://365nails.com/products/french-tip-guide-sticker-a1-large-size","French Tip Guide Sticker – A1 Large Size")</x:f>
        <x:v>HYPERLINK is not implemented. linkLocation=https://365nails.com/products/french-tip-guide-sticker-a1-large-size, friendlyName=French Tip Guide Sticker – A1 Large Size</x:v>
      </x:c>
      <x:c r="D7107" s="18" t="str">
        <x:v>Specification type: French a1 large / French a2 small / French b1 large / French b2 small / French c1 large / French c2 small / French d / French e</x:v>
      </x:c>
      <x:c r="E7107" s="25" t="str">
        <x:v>$1.23</x:v>
      </x:c>
      <x:c r="F7107" s="19" t="str">
        <x:v>1</x:v>
      </x:c>
    </x:row>
    <x:row r="7108" ht="93" customHeight="1">
      <x:c r="A7108" s="19" t="n">
        <x:v>7105</x:v>
      </x:c>
      <x:c r="B7108" s="22" t="e">
        <x:f>HYPERLINK("https://cdn.shopify.com/s/files/1/0918/6066/4603/files/8736f6cf20ecc22b8117629abccb0ce1.jpg?v=1775891319","Open")</x:f>
        <x:v>HYPERLINK is not implemented. linkLocation=https://cdn.shopify.com/s/files/1/0918/6066/4603/files/8736f6cf20ecc22b8117629abccb0ce1.jpg?v=1775891319, friendlyName=Open</x:v>
      </x:c>
      <x:c r="C7108" s="24" t="e">
        <x:f>HYPERLINK("https://365nails.com/products/365nails-brown-lace-cross-stiletto-handmade-long-sharp-stiletto-nails","365nails: ""Brown Lace Cross Stiletto"" – Handmade Long Sharp Stiletto Nails")</x:f>
        <x:v>HYPERLINK is not implemented. linkLocation=https://365nails.com/products/365nails-brown-lace-cross-stiletto-handmade-long-sharp-stiletto-nails, friendlyName=365nails: "Brown Lace Cross Stiletto" – Handmade Long Sharp Stiletto Nails</x:v>
      </x:c>
      <x:c r="D7108" s="18" t="str">
        <x:v>Size: XS / S / M / L</x:v>
      </x:c>
      <x:c r="E7108" s="25" t="str">
        <x:v>$3.99</x:v>
      </x:c>
      <x:c r="F7108" s="19" t="str">
        <x:v>3</x:v>
      </x:c>
    </x:row>
    <x:row r="7109" ht="93" customHeight="1">
      <x:c r="A7109" s="19" t="n">
        <x:v>7106</x:v>
      </x:c>
      <x:c r="B7109" s="22" t="e">
        <x:f>HYPERLINK("https://cdn.shopify.com/s/files/1/0918/6066/4603/files/O1CN011L8p7T1HlWzBhXFDy__2545140798-0-cib.jpg?v=1776691981","Open")</x:f>
        <x:v>HYPERLINK is not implemented. linkLocation=https://cdn.shopify.com/s/files/1/0918/6066/4603/files/O1CN011L8p7T1HlWzBhXFDy__2545140798-0-cib.jpg?v=1776691981, friendlyName=Open</x:v>
      </x:c>
      <x:c r="C7109" s="24" t="e">
        <x:f>HYPERLINK("https://365nails.com/products/365nails-delicate-white-rose-lace-nail-art-stickers","365nails: ""Delicate White Rose &amp; Lace"" – nail art stickers")</x:f>
        <x:v>HYPERLINK is not implemented. linkLocation=https://365nails.com/products/365nails-delicate-white-rose-lace-nail-art-stickers, friendlyName=365nails: "Delicate White Rose &amp; Lace" – nail art stickers</x:v>
      </x:c>
      <x:c r="D7109" s="18" t="str">
        <x:v>Specification type: To3715-relief</x:v>
      </x:c>
      <x:c r="E7109" s="25" t="str">
        <x:v>$1.99</x:v>
      </x:c>
      <x:c r="F7109" s="19" t="str">
        <x:v>5</x:v>
      </x:c>
    </x:row>
    <x:row r="7110" ht="93" customHeight="1">
      <x:c r="A7110" s="19" t="n">
        <x:v>7107</x:v>
      </x:c>
      <x:c r="B7110" s="22" t="e">
        <x:f>HYPERLINK("https://cdn.shopify.com/s/files/1/0918/6066/4603/files/O1CN016Mwr0C1HlWuKy5tHZ__2545140798-0-cib.jpg?v=1776697381","Open")</x:f>
        <x:v>HYPERLINK is not implemented. linkLocation=https://cdn.shopify.com/s/files/1/0918/6066/4603/files/O1CN016Mwr0C1HlWuKy5tHZ__2545140798-0-cib.jpg?v=1776697381, friendlyName=Open</x:v>
      </x:c>
      <x:c r="C7110" s="24" t="e">
        <x:f>HYPERLINK("https://365nails.com/products/365nails-gold-baroque-damask-nail-art-stickers","365nails: ""Gold Baroque Damask"" – nail art stickers")</x:f>
        <x:v>HYPERLINK is not implemented. linkLocation=https://365nails.com/products/365nails-gold-baroque-damask-nail-art-stickers, friendlyName=365nails: "Gold Baroque Damask" – nail art stickers</x:v>
      </x:c>
      <x:c r="D7110" s="18" t="str">
        <x:v>Specification type: Ms344-new hot stamping / Ms344-silver</x:v>
      </x:c>
      <x:c r="E7110" s="25" t="str">
        <x:v>$1.23</x:v>
      </x:c>
      <x:c r="F7110" s="19" t="str">
        <x:v>5</x:v>
      </x:c>
    </x:row>
    <x:row r="7111" ht="93" customHeight="1">
      <x:c r="A7111" s="19" t="n">
        <x:v>7108</x:v>
      </x:c>
      <x:c r="B7111" s="22" t="e">
        <x:f>HYPERLINK("https://cdn.shopify.com/s/files/1/0918/6066/4603/files/O1CN01sB4a5X1HlX3p9FVzc__2545140798-0-cib.jpg?v=1776692117","Open")</x:f>
        <x:v>HYPERLINK is not implemented. linkLocation=https://cdn.shopify.com/s/files/1/0918/6066/4603/files/O1CN01sB4a5X1HlX3p9FVzc__2545140798-0-cib.jpg?v=1776692117, friendlyName=Open</x:v>
      </x:c>
      <x:c r="C7111" s="24" t="e">
        <x:f>HYPERLINK("https://365nails.com/products/365nails-white-baroque-pearl-nail-art-stickers","365nails: ""White Baroque Pearl"" – nail art stickers")</x:f>
        <x:v>HYPERLINK is not implemented. linkLocation=https://365nails.com/products/365nails-white-baroque-pearl-nail-art-stickers, friendlyName=365nails: "White Baroque Pearl" – nail art stickers</x:v>
      </x:c>
      <x:c r="D7111" s="18" t="str">
        <x:v>Specification type: Ms712-crystal diamond / Ms713-crystal diamond</x:v>
      </x:c>
      <x:c r="E7111" s="25" t="str">
        <x:v>$1.30</x:v>
      </x:c>
      <x:c r="F7111" s="19" t="str">
        <x:v>5</x:v>
      </x:c>
    </x:row>
    <x:row r="7112" ht="93" customHeight="1">
      <x:c r="A7112" s="19" t="n">
        <x:v>7109</x:v>
      </x:c>
      <x:c r="B7112" s="22" t="e">
        <x:f>HYPERLINK("https://cdn.shopify.com/s/files/1/0918/6066/4603/files/O1CN01VrmeQL1HlXB73AT37__2545140798-0-cib.jpg?v=1773461830","Open")</x:f>
        <x:v>HYPERLINK is not implemented. linkLocation=https://cdn.shopify.com/s/files/1/0918/6066/4603/files/O1CN01VrmeQL1HlXB73AT37__2545140798-0-cib.jpg?v=1773461830, friendlyName=Open</x:v>
      </x:c>
      <x:c r="C7112" s="24" t="e">
        <x:f>HYPERLINK("https://365nails.com/products/sweet-gingham-collection-red-white-gingham-3d-embossed-nail-sticker","Sweet Gingham Collection: ""Red &amp; White Gingham"" – 3D Embossed Nail Sticker")</x:f>
        <x:v>HYPERLINK is not implemented. linkLocation=https://365nails.com/products/sweet-gingham-collection-red-white-gingham-3d-embossed-nail-sticker, friendlyName=Sweet Gingham Collection: "Red &amp; White Gingham" – 3D Embossed Nail Sticker</x:v>
      </x:c>
      <x:c r="D7112" s="18" t="str">
        <x:v>Specification type: To5603-shell light / To5604-shell light</x:v>
      </x:c>
      <x:c r="E7112" s="25" t="str">
        <x:v>$1.23</x:v>
      </x:c>
      <x:c r="F7112" s="19" t="str">
        <x:v>5</x:v>
      </x:c>
    </x:row>
    <x:row r="7113" ht="93" customHeight="1">
      <x:c r="A7113" s="19" t="n">
        <x:v>7110</x:v>
      </x:c>
      <x:c r="B7113" s="22" t="e">
        <x:f>HYPERLINK("https://cdn.shopify.com/s/files/1/0918/6066/4603/files/1a0884e98b52895a76fbaf532b779cae.jpg?v=1775891297","Open")</x:f>
        <x:v>HYPERLINK is not implemented. linkLocation=https://cdn.shopify.com/s/files/1/0918/6066/4603/files/1a0884e98b52895a76fbaf532b779cae.jpg?v=1775891297, friendlyName=Open</x:v>
      </x:c>
      <x:c r="C7113" s="24" t="e">
        <x:f>HYPERLINK("https://365nails.com/products/365nails-purple-cross-script-stiletto-handmade-long-sharp-stiletto-nails","365nails: ""Purple Cross Script Stiletto"" – Handmade Long Sharp Stiletto Nails")</x:f>
        <x:v>HYPERLINK is not implemented. linkLocation=https://365nails.com/products/365nails-purple-cross-script-stiletto-handmade-long-sharp-stiletto-nails, friendlyName=365nails: "Purple Cross Script Stiletto" – Handmade Long Sharp Stiletto Nails</x:v>
      </x:c>
      <x:c r="D7113" s="18" t="str">
        <x:v>Size: XS / S / M / L</x:v>
      </x:c>
      <x:c r="E7113" s="25" t="str">
        <x:v>$3.99</x:v>
      </x:c>
      <x:c r="F7113" s="19" t="str">
        <x:v>3</x:v>
      </x:c>
    </x:row>
    <x:row r="7114" ht="93" customHeight="1">
      <x:c r="A7114" s="19" t="n">
        <x:v>7111</x:v>
      </x:c>
      <x:c r="B7114" s="22" t="e">
        <x:f>HYPERLINK("https://cdn.shopify.com/s/files/1/0918/6066/4603/files/O1CN01P4zpZC1HlWphm8Wc9__2545140798-0-cib.jpg?v=1772955909","Open")</x:f>
        <x:v>HYPERLINK is not implemented. linkLocation=https://cdn.shopify.com/s/files/1/0918/6066/4603/files/O1CN01P4zpZC1HlWphm8Wc9__2545140798-0-cib.jpg?v=1772955909, friendlyName=Open</x:v>
      </x:c>
      <x:c r="C7114" s="24" t="e">
        <x:f>HYPERLINK("https://365nails.com/products/tiny-floral-burst-delicate-nail-art-set","Tiny Floral Burst – Delicate Nail Art Set")</x:f>
        <x:v>HYPERLINK is not implemented. linkLocation=https://365nails.com/products/tiny-floral-burst-delicate-nail-art-set, friendlyName=Tiny Floral Burst – Delicate Nail Art Set</x:v>
      </x:c>
      <x:c r="D7114" s="18" t="str">
        <x:v>Specification type: To1538</x:v>
      </x:c>
      <x:c r="E7114" s="25" t="str">
        <x:v>$1.23</x:v>
      </x:c>
      <x:c r="F7114" s="19" t="str">
        <x:v>5</x:v>
      </x:c>
    </x:row>
    <x:row r="7115" ht="93" customHeight="1">
      <x:c r="A7115" s="19" t="n">
        <x:v>7112</x:v>
      </x:c>
      <x:c r="B7115" s="22" t="e">
        <x:f>HYPERLINK("https://cdn.shopify.com/s/files/1/0918/6066/4603/files/O1CN01harDCd1HlWqqr0AJU__2545140798-0-cib.jpg?v=1772962154","Open")</x:f>
        <x:v>HYPERLINK is not implemented. linkLocation=https://cdn.shopify.com/s/files/1/0918/6066/4603/files/O1CN01harDCd1HlWqqr0AJU__2545140798-0-cib.jpg?v=1772962154, friendlyName=Open</x:v>
      </x:c>
      <x:c r="C7115" s="24" t="e">
        <x:f>HYPERLINK("https://365nails.com/products/gothic-spider-web-dark-aesthetic-nail-art-set","Gothic Spider Web – Dark Aesthetic Nail Art Set")</x:f>
        <x:v>HYPERLINK is not implemented. linkLocation=https://365nails.com/products/gothic-spider-web-dark-aesthetic-nail-art-set, friendlyName=Gothic Spider Web – Dark Aesthetic Nail Art Set</x:v>
      </x:c>
      <x:c r="D7115" s="18" t="str">
        <x:v>Specification type: Wy-07 / Wy-08 / Wy-09 / Wy-10 / Wy-11</x:v>
      </x:c>
      <x:c r="E7115" s="25" t="str">
        <x:v>$1.09</x:v>
      </x:c>
      <x:c r="F7115" s="19" t="str">
        <x:v>5</x:v>
      </x:c>
    </x:row>
    <x:row r="7116" ht="93" customHeight="1">
      <x:c r="A7116" s="19" t="n">
        <x:v>7113</x:v>
      </x:c>
      <x:c r="B7116" s="22" t="e">
        <x:f>HYPERLINK("https://cdn.shopify.com/s/files/1/0918/6066/4603/files/6433f63422c79639bdc84391566f97e1.jpg?v=1772963413","Open")</x:f>
        <x:v>HYPERLINK is not implemented. linkLocation=https://cdn.shopify.com/s/files/1/0918/6066/4603/files/6433f63422c79639bdc84391566f97e1.jpg?v=1772963413, friendlyName=Open</x:v>
      </x:c>
      <x:c r="C7116" s="24" t="e">
        <x:f>HYPERLINK("https://365nails.com/products/dark-kawaii-plushies-y2k-nail-art-set","Dark Kawaii Plushies – Y2K Nail Art Set")</x:f>
        <x:v>HYPERLINK is not implemented. linkLocation=https://365nails.com/products/dark-kawaii-plushies-y2k-nail-art-set, friendlyName=Dark Kawaii Plushies – Y2K Nail Art Set</x:v>
      </x:c>
      <x:c r="D7116" s="18" t="str">
        <x:v>Specification type: To3405 / To3420</x:v>
      </x:c>
      <x:c r="E7116" s="25" t="str">
        <x:v>$1.23</x:v>
      </x:c>
      <x:c r="F7116" s="19" t="str">
        <x:v>5</x:v>
      </x:c>
    </x:row>
    <x:row r="7117" ht="93" customHeight="1">
      <x:c r="A7117" s="19" t="n">
        <x:v>7114</x:v>
      </x:c>
      <x:c r="B7117" s="22" t="e">
        <x:f>HYPERLINK("https://cdn.shopify.com/s/files/1/0918/6066/4603/files/O1CN01bAzaxs1HlX3E7VaWc__2545140798-0-cib.jpg?v=1776692177","Open")</x:f>
        <x:v>HYPERLINK is not implemented. linkLocation=https://cdn.shopify.com/s/files/1/0918/6066/4603/files/O1CN01bAzaxs1HlX3E7VaWc__2545140798-0-cib.jpg?v=1776692177, friendlyName=Open</x:v>
      </x:c>
      <x:c r="C7117" s="24" t="e">
        <x:f>HYPERLINK("https://365nails.com/products/365nails-my-melody-kuromi-chinese-style-nail-art-stickers","365nails: ""My Melody &amp; Kuromi Chinese Style"" – nail art stickers")</x:f>
        <x:v>HYPERLINK is not implemented. linkLocation=https://365nails.com/products/365nails-my-melody-kuromi-chinese-style-nail-art-stickers, friendlyName=365nails: "My Melody &amp; Kuromi Chinese Style" – nail art stickers</x:v>
      </x:c>
      <x:c r="D7117" s="18" t="str">
        <x:v>Specification type: Mn002-relief / Mn016-relief / Mn020-relief / Mn029-shell light</x:v>
      </x:c>
      <x:c r="E7117" s="25" t="str">
        <x:v>$1.23</x:v>
      </x:c>
      <x:c r="F7117" s="19" t="str">
        <x:v>5</x:v>
      </x:c>
    </x:row>
    <x:row r="7118" ht="93" customHeight="1">
      <x:c r="A7118" s="19" t="n">
        <x:v>7115</x:v>
      </x:c>
      <x:c r="B7118" s="22" t="e">
        <x:f>HYPERLINK("https://cdn.shopify.com/s/files/1/0918/6066/4603/files/O1CN01msmgF21HlWqKaoK5w__2545140798-0-cib.jpg?v=1772961184","Open")</x:f>
        <x:v>HYPERLINK is not implemented. linkLocation=https://cdn.shopify.com/s/files/1/0918/6066/4603/files/O1CN01msmgF21HlWqKaoK5w__2545140798-0-cib.jpg?v=1772961184, friendlyName=Open</x:v>
      </x:c>
      <x:c r="C7118" s="24" t="e">
        <x:f>HYPERLINK("https://365nails.com/products/ink-clouds-chinese-style-nail-art-set","Ink Clouds – Chinese Style Nail Art Set")</x:f>
        <x:v>HYPERLINK is not implemented. linkLocation=https://365nails.com/products/ink-clouds-chinese-style-nail-art-set, friendlyName=Ink Clouds – Chinese Style Nail Art Set</x:v>
      </x:c>
      <x:c r="D7118" s="18" t="str">
        <x:v>Specification type: To2295 / To2297 / To2301 / To2303 / To2306 / To2308</x:v>
      </x:c>
      <x:c r="E7118" s="25" t="str">
        <x:v>$1.23</x:v>
      </x:c>
      <x:c r="F7118" s="19" t="str">
        <x:v>5</x:v>
      </x:c>
    </x:row>
    <x:row r="7119" ht="93" customHeight="1">
      <x:c r="A7119" s="19" t="n">
        <x:v>7116</x:v>
      </x:c>
      <x:c r="B7119" s="22" t="e">
        <x:f>HYPERLINK("https://cdn.shopify.com/s/files/1/0918/6066/4603/files/O1CN01Knd72J1HlX1X3EbC3__2545140798-0-cib.jpg?v=1776697842","Open")</x:f>
        <x:v>HYPERLINK is not implemented. linkLocation=https://cdn.shopify.com/s/files/1/0918/6066/4603/files/O1CN01Knd72J1HlX1X3EbC3__2545140798-0-cib.jpg?v=1776697842, friendlyName=Open</x:v>
      </x:c>
      <x:c r="C7119" s="24" t="e">
        <x:f>HYPERLINK("https://365nails.com/products/365nails-white-lace-crystal-petal-nail-art-stickers","365nails: ""White Lace &amp; Crystal Petal"" – nail art stickers")</x:f>
        <x:v>HYPERLINK is not implemented. linkLocation=https://365nails.com/products/365nails-white-lace-crystal-petal-nail-art-stickers, friendlyName=365nails: "White Lace &amp; Crystal Petal" – nail art stickers</x:v>
      </x:c>
      <x:c r="D7119" s="18" t="str">
        <x:v>Specification type: Ms623-crystal diamond / Ms623-pearl / Ms624-crystal diamond / Ms624-pearl</x:v>
      </x:c>
      <x:c r="E7119" s="25" t="str">
        <x:v>$1.30</x:v>
      </x:c>
      <x:c r="F7119" s="19" t="str">
        <x:v>5</x:v>
      </x:c>
    </x:row>
    <x:row r="7120" ht="93" customHeight="1">
      <x:c r="A7120" s="19" t="n">
        <x:v>7117</x:v>
      </x:c>
      <x:c r="B7120" s="22" t="e">
        <x:f>HYPERLINK("https://cdn.shopify.com/s/files/1/0918/6066/4603/files/O1CN01sf18og1HlX6YffJbj__2545140798-0-cib.jpg?v=1773554985","Open")</x:f>
        <x:v>HYPERLINK is not implemented. linkLocation=https://cdn.shopify.com/s/files/1/0918/6066/4603/files/O1CN01sf18og1HlX6YffJbj__2545140798-0-cib.jpg?v=1773554985, friendlyName=Open</x:v>
      </x:c>
      <x:c r="C7120" s="24" t="e">
        <x:f>HYPERLINK("https://365nails.com/products/gothic-cross-rainbow-faith-3d-embossed-nail-sticker","Gothic Cross: ""Rainbow Faith"" – 3D Embossed Nail Sticker")</x:f>
        <x:v>HYPERLINK is not implemented. linkLocation=https://365nails.com/products/gothic-cross-rainbow-faith-3d-embossed-nail-sticker, friendlyName=Gothic Cross: "Rainbow Faith" – 3D Embossed Nail Sticker</x:v>
      </x:c>
      <x:c r="D7120" s="18" t="str">
        <x:v>Specification type: To5044 / To5045</x:v>
      </x:c>
      <x:c r="E7120" s="25" t="str">
        <x:v>$1.09</x:v>
      </x:c>
      <x:c r="F7120" s="19" t="str">
        <x:v>5</x:v>
      </x:c>
    </x:row>
    <x:row r="7121" ht="93" customHeight="1">
      <x:c r="A7121" s="19" t="n">
        <x:v>7118</x:v>
      </x:c>
      <x:c r="B7121" s="22" t="e">
        <x:f>HYPERLINK("https://cdn.shopify.com/s/files/1/0918/6066/4603/files/O1CN01wPMW6q1HlWvegojvg__2545140798-0-cib.jpg?v=1772961569","Open")</x:f>
        <x:v>HYPERLINK is not implemented. linkLocation=https://cdn.shopify.com/s/files/1/0918/6066/4603/files/O1CN01wPMW6q1HlWvegojvg__2545140798-0-cib.jpg?v=1772961569, friendlyName=Open</x:v>
      </x:c>
      <x:c r="C7121" s="24" t="e">
        <x:f>HYPERLINK("https://365nails.com/products/european-scroll-rose-gold-nail-art-set","European Scroll – Rose Gold Nail Art Set")</x:f>
        <x:v>HYPERLINK is not implemented. linkLocation=https://365nails.com/products/european-scroll-rose-gold-nail-art-set, friendlyName=European Scroll – Rose Gold Nail Art Set</x:v>
      </x:c>
      <x:c r="D7121" s="18" t="str">
        <x:v>Specification type: To852 new hot stamping / To852 rose gold / To852 laser silver</x:v>
      </x:c>
      <x:c r="E7121" s="25" t="str">
        <x:v>$1.23</x:v>
      </x:c>
      <x:c r="F7121" s="19" t="str">
        <x:v>5</x:v>
      </x:c>
    </x:row>
    <x:row r="7122" ht="93" customHeight="1">
      <x:c r="A7122" s="19" t="n">
        <x:v>7119</x:v>
      </x:c>
      <x:c r="B7122" s="22" t="e">
        <x:f>HYPERLINK("https://cdn.shopify.com/s/files/1/0918/6066/4603/files/O1CN01Y4Sey11HlX2XlSmOy__2545140798-0-cib.jpg?v=1776697746","Open")</x:f>
        <x:v>HYPERLINK is not implemented. linkLocation=https://cdn.shopify.com/s/files/1/0918/6066/4603/files/O1CN01Y4Sey11HlX2XlSmOy__2545140798-0-cib.jpg?v=1776697746, friendlyName=Open</x:v>
      </x:c>
      <x:c r="C7122" s="24" t="e">
        <x:f>HYPERLINK("https://365nails.com/products/365nails-purple-celestial-moon-star-nail-art-stickers","365nails: ""Purple Celestial Moon &amp; Star"" – nail art stickers")</x:f>
        <x:v>HYPERLINK is not implemented. linkLocation=https://365nails.com/products/365nails-purple-celestial-moon-star-nail-art-stickers, friendlyName=365nails: "Purple Celestial Moon &amp; Star" – nail art stickers</x:v>
      </x:c>
      <x:c r="D7122" s="18" t="str">
        <x:v>Specification type: To3897-new hot stamping / To4289-new hot stamping</x:v>
      </x:c>
      <x:c r="E7122" s="25" t="str">
        <x:v>$1.23</x:v>
      </x:c>
      <x:c r="F7122" s="19" t="str">
        <x:v>5</x:v>
      </x:c>
    </x:row>
    <x:row r="7123" ht="93" customHeight="1">
      <x:c r="A7123" s="19" t="n">
        <x:v>7120</x:v>
      </x:c>
      <x:c r="B7123" s="22" t="e">
        <x:f>HYPERLINK("https://cdn.shopify.com/s/files/1/0918/6066/4603/files/cf263dfb30778a3bd5fcea90c88a07c9.jpg?v=1772963638","Open")</x:f>
        <x:v>HYPERLINK is not implemented. linkLocation=https://cdn.shopify.com/s/files/1/0918/6066/4603/files/cf263dfb30778a3bd5fcea90c88a07c9.jpg?v=1772963638, friendlyName=Open</x:v>
      </x:c>
      <x:c r="C7123" s="24" t="e">
        <x:f>HYPERLINK("https://365nails.com/products/holographic-dragon-flames-iridescent-nail-art-set","Holographic Dragon Flames – Iridescent Nail Art Set")</x:f>
        <x:v>HYPERLINK is not implemented. linkLocation=https://365nails.com/products/holographic-dragon-flames-iridescent-nail-art-set, friendlyName=Holographic Dragon Flames – Iridescent Nail Art Set</x:v>
      </x:c>
      <x:c r="D7123" s="18" t="str">
        <x:v>Specification type: To3448-laser powder / To3448-new hot stamping / To3448-silver</x:v>
      </x:c>
      <x:c r="E7123" s="25" t="str">
        <x:v>$1.23</x:v>
      </x:c>
      <x:c r="F7123" s="19" t="str">
        <x:v>5</x:v>
      </x:c>
    </x:row>
    <x:row r="7124" ht="93" customHeight="1">
      <x:c r="A7124" s="19" t="n">
        <x:v>7121</x:v>
      </x:c>
      <x:c r="B7124" s="22" t="e">
        <x:f>HYPERLINK("https://cdn.shopify.com/s/files/1/0918/6066/4603/files/04ca9bc212d685ab6b4e837519de00f6.jpg?v=1777776275","Open")</x:f>
        <x:v>HYPERLINK is not implemented. linkLocation=https://cdn.shopify.com/s/files/1/0918/6066/4603/files/04ca9bc212d685ab6b4e837519de00f6.jpg?v=1777776275, friendlyName=Open</x:v>
      </x:c>
      <x:c r="C7124" s="24" t="e">
        <x:f>HYPERLINK("https://365nails.com/products/365nails-silver-rhinestone-luxury-handmade-long-stiletto-press-on-nails","365nails: ""Silver Rhinestone Luxury"" – Handmade Long Stiletto Press-On Nails")</x:f>
        <x:v>HYPERLINK is not implemented. linkLocation=https://365nails.com/products/365nails-silver-rhinestone-luxury-handmade-long-stiletto-press-on-nails, friendlyName=365nails: "Silver Rhinestone Luxury" – Handmade Long Stiletto Press-On Nails</x:v>
      </x:c>
      <x:c r="D7124" s="18" t="str">
        <x:v>Size: XS / S / M / L</x:v>
      </x:c>
      <x:c r="E7124" s="25" t="str">
        <x:v>$5.99</x:v>
      </x:c>
      <x:c r="F7124" s="19" t="str">
        <x:v>5</x:v>
      </x:c>
    </x:row>
    <x:row r="7125" ht="93" customHeight="1">
      <x:c r="A7125" s="19" t="n">
        <x:v>7122</x:v>
      </x:c>
      <x:c r="B7125" s="22" t="e">
        <x:f>HYPERLINK("https://cdn.shopify.com/s/files/1/0918/6066/4603/files/O1CN01beieex1HlWrktq4vB__2545140798-0-cib.jpg?v=1772962432","Open")</x:f>
        <x:v>HYPERLINK is not implemented. linkLocation=https://cdn.shopify.com/s/files/1/0918/6066/4603/files/O1CN01beieex1HlWrktq4vB__2545140798-0-cib.jpg?v=1772962432, friendlyName=Open</x:v>
      </x:c>
      <x:c r="C7125" s="24" t="e">
        <x:f>HYPERLINK("https://365nails.com/products/sweet-teddy-bakery-kawaii-nail-art-set","Sweet Teddy Bakery – Kawaii Nail Art Set")</x:f>
        <x:v>HYPERLINK is not implemented. linkLocation=https://365nails.com/products/sweet-teddy-bakery-kawaii-nail-art-set, friendlyName=Sweet Teddy Bakery – Kawaii Nail Art Set</x:v>
      </x:c>
      <x:c r="D7125" s="18" t="str">
        <x:v>Specification type: To2677 / To2709 / To2713</x:v>
      </x:c>
      <x:c r="E7125" s="25" t="str">
        <x:v>$1.23</x:v>
      </x:c>
      <x:c r="F7125" s="19" t="str">
        <x:v>5</x:v>
      </x:c>
    </x:row>
    <x:row r="7126" ht="93" customHeight="1">
      <x:c r="A7126" s="19" t="n">
        <x:v>7123</x:v>
      </x:c>
      <x:c r="B7126" s="22" t="e">
        <x:f>HYPERLINK("https://cdn.shopify.com/s/files/1/0918/6066/4603/files/894265a65887f0a5bfb7a7449fd795c4.jpg?v=1773466644","Open")</x:f>
        <x:v>HYPERLINK is not implemented. linkLocation=https://cdn.shopify.com/s/files/1/0918/6066/4603/files/894265a65887f0a5bfb7a7449fd795c4.jpg?v=1773466644, friendlyName=Open</x:v>
      </x:c>
      <x:c r="C7126" s="24" t="e">
        <x:f>HYPERLINK("https://365nails.com/products/denim-patch-collection-vintage-denim-patch-kitten-3d-embossed-nail-sticker","Denim Patch Collection: ""Vintage Denim Patch &amp; Kitten"" – 3D Embossed Nail Sticker")</x:f>
        <x:v>HYPERLINK is not implemented. linkLocation=https://365nails.com/products/denim-patch-collection-vintage-denim-patch-kitten-3d-embossed-nail-sticker, friendlyName=Denim Patch Collection: "Vintage Denim Patch &amp; Kitten" – 3D Embossed Nail Sticker</x:v>
      </x:c>
      <x:c r="D7126" s="18" t="str">
        <x:v>Specification type: To5373-metal / To5385-metal / To5395-relief</x:v>
      </x:c>
      <x:c r="E7126" s="25" t="str">
        <x:v>$1.23</x:v>
      </x:c>
      <x:c r="F7126" s="19" t="str">
        <x:v>5</x:v>
      </x:c>
    </x:row>
    <x:row r="7127" ht="93" customHeight="1">
      <x:c r="A7127" s="19" t="n">
        <x:v>7124</x:v>
      </x:c>
      <x:c r="B7127" s="22" t="e">
        <x:f>HYPERLINK("https://cdn.shopify.com/s/files/1/0918/6066/4603/files/O1CN01P38qBP1HlWzFCQD1q__2545140798-0-cib.jpg?v=1776692039","Open")</x:f>
        <x:v>HYPERLINK is not implemented. linkLocation=https://cdn.shopify.com/s/files/1/0918/6066/4603/files/O1CN01P38qBP1HlWzFCQD1q__2545140798-0-cib.jpg?v=1776692039, friendlyName=Open</x:v>
      </x:c>
      <x:c r="C7127" s="24" t="e">
        <x:f>HYPERLINK("https://365nails.com/products/365nails-chinese-plum-blossom-landscape-nail-art-stickers","365nails: ""Chinese Plum Blossom Landscape"" – nail art stickers")</x:f>
        <x:v>HYPERLINK is not implemented. linkLocation=https://365nails.com/products/365nails-chinese-plum-blossom-landscape-nail-art-stickers, friendlyName=365nails: "Chinese Plum Blossom Landscape" – nail art stickers</x:v>
      </x:c>
      <x:c r="D7127" s="18" t="str">
        <x:v>Specification type: To3717-relief</x:v>
      </x:c>
      <x:c r="E7127" s="25" t="str">
        <x:v>$1.99</x:v>
      </x:c>
      <x:c r="F7127" s="19" t="str">
        <x:v>5</x:v>
      </x:c>
    </x:row>
    <x:row r="7128" ht="93" customHeight="1">
      <x:c r="A7128" s="19" t="n">
        <x:v>7125</x:v>
      </x:c>
      <x:c r="B7128" s="22" t="e">
        <x:f>HYPERLINK("https://cdn.shopify.com/s/files/1/0918/6066/4603/files/1a79d597f1cb0ee613286c2446080a09.jpg?v=1772963866","Open")</x:f>
        <x:v>HYPERLINK is not implemented. linkLocation=https://cdn.shopify.com/s/files/1/0918/6066/4603/files/1a79d597f1cb0ee613286c2446080a09.jpg?v=1772963866, friendlyName=Open</x:v>
      </x:c>
      <x:c r="C7128" s="24" t="e">
        <x:f>HYPERLINK("https://365nails.com/products/dino-friends-playful-cartoon-nail-art-set-1","Dino Friends – Playful Cartoon Nail Art Set")</x:f>
        <x:v>HYPERLINK is not implemented. linkLocation=https://365nails.com/products/dino-friends-playful-cartoon-nail-art-set-1, friendlyName=Dino Friends – Playful Cartoon Nail Art Set</x:v>
      </x:c>
      <x:c r="D7128" s="18" t="str">
        <x:v>Specification type: To2363 / To2365</x:v>
      </x:c>
      <x:c r="E7128" s="25" t="str">
        <x:v>$1.23</x:v>
      </x:c>
      <x:c r="F7128" s="19" t="str">
        <x:v>5</x:v>
      </x:c>
    </x:row>
    <x:row r="7129" ht="93" customHeight="1">
      <x:c r="A7129" s="19" t="n">
        <x:v>7126</x:v>
      </x:c>
      <x:c r="B7129" s="22" t="e">
        <x:f>HYPERLINK("https://cdn.shopify.com/s/files/1/0918/6066/4603/files/d17649947058a8a5ab3a42d68f1b9d2f.jpg?v=1772962066","Open")</x:f>
        <x:v>HYPERLINK is not implemented. linkLocation=https://cdn.shopify.com/s/files/1/0918/6066/4603/files/d17649947058a8a5ab3a42d68f1b9d2f.jpg?v=1772962066, friendlyName=Open</x:v>
      </x:c>
      <x:c r="C7129" s="24" t="e">
        <x:f>HYPERLINK("https://365nails.com/products/vintage-mini-frames-3d-embossed-nail-art-set","Vintage Mini Frames – 3D Embossed Nail Art Set")</x:f>
        <x:v>HYPERLINK is not implemented. linkLocation=https://365nails.com/products/vintage-mini-frames-3d-embossed-nail-art-set, friendlyName=Vintage Mini Frames – 3D Embossed Nail Art Set</x:v>
      </x:c>
      <x:c r="D7129" s="18" t="str">
        <x:v>Specification type: Ta 140 / Ta 141 / Ta 142 / Ta 143 / Ta 150 / Ta 151</x:v>
      </x:c>
      <x:c r="E7129" s="25" t="str">
        <x:v>$1.23</x:v>
      </x:c>
      <x:c r="F7129" s="19" t="str">
        <x:v>5</x:v>
      </x:c>
    </x:row>
    <x:row r="7130" ht="93" customHeight="1">
      <x:c r="A7130" s="19" t="n">
        <x:v>7127</x:v>
      </x:c>
      <x:c r="B7130" s="22" t="e">
        <x:f>HYPERLINK("https://cdn.shopify.com/s/files/1/0918/6066/4603/files/O1CN01kIkjCw1HlWo97KfKz__2545140798-0-cib.jpg?v=1772955498","Open")</x:f>
        <x:v>HYPERLINK is not implemented. linkLocation=https://cdn.shopify.com/s/files/1/0918/6066/4603/files/O1CN01kIkjCw1HlWo97KfKz__2545140798-0-cib.jpg?v=1772955498, friendlyName=Open</x:v>
      </x:c>
      <x:c r="C7130" s="24" t="e">
        <x:f>HYPERLINK("https://365nails.com/products/embroidery-smile-playful-floral-nail-art-set","Embroidery Smile – Playful Floral Nail Art Set")</x:f>
        <x:v>HYPERLINK is not implemented. linkLocation=https://365nails.com/products/embroidery-smile-playful-floral-nail-art-set, friendlyName=Embroidery Smile – Playful Floral Nail Art Set</x:v>
      </x:c>
      <x:c r="D7130" s="18" t="str">
        <x:v>Specification type: To1296 / To1270</x:v>
      </x:c>
      <x:c r="E7130" s="25" t="str">
        <x:v>$1.23</x:v>
      </x:c>
      <x:c r="F7130" s="19" t="str">
        <x:v>5</x:v>
      </x:c>
    </x:row>
    <x:row r="7131" ht="93" customHeight="1">
      <x:c r="A7131" s="19" t="n">
        <x:v>7128</x:v>
      </x:c>
      <x:c r="B7131" s="22" t="e">
        <x:f>HYPERLINK("https://cdn.shopify.com/s/files/1/0918/6066/4603/files/0c77537ee021dea461bab41a7700c192.jpg?v=1772969453","Open")</x:f>
        <x:v>HYPERLINK is not implemented. linkLocation=https://cdn.shopify.com/s/files/1/0918/6066/4603/files/0c77537ee021dea461bab41a7700c192.jpg?v=1772969453, friendlyName=Open</x:v>
      </x:c>
      <x:c r="C7131" s="24" t="e">
        <x:f>HYPERLINK("https://365nails.com/products/doodle-strawberry-paradise-playful-cartoon-nail-art-set","Doodle Strawberry Paradise – Playful Cartoon Nail Art Set")</x:f>
        <x:v>HYPERLINK is not implemented. linkLocation=https://365nails.com/products/doodle-strawberry-paradise-playful-cartoon-nail-art-set, friendlyName=Doodle Strawberry Paradise – Playful Cartoon Nail Art Set</x:v>
      </x:c>
      <x:c r="D7131" s="18" t="str">
        <x:v>Specification type: To1673</x:v>
      </x:c>
      <x:c r="E7131" s="25" t="str">
        <x:v>$1.23</x:v>
      </x:c>
      <x:c r="F7131" s="19" t="str">
        <x:v>5</x:v>
      </x:c>
    </x:row>
    <x:row r="7132" ht="93" customHeight="1">
      <x:c r="A7132" s="19" t="n">
        <x:v>7129</x:v>
      </x:c>
      <x:c r="B7132" s="22" t="e">
        <x:f>HYPERLINK("https://cdn.shopify.com/s/files/1/0918/6066/4603/files/O1CN01IQy5pR1HlWu3ehnBx__2545140798-0-cib.jpg?v=1776697586","Open")</x:f>
        <x:v>HYPERLINK is not implemented. linkLocation=https://cdn.shopify.com/s/files/1/0918/6066/4603/files/O1CN01IQy5pR1HlWu3ehnBx__2545140798-0-cib.jpg?v=1776697586, friendlyName=Open</x:v>
      </x:c>
      <x:c r="C7132" s="24" t="e">
        <x:f>HYPERLINK("https://365nails.com/products/365nails-gold-crystal-irregular-frame-nail-art-stickers","365nails: ""Gold Crystal Irregular Frame"" – nail art stickers")</x:f>
        <x:v>HYPERLINK is not implemented. linkLocation=https://365nails.com/products/365nails-gold-crystal-irregular-frame-nail-art-stickers, friendlyName=365nails: "Gold Crystal Irregular Frame" – nail art stickers</x:v>
      </x:c>
      <x:c r="D7132" s="18" t="str">
        <x:v>Specification type: To3030-new hot stamping / To3030-silver</x:v>
      </x:c>
      <x:c r="E7132" s="25" t="str">
        <x:v>$1.23</x:v>
      </x:c>
      <x:c r="F7132" s="19" t="str">
        <x:v>5</x:v>
      </x:c>
    </x:row>
    <x:row r="7133" ht="93" customHeight="1">
      <x:c r="A7133" s="19" t="n">
        <x:v>7130</x:v>
      </x:c>
      <x:c r="B7133" s="22" t="e">
        <x:f>HYPERLINK("https://cdn.shopify.com/s/files/1/0918/6066/4603/files/41f820846a1ec0754b5c973e41b4a9de.jpg?v=1773061523","Open")</x:f>
        <x:v>HYPERLINK is not implemented. linkLocation=https://cdn.shopify.com/s/files/1/0918/6066/4603/files/41f820846a1ec0754b5c973e41b4a9de.jpg?v=1773061523, friendlyName=Open</x:v>
      </x:c>
      <x:c r="C7133" s="24" t="e">
        <x:f>HYPERLINK("https://365nails.com/products/pink-rebel-y2k-playful-nail-art-set","Pink Rebel Y2K – Playful Nail Art Set")</x:f>
        <x:v>HYPERLINK is not implemented. linkLocation=https://365nails.com/products/pink-rebel-y2k-playful-nail-art-set, friendlyName=Pink Rebel Y2K – Playful Nail Art Set</x:v>
      </x:c>
      <x:c r="D7133" s="18" t="str">
        <x:v>Specification type: To5544-metal / To5548-shell light</x:v>
      </x:c>
      <x:c r="E7133" s="25" t="str">
        <x:v>$1.23</x:v>
      </x:c>
      <x:c r="F7133" s="19" t="str">
        <x:v>5</x:v>
      </x:c>
    </x:row>
    <x:row r="7134" ht="93" customHeight="1">
      <x:c r="A7134" s="19" t="n">
        <x:v>7131</x:v>
      </x:c>
      <x:c r="B7134" s="22" t="e">
        <x:f>HYPERLINK("https://cdn.shopify.com/s/files/1/0918/6066/4603/files/O1CN01OQI1zk1HlX7KvwLLX__2545140798-0-cib_2737e9b3-fafc-4a78-a019-662c15ba1510.jpg?v=1775740360","Open")</x:f>
        <x:v>HYPERLINK is not implemented. linkLocation=https://cdn.shopify.com/s/files/1/0918/6066/4603/files/O1CN01OQI1zk1HlX7KvwLLX__2545140798-0-cib_2737e9b3-fafc-4a78-a019-662c15ba1510.jpg?v=1775740360, friendlyName=Open</x:v>
      </x:c>
      <x:c r="C7134" s="24" t="e">
        <x:f>HYPERLINK("https://365nails.com/products/365nails-miiiiichan-cartoon-animal-handmade-press-on-nails","365nails: ""Miiiiichan Cartoon &amp; Animal"" –Nail Art Stickers")</x:f>
        <x:v>HYPERLINK is not implemented. linkLocation=https://365nails.com/products/365nails-miiiiichan-cartoon-animal-handmade-press-on-nails, friendlyName=365nails: "Miiiiichan Cartoon &amp; Animal" –Nail Art Stickers</x:v>
      </x:c>
      <x:c r="D7134" s="18" t="str">
        <x:v>Specification type: Mc64 / Mc66</x:v>
      </x:c>
      <x:c r="E7134" s="25" t="str">
        <x:v>$1.16</x:v>
      </x:c>
      <x:c r="F7134" s="19" t="str">
        <x:v>5</x:v>
      </x:c>
    </x:row>
    <x:row r="7135" ht="93" customHeight="1">
      <x:c r="A7135" s="19" t="n">
        <x:v>7132</x:v>
      </x:c>
      <x:c r="B7135" s="22" t="e">
        <x:f>HYPERLINK("https://cdn.shopify.com/s/files/1/0918/6066/4603/files/O1CN01FTJds01HlWqdBUnKO__2545140798-0-cib.jpg?v=1772961965","Open")</x:f>
        <x:v>HYPERLINK is not implemented. linkLocation=https://cdn.shopify.com/s/files/1/0918/6066/4603/files/O1CN01FTJds01HlWqdBUnKO__2545140798-0-cib.jpg?v=1772961965, friendlyName=Open</x:v>
      </x:c>
      <x:c r="C7135" s="24" t="e">
        <x:f>HYPERLINK("https://365nails.com/products/merry-christmas-festive-nail-art-set","Merry Christmas – Festive Nail Art Set")</x:f>
        <x:v>HYPERLINK is not implemented. linkLocation=https://365nails.com/products/merry-christmas-festive-nail-art-set, friendlyName=Merry Christmas – Festive Nail Art Set</x:v>
      </x:c>
      <x:c r="D7135" s="18" t="str">
        <x:v>Specification type: To2379 / To2381 / To2384 / To2412</x:v>
      </x:c>
      <x:c r="E7135" s="25" t="str">
        <x:v>$1.23</x:v>
      </x:c>
      <x:c r="F7135" s="19" t="str">
        <x:v>5</x:v>
      </x:c>
    </x:row>
    <x:row r="7136" ht="93" customHeight="1">
      <x:c r="A7136" s="19" t="n">
        <x:v>7133</x:v>
      </x:c>
      <x:c r="B7136" s="22" t="e">
        <x:f>HYPERLINK("https://cdn.shopify.com/s/files/1/0918/6066/4603/files/O1CN01vzHM5A1HlWy3hUQmk__2545140798-0-cib.jpg?v=1773559184","Open")</x:f>
        <x:v>HYPERLINK is not implemented. linkLocation=https://cdn.shopify.com/s/files/1/0918/6066/4603/files/O1CN01vzHM5A1HlWy3hUQmk__2545140798-0-cib.jpg?v=1773559184, friendlyName=Open</x:v>
      </x:c>
      <x:c r="C7136" s="24" t="e">
        <x:f>HYPERLINK("https://365nails.com/products/holographic-bow-iridescent-pink-crystal-3d-nail-sticker","Holographic Bow: ""Iridescent Pink Crystal"" – 3D Nail Sticker")</x:f>
        <x:v>HYPERLINK is not implemented. linkLocation=https://365nails.com/products/holographic-bow-iridescent-pink-crystal-3d-nail-sticker, friendlyName=Holographic Bow: "Iridescent Pink Crystal" – 3D Nail Sticker</x:v>
      </x:c>
      <x:c r="D7136" s="18" t="str">
        <x:v>Specification type: To3603 laser powder-crystal diamond / To3603 pink gold-crystal diamond / To3603 new hot stamping-crystal diamond / To3603 silver-crystal diamond</x:v>
      </x:c>
      <x:c r="E7136" s="25" t="str">
        <x:v>$1.30</x:v>
      </x:c>
      <x:c r="F7136" s="19" t="str">
        <x:v>5</x:v>
      </x:c>
    </x:row>
    <x:row r="7137" ht="93" customHeight="1">
      <x:c r="A7137" s="19" t="n">
        <x:v>7134</x:v>
      </x:c>
      <x:c r="B7137" s="22" t="e">
        <x:f>HYPERLINK("https://cdn.shopify.com/s/files/1/0918/6066/4603/files/O1CN01jrqvGh1HlWmTvJhuq__2545140798-0-cib.jpg?v=1776575233","Open")</x:f>
        <x:v>HYPERLINK is not implemented. linkLocation=https://cdn.shopify.com/s/files/1/0918/6066/4603/files/O1CN01jrqvGh1HlWmTvJhuq__2545140798-0-cib.jpg?v=1776575233, friendlyName=Open</x:v>
      </x:c>
      <x:c r="C7137" s="24" t="e">
        <x:f>HYPERLINK("https://365nails.com/products/365nails-magical-sakura-girl-nail-art-stickers","365nails: ""Magical Sakura Girl"" – nail art stickers")</x:f>
        <x:v>HYPERLINK is not implemented. linkLocation=https://365nails.com/products/365nails-magical-sakura-girl-nail-art-stickers, friendlyName=365nails: "Magical Sakura Girl" – nail art stickers</x:v>
      </x:c>
      <x:c r="D7137" s="18" t="str">
        <x:v>Specification type: To833 / To916 / To917</x:v>
      </x:c>
      <x:c r="E7137" s="25" t="str">
        <x:v>$1.23</x:v>
      </x:c>
      <x:c r="F7137" s="19" t="str">
        <x:v>5</x:v>
      </x:c>
    </x:row>
    <x:row r="7138" ht="93" customHeight="1">
      <x:c r="A7138" s="19" t="n">
        <x:v>7135</x:v>
      </x:c>
      <x:c r="B7138" s="22" t="e">
        <x:f>HYPERLINK("https://cdn.shopify.com/s/files/1/0918/6066/4603/files/2d0463f47b61501030e598aaa6f01d56.jpg?v=1772960758","Open")</x:f>
        <x:v>HYPERLINK is not implemented. linkLocation=https://cdn.shopify.com/s/files/1/0918/6066/4603/files/2d0463f47b61501030e598aaa6f01d56.jpg?v=1772960758, friendlyName=Open</x:v>
      </x:c>
      <x:c r="C7138" s="24" t="e">
        <x:f>HYPERLINK("https://365nails.com/products/cute-mini-charms-playful-nail-art-set","Cute Mini Charms – Playful Nail Art Set")</x:f>
        <x:v>HYPERLINK is not implemented. linkLocation=https://365nails.com/products/cute-mini-charms-playful-nail-art-set, friendlyName=Cute Mini Charms – Playful Nail Art Set</x:v>
      </x:c>
      <x:c r="D7138" s="18" t="str">
        <x:v>Specification type: To2078</x:v>
      </x:c>
      <x:c r="E7138" s="25" t="str">
        <x:v>$1.23</x:v>
      </x:c>
      <x:c r="F7138" s="19" t="str">
        <x:v>5</x:v>
      </x:c>
    </x:row>
    <x:row r="7139" ht="93" customHeight="1">
      <x:c r="A7139" s="19" t="n">
        <x:v>7136</x:v>
      </x:c>
      <x:c r="B7139" s="22" t="e">
        <x:f>HYPERLINK("https://cdn.shopify.com/s/files/1/0918/6066/4603/files/d541fbb28d8cfd5c34e943ff4bd44603.jpg?v=1772960870","Open")</x:f>
        <x:v>HYPERLINK is not implemented. linkLocation=https://cdn.shopify.com/s/files/1/0918/6066/4603/files/d541fbb28d8cfd5c34e943ff4bd44603.jpg?v=1772960870, friendlyName=Open</x:v>
      </x:c>
      <x:c r="C7139" s="24" t="e">
        <x:f>HYPERLINK("https://365nails.com/products/vintage-lace-trim-3d-embossed-nail-art-set","Vintage Lace Trim – 3D Embossed Nail Art Set")</x:f>
        <x:v>HYPERLINK is not implemented. linkLocation=https://365nails.com/products/vintage-lace-trim-3d-embossed-nail-art-set, friendlyName=Vintage Lace Trim – 3D Embossed Nail Art Set</x:v>
      </x:c>
      <x:c r="D7139" s="18" t="str">
        <x:v>Specification type: Ms 227 / Ms 226</x:v>
      </x:c>
      <x:c r="E7139" s="25" t="str">
        <x:v>$1.23</x:v>
      </x:c>
      <x:c r="F7139" s="19" t="str">
        <x:v>5</x:v>
      </x:c>
    </x:row>
    <x:row r="7140" ht="93" customHeight="1">
      <x:c r="A7140" s="19" t="n">
        <x:v>7137</x:v>
      </x:c>
      <x:c r="B7140" s="22" t="e">
        <x:f>HYPERLINK("https://cdn.shopify.com/s/files/1/0918/6066/4603/files/O1CN01zgszXZ1HlWojoyaTL__2545140798-0-cib.jpg?v=1772955603","Open")</x:f>
        <x:v>HYPERLINK is not implemented. linkLocation=https://cdn.shopify.com/s/files/1/0918/6066/4603/files/O1CN01zgszXZ1HlWojoyaTL__2545140798-0-cib.jpg?v=1772955603, friendlyName=Open</x:v>
      </x:c>
      <x:c r="C7140" s="24" t="e">
        <x:f>HYPERLINK("https://365nails.com/products/birthday-party-3d-embossed-nail-art-set","Birthday Party – 3D Embossed Nail Art Set")</x:f>
        <x:v>HYPERLINK is not implemented. linkLocation=https://365nails.com/products/birthday-party-3d-embossed-nail-art-set, friendlyName=Birthday Party – 3D Embossed Nail Art Set</x:v>
      </x:c>
      <x:c r="D7140" s="18" t="str">
        <x:v>Specification type: Ms 205 / Ms 206</x:v>
      </x:c>
      <x:c r="E7140" s="25" t="str">
        <x:v>$1.23</x:v>
      </x:c>
      <x:c r="F7140" s="19" t="str">
        <x:v>5</x:v>
      </x:c>
    </x:row>
    <x:row r="7141" ht="93" customHeight="1">
      <x:c r="A7141" s="19" t="n">
        <x:v>7138</x:v>
      </x:c>
      <x:c r="B7141" s="22" t="e">
        <x:f>HYPERLINK("https://cdn.shopify.com/s/files/1/0918/6066/4603/files/O1CN01l5gSNM1HlX9qPJeUa__2545140798-0-cib.jpg?v=1774255317","Open")</x:f>
        <x:v>HYPERLINK is not implemented. linkLocation=https://cdn.shopify.com/s/files/1/0918/6066/4603/files/O1CN01l5gSNM1HlX9qPJeUa__2545140798-0-cib.jpg?v=1774255317, friendlyName=Open</x:v>
      </x:c>
      <x:c r="C7141" s="24" t="e">
        <x:f>HYPERLINK("https://365nails.com/products/holographic-christmas-tree-festive-greeting-nail-sticker-set-shimmering-christmas-wishes","Holographic Christmas Tree &amp; Festive Greeting Nail Sticker Set – ""Shimmering Christmas Wishes""")</x:f>
        <x:v>HYPERLINK is not implemented. linkLocation=https://365nails.com/products/holographic-christmas-tree-festive-greeting-nail-sticker-set-shimmering-christmas-wishes, friendlyName=Holographic Christmas Tree &amp; Festive Greeting Nail Sticker Set – "Shimmering Christmas Wishes"</x:v>
      </x:c>
      <x:c r="D7141" s="18" t="str">
        <x:v>Specification type: Ms846-metal / Ms847-laser powder / Ms847-silver / Ms847-green gold / Ms847-new hot stamping / Ms856-metal</x:v>
      </x:c>
      <x:c r="E7141" s="25" t="str">
        <x:v>$1.23</x:v>
      </x:c>
      <x:c r="F7141" s="19" t="str">
        <x:v>5</x:v>
      </x:c>
    </x:row>
    <x:row r="7142" ht="93" customHeight="1">
      <x:c r="A7142" s="19" t="n">
        <x:v>7139</x:v>
      </x:c>
      <x:c r="B7142" s="22" t="e">
        <x:f>HYPERLINK("https://cdn.shopify.com/s/files/1/0918/6066/4603/files/604dfcde42d390dfa184852c9084690e.jpg?v=1773466377","Open")</x:f>
        <x:v>HYPERLINK is not implemented. linkLocation=https://cdn.shopify.com/s/files/1/0918/6066/4603/files/604dfcde42d390dfa184852c9084690e.jpg?v=1773466377, friendlyName=Open</x:v>
      </x:c>
      <x:c r="C7142" s="24" t="e">
        <x:f>HYPERLINK("https://365nails.com/products/sweet-kitten-cherry-collection-iridescent-sweet-kitten-cherry-3d-embossed-nail-sticker","Sweet Kitten Cherry Collection: ""Iridescent Sweet Kitten &amp; Cherry"" – 3D Embossed Nail Sticker")</x:f>
        <x:v>HYPERLINK is not implemented. linkLocation=https://365nails.com/products/sweet-kitten-cherry-collection-iridescent-sweet-kitten-cherry-3d-embossed-nail-sticker, friendlyName=Sweet Kitten Cherry Collection: "Iridescent Sweet Kitten &amp; Cherry" – 3D Embossed Nail Sticker</x:v>
      </x:c>
      <x:c r="D7142" s="18" t="str">
        <x:v>Specification type: To4719 / To4737</x:v>
      </x:c>
      <x:c r="E7142" s="25" t="str">
        <x:v>$1.09</x:v>
      </x:c>
      <x:c r="F7142" s="19" t="str">
        <x:v>5</x:v>
      </x:c>
    </x:row>
    <x:row r="7143" ht="93" customHeight="1">
      <x:c r="A7143" s="19" t="n">
        <x:v>7140</x:v>
      </x:c>
      <x:c r="B7143" s="22" t="e">
        <x:f>HYPERLINK("https://cdn.shopify.com/s/files/1/0918/6066/4603/files/O1CN018ea1av1HlWqBqBNgs__2545140798-0-cib.jpg?v=1772969871","Open")</x:f>
        <x:v>HYPERLINK is not implemented. linkLocation=https://cdn.shopify.com/s/files/1/0918/6066/4603/files/O1CN018ea1av1HlWqBqBNgs__2545140798-0-cib.jpg?v=1772969871, friendlyName=Open</x:v>
      </x:c>
      <x:c r="C7143" s="24" t="e">
        <x:f>HYPERLINK("https://365nails.com/products/monochrome-butterfly-heart-minimalist-nail-art-set","Monochrome Butterfly &amp; Heart – Minimalist Nail Art Set")</x:f>
        <x:v>HYPERLINK is not implemented. linkLocation=https://365nails.com/products/monochrome-butterfly-heart-minimalist-nail-art-set, friendlyName=Monochrome Butterfly &amp; Heart – Minimalist Nail Art Set</x:v>
      </x:c>
      <x:c r="D7143" s="18" t="str">
        <x:v>Specification type: To3404 / To3433 / To2214 / To 2019 / To2022 / To2023 / To2656</x:v>
      </x:c>
      <x:c r="E7143" s="25" t="str">
        <x:v>$1.23</x:v>
      </x:c>
      <x:c r="F7143" s="19" t="str">
        <x:v>5</x:v>
      </x:c>
    </x:row>
    <x:row r="7144" ht="93" customHeight="1">
      <x:c r="A7144" s="19" t="n">
        <x:v>7141</x:v>
      </x:c>
      <x:c r="B7144" s="22" t="e">
        <x:f>HYPERLINK("https://cdn.shopify.com/s/files/1/0918/6066/4603/files/O1CN01Qha7cg1HlWzm91Xpg__2545140798-0-cib.jpg?v=1773061426","Open")</x:f>
        <x:v>HYPERLINK is not implemented. linkLocation=https://cdn.shopify.com/s/files/1/0918/6066/4603/files/O1CN01Qha7cg1HlWzm91Xpg__2545140798-0-cib.jpg?v=1773061426, friendlyName=Open</x:v>
      </x:c>
      <x:c r="C7144" s="24" t="e">
        <x:f>HYPERLINK("https://365nails.com/products/iridescent-crystal-butterfly-3d-embossed-nail-art-set","Iridescent Crystal Butterfly – 3D Embossed Nail Art Set")</x:f>
        <x:v>HYPERLINK is not implemented. linkLocation=https://365nails.com/products/iridescent-crystal-butterfly-3d-embossed-nail-art-set, friendlyName=Iridescent Crystal Butterfly – 3D Embossed Nail Art Set</x:v>
      </x:c>
      <x:c r="D7144" s="18" t="str">
        <x:v>Specification type: Ms533-shell light / Ms543-shell light / Ms562-jelly / Ms644-shell light</x:v>
      </x:c>
      <x:c r="E7144" s="25" t="str">
        <x:v>$1.23</x:v>
      </x:c>
      <x:c r="F7144" s="19" t="str">
        <x:v>5</x:v>
      </x:c>
    </x:row>
    <x:row r="7145" ht="93" customHeight="1">
      <x:c r="A7145" s="19" t="n">
        <x:v>7142</x:v>
      </x:c>
      <x:c r="B7145" s="22" t="e">
        <x:f>HYPERLINK("https://cdn.shopify.com/s/files/1/0918/6066/4603/files/a9fed20379c95f8976f4ce79d3225216.jpg?v=1773059394","Open")</x:f>
        <x:v>HYPERLINK is not implemented. linkLocation=https://cdn.shopify.com/s/files/1/0918/6066/4603/files/a9fed20379c95f8976f4ce79d3225216.jpg?v=1773059394, friendlyName=Open</x:v>
      </x:c>
      <x:c r="C7145" s="24" t="e">
        <x:f>HYPERLINK("https://365nails.com/products/crystal-diamond-bunny-elegant-lolita-nail-art-set","Crystal Diamond Bunny – Elegant Lolita Nail Art Set")</x:f>
        <x:v>HYPERLINK is not implemented. linkLocation=https://365nails.com/products/crystal-diamond-bunny-elegant-lolita-nail-art-set, friendlyName=Crystal Diamond Bunny – Elegant Lolita Nail Art Set</x:v>
      </x:c>
      <x:c r="D7145" s="18" t="str">
        <x:v>Specification type: To3547-crystal diamond</x:v>
      </x:c>
      <x:c r="E7145" s="25" t="str">
        <x:v>$1.23</x:v>
      </x:c>
      <x:c r="F7145" s="19" t="str">
        <x:v>5</x:v>
      </x:c>
    </x:row>
    <x:row r="7146" ht="93" customHeight="1">
      <x:c r="A7146" s="19" t="n">
        <x:v>7143</x:v>
      </x:c>
      <x:c r="B7146" s="22" t="e">
        <x:f>HYPERLINK("https://cdn.shopify.com/s/files/1/0918/6066/4603/files/432ca3bf2cfe531c7721fe6c4fda2b8e.jpg?v=1777800116","Open")</x:f>
        <x:v>HYPERLINK is not implemented. linkLocation=https://cdn.shopify.com/s/files/1/0918/6066/4603/files/432ca3bf2cfe531c7721fe6c4fda2b8e.jpg?v=1777800116, friendlyName=Open</x:v>
      </x:c>
      <x:c r="C7146" s="24" t="e">
        <x:f>HYPERLINK("https://365nails.com/products/365nails-silver-chrome-big-rhinestone-handmade-short-square-press-on-nails","365nails: ""Silver Chrome Big Rhinestone"" – Handmade Short Square Press-On Nails")</x:f>
        <x:v>HYPERLINK is not implemented. linkLocation=https://365nails.com/products/365nails-silver-chrome-big-rhinestone-handmade-short-square-press-on-nails, friendlyName=365nails: "Silver Chrome Big Rhinestone" – Handmade Short Square Press-On Nails</x:v>
      </x:c>
      <x:c r="D7146" s="18" t="str">
        <x:v>Size: XS / S / M / L</x:v>
      </x:c>
      <x:c r="E7146" s="25" t="str">
        <x:v>$3.49</x:v>
      </x:c>
      <x:c r="F7146" s="19" t="str">
        <x:v>5</x:v>
      </x:c>
    </x:row>
    <x:row r="7147" ht="93" customHeight="1">
      <x:c r="A7147" s="19" t="n">
        <x:v>7144</x:v>
      </x:c>
      <x:c r="B7147" s="22" t="e">
        <x:f>HYPERLINK("https://cdn.shopify.com/s/files/1/0918/6066/4603/files/b1d002d1078252a69b942bbed8160517.jpg?v=1773463214","Open")</x:f>
        <x:v>HYPERLINK is not implemented. linkLocation=https://cdn.shopify.com/s/files/1/0918/6066/4603/files/b1d002d1078252a69b942bbed8160517.jpg?v=1773463214, friendlyName=Open</x:v>
      </x:c>
      <x:c r="C7147" s="24" t="e">
        <x:f>HYPERLINK("https://365nails.com/products/jelly-dessert-collection-jelly-cherry-cupcake-3d-embossed-nail-sticker","Jelly Dessert Collection: ""Jelly Cherry &amp; Cupcake"" – 3D Embossed Nail Sticker")</x:f>
        <x:v>HYPERLINK is not implemented. linkLocation=https://365nails.com/products/jelly-dessert-collection-jelly-cherry-cupcake-3d-embossed-nail-sticker, friendlyName=Jelly Dessert Collection: "Jelly Cherry &amp; Cupcake" – 3D Embossed Nail Sticker</x:v>
      </x:c>
      <x:c r="D7147" s="18" t="str">
        <x:v>Specification type: To5082-jelly</x:v>
      </x:c>
      <x:c r="E7147" s="25" t="str">
        <x:v>$1.23</x:v>
      </x:c>
      <x:c r="F7147" s="19" t="str">
        <x:v>5</x:v>
      </x:c>
    </x:row>
    <x:row r="7148" ht="93" customHeight="1">
      <x:c r="A7148" s="19" t="n">
        <x:v>7145</x:v>
      </x:c>
      <x:c r="B7148" s="22" t="e">
        <x:f>HYPERLINK("https://cdn.shopify.com/s/files/1/0918/6066/4603/files/b9c0ac12cfa33a819a7e8b6dbaa8d2d9.jpg?v=1777562070","Open")</x:f>
        <x:v>HYPERLINK is not implemented. linkLocation=https://cdn.shopify.com/s/files/1/0918/6066/4603/files/b9c0ac12cfa33a819a7e8b6dbaa8d2d9.jpg?v=1777562070, friendlyName=Open</x:v>
      </x:c>
      <x:c r="C7148" s="24" t="e">
        <x:f>HYPERLINK("https://365nails.com/products/365nails-pink-abstract-star-handmade-medium-almond-press-on-nails","365nails: ""Pink Abstract Star"" – Handmade Medium Almond Press-On Nails")</x:f>
        <x:v>HYPERLINK is not implemented. linkLocation=https://365nails.com/products/365nails-pink-abstract-star-handmade-medium-almond-press-on-nails, friendlyName=365nails: "Pink Abstract Star" – Handmade Medium Almond Press-On Nails</x:v>
      </x:c>
      <x:c r="D7148" s="18" t="str">
        <x:v>Size: XS / S / M / L</x:v>
      </x:c>
      <x:c r="E7148" s="25" t="str">
        <x:v>$4.99</x:v>
      </x:c>
      <x:c r="F7148" s="19" t="str">
        <x:v>5</x:v>
      </x:c>
    </x:row>
    <x:row r="7149" ht="93" customHeight="1">
      <x:c r="A7149" s="19" t="n">
        <x:v>7146</x:v>
      </x:c>
      <x:c r="B7149" s="22" t="e">
        <x:f>HYPERLINK("https://cdn.shopify.com/s/files/1/0918/6066/4603/files/a38d0b13ae9bd4b78f856f85b28ad3b9.jpg?v=1773463952","Open")</x:f>
        <x:v>HYPERLINK is not implemented. linkLocation=https://cdn.shopify.com/s/files/1/0918/6066/4603/files/a38d0b13ae9bd4b78f856f85b28ad3b9.jpg?v=1773463952, friendlyName=Open</x:v>
      </x:c>
      <x:c r="C7149" s="24" t="e">
        <x:f>HYPERLINK("https://365nails.com/products/strawberry-girl-collection-red-strawberry-cute-girl-3d-embossed-nail-sticker","Strawberry Girl Collection: ""Red Strawberry &amp; Cute Girl"" – 3D Embossed Nail Sticker")</x:f>
        <x:v>HYPERLINK is not implemented. linkLocation=https://365nails.com/products/strawberry-girl-collection-red-strawberry-cute-girl-3d-embossed-nail-sticker, friendlyName=Strawberry Girl Collection: "Red Strawberry &amp; Cute Girl" – 3D Embossed Nail Sticker</x:v>
      </x:c>
      <x:c r="D7149" s="18" t="str">
        <x:v>Specification type: To5265-shell light / To5269-relief</x:v>
      </x:c>
      <x:c r="E7149" s="25" t="str">
        <x:v>$1.23</x:v>
      </x:c>
      <x:c r="F7149" s="19" t="str">
        <x:v>5</x:v>
      </x:c>
    </x:row>
    <x:row r="7150" ht="93" customHeight="1">
      <x:c r="A7150" s="19" t="n">
        <x:v>7147</x:v>
      </x:c>
      <x:c r="B7150" s="22" t="e">
        <x:f>HYPERLINK("https://cdn.shopify.com/s/files/1/0918/6066/4603/files/0ded9b081807976fc285fd9090f3b9eb.jpg?v=1777562729","Open")</x:f>
        <x:v>HYPERLINK is not implemented. linkLocation=https://cdn.shopify.com/s/files/1/0918/6066/4603/files/0ded9b081807976fc285fd9090f3b9eb.jpg?v=1777562729, friendlyName=Open</x:v>
      </x:c>
      <x:c r="C7150" s="24" t="e">
        <x:f>HYPERLINK("https://365nails.com/products/365nails-nude-floral-art-handmade-medium-stiletto-press-on-nails","365nails: ""Nude Floral Art"" – Handmade Medium Stiletto Press-On Nails")</x:f>
        <x:v>HYPERLINK is not implemented. linkLocation=https://365nails.com/products/365nails-nude-floral-art-handmade-medium-stiletto-press-on-nails, friendlyName=365nails: "Nude Floral Art" – Handmade Medium Stiletto Press-On Nails</x:v>
      </x:c>
      <x:c r="D7150" s="18" t="str">
        <x:v>Size: XS / S / M / L</x:v>
      </x:c>
      <x:c r="E7150" s="25" t="str">
        <x:v>$5.99</x:v>
      </x:c>
      <x:c r="F7150" s="19" t="str">
        <x:v>5</x:v>
      </x:c>
    </x:row>
    <x:row r="7151" ht="93" customHeight="1">
      <x:c r="A7151" s="19" t="n">
        <x:v>7148</x:v>
      </x:c>
      <x:c r="B7151" s="22" t="e">
        <x:f>HYPERLINK("https://cdn.shopify.com/s/files/1/0918/6066/4603/files/669da76e77f2923fc8d29010d4a9da9d.jpg?v=1777786345","Open")</x:f>
        <x:v>HYPERLINK is not implemented. linkLocation=https://cdn.shopify.com/s/files/1/0918/6066/4603/files/669da76e77f2923fc8d29010d4a9da9d.jpg?v=1777786345, friendlyName=Open</x:v>
      </x:c>
      <x:c r="C7151" s="24" t="e">
        <x:f>HYPERLINK("https://365nails.com/products/365nails-pink-silver-star-long-handmade-long-trapezoid-press-on-nails","365nails: ""Pink Silver Star Long"" – Handmade Long Trapezoid Press-On Nails")</x:f>
        <x:v>HYPERLINK is not implemented. linkLocation=https://365nails.com/products/365nails-pink-silver-star-long-handmade-long-trapezoid-press-on-nails, friendlyName=365nails: "Pink Silver Star Long" – Handmade Long Trapezoid Press-On Nails</x:v>
      </x:c>
      <x:c r="D7151" s="18" t="str">
        <x:v>Size: XS / S / M / L</x:v>
      </x:c>
      <x:c r="E7151" s="25" t="str">
        <x:v>$4.49</x:v>
      </x:c>
      <x:c r="F7151" s="19" t="str">
        <x:v>5</x:v>
      </x:c>
    </x:row>
    <x:row r="7152" ht="93" customHeight="1">
      <x:c r="A7152" s="19" t="n">
        <x:v>7149</x:v>
      </x:c>
      <x:c r="B7152" s="22" t="e">
        <x:f>HYPERLINK("https://cdn.shopify.com/s/files/1/0918/6066/4603/files/c1d95e07bc62895010c53b25a70b6f02.jpg?v=1773463408","Open")</x:f>
        <x:v>HYPERLINK is not implemented. linkLocation=https://cdn.shopify.com/s/files/1/0918/6066/4603/files/c1d95e07bc62895010c53b25a70b6f02.jpg?v=1773463408, friendlyName=Open</x:v>
      </x:c>
      <x:c r="C7152" s="24" t="e">
        <x:f>HYPERLINK("https://365nails.com/products/year-of-the-horse-collection-lucky-rocking-horse-3d-embossed-nail","Year of the Horse Collection: ""Lucky Rocking Horse"" – 3D Embossed Nail")</x:f>
        <x:v>HYPERLINK is not implemented. linkLocation=https://365nails.com/products/year-of-the-horse-collection-lucky-rocking-horse-3d-embossed-nail, friendlyName=Year of the Horse Collection: "Lucky Rocking Horse" – 3D Embossed Nail</x:v>
      </x:c>
      <x:c r="D7152" s="18" t="str">
        <x:v>Specification type: To5495-relief / To5523-metal</x:v>
      </x:c>
      <x:c r="E7152" s="25" t="str">
        <x:v>$1.23</x:v>
      </x:c>
      <x:c r="F7152" s="19" t="str">
        <x:v>5</x:v>
      </x:c>
    </x:row>
    <x:row r="7153" ht="93" customHeight="1">
      <x:c r="A7153" s="19" t="n">
        <x:v>7150</x:v>
      </x:c>
      <x:c r="B7153" s="22" t="e">
        <x:f>HYPERLINK("https://cdn.shopify.com/s/files/1/0918/6066/4603/files/bef873d4c3c2307f0d64401a863faa15.jpg?v=1772960663","Open")</x:f>
        <x:v>HYPERLINK is not implemented. linkLocation=https://cdn.shopify.com/s/files/1/0918/6066/4603/files/bef873d4c3c2307f0d64401a863faa15.jpg?v=1772960663, friendlyName=Open</x:v>
      </x:c>
      <x:c r="C7153" s="24" t="e">
        <x:f>HYPERLINK("https://365nails.com/products/renaissance-portraits-vintage-art-nail-art-set","Renaissance Portraits – Vintage Art Nail Art Set")</x:f>
        <x:v>HYPERLINK is not implemented. linkLocation=https://365nails.com/products/renaissance-portraits-vintage-art-nail-art-set, friendlyName=Renaissance Portraits – Vintage Art Nail Art Set</x:v>
      </x:c>
      <x:c r="D7153" s="18" t="str">
        <x:v>Specification type: To933 / To934 / To2030</x:v>
      </x:c>
      <x:c r="E7153" s="25" t="str">
        <x:v>$1.09</x:v>
      </x:c>
      <x:c r="F7153" s="19" t="str">
        <x:v>5</x:v>
      </x:c>
    </x:row>
    <x:row r="7154" ht="93" customHeight="1">
      <x:c r="A7154" s="19" t="n">
        <x:v>7151</x:v>
      </x:c>
      <x:c r="B7154" s="22" t="e">
        <x:f>HYPERLINK("https://cdn.shopify.com/s/files/1/0918/6066/4603/files/c21a94413653ff1ae6a2bdd5e6198eb5.jpg?v=1777781909","Open")</x:f>
        <x:v>HYPERLINK is not implemented. linkLocation=https://cdn.shopify.com/s/files/1/0918/6066/4603/files/c21a94413653ff1ae6a2bdd5e6198eb5.jpg?v=1777781909, friendlyName=Open</x:v>
      </x:c>
      <x:c r="C7154" s="24" t="e">
        <x:f>HYPERLINK("https://365nails.com/products/365nails-yellow-black-spider-web-long-handmade-long-trapezoid-press-on-nails","365nails: ""Yellow Black Spider Web Long"" – Handmade Long Trapezoid Press-On Nails")</x:f>
        <x:v>HYPERLINK is not implemented. linkLocation=https://365nails.com/products/365nails-yellow-black-spider-web-long-handmade-long-trapezoid-press-on-nails, friendlyName=365nails: "Yellow Black Spider Web Long" – Handmade Long Trapezoid Press-On Nails</x:v>
      </x:c>
      <x:c r="D7154" s="18" t="str">
        <x:v>Size: XS / S / M / L</x:v>
      </x:c>
      <x:c r="E7154" s="25" t="str">
        <x:v>$4.49</x:v>
      </x:c>
      <x:c r="F7154" s="19" t="str">
        <x:v>5</x:v>
      </x:c>
    </x:row>
    <x:row r="7155" ht="93" customHeight="1">
      <x:c r="A7155" s="19" t="n">
        <x:v>7152</x:v>
      </x:c>
      <x:c r="B7155" s="22" t="e">
        <x:f>HYPERLINK("https://cdn.shopify.com/s/files/1/0918/6066/4603/files/3a9d7175e670f85bf30c095007033155.jpg?v=1777779583","Open")</x:f>
        <x:v>HYPERLINK is not implemented. linkLocation=https://cdn.shopify.com/s/files/1/0918/6066/4603/files/3a9d7175e670f85bf30c095007033155.jpg?v=1777779583, friendlyName=Open</x:v>
      </x:c>
      <x:c r="C7155" s="24" t="e">
        <x:f>HYPERLINK("https://365nails.com/products/365nails-blue-silver-rhinestone-long-handmade-long-trapezoid-press-on-nails","365nails: ""Blue Silver Rhinestone Long"" – Handmade Long Trapezoid Press-On Nails")</x:f>
        <x:v>HYPERLINK is not implemented. linkLocation=https://365nails.com/products/365nails-blue-silver-rhinestone-long-handmade-long-trapezoid-press-on-nails, friendlyName=365nails: "Blue Silver Rhinestone Long" – Handmade Long Trapezoid Press-On Nails</x:v>
      </x:c>
      <x:c r="D7155" s="18" t="str">
        <x:v>Size: XS / S / M / L</x:v>
      </x:c>
      <x:c r="E7155" s="25" t="str">
        <x:v>$4.49</x:v>
      </x:c>
      <x:c r="F7155" s="19" t="str">
        <x:v>5</x:v>
      </x:c>
    </x:row>
    <x:row r="7156" ht="93" customHeight="1">
      <x:c r="A7156" s="19" t="n">
        <x:v>7153</x:v>
      </x:c>
      <x:c r="B7156" s="22" t="e">
        <x:f>HYPERLINK("https://cdn.shopify.com/s/files/1/0918/6066/4603/files/d2a8e2378f40d333cc69102d690ceb80.jpg?v=1777562206","Open")</x:f>
        <x:v>HYPERLINK is not implemented. linkLocation=https://cdn.shopify.com/s/files/1/0918/6066/4603/files/d2a8e2378f40d333cc69102d690ceb80.jpg?v=1777562206, friendlyName=Open</x:v>
      </x:c>
      <x:c r="C7156" s="24" t="e">
        <x:f>HYPERLINK("https://365nails.com/products/365nails-peach-floral-bow-handmade-medium-almond-press-on-nails","365nails: ""Peach Floral Bow"" – Handmade Medium Almond Press-On Nails")</x:f>
        <x:v>HYPERLINK is not implemented. linkLocation=https://365nails.com/products/365nails-peach-floral-bow-handmade-medium-almond-press-on-nails, friendlyName=365nails: "Peach Floral Bow" – Handmade Medium Almond Press-On Nails</x:v>
      </x:c>
      <x:c r="D7156" s="18" t="str">
        <x:v>Size: XS / S / M / L</x:v>
      </x:c>
      <x:c r="E7156" s="25" t="str">
        <x:v>$4.99</x:v>
      </x:c>
      <x:c r="F7156" s="19" t="str">
        <x:v>5</x:v>
      </x:c>
    </x:row>
    <x:row r="7157" ht="93" customHeight="1">
      <x:c r="A7157" s="19" t="n">
        <x:v>7154</x:v>
      </x:c>
      <x:c r="B7157" s="22" t="e">
        <x:f>HYPERLINK("https://cdn.shopify.com/s/files/1/0918/6066/4603/files/5d40cce62351a02457c136f74c870e63.jpg?v=1777562366","Open")</x:f>
        <x:v>HYPERLINK is not implemented. linkLocation=https://cdn.shopify.com/s/files/1/0918/6066/4603/files/5d40cce62351a02457c136f74c870e63.jpg?v=1777562366, friendlyName=Open</x:v>
      </x:c>
      <x:c r="C7157" s="24" t="e">
        <x:f>HYPERLINK("https://365nails.com/products/365nails-retro-floral-abstract-handmade-medium-square-press-on-nails","365nails: ""Retro Floral Abstract"" – Handmade Medium Square Press-On Nails")</x:f>
        <x:v>HYPERLINK is not implemented. linkLocation=https://365nails.com/products/365nails-retro-floral-abstract-handmade-medium-square-press-on-nails, friendlyName=365nails: "Retro Floral Abstract" – Handmade Medium Square Press-On Nails</x:v>
      </x:c>
      <x:c r="D7157" s="18" t="str">
        <x:v>Size: XS / S / M / L</x:v>
      </x:c>
      <x:c r="E7157" s="25" t="str">
        <x:v>$4.99</x:v>
      </x:c>
      <x:c r="F7157" s="19" t="str">
        <x:v>5</x:v>
      </x:c>
    </x:row>
    <x:row r="7158" ht="93" customHeight="1">
      <x:c r="A7158" s="19" t="n">
        <x:v>7155</x:v>
      </x:c>
      <x:c r="B7158" s="22" t="e">
        <x:f>HYPERLINK("https://cdn.shopify.com/s/files/1/0918/6066/4603/files/56ca28d5b9df9e1cdb6f1c3d15099a51.jpg?v=1777801207","Open")</x:f>
        <x:v>HYPERLINK is not implemented. linkLocation=https://cdn.shopify.com/s/files/1/0918/6066/4603/files/56ca28d5b9df9e1cdb6f1c3d15099a51.jpg?v=1777801207, friendlyName=Open</x:v>
      </x:c>
      <x:c r="C7158" s="24" t="e">
        <x:f>HYPERLINK("https://365nails.com/products/365nails-nude-purple-flower-3d-wave-mix-handmade-short-almond-press-on-nails","365nails: ""Nude Purple Flower 3D Wave Mix"" – Handmade Short Almond Press-On Nails")</x:f>
        <x:v>HYPERLINK is not implemented. linkLocation=https://365nails.com/products/365nails-nude-purple-flower-3d-wave-mix-handmade-short-almond-press-on-nails, friendlyName=365nails: "Nude Purple Flower 3D Wave Mix" – Handmade Short Almond Press-On Nails</x:v>
      </x:c>
      <x:c r="D7158" s="18" t="str">
        <x:v>Size: XS / S / M / L</x:v>
      </x:c>
      <x:c r="E7158" s="25" t="str">
        <x:v>$3.49</x:v>
      </x:c>
      <x:c r="F7158" s="19" t="str">
        <x:v>5</x:v>
      </x:c>
    </x:row>
    <x:row r="7159" ht="93" customHeight="1">
      <x:c r="A7159" s="19" t="n">
        <x:v>7156</x:v>
      </x:c>
      <x:c r="B7159" s="22" t="e">
        <x:f>HYPERLINK("https://cdn.shopify.com/s/files/1/0918/6066/4603/files/82bbce153b566239ad1d181ed931204b.jpg?v=1777562580","Open")</x:f>
        <x:v>HYPERLINK is not implemented. linkLocation=https://cdn.shopify.com/s/files/1/0918/6066/4603/files/82bbce153b566239ad1d181ed931204b.jpg?v=1777562580, friendlyName=Open</x:v>
      </x:c>
      <x:c r="C7159" s="24" t="e">
        <x:f>HYPERLINK("https://365nails.com/products/365nails-blue-cream-floral-handmade-medium-square-press-on-nails","365nails: ""Blue &amp; Cream Floral"" – Handmade Medium Square Press-On Nails")</x:f>
        <x:v>HYPERLINK is not implemented. linkLocation=https://365nails.com/products/365nails-blue-cream-floral-handmade-medium-square-press-on-nails, friendlyName=365nails: "Blue &amp; Cream Floral" – Handmade Medium Square Press-On Nails</x:v>
      </x:c>
      <x:c r="D7159" s="18" t="str">
        <x:v>Size: XS / S / M / L</x:v>
      </x:c>
      <x:c r="E7159" s="25" t="str">
        <x:v>$5.99</x:v>
      </x:c>
      <x:c r="F7159" s="19" t="str">
        <x:v>5</x:v>
      </x:c>
    </x:row>
    <x:row r="7160" ht="93" customHeight="1">
      <x:c r="A7160" s="19" t="n">
        <x:v>7157</x:v>
      </x:c>
      <x:c r="B7160" s="22" t="e">
        <x:f>HYPERLINK("https://cdn.shopify.com/s/files/1/0918/6066/4603/files/41abe652089955ab482e0082b43e1fb1.jpg?v=1777792735","Open")</x:f>
        <x:v>HYPERLINK is not implemented. linkLocation=https://cdn.shopify.com/s/files/1/0918/6066/4603/files/41abe652089955ab482e0082b43e1fb1.jpg?v=1777792735, friendlyName=Open</x:v>
      </x:c>
      <x:c r="C7160" s="24" t="e">
        <x:f>HYPERLINK("https://365nails.com/products/365nails-nude-pink-flower-heart-short-handmade-short-almond-press-on-nails","365nails: ""Nude Pink Flower Heart Short"" – Handmade Short Almond Press-On Nails")</x:f>
        <x:v>HYPERLINK is not implemented. linkLocation=https://365nails.com/products/365nails-nude-pink-flower-heart-short-handmade-short-almond-press-on-nails, friendlyName=365nails: "Nude Pink Flower Heart Short" – Handmade Short Almond Press-On Nails</x:v>
      </x:c>
      <x:c r="D7160" s="18" t="str">
        <x:v>Size: XS / S / M / L</x:v>
      </x:c>
      <x:c r="E7160" s="25" t="str">
        <x:v>$3.49</x:v>
      </x:c>
      <x:c r="F7160" s="19" t="str">
        <x:v>5</x:v>
      </x:c>
    </x:row>
    <x:row r="7161" ht="93" customHeight="1">
      <x:c r="A7161" s="19" t="n">
        <x:v>7158</x:v>
      </x:c>
      <x:c r="B7161" s="22" t="e">
        <x:f>HYPERLINK("https://cdn.shopify.com/s/files/1/0918/6066/4603/files/fb0a8811ec739189c776cec4aa1c990a.jpg?v=1772962666","Open")</x:f>
        <x:v>HYPERLINK is not implemented. linkLocation=https://cdn.shopify.com/s/files/1/0918/6066/4603/files/fb0a8811ec739189c776cec4aa1c990a.jpg?v=1772962666, friendlyName=Open</x:v>
      </x:c>
      <x:c r="C7161" s="24" t="e">
        <x:f>HYPERLINK("https://365nails.com/products/holographic-crystal-butterflies-iridescent-nail-art-set","Holographic Crystal Butterflies – Iridescent Nail Art Set")</x:f>
        <x:v>HYPERLINK is not implemented. linkLocation=https://365nails.com/products/holographic-crystal-butterflies-iridescent-nail-art-set, friendlyName=Holographic Crystal Butterflies – Iridescent Nail Art Set</x:v>
      </x:c>
      <x:c r="D7161" s="18" t="str">
        <x:v>Specification type: To3188 / To3199 / To3200</x:v>
      </x:c>
      <x:c r="E7161" s="25" t="str">
        <x:v>$1.30</x:v>
      </x:c>
      <x:c r="F7161" s="19" t="str">
        <x:v>5</x:v>
      </x:c>
    </x:row>
    <x:row r="7162" ht="93" customHeight="1">
      <x:c r="A7162" s="19" t="n">
        <x:v>7159</x:v>
      </x:c>
      <x:c r="B7162" s="22" t="e">
        <x:f>HYPERLINK("https://cdn.shopify.com/s/files/1/0918/6066/4603/files/1bdaa57d60a137907fe8c10a9b09523c.jpg?v=1777561701","Open")</x:f>
        <x:v>HYPERLINK is not implemented. linkLocation=https://cdn.shopify.com/s/files/1/0918/6066/4603/files/1bdaa57d60a137907fe8c10a9b09523c.jpg?v=1777561701, friendlyName=Open</x:v>
      </x:c>
      <x:c r="C7162" s="24" t="e">
        <x:f>HYPERLINK("https://365nails.com/products/365nails-nude-brown-gold-handmade-medium-stiletto-press-on-nails","365nails: ""Nude Brown Gold"" – Handmade Medium Stiletto Press-On Nails")</x:f>
        <x:v>HYPERLINK is not implemented. linkLocation=https://365nails.com/products/365nails-nude-brown-gold-handmade-medium-stiletto-press-on-nails, friendlyName=365nails: "Nude Brown Gold" – Handmade Medium Stiletto Press-On Nails</x:v>
      </x:c>
      <x:c r="D7162" s="18" t="str">
        <x:v>Size: XS / S / M / L</x:v>
      </x:c>
      <x:c r="E7162" s="25" t="str">
        <x:v>$4.99</x:v>
      </x:c>
      <x:c r="F7162" s="19" t="str">
        <x:v>5</x:v>
      </x:c>
    </x:row>
    <x:row r="7163" ht="93" customHeight="1">
      <x:c r="A7163" s="19" t="n">
        <x:v>7160</x:v>
      </x:c>
      <x:c r="B7163" s="22" t="e">
        <x:f>HYPERLINK("https://cdn.shopify.com/s/files/1/0918/6066/4603/files/a1a006ee6cd49699e82f8aad9cc78025.jpg?v=1777780595","Open")</x:f>
        <x:v>HYPERLINK is not implemented. linkLocation=https://cdn.shopify.com/s/files/1/0918/6066/4603/files/a1a006ee6cd49699e82f8aad9cc78025.jpg?v=1777780595, friendlyName=Open</x:v>
      </x:c>
      <x:c r="C7163" s="24" t="e">
        <x:f>HYPERLINK("https://365nails.com/products/365nails-milk-white-butterfly-pearl-medium-handmade-medium-trapezoid-press-on-nails","365nails: ""Milk White Butterfly Pearl Medium"" – Handmade Medium Trapezoid Press-On Nails")</x:f>
        <x:v>HYPERLINK is not implemented. linkLocation=https://365nails.com/products/365nails-milk-white-butterfly-pearl-medium-handmade-medium-trapezoid-press-on-nails, friendlyName=365nails: "Milk White Butterfly Pearl Medium" – Handmade Medium Trapezoid Press-On Nails</x:v>
      </x:c>
      <x:c r="D7163" s="18" t="str">
        <x:v>Size: XS / S / M / L</x:v>
      </x:c>
      <x:c r="E7163" s="25" t="str">
        <x:v>$4.49</x:v>
      </x:c>
      <x:c r="F7163" s="19" t="str">
        <x:v>5</x:v>
      </x:c>
    </x:row>
    <x:row r="7164" ht="93" customHeight="1">
      <x:c r="A7164" s="19" t="n">
        <x:v>7161</x:v>
      </x:c>
      <x:c r="B7164" s="22" t="e">
        <x:f>HYPERLINK("https://cdn.shopify.com/s/files/1/0918/6066/4603/files/fe4e4a29d73950f575b8bf140ac13d60.jpg?v=1776415923","Open")</x:f>
        <x:v>HYPERLINK is not implemented. linkLocation=https://cdn.shopify.com/s/files/1/0918/6066/4603/files/fe4e4a29d73950f575b8bf140ac13d60.jpg?v=1776415923, friendlyName=Open</x:v>
      </x:c>
      <x:c r="C7164" s="24" t="e">
        <x:f>HYPERLINK("https://365nails.com/products/365nails-demon-slayer-muichiros-mist-hashira-handmade-medium-trapezoid-press-on-nails","365nails: ""Demon Slayer Muichiro's Mist Hashira"" – Handmade Medium Trapezoid Press-On Nails")</x:f>
        <x:v>HYPERLINK is not implemented. linkLocation=https://365nails.com/products/365nails-demon-slayer-muichiros-mist-hashira-handmade-medium-trapezoid-press-on-nails, friendlyName=365nails: "Demon Slayer Muichiro's Mist Hashira" – Handmade Medium Trapezoid Press-On Nails</x:v>
      </x:c>
      <x:c r="D7164" s="18" t="str">
        <x:v>Size: XS / S / M</x:v>
      </x:c>
      <x:c r="E7164" s="25" t="str">
        <x:v>$3.49</x:v>
      </x:c>
      <x:c r="F7164" s="19" t="str">
        <x:v>5</x:v>
      </x:c>
    </x:row>
    <x:row r="7165" ht="93" customHeight="1">
      <x:c r="A7165" s="19" t="n">
        <x:v>7162</x:v>
      </x:c>
      <x:c r="B7165" s="22" t="e">
        <x:f>HYPERLINK("https://cdn.shopify.com/s/files/1/0918/6066/4603/files/ea095877fa1181edba23f1554b60f05b.jpg?v=1777786235","Open")</x:f>
        <x:v>HYPERLINK is not implemented. linkLocation=https://cdn.shopify.com/s/files/1/0918/6066/4603/files/ea095877fa1181edba23f1554b60f05b.jpg?v=1777786235, friendlyName=Open</x:v>
      </x:c>
      <x:c r="C7165" s="24" t="e">
        <x:f>HYPERLINK("https://365nails.com/products/365nails-red-pink-silver-flame-long-handmade-long-stiletto-press-on-nails","365nails: ""Red Pink Silver Flame Long"" – Handmade Long Stiletto Press-On Nails")</x:f>
        <x:v>HYPERLINK is not implemented. linkLocation=https://365nails.com/products/365nails-red-pink-silver-flame-long-handmade-long-stiletto-press-on-nails, friendlyName=365nails: "Red Pink Silver Flame Long" – Handmade Long Stiletto Press-On Nails</x:v>
      </x:c>
      <x:c r="D7165" s="18" t="str">
        <x:v>Size: XS / S / M / L</x:v>
      </x:c>
      <x:c r="E7165" s="25" t="str">
        <x:v>$4.49</x:v>
      </x:c>
      <x:c r="F7165" s="19" t="str">
        <x:v>5</x:v>
      </x:c>
    </x:row>
    <x:row r="7166" ht="93" customHeight="1">
      <x:c r="A7166" s="19" t="n">
        <x:v>7163</x:v>
      </x:c>
      <x:c r="B7166" s="22" t="e">
        <x:f>HYPERLINK("https://cdn.shopify.com/s/files/1/0918/6066/4603/files/O1CN01i4B3JL1HlX892FUaI__2545140798-0-cib.jpg?v=1773565346","Open")</x:f>
        <x:v>HYPERLINK is not implemented. linkLocation=https://cdn.shopify.com/s/files/1/0918/6066/4603/files/O1CN01i4B3JL1HlX892FUaI__2545140798-0-cib.jpg?v=1773565346, friendlyName=Open</x:v>
      </x:c>
      <x:c r="C7166" s="24" t="e">
        <x:f>HYPERLINK("https://365nails.com/products/sweet-bow-dessert-kawaii-pastel-3d-embossed-nail-sticker","Sweet Bow &amp; Dessert: ""Kawaii Pastel"" – 3D Embossed Nail Sticker")</x:f>
        <x:v>HYPERLINK is not implemented. linkLocation=https://365nails.com/products/sweet-bow-dessert-kawaii-pastel-3d-embossed-nail-sticker, friendlyName=Sweet Bow &amp; Dessert: "Kawaii Pastel" – 3D Embossed Nail Sticker</x:v>
      </x:c>
      <x:c r="D7166" s="18" t="str">
        <x:v>Specification type: To4875 / To5035</x:v>
      </x:c>
      <x:c r="E7166" s="25" t="str">
        <x:v>$1.09</x:v>
      </x:c>
      <x:c r="F7166" s="19" t="str">
        <x:v>5</x:v>
      </x:c>
    </x:row>
    <x:row r="7167" ht="93" customHeight="1">
      <x:c r="A7167" s="19" t="n">
        <x:v>7164</x:v>
      </x:c>
      <x:c r="B7167" s="22" t="e">
        <x:f>HYPERLINK("https://cdn.shopify.com/s/files/1/0918/6066/4603/files/O1CN01iLUEJ51HlWuIKyUUJ__2545140798-0-cib.jpg?v=1773060006","Open")</x:f>
        <x:v>HYPERLINK is not implemented. linkLocation=https://cdn.shopify.com/s/files/1/0918/6066/4603/files/O1CN01iLUEJ51HlWuIKyUUJ__2545140798-0-cib.jpg?v=1773060006, friendlyName=Open</x:v>
      </x:c>
      <x:c r="C7167" s="24" t="e">
        <x:f>HYPERLINK("https://365nails.com/products/celestial-gold-mystic-celestial-nail-art-set","Celestial Gold – Mystic Celestial Nail Art Set")</x:f>
        <x:v>HYPERLINK is not implemented. linkLocation=https://365nails.com/products/celestial-gold-mystic-celestial-nail-art-set, friendlyName=Celestial Gold – Mystic Celestial Nail Art Set</x:v>
      </x:c>
      <x:c r="D7167" s="18" t="str">
        <x:v>Specification type: To1880-new hot stamping / To1880-silver</x:v>
      </x:c>
      <x:c r="E7167" s="25" t="str">
        <x:v>$1.23</x:v>
      </x:c>
      <x:c r="F7167" s="19" t="str">
        <x:v>5</x:v>
      </x:c>
    </x:row>
    <x:row r="7168" ht="93" customHeight="1">
      <x:c r="A7168" s="19" t="n">
        <x:v>7165</x:v>
      </x:c>
      <x:c r="B7168" s="22" t="e">
        <x:f>HYPERLINK("https://cdn.shopify.com/s/files/1/0918/6066/4603/files/9bbb12f1502ef6cac279f74932f602b0.jpg?v=1772963266","Open")</x:f>
        <x:v>HYPERLINK is not implemented. linkLocation=https://cdn.shopify.com/s/files/1/0918/6066/4603/files/9bbb12f1502ef6cac279f74932f602b0.jpg?v=1772963266, friendlyName=Open</x:v>
      </x:c>
      <x:c r="C7168" s="24" t="e">
        <x:f>HYPERLINK("https://365nails.com/products/mother-of-pearl-butterflies-iridescent-nail-art-set","Mother-of-Pearl Butterflies – Iridescent Nail Art Set")</x:f>
        <x:v>HYPERLINK is not implemented. linkLocation=https://365nails.com/products/mother-of-pearl-butterflies-iridescent-nail-art-set, friendlyName=Mother-of-Pearl Butterflies – Iridescent Nail Art Set</x:v>
      </x:c>
      <x:c r="D7168" s="18" t="str">
        <x:v>Specification type: To3392 / To3393</x:v>
      </x:c>
      <x:c r="E7168" s="25" t="str">
        <x:v>$1.23</x:v>
      </x:c>
      <x:c r="F7168" s="19" t="str">
        <x:v>5</x:v>
      </x:c>
    </x:row>
    <x:row r="7169" ht="93" customHeight="1">
      <x:c r="A7169" s="19" t="n">
        <x:v>7166</x:v>
      </x:c>
      <x:c r="B7169" s="22" t="e">
        <x:f>HYPERLINK("https://cdn.shopify.com/s/files/1/0918/6066/4603/files/c41c9493b03caa0074817132cb572832.jpg?v=1777779142","Open")</x:f>
        <x:v>HYPERLINK is not implemented. linkLocation=https://cdn.shopify.com/s/files/1/0918/6066/4603/files/c41c9493b03caa0074817132cb572832.jpg?v=1777779142, friendlyName=Open</x:v>
      </x:c>
      <x:c r="C7169" s="24" t="e">
        <x:f>HYPERLINK("https://365nails.com/products/365nails-pink-nude-rhinestone-handmade-long-trapezoid-press-on-nails","365nails: ""Pink Nude Rhinestone"" – Handmade Long Trapezoid Press-On Nails")</x:f>
        <x:v>HYPERLINK is not implemented. linkLocation=https://365nails.com/products/365nails-pink-nude-rhinestone-handmade-long-trapezoid-press-on-nails, friendlyName=365nails: "Pink Nude Rhinestone" – Handmade Long Trapezoid Press-On Nails</x:v>
      </x:c>
      <x:c r="D7169" s="18" t="str">
        <x:v>Size: XS / S / M / L</x:v>
      </x:c>
      <x:c r="E7169" s="25" t="str">
        <x:v>$4.49</x:v>
      </x:c>
      <x:c r="F7169" s="19" t="str">
        <x:v>5</x:v>
      </x:c>
    </x:row>
    <x:row r="7170" ht="93" customHeight="1">
      <x:c r="A7170" s="19" t="n">
        <x:v>7167</x:v>
      </x:c>
      <x:c r="B7170" s="22" t="e">
        <x:f>HYPERLINK("https://cdn.shopify.com/s/files/1/0918/6066/4603/files/9693db015bec5e6efca176813552f9f8.jpg?v=1777785745","Open")</x:f>
        <x:v>HYPERLINK is not implemented. linkLocation=https://cdn.shopify.com/s/files/1/0918/6066/4603/files/9693db015bec5e6efca176813552f9f8.jpg?v=1777785745, friendlyName=Open</x:v>
      </x:c>
      <x:c r="C7170" s="24" t="e">
        <x:f>HYPERLINK("https://365nails.com/products/365nails-pink-summer-starfish-shell-short-handmade-short-trapezoid-press-on-nails","365nails: ""Pink Summer Starfish Shell Short"" – Handmade Short Trapezoid Press-On Nails")</x:f>
        <x:v>HYPERLINK is not implemented. linkLocation=https://365nails.com/products/365nails-pink-summer-starfish-shell-short-handmade-short-trapezoid-press-on-nails, friendlyName=365nails: "Pink Summer Starfish Shell Short" – Handmade Short Trapezoid Press-On Nails</x:v>
      </x:c>
      <x:c r="D7170" s="18" t="str">
        <x:v>Size: XS / S / M / L</x:v>
      </x:c>
      <x:c r="E7170" s="25" t="str">
        <x:v>$4.49</x:v>
      </x:c>
      <x:c r="F7170" s="19" t="str">
        <x:v>5</x:v>
      </x:c>
    </x:row>
    <x:row r="7171" ht="93" customHeight="1">
      <x:c r="A7171" s="19" t="n">
        <x:v>7168</x:v>
      </x:c>
      <x:c r="B7171" s="22" t="e">
        <x:f>HYPERLINK("https://cdn.shopify.com/s/files/1/0918/6066/4603/files/O1CN01tvO2FT1HlX89eYABL__2545140798-0-cib.jpg?v=1773564766","Open")</x:f>
        <x:v>HYPERLINK is not implemented. linkLocation=https://cdn.shopify.com/s/files/1/0918/6066/4603/files/O1CN01tvO2FT1HlX89eYABL__2545140798-0-cib.jpg?v=1773564766, friendlyName=Open</x:v>
      </x:c>
      <x:c r="C7171" s="24" t="e">
        <x:f>HYPERLINK("https://365nails.com/products/silver-glitter-stripe-minimalist-shimmer-nail-sticker","Silver Glitter Stripe: ""Minimalist Shimmer"" – Nail Sticker")</x:f>
        <x:v>HYPERLINK is not implemented. linkLocation=https://365nails.com/products/silver-glitter-stripe-minimalist-shimmer-nail-sticker, friendlyName=Silver Glitter Stripe: "Minimalist Shimmer" – Nail Sticker</x:v>
      </x:c>
      <x:c r="D7171" s="18" t="str">
        <x:v>Specification type: Ssp–011 / Ssp–012 / Ssp–013 / Ssp–014 / Ssp-015 / Ssp-016 / Ssp–017 / Ssp-018 / Ssp–019</x:v>
      </x:c>
      <x:c r="E7171" s="25" t="str">
        <x:v>$1.11</x:v>
      </x:c>
      <x:c r="F7171" s="19" t="str">
        <x:v>5</x:v>
      </x:c>
    </x:row>
    <x:row r="7172" ht="93" customHeight="1">
      <x:c r="A7172" s="19" t="n">
        <x:v>7169</x:v>
      </x:c>
      <x:c r="B7172" s="22" t="e">
        <x:f>HYPERLINK("https://cdn.shopify.com/s/files/1/0918/6066/4603/files/O1CN01eFIQDa1HlX7DUyhh9__2545140798-0-cib.jpg?v=1773564410","Open")</x:f>
        <x:v>HYPERLINK is not implemented. linkLocation=https://cdn.shopify.com/s/files/1/0918/6066/4603/files/O1CN01eFIQDa1HlX7DUyhh9__2545140798-0-cib.jpg?v=1773564410, friendlyName=Open</x:v>
      </x:c>
      <x:c r="C7172" s="24" t="e">
        <x:f>HYPERLINK("https://365nails.com/products/white-lace-floral-bridal-elegance-3d-nail-sticker","White Lace &amp; Floral: ""Bridal Elegance"" – 3D Nail Sticker")</x:f>
        <x:v>HYPERLINK is not implemented. linkLocation=https://365nails.com/products/white-lace-floral-bridal-elegance-3d-nail-sticker, friendlyName=White Lace &amp; Floral: "Bridal Elegance" – 3D Nail Sticker</x:v>
      </x:c>
      <x:c r="D7172" s="18" t="str">
        <x:v>Specification type: Ms 817</x:v>
      </x:c>
      <x:c r="E7172" s="25" t="str">
        <x:v>$1.09</x:v>
      </x:c>
      <x:c r="F7172" s="19" t="str">
        <x:v>5</x:v>
      </x:c>
    </x:row>
    <x:row r="7173" ht="93" customHeight="1">
      <x:c r="A7173" s="19" t="n">
        <x:v>7170</x:v>
      </x:c>
      <x:c r="B7173" s="22" t="e">
        <x:f>HYPERLINK("https://cdn.shopify.com/s/files/1/0918/6066/4603/files/5485f05e45206957bbb6853665e4593f.jpg?v=1777786833","Open")</x:f>
        <x:v>HYPERLINK is not implemented. linkLocation=https://cdn.shopify.com/s/files/1/0918/6066/4603/files/5485f05e45206957bbb6853665e4593f.jpg?v=1777786833, friendlyName=Open</x:v>
      </x:c>
      <x:c r="C7173" s="24" t="e">
        <x:f>HYPERLINK("https://365nails.com/products/365nails-dark-brown-pink-flower-short-handmade-short-trapezoid-press-on-nails","365nails: ""Dark Brown Pink Flower Short"" – Handmade Short Trapezoid Press-On Nails")</x:f>
        <x:v>HYPERLINK is not implemented. linkLocation=https://365nails.com/products/365nails-dark-brown-pink-flower-short-handmade-short-trapezoid-press-on-nails, friendlyName=365nails: "Dark Brown Pink Flower Short" – Handmade Short Trapezoid Press-On Nails</x:v>
      </x:c>
      <x:c r="D7173" s="18" t="str">
        <x:v>Size: XS / S / M / L</x:v>
      </x:c>
      <x:c r="E7173" s="25" t="str">
        <x:v>$4.49</x:v>
      </x:c>
      <x:c r="F7173" s="19" t="str">
        <x:v>5</x:v>
      </x:c>
    </x:row>
    <x:row r="7174" ht="93" customHeight="1">
      <x:c r="A7174" s="19" t="n">
        <x:v>7171</x:v>
      </x:c>
      <x:c r="B7174" s="22" t="e">
        <x:f>HYPERLINK("https://cdn.shopify.com/s/files/1/0918/6066/4603/files/5350635185cfd1c78d6328eab3b7ee92.jpg?v=1773462972","Open")</x:f>
        <x:v>HYPERLINK is not implemented. linkLocation=https://cdn.shopify.com/s/files/1/0918/6066/4603/files/5350635185cfd1c78d6328eab3b7ee92.jpg?v=1773462972, friendlyName=Open</x:v>
      </x:c>
      <x:c r="C7174" s="24" t="e">
        <x:f>HYPERLINK("https://365nails.com/products/lucky-clover-collection-clover-bunny-hologram-3d-embossed-nail-sticker","Lucky Clover Collection: ""Clover &amp; Bunny Hologram"" – 3D Embossed Nail Sticker")</x:f>
        <x:v>HYPERLINK is not implemented. linkLocation=https://365nails.com/products/lucky-clover-collection-clover-bunny-hologram-3d-embossed-nail-sticker, friendlyName=Lucky Clover Collection: "Clover &amp; Bunny Hologram" – 3D Embossed Nail Sticker</x:v>
      </x:c>
      <x:c r="D7174" s="18" t="str">
        <x:v>Specification type: To5586-shell light / To5597-shell light</x:v>
      </x:c>
      <x:c r="E7174" s="25" t="str">
        <x:v>$1.23</x:v>
      </x:c>
      <x:c r="F7174" s="19" t="str">
        <x:v>5</x:v>
      </x:c>
    </x:row>
    <x:row r="7175" ht="93" customHeight="1">
      <x:c r="A7175" s="19" t="n">
        <x:v>7172</x:v>
      </x:c>
      <x:c r="B7175" s="22" t="e">
        <x:f>HYPERLINK("https://cdn.shopify.com/s/files/1/0918/6066/4603/files/O1CN01N8RGPY1HlX5xD8Ar1__2545140798-0-cib.jpg?v=1773581410","Open")</x:f>
        <x:v>HYPERLINK is not implemented. linkLocation=https://cdn.shopify.com/s/files/1/0918/6066/4603/files/O1CN01N8RGPY1HlX5xD8Ar1__2545140798-0-cib.jpg?v=1773581410, friendlyName=Open</x:v>
      </x:c>
      <x:c r="C7175" s="24" t="e">
        <x:f>HYPERLINK("https://365nails.com/products/gold-swirl-stripe-metallic-brushstroke-3d-embossed-nail-sticker","Gold Swirl Stripe: ""Metallic Brushstroke"" – 3D Embossed Nail Sticker")</x:f>
        <x:v>HYPERLINK is not implemented. linkLocation=https://365nails.com/products/gold-swirl-stripe-metallic-brushstroke-3d-embossed-nail-sticker, friendlyName=Gold Swirl Stripe: "Metallic Brushstroke" – 3D Embossed Nail Sticker</x:v>
      </x:c>
      <x:c r="D7175" s="18" t="str">
        <x:v>Specification type: Ms768-hot stamping</x:v>
      </x:c>
      <x:c r="E7175" s="25" t="str">
        <x:v>$1.23</x:v>
      </x:c>
      <x:c r="F7175" s="19" t="str">
        <x:v>5</x:v>
      </x:c>
    </x:row>
    <x:row r="7176" ht="93" customHeight="1">
      <x:c r="A7176" s="19" t="n">
        <x:v>7173</x:v>
      </x:c>
      <x:c r="B7176" s="22" t="e">
        <x:f>HYPERLINK("https://cdn.shopify.com/s/files/1/0918/6066/4603/files/e14124f2b45191913e594e14545b80ca.jpg?v=1777806571","Open")</x:f>
        <x:v>HYPERLINK is not implemented. linkLocation=https://cdn.shopify.com/s/files/1/0918/6066/4603/files/e14124f2b45191913e594e14545b80ca.jpg?v=1777806571, friendlyName=Open</x:v>
      </x:c>
      <x:c r="C7176" s="24" t="e">
        <x:f>HYPERLINK("https://365nails.com/products/365nails-glitter-purple-lily-polka-dot-3d-flower-handmade-medium-stiletto-press-on-nails","365nails: ""Glitter Purple Lily Polka Dot"" – 3D Flower Handmade Medium Stiletto Press-On Nails")</x:f>
        <x:v>HYPERLINK is not implemented. linkLocation=https://365nails.com/products/365nails-glitter-purple-lily-polka-dot-3d-flower-handmade-medium-stiletto-press-on-nails, friendlyName=365nails: "Glitter Purple Lily Polka Dot" – 3D Flower Handmade Medium Stiletto Press-On Nails</x:v>
      </x:c>
      <x:c r="D7176" s="18" t="str">
        <x:v>Size: XS / S / M / L</x:v>
      </x:c>
      <x:c r="E7176" s="25" t="str">
        <x:v>$3.49</x:v>
      </x:c>
      <x:c r="F7176" s="19" t="str">
        <x:v>5</x:v>
      </x:c>
    </x:row>
    <x:row r="7177" ht="93" customHeight="1">
      <x:c r="A7177" s="19" t="n">
        <x:v>7174</x:v>
      </x:c>
      <x:c r="B7177" s="22" t="e">
        <x:f>HYPERLINK("https://cdn.shopify.com/s/files/1/0918/6066/4603/files/2d30b8f41d3ad894aed49668fb31d448.jpg?v=1773061094","Open")</x:f>
        <x:v>HYPERLINK is not implemented. linkLocation=https://cdn.shopify.com/s/files/1/0918/6066/4603/files/2d30b8f41d3ad894aed49668fb31d448.jpg?v=1773061094, friendlyName=Open</x:v>
      </x:c>
      <x:c r="C7177" s="24" t="e">
        <x:f>HYPERLINK("https://365nails.com/products/starry-night-gold-foil-celestial-nail-art-set","Starry Night Gold Foil – Celestial Nail Art Set")</x:f>
        <x:v>HYPERLINK is not implemented. linkLocation=https://365nails.com/products/starry-night-gold-foil-celestial-nail-art-set, friendlyName=Starry Night Gold Foil – Celestial Nail Art Set</x:v>
      </x:c>
      <x:c r="D7177" s="18" t="str">
        <x:v>Specification type: To4050-new hot stamping / To4050-silver</x:v>
      </x:c>
      <x:c r="E7177" s="25" t="str">
        <x:v>$1.23</x:v>
      </x:c>
      <x:c r="F7177" s="19" t="str">
        <x:v>5</x:v>
      </x:c>
    </x:row>
    <x:row r="7178" ht="93" customHeight="1">
      <x:c r="A7178" s="19" t="n">
        <x:v>7175</x:v>
      </x:c>
      <x:c r="B7178" s="22" t="e">
        <x:f>HYPERLINK("https://cdn.shopify.com/s/files/1/0918/6066/4603/files/O1CN01VYlLnV1HlWtM8uVtB__2545140798-0-cib.jpg?v=1773584711","Open")</x:f>
        <x:v>HYPERLINK is not implemented. linkLocation=https://cdn.shopify.com/s/files/1/0918/6066/4603/files/O1CN01VYlLnV1HlWtM8uVtB__2545140798-0-cib.jpg?v=1773584711, friendlyName=Open</x:v>
      </x:c>
      <x:c r="C7178" s="24" t="e">
        <x:f>HYPERLINK("https://365nails.com/products/vintage-lace-trim-bridal-baroque-5d-micro-carved-nail-sticker","Vintage Lace Trim: ""Bridal Baroque"" – 5D Micro-Carved Nail Sticker")</x:f>
        <x:v>HYPERLINK is not implemented. linkLocation=https://365nails.com/products/vintage-lace-trim-bridal-baroque-5d-micro-carved-nail-sticker, friendlyName=Vintage Lace Trim: "Bridal Baroque" – 5D Micro-Carved Nail Sticker</x:v>
      </x:c>
      <x:c r="D7178" s="18" t="str">
        <x:v>Specification type: Ms 282 / Ms 283 / Ms 285 / Ms 287</x:v>
      </x:c>
      <x:c r="E7178" s="25" t="str">
        <x:v>$1.09</x:v>
      </x:c>
      <x:c r="F7178" s="19" t="str">
        <x:v>5</x:v>
      </x:c>
    </x:row>
    <x:row r="7179" ht="93" customHeight="1">
      <x:c r="A7179" s="19" t="n">
        <x:v>7176</x:v>
      </x:c>
      <x:c r="B7179" s="22" t="e">
        <x:f>HYPERLINK("https://cdn.shopify.com/s/files/1/0918/6066/4603/files/1d779a7c29f609f58b56bdcc3db7a79c.jpg?v=1777787292","Open")</x:f>
        <x:v>HYPERLINK is not implemented. linkLocation=https://cdn.shopify.com/s/files/1/0918/6066/4603/files/1d779a7c29f609f58b56bdcc3db7a79c.jpg?v=1777787292, friendlyName=Open</x:v>
      </x:c>
      <x:c r="C7179" s="24" t="e">
        <x:f>HYPERLINK("https://365nails.com/products/365nails-silver-black-heart-rhinestone-medium-handmade-medium-stiletto-press-on-nails","365nails: ""Silver Black Heart Rhinestone Medium"" – Handmade Medium Stiletto Press-On Nails")</x:f>
        <x:v>HYPERLINK is not implemented. linkLocation=https://365nails.com/products/365nails-silver-black-heart-rhinestone-medium-handmade-medium-stiletto-press-on-nails, friendlyName=365nails: "Silver Black Heart Rhinestone Medium" – Handmade Medium Stiletto Press-On Nails</x:v>
      </x:c>
      <x:c r="D7179" s="18" t="str">
        <x:v>Size: XS / S / M / L</x:v>
      </x:c>
      <x:c r="E7179" s="25" t="str">
        <x:v>$4.49</x:v>
      </x:c>
      <x:c r="F7179" s="19" t="str">
        <x:v>5</x:v>
      </x:c>
    </x:row>
    <x:row r="7180" ht="93" customHeight="1">
      <x:c r="A7180" s="19" t="n">
        <x:v>7177</x:v>
      </x:c>
      <x:c r="B7180" s="22" t="e">
        <x:f>HYPERLINK("https://cdn.shopify.com/s/files/1/0918/6066/4603/files/359e6219a9f74122aadce479c6fccedd.jpg?v=1777800160","Open")</x:f>
        <x:v>HYPERLINK is not implemented. linkLocation=https://cdn.shopify.com/s/files/1/0918/6066/4603/files/359e6219a9f74122aadce479c6fccedd.jpg?v=1777800160, friendlyName=Open</x:v>
      </x:c>
      <x:c r="C7180" s="24" t="e">
        <x:f>HYPERLINK("https://365nails.com/products/365nails-pink-black-y2k-cross-heart-handmade-short-square-press-on-nails","365nails: ""Pink Black Y2K Cross Heart"" – Handmade Short Square Press-On Nails")</x:f>
        <x:v>HYPERLINK is not implemented. linkLocation=https://365nails.com/products/365nails-pink-black-y2k-cross-heart-handmade-short-square-press-on-nails, friendlyName=365nails: "Pink Black Y2K Cross Heart" – Handmade Short Square Press-On Nails</x:v>
      </x:c>
      <x:c r="D7180" s="18" t="str">
        <x:v>Size: XS / S / M / L</x:v>
      </x:c>
      <x:c r="E7180" s="25" t="str">
        <x:v>$3.49</x:v>
      </x:c>
      <x:c r="F7180" s="19" t="str">
        <x:v>5</x:v>
      </x:c>
    </x:row>
    <x:row r="7181" ht="93" customHeight="1">
      <x:c r="A7181" s="19" t="n">
        <x:v>7178</x:v>
      </x:c>
      <x:c r="B7181" s="22" t="e">
        <x:f>HYPERLINK("https://cdn.shopify.com/s/files/1/0918/6066/4603/files/3bc727ef71114b76d043bbe6939dbf39.jpg?v=1773061221","Open")</x:f>
        <x:v>HYPERLINK is not implemented. linkLocation=https://cdn.shopify.com/s/files/1/0918/6066/4603/files/3bc727ef71114b76d043bbe6939dbf39.jpg?v=1773061221, friendlyName=Open</x:v>
      </x:c>
      <x:c r="C7181" s="24" t="e">
        <x:f>HYPERLINK("https://365nails.com/products/castle-fireworks-festive-nail-art-set","Castle Fireworks – Festive Nail Art Set")</x:f>
        <x:v>HYPERLINK is not implemented. linkLocation=https://365nails.com/products/castle-fireworks-festive-nail-art-set, friendlyName=Castle Fireworks – Festive Nail Art Set</x:v>
      </x:c>
      <x:c r="D7181" s="18" t="str">
        <x:v>Specification type: To5418-new hot stamping / To5418-silver / To5420-relief / To5421-shell light</x:v>
      </x:c>
      <x:c r="E7181" s="25" t="str">
        <x:v>$1.23</x:v>
      </x:c>
      <x:c r="F7181" s="19" t="str">
        <x:v>5</x:v>
      </x:c>
    </x:row>
    <x:row r="7182" ht="93" customHeight="1">
      <x:c r="A7182" s="19" t="n">
        <x:v>7179</x:v>
      </x:c>
      <x:c r="B7182" s="22" t="e">
        <x:f>HYPERLINK("https://cdn.shopify.com/s/files/1/0918/6066/4603/files/O1CN01tEHZRN1HlX48T8LD4__2545140798-0-cib.jpg?v=1776521933","Open")</x:f>
        <x:v>HYPERLINK is not implemented. linkLocation=https://cdn.shopify.com/s/files/1/0918/6066/4603/files/O1CN01tEHZRN1HlX48T8LD4__2545140798-0-cib.jpg?v=1776521933, friendlyName=Open</x:v>
      </x:c>
      <x:c r="C7182" s="24" t="e">
        <x:f>HYPERLINK("https://365nails.com/products/365nails-cute-hippo-nail-art-stickers","365nails: ""Cute Hippo"" – nail art stickers")</x:f>
        <x:v>HYPERLINK is not implemented. linkLocation=https://365nails.com/products/365nails-cute-hippo-nail-art-stickers, friendlyName=365nails: "Cute Hippo" – nail art stickers</x:v>
      </x:c>
      <x:c r="D7182" s="18" t="str">
        <x:v>Specification type: To4669-relief / To4671-shell light</x:v>
      </x:c>
      <x:c r="E7182" s="25" t="str">
        <x:v>$1.23</x:v>
      </x:c>
      <x:c r="F7182" s="19" t="str">
        <x:v>5</x:v>
      </x:c>
    </x:row>
    <x:row r="7183" ht="93" customHeight="1">
      <x:c r="A7183" s="19" t="n">
        <x:v>7180</x:v>
      </x:c>
      <x:c r="B7183" s="22" t="e">
        <x:f>HYPERLINK("https://cdn.shopify.com/s/files/1/0918/6066/4603/files/fa84af155416362243eff29eba8aeaa8.jpg?v=1777785928","Open")</x:f>
        <x:v>HYPERLINK is not implemented. linkLocation=https://cdn.shopify.com/s/files/1/0918/6066/4603/files/fa84af155416362243eff29eba8aeaa8.jpg?v=1777785928, friendlyName=Open</x:v>
      </x:c>
      <x:c r="C7183" s="24" t="e">
        <x:f>HYPERLINK("https://365nails.com/products/365nails-pink-bow-star-pearl-short-handmade-short-trapezoid-press-on-nails","365nails: ""Pink Bow Star Pearl Short"" – Handmade Short Trapezoid Press-On Nails")</x:f>
        <x:v>HYPERLINK is not implemented. linkLocation=https://365nails.com/products/365nails-pink-bow-star-pearl-short-handmade-short-trapezoid-press-on-nails, friendlyName=365nails: "Pink Bow Star Pearl Short" – Handmade Short Trapezoid Press-On Nails</x:v>
      </x:c>
      <x:c r="D7183" s="18" t="str">
        <x:v>Size: XS / S / M / L</x:v>
      </x:c>
      <x:c r="E7183" s="25" t="str">
        <x:v>$4.49</x:v>
      </x:c>
      <x:c r="F7183" s="19" t="str">
        <x:v>5</x:v>
      </x:c>
    </x:row>
    <x:row r="7184" ht="93" customHeight="1">
      <x:c r="A7184" s="19" t="n">
        <x:v>7181</x:v>
      </x:c>
      <x:c r="B7184" s="22" t="e">
        <x:f>HYPERLINK("https://cdn.shopify.com/s/files/1/0918/6066/4603/files/8715845ee8ae4ce39f5ac9ce5ce35717.jpg?v=1777788178","Open")</x:f>
        <x:v>HYPERLINK is not implemented. linkLocation=https://cdn.shopify.com/s/files/1/0918/6066/4603/files/8715845ee8ae4ce39f5ac9ce5ce35717.jpg?v=1777788178, friendlyName=Open</x:v>
      </x:c>
      <x:c r="C7184" s="24" t="e">
        <x:f>HYPERLINK("https://365nails.com/products/365nails-brown-green-star-ocean-beach-long-handmade-long-trapezoid-press-on-nails","365nails: ""Brown Green Star Ocean Beach Long"" – Handmade Long Trapezoid Press-On Nails")</x:f>
        <x:v>HYPERLINK is not implemented. linkLocation=https://365nails.com/products/365nails-brown-green-star-ocean-beach-long-handmade-long-trapezoid-press-on-nails, friendlyName=365nails: "Brown Green Star Ocean Beach Long" – Handmade Long Trapezoid Press-On Nails</x:v>
      </x:c>
      <x:c r="D7184" s="18" t="str">
        <x:v>Size: XS / S / M / L</x:v>
      </x:c>
      <x:c r="E7184" s="25" t="str">
        <x:v>$4.99</x:v>
      </x:c>
      <x:c r="F7184" s="19" t="str">
        <x:v>5</x:v>
      </x:c>
    </x:row>
    <x:row r="7185" ht="93" customHeight="1">
      <x:c r="A7185" s="19" t="n">
        <x:v>7182</x:v>
      </x:c>
      <x:c r="B7185" s="22" t="e">
        <x:f>HYPERLINK("https://cdn.shopify.com/s/files/1/0918/6066/4603/files/244bb6bc1264f17aa20cc220cd531c8b.jpg?v=1777788377","Open")</x:f>
        <x:v>HYPERLINK is not implemented. linkLocation=https://cdn.shopify.com/s/files/1/0918/6066/4603/files/244bb6bc1264f17aa20cc220cd531c8b.jpg?v=1777788377, friendlyName=Open</x:v>
      </x:c>
      <x:c r="C7185" s="24" t="e">
        <x:f>HYPERLINK("https://365nails.com/products/365nails-colorful-cartoon-food-short-handmade-short-square-press-on-nails","365nails: ""Colorful Cartoon Food Short"" – Handmade Short Square Press-On Nails")</x:f>
        <x:v>HYPERLINK is not implemented. linkLocation=https://365nails.com/products/365nails-colorful-cartoon-food-short-handmade-short-square-press-on-nails, friendlyName=365nails: "Colorful Cartoon Food Short" – Handmade Short Square Press-On Nails</x:v>
      </x:c>
      <x:c r="D7185" s="18" t="str">
        <x:v>Size: XS / S / M / L</x:v>
      </x:c>
      <x:c r="E7185" s="25" t="str">
        <x:v>$4.49</x:v>
      </x:c>
      <x:c r="F7185" s="19" t="str">
        <x:v>5</x:v>
      </x:c>
    </x:row>
    <x:row r="7186" ht="93" customHeight="1">
      <x:c r="A7186" s="19" t="n">
        <x:v>7183</x:v>
      </x:c>
      <x:c r="B7186" s="22" t="e">
        <x:f>HYPERLINK("https://cdn.shopify.com/s/files/1/0918/6066/4603/files/O1CN01pLdphy1HlX5dBwd2N__2545140798-0-cib.jpg?v=1773563924","Open")</x:f>
        <x:v>HYPERLINK is not implemented. linkLocation=https://cdn.shopify.com/s/files/1/0918/6066/4603/files/O1CN01pLdphy1HlX5dBwd2N__2545140798-0-cib.jpg?v=1773563924, friendlyName=Open</x:v>
      </x:c>
      <x:c r="C7186" s="24" t="e">
        <x:f>HYPERLINK("https://365nails.com/products/sweet-dessert-lace-pastel-treats-3d-nail-sticker","Sweet Dessert &amp; Lace: ""Pastel Treats"" – 3D Nail Sticker")</x:f>
        <x:v>HYPERLINK is not implemented. linkLocation=https://365nails.com/products/sweet-dessert-lace-pastel-treats-3d-nail-sticker, friendlyName=Sweet Dessert &amp; Lace: "Pastel Treats" – 3D Nail Sticker</x:v>
      </x:c>
      <x:c r="D7186" s="18" t="str">
        <x:v>Specification type: To4900-relief</x:v>
      </x:c>
      <x:c r="E7186" s="25" t="str">
        <x:v>$1.23</x:v>
      </x:c>
      <x:c r="F7186" s="19" t="str">
        <x:v>5</x:v>
      </x:c>
    </x:row>
    <x:row r="7187" ht="93" customHeight="1">
      <x:c r="A7187" s="19" t="n">
        <x:v>7184</x:v>
      </x:c>
      <x:c r="B7187" s="22" t="e">
        <x:f>HYPERLINK("https://cdn.shopify.com/s/files/1/0918/6066/4603/files/79385ca0058873271f9ecc1eb43eb153.jpg?v=1777778118","Open")</x:f>
        <x:v>HYPERLINK is not implemented. linkLocation=https://cdn.shopify.com/s/files/1/0918/6066/4603/files/79385ca0058873271f9ecc1eb43eb153.jpg?v=1777778118, friendlyName=Open</x:v>
      </x:c>
      <x:c r="C7187" s="24" t="e">
        <x:f>HYPERLINK("https://365nails.com/products/365nails-white-silver-cat-paw-handmade-long-trapezoid-press-on-nails","365nails: ""White Silver Cat Paw"" – Handmade Long Trapezoid Press-On Nails")</x:f>
        <x:v>HYPERLINK is not implemented. linkLocation=https://365nails.com/products/365nails-white-silver-cat-paw-handmade-long-trapezoid-press-on-nails, friendlyName=365nails: "White Silver Cat Paw" – Handmade Long Trapezoid Press-On Nails</x:v>
      </x:c>
      <x:c r="D7187" s="18" t="str">
        <x:v>Size: XS / S / M / L</x:v>
      </x:c>
      <x:c r="E7187" s="25" t="str">
        <x:v>$4.49</x:v>
      </x:c>
      <x:c r="F7187" s="19" t="str">
        <x:v>5</x:v>
      </x:c>
    </x:row>
    <x:row r="7188" ht="93" customHeight="1">
      <x:c r="A7188" s="19" t="n">
        <x:v>7185</x:v>
      </x:c>
      <x:c r="B7188" s="22" t="e">
        <x:f>HYPERLINK("https://cdn.shopify.com/s/files/1/0918/6066/4603/files/O1CN01AcMUYH1HlX3jCrsvC__2545140798-0-cib.jpg?v=1773564873","Open")</x:f>
        <x:v>HYPERLINK is not implemented. linkLocation=https://cdn.shopify.com/s/files/1/0918/6066/4603/files/O1CN01AcMUYH1HlX3jCrsvC__2545140798-0-cib.jpg?v=1773564873, friendlyName=Open</x:v>
      </x:c>
      <x:c r="C7188" s="24" t="e">
        <x:f>HYPERLINK("https://365nails.com/products/angel-wings-crown-iridescent-pearl-3d-nail-sticker","Angel Wings &amp; Crown: ""Iridescent Pearl"" – 3D Nail Sticker")</x:f>
        <x:v>HYPERLINK is not implemented. linkLocation=https://365nails.com/products/angel-wings-crown-iridescent-pearl-3d-nail-sticker, friendlyName=Angel Wings &amp; Crown: "Iridescent Pearl" – 3D Nail Sticker</x:v>
      </x:c>
      <x:c r="D7188" s="18" t="str">
        <x:v>Specification type: Ms666-shell light / Ms714-relief</x:v>
      </x:c>
      <x:c r="E7188" s="25" t="str">
        <x:v>$1.23</x:v>
      </x:c>
      <x:c r="F7188" s="19" t="str">
        <x:v>5</x:v>
      </x:c>
    </x:row>
    <x:row r="7189" ht="93" customHeight="1">
      <x:c r="A7189" s="19" t="n">
        <x:v>7186</x:v>
      </x:c>
      <x:c r="B7189" s="22" t="e">
        <x:f>HYPERLINK("https://cdn.shopify.com/s/files/1/0918/6066/4603/files/O1CN01SEqAux1YmliJgiIHR__2213953983102-0-cib.jpg?v=1773060984","Open")</x:f>
        <x:v>HYPERLINK is not implemented. linkLocation=https://cdn.shopify.com/s/files/1/0918/6066/4603/files/O1CN01SEqAux1YmliJgiIHR__2213953983102-0-cib.jpg?v=1773060984, friendlyName=Open</x:v>
      </x:c>
      <x:c r="C7189" s="24" t="e">
        <x:f>HYPERLINK("https://365nails.com/products/sheer-bow-collection-elegant-nail-art-set","Sheer Bow Collection – Elegant Nail Art Set")</x:f>
        <x:v>HYPERLINK is not implemented. linkLocation=https://365nails.com/products/sheer-bow-collection-elegant-nail-art-set, friendlyName=Sheer Bow Collection – Elegant Nail Art Set</x:v>
      </x:c>
      <x:c r="D7189" s="18" t="str">
        <x:v>Specification type: F–1 / F–2 / F–3 / F–4 / F–5 / F–6 / F–7 / F–8 / F–9 / F–10 / F–11</x:v>
      </x:c>
      <x:c r="E7189" s="25" t="str">
        <x:v>$1.23</x:v>
      </x:c>
      <x:c r="F7189" s="19" t="str">
        <x:v>5</x:v>
      </x:c>
    </x:row>
    <x:row r="7190" ht="93" customHeight="1">
      <x:c r="A7190" s="19" t="n">
        <x:v>7187</x:v>
      </x:c>
      <x:c r="B7190" s="22" t="e">
        <x:f>HYPERLINK("https://cdn.shopify.com/s/files/1/0918/6066/4603/files/O1CN01MDZkn11HlX1wKEVX5__2545140798-0-cib.jpg?v=1773559667","Open")</x:f>
        <x:v>HYPERLINK is not implemented. linkLocation=https://cdn.shopify.com/s/files/1/0918/6066/4603/files/O1CN01MDZkn11HlX1wKEVX5__2545140798-0-cib.jpg?v=1773559667, friendlyName=Open</x:v>
      </x:c>
      <x:c r="C7190" s="24" t="e">
        <x:f>HYPERLINK("https://365nails.com/products/holographic-butterfly-shell-shimmer-3d-nail-sticker","Holographic Butterfly: ""Shell Shimmer"" – 3D Nail Sticker")</x:f>
        <x:v>HYPERLINK is not implemented. linkLocation=https://365nails.com/products/holographic-butterfly-shell-shimmer-3d-nail-sticker, friendlyName=Holographic Butterfly: "Shell Shimmer" – 3D Nail Sticker</x:v>
      </x:c>
      <x:c r="D7190" s="18" t="str">
        <x:v>Specification type: Ms483 / Ms575 (small version)</x:v>
      </x:c>
      <x:c r="E7190" s="25" t="str">
        <x:v>$1.16</x:v>
      </x:c>
      <x:c r="F7190" s="19" t="str">
        <x:v>5</x:v>
      </x:c>
    </x:row>
    <x:row r="7191" ht="93" customHeight="1">
      <x:c r="A7191" s="19" t="n">
        <x:v>7188</x:v>
      </x:c>
      <x:c r="B7191" s="22" t="e">
        <x:f>HYPERLINK("https://cdn.shopify.com/s/files/1/0918/6066/4603/files/d3cd07b0bfe3829c49b793d950c8c6f6.jpg?v=1772963504","Open")</x:f>
        <x:v>HYPERLINK is not implemented. linkLocation=https://cdn.shopify.com/s/files/1/0918/6066/4603/files/d3cd07b0bfe3829c49b793d950c8c6f6.jpg?v=1772963504, friendlyName=Open</x:v>
      </x:c>
      <x:c r="C7191" s="24" t="e">
        <x:f>HYPERLINK("https://365nails.com/products/cute-critter-crew-3d-embossed-kawaii-nail-art-set","Cute Critter Crew – 3D Embossed Kawaii Nail Art Set")</x:f>
        <x:v>HYPERLINK is not implemented. linkLocation=https://365nails.com/products/cute-critter-crew-3d-embossed-kawaii-nail-art-set, friendlyName=Cute Critter Crew – 3D Embossed Kawaii Nail Art Set</x:v>
      </x:c>
      <x:c r="D7191" s="18" t="str">
        <x:v>Specification type: To3417 / To3418</x:v>
      </x:c>
      <x:c r="E7191" s="25" t="str">
        <x:v>$1.23</x:v>
      </x:c>
      <x:c r="F7191" s="19" t="str">
        <x:v>5</x:v>
      </x:c>
    </x:row>
    <x:row r="7192" ht="93" customHeight="1">
      <x:c r="A7192" s="19" t="n">
        <x:v>7189</x:v>
      </x:c>
      <x:c r="B7192" s="22" t="e">
        <x:f>HYPERLINK("https://cdn.shopify.com/s/files/1/0918/6066/4603/files/O1CN01lRq6QB1HlX2Zjseak__2545140798-0-cib_d83f9297-02ec-4937-8c0c-3de87a3cc5e8.jpg?v=1775455680","Open")</x:f>
        <x:v>HYPERLINK is not implemented. linkLocation=https://cdn.shopify.com/s/files/1/0918/6066/4603/files/O1CN01lRq6QB1HlX2Zjseak__2545140798-0-cib_d83f9297-02ec-4937-8c0c-3de87a3cc5e8.jpg?v=1775455680, friendlyName=Open</x:v>
      </x:c>
      <x:c r="C7192" s="24" t="e">
        <x:f>HYPERLINK("https://365nails.com/products/365nails-crystal-hologram-butterfly-handmade-press-on-nails","365nails: ""Crystal Hologram Butterfly"" –Nail Art Stickers")</x:f>
        <x:v>HYPERLINK is not implemented. linkLocation=https://365nails.com/products/365nails-crystal-hologram-butterfly-handmade-press-on-nails, friendlyName=365nails: "Crystal Hologram Butterfly" –Nail Art Stickers</x:v>
      </x:c>
      <x:c r="D7192" s="18" t="str">
        <x:v>Specification type: Ms670-jelly / Ms671-jelly / Ms676-jelly / Ms677-jelly / Ms678-jelly</x:v>
      </x:c>
      <x:c r="E7192" s="25" t="str">
        <x:v>$1.23</x:v>
      </x:c>
      <x:c r="F7192" s="19" t="str">
        <x:v>5</x:v>
      </x:c>
    </x:row>
    <x:row r="7193" ht="93" customHeight="1">
      <x:c r="A7193" s="19" t="n">
        <x:v>7190</x:v>
      </x:c>
      <x:c r="B7193" s="22" t="e">
        <x:f>HYPERLINK("https://cdn.shopify.com/s/files/1/0918/6066/4603/files/O1CN01tuyvwU1HlXAB3w8Dz__2545140798-0-cib.jpg?v=1773580119","Open")</x:f>
        <x:v>HYPERLINK is not implemented. linkLocation=https://cdn.shopify.com/s/files/1/0918/6066/4603/files/O1CN01tuyvwU1HlXAB3w8Dz__2545140798-0-cib.jpg?v=1773580119, friendlyName=Open</x:v>
      </x:c>
      <x:c r="C7193" s="24" t="e">
        <x:f>HYPERLINK("https://365nails.com/products/juicy-cherry-summer-sweetness-3d-embossed-nail-sticker","Juicy Cherry: ""Summer Sweetness"" – 3D Embossed Nail Sticker")</x:f>
        <x:v>HYPERLINK is not implemented. linkLocation=https://365nails.com/products/juicy-cherry-summer-sweetness-3d-embossed-nail-sticker, friendlyName=Juicy Cherry: "Summer Sweetness" – 3D Embossed Nail Sticker</x:v>
      </x:c>
      <x:c r="D7193" s="18" t="str">
        <x:v>Specification type: To5427-jelly</x:v>
      </x:c>
      <x:c r="E7193" s="25" t="str">
        <x:v>$1.23</x:v>
      </x:c>
      <x:c r="F7193" s="19" t="str">
        <x:v>5</x:v>
      </x:c>
    </x:row>
    <x:row r="7194" ht="93" customHeight="1">
      <x:c r="A7194" s="19" t="n">
        <x:v>7191</x:v>
      </x:c>
      <x:c r="B7194" s="22" t="e">
        <x:f>HYPERLINK("https://cdn.shopify.com/s/files/1/0918/6066/4603/files/0d5f407509b35684de3700f4d94f05f1.jpg?v=1777786529","Open")</x:f>
        <x:v>HYPERLINK is not implemented. linkLocation=https://cdn.shopify.com/s/files/1/0918/6066/4603/files/0d5f407509b35684de3700f4d94f05f1.jpg?v=1777786529, friendlyName=Open</x:v>
      </x:c>
      <x:c r="C7194" s="24" t="e">
        <x:f>HYPERLINK("https://365nails.com/products/365nails-colorful-monster-eye-star-short-handmade-short-trapezoid-press-on-nails","365nails: ""Colorful Monster Eye Star Short"" – Handmade Short Trapezoid Press-On Nails")</x:f>
        <x:v>HYPERLINK is not implemented. linkLocation=https://365nails.com/products/365nails-colorful-monster-eye-star-short-handmade-short-trapezoid-press-on-nails, friendlyName=365nails: "Colorful Monster Eye Star Short" – Handmade Short Trapezoid Press-On Nails</x:v>
      </x:c>
      <x:c r="D7194" s="18" t="str">
        <x:v>Size: XS / S / M / L</x:v>
      </x:c>
      <x:c r="E7194" s="25" t="str">
        <x:v>$4.49</x:v>
      </x:c>
      <x:c r="F7194" s="19" t="str">
        <x:v>5</x:v>
      </x:c>
    </x:row>
    <x:row r="7195" ht="93" customHeight="1">
      <x:c r="A7195" s="19" t="n">
        <x:v>7192</x:v>
      </x:c>
      <x:c r="B7195" s="22" t="e">
        <x:f>HYPERLINK("https://cdn.shopify.com/s/files/1/0918/6066/4603/files/O1CN01q3qHXI1HlWwAtm0Bh__2545140798-0-cib.jpg?v=1773582566","Open")</x:f>
        <x:v>HYPERLINK is not implemented. linkLocation=https://cdn.shopify.com/s/files/1/0918/6066/4603/files/O1CN01q3qHXI1HlWwAtm0Bh__2545140798-0-cib.jpg?v=1773582566, friendlyName=Open</x:v>
      </x:c>
      <x:c r="C7195" s="24" t="e">
        <x:f>HYPERLINK("https://365nails.com/products/floral-bunny-5d-embossed-garden-nail-sticker","Floral Bunny: ""5D Embossed Garden"" – Nail Sticker")</x:f>
        <x:v>HYPERLINK is not implemented. linkLocation=https://365nails.com/products/floral-bunny-5d-embossed-garden-nail-sticker, friendlyName=Floral Bunny: "5D Embossed Garden" – Nail Sticker</x:v>
      </x:c>
      <x:c r="D7195" s="18" t="str">
        <x:v>Specification type: Ms 247 / Ms 454</x:v>
      </x:c>
      <x:c r="E7195" s="25" t="str">
        <x:v>$1.23</x:v>
      </x:c>
      <x:c r="F7195" s="19" t="str">
        <x:v>5</x:v>
      </x:c>
    </x:row>
    <x:row r="7196" ht="93" customHeight="1">
      <x:c r="A7196" s="19" t="n">
        <x:v>7193</x:v>
      </x:c>
      <x:c r="B7196" s="22" t="e">
        <x:f>HYPERLINK("https://cdn.shopify.com/s/files/1/0918/6066/4603/files/9b9b09724165e93f791298bd84444ed2.jpg?v=1777785855","Open")</x:f>
        <x:v>HYPERLINK is not implemented. linkLocation=https://cdn.shopify.com/s/files/1/0918/6066/4603/files/9b9b09724165e93f791298bd84444ed2.jpg?v=1777785855, friendlyName=Open</x:v>
      </x:c>
      <x:c r="C7196" s="24" t="e">
        <x:f>HYPERLINK("https://365nails.com/products/365nails-pink-blue-cat-bow-star-short-handmade-short-trapezoid-press-on-nails","365nails: ""Pink Blue Cat Bow Star Short"" – Handmade Short Trapezoid Press-On Nails")</x:f>
        <x:v>HYPERLINK is not implemented. linkLocation=https://365nails.com/products/365nails-pink-blue-cat-bow-star-short-handmade-short-trapezoid-press-on-nails, friendlyName=365nails: "Pink Blue Cat Bow Star Short" – Handmade Short Trapezoid Press-On Nails</x:v>
      </x:c>
      <x:c r="D7196" s="18" t="str">
        <x:v>Size: XS / S / M / L</x:v>
      </x:c>
      <x:c r="E7196" s="25" t="str">
        <x:v>$4.49</x:v>
      </x:c>
      <x:c r="F7196" s="19" t="str">
        <x:v>5</x:v>
      </x:c>
    </x:row>
    <x:row r="7197" ht="93" customHeight="1">
      <x:c r="A7197" s="19" t="n">
        <x:v>7194</x:v>
      </x:c>
      <x:c r="B7197" s="22" t="e">
        <x:f>HYPERLINK("https://cdn.shopify.com/s/files/1/0918/6066/4603/files/f4f7d6fc5a8d9d98804d766fe1d62770.jpg?v=1777776448","Open")</x:f>
        <x:v>HYPERLINK is not implemented. linkLocation=https://cdn.shopify.com/s/files/1/0918/6066/4603/files/f4f7d6fc5a8d9d98804d766fe1d62770.jpg?v=1777776448, friendlyName=Open</x:v>
      </x:c>
      <x:c r="C7197" s="24" t="e">
        <x:f>HYPERLINK("https://365nails.com/products/365nails-pink-brown-rhinestone-bow-handmade-long-trapezoid-press-on-nails","365nails: ""Pink Brown Rhinestone Bow"" – Handmade Long Trapezoid Press-On Nails")</x:f>
        <x:v>HYPERLINK is not implemented. linkLocation=https://365nails.com/products/365nails-pink-brown-rhinestone-bow-handmade-long-trapezoid-press-on-nails, friendlyName=365nails: "Pink Brown Rhinestone Bow" – Handmade Long Trapezoid Press-On Nails</x:v>
      </x:c>
      <x:c r="D7197" s="18" t="str">
        <x:v>Size: XS / S / M / L</x:v>
      </x:c>
      <x:c r="E7197" s="25" t="str">
        <x:v>$5.99</x:v>
      </x:c>
      <x:c r="F7197" s="19" t="str">
        <x:v>5</x:v>
      </x:c>
    </x:row>
    <x:row r="7198" ht="93" customHeight="1">
      <x:c r="A7198" s="19" t="n">
        <x:v>7195</x:v>
      </x:c>
      <x:c r="B7198" s="22" t="e">
        <x:f>HYPERLINK("https://cdn.shopify.com/s/files/1/0918/6066/4603/files/O1CN01Q1el7r2MQzfdKgefg__2219089449823-0-cib.jpg?v=1774520907","Open")</x:f>
        <x:v>HYPERLINK is not implemented. linkLocation=https://cdn.shopify.com/s/files/1/0918/6066/4603/files/O1CN01Q1el7r2MQzfdKgefg__2219089449823-0-cib.jpg?v=1774520907, friendlyName=Open</x:v>
      </x:c>
      <x:c r="C7198" s="24" t="e">
        <x:f>HYPERLINK("https://365nails.com/products/mermaid-garden-seashell-floral-almond-press-on-nails","Mermaid Garden: ""Seashell &amp; Floral"" – Almond Press-On Nails")</x:f>
        <x:v>HYPERLINK is not implemented. linkLocation=https://365nails.com/products/mermaid-garden-seashell-floral-almond-press-on-nails, friendlyName=Mermaid Garden: "Seashell &amp; Floral" – Almond Press-On Nails</x:v>
      </x:c>
      <x:c r="D7198" s="18" t="str">
        <x:v>Color: D630s; Color classification: Xs / S / M / L</x:v>
      </x:c>
      <x:c r="E7198" s="25" t="str">
        <x:v>$3.99</x:v>
      </x:c>
      <x:c r="F7198" s="19" t="str">
        <x:v>1</x:v>
      </x:c>
    </x:row>
    <x:row r="7199" ht="93" customHeight="1">
      <x:c r="A7199" s="19" t="n">
        <x:v>7196</x:v>
      </x:c>
      <x:c r="B7199" s="22" t="e">
        <x:f>HYPERLINK("https://cdn.shopify.com/s/files/1/0918/6066/4603/files/O1CN01gSIXA51HlWjZyiGN0__2545140798-0-cib.jpg?v=1772951799","Open")</x:f>
        <x:v>HYPERLINK is not implemented. linkLocation=https://cdn.shopify.com/s/files/1/0918/6066/4603/files/O1CN01gSIXA51HlWjZyiGN0__2545140798-0-cib.jpg?v=1772951799, friendlyName=Open</x:v>
      </x:c>
      <x:c r="C7199" s="24" t="e">
        <x:f>HYPERLINK("https://365nails.com/products/strawberry-crush-juicy-nail-art-accent-set","Strawberry Crush – Juicy Nail Art Accent Set")</x:f>
        <x:v>HYPERLINK is not implemented. linkLocation=https://365nails.com/products/strawberry-crush-juicy-nail-art-accent-set, friendlyName=Strawberry Crush – Juicy Nail Art Accent Set</x:v>
      </x:c>
      <x:c r="D7199" s="18" t="str">
        <x:v>Specification type: Relief ms53 / Ms 54 / Relief ms55</x:v>
      </x:c>
      <x:c r="E7199" s="25" t="str">
        <x:v>$1.23</x:v>
      </x:c>
      <x:c r="F7199" s="19" t="str">
        <x:v>5</x:v>
      </x:c>
    </x:row>
    <x:row r="7200" ht="93" customHeight="1">
      <x:c r="A7200" s="19" t="n">
        <x:v>7197</x:v>
      </x:c>
      <x:c r="B7200" s="22" t="e">
        <x:f>HYPERLINK("https://cdn.shopify.com/s/files/1/0918/6066/4603/files/O1CN01q4q7py1HlX1RangpE__2545140798-0-cib.jpg?v=1773563572","Open")</x:f>
        <x:v>HYPERLINK is not implemented. linkLocation=https://cdn.shopify.com/s/files/1/0918/6066/4603/files/O1CN01q4q7py1HlX1RangpE__2545140798-0-cib.jpg?v=1773563572, friendlyName=Open</x:v>
      </x:c>
      <x:c r="C7200" s="24" t="e">
        <x:f>HYPERLINK("https://365nails.com/products/white-elegance-bow-crystal-3d-embossed-nail-sticker","White Elegance: ""Bow &amp; Crystal"" – 3D Embossed Nail Sticker")</x:f>
        <x:v>HYPERLINK is not implemented. linkLocation=https://365nails.com/products/white-elegance-bow-crystal-3d-embossed-nail-sticker, friendlyName=White Elegance: "Bow &amp; Crystal" – 3D Embossed Nail Sticker</x:v>
      </x:c>
      <x:c r="D7200" s="18" t="str">
        <x:v>Specification type: To4116-crystal diamond / To4116-pearl / To4117-crystal diamond / To4117-pearl / To4118-crystal diamond / To4118-pearl / To4119-crystal diamond / To4119-pearl</x:v>
      </x:c>
      <x:c r="E7200" s="25" t="str">
        <x:v>$1.30</x:v>
      </x:c>
      <x:c r="F7200" s="19" t="str">
        <x:v>5</x:v>
      </x:c>
    </x:row>
    <x:row r="7201" ht="93" customHeight="1">
      <x:c r="A7201" s="19" t="n">
        <x:v>7198</x:v>
      </x:c>
      <x:c r="B7201" s="22" t="e">
        <x:f>HYPERLINK("https://cdn.shopify.com/s/files/1/0918/6066/4603/files/11743027956f699c924d318508681034.jpg?v=1772967965","Open")</x:f>
        <x:v>HYPERLINK is not implemented. linkLocation=https://cdn.shopify.com/s/files/1/0918/6066/4603/files/11743027956f699c924d318508681034.jpg?v=1772967965, friendlyName=Open</x:v>
      </x:c>
      <x:c r="C7201" s="24" t="e">
        <x:f>HYPERLINK("https://365nails.com/products/sepia-butterfly-embroidery-3d-embossed-vintage-nail-art-set","Sepia Butterfly Embroidery – 3D Embossed Vintage Nail Art Set")</x:f>
        <x:v>HYPERLINK is not implemented. linkLocation=https://365nails.com/products/sepia-butterfly-embroidery-3d-embossed-vintage-nail-art-set, friendlyName=Sepia Butterfly Embroidery – 3D Embossed Vintage Nail Art Set</x:v>
      </x:c>
      <x:c r="D7201" s="18" t="str">
        <x:v>Specification type: To3549 / To3550 / To3551 / To3552</x:v>
      </x:c>
      <x:c r="E7201" s="25" t="str">
        <x:v>$1.23</x:v>
      </x:c>
      <x:c r="F7201" s="19" t="str">
        <x:v>5</x:v>
      </x:c>
    </x:row>
    <x:row r="7202" ht="93" customHeight="1">
      <x:c r="A7202" s="19" t="n">
        <x:v>7199</x:v>
      </x:c>
      <x:c r="B7202" s="22" t="e">
        <x:f>HYPERLINK("https://cdn.shopify.com/s/files/1/0918/6066/4603/files/45a40ed75d2cd7c481a52747db0ff6a2.jpg?v=1777791674","Open")</x:f>
        <x:v>HYPERLINK is not implemented. linkLocation=https://cdn.shopify.com/s/files/1/0918/6066/4603/files/45a40ed75d2cd7c481a52747db0ff6a2.jpg?v=1777791674, friendlyName=Open</x:v>
      </x:c>
      <x:c r="C7202" s="24" t="e">
        <x:f>HYPERLINK("https://365nails.com/products/365nails-pink-flower-ocean-wave-short-handmade-short-almond-press-on-nails","365nails: ""Pink Flower Ocean Wave Short"" – Handmade Short Almond Press-On Nails")</x:f>
        <x:v>HYPERLINK is not implemented. linkLocation=https://365nails.com/products/365nails-pink-flower-ocean-wave-short-handmade-short-almond-press-on-nails, friendlyName=365nails: "Pink Flower Ocean Wave Short" – Handmade Short Almond Press-On Nails</x:v>
      </x:c>
      <x:c r="D7202" s="18" t="str">
        <x:v>Size: XS / S / M / L</x:v>
      </x:c>
      <x:c r="E7202" s="25" t="str">
        <x:v>$3.49</x:v>
      </x:c>
      <x:c r="F7202" s="19" t="str">
        <x:v>5</x:v>
      </x:c>
    </x:row>
    <x:row r="7203" ht="93" customHeight="1">
      <x:c r="A7203" s="19" t="n">
        <x:v>7200</x:v>
      </x:c>
      <x:c r="B7203" s="22" t="e">
        <x:f>HYPERLINK("https://cdn.shopify.com/s/files/1/0918/6066/4603/files/1f9e01552ad9f6dfcd586fc4671570e1.jpg?v=1776415085","Open")</x:f>
        <x:v>HYPERLINK is not implemented. linkLocation=https://cdn.shopify.com/s/files/1/0918/6066/4603/files/1f9e01552ad9f6dfcd586fc4671570e1.jpg?v=1776415085, friendlyName=Open</x:v>
      </x:c>
      <x:c r="C7203" s="24" t="e">
        <x:f>HYPERLINK("https://365nails.com/products/365nails-demon-slayer-obanai-iguro-handmade-short-trapezoid-press-on-nails","365nails: ""Demon Slayer Obanai Iguro"" – Handmade Short Trapezoid Press-On Nails")</x:f>
        <x:v>HYPERLINK is not implemented. linkLocation=https://365nails.com/products/365nails-demon-slayer-obanai-iguro-handmade-short-trapezoid-press-on-nails, friendlyName=365nails: "Demon Slayer Obanai Iguro" – Handmade Short Trapezoid Press-On Nails</x:v>
      </x:c>
      <x:c r="D7203" s="18" t="str">
        <x:v>Size: XS / S / M</x:v>
      </x:c>
      <x:c r="E7203" s="25" t="str">
        <x:v>$3.49</x:v>
      </x:c>
      <x:c r="F7203" s="19" t="str">
        <x:v>5</x:v>
      </x:c>
    </x:row>
    <x:row r="7204" ht="93" customHeight="1">
      <x:c r="A7204" s="19" t="n">
        <x:v>7201</x:v>
      </x:c>
      <x:c r="B7204" s="22" t="e">
        <x:f>HYPERLINK("https://cdn.shopify.com/s/files/1/0918/6066/4603/files/3a9fada7e45274f0570dfce403a99939.jpg?v=1777782042","Open")</x:f>
        <x:v>HYPERLINK is not implemented. linkLocation=https://cdn.shopify.com/s/files/1/0918/6066/4603/files/3a9fada7e45274f0570dfce403a99939.jpg?v=1777782042, friendlyName=Open</x:v>
      </x:c>
      <x:c r="C7204" s="24" t="e">
        <x:f>HYPERLINK("https://365nails.com/products/365nails-pink-cherry-flower-bling-long-handmade-long-trapezoid-press-on-nails","365nails: ""Pink Cherry Flower Bling Long"" – Handmade Long Trapezoid Press-On Nails")</x:f>
        <x:v>HYPERLINK is not implemented. linkLocation=https://365nails.com/products/365nails-pink-cherry-flower-bling-long-handmade-long-trapezoid-press-on-nails, friendlyName=365nails: "Pink Cherry Flower Bling Long" – Handmade Long Trapezoid Press-On Nails</x:v>
      </x:c>
      <x:c r="D7204" s="18" t="str">
        <x:v>Size: S / M / L</x:v>
      </x:c>
      <x:c r="E7204" s="25" t="str">
        <x:v>$4.49</x:v>
      </x:c>
      <x:c r="F7204" s="19" t="str">
        <x:v>5</x:v>
      </x:c>
    </x:row>
    <x:row r="7205" ht="93" customHeight="1">
      <x:c r="A7205" s="19" t="n">
        <x:v>7202</x:v>
      </x:c>
      <x:c r="B7205" s="22" t="e">
        <x:f>HYPERLINK("https://cdn.shopify.com/s/files/1/0918/6066/4603/files/6c3e32d338e1142593a6418da210f33a.jpg?v=1777788051","Open")</x:f>
        <x:v>HYPERLINK is not implemented. linkLocation=https://cdn.shopify.com/s/files/1/0918/6066/4603/files/6c3e32d338e1142593a6418da210f33a.jpg?v=1777788051, friendlyName=Open</x:v>
      </x:c>
      <x:c r="C7205" s="24" t="e">
        <x:f>HYPERLINK("https://365nails.com/products/365nails-pink-gold-flower-rhinestone-long-handmade-long-trapezoid-press-on-nails","365nails: ""Pink Gold Flower Rhinestone Long"" – Handmade Long Trapezoid Press-On Nails")</x:f>
        <x:v>HYPERLINK is not implemented. linkLocation=https://365nails.com/products/365nails-pink-gold-flower-rhinestone-long-handmade-long-trapezoid-press-on-nails, friendlyName=365nails: "Pink Gold Flower Rhinestone Long" – Handmade Long Trapezoid Press-On Nails</x:v>
      </x:c>
      <x:c r="D7205" s="18" t="str">
        <x:v>Size: XS / S / M / L</x:v>
      </x:c>
      <x:c r="E7205" s="25" t="str">
        <x:v>$5.99</x:v>
      </x:c>
      <x:c r="F7205" s="19" t="str">
        <x:v>5</x:v>
      </x:c>
    </x:row>
    <x:row r="7206" ht="93" customHeight="1">
      <x:c r="A7206" s="19" t="n">
        <x:v>7203</x:v>
      </x:c>
      <x:c r="B7206" s="22" t="e">
        <x:f>HYPERLINK("https://cdn.shopify.com/s/files/1/0918/6066/4603/files/e5b3a83627e082727464a3759d3484bf.jpg?v=1777785781","Open")</x:f>
        <x:v>HYPERLINK is not implemented. linkLocation=https://cdn.shopify.com/s/files/1/0918/6066/4603/files/e5b3a83627e082727464a3759d3484bf.jpg?v=1777785781, friendlyName=Open</x:v>
      </x:c>
      <x:c r="C7206" s="24" t="e">
        <x:f>HYPERLINK("https://365nails.com/products/365nails-pink-black-zebra-bow-short-handmade-short-trapezoid-press-on-nails","365nails: ""Pink Black Zebra Bow Short"" – Handmade Short Trapezoid Press-On Nails")</x:f>
        <x:v>HYPERLINK is not implemented. linkLocation=https://365nails.com/products/365nails-pink-black-zebra-bow-short-handmade-short-trapezoid-press-on-nails, friendlyName=365nails: "Pink Black Zebra Bow Short" – Handmade Short Trapezoid Press-On Nails</x:v>
      </x:c>
      <x:c r="D7206" s="18" t="str">
        <x:v>Size: XS / S / M / L</x:v>
      </x:c>
      <x:c r="E7206" s="25" t="str">
        <x:v>$4.49</x:v>
      </x:c>
      <x:c r="F7206" s="19" t="str">
        <x:v>5</x:v>
      </x:c>
    </x:row>
    <x:row r="7207" ht="93" customHeight="1">
      <x:c r="A7207" s="19" t="n">
        <x:v>7204</x:v>
      </x:c>
      <x:c r="B7207" s="22" t="e">
        <x:f>HYPERLINK("https://cdn.shopify.com/s/files/1/0918/6066/4603/files/db441a2c031f293f5abc29b691024e55.jpg?v=1777786001","Open")</x:f>
        <x:v>HYPERLINK is not implemented. linkLocation=https://cdn.shopify.com/s/files/1/0918/6066/4603/files/db441a2c031f293f5abc29b691024e55.jpg?v=1777786001, friendlyName=Open</x:v>
      </x:c>
      <x:c r="C7207" s="24" t="e">
        <x:f>HYPERLINK("https://365nails.com/products/365nails-colorful-kawaii-lollipop-star-short-handmade-short-trapezoid-press-on-nails","365nails: ""Colorful Kawaii Lollipop Star Short"" – Handmade Short Trapezoid Press-On Nails")</x:f>
        <x:v>HYPERLINK is not implemented. linkLocation=https://365nails.com/products/365nails-colorful-kawaii-lollipop-star-short-handmade-short-trapezoid-press-on-nails, friendlyName=365nails: "Colorful Kawaii Lollipop Star Short" – Handmade Short Trapezoid Press-On Nails</x:v>
      </x:c>
      <x:c r="D7207" s="18" t="str">
        <x:v>Size: XS / S / M / L</x:v>
      </x:c>
      <x:c r="E7207" s="25" t="str">
        <x:v>$4.49</x:v>
      </x:c>
      <x:c r="F7207" s="19" t="str">
        <x:v>5</x:v>
      </x:c>
    </x:row>
    <x:row r="7208" ht="93" customHeight="1">
      <x:c r="A7208" s="19" t="n">
        <x:v>7205</x:v>
      </x:c>
      <x:c r="B7208" s="22" t="e">
        <x:f>HYPERLINK("https://cdn.shopify.com/s/files/1/0918/6066/4603/files/O1CN01IvbcfM1HlX1o6F7JC__2545140798-0-cib.jpg?v=1773583003","Open")</x:f>
        <x:v>HYPERLINK is not implemented. linkLocation=https://cdn.shopify.com/s/files/1/0918/6066/4603/files/O1CN01IvbcfM1HlX1o6F7JC__2545140798-0-cib.jpg?v=1773583003, friendlyName=Open</x:v>
      </x:c>
      <x:c r="C7208" s="24" t="e">
        <x:f>HYPERLINK("https://365nails.com/products/pink-bow-crystal-bridal-sweetheart-3d-embossed-nail-sticker","Pink Bow &amp; Crystal: ""Bridal Sweetheart"" – 3D Embossed Nail Sticker")</x:f>
        <x:v>HYPERLINK is not implemented. linkLocation=https://365nails.com/products/pink-bow-crystal-bridal-sweetheart-3d-embossed-nail-sticker, friendlyName=Pink Bow &amp; Crystal: "Bridal Sweetheart" – 3D Embossed Nail Sticker</x:v>
      </x:c>
      <x:c r="D7208" s="18" t="str">
        <x:v>Specification type: Ta322-crystal diamond / Ta323-crystal diamond / Ta324-crystal diamond / Ta325-crystal diamond</x:v>
      </x:c>
      <x:c r="E7208" s="25" t="str">
        <x:v>$1.30</x:v>
      </x:c>
      <x:c r="F7208" s="19" t="str">
        <x:v>5</x:v>
      </x:c>
    </x:row>
    <x:row r="7209" ht="93" customHeight="1">
      <x:c r="A7209" s="19" t="n">
        <x:v>7206</x:v>
      </x:c>
      <x:c r="B7209" s="22" t="e">
        <x:f>HYPERLINK("https://cdn.shopify.com/s/files/1/0918/6066/4603/files/O1CN01VpN7i71HlX6FO8rX1__2545140798-0-cib.jpg?v=1773564144","Open")</x:f>
        <x:v>HYPERLINK is not implemented. linkLocation=https://cdn.shopify.com/s/files/1/0918/6066/4603/files/O1CN01VpN7i71HlX6FO8rX1__2545140798-0-cib.jpg?v=1773564144, friendlyName=Open</x:v>
      </x:c>
      <x:c r="C7209" s="24" t="e">
        <x:f>HYPERLINK("https://365nails.com/products/chinese-goldfish-plum-river-elegance-3d-nail-sticker","Chinese Goldfish &amp; Plum: ""River Elegance"" – 3D Nail Sticker")</x:f>
        <x:v>HYPERLINK is not implemented. linkLocation=https://365nails.com/products/chinese-goldfish-plum-river-elegance-3d-nail-sticker, friendlyName=Chinese Goldfish &amp; Plum: "River Elegance" – 3D Nail Sticker</x:v>
      </x:c>
      <x:c r="D7209" s="18" t="str">
        <x:v>Specification type: To4973</x:v>
      </x:c>
      <x:c r="E7209" s="25" t="str">
        <x:v>$1.09</x:v>
      </x:c>
      <x:c r="F7209" s="19" t="str">
        <x:v>5</x:v>
      </x:c>
    </x:row>
    <x:row r="7210" ht="93" customHeight="1">
      <x:c r="A7210" s="19" t="n">
        <x:v>7207</x:v>
      </x:c>
      <x:c r="B7210" s="22" t="e">
        <x:f>HYPERLINK("https://cdn.shopify.com/s/files/1/0918/6066/4603/files/fcd50b992dbad3fc7394b75cd89011ef.jpg?v=1777791958","Open")</x:f>
        <x:v>HYPERLINK is not implemented. linkLocation=https://cdn.shopify.com/s/files/1/0918/6066/4603/files/fcd50b992dbad3fc7394b75cd89011ef.jpg?v=1777791958, friendlyName=Open</x:v>
      </x:c>
      <x:c r="C7210" s="24" t="e">
        <x:f>HYPERLINK("https://365nails.com/products/365nails-colorful-pearl-heart-rhinestone-short-handmade-short-square-press-on-nails","365nails: ""Colorful Pearl Heart Rhinestone Short"" – Handmade Short Square Press-On Nails")</x:f>
        <x:v>HYPERLINK is not implemented. linkLocation=https://365nails.com/products/365nails-colorful-pearl-heart-rhinestone-short-handmade-short-square-press-on-nails, friendlyName=365nails: "Colorful Pearl Heart Rhinestone Short" – Handmade Short Square Press-On Nails</x:v>
      </x:c>
      <x:c r="D7210" s="18" t="str">
        <x:v>Size: XS / S / M / L</x:v>
      </x:c>
      <x:c r="E7210" s="25" t="str">
        <x:v>$3.49</x:v>
      </x:c>
      <x:c r="F7210" s="19" t="str">
        <x:v>5</x:v>
      </x:c>
    </x:row>
    <x:row r="7211" ht="93" customHeight="1">
      <x:c r="A7211" s="19" t="n">
        <x:v>7208</x:v>
      </x:c>
      <x:c r="B7211" s="22" t="e">
        <x:f>HYPERLINK("https://cdn.shopify.com/s/files/1/0918/6066/4603/files/O1CN01i6ta4Z1HlWxx28Iv9__2545140798-0-cib_be6b08ac-b3fd-45c5-a269-e586abc969df.jpg?v=1775396943","Open")</x:f>
        <x:v>HYPERLINK is not implemented. linkLocation=https://cdn.shopify.com/s/files/1/0918/6066/4603/files/O1CN01i6ta4Z1HlWxx28Iv9__2545140798-0-cib_be6b08ac-b3fd-45c5-a269-e586abc969df.jpg?v=1775396943, friendlyName=Open</x:v>
      </x:c>
      <x:c r="C7211" s="24" t="e">
        <x:f>HYPERLINK("https://365nails.com/products/365nails-kawaii-circus-clown-handmade-press-on-nails","365nails: ""Kawaii Circus Clown"" – Nail Art Stickers")</x:f>
        <x:v>HYPERLINK is not implemented. linkLocation=https://365nails.com/products/365nails-kawaii-circus-clown-handmade-press-on-nails, friendlyName=365nails: "Kawaii Circus Clown" – Nail Art Stickers</x:v>
      </x:c>
      <x:c r="D7211" s="18" t="str">
        <x:v>Specification type: To3593</x:v>
      </x:c>
      <x:c r="E7211" s="25" t="str">
        <x:v>$1.23</x:v>
      </x:c>
      <x:c r="F7211" s="19" t="str">
        <x:v>5</x:v>
      </x:c>
    </x:row>
    <x:row r="7212" ht="93" customHeight="1">
      <x:c r="A7212" s="19" t="n">
        <x:v>7209</x:v>
      </x:c>
      <x:c r="B7212" s="22" t="e">
        <x:f>HYPERLINK("https://cdn.shopify.com/s/files/1/0918/6066/4603/files/96e24401bb5f5110d0d72b5e16f406fb.jpg?v=1777777061","Open")</x:f>
        <x:v>HYPERLINK is not implemented. linkLocation=https://cdn.shopify.com/s/files/1/0918/6066/4603/files/96e24401bb5f5110d0d72b5e16f406fb.jpg?v=1777777061, friendlyName=Open</x:v>
      </x:c>
      <x:c r="C7212" s="24" t="e">
        <x:f>HYPERLINK("https://365nails.com/products/365nails-green-white-flower-butterfly-handmade-medium-trapezoid-press-on-nails","365nails: ""Green White Flower Butterfly"" – Handmade Medium Trapezoid Press-On Nails")</x:f>
        <x:v>HYPERLINK is not implemented. linkLocation=https://365nails.com/products/365nails-green-white-flower-butterfly-handmade-medium-trapezoid-press-on-nails, friendlyName=365nails: "Green White Flower Butterfly" – Handmade Medium Trapezoid Press-On Nails</x:v>
      </x:c>
      <x:c r="D7212" s="18" t="str">
        <x:v>Size: XS / S / M / L</x:v>
      </x:c>
      <x:c r="E7212" s="25" t="str">
        <x:v>$5.99</x:v>
      </x:c>
      <x:c r="F7212" s="19" t="str">
        <x:v>5</x:v>
      </x:c>
    </x:row>
    <x:row r="7213" ht="93" customHeight="1">
      <x:c r="A7213" s="19" t="n">
        <x:v>7210</x:v>
      </x:c>
      <x:c r="B7213" s="22" t="e">
        <x:f>HYPERLINK("https://cdn.shopify.com/s/files/1/0918/6066/4603/files/O1CN01u9BPE21HlX7cyBCvd__2545140798-0-cib.jpg?v=1773564519","Open")</x:f>
        <x:v>HYPERLINK is not implemented. linkLocation=https://cdn.shopify.com/s/files/1/0918/6066/4603/files/O1CN01u9BPE21HlX7cyBCvd__2545140798-0-cib.jpg?v=1773564519, friendlyName=Open</x:v>
      </x:c>
      <x:c r="C7213" s="24" t="e">
        <x:f>HYPERLINK("https://365nails.com/products/disney-princess-ariel-under-the-sea-3d-embossed-nail-sticker","Disney Princess Ariel: ""Under the Sea"" – 3D Embossed Nail Sticker")</x:f>
        <x:v>HYPERLINK is not implemented. linkLocation=https://365nails.com/products/disney-princess-ariel-under-the-sea-3d-embossed-nail-sticker, friendlyName=Disney Princess Ariel: "Under the Sea" – 3D Embossed Nail Sticker</x:v>
      </x:c>
      <x:c r="D7213" s="18" t="str">
        <x:v>Specification type: Td 023w</x:v>
      </x:c>
      <x:c r="E7213" s="25" t="str">
        <x:v>$1.23</x:v>
      </x:c>
      <x:c r="F7213" s="19" t="str">
        <x:v>5</x:v>
      </x:c>
    </x:row>
    <x:row r="7214" ht="93" customHeight="1">
      <x:c r="A7214" s="19" t="n">
        <x:v>7211</x:v>
      </x:c>
      <x:c r="B7214" s="22" t="e">
        <x:f>HYPERLINK("https://cdn.shopify.com/s/files/1/0918/6066/4603/files/O1CN01rIMZOJ1HlX6aMypPS__2545140798-0-cib.jpg?v=1773564052","Open")</x:f>
        <x:v>HYPERLINK is not implemented. linkLocation=https://cdn.shopify.com/s/files/1/0918/6066/4603/files/O1CN01rIMZOJ1HlX6aMypPS__2545140798-0-cib.jpg?v=1773564052, friendlyName=Open</x:v>
      </x:c>
      <x:c r="C7214" s="24" t="e">
        <x:f>HYPERLINK("https://365nails.com/products/wildflower-meadow-mixed-floral-3d-nail-sticker","Wildflower Meadow: ""Mixed Floral"" – 3D Nail Sticker")</x:f>
        <x:v>HYPERLINK is not implemented. linkLocation=https://365nails.com/products/wildflower-meadow-mixed-floral-3d-nail-sticker, friendlyName=Wildflower Meadow: "Mixed Floral" – 3D Nail Sticker</x:v>
      </x:c>
      <x:c r="D7214" s="18" t="str">
        <x:v>Specification type: To4544 / To4977</x:v>
      </x:c>
      <x:c r="E7214" s="25" t="str">
        <x:v>$1.09</x:v>
      </x:c>
      <x:c r="F7214" s="19" t="str">
        <x:v>5</x:v>
      </x:c>
    </x:row>
    <x:row r="7215" ht="93" customHeight="1">
      <x:c r="A7215" s="19" t="n">
        <x:v>7212</x:v>
      </x:c>
      <x:c r="B7215" s="22" t="e">
        <x:f>HYPERLINK("https://cdn.shopify.com/s/files/1/0918/6066/4603/files/O1CN01yi0y9K1HlWzokVDYF__2545140798-0-cib.jpg?v=1773563463","Open")</x:f>
        <x:v>HYPERLINK is not implemented. linkLocation=https://cdn.shopify.com/s/files/1/0918/6066/4603/files/O1CN01yi0y9K1HlWzokVDYF__2545140798-0-cib.jpg?v=1773563463, friendlyName=Open</x:v>
      </x:c>
      <x:c r="C7215" s="24" t="e">
        <x:f>HYPERLINK("https://365nails.com/products/holographic-crystal-butterfly-iridescent-clear-3d-nail-sticker","Holographic Crystal Butterfly: ""Iridescent Clear"" – 3D Nail Sticker")</x:f>
        <x:v>HYPERLINK is not implemented. linkLocation=https://365nails.com/products/holographic-crystal-butterfly-iridescent-clear-3d-nail-sticker, friendlyName=Holographic Crystal Butterfly: "Iridescent Clear" – 3D Nail Sticker</x:v>
      </x:c>
      <x:c r="D7215" s="18" t="str">
        <x:v>Specification type: Ms544-crystal diamond / Ms546-crystal diamond</x:v>
      </x:c>
      <x:c r="E7215" s="25" t="str">
        <x:v>$1.30</x:v>
      </x:c>
      <x:c r="F7215" s="19" t="str">
        <x:v>5</x:v>
      </x:c>
    </x:row>
    <x:row r="7216" ht="93" customHeight="1">
      <x:c r="A7216" s="19" t="n">
        <x:v>7213</x:v>
      </x:c>
      <x:c r="B7216" s="22" t="e">
        <x:f>HYPERLINK("https://cdn.shopify.com/s/files/1/0918/6066/4603/files/O1CN013ncjWr1HlWkPlecHL__2545140798-0-cib.jpg?v=1772951883","Open")</x:f>
        <x:v>HYPERLINK is not implemented. linkLocation=https://cdn.shopify.com/s/files/1/0918/6066/4603/files/O1CN013ncjWr1HlWkPlecHL__2545140798-0-cib.jpg?v=1772951883, friendlyName=Open</x:v>
      </x:c>
      <x:c r="C7216" s="24" t="e">
        <x:f>HYPERLINK("https://365nails.com/products/happy-smiles-cheerful-nail-art-accent-set","Happy Smiles – Cheerful Nail Art Accent Set")</x:f>
        <x:v>HYPERLINK is not implemented. linkLocation=https://365nails.com/products/happy-smiles-cheerful-nail-art-accent-set, friendlyName=Happy Smiles – Cheerful Nail Art Accent Set</x:v>
      </x:c>
      <x:c r="D7216" s="18" t="str">
        <x:v>Specification type: To503 relief / To505 relief / To541 relief</x:v>
      </x:c>
      <x:c r="E7216" s="25" t="str">
        <x:v>$1.23</x:v>
      </x:c>
      <x:c r="F7216" s="19" t="str">
        <x:v>5</x:v>
      </x:c>
    </x:row>
    <x:row r="7217" ht="93" customHeight="1">
      <x:c r="A7217" s="19" t="n">
        <x:v>7214</x:v>
      </x:c>
      <x:c r="B7217" s="22" t="e">
        <x:f>HYPERLINK("https://cdn.shopify.com/s/files/1/0918/6066/4603/files/O1CN01eYFELg1HlX2pqEtCo__2545140798-0-cib.jpg?v=1773753590","Open")</x:f>
        <x:v>HYPERLINK is not implemented. linkLocation=https://cdn.shopify.com/s/files/1/0918/6066/4603/files/O1CN01eYFELg1HlX2pqEtCo__2545140798-0-cib.jpg?v=1773753590, friendlyName=Open</x:v>
      </x:c>
      <x:c r="C7217" s="24" t="e">
        <x:f>HYPERLINK("https://365nails.com/products/hello-kitty-tulip-sweet-spring-embossed-nail-sticker","Hello Kitty &amp; Tulip: ""Sweet Spring"" – Embossed Nail Sticker")</x:f>
        <x:v>HYPERLINK is not implemented. linkLocation=https://365nails.com/products/hello-kitty-tulip-sweet-spring-embossed-nail-sticker, friendlyName=Hello Kitty &amp; Tulip: "Sweet Spring" – Embossed Nail Sticker</x:v>
      </x:c>
      <x:c r="D7217" s="18" t="str">
        <x:v>Specification type: To4403 / To4409 / To4421 / To4422 / To4445 / To4446 / To5464 / To5465</x:v>
      </x:c>
      <x:c r="E7217" s="25" t="str">
        <x:v>$1.09</x:v>
      </x:c>
      <x:c r="F7217" s="19" t="str">
        <x:v>5</x:v>
      </x:c>
    </x:row>
    <x:row r="7218" ht="93" customHeight="1">
      <x:c r="A7218" s="19" t="n">
        <x:v>7215</x:v>
      </x:c>
      <x:c r="B7218" s="22" t="e">
        <x:f>HYPERLINK("https://cdn.shopify.com/s/files/1/0918/6066/4603/files/O1CN01UKl80E1HlX6rKPqE1__2545140798-0-cib.jpg?v=1773564315","Open")</x:f>
        <x:v>HYPERLINK is not implemented. linkLocation=https://cdn.shopify.com/s/files/1/0918/6066/4603/files/O1CN01UKl80E1HlX6rKPqE1__2545140798-0-cib.jpg?v=1773564315, friendlyName=Open</x:v>
      </x:c>
      <x:c r="C7218" s="24" t="e">
        <x:f>HYPERLINK("https://365nails.com/products/disney-princess-jasmine-friends-3d-embossed-nail-sticker","Disney Princess: ""Jasmine &amp; Friends"" – 3D Embossed Nail Sticker")</x:f>
        <x:v>HYPERLINK is not implemented. linkLocation=https://365nails.com/products/disney-princess-jasmine-friends-3d-embossed-nail-sticker, friendlyName=Disney Princess: "Jasmine &amp; Friends" – 3D Embossed Nail Sticker</x:v>
      </x:c>
      <x:c r="D7218" s="18" t="str">
        <x:v>Specification type: Td 017w-1 / Td017w-2nd</x:v>
      </x:c>
      <x:c r="E7218" s="25" t="str">
        <x:v>$1.09</x:v>
      </x:c>
      <x:c r="F7218" s="19" t="str">
        <x:v>5</x:v>
      </x:c>
    </x:row>
    <x:row r="7219" ht="93" customHeight="1">
      <x:c r="A7219" s="19" t="n">
        <x:v>7216</x:v>
      </x:c>
      <x:c r="B7219" s="22" t="e">
        <x:f>HYPERLINK("https://cdn.shopify.com/s/files/1/0918/6066/4603/files/O1CN01NPdICI1HlWjTgJGRc__2545140798-0-cib.jpg?v=1772951570","Open")</x:f>
        <x:v>HYPERLINK is not implemented. linkLocation=https://cdn.shopify.com/s/files/1/0918/6066/4603/files/O1CN01NPdICI1HlWjTgJGRc__2545140798-0-cib.jpg?v=1772951570, friendlyName=Open</x:v>
      </x:c>
      <x:c r="C7219" s="24" t="e">
        <x:f>HYPERLINK("https://365nails.com/products/peach-fizz-sweet-nail-art-accent-set","Peach Fizz – Sweet Nail Art Accent Set")</x:f>
        <x:v>HYPERLINK is not implemented. linkLocation=https://365nails.com/products/peach-fizz-sweet-nail-art-accent-set, friendlyName=Peach Fizz – Sweet Nail Art Accent Set</x:v>
      </x:c>
      <x:c r="D7219" s="18" t="str">
        <x:v>Color: Ta601 embossed peach / Ta602 embossed cherry / Ta603 embossed peach</x:v>
      </x:c>
      <x:c r="E7219" s="25" t="str">
        <x:v>$1.23</x:v>
      </x:c>
      <x:c r="F7219" s="19" t="str">
        <x:v>5</x:v>
      </x:c>
    </x:row>
    <x:row r="7220" ht="93" customHeight="1">
      <x:c r="A7220" s="19" t="n">
        <x:v>7217</x:v>
      </x:c>
      <x:c r="B7220" s="22" t="e">
        <x:f>HYPERLINK("https://cdn.shopify.com/s/files/1/0918/6066/4603/files/O1CN01bVXA231HlX2HiNNb3__2545140798-0-cib.jpg?v=1773583140","Open")</x:f>
        <x:v>HYPERLINK is not implemented. linkLocation=https://cdn.shopify.com/s/files/1/0918/6066/4603/files/O1CN01bVXA231HlX2HiNNb3__2545140798-0-cib.jpg?v=1773583140, friendlyName=Open</x:v>
      </x:c>
      <x:c r="C7220" s="24" t="e">
        <x:f>HYPERLINK("https://365nails.com/products/hello-kitty-tulip-sweet-spring-3d-embossed-nail-sticker","Hello Kitty &amp; Tulip: ""Sweet Spring"" – 3D Embossed Nail Sticker")</x:f>
        <x:v>HYPERLINK is not implemented. linkLocation=https://365nails.com/products/hello-kitty-tulip-sweet-spring-3d-embossed-nail-sticker, friendlyName=Hello Kitty &amp; Tulip: "Sweet Spring" – 3D Embossed Nail Sticker</x:v>
      </x:c>
      <x:c r="D7220" s="18" t="str">
        <x:v>Specification type: Mn012-relief</x:v>
      </x:c>
      <x:c r="E7220" s="25" t="str">
        <x:v>$1.23</x:v>
      </x:c>
      <x:c r="F7220" s="19" t="str">
        <x:v>5</x:v>
      </x:c>
    </x:row>
    <x:row r="7221" ht="93" customHeight="1">
      <x:c r="A7221" s="19" t="n">
        <x:v>7218</x:v>
      </x:c>
      <x:c r="B7221" s="22" t="e">
        <x:f>HYPERLINK("https://cdn.shopify.com/s/files/1/0918/6066/4603/files/O1CN01qF33ao1HlXB68WGdX__2545140798-0-cib.jpg?v=1773580238","Open")</x:f>
        <x:v>HYPERLINK is not implemented. linkLocation=https://cdn.shopify.com/s/files/1/0918/6066/4603/files/O1CN01qF33ao1HlXB68WGdX__2545140798-0-cib.jpg?v=1773580238, friendlyName=Open</x:v>
      </x:c>
      <x:c r="C7221" s="24" t="e">
        <x:f>HYPERLINK("https://365nails.com/products/gorgeous-bear-love-forever-romance-3d-embossed-nail-sticker","tomoni贝壳光美甲贴纸爆款春季可爱指甲贴红围巾小熊装饰贴纸素材")</x:f>
        <x:v>HYPERLINK is not implemented. linkLocation=https://365nails.com/products/gorgeous-bear-love-forever-romance-3d-embossed-nail-sticker, friendlyName=tomoni贝壳光美甲贴纸爆款春季可爱指甲贴红围巾小熊装饰贴纸素材</x:v>
      </x:c>
      <x:c r="D7221" s="18" t="str">
        <x:v>Specification type: To5593-shell light</x:v>
      </x:c>
      <x:c r="E7221" s="25" t="str">
        <x:v>$1.23</x:v>
      </x:c>
      <x:c r="F7221" s="19" t="str">
        <x:v>5</x:v>
      </x:c>
    </x:row>
    <x:row r="7222" ht="93" customHeight="1">
      <x:c r="A7222" s="19" t="n">
        <x:v>7219</x:v>
      </x:c>
      <x:c r="B7222" s="22" t="e">
        <x:f>HYPERLINK("https://cdn.shopify.com/s/files/1/0918/6066/4603/files/O1CN01ZVVk9Y1HlX6gU5Fgc__2545140798-0-cib.jpg?v=1773564227","Open")</x:f>
        <x:v>HYPERLINK is not implemented. linkLocation=https://cdn.shopify.com/s/files/1/0918/6066/4603/files/O1CN01ZVVk9Y1HlX6gU5Fgc__2545140798-0-cib.jpg?v=1773564227, friendlyName=Open</x:v>
      </x:c>
      <x:c r="C7222" s="24" t="e">
        <x:f>HYPERLINK("https://365nails.com/products/holographic-goldfish-aquatic-moonlight-pond-3d-nail-sticker","Holographic Goldfish &amp; Aquatic: ""Moonlight Pond"" – 3D Nail Sticker")</x:f>
        <x:v>HYPERLINK is not implemented. linkLocation=https://365nails.com/products/holographic-goldfish-aquatic-moonlight-pond-3d-nail-sticker, friendlyName=Holographic Goldfish &amp; Aquatic: "Moonlight Pond" – 3D Nail Sticker</x:v>
      </x:c>
      <x:c r="D7222" s="18" t="str">
        <x:v>Specification type: To3964-shell light / To5029-shell light</x:v>
      </x:c>
      <x:c r="E7222" s="25" t="str">
        <x:v>$1.23</x:v>
      </x:c>
      <x:c r="F7222" s="19" t="str">
        <x:v>5</x:v>
      </x:c>
    </x:row>
    <x:row r="7223" ht="93" customHeight="1">
      <x:c r="A7223" s="19" t="n">
        <x:v>7220</x:v>
      </x:c>
      <x:c r="B7223" s="22" t="e">
        <x:f>HYPERLINK("https://cdn.shopify.com/s/files/1/0918/6066/4603/files/O1CN01EaTDvl1HlX4FHVXJ1__2545140798-0-cib.jpg?v=1773563671","Open")</x:f>
        <x:v>HYPERLINK is not implemented. linkLocation=https://cdn.shopify.com/s/files/1/0918/6066/4603/files/O1CN01EaTDvl1HlX4FHVXJ1__2545140798-0-cib.jpg?v=1773563671, friendlyName=Open</x:v>
      </x:c>
      <x:c r="C7223" s="24" t="e">
        <x:f>HYPERLINK("https://365nails.com/products/christmas-festive-santa-gingerbread-3d-nail-sticker","Christmas Festive: ""Santa &amp; Gingerbread"" – 3D Nail Sticker")</x:f>
        <x:v>HYPERLINK is not implemented. linkLocation=https://365nails.com/products/christmas-festive-santa-gingerbread-3d-nail-sticker, friendlyName=Christmas Festive: "Santa &amp; Gingerbread" – 3D Nail Sticker</x:v>
      </x:c>
      <x:c r="D7223" s="18" t="str">
        <x:v>Specification type: To4680-relief / To4687-relief</x:v>
      </x:c>
      <x:c r="E7223" s="25" t="str">
        <x:v>$1.23</x:v>
      </x:c>
      <x:c r="F7223" s="19" t="str">
        <x:v>5</x:v>
      </x:c>
    </x:row>
    <x:row r="7224" ht="93" customHeight="1">
      <x:c r="A7224" s="19" t="n">
        <x:v>7221</x:v>
      </x:c>
      <x:c r="B7224" s="22" t="e">
        <x:f>HYPERLINK("https://cdn.shopify.com/s/files/1/0918/6066/4603/files/e48c31b808140dbac46dacd7f7ccff07.jpg?v=1776413522","Open")</x:f>
        <x:v>HYPERLINK is not implemented. linkLocation=https://cdn.shopify.com/s/files/1/0918/6066/4603/files/e48c31b808140dbac46dacd7f7ccff07.jpg?v=1776413522, friendlyName=Open</x:v>
      </x:c>
      <x:c r="C7224" s="24" t="e">
        <x:f>HYPERLINK("https://365nails.com/products/365nails-one-piece-crew-anime-handmade-medium-almond-press-on-nails","365nails: ""One Piece Crew Anime"" – Handmade Medium Almond Press-On Nails")</x:f>
        <x:v>HYPERLINK is not implemented. linkLocation=https://365nails.com/products/365nails-one-piece-crew-anime-handmade-medium-almond-press-on-nails, friendlyName=365nails: "One Piece Crew Anime" – Handmade Medium Almond Press-On Nails</x:v>
      </x:c>
      <x:c r="D7224" s="18" t="str">
        <x:v>Size: XS / S / M</x:v>
      </x:c>
      <x:c r="E7224" s="25" t="str">
        <x:v>$3.49</x:v>
      </x:c>
      <x:c r="F7224" s="19" t="str">
        <x:v>5</x:v>
      </x:c>
    </x:row>
    <x:row r="7225" ht="93" customHeight="1">
      <x:c r="A7225" s="19" t="n">
        <x:v>7222</x:v>
      </x:c>
      <x:c r="B7225" s="22" t="e">
        <x:f>HYPERLINK("https://cdn.shopify.com/s/files/1/0918/6066/4603/files/O1CN01C7VHve1HlWnfTjAb2__2545140798-0-cib.jpg?v=1772953638","Open")</x:f>
        <x:v>HYPERLINK is not implemented. linkLocation=https://cdn.shopify.com/s/files/1/0918/6066/4603/files/O1CN01C7VHve1HlWnfTjAb2__2545140798-0-cib.jpg?v=1772953638, friendlyName=Open</x:v>
      </x:c>
      <x:c r="C7225" s="24" t="e">
        <x:f>HYPERLINK("https://365nails.com/products/blooming-petals-delicate-floral-nail-art-set","Blooming Petals – Delicate Floral Nail Art Set")</x:f>
        <x:v>HYPERLINK is not implemented. linkLocation=https://365nails.com/products/blooming-petals-delicate-floral-nail-art-set, friendlyName=Blooming Petals – Delicate Floral Nail Art Set</x:v>
      </x:c>
      <x:c r="D7225" s="18" t="str">
        <x:v>Specification type: To1300</x:v>
      </x:c>
      <x:c r="E7225" s="25" t="str">
        <x:v>$1.09</x:v>
      </x:c>
      <x:c r="F7225" s="19" t="str">
        <x:v>5</x:v>
      </x:c>
    </x:row>
    <x:row r="7226" ht="93" customHeight="1">
      <x:c r="A7226" s="19" t="n">
        <x:v>7223</x:v>
      </x:c>
      <x:c r="B7226" s="22" t="e">
        <x:f>HYPERLINK("https://cdn.shopify.com/s/files/1/0918/6066/4603/files/O1CN01DxX9cj1HlXB5tnC0G__2545140798-0-cib.jpg?v=1773584478","Open")</x:f>
        <x:v>HYPERLINK is not implemented. linkLocation=https://cdn.shopify.com/s/files/1/0918/6066/4603/files/O1CN01DxX9cj1HlXB5tnC0G__2545140798-0-cib.jpg?v=1773584478, friendlyName=Open</x:v>
      </x:c>
      <x:c r="C7226" s="24" t="e">
        <x:f>HYPERLINK("https://365nails.com/products/cute-owl-firework-sweet-celebration-crystal-diamond-nail-sticker","Cute Owl &amp; Firework: ""Sweet Celebration"" – Crystal Diamond Nail Sticker")</x:f>
        <x:v>HYPERLINK is not implemented. linkLocation=https://365nails.com/products/cute-owl-firework-sweet-celebration-crystal-diamond-nail-sticker, friendlyName=Cute Owl &amp; Firework: "Sweet Celebration" – Crystal Diamond Nail Sticker</x:v>
      </x:c>
      <x:c r="D7226" s="18" t="str">
        <x:v>Specification type: To5611-crystal diamond / To5612-crystal diamond</x:v>
      </x:c>
      <x:c r="E7226" s="25" t="str">
        <x:v>$1.34</x:v>
      </x:c>
      <x:c r="F7226" s="19" t="str">
        <x:v>5</x:v>
      </x:c>
    </x:row>
    <x:row r="7227" ht="93" customHeight="1">
      <x:c r="A7227" s="19" t="n">
        <x:v>7224</x:v>
      </x:c>
      <x:c r="B7227" s="22" t="e">
        <x:f>HYPERLINK("https://cdn.shopify.com/s/files/1/0918/6066/4603/files/9fccd42a6fc5cae0d9fc5933731b3483.jpg?v=1774078303","Open")</x:f>
        <x:v>HYPERLINK is not implemented. linkLocation=https://cdn.shopify.com/s/files/1/0918/6066/4603/files/9fccd42a6fc5cae0d9fc5933731b3483.jpg?v=1774078303, friendlyName=Open</x:v>
      </x:c>
      <x:c r="C7227" s="24" t="e">
        <x:f>HYPERLINK("https://365nails.com/products/cosmic-fatale-sacred-white-cross-long-sharp-stiletto-handmade-press-on-nails","Cosmic Fatale: ""Sacred White Cross"" – Long Sharp Stiletto Handmade Press On Nails")</x:f>
        <x:v>HYPERLINK is not implemented. linkLocation=https://365nails.com/products/cosmic-fatale-sacred-white-cross-long-sharp-stiletto-handmade-press-on-nails, friendlyName=Cosmic Fatale: "Sacred White Cross" – Long Sharp Stiletto Handmade Press On Nails</x:v>
      </x:c>
      <x:c r="D7227" s="18" t="str">
        <x:v>Size: XS / S / M / L</x:v>
      </x:c>
      <x:c r="E7227" s="25" t="str">
        <x:v>$3.99</x:v>
      </x:c>
      <x:c r="F7227" s="19" t="str">
        <x:v>5</x:v>
      </x:c>
    </x:row>
    <x:row r="7228" ht="93" customHeight="1">
      <x:c r="A7228" s="19" t="n">
        <x:v>7225</x:v>
      </x:c>
      <x:c r="B7228" s="22" t="e">
        <x:f>HYPERLINK("https://cdn.shopify.com/s/files/1/0918/6066/4603/files/O1CN01JANcal1HlWq90LSMK__2545140798-0-cib.jpg?v=1772953366","Open")</x:f>
        <x:v>HYPERLINK is not implemented. linkLocation=https://cdn.shopify.com/s/files/1/0918/6066/4603/files/O1CN01JANcal1HlWq90LSMK__2545140798-0-cib.jpg?v=1772953366, friendlyName=Open</x:v>
      </x:c>
      <x:c r="C7228" s="24" t="e">
        <x:f>HYPERLINK("https://365nails.com/products/pastel-plush-buddies-cute-nail-art-accent-set","Pastel Plush Buddies – Cute Nail Art Accent Set")</x:f>
        <x:v>HYPERLINK is not implemented. linkLocation=https://365nails.com/products/pastel-plush-buddies-cute-nail-art-accent-set, friendlyName=Pastel Plush Buddies – Cute Nail Art Accent Set</x:v>
      </x:c>
      <x:c r="D7228" s="18" t="str">
        <x:v>Specification type: To1070 / To1072 / To1016</x:v>
      </x:c>
      <x:c r="E7228" s="25" t="str">
        <x:v>$1.23</x:v>
      </x:c>
      <x:c r="F7228" s="19" t="str">
        <x:v>5</x:v>
      </x:c>
    </x:row>
    <x:row r="7229" ht="93" customHeight="1">
      <x:c r="A7229" s="19" t="n">
        <x:v>7226</x:v>
      </x:c>
      <x:c r="B7229" s="22" t="e">
        <x:f>HYPERLINK("https://cdn.shopify.com/s/files/1/0918/6066/4603/files/20a98bf549ea2a7995c767ab692139d1.jpg?v=1781018485","Open")</x:f>
        <x:v>HYPERLINK is not implemented. linkLocation=https://cdn.shopify.com/s/files/1/0918/6066/4603/files/20a98bf549ea2a7995c767ab692139d1.jpg?v=1781018485, friendlyName=Open</x:v>
      </x:c>
      <x:c r="C7229" s="24" t="e">
        <x:f>HYPERLINK("https://365nails.com/products/365nails-nude-jelly-silver-tiny-bead-minimal-simple-elegant-handmade-long-stiletto-nails","365nails: ""Nude Jelly Silver Tiny Bead Minimal"" – Simple Elegant Handmade Long Stiletto Nails")</x:f>
        <x:v>HYPERLINK is not implemented. linkLocation=https://365nails.com/products/365nails-nude-jelly-silver-tiny-bead-minimal-simple-elegant-handmade-long-stiletto-nails, friendlyName=365nails: "Nude Jelly Silver Tiny Bead Minimal" – Simple Elegant Handmade Long Stiletto Nails</x:v>
      </x:c>
      <x:c r="D7229" s="18" t="str">
        <x:v>Size: XS / S / M / L</x:v>
      </x:c>
      <x:c r="E7229" s="25" t="str">
        <x:v>$4.99</x:v>
      </x:c>
      <x:c r="F7229" s="19" t="str">
        <x:v>3</x:v>
      </x:c>
    </x:row>
    <x:row r="7230" ht="93" customHeight="1">
      <x:c r="A7230" s="19" t="n">
        <x:v>7227</x:v>
      </x:c>
      <x:c r="B7230" s="22" t="e">
        <x:f>HYPERLINK("https://cdn.shopify.com/s/files/1/0918/6066/4603/files/O1CN01Iut3KM1HlWnbsPs0q__2545140798-0-cib.jpg?v=1772953551","Open")</x:f>
        <x:v>HYPERLINK is not implemented. linkLocation=https://cdn.shopify.com/s/files/1/0918/6066/4603/files/O1CN01Iut3KM1HlWnbsPs0q__2545140798-0-cib.jpg?v=1772953551, friendlyName=Open</x:v>
      </x:c>
      <x:c r="C7230" s="24" t="e">
        <x:f>HYPERLINK("https://365nails.com/products/blush-rose-blooms-embossed-floral-nail-art-set","Blush Rose Blooms – Embossed Floral Nail Art Set")</x:f>
        <x:v>HYPERLINK is not implemented. linkLocation=https://365nails.com/products/blush-rose-blooms-embossed-floral-nail-art-set, friendlyName=Blush Rose Blooms – Embossed Floral Nail Art Set</x:v>
      </x:c>
      <x:c r="D7230" s="18" t="str">
        <x:v>Specification type: Ms 195 / Ms 196</x:v>
      </x:c>
      <x:c r="E7230" s="25" t="str">
        <x:v>$1.23</x:v>
      </x:c>
      <x:c r="F7230" s="19" t="str">
        <x:v>5</x:v>
      </x:c>
    </x:row>
    <x:row r="7231" ht="93" customHeight="1">
      <x:c r="A7231" s="19" t="n">
        <x:v>7228</x:v>
      </x:c>
      <x:c r="B7231" s="22" t="e">
        <x:f>HYPERLINK("https://cdn.shopify.com/s/files/1/0918/6066/4603/files/8d31569ca538fd0fa44b96b9ed639023.jpg?v=1775308111","Open")</x:f>
        <x:v>HYPERLINK is not implemented. linkLocation=https://cdn.shopify.com/s/files/1/0918/6066/4603/files/8d31569ca538fd0fa44b96b9ed639023.jpg?v=1775308111, friendlyName=Open</x:v>
      </x:c>
      <x:c r="C7231" s="24" t="e">
        <x:f>HYPERLINK("https://365nails.com/products/summer-bloom-dalmatian-orchid-long-stiletto-press-on-nails","Summer Bloom: ""Dalmatian Orchid"" – Long Stiletto Press-on Nails")</x:f>
        <x:v>HYPERLINK is not implemented. linkLocation=https://365nails.com/products/summer-bloom-dalmatian-orchid-long-stiletto-press-on-nails, friendlyName=Summer Bloom: "Dalmatian Orchid" – Long Stiletto Press-on Nails</x:v>
      </x:c>
      <x:c r="D7231" s="18" t="str">
        <x:v>Size: XS / S / M / L</x:v>
      </x:c>
      <x:c r="E7231" s="25" t="str">
        <x:v>$3.99</x:v>
      </x:c>
      <x:c r="F7231" s="19" t="str">
        <x:v>5</x:v>
      </x:c>
    </x:row>
    <x:row r="7232" ht="93" customHeight="1">
      <x:c r="A7232" s="19" t="n">
        <x:v>7229</x:v>
      </x:c>
      <x:c r="B7232" s="22" t="e">
        <x:f>HYPERLINK("https://cdn.shopify.com/s/files/1/0918/6066/4603/files/O1CN01Lalll61HlX59kJp3A__2545140798-0-cib.jpg?v=1773563770","Open")</x:f>
        <x:v>HYPERLINK is not implemented. linkLocation=https://cdn.shopify.com/s/files/1/0918/6066/4603/files/O1CN01Lalll61HlX59kJp3A__2545140798-0-cib.jpg?v=1773563770, friendlyName=Open</x:v>
      </x:c>
      <x:c r="C7232" s="24" t="e">
        <x:f>HYPERLINK("https://365nails.com/products/cute-puppy-chinese-new-year-miiiiichan-collaboration-3d-nail-sticker","Cute Puppy &amp; Chinese New Year: ""miiiiichan Collaboration"" – 3D Nail Sticker")</x:f>
        <x:v>HYPERLINK is not implemented. linkLocation=https://365nails.com/products/cute-puppy-chinese-new-year-miiiiichan-collaboration-3d-nail-sticker, friendlyName=Cute Puppy &amp; Chinese New Year: "miiiiichan Collaboration" – 3D Nail Sticker</x:v>
      </x:c>
      <x:c r="D7232" s="18" t="str">
        <x:v>Specification type: Mc55-relief / Mc57-relief</x:v>
      </x:c>
      <x:c r="E7232" s="25" t="str">
        <x:v>$1.30</x:v>
      </x:c>
      <x:c r="F7232" s="19" t="str">
        <x:v>5</x:v>
      </x:c>
    </x:row>
    <x:row r="7233" ht="93" customHeight="1">
      <x:c r="A7233" s="19" t="n">
        <x:v>7230</x:v>
      </x:c>
      <x:c r="B7233" s="22" t="e">
        <x:f>HYPERLINK("https://cdn.shopify.com/s/files/1/0918/6066/4603/files/107a6c806ae9a04c735918698033f097.jpg?v=1777786073","Open")</x:f>
        <x:v>HYPERLINK is not implemented. linkLocation=https://cdn.shopify.com/s/files/1/0918/6066/4603/files/107a6c806ae9a04c735918698033f097.jpg?v=1777786073, friendlyName=Open</x:v>
      </x:c>
      <x:c r="C7233" s="24" t="e">
        <x:f>HYPERLINK("https://365nails.com/products/365nails-hot-pink-rhinestone-long-handmade-long-trapezoid-press-on-nails","365nails: ""Hot Pink Rhinestone Long"" – Handmade Long Trapezoid Press-On Nails")</x:f>
        <x:v>HYPERLINK is not implemented. linkLocation=https://365nails.com/products/365nails-hot-pink-rhinestone-long-handmade-long-trapezoid-press-on-nails, friendlyName=365nails: "Hot Pink Rhinestone Long" – Handmade Long Trapezoid Press-On Nails</x:v>
      </x:c>
      <x:c r="D7233" s="18" t="str">
        <x:v>Size: XS / S / M / L</x:v>
      </x:c>
      <x:c r="E7233" s="25" t="str">
        <x:v>$4.49</x:v>
      </x:c>
      <x:c r="F7233" s="19" t="str">
        <x:v>5</x:v>
      </x:c>
    </x:row>
    <x:row r="7234" ht="93" customHeight="1">
      <x:c r="A7234" s="19" t="n">
        <x:v>7231</x:v>
      </x:c>
      <x:c r="B7234" s="22" t="e">
        <x:f>HYPERLINK("https://cdn.shopify.com/s/files/1/0918/6066/4603/files/O1CN01Hv0sha1HlWnjEOEQp__2545140798-0-cib.jpg?v=1772953075","Open")</x:f>
        <x:v>HYPERLINK is not implemented. linkLocation=https://cdn.shopify.com/s/files/1/0918/6066/4603/files/O1CN01Hv0sha1HlWnjEOEQp__2545140798-0-cib.jpg?v=1772953075, friendlyName=Open</x:v>
      </x:c>
      <x:c r="C7234" s="24" t="e">
        <x:f>HYPERLINK("https://365nails.com/products/gothic-crosses-edgy-nail-art-accent-set","Gothic Crosses – Edgy Nail Art Accent Set")</x:f>
        <x:v>HYPERLINK is not implemented. linkLocation=https://365nails.com/products/gothic-crosses-edgy-nail-art-accent-set, friendlyName=Gothic Crosses – Edgy Nail Art Accent Set</x:v>
      </x:c>
      <x:c r="D7234" s="18" t="str">
        <x:v>Specification type: To779 / To780 / To1370</x:v>
      </x:c>
      <x:c r="E7234" s="25" t="str">
        <x:v>$1.09</x:v>
      </x:c>
      <x:c r="F7234" s="19" t="str">
        <x:v>5</x:v>
      </x:c>
    </x:row>
    <x:row r="7235" ht="93" customHeight="1">
      <x:c r="A7235" s="19" t="n">
        <x:v>7232</x:v>
      </x:c>
      <x:c r="B7235" s="22" t="e">
        <x:f>HYPERLINK("https://cdn.shopify.com/s/files/1/0918/6066/4603/files/8b0872bce2ff4992c3571dec4db53daf.jpg?v=1777787623","Open")</x:f>
        <x:v>HYPERLINK is not implemented. linkLocation=https://cdn.shopify.com/s/files/1/0918/6066/4603/files/8b0872bce2ff4992c3571dec4db53daf.jpg?v=1777787623, friendlyName=Open</x:v>
      </x:c>
      <x:c r="C7235" s="24" t="e">
        <x:f>HYPERLINK("https://365nails.com/products/365nails-elegant-pink-white-flower-dot-long-handmade-long-stiletto-press-on-nails","365nails: ""Elegant Pink White Flower Dot Long"" – Handmade Long Stiletto Press-On Nails")</x:f>
        <x:v>HYPERLINK is not implemented. linkLocation=https://365nails.com/products/365nails-elegant-pink-white-flower-dot-long-handmade-long-stiletto-press-on-nails, friendlyName=365nails: "Elegant Pink White Flower Dot Long" – Handmade Long Stiletto Press-On Nails</x:v>
      </x:c>
      <x:c r="D7235" s="18" t="str">
        <x:v>Size: XS / S / M / L</x:v>
      </x:c>
      <x:c r="E7235" s="25" t="str">
        <x:v>$5.99</x:v>
      </x:c>
      <x:c r="F7235" s="19" t="str">
        <x:v>5</x:v>
      </x:c>
    </x:row>
    <x:row r="7236" ht="93" customHeight="1">
      <x:c r="A7236" s="19" t="n">
        <x:v>7233</x:v>
      </x:c>
      <x:c r="B7236" s="22" t="e">
        <x:f>HYPERLINK("https://cdn.shopify.com/s/files/1/0918/6066/4603/files/O1CN01GLdwn31HlX6KHHjMn__2545140798-0-cib.jpg?v=1773586202","Open")</x:f>
        <x:v>HYPERLINK is not implemented. linkLocation=https://cdn.shopify.com/s/files/1/0918/6066/4603/files/O1CN01GLdwn31HlX6KHHjMn__2545140798-0-cib.jpg?v=1773586202, friendlyName=Open</x:v>
      </x:c>
      <x:c r="C7236" s="24" t="e">
        <x:f>HYPERLINK("https://365nails.com/products/white-lily-flower-ethereal-bloom-5d-embossed-nail-sticker","White Lily Flower: ""Ethereal Bloom"" – 5D Embossed Nail Sticker")</x:f>
        <x:v>HYPERLINK is not implemented. linkLocation=https://365nails.com/products/white-lily-flower-ethereal-bloom-5d-embossed-nail-sticker, friendlyName=White Lily Flower: "Ethereal Bloom" – 5D Embossed Nail Sticker</x:v>
      </x:c>
      <x:c r="D7236" s="18" t="str">
        <x:v>Specification type: To4997 / To4999</x:v>
      </x:c>
      <x:c r="E7236" s="25" t="str">
        <x:v>$1.09</x:v>
      </x:c>
      <x:c r="F7236" s="19" t="str">
        <x:v>5</x:v>
      </x:c>
    </x:row>
    <x:row r="7237" ht="93" customHeight="1">
      <x:c r="A7237" s="19" t="n">
        <x:v>7234</x:v>
      </x:c>
      <x:c r="B7237" s="22" t="e">
        <x:f>HYPERLINK("https://cdn.shopify.com/s/files/1/0918/6066/4603/files/O1CN01Dsvf9f1HlWkNBgtbB__2545140798-0-cib.jpg?v=1772951985","Open")</x:f>
        <x:v>HYPERLINK is not implemented. linkLocation=https://cdn.shopify.com/s/files/1/0918/6066/4603/files/O1CN01Dsvf9f1HlWkNBgtbB__2545140798-0-cib.jpg?v=1772951985, friendlyName=Open</x:v>
      </x:c>
      <x:c r="C7237" s="24" t="e">
        <x:f>HYPERLINK("https://365nails.com/products/dark-art-dolls-gothic-nail-art-accent-set","Dark Art Dolls – Gothic Nail Art Accent Set")</x:f>
        <x:v>HYPERLINK is not implemented. linkLocation=https://365nails.com/products/dark-art-dolls-gothic-nail-art-accent-set, friendlyName=Dark Art Dolls – Gothic Nail Art Accent Set</x:v>
      </x:c>
      <x:c r="D7237" s="18" t="str">
        <x:v>Specification type: Dark 02 / Dark 03 / Dark 04 / Dark 05 / Dark 07 / Dark 08 / Handbook 01 / Handbook 02 / Handbook 06 / Handbook 07</x:v>
      </x:c>
      <x:c r="E7237" s="25" t="str">
        <x:v>$1.09</x:v>
      </x:c>
      <x:c r="F7237" s="19" t="str">
        <x:v>5</x:v>
      </x:c>
    </x:row>
    <x:row r="7238" ht="93" customHeight="1">
      <x:c r="A7238" s="19" t="n">
        <x:v>7235</x:v>
      </x:c>
      <x:c r="B7238" s="22" t="e">
        <x:f>HYPERLINK("https://cdn.shopify.com/s/files/1/0918/6066/4603/files/3baf937d49d0e9300e590a3205b7c882.jpg?v=1772973392","Open")</x:f>
        <x:v>HYPERLINK is not implemented. linkLocation=https://cdn.shopify.com/s/files/1/0918/6066/4603/files/3baf937d49d0e9300e590a3205b7c882.jpg?v=1772973392, friendlyName=Open</x:v>
      </x:c>
      <x:c r="C7238" s="24" t="e">
        <x:f>HYPERLINK("https://365nails.com/products/ink-wash-goldfish-chinese-style-nail-art-set","Ink Wash Goldfish – Chinese Style Nail Art Set")</x:f>
        <x:v>HYPERLINK is not implemented. linkLocation=https://365nails.com/products/ink-wash-goldfish-chinese-style-nail-art-set, friendlyName=Ink Wash Goldfish – Chinese Style Nail Art Set</x:v>
      </x:c>
      <x:c r="D7238" s="18" t="str">
        <x:v>Specification type: To5491-glitter / To5492-shell light</x:v>
      </x:c>
      <x:c r="E7238" s="25" t="str">
        <x:v>$1.23</x:v>
      </x:c>
      <x:c r="F7238" s="19" t="str">
        <x:v>5</x:v>
      </x:c>
    </x:row>
    <x:row r="7239" ht="93" customHeight="1">
      <x:c r="A7239" s="19" t="n">
        <x:v>7236</x:v>
      </x:c>
      <x:c r="B7239" s="22" t="e">
        <x:f>HYPERLINK("https://cdn.shopify.com/s/files/1/0918/6066/4603/files/O1CN01BzFjfF1HlWlSUcfin__2545140798-0-cib.jpg?v=1772951713","Open")</x:f>
        <x:v>HYPERLINK is not implemented. linkLocation=https://cdn.shopify.com/s/files/1/0918/6066/4603/files/O1CN01BzFjfF1HlWlSUcfin__2545140798-0-cib.jpg?v=1772951713, friendlyName=Open</x:v>
      </x:c>
      <x:c r="C7239" s="24" t="e">
        <x:f>HYPERLINK("https://365nails.com/products/care-bears-cuties-kawaii-nail-art-accent-set","Care Bears Cuties – Kawaii Nail Art Accent Set")</x:f>
        <x:v>HYPERLINK is not implemented. linkLocation=https://365nails.com/products/care-bears-cuties-kawaii-nail-art-accent-set, friendlyName=Care Bears Cuties – Kawaii Nail Art Accent Set</x:v>
      </x:c>
      <x:c r="D7239" s="18" t="str">
        <x:v>Specification type: To434 / To451 / To453</x:v>
      </x:c>
      <x:c r="E7239" s="25" t="str">
        <x:v>$1.09</x:v>
      </x:c>
      <x:c r="F7239" s="19" t="str">
        <x:v>5</x:v>
      </x:c>
    </x:row>
    <x:row r="7240" ht="93" customHeight="1">
      <x:c r="A7240" s="19" t="n">
        <x:v>7237</x:v>
      </x:c>
      <x:c r="B7240" s="22" t="e">
        <x:f>HYPERLINK("https://cdn.shopify.com/s/files/1/0918/6066/4603/files/df20ffa16bee294db9e9ac3eb1c5f310.jpg?v=1776415343","Open")</x:f>
        <x:v>HYPERLINK is not implemented. linkLocation=https://cdn.shopify.com/s/files/1/0918/6066/4603/files/df20ffa16bee294db9e9ac3eb1c5f310.jpg?v=1776415343, friendlyName=Open</x:v>
      </x:c>
      <x:c r="C7240" s="24" t="e">
        <x:f>HYPERLINK("https://365nails.com/products/365nails-detective-conan-shinichi-haibara-handmade-short-almond-press-on-nails","365nails: ""Detective Conan Shinichi &amp; Haibara"" – Handmade Short Almond Press-On Nails")</x:f>
        <x:v>HYPERLINK is not implemented. linkLocation=https://365nails.com/products/365nails-detective-conan-shinichi-haibara-handmade-short-almond-press-on-nails, friendlyName=365nails: "Detective Conan Shinichi &amp; Haibara" – Handmade Short Almond Press-On Nails</x:v>
      </x:c>
      <x:c r="D7240" s="18" t="str">
        <x:v>Size: XS / S / M</x:v>
      </x:c>
      <x:c r="E7240" s="25" t="str">
        <x:v>$3.49</x:v>
      </x:c>
      <x:c r="F7240" s="19" t="str">
        <x:v>5</x:v>
      </x:c>
    </x:row>
    <x:row r="7241" ht="93" customHeight="1">
      <x:c r="A7241" s="19" t="n">
        <x:v>7238</x:v>
      </x:c>
      <x:c r="B7241" s="22" t="e">
        <x:f>HYPERLINK("https://cdn.shopify.com/s/files/1/0918/6066/4603/files/O1CN01BfMFeS1HlX9HIxSgR__2545140798-0-cib.jpg?v=1773587179","Open")</x:f>
        <x:v>HYPERLINK is not implemented. linkLocation=https://cdn.shopify.com/s/files/1/0918/6066/4603/files/O1CN01BfMFeS1HlX9HIxSgR__2545140798-0-cib.jpg?v=1773587179, friendlyName=Open</x:v>
      </x:c>
      <x:c r="C7241" s="24" t="e">
        <x:f>HYPERLINK("https://365nails.com/products/autumn-bakery-bunny-cozy-harvest-5d-embossed-nail-sticker","Autumn Bakery &amp; Bunny: ""Cozy Harvest"" – 5D Embossed Nail Sticker")</x:f>
        <x:v>HYPERLINK is not implemented. linkLocation=https://365nails.com/products/autumn-bakery-bunny-cozy-harvest-5d-embossed-nail-sticker, friendlyName=Autumn Bakery &amp; Bunny: "Cozy Harvest" – 5D Embossed Nail Sticker</x:v>
      </x:c>
      <x:c r="D7241" s="18" t="str">
        <x:v>Specification type: To5316-relief / To5320-relief</x:v>
      </x:c>
      <x:c r="E7241" s="25" t="str">
        <x:v>$1.23</x:v>
      </x:c>
      <x:c r="F7241" s="19" t="str">
        <x:v>5</x:v>
      </x:c>
    </x:row>
    <x:row r="7242" ht="93" customHeight="1">
      <x:c r="A7242" s="19" t="n">
        <x:v>7239</x:v>
      </x:c>
      <x:c r="B7242" s="22" t="e">
        <x:f>HYPERLINK("https://cdn.shopify.com/s/files/1/0918/6066/4603/files/O1CN01Jgxb2p1HlWm4OWJsS__2545140798-0-cib.jpg?v=1772952868","Open")</x:f>
        <x:v>HYPERLINK is not implemented. linkLocation=https://cdn.shopify.com/s/files/1/0918/6066/4603/files/O1CN01Jgxb2p1HlWm4OWJsS__2545140798-0-cib.jpg?v=1772952868, friendlyName=Open</x:v>
      </x:c>
      <x:c r="C7242" s="24" t="e">
        <x:f>HYPERLINK("https://365nails.com/products/holographic-flames-y2k-nail-art-accent-set","Holographic Flames – Y2K Nail Art Accent Set")</x:f>
        <x:v>HYPERLINK is not implemented. linkLocation=https://365nails.com/products/holographic-flames-y2k-nail-art-accent-set, friendlyName=Holographic Flames – Y2K Nail Art Accent Set</x:v>
      </x:c>
      <x:c r="D7242" s="18" t="str">
        <x:v>Specification type: Ta66 new hot stamping / Ta66 new rose gold / Ta66 new laser silver / Ta182 silver</x:v>
      </x:c>
      <x:c r="E7242" s="25" t="str">
        <x:v>$1.23</x:v>
      </x:c>
      <x:c r="F7242" s="19" t="str">
        <x:v>5</x:v>
      </x:c>
    </x:row>
    <x:row r="7243" ht="93" customHeight="1">
      <x:c r="A7243" s="19" t="n">
        <x:v>7240</x:v>
      </x:c>
      <x:c r="B7243" s="22" t="e">
        <x:f>HYPERLINK("https://cdn.shopify.com/s/files/1/0918/6066/4603/files/519eaa2b111fc0e659b0b9f626b96ef0.jpg?v=1777554809","Open")</x:f>
        <x:v>HYPERLINK is not implemented. linkLocation=https://cdn.shopify.com/s/files/1/0918/6066/4603/files/519eaa2b111fc0e659b0b9f626b96ef0.jpg?v=1777554809, friendlyName=Open</x:v>
      </x:c>
      <x:c r="C7243" s="24" t="e">
        <x:f>HYPERLINK("https://365nails.com/products/365nails-wine-red-polka-dot-bow-handmade-medium-almond-press-on-nails","365nails: ""Wine Red Polka Dot Bow"" – Handmade Medium Almond Press-On Nails")</x:f>
        <x:v>HYPERLINK is not implemented. linkLocation=https://365nails.com/products/365nails-wine-red-polka-dot-bow-handmade-medium-almond-press-on-nails, friendlyName=365nails: "Wine Red Polka Dot Bow" – Handmade Medium Almond Press-On Nails</x:v>
      </x:c>
      <x:c r="D7243" s="18" t="str">
        <x:v>Size: XS / S / M / L</x:v>
      </x:c>
      <x:c r="E7243" s="25" t="str">
        <x:v>$4.99</x:v>
      </x:c>
      <x:c r="F7243" s="19" t="str">
        <x:v>5</x:v>
      </x:c>
    </x:row>
    <x:row r="7244" ht="93" customHeight="1">
      <x:c r="A7244" s="19" t="n">
        <x:v>7241</x:v>
      </x:c>
      <x:c r="B7244" s="22" t="e">
        <x:f>HYPERLINK("https://cdn.shopify.com/s/files/1/0918/6066/4603/files/f9682c27d4f95428b4f4b7ce63315013.jpg?v=1772974920","Open")</x:f>
        <x:v>HYPERLINK is not implemented. linkLocation=https://cdn.shopify.com/s/files/1/0918/6066/4603/files/f9682c27d4f95428b4f4b7ce63315013.jpg?v=1772974920, friendlyName=Open</x:v>
      </x:c>
      <x:c r="C7244" s="24" t="e">
        <x:f>HYPERLINK("https://365nails.com/products/pastel-party-mix-cute-dessert-bow-nail-art-set","Pastel Party Mix – Cute Dessert &amp; Bow Nail Art Set")</x:f>
        <x:v>HYPERLINK is not implemented. linkLocation=https://365nails.com/products/pastel-party-mix-cute-dessert-bow-nail-art-set, friendlyName=Pastel Party Mix – Cute Dessert &amp; Bow Nail Art Set</x:v>
      </x:c>
      <x:c r="D7244" s="18" t="str">
        <x:v>Specification type: To3601</x:v>
      </x:c>
      <x:c r="E7244" s="25" t="str">
        <x:v>$1.23</x:v>
      </x:c>
      <x:c r="F7244" s="19" t="str">
        <x:v>5</x:v>
      </x:c>
    </x:row>
    <x:row r="7245" ht="93" customHeight="1">
      <x:c r="A7245" s="19" t="n">
        <x:v>7242</x:v>
      </x:c>
      <x:c r="B7245" s="22" t="e">
        <x:f>HYPERLINK("https://cdn.shopify.com/s/files/1/0918/6066/4603/files/O1CN01Ebp5Pm1HlXAF2T1ZI__2545140798-0-cib.jpg?v=1773583662","Open")</x:f>
        <x:v>HYPERLINK is not implemented. linkLocation=https://cdn.shopify.com/s/files/1/0918/6066/4603/files/O1CN01Ebp5Pm1HlXAF2T1ZI__2545140798-0-cib.jpg?v=1773583662, friendlyName=Open</x:v>
      </x:c>
      <x:c r="C7245" s="24" t="e">
        <x:f>HYPERLINK("https://365nails.com/products/white-crescent-french-tip-soft-arch-5d-embossed-nail-sticker","White Crescent French Tip: ""Soft Arch"" – 5D Embossed Nail Sticker")</x:f>
        <x:v>HYPERLINK is not implemented. linkLocation=https://365nails.com/products/white-crescent-french-tip-soft-arch-5d-embossed-nail-sticker, friendlyName=White Crescent French Tip: "Soft Arch" – 5D Embossed Nail Sticker</x:v>
      </x:c>
      <x:c r="D7245" s="18" t="str">
        <x:v>Specification type: To5435-crystal diamond / To5461-crystal diamond</x:v>
      </x:c>
      <x:c r="E7245" s="25" t="str">
        <x:v>$1.34</x:v>
      </x:c>
      <x:c r="F7245" s="19" t="str">
        <x:v>5</x:v>
      </x:c>
    </x:row>
    <x:row r="7246" ht="93" customHeight="1">
      <x:c r="A7246" s="19" t="n">
        <x:v>7243</x:v>
      </x:c>
      <x:c r="B7246" s="22" t="e">
        <x:f>HYPERLINK("https://cdn.shopify.com/s/files/1/0918/6066/4603/files/O1CN013zeH8W1HlWkZSZ8Yq__2545140798-0-cib.jpg?v=1772952091","Open")</x:f>
        <x:v>HYPERLINK is not implemented. linkLocation=https://cdn.shopify.com/s/files/1/0918/6066/4603/files/O1CN013zeH8W1HlWkZSZ8Yq__2545140798-0-cib.jpg?v=1772952091, friendlyName=Open</x:v>
      </x:c>
      <x:c r="C7246" s="24" t="e">
        <x:f>HYPERLINK("https://365nails.com/products/dreamy-jellyfish-ocean-nail-art-accent-set","Dreamy Jellyfish – Ocean Nail Art Accent Set")</x:f>
        <x:v>HYPERLINK is not implemented. linkLocation=https://365nails.com/products/dreamy-jellyfish-ocean-nail-art-accent-set, friendlyName=Dreamy Jellyfish – Ocean Nail Art Accent Set</x:v>
      </x:c>
      <x:c r="D7246" s="18" t="str">
        <x:v>Specification type: Ta 60 / Ta61</x:v>
      </x:c>
      <x:c r="E7246" s="25" t="str">
        <x:v>$1.09</x:v>
      </x:c>
      <x:c r="F7246" s="19" t="str">
        <x:v>5</x:v>
      </x:c>
    </x:row>
    <x:row r="7247" ht="93" customHeight="1">
      <x:c r="A7247" s="19" t="n">
        <x:v>7244</x:v>
      </x:c>
      <x:c r="B7247" s="22" t="e">
        <x:f>HYPERLINK("https://cdn.shopify.com/s/files/1/0918/6066/4603/files/O1CN01cEexeE1HlWnqvxl4o__2545140798-0-cib.jpg?v=1772955184","Open")</x:f>
        <x:v>HYPERLINK is not implemented. linkLocation=https://cdn.shopify.com/s/files/1/0918/6066/4603/files/O1CN01cEexeE1HlWnqvxl4o__2545140798-0-cib.jpg?v=1772955184, friendlyName=Open</x:v>
      </x:c>
      <x:c r="C7247" s="24" t="e">
        <x:f>HYPERLINK("https://365nails.com/products/pikachu-spark-pokemon-nail-art-accent-set","Pikachu Spark – Pokémon Nail Art Accent Set")</x:f>
        <x:v>HYPERLINK is not implemented. linkLocation=https://365nails.com/products/pikachu-spark-pokemon-nail-art-accent-set, friendlyName=Pikachu Spark – Pokémon Nail Art Accent Set</x:v>
      </x:c>
      <x:c r="D7247" s="18" t="str">
        <x:v>Specification type: To1391 / To1388</x:v>
      </x:c>
      <x:c r="E7247" s="25" t="str">
        <x:v>$1.23</x:v>
      </x:c>
      <x:c r="F7247" s="19" t="str">
        <x:v>5</x:v>
      </x:c>
    </x:row>
    <x:row r="7248" ht="93" customHeight="1">
      <x:c r="A7248" s="19" t="n">
        <x:v>7245</x:v>
      </x:c>
      <x:c r="B7248" s="22" t="e">
        <x:f>HYPERLINK("https://cdn.shopify.com/s/files/1/0918/6066/4603/files/O1CN01O97U3w1HlXAGEkyO4__2545140798-0-cib.jpg?v=1773586131","Open")</x:f>
        <x:v>HYPERLINK is not implemented. linkLocation=https://cdn.shopify.com/s/files/1/0918/6066/4603/files/O1CN01O97U3w1HlXAGEkyO4__2545140798-0-cib.jpg?v=1773586131, friendlyName=Open</x:v>
      </x:c>
      <x:c r="C7248" s="24" t="e">
        <x:f>HYPERLINK("https://365nails.com/products/pearl-white-crescent-elegant-arch-5d-embossed-nail-sticker","Pearl White Crescent: ""Elegant Arch"" – 5D Embossed Nail Sticker")</x:f>
        <x:v>HYPERLINK is not implemented. linkLocation=https://365nails.com/products/pearl-white-crescent-elegant-arch-5d-embossed-nail-sticker, friendlyName=Pearl White Crescent: "Elegant Arch" – 5D Embossed Nail Sticker</x:v>
      </x:c>
      <x:c r="D7248" s="18" t="str">
        <x:v>Specification type: To4403-1 / To4409-1 / To4421-1 / To4422-1 / To4445-1 / To4446-1 / To5464-1 / To5465-1</x:v>
      </x:c>
      <x:c r="E7248" s="25" t="str">
        <x:v>$1.09</x:v>
      </x:c>
      <x:c r="F7248" s="19" t="str">
        <x:v>5</x:v>
      </x:c>
    </x:row>
    <x:row r="7249" ht="93" customHeight="1">
      <x:c r="A7249" s="19" t="n">
        <x:v>7246</x:v>
      </x:c>
      <x:c r="B7249" s="22" t="e">
        <x:f>HYPERLINK("https://cdn.shopify.com/s/files/1/0918/6066/4603/files/O1CN01gFKlbM1HlWnEz1jNP__2545140798-0-cib.jpg?v=1773753732","Open")</x:f>
        <x:v>HYPERLINK is not implemented. linkLocation=https://cdn.shopify.com/s/files/1/0918/6066/4603/files/O1CN01gFKlbM1HlWnEz1jNP__2545140798-0-cib.jpg?v=1773753732, friendlyName=Open</x:v>
      </x:c>
      <x:c r="C7249" s="24" t="e">
        <x:f>HYPERLINK("https://365nails.com/products/cute-pink-puffball-cute-nail-art-accent-set","Cute Pink Puffball – Cute Nail Art Accent Stickers")</x:f>
        <x:v>HYPERLINK is not implemented. linkLocation=https://365nails.com/products/cute-pink-puffball-cute-nail-art-accent-set, friendlyName=Cute Pink Puffball – Cute Nail Art Accent Stickers</x:v>
      </x:c>
      <x:c r="D7249" s="18" t="str">
        <x:v>Specification type: To1097</x:v>
      </x:c>
      <x:c r="E7249" s="25" t="str">
        <x:v>$1.23</x:v>
      </x:c>
      <x:c r="F7249" s="19" t="str">
        <x:v>5</x:v>
      </x:c>
    </x:row>
    <x:row r="7250" ht="93" customHeight="1">
      <x:c r="A7250" s="19" t="n">
        <x:v>7247</x:v>
      </x:c>
      <x:c r="B7250" s="22" t="e">
        <x:f>HYPERLINK("https://cdn.shopify.com/s/files/1/0918/6066/4603/files/O1CN01r9KuD11HlWtFnao8f__2545140798-0-cib.jpg?v=1773650628","Open")</x:f>
        <x:v>HYPERLINK is not implemented. linkLocation=https://cdn.shopify.com/s/files/1/0918/6066/4603/files/O1CN01r9KuD11HlWtFnao8f__2545140798-0-cib.jpg?v=1773650628, friendlyName=Open</x:v>
      </x:c>
      <x:c r="C7250" s="24" t="e">
        <x:f>HYPERLINK("https://365nails.com/products/pearl-rose-bow-elegant-monochrome-5d-embossed-nail-sticker","Pearl Rose &amp; Bow: ""Elegant Monochrome"" – 5D Embossed Nail Sticker")</x:f>
        <x:v>HYPERLINK is not implemented. linkLocation=https://365nails.com/products/pearl-rose-bow-elegant-monochrome-5d-embossed-nail-sticker, friendlyName=Pearl Rose &amp; Bow: "Elegant Monochrome" – 5D Embossed Nail Sticker</x:v>
      </x:c>
      <x:c r="D7250" s="18" t="str">
        <x:v>Specification type: To2892 / To2969</x:v>
      </x:c>
      <x:c r="E7250" s="25" t="str">
        <x:v>$1.30</x:v>
      </x:c>
      <x:c r="F7250" s="19" t="str">
        <x:v>5</x:v>
      </x:c>
    </x:row>
    <x:row r="7251" ht="93" customHeight="1">
      <x:c r="A7251" s="19" t="n">
        <x:v>7248</x:v>
      </x:c>
      <x:c r="B7251" s="22" t="e">
        <x:f>HYPERLINK("https://cdn.shopify.com/s/files/1/0918/6066/4603/files/O1CN01WQsMF91HlWpJmRZMQ__2545140798-0-cib.jpg?v=1772955797","Open")</x:f>
        <x:v>HYPERLINK is not implemented. linkLocation=https://cdn.shopify.com/s/files/1/0918/6066/4603/files/O1CN01WQsMF91HlWpJmRZMQ__2545140798-0-cib.jpg?v=1772955797, friendlyName=Open</x:v>
      </x:c>
      <x:c r="C7251" s="24" t="e">
        <x:f>HYPERLINK("https://365nails.com/products/white-dragon-elegant-chinese-nail-art-set","White Dragon – Elegant Chinese Nail Art Set")</x:f>
        <x:v>HYPERLINK is not implemented. linkLocation=https://365nails.com/products/white-dragon-elegant-chinese-nail-art-set, friendlyName=White Dragon – Elegant Chinese Nail Art Set</x:v>
      </x:c>
      <x:c r="D7251" s="18" t="str">
        <x:v>Specification type: To1778 / To1779</x:v>
      </x:c>
      <x:c r="E7251" s="25" t="str">
        <x:v>$1.23</x:v>
      </x:c>
      <x:c r="F7251" s="19" t="str">
        <x:v>5</x:v>
      </x:c>
    </x:row>
    <x:row r="7252" ht="93" customHeight="1">
      <x:c r="A7252" s="19" t="n">
        <x:v>7249</x:v>
      </x:c>
      <x:c r="B7252" s="22" t="e">
        <x:f>HYPERLINK("https://cdn.shopify.com/s/files/1/0918/6066/4603/files/65f54572abc97c618fe347c06315cc29.jpg?v=1777540553","Open")</x:f>
        <x:v>HYPERLINK is not implemented. linkLocation=https://cdn.shopify.com/s/files/1/0918/6066/4603/files/65f54572abc97c618fe347c06315cc29.jpg?v=1777540553, friendlyName=Open</x:v>
      </x:c>
      <x:c r="C7252" s="24" t="e">
        <x:f>HYPERLINK("https://365nails.com/products/365nails-dark-blue-gothic-handmade-medium-almond-press-on-nails","365nails: ""Dark Blue Gothic"" – Handmade Medium Almond Press-On Nails")</x:f>
        <x:v>HYPERLINK is not implemented. linkLocation=https://365nails.com/products/365nails-dark-blue-gothic-handmade-medium-almond-press-on-nails, friendlyName=365nails: "Dark Blue Gothic" – Handmade Medium Almond Press-On Nails</x:v>
      </x:c>
      <x:c r="D7252" s="18" t="str">
        <x:v>Size: XS / S / M / L</x:v>
      </x:c>
      <x:c r="E7252" s="25" t="str">
        <x:v>$2.99</x:v>
      </x:c>
      <x:c r="F7252" s="19" t="str">
        <x:v>5</x:v>
      </x:c>
    </x:row>
    <x:row r="7253" ht="93" customHeight="1">
      <x:c r="A7253" s="19" t="n">
        <x:v>7250</x:v>
      </x:c>
      <x:c r="B7253" s="22" t="e">
        <x:f>HYPERLINK("https://cdn.shopify.com/s/files/1/0918/6066/4603/files/bddfd0d16c42b57121198cd9c57434ed.jpg?v=1772955410","Open")</x:f>
        <x:v>HYPERLINK is not implemented. linkLocation=https://cdn.shopify.com/s/files/1/0918/6066/4603/files/bddfd0d16c42b57121198cd9c57434ed.jpg?v=1772955410, friendlyName=Open</x:v>
      </x:c>
      <x:c r="C7253" s="24" t="e">
        <x:f>HYPERLINK("https://365nails.com/products/pastel-crosses-soft-gothic-nail-art-accent-set","Pastel Crosses – Soft Gothic Nail Art Accent Set")</x:f>
        <x:v>HYPERLINK is not implemented. linkLocation=https://365nails.com/products/pastel-crosses-soft-gothic-nail-art-accent-set, friendlyName=Pastel Crosses – Soft Gothic Nail Art Accent Set</x:v>
      </x:c>
      <x:c r="D7253" s="18" t="str">
        <x:v>Specification type: To1463</x:v>
      </x:c>
      <x:c r="E7253" s="25" t="str">
        <x:v>$1.23</x:v>
      </x:c>
      <x:c r="F7253" s="19" t="str">
        <x:v>5</x:v>
      </x:c>
    </x:row>
    <x:row r="7254" ht="93" customHeight="1">
      <x:c r="A7254" s="19" t="n">
        <x:v>7251</x:v>
      </x:c>
      <x:c r="B7254" s="22" t="e">
        <x:f>HYPERLINK("https://cdn.shopify.com/s/files/1/0918/6066/4603/files/O1CN019agpGN1HlWzXuSO1w__2545140798-0-cib.jpg?v=1773584912","Open")</x:f>
        <x:v>HYPERLINK is not implemented. linkLocation=https://cdn.shopify.com/s/files/1/0918/6066/4603/files/O1CN019agpGN1HlWzXuSO1w__2545140798-0-cib.jpg?v=1773584912, friendlyName=Open</x:v>
      </x:c>
      <x:c r="C7254" s="24" t="e">
        <x:f>HYPERLINK("https://365nails.com/products/cute-rabbit-tulip-spring-fairy-tale-3d-embossed-nail-sticker","Cute Rabbit &amp; Tulip: ""Spring Fairy Tale"" – 3D Embossed Nail Sticker")</x:f>
        <x:v>HYPERLINK is not implemented. linkLocation=https://365nails.com/products/cute-rabbit-tulip-spring-fairy-tale-3d-embossed-nail-sticker, friendlyName=Cute Rabbit &amp; Tulip: "Spring Fairy Tale" – 3D Embossed Nail Sticker</x:v>
      </x:c>
      <x:c r="D7254" s="18" t="str">
        <x:v>Specification type: To3752-relief / To3754-relief</x:v>
      </x:c>
      <x:c r="E7254" s="25" t="str">
        <x:v>$1.23</x:v>
      </x:c>
      <x:c r="F7254" s="19" t="str">
        <x:v>5</x:v>
      </x:c>
    </x:row>
    <x:row r="7255" ht="93" customHeight="1">
      <x:c r="A7255" s="19" t="n">
        <x:v>7252</x:v>
      </x:c>
      <x:c r="B7255" s="22" t="e">
        <x:f>HYPERLINK("https://cdn.shopify.com/s/files/1/0918/6066/4603/files/O1CN019gg44F1HlWzia0W87__2545140798-0-cib.jpg?v=1773559299","Open")</x:f>
        <x:v>HYPERLINK is not implemented. linkLocation=https://cdn.shopify.com/s/files/1/0918/6066/4603/files/O1CN019gg44F1HlWzia0W87__2545140798-0-cib.jpg?v=1773559299, friendlyName=Open</x:v>
      </x:c>
      <x:c r="C7255" s="24" t="e">
        <x:f>HYPERLINK("https://365nails.com/products/monochrome-bow-black-white-3d-nail-sticker","Monochrome Bow: ""Black &amp; White"" – 3D Nail Sticker")</x:f>
        <x:v>HYPERLINK is not implemented. linkLocation=https://365nails.com/products/monochrome-bow-black-white-3d-nail-sticker, friendlyName=Monochrome Bow: "Black &amp; White" – 3D Nail Sticker</x:v>
      </x:c>
      <x:c r="D7255" s="18" t="str">
        <x:v>Specification type: To3775-relief / To3777-relief / To3778-shell light</x:v>
      </x:c>
      <x:c r="E7255" s="25" t="str">
        <x:v>$1.23</x:v>
      </x:c>
      <x:c r="F7255" s="19" t="str">
        <x:v>5</x:v>
      </x:c>
    </x:row>
    <x:row r="7256" ht="93" customHeight="1">
      <x:c r="A7256" s="19" t="n">
        <x:v>7253</x:v>
      </x:c>
      <x:c r="B7256" s="22" t="e">
        <x:f>HYPERLINK("https://cdn.shopify.com/s/files/1/0918/6066/4603/files/e4c5c041708e11a38b1edf97a3769e43.jpg?v=1772975130","Open")</x:f>
        <x:v>HYPERLINK is not implemented. linkLocation=https://cdn.shopify.com/s/files/1/0918/6066/4603/files/e4c5c041708e11a38b1edf97a3769e43.jpg?v=1772975130, friendlyName=Open</x:v>
      </x:c>
      <x:c r="C7256" s="24" t="e">
        <x:f>HYPERLINK("https://365nails.com/products/tiny-floral-dots-delicate-nail-art-set","Tiny Floral Dots – Delicate Nail Art Set")</x:f>
        <x:v>HYPERLINK is not implemented. linkLocation=https://365nails.com/products/tiny-floral-dots-delicate-nail-art-set, friendlyName=Tiny Floral Dots – Delicate Nail Art Set</x:v>
      </x:c>
      <x:c r="D7256" s="18" t="str">
        <x:v>Specification type: To3573 / To3580 / To3584</x:v>
      </x:c>
      <x:c r="E7256" s="25" t="str">
        <x:v>$1.23</x:v>
      </x:c>
      <x:c r="F7256" s="19" t="str">
        <x:v>5</x:v>
      </x:c>
    </x:row>
    <x:row r="7257" ht="93" customHeight="1">
      <x:c r="A7257" s="19" t="n">
        <x:v>7254</x:v>
      </x:c>
      <x:c r="B7257" s="22" t="e">
        <x:f>HYPERLINK("https://cdn.shopify.com/s/files/1/0918/6066/4603/files/9772434919798deda96ce2cf8b69821d.jpg?v=1775309284","Open")</x:f>
        <x:v>HYPERLINK is not implemented. linkLocation=https://cdn.shopify.com/s/files/1/0918/6066/4603/files/9772434919798deda96ce2cf8b69821d.jpg?v=1775309284, friendlyName=Open</x:v>
      </x:c>
      <x:c r="C7257" s="24" t="e">
        <x:f>HYPERLINK("https://365nails.com/products/sweet-bloom-pink-flower-leopard-long-coffin-press-on-nails","Sweet Bloom: ""Pink Flower Leopard"" – Long Coffin Press-on Nails")</x:f>
        <x:v>HYPERLINK is not implemented. linkLocation=https://365nails.com/products/sweet-bloom-pink-flower-leopard-long-coffin-press-on-nails, friendlyName=Sweet Bloom: "Pink Flower Leopard" – Long Coffin Press-on Nails</x:v>
      </x:c>
      <x:c r="D7257" s="18" t="str">
        <x:v>Size: XS / S / M / L</x:v>
      </x:c>
      <x:c r="E7257" s="25" t="str">
        <x:v>$3.99</x:v>
      </x:c>
      <x:c r="F7257" s="19" t="str">
        <x:v>5</x:v>
      </x:c>
    </x:row>
    <x:row r="7258" ht="93" customHeight="1">
      <x:c r="A7258" s="19" t="n">
        <x:v>7255</x:v>
      </x:c>
      <x:c r="B7258" s="22" t="e">
        <x:f>HYPERLINK("https://cdn.shopify.com/s/files/1/0918/6066/4603/files/O1CN01Fnfa9Y1HlWjjkPaPG__2545140798-0-cib.jpg?v=1773060812","Open")</x:f>
        <x:v>HYPERLINK is not implemented. linkLocation=https://cdn.shopify.com/s/files/1/0918/6066/4603/files/O1CN01Fnfa9Y1HlWjjkPaPG__2545140798-0-cib.jpg?v=1773060812, friendlyName=Open</x:v>
      </x:c>
      <x:c r="C7258" s="24" t="e">
        <x:f>HYPERLINK("https://365nails.com/products/smiley-daisy-playful-pop-nail-art-set","Smiley Daisy – Playful Pop Nail Art Set")</x:f>
        <x:v>HYPERLINK is not implemented. linkLocation=https://365nails.com/products/smiley-daisy-playful-pop-nail-art-set, friendlyName=Smiley Daisy – Playful Pop Nail Art Set</x:v>
      </x:c>
      <x:c r="D7258" s="18" t="str">
        <x:v>Specification type: Tomon471 / Tomon484 / Tomon491</x:v>
      </x:c>
      <x:c r="E7258" s="25" t="str">
        <x:v>$1.23</x:v>
      </x:c>
      <x:c r="F7258" s="19" t="str">
        <x:v>5</x:v>
      </x:c>
    </x:row>
    <x:row r="7259" ht="93" customHeight="1">
      <x:c r="A7259" s="19" t="n">
        <x:v>7256</x:v>
      </x:c>
      <x:c r="B7259" s="22" t="e">
        <x:f>HYPERLINK("https://cdn.shopify.com/s/files/1/0918/6066/4603/files/O1CN01mF4dfW1HlX1iNFrEh__2545140798-0-cib.jpg?v=1772975214","Open")</x:f>
        <x:v>HYPERLINK is not implemented. linkLocation=https://cdn.shopify.com/s/files/1/0918/6066/4603/files/O1CN01mF4dfW1HlX1iNFrEh__2545140798-0-cib.jpg?v=1772975214, friendlyName=Open</x:v>
      </x:c>
      <x:c r="C7259" s="24" t="e">
        <x:f>HYPERLINK("https://365nails.com/products/golden-bow-lace-elegant-french-nail-art-set","Golden Bow &amp; Lace – Elegant French Nail Art Set")</x:f>
        <x:v>HYPERLINK is not implemented. linkLocation=https://365nails.com/products/golden-bow-lace-elegant-french-nail-art-set, friendlyName=Golden Bow &amp; Lace – Elegant French Nail Art Set</x:v>
      </x:c>
      <x:c r="D7259" s="18" t="str">
        <x:v>Specification type: To4180-relief</x:v>
      </x:c>
      <x:c r="E7259" s="25" t="str">
        <x:v>$1.23</x:v>
      </x:c>
      <x:c r="F7259" s="19" t="str">
        <x:v>5</x:v>
      </x:c>
    </x:row>
    <x:row r="7260" ht="93" customHeight="1">
      <x:c r="A7260" s="19" t="n">
        <x:v>7257</x:v>
      </x:c>
      <x:c r="B7260" s="22" t="e">
        <x:f>HYPERLINK("https://cdn.shopify.com/s/files/1/0918/6066/4603/files/O1CN01f9Ekm91HlWvTC9rUn__2545140798-0-cib.jpg?v=1773633276","Open")</x:f>
        <x:v>HYPERLINK is not implemented. linkLocation=https://cdn.shopify.com/s/files/1/0918/6066/4603/files/O1CN01f9Ekm91HlWvTC9rUn__2545140798-0-cib.jpg?v=1773633276, friendlyName=Open</x:v>
      </x:c>
      <x:c r="C7260" s="24" t="e">
        <x:f>HYPERLINK("https://365nails.com/products/pastel-heart-star-sweet-y2k-5d-crystal-diamond-nail-sticker","Pastel Heart &amp; Star: ""Sweet Y2K"" – 5D Crystal Diamond Nail Sticker")</x:f>
        <x:v>HYPERLINK is not implemented. linkLocation=https://365nails.com/products/pastel-heart-star-sweet-y2k-5d-crystal-diamond-nail-sticker, friendlyName=Pastel Heart &amp; Star: "Sweet Y2K" – 5D Crystal Diamond Nail Sticker</x:v>
      </x:c>
      <x:c r="D7260" s="18" t="str">
        <x:v>Specification type: To3196 / To3197</x:v>
      </x:c>
      <x:c r="E7260" s="25" t="str">
        <x:v>$1.30</x:v>
      </x:c>
      <x:c r="F7260" s="19" t="str">
        <x:v>5</x:v>
      </x:c>
    </x:row>
    <x:row r="7261" ht="93" customHeight="1">
      <x:c r="A7261" s="19" t="n">
        <x:v>7258</x:v>
      </x:c>
      <x:c r="B7261" s="22" t="e">
        <x:f>HYPERLINK("https://cdn.shopify.com/s/files/1/0918/6066/4603/files/261e87158527f1c919566576a0ef0928.jpg?v=1773467198","Open")</x:f>
        <x:v>HYPERLINK is not implemented. linkLocation=https://cdn.shopify.com/s/files/1/0918/6066/4603/files/261e87158527f1c919566576a0ef0928.jpg?v=1773467198, friendlyName=Open</x:v>
      </x:c>
      <x:c r="C7261" s="24" t="e">
        <x:f>HYPERLINK("https://365nails.com/products/white-lace-orchid-collection-elegant-white-lace-orchid-moon-3d-embossed-nail-sticker","White Lace Orchid Collection: ""Elegant White Lace Orchid &amp; Moon"" – 3D Embossed Nail Sticker")</x:f>
        <x:v>HYPERLINK is not implemented. linkLocation=https://365nails.com/products/white-lace-orchid-collection-elegant-white-lace-orchid-moon-3d-embossed-nail-sticker, friendlyName=White Lace Orchid Collection: "Elegant White Lace Orchid &amp; Moon" – 3D Embossed Nail Sticker</x:v>
      </x:c>
      <x:c r="D7261" s="18" t="str">
        <x:v>Specification type: To5482-relief / To5618-relief</x:v>
      </x:c>
      <x:c r="E7261" s="25" t="str">
        <x:v>$1.23</x:v>
      </x:c>
      <x:c r="F7261" s="19" t="str">
        <x:v>5</x:v>
      </x:c>
    </x:row>
    <x:row r="7262" ht="93" customHeight="1">
      <x:c r="A7262" s="19" t="n">
        <x:v>7259</x:v>
      </x:c>
      <x:c r="B7262" s="22" t="e">
        <x:f>HYPERLINK("https://cdn.shopify.com/s/files/1/0918/6066/4603/files/6f99c671b9c198aa1081e06f514f5321.jpg?v=1772961865","Open")</x:f>
        <x:v>HYPERLINK is not implemented. linkLocation=https://cdn.shopify.com/s/files/1/0918/6066/4603/files/6f99c671b9c198aa1081e06f514f5321.jpg?v=1772961865, friendlyName=Open</x:v>
      </x:c>
      <x:c r="C7262" s="24" t="e">
        <x:f>HYPERLINK("https://365nails.com/products/bambis-forest-friends-nostalgic-nail-art-set","Bambi's Forest Friends – Nostalgic Nail Art Set")</x:f>
        <x:v>HYPERLINK is not implemented. linkLocation=https://365nails.com/products/bambis-forest-friends-nostalgic-nail-art-set, friendlyName=Bambi's Forest Friends – Nostalgic Nail Art Set</x:v>
      </x:c>
      <x:c r="D7262" s="18" t="str">
        <x:v>Specification type: To2147 / To2164</x:v>
      </x:c>
      <x:c r="E7262" s="25" t="str">
        <x:v>$1.23</x:v>
      </x:c>
      <x:c r="F7262" s="19" t="str">
        <x:v>5</x:v>
      </x:c>
    </x:row>
    <x:row r="7263" ht="93" customHeight="1">
      <x:c r="A7263" s="19" t="n">
        <x:v>7260</x:v>
      </x:c>
      <x:c r="B7263" s="22" t="e">
        <x:f>HYPERLINK("https://cdn.shopify.com/s/files/1/0918/6066/4603/files/O1CN01lIuuE71HlWoTWjOcc__2545140798-0-cib.jpg?v=1772968435","Open")</x:f>
        <x:v>HYPERLINK is not implemented. linkLocation=https://cdn.shopify.com/s/files/1/0918/6066/4603/files/O1CN01lIuuE71HlWoTWjOcc__2545140798-0-cib.jpg?v=1772968435, friendlyName=Open</x:v>
      </x:c>
      <x:c r="C7263" s="24" t="e">
        <x:f>HYPERLINK("https://365nails.com/products/sweet-pastel-plushies-kawaii-nail-art-set","Sweet Pastel Plushies – Kawaii Nail Art Set")</x:f>
        <x:v>HYPERLINK is not implemented. linkLocation=https://365nails.com/products/sweet-pastel-plushies-kawaii-nail-art-set, friendlyName=Sweet Pastel Plushies – Kawaii Nail Art Set</x:v>
      </x:c>
      <x:c r="D7263" s="18" t="str">
        <x:v>Specification type: To1481 / To1503</x:v>
      </x:c>
      <x:c r="E7263" s="25" t="str">
        <x:v>$1.23</x:v>
      </x:c>
      <x:c r="F7263" s="19" t="str">
        <x:v>5</x:v>
      </x:c>
    </x:row>
    <x:row r="7264" ht="93" customHeight="1">
      <x:c r="A7264" s="19" t="n">
        <x:v>7261</x:v>
      </x:c>
      <x:c r="B7264" s="22" t="e">
        <x:f>HYPERLINK("https://cdn.shopify.com/s/files/1/0918/6066/4603/files/8007ad703e9581861c703c84099f0508.jpg?v=1772972758","Open")</x:f>
        <x:v>HYPERLINK is not implemented. linkLocation=https://cdn.shopify.com/s/files/1/0918/6066/4603/files/8007ad703e9581861c703c84099f0508.jpg?v=1772972758, friendlyName=Open</x:v>
      </x:c>
      <x:c r="C7264" s="24" t="e">
        <x:f>HYPERLINK("https://365nails.com/products/embossed-magical-bows-cute-3d-nail-art-set","Embossed Magical Bows – Cute 3D Nail Art Set")</x:f>
        <x:v>HYPERLINK is not implemented. linkLocation=https://365nails.com/products/embossed-magical-bows-cute-3d-nail-art-set, friendlyName=Embossed Magical Bows – Cute 3D Nail Art Set</x:v>
      </x:c>
      <x:c r="D7264" s="18" t="str">
        <x:v>Specification type: To3350-diandian laser / To3351</x:v>
      </x:c>
      <x:c r="E7264" s="25" t="str">
        <x:v>$1.23</x:v>
      </x:c>
      <x:c r="F7264" s="19" t="str">
        <x:v>5</x:v>
      </x:c>
    </x:row>
    <x:row r="7265" ht="93" customHeight="1">
      <x:c r="A7265" s="19" t="n">
        <x:v>7262</x:v>
      </x:c>
      <x:c r="B7265" s="22" t="e">
        <x:f>HYPERLINK("https://cdn.shopify.com/s/files/1/0918/6066/4603/files/05f9f7addbab57e302574ba6d6a6cf59.jpg?v=1772961088","Open")</x:f>
        <x:v>HYPERLINK is not implemented. linkLocation=https://cdn.shopify.com/s/files/1/0918/6066/4603/files/05f9f7addbab57e302574ba6d6a6cf59.jpg?v=1772961088, friendlyName=Open</x:v>
      </x:c>
      <x:c r="C7265" s="24" t="e">
        <x:f>HYPERLINK("https://365nails.com/products/manjushaka-blooms-romantic-floral-nail-art-set-1","Manjushaka Blooms – Romantic Floral Nail Art Set")</x:f>
        <x:v>HYPERLINK is not implemented. linkLocation=https://365nails.com/products/manjushaka-blooms-romantic-floral-nail-art-set-1, friendlyName=Manjushaka Blooms – Romantic Floral Nail Art Set</x:v>
      </x:c>
      <x:c r="D7265" s="18" t="str">
        <x:v>Specification type: To2254 / To2272</x:v>
      </x:c>
      <x:c r="E7265" s="25" t="str">
        <x:v>$1.23</x:v>
      </x:c>
      <x:c r="F7265" s="19" t="str">
        <x:v>5</x:v>
      </x:c>
    </x:row>
    <x:row r="7266" ht="93" customHeight="1">
      <x:c r="A7266" s="19" t="n">
        <x:v>7263</x:v>
      </x:c>
      <x:c r="B7266" s="22" t="e">
        <x:f>HYPERLINK("https://cdn.shopify.com/s/files/1/0918/6066/4603/files/57fb31b5e3b488cbfbdbc05a2e19d6fe.jpg?v=1777554253","Open")</x:f>
        <x:v>HYPERLINK is not implemented. linkLocation=https://cdn.shopify.com/s/files/1/0918/6066/4603/files/57fb31b5e3b488cbfbdbc05a2e19d6fe.jpg?v=1777554253, friendlyName=Open</x:v>
      </x:c>
      <x:c r="C7266" s="24" t="e">
        <x:f>HYPERLINK("https://365nails.com/products/365nails-beige-gold-floral-handmade-medium-stiletto-press-on-nails","365nails: ""Beige &amp; Gold Floral"" – Handmade Medium Stiletto Press-On Nails")</x:f>
        <x:v>HYPERLINK is not implemented. linkLocation=https://365nails.com/products/365nails-beige-gold-floral-handmade-medium-stiletto-press-on-nails, friendlyName=365nails: "Beige &amp; Gold Floral" – Handmade Medium Stiletto Press-On Nails</x:v>
      </x:c>
      <x:c r="D7266" s="18" t="str">
        <x:v>Size: XS / S / M / L</x:v>
      </x:c>
      <x:c r="E7266" s="25" t="str">
        <x:v>$4.99</x:v>
      </x:c>
      <x:c r="F7266" s="19" t="str">
        <x:v>5</x:v>
      </x:c>
    </x:row>
    <x:row r="7267" ht="93" customHeight="1">
      <x:c r="A7267" s="19" t="n">
        <x:v>7264</x:v>
      </x:c>
      <x:c r="B7267" s="22" t="e">
        <x:f>HYPERLINK("https://cdn.shopify.com/s/files/1/0918/6066/4603/files/8bf7c0f50a37ac99b11de99dad7c090e.jpg?v=1773146687","Open")</x:f>
        <x:v>HYPERLINK is not implemented. linkLocation=https://cdn.shopify.com/s/files/1/0918/6066/4603/files/8bf7c0f50a37ac99b11de99dad7c090e.jpg?v=1773146687, friendlyName=Open</x:v>
      </x:c>
      <x:c r="C7267" s="24" t="e">
        <x:f>HYPERLINK("https://365nails.com/products/black-ribbon-bow-minimalist-gothic-nail-art-set","Black Ribbon Bow – Minimalist Gothic Nail Art Stickers")</x:f>
        <x:v>HYPERLINK is not implemented. linkLocation=https://365nails.com/products/black-ribbon-bow-minimalist-gothic-nail-art-set, friendlyName=Black Ribbon Bow – Minimalist Gothic Nail Art Stickers</x:v>
      </x:c>
      <x:c r="D7267" s="18" t="str">
        <x:v>Specification type: To4057 / To4058 / To4059</x:v>
      </x:c>
      <x:c r="E7267" s="25" t="str">
        <x:v>$1.09</x:v>
      </x:c>
      <x:c r="F7267" s="19" t="str">
        <x:v>5</x:v>
      </x:c>
    </x:row>
    <x:row r="7268" ht="93" customHeight="1">
      <x:c r="A7268" s="19" t="n">
        <x:v>7265</x:v>
      </x:c>
      <x:c r="B7268" s="22" t="e">
        <x:f>HYPERLINK("https://cdn.shopify.com/s/files/1/0918/6066/4603/files/03706ad4223ed03b4666f5b3d8b60e5a.jpg?v=1772961288","Open")</x:f>
        <x:v>HYPERLINK is not implemented. linkLocation=https://cdn.shopify.com/s/files/1/0918/6066/4603/files/03706ad4223ed03b4666f5b3d8b60e5a.jpg?v=1772961288, friendlyName=Open</x:v>
      </x:c>
      <x:c r="C7268" s="24" t="e">
        <x:f>HYPERLINK("https://365nails.com/products/dino-friends-playful-cartoon-nail-art-set","Dino Friends – Playful Cartoon Nail Art Set")</x:f>
        <x:v>HYPERLINK is not implemented. linkLocation=https://365nails.com/products/dino-friends-playful-cartoon-nail-art-set, friendlyName=Dino Friends – Playful Cartoon Nail Art Set</x:v>
      </x:c>
      <x:c r="D7268" s="18" t="str">
        <x:v>Specification type: To2364 / To2366</x:v>
      </x:c>
      <x:c r="E7268" s="25" t="str">
        <x:v>$1.09</x:v>
      </x:c>
      <x:c r="F7268" s="19" t="str">
        <x:v>5</x:v>
      </x:c>
    </x:row>
    <x:row r="7269" ht="93" customHeight="1">
      <x:c r="A7269" s="19" t="n">
        <x:v>7266</x:v>
      </x:c>
      <x:c r="B7269" s="22" t="e">
        <x:f>HYPERLINK("https://cdn.shopify.com/s/files/1/0918/6066/4603/files/O1CN01mcCNyE1HlX8AZ0z0O__2545140798-0-cib.jpg?v=1773650013","Open")</x:f>
        <x:v>HYPERLINK is not implemented. linkLocation=https://cdn.shopify.com/s/files/1/0918/6066/4603/files/O1CN01mcCNyE1HlX8AZ0z0O__2545140798-0-cib.jpg?v=1773650013, friendlyName=Open</x:v>
      </x:c>
      <x:c r="C7269" s="24" t="e">
        <x:f>HYPERLINK("https://365nails.com/products/sweet-animal-bakery-cute-pet-cafe-5d-embossed-nail-sticker","Sweet Animal Bakery: ""Cute Pet Cafe"" – 5D Embossed Nail Sticker")</x:f>
        <x:v>HYPERLINK is not implemented. linkLocation=https://365nails.com/products/sweet-animal-bakery-cute-pet-cafe-5d-embossed-nail-sticker, friendlyName=Sweet Animal Bakery: "Cute Pet Cafe" – 5D Embossed Nail Sticker</x:v>
      </x:c>
      <x:c r="D7269" s="18" t="str">
        <x:v>Specification type: To5097-relief / To5124-relief</x:v>
      </x:c>
      <x:c r="E7269" s="25" t="str">
        <x:v>$1.23</x:v>
      </x:c>
      <x:c r="F7269" s="19" t="str">
        <x:v>5</x:v>
      </x:c>
    </x:row>
    <x:row r="7270" ht="93" customHeight="1">
      <x:c r="A7270" s="19" t="n">
        <x:v>7267</x:v>
      </x:c>
      <x:c r="B7270" s="22" t="e">
        <x:f>HYPERLINK("https://cdn.shopify.com/s/files/1/0918/6066/4603/files/O1CN01kYUHre1HlWwzpE8uo__2545140798-0-cib.jpg?v=1772973005","Open")</x:f>
        <x:v>HYPERLINK is not implemented. linkLocation=https://cdn.shopify.com/s/files/1/0918/6066/4603/files/O1CN01kYUHre1HlWwzpE8uo__2545140798-0-cib.jpg?v=1772973005, friendlyName=Open</x:v>
      </x:c>
      <x:c r="C7270" s="24" t="e">
        <x:f>HYPERLINK("https://365nails.com/products/cute-pet-party-adorable-animal-nail-art-set","Cute Pet Party – Adorable Animal Nail Art Set")</x:f>
        <x:v>HYPERLINK is not implemented. linkLocation=https://365nails.com/products/cute-pet-party-adorable-animal-nail-art-set, friendlyName=Cute Pet Party – Adorable Animal Nail Art Set</x:v>
      </x:c>
      <x:c r="D7270" s="18" t="str">
        <x:v>Specification type: To3445 / To3479</x:v>
      </x:c>
      <x:c r="E7270" s="25" t="str">
        <x:v>$1.23</x:v>
      </x:c>
      <x:c r="F7270" s="19" t="str">
        <x:v>5</x:v>
      </x:c>
    </x:row>
    <x:row r="7271" ht="93" customHeight="1">
      <x:c r="A7271" s="19" t="n">
        <x:v>7268</x:v>
      </x:c>
      <x:c r="B7271" s="22" t="e">
        <x:f>HYPERLINK("https://cdn.shopify.com/s/files/1/0918/6066/4603/files/e0dc252c453a5ca24a9c23a63945abc9.jpg?v=1772960983","Open")</x:f>
        <x:v>HYPERLINK is not implemented. linkLocation=https://cdn.shopify.com/s/files/1/0918/6066/4603/files/e0dc252c453a5ca24a9c23a63945abc9.jpg?v=1772960983, friendlyName=Open</x:v>
      </x:c>
      <x:c r="C7271" s="24" t="e">
        <x:f>HYPERLINK("https://365nails.com/products/manjushaka-blooms-romantic-floral-nail-art-set","Manjushaka Blooms – Romantic Floral Nail Art Set")</x:f>
        <x:v>HYPERLINK is not implemented. linkLocation=https://365nails.com/products/manjushaka-blooms-romantic-floral-nail-art-set, friendlyName=Manjushaka Blooms – Romantic Floral Nail Art Set</x:v>
      </x:c>
      <x:c r="D7271" s="18" t="str">
        <x:v>Specification type: To2255 / To2273</x:v>
      </x:c>
      <x:c r="E7271" s="25" t="str">
        <x:v>$1.09</x:v>
      </x:c>
      <x:c r="F7271" s="19" t="str">
        <x:v>5</x:v>
      </x:c>
    </x:row>
    <x:row r="7272" ht="93" customHeight="1">
      <x:c r="A7272" s="19" t="n">
        <x:v>7269</x:v>
      </x:c>
      <x:c r="B7272" s="22" t="e">
        <x:f>HYPERLINK("https://cdn.shopify.com/s/files/1/0918/6066/4603/files/O1CN01CakB2K1HlX4P9HT8K__2545140798-0-cib.jpg?v=1773840082","Open")</x:f>
        <x:v>HYPERLINK is not implemented. linkLocation=https://cdn.shopify.com/s/files/1/0918/6066/4603/files/O1CN01CakB2K1HlX4P9HT8K__2545140798-0-cib.jpg?v=1773840082, friendlyName=Open</x:v>
      </x:c>
      <x:c r="C7272" s="24" t="e">
        <x:f>HYPERLINK("https://365nails.com/products/holographic-mini-bow-iridescent-tiny-bow-5d-embossed-nail-sticker","Holographic Mini Bow: ""Iridescent Tiny Bow"" – 5D Embossed Nail Sticker")</x:f>
        <x:v>HYPERLINK is not implemented. linkLocation=https://365nails.com/products/holographic-mini-bow-iridescent-tiny-bow-5d-embossed-nail-sticker, friendlyName=Holographic Mini Bow: "Iridescent Tiny Bow" – 5D Embossed Nail Sticker</x:v>
      </x:c>
      <x:c r="D7272" s="18" t="str">
        <x:v>Specification type: To4703-rose gold / To4703-glitter / To4703-flash silver / To4703-new hot stamping / To4703-silver</x:v>
      </x:c>
      <x:c r="E7272" s="25" t="str">
        <x:v>$1.23</x:v>
      </x:c>
      <x:c r="F7272" s="19" t="str">
        <x:v>5</x:v>
      </x:c>
    </x:row>
    <x:row r="7273" ht="93" customHeight="1">
      <x:c r="A7273" s="19" t="n">
        <x:v>7270</x:v>
      </x:c>
      <x:c r="B7273" s="22" t="e">
        <x:f>HYPERLINK("https://cdn.shopify.com/s/files/1/0918/6066/4603/files/O1CN01chRJva1HlX2PybtOh__2545140798-0-cib_459e5b93-520e-4778-b15f-19c93313fd06.jpg?v=1775453806","Open")</x:f>
        <x:v>HYPERLINK is not implemented. linkLocation=https://cdn.shopify.com/s/files/1/0918/6066/4603/files/O1CN01chRJva1HlX2PybtOh__2545140798-0-cib_459e5b93-520e-4778-b15f-19c93313fd06.jpg?v=1775453806, friendlyName=Open</x:v>
      </x:c>
      <x:c r="C7273" s="24" t="e">
        <x:f>HYPERLINK("https://365nails.com/products/365nails-holographic-floral-charm-handmade-press-on-nails","365nails: ""Holographic Floral Charm"" – Nail Art Stickers")</x:f>
        <x:v>HYPERLINK is not implemented. linkLocation=https://365nails.com/products/365nails-holographic-floral-charm-handmade-press-on-nails, friendlyName=365nails: "Holographic Floral Charm" – Nail Art Stickers</x:v>
      </x:c>
      <x:c r="D7273" s="18" t="str">
        <x:v>Specification type: To4213-shell light / To4263-new hot stamping</x:v>
      </x:c>
      <x:c r="E7273" s="25" t="str">
        <x:v>$1.23</x:v>
      </x:c>
      <x:c r="F7273" s="19" t="str">
        <x:v>5</x:v>
      </x:c>
    </x:row>
    <x:row r="7274" ht="93" customHeight="1">
      <x:c r="A7274" s="19" t="n">
        <x:v>7271</x:v>
      </x:c>
      <x:c r="B7274" s="22" t="e">
        <x:f>HYPERLINK("https://cdn.shopify.com/s/files/1/0918/6066/4603/files/O1CN01O0nqf31HlWzxfQ2vo__2545140798-0-cib.jpg?v=1773559377","Open")</x:f>
        <x:v>HYPERLINK is not implemented. linkLocation=https://cdn.shopify.com/s/files/1/0918/6066/4603/files/O1CN01O0nqf31HlWzxfQ2vo__2545140798-0-cib.jpg?v=1773559377, friendlyName=Open</x:v>
      </x:c>
      <x:c r="C7274" s="24" t="e">
        <x:f>HYPERLINK("https://365nails.com/products/sheer-tulle-bow-clear-white-3d-nail-sticker","Sheer Tulle Bow: ""Clear White"" – 3D Nail Sticker")</x:f>
        <x:v>HYPERLINK is not implemented. linkLocation=https://365nails.com/products/sheer-tulle-bow-clear-white-3d-nail-sticker, friendlyName=Sheer Tulle Bow: "Clear White" – 3D Nail Sticker</x:v>
      </x:c>
      <x:c r="D7274" s="18" t="str">
        <x:v>Specification type: Ta304-relief / Ta305-relief / Ta306-relief</x:v>
      </x:c>
      <x:c r="E7274" s="25" t="str">
        <x:v>$1.23</x:v>
      </x:c>
      <x:c r="F7274" s="19" t="str">
        <x:v>5</x:v>
      </x:c>
    </x:row>
    <x:row r="7275" ht="93" customHeight="1">
      <x:c r="A7275" s="19" t="n">
        <x:v>7272</x:v>
      </x:c>
      <x:c r="B7275" s="22" t="e">
        <x:f>HYPERLINK("https://cdn.shopify.com/s/files/1/0918/6066/4603/files/8f58ff321523a889c5567cc8f2291e3f.jpg?v=1772961673","Open")</x:f>
        <x:v>HYPERLINK is not implemented. linkLocation=https://cdn.shopify.com/s/files/1/0918/6066/4603/files/8f58ff321523a889c5567cc8f2291e3f.jpg?v=1772961673, friendlyName=Open</x:v>
      </x:c>
      <x:c r="C7275" s="24" t="e">
        <x:f>HYPERLINK("https://365nails.com/products/kirbys-sweet-adventure-playful-nail-art-set","Kirby's Sweet Adventure – Playful Nail Art Set")</x:f>
        <x:v>HYPERLINK is not implemented. linkLocation=https://365nails.com/products/kirbys-sweet-adventure-playful-nail-art-set, friendlyName=Kirby's Sweet Adventure – Playful Nail Art Set</x:v>
      </x:c>
      <x:c r="D7275" s="18" t="str">
        <x:v>Specification type: To2072</x:v>
      </x:c>
      <x:c r="E7275" s="25" t="str">
        <x:v>$1.23</x:v>
      </x:c>
      <x:c r="F7275" s="19" t="str">
        <x:v>5</x:v>
      </x:c>
    </x:row>
    <x:row r="7276" ht="93" customHeight="1">
      <x:c r="A7276" s="19" t="n">
        <x:v>7273</x:v>
      </x:c>
      <x:c r="B7276" s="22" t="e">
        <x:f>HYPERLINK("https://cdn.shopify.com/s/files/1/0918/6066/4603/files/O1CN01jTv1jB1HlWrGEUOCR__2545140798-0-cib.jpg?v=1772962245","Open")</x:f>
        <x:v>HYPERLINK is not implemented. linkLocation=https://cdn.shopify.com/s/files/1/0918/6066/4603/files/O1CN01jTv1jB1HlWrGEUOCR__2545140798-0-cib.jpg?v=1772962245, friendlyName=Open</x:v>
      </x:c>
      <x:c r="C7276" s="24" t="e">
        <x:f>HYPERLINK("https://365nails.com/products/dark-rabbit-skull-gothic-fusion-nail-art-set","Dark Rabbit Skull – Gothic Fusion Nail Art Set")</x:f>
        <x:v>HYPERLINK is not implemented. linkLocation=https://365nails.com/products/dark-rabbit-skull-gothic-fusion-nail-art-set, friendlyName=Dark Rabbit Skull – Gothic Fusion Nail Art Set</x:v>
      </x:c>
      <x:c r="D7276" s="18" t="str">
        <x:v>Specification type: Ms 295 / To2577 / To2579</x:v>
      </x:c>
      <x:c r="E7276" s="25" t="str">
        <x:v>$1.09</x:v>
      </x:c>
      <x:c r="F7276" s="19" t="str">
        <x:v>5</x:v>
      </x:c>
    </x:row>
    <x:row r="7277" ht="93" customHeight="1">
      <x:c r="A7277" s="19" t="n">
        <x:v>7274</x:v>
      </x:c>
      <x:c r="B7277" s="22" t="e">
        <x:f>HYPERLINK("https://cdn.shopify.com/s/files/1/0918/6066/4603/files/b04f9ff7ce9a7acb83e7c44346c48e4b.jpg?v=1773467689","Open")</x:f>
        <x:v>HYPERLINK is not implemented. linkLocation=https://cdn.shopify.com/s/files/1/0918/6066/4603/files/b04f9ff7ce9a7acb83e7c44346c48e4b.jpg?v=1773467689, friendlyName=Open</x:v>
      </x:c>
      <x:c r="C7277" s="24" t="e">
        <x:f>HYPERLINK("https://365nails.com/products/strawberry-dessert-collection-strawberry-cherry-cake-3d-embossed-nail-sticker","Strawberry Dessert Collection: ""Strawberry &amp; Cherry Cake"" – 3D Embossed Nail Sticker")</x:f>
        <x:v>HYPERLINK is not implemented. linkLocation=https://365nails.com/products/strawberry-dessert-collection-strawberry-cherry-cake-3d-embossed-nail-sticker, friendlyName=Strawberry Dessert Collection: "Strawberry &amp; Cherry Cake" – 3D Embossed Nail Sticker</x:v>
      </x:c>
      <x:c r="D7277" s="18" t="str">
        <x:v>Specification type: Ta307-jelly / Ta308-jelly / Ta309-jelly</x:v>
      </x:c>
      <x:c r="E7277" s="25" t="str">
        <x:v>$1.23</x:v>
      </x:c>
      <x:c r="F7277" s="19" t="str">
        <x:v>5</x:v>
      </x:c>
    </x:row>
    <x:row r="7278" ht="93" customHeight="1">
      <x:c r="A7278" s="19" t="n">
        <x:v>7275</x:v>
      </x:c>
      <x:c r="B7278" s="22" t="e">
        <x:f>HYPERLINK("https://cdn.shopify.com/s/files/1/0918/6066/4603/files/8b285b490c39d625d13f882be130eae2.jpg?v=1772971198","Open")</x:f>
        <x:v>HYPERLINK is not implemented. linkLocation=https://cdn.shopify.com/s/files/1/0918/6066/4603/files/8b285b490c39d625d13f882be130eae2.jpg?v=1772971198, friendlyName=Open</x:v>
      </x:c>
      <x:c r="C7278" s="24" t="e">
        <x:f>HYPERLINK("https://365nails.com/products/rainbow-heart-star-y2k-iridescent-nail-art-set","Rainbow Heart &amp; Star – Y2K Iridescent Nail Art Set")</x:f>
        <x:v>HYPERLINK is not implemented. linkLocation=https://365nails.com/products/rainbow-heart-star-y2k-iridescent-nail-art-set, friendlyName=Rainbow Heart &amp; Star – Y2K Iridescent Nail Art Set</x:v>
      </x:c>
      <x:c r="D7278" s="18" t="str">
        <x:v>Specification type: To2351 / To2355</x:v>
      </x:c>
      <x:c r="E7278" s="25" t="str">
        <x:v>$1.23</x:v>
      </x:c>
      <x:c r="F7278" s="19" t="str">
        <x:v>5</x:v>
      </x:c>
    </x:row>
    <x:row r="7279" ht="93" customHeight="1">
      <x:c r="A7279" s="19" t="n">
        <x:v>7276</x:v>
      </x:c>
      <x:c r="B7279" s="22" t="e">
        <x:f>HYPERLINK("https://cdn.shopify.com/s/files/1/0918/6066/4603/files/38266115faa46ebc41d7d054c9a927d0.jpg?v=1772974225","Open")</x:f>
        <x:v>HYPERLINK is not implemented. linkLocation=https://cdn.shopify.com/s/files/1/0918/6066/4603/files/38266115faa46ebc41d7d054c9a927d0.jpg?v=1772974225, friendlyName=Open</x:v>
      </x:c>
      <x:c r="C7279" s="24" t="e">
        <x:f>HYPERLINK("https://365nails.com/products/crimson-butterfly-gothic-dark-nail-art-set","Crimson Butterfly – Gothic Dark Nail Art Set")</x:f>
        <x:v>HYPERLINK is not implemented. linkLocation=https://365nails.com/products/crimson-butterfly-gothic-dark-nail-art-set, friendlyName=Crimson Butterfly – Gothic Dark Nail Art Set</x:v>
      </x:c>
      <x:c r="D7279" s="18" t="str">
        <x:v>Specification type: Ms 486 / To3542</x:v>
      </x:c>
      <x:c r="E7279" s="25" t="str">
        <x:v>$1.23</x:v>
      </x:c>
      <x:c r="F7279" s="19" t="str">
        <x:v>5</x:v>
      </x:c>
    </x:row>
    <x:row r="7280" ht="93" customHeight="1">
      <x:c r="A7280" s="19" t="n">
        <x:v>7277</x:v>
      </x:c>
      <x:c r="B7280" s="22" t="e">
        <x:f>HYPERLINK("https://cdn.shopify.com/s/files/1/0918/6066/4603/files/O1CN01P9FW4B1YmlLpZxSJS__2213953983102-0-cib.jpg?v=1772968668","Open")</x:f>
        <x:v>HYPERLINK is not implemented. linkLocation=https://cdn.shopify.com/s/files/1/0918/6066/4603/files/O1CN01P9FW4B1YmlLpZxSJS__2213953983102-0-cib.jpg?v=1772968668, friendlyName=Open</x:v>
      </x:c>
      <x:c r="C7280" s="24" t="e">
        <x:f>HYPERLINK("https://365nails.com/products/pure-white-spring-blossoms-delicate-floral-nail-art-set","Pure White Spring Blossoms – Delicate Floral Nail Art Set")</x:f>
        <x:v>HYPERLINK is not implemented. linkLocation=https://365nails.com/products/pure-white-spring-blossoms-delicate-floral-nail-art-set, friendlyName=Pure White Spring Blossoms – Delicate Floral Nail Art Set</x:v>
      </x:c>
      <x:c r="D7280" s="18" t="str">
        <x:v>Specification type: To1677 / To1709 / To1738</x:v>
      </x:c>
      <x:c r="E7280" s="25" t="str">
        <x:v>$1.23</x:v>
      </x:c>
      <x:c r="F7280" s="19" t="str">
        <x:v>5</x:v>
      </x:c>
    </x:row>
    <x:row r="7281" ht="93" customHeight="1">
      <x:c r="A7281" s="19" t="n">
        <x:v>7278</x:v>
      </x:c>
      <x:c r="B7281" s="22" t="e">
        <x:f>HYPERLINK("https://cdn.shopify.com/s/files/1/0918/6066/4603/files/O1CN01sBQKSp1HlX73ZCaAP__2545140798-0-cib.jpg?v=1773745704","Open")</x:f>
        <x:v>HYPERLINK is not implemented. linkLocation=https://cdn.shopify.com/s/files/1/0918/6066/4603/files/O1CN01sBQKSp1HlX73ZCaAP__2545140798-0-cib.jpg?v=1773745704, friendlyName=Open</x:v>
      </x:c>
      <x:c r="C7281" s="24" t="e">
        <x:f>HYPERLINK("https://365nails.com/products/pastel-mini-wildflower-mix-thousand-flower-impression-5d-embossed-nail-sticker","Pastel Mini Wildflower Mix: ""Thousand Flower Impression"" – 5D Embossed Nail Sticker")</x:f>
        <x:v>HYPERLINK is not implemented. linkLocation=https://365nails.com/products/pastel-mini-wildflower-mix-thousand-flower-impression-5d-embossed-nail-sticker, friendlyName=Pastel Mini Wildflower Mix: "Thousand Flower Impression" – 5D Embossed Nail Sticker</x:v>
      </x:c>
      <x:c r="D7281" s="18" t="str">
        <x:v>Specification type: To5100-relief / To5101-shell light</x:v>
      </x:c>
      <x:c r="E7281" s="25" t="str">
        <x:v>$1.23</x:v>
      </x:c>
      <x:c r="F7281" s="19" t="str">
        <x:v>5</x:v>
      </x:c>
    </x:row>
    <x:row r="7282" ht="93" customHeight="1">
      <x:c r="A7282" s="19" t="n">
        <x:v>7279</x:v>
      </x:c>
      <x:c r="B7282" s="22" t="e">
        <x:f>HYPERLINK("https://cdn.shopify.com/s/files/1/0918/6066/4603/files/39d14ffef8cec09aa86326a262ee6c7e.jpg?v=1772974319","Open")</x:f>
        <x:v>HYPERLINK is not implemented. linkLocation=https://cdn.shopify.com/s/files/1/0918/6066/4603/files/39d14ffef8cec09aa86326a262ee6c7e.jpg?v=1772974319, friendlyName=Open</x:v>
      </x:c>
      <x:c r="C7282" s="24" t="e">
        <x:f>HYPERLINK("https://365nails.com/products/jelly-potato-bear-cute-jelly-nail-art-set","Jelly Potato Bear – Cute Jelly Nail Art Set")</x:f>
        <x:v>HYPERLINK is not implemented. linkLocation=https://365nails.com/products/jelly-potato-bear-cute-jelly-nail-art-set, friendlyName=Jelly Potato Bear – Cute Jelly Nail Art Set</x:v>
      </x:c>
      <x:c r="D7282" s="18" t="str">
        <x:v>Specification type: To3531 / To3544</x:v>
      </x:c>
      <x:c r="E7282" s="25" t="str">
        <x:v>$1.23</x:v>
      </x:c>
      <x:c r="F7282" s="19" t="str">
        <x:v>5</x:v>
      </x:c>
    </x:row>
    <x:row r="7283" ht="93" customHeight="1">
      <x:c r="A7283" s="19" t="n">
        <x:v>7280</x:v>
      </x:c>
      <x:c r="B7283" s="22" t="e">
        <x:f>HYPERLINK("https://cdn.shopify.com/s/files/1/0918/6066/4603/files/c9000f9e410d2038c5009229962f8c59.jpg?v=1772972499","Open")</x:f>
        <x:v>HYPERLINK is not implemented. linkLocation=https://cdn.shopify.com/s/files/1/0918/6066/4603/files/c9000f9e410d2038c5009229962f8c59.jpg?v=1772972499, friendlyName=Open</x:v>
      </x:c>
      <x:c r="C7283" s="24" t="e">
        <x:f>HYPERLINK("https://365nails.com/products/forest-bunny-mushroom-watercolor-nature-nail-art-set","Forest Bunny &amp; Mushroom – Watercolor Nature Nail Art Set")</x:f>
        <x:v>HYPERLINK is not implemented. linkLocation=https://365nails.com/products/forest-bunny-mushroom-watercolor-nature-nail-art-set, friendlyName=Forest Bunny &amp; Mushroom – Watercolor Nature Nail Art Set</x:v>
      </x:c>
      <x:c r="D7283" s="18" t="str">
        <x:v>Specification type: To3427 / To3429 / To3431 / To3435</x:v>
      </x:c>
      <x:c r="E7283" s="25" t="str">
        <x:v>$1.23</x:v>
      </x:c>
      <x:c r="F7283" s="19" t="str">
        <x:v>5</x:v>
      </x:c>
    </x:row>
    <x:row r="7284" ht="93" customHeight="1">
      <x:c r="A7284" s="19" t="n">
        <x:v>7281</x:v>
      </x:c>
      <x:c r="B7284" s="22" t="e">
        <x:f>HYPERLINK("https://cdn.shopify.com/s/files/1/0918/6066/4603/files/91c413a08d6040c95ec5c3309a4d409b.jpg?v=1773146344","Open")</x:f>
        <x:v>HYPERLINK is not implemented. linkLocation=https://cdn.shopify.com/s/files/1/0918/6066/4603/files/91c413a08d6040c95ec5c3309a4d409b.jpg?v=1773146344, friendlyName=Open</x:v>
      </x:c>
      <x:c r="C7284" s="24" t="e">
        <x:f>HYPERLINK("https://365nails.com/products/jelly-cat-paws-cute-pet-nail-art-set","Jelly Cat Paws – Cute Pet Nail Art Stickers")</x:f>
        <x:v>HYPERLINK is not implemented. linkLocation=https://365nails.com/products/jelly-cat-paws-cute-pet-nail-art-set, friendlyName=Jelly Cat Paws – Cute Pet Nail Art Stickers</x:v>
      </x:c>
      <x:c r="D7284" s="18" t="str">
        <x:v>Specification type: To3411-jelly / To3412-relief</x:v>
      </x:c>
      <x:c r="E7284" s="25" t="str">
        <x:v>$1.23</x:v>
      </x:c>
      <x:c r="F7284" s="19" t="str">
        <x:v>5</x:v>
      </x:c>
    </x:row>
    <x:row r="7285" ht="93" customHeight="1">
      <x:c r="A7285" s="19" t="n">
        <x:v>7282</x:v>
      </x:c>
      <x:c r="B7285" s="22" t="e">
        <x:f>HYPERLINK("https://cdn.shopify.com/s/files/1/0918/6066/4603/files/O1CN01nG5qPp1HlX7MeqGmR__2545140798-0-cib.jpg?v=1773650085","Open")</x:f>
        <x:v>HYPERLINK is not implemented. linkLocation=https://cdn.shopify.com/s/files/1/0918/6066/4603/files/O1CN01nG5qPp1HlX7MeqGmR__2545140798-0-cib.jpg?v=1773650085, friendlyName=Open</x:v>
      </x:c>
      <x:c r="C7285" s="24" t="e">
        <x:f>HYPERLINK("https://365nails.com/products/fresh-market-fruit-farm-to-nail-5d-embossed-nail-sticker","Fresh Market Fruit: ""Farm to Nail"" – 5D Embossed Nail Sticker")</x:f>
        <x:v>HYPERLINK is not implemented. linkLocation=https://365nails.com/products/fresh-market-fruit-farm-to-nail-5d-embossed-nail-sticker, friendlyName=Fresh Market Fruit: "Farm to Nail" – 5D Embossed Nail Sticker</x:v>
      </x:c>
      <x:c r="D7285" s="18" t="str">
        <x:v>Specification type: To5133 / To5139</x:v>
      </x:c>
      <x:c r="E7285" s="25" t="str">
        <x:v>$1.09</x:v>
      </x:c>
      <x:c r="F7285" s="19" t="str">
        <x:v>5</x:v>
      </x:c>
    </x:row>
    <x:row r="7286" ht="93" customHeight="1">
      <x:c r="A7286" s="19" t="n">
        <x:v>7283</x:v>
      </x:c>
      <x:c r="B7286" s="22" t="e">
        <x:f>HYPERLINK("https://cdn.shopify.com/s/files/1/0918/6066/4603/files/2dd5c6634c521a1166d8eda5ac807ac7.jpg?v=1773060289","Open")</x:f>
        <x:v>HYPERLINK is not implemented. linkLocation=https://cdn.shopify.com/s/files/1/0918/6066/4603/files/2dd5c6634c521a1166d8eda5ac807ac7.jpg?v=1773060289, friendlyName=Open</x:v>
      </x:c>
      <x:c r="C7286" s="24" t="e">
        <x:f>HYPERLINK("https://365nails.com/products/gothic-large-letters-bold-typography-nail-art-set","Gothic Large Letters – Bold Typography Nail Art Set")</x:f>
        <x:v>HYPERLINK is not implemented. linkLocation=https://365nails.com/products/gothic-large-letters-bold-typography-nail-art-set, friendlyName=Gothic Large Letters – Bold Typography Nail Art Set</x:v>
      </x:c>
      <x:c r="D7286" s="18" t="str">
        <x:v>Specification type: Ta71 large thin and tough / Ta75 medium thin tough</x:v>
      </x:c>
      <x:c r="E7286" s="25" t="str">
        <x:v>$1.23</x:v>
      </x:c>
      <x:c r="F7286" s="19" t="str">
        <x:v>5</x:v>
      </x:c>
    </x:row>
    <x:row r="7287" ht="93" customHeight="1">
      <x:c r="A7287" s="19" t="n">
        <x:v>7284</x:v>
      </x:c>
      <x:c r="B7287" s="22" t="e">
        <x:f>HYPERLINK("https://cdn.shopify.com/s/files/1/0918/6066/4603/files/79c44ace2d9bf5c0a110e8be35ecde6d.jpg?v=1768896269","Open")</x:f>
        <x:v>HYPERLINK is not implemented. linkLocation=https://cdn.shopify.com/s/files/1/0918/6066/4603/files/79c44ace2d9bf5c0a110e8be35ecde6d.jpg?v=1768896269, friendlyName=Open</x:v>
      </x:c>
      <x:c r="C7287" s="24" t="e">
        <x:f>HYPERLINK("https://365nails.com/products/midnight-blood-moon-dragon-nail-vampire-gothic-red-black-long-short-stiletto","Midnight Blood Moon Dragon Nail｜Vampire Gothic Red &amp; Black (Long/Short Stiletto)")</x:f>
        <x:v>HYPERLINK is not implemented. linkLocation=https://365nails.com/products/midnight-blood-moon-dragon-nail-vampire-gothic-red-black-long-short-stiletto, friendlyName=Midnight Blood Moon Dragon Nail｜Vampire Gothic Red &amp; Black (Long/Short Stiletto)</x:v>
      </x:c>
      <x:c r="D7287" s="18" t="str">
        <x:v>Size: XS / S / M / L; length: 25mm / 40mm</x:v>
      </x:c>
      <x:c r="E7287" s="25" t="str">
        <x:v>$6.99</x:v>
      </x:c>
      <x:c r="F7287" s="19" t="str">
        <x:v>1</x:v>
      </x:c>
    </x:row>
    <x:row r="7288" ht="93" customHeight="1">
      <x:c r="A7288" s="19" t="n">
        <x:v>7285</x:v>
      </x:c>
      <x:c r="B7288" s="22" t="e">
        <x:f>HYPERLINK("https://cdn.shopify.com/s/files/1/0918/6066/4603/files/cc5453acda6748bd6c371bef69cbcb14.jpg?v=1772973636","Open")</x:f>
        <x:v>HYPERLINK is not implemented. linkLocation=https://cdn.shopify.com/s/files/1/0918/6066/4603/files/cc5453acda6748bd6c371bef69cbcb14.jpg?v=1772973636, friendlyName=Open</x:v>
      </x:c>
      <x:c r="C7288" s="24" t="e">
        <x:f>HYPERLINK("https://365nails.com/products/dark-bunny-embossed-gothic-punk-nail-art-set","Dark Bunny Embossed – Gothic Punk Nail Art Set")</x:f>
        <x:v>HYPERLINK is not implemented. linkLocation=https://365nails.com/products/dark-bunny-embossed-gothic-punk-nail-art-set, friendlyName=Dark Bunny Embossed – Gothic Punk Nail Art Set</x:v>
      </x:c>
      <x:c r="D7288" s="18" t="str">
        <x:v>Specification type: To3349 / To3352</x:v>
      </x:c>
      <x:c r="E7288" s="25" t="str">
        <x:v>$1.23</x:v>
      </x:c>
      <x:c r="F7288" s="19" t="str">
        <x:v>5</x:v>
      </x:c>
    </x:row>
    <x:row r="7289" ht="93" customHeight="1">
      <x:c r="A7289" s="19" t="n">
        <x:v>7286</x:v>
      </x:c>
      <x:c r="B7289" s="22" t="e">
        <x:f>HYPERLINK("https://cdn.shopify.com/s/files/1/0918/6066/4603/files/74ac9d6c1918c348f383f296146bfeb5.jpg?v=1772969535","Open")</x:f>
        <x:v>HYPERLINK is not implemented. linkLocation=https://cdn.shopify.com/s/files/1/0918/6066/4603/files/74ac9d6c1918c348f383f296146bfeb5.jpg?v=1772969535, friendlyName=Open</x:v>
      </x:c>
      <x:c r="C7289" s="24" t="e">
        <x:f>HYPERLINK("https://365nails.com/products/red-white-punk-love-edgy-symbol-nail-art-set","Red &amp; White Punk Love – Edgy Symbol Nail Art Set")</x:f>
        <x:v>HYPERLINK is not implemented. linkLocation=https://365nails.com/products/red-white-punk-love-edgy-symbol-nail-art-set, friendlyName=Red &amp; White Punk Love – Edgy Symbol Nail Art Set</x:v>
      </x:c>
      <x:c r="D7289" s="18" t="str">
        <x:v>Specification type: To2086</x:v>
      </x:c>
      <x:c r="E7289" s="25" t="str">
        <x:v>$1.23</x:v>
      </x:c>
      <x:c r="F7289" s="19" t="str">
        <x:v>5</x:v>
      </x:c>
    </x:row>
    <x:row r="7290" ht="93" customHeight="1">
      <x:c r="A7290" s="19" t="n">
        <x:v>7287</x:v>
      </x:c>
      <x:c r="B7290" s="22" t="e">
        <x:f>HYPERLINK("https://cdn.shopify.com/s/files/1/0918/6066/4603/files/O1CN010iuzcp1HlWp4KHwol__2545140798-0-cib.jpg?v=1773932103","Open")</x:f>
        <x:v>HYPERLINK is not implemented. linkLocation=https://cdn.shopify.com/s/files/1/0918/6066/4603/files/O1CN010iuzcp1HlWp4KHwol__2545140798-0-cib.jpg?v=1773932103, friendlyName=Open</x:v>
      </x:c>
      <x:c r="C7290" s="24" t="e">
        <x:f>HYPERLINK("https://365nails.com/products/summer-citrus-slices-zesty-summer-breeze-5d-embossed-nail-sticker","Summer Citrus Slices: ""Zesty Summer Breeze"" – 5D Embossed Nail Sticker")</x:f>
        <x:v>HYPERLINK is not implemented. linkLocation=https://365nails.com/products/summer-citrus-slices-zesty-summer-breeze-5d-embossed-nail-sticker, friendlyName=Summer Citrus Slices: "Zesty Summer Breeze" – 5D Embossed Nail Sticker</x:v>
      </x:c>
      <x:c r="D7290" s="18" t="str">
        <x:v>Specification type: To1901 / To1918 / To 1903</x:v>
      </x:c>
      <x:c r="E7290" s="25" t="str">
        <x:v>$1.23</x:v>
      </x:c>
      <x:c r="F7290" s="19" t="str">
        <x:v>5</x:v>
      </x:c>
    </x:row>
    <x:row r="7291" ht="93" customHeight="1">
      <x:c r="A7291" s="19" t="n">
        <x:v>7288</x:v>
      </x:c>
      <x:c r="B7291" s="22" t="e">
        <x:f>HYPERLINK("https://cdn.shopify.com/s/files/1/0918/6066/4603/files/O1CN01dC2OYr1HlX288ucVB__2545140798-0-cib.jpg?v=1773837867","Open")</x:f>
        <x:v>HYPERLINK is not implemented. linkLocation=https://cdn.shopify.com/s/files/1/0918/6066/4603/files/O1CN01dC2OYr1HlX288ucVB__2545140798-0-cib.jpg?v=1773837867, friendlyName=Open</x:v>
      </x:c>
      <x:c r="C7291" s="24" t="e">
        <x:f>HYPERLINK("https://365nails.com/products/fresh-green-apple-crisp-green-apple-slice-5d-embossed-nail-sticker","Fresh Green Apple: ""Crisp Green Apple Slice"" – 5D Embossed Nail Sticker")</x:f>
        <x:v>HYPERLINK is not implemented. linkLocation=https://365nails.com/products/fresh-green-apple-crisp-green-apple-slice-5d-embossed-nail-sticker, friendlyName=Fresh Green Apple: "Crisp Green Apple Slice" – 5D Embossed Nail Sticker</x:v>
      </x:c>
      <x:c r="D7291" s="18" t="str">
        <x:v>Specification type: To4232 / To4234</x:v>
      </x:c>
      <x:c r="E7291" s="25" t="str">
        <x:v>$1.09</x:v>
      </x:c>
      <x:c r="F7291" s="19" t="str">
        <x:v>5</x:v>
      </x:c>
    </x:row>
    <x:row r="7292" ht="93" customHeight="1">
      <x:c r="A7292" s="19" t="n">
        <x:v>7289</x:v>
      </x:c>
      <x:c r="B7292" s="22" t="e">
        <x:f>HYPERLINK("https://cdn.shopify.com/s/files/1/0918/6066/4603/files/O1CN01WWBtly1HlX9LwgQU4__2545140798-0-cib.jpg?v=1773638338","Open")</x:f>
        <x:v>HYPERLINK is not implemented. linkLocation=https://cdn.shopify.com/s/files/1/0918/6066/4603/files/O1CN01WWBtly1HlX9LwgQU4__2545140798-0-cib.jpg?v=1773638338, friendlyName=Open</x:v>
      </x:c>
      <x:c r="C7292" s="24" t="e">
        <x:f>HYPERLINK("https://365nails.com/products/vintage-daisy-frame-sepia-bloom-5d-crystal-diamond-nail-sticker","Vintage Daisy &amp; Frame: ""Sepia Bloom"" – 5D Crystal Diamond Nail Sticker")</x:f>
        <x:v>HYPERLINK is not implemented. linkLocation=https://365nails.com/products/vintage-daisy-frame-sepia-bloom-5d-crystal-diamond-nail-sticker, friendlyName=Vintage Daisy &amp; Frame: "Sepia Bloom" – 5D Crystal Diamond Nail Sticker</x:v>
      </x:c>
      <x:c r="D7292" s="18" t="str">
        <x:v>Specification type: To4985-crystal diamond</x:v>
      </x:c>
      <x:c r="E7292" s="25" t="str">
        <x:v>$1.30</x:v>
      </x:c>
      <x:c r="F7292" s="19" t="str">
        <x:v>5</x:v>
      </x:c>
    </x:row>
    <x:row r="7293" ht="93" customHeight="1">
      <x:c r="A7293" s="19" t="n">
        <x:v>7290</x:v>
      </x:c>
      <x:c r="B7293" s="22" t="e">
        <x:f>HYPERLINK("https://cdn.shopify.com/s/files/1/0918/6066/4603/files/913882685819be44d1c4f0b9ba27662c.jpg?v=1772974122","Open")</x:f>
        <x:v>HYPERLINK is not implemented. linkLocation=https://cdn.shopify.com/s/files/1/0918/6066/4603/files/913882685819be44d1c4f0b9ba27662c.jpg?v=1772974122, friendlyName=Open</x:v>
      </x:c>
      <x:c r="C7293" s="24" t="e">
        <x:f>HYPERLINK("https://365nails.com/products/new-gold-foil-floral-luxe-chinese-style-nail-art-set","New Gold Foil Floral – Luxe Chinese Style Nail Art Set")</x:f>
        <x:v>HYPERLINK is not implemented. linkLocation=https://365nails.com/products/new-gold-foil-floral-luxe-chinese-style-nail-art-set, friendlyName=New Gold Foil Floral – Luxe Chinese Style Nail Art Set</x:v>
      </x:c>
      <x:c r="D7293" s="18" t="str">
        <x:v>Specification type: To3536-new hot stamping / To3536-silver / To3537-relief</x:v>
      </x:c>
      <x:c r="E7293" s="25" t="str">
        <x:v>$1.23</x:v>
      </x:c>
      <x:c r="F7293" s="19" t="str">
        <x:v>5</x:v>
      </x:c>
    </x:row>
    <x:row r="7294" ht="93" customHeight="1">
      <x:c r="A7294" s="19" t="n">
        <x:v>7291</x:v>
      </x:c>
      <x:c r="B7294" s="22" t="e">
        <x:f>HYPERLINK("https://cdn.shopify.com/s/files/1/0918/6066/4603/files/c0bf13b71b2f96a12b579e63e40ea614.jpg?v=1773464677","Open")</x:f>
        <x:v>HYPERLINK is not implemented. linkLocation=https://cdn.shopify.com/s/files/1/0918/6066/4603/files/c0bf13b71b2f96a12b579e63e40ea614.jpg?v=1773464677, friendlyName=Open</x:v>
      </x:c>
      <x:c r="C7294" s="24" t="e">
        <x:f>HYPERLINK("https://365nails.com/products/silver-snowflake-collection-crystal-silver-snowflake-3d-embossed-nail-sticker","Silver Snowflake Collection: ""Crystal Silver Snowflake"" – 3D Embossed Nail Sticker")</x:f>
        <x:v>HYPERLINK is not implemented. linkLocation=https://365nails.com/products/silver-snowflake-collection-crystal-silver-snowflake-3d-embossed-nail-sticker, friendlyName=Silver Snowflake Collection: "Crystal Silver Snowflake" – 3D Embossed Nail Sticker</x:v>
      </x:c>
      <x:c r="D7294" s="18" t="str">
        <x:v>Specification type: Ms428-laser powder / Ms429-orange gold / Ms429-green gold / Ms429-new hot stamping / Ms429-silver</x:v>
      </x:c>
      <x:c r="E7294" s="25" t="str">
        <x:v>$1.30</x:v>
      </x:c>
      <x:c r="F7294" s="19" t="str">
        <x:v>5</x:v>
      </x:c>
    </x:row>
    <x:row r="7295" ht="93" customHeight="1">
      <x:c r="A7295" s="19" t="n">
        <x:v>7292</x:v>
      </x:c>
      <x:c r="B7295" s="22" t="e">
        <x:f>HYPERLINK("https://cdn.shopify.com/s/files/1/0918/6066/4603/files/O1CN01gmHSPV1HlXAu5E2ML__2545140798-0-cib.jpg?v=1773931776","Open")</x:f>
        <x:v>HYPERLINK is not implemented. linkLocation=https://cdn.shopify.com/s/files/1/0918/6066/4603/files/O1CN01gmHSPV1HlXAu5E2ML__2545140798-0-cib.jpg?v=1773931776, friendlyName=Open</x:v>
      </x:c>
      <x:c r="C7295" s="24" t="e">
        <x:f>HYPERLINK("https://365nails.com/products/white-lace-floral-bridal-lace-bloom-5d-embossed-nail-sticker","White Lace Floral: ""Bridal Lace Bloom"" – 5D Embossed Nail Sticker")</x:f>
        <x:v>HYPERLINK is not implemented. linkLocation=https://365nails.com/products/white-lace-floral-bridal-lace-bloom-5d-embossed-nail-sticker, friendlyName=White Lace Floral: "Bridal Lace Bloom" – 5D Embossed Nail Sticker</x:v>
      </x:c>
      <x:c r="D7295" s="18" t="str">
        <x:v>Specification type: To5558-glitter</x:v>
      </x:c>
      <x:c r="E7295" s="25" t="str">
        <x:v>$1.23</x:v>
      </x:c>
      <x:c r="F7295" s="19" t="str">
        <x:v>5</x:v>
      </x:c>
    </x:row>
    <x:row r="7296" ht="93" customHeight="1">
      <x:c r="A7296" s="19" t="n">
        <x:v>7293</x:v>
      </x:c>
      <x:c r="B7296" s="22" t="e">
        <x:f>HYPERLINK("https://cdn.shopify.com/s/files/1/0918/6066/4603/files/O1CN01GUlHjw1HlX444JFXt__2545140798-0-cib.jpg?v=1773756675","Open")</x:f>
        <x:v>HYPERLINK is not implemented. linkLocation=https://cdn.shopify.com/s/files/1/0918/6066/4603/files/O1CN01GUlHjw1HlX444JFXt__2545140798-0-cib.jpg?v=1773756675, friendlyName=Open</x:v>
      </x:c>
      <x:c r="C7296" s="24" t="e">
        <x:f>HYPERLINK("https://365nails.com/products/vintage-rose-bow-romantic-floral-bouquet-5d-embossed-nail-sticker","Vintage Rose &amp; Bow: ""Romantic Floral Bouquet"" – 5D Embossed Nail Sticker")</x:f>
        <x:v>HYPERLINK is not implemented. linkLocation=https://365nails.com/products/vintage-rose-bow-romantic-floral-bouquet-5d-embossed-nail-sticker, friendlyName=Vintage Rose &amp; Bow: "Romantic Floral Bouquet" – 5D Embossed Nail Sticker</x:v>
      </x:c>
      <x:c r="D7296" s="18" t="str">
        <x:v>Specification type: To4628-relief</x:v>
      </x:c>
      <x:c r="E7296" s="25" t="str">
        <x:v>$1.23</x:v>
      </x:c>
      <x:c r="F7296" s="19" t="str">
        <x:v>5</x:v>
      </x:c>
    </x:row>
    <x:row r="7297" ht="93" customHeight="1">
      <x:c r="A7297" s="19" t="n">
        <x:v>7294</x:v>
      </x:c>
      <x:c r="B7297" s="22" t="e">
        <x:f>HYPERLINK("https://cdn.shopify.com/s/files/1/0918/6066/4603/files/f6748dad4b432b2b9ff41747520e9ef3.jpg?v=1772961470","Open")</x:f>
        <x:v>HYPERLINK is not implemented. linkLocation=https://cdn.shopify.com/s/files/1/0918/6066/4603/files/f6748dad4b432b2b9ff41747520e9ef3.jpg?v=1772961470, friendlyName=Open</x:v>
      </x:c>
      <x:c r="C7297" s="24" t="e">
        <x:f>HYPERLINK("https://365nails.com/products/fortune-festival-3d-embossed-chinese-new-year-nail-art-set","Fortune Festival – 3D Embossed Chinese New Year Nail Art Set")</x:f>
        <x:v>HYPERLINK is not implemented. linkLocation=https://365nails.com/products/fortune-festival-3d-embossed-chinese-new-year-nail-art-set, friendlyName=Fortune Festival – 3D Embossed Chinese New Year Nail Art Set</x:v>
      </x:c>
      <x:c r="D7297" s="18" t="str">
        <x:v>Specification type: To4820-relief</x:v>
      </x:c>
      <x:c r="E7297" s="25" t="str">
        <x:v>$1.23</x:v>
      </x:c>
      <x:c r="F7297" s="19" t="str">
        <x:v>5</x:v>
      </x:c>
    </x:row>
    <x:row r="7298" ht="93" customHeight="1">
      <x:c r="A7298" s="19" t="n">
        <x:v>7295</x:v>
      </x:c>
      <x:c r="B7298" s="22" t="e">
        <x:f>HYPERLINK("https://cdn.shopify.com/s/files/1/0918/6066/4603/files/1ff1a87cf82b214c9f18a4ad7a31228a.jpg?v=1777555147","Open")</x:f>
        <x:v>HYPERLINK is not implemented. linkLocation=https://cdn.shopify.com/s/files/1/0918/6066/4603/files/1ff1a87cf82b214c9f18a4ad7a31228a.jpg?v=1777555147, friendlyName=Open</x:v>
      </x:c>
      <x:c r="C7298" s="24" t="e">
        <x:f>HYPERLINK("https://365nails.com/products/365nails-green-clover-bow-handmade-medium-press-on-nails","365nails: ""Green Clover Bow"" – Handmade Medium Press-On Nails")</x:f>
        <x:v>HYPERLINK is not implemented. linkLocation=https://365nails.com/products/365nails-green-clover-bow-handmade-medium-press-on-nails, friendlyName=365nails: "Green Clover Bow" – Handmade Medium Press-On Nails</x:v>
      </x:c>
      <x:c r="D7298" s="18" t="str">
        <x:v>Size: XS / S / M / L</x:v>
      </x:c>
      <x:c r="E7298" s="25" t="str">
        <x:v>$4.99</x:v>
      </x:c>
      <x:c r="F7298" s="19" t="str">
        <x:v>5</x:v>
      </x:c>
    </x:row>
    <x:row r="7299" ht="93" customHeight="1">
      <x:c r="A7299" s="19" t="n">
        <x:v>7296</x:v>
      </x:c>
      <x:c r="B7299" s="22" t="e">
        <x:f>HYPERLINK("https://cdn.shopify.com/s/files/1/0918/6066/4603/files/O1CN01KZsUq01HlX7NkAiG1__2545140798-0-cib.jpg?v=1773924176","Open")</x:f>
        <x:v>HYPERLINK is not implemented. linkLocation=https://cdn.shopify.com/s/files/1/0918/6066/4603/files/O1CN01KZsUq01HlX7NkAiG1__2545140798-0-cib.jpg?v=1773924176, friendlyName=Open</x:v>
      </x:c>
      <x:c r="C7299" s="24" t="e">
        <x:f>HYPERLINK("https://365nails.com/products/colorful-mini-cross-rainbow-cross-charm-5d-embossed-nail-sticker","Colorful Mini Cross: ""Rainbow Cross Charm"" – 5D Embossed Nail Sticker")</x:f>
        <x:v>HYPERLINK is not implemented. linkLocation=https://365nails.com/products/colorful-mini-cross-rainbow-cross-charm-5d-embossed-nail-sticker, friendlyName=Colorful Mini Cross: "Rainbow Cross Charm" – 5D Embossed Nail Sticker</x:v>
      </x:c>
      <x:c r="D7299" s="18" t="str">
        <x:v>Specification type: To5134-relief / To5135</x:v>
      </x:c>
      <x:c r="E7299" s="25" t="str">
        <x:v>$0.65–$0.80</x:v>
      </x:c>
      <x:c r="F7299" s="19" t="str">
        <x:v>5</x:v>
      </x:c>
    </x:row>
    <x:row r="7300" ht="93" customHeight="1">
      <x:c r="A7300" s="19" t="n">
        <x:v>7297</x:v>
      </x:c>
      <x:c r="B7300" s="22" t="e">
        <x:f>HYPERLINK("https://cdn.shopify.com/s/files/1/0918/6066/4603/files/d069abc555f02a745dc933ea113bb6ad.jpg?v=1772969350","Open")</x:f>
        <x:v>HYPERLINK is not implemented. linkLocation=https://cdn.shopify.com/s/files/1/0918/6066/4603/files/d069abc555f02a745dc933ea113bb6ad.jpg?v=1772969350, friendlyName=Open</x:v>
      </x:c>
      <x:c r="C7300" s="24" t="e">
        <x:f>HYPERLINK("https://365nails.com/products/punk-rebellion-edgy-text-cross-nail-art-set","Punk Rebellion – Edgy Text &amp; Cross Nail Art Set")</x:f>
        <x:v>HYPERLINK is not implemented. linkLocation=https://365nails.com/products/punk-rebellion-edgy-text-cross-nail-art-set, friendlyName=Punk Rebellion – Edgy Text &amp; Cross Nail Art Set</x:v>
      </x:c>
      <x:c r="D7300" s="18" t="str">
        <x:v>Specification type: To2071</x:v>
      </x:c>
      <x:c r="E7300" s="25" t="str">
        <x:v>$1.23</x:v>
      </x:c>
      <x:c r="F7300" s="19" t="str">
        <x:v>5</x:v>
      </x:c>
    </x:row>
    <x:row r="7301" ht="93" customHeight="1">
      <x:c r="A7301" s="19" t="n">
        <x:v>7298</x:v>
      </x:c>
      <x:c r="B7301" s="22" t="e">
        <x:f>HYPERLINK("https://cdn.shopify.com/s/files/1/0918/6066/4603/files/O1CN01pPD1LK1HlX3K5YSe2__2545140798-0-cib.jpg?v=1773839407","Open")</x:f>
        <x:v>HYPERLINK is not implemented. linkLocation=https://cdn.shopify.com/s/files/1/0918/6066/4603/files/O1CN01pPD1LK1HlX3K5YSe2__2545140798-0-cib.jpg?v=1773839407, friendlyName=Open</x:v>
      </x:c>
      <x:c r="C7301" s="24" t="e">
        <x:f>HYPERLINK("https://365nails.com/products/silver-star-sparkle-celestial-starburst-5d-embossed-nail-sticker","Silver Star Sparkle: ""Celestial Starburst"" – 5D Embossed Nail Sticker")</x:f>
        <x:v>HYPERLINK is not implemented. linkLocation=https://365nails.com/products/silver-star-sparkle-celestial-starburst-5d-embossed-nail-sticker, friendlyName=Silver Star Sparkle: "Celestial Starburst" – 5D Embossed Nail Sticker</x:v>
      </x:c>
      <x:c r="D7301" s="18" t="str">
        <x:v>Specification type: To4452</x:v>
      </x:c>
      <x:c r="E7301" s="25" t="str">
        <x:v>$1.09</x:v>
      </x:c>
      <x:c r="F7301" s="19" t="str">
        <x:v>5</x:v>
      </x:c>
    </x:row>
    <x:row r="7302" ht="93" customHeight="1">
      <x:c r="A7302" s="19" t="n">
        <x:v>7299</x:v>
      </x:c>
      <x:c r="B7302" s="22" t="e">
        <x:f>HYPERLINK("https://cdn.shopify.com/s/files/1/0918/6066/4603/files/O1CN01eTpJZ81HlX094Bplq__2545140798-0-cib.jpg?v=1773758316","Open")</x:f>
        <x:v>HYPERLINK is not implemented. linkLocation=https://cdn.shopify.com/s/files/1/0918/6066/4603/files/O1CN01eTpJZ81HlX094Bplq__2545140798-0-cib.jpg?v=1773758316, friendlyName=Open</x:v>
      </x:c>
      <x:c r="C7302" s="24" t="e">
        <x:f>HYPERLINK("https://365nails.com/products/pastel-wildflower-mix-meadow-wildflower-bouquet-5d-embossed-nail-sticker","Pastel Wildflower Mix: ""Meadow Wildflower Bouquet"" – 5D Embossed Nail Sticker")</x:f>
        <x:v>HYPERLINK is not implemented. linkLocation=https://365nails.com/products/pastel-wildflower-mix-meadow-wildflower-bouquet-5d-embossed-nail-sticker, friendlyName=Pastel Wildflower Mix: "Meadow Wildflower Bouquet" – 5D Embossed Nail Sticker</x:v>
      </x:c>
      <x:c r="D7302" s="18" t="str">
        <x:v>Specification type: To3836 / To3837</x:v>
      </x:c>
      <x:c r="E7302" s="25" t="str">
        <x:v>$1.23</x:v>
      </x:c>
      <x:c r="F7302" s="19" t="str">
        <x:v>5</x:v>
      </x:c>
    </x:row>
    <x:row r="7303" ht="93" customHeight="1">
      <x:c r="A7303" s="19" t="n">
        <x:v>7300</x:v>
      </x:c>
      <x:c r="B7303" s="22" t="e">
        <x:f>HYPERLINK("https://cdn.shopify.com/s/files/1/0918/6066/4603/files/a0d01f2dd8c8f2c59635f8f9c9e67176.jpg?v=1781018177","Open")</x:f>
        <x:v>HYPERLINK is not implemented. linkLocation=https://cdn.shopify.com/s/files/1/0918/6066/4603/files/a0d01f2dd8c8f2c59635f8f9c9e67176.jpg?v=1781018177, friendlyName=Open</x:v>
      </x:c>
      <x:c r="C7303" s="24" t="e">
        <x:f>HYPERLINK("https://365nails.com/products/365nails-sheer-pink-red-polka-dot-jelly-minimal-handmade-long-stiletto-nails","365nails: ""Sheer Pink Red Polka Dot Jelly"" – Minimal Handmade Long Stiletto Nails")</x:f>
        <x:v>HYPERLINK is not implemented. linkLocation=https://365nails.com/products/365nails-sheer-pink-red-polka-dot-jelly-minimal-handmade-long-stiletto-nails, friendlyName=365nails: "Sheer Pink Red Polka Dot Jelly" – Minimal Handmade Long Stiletto Nails</x:v>
      </x:c>
      <x:c r="D7303" s="18" t="str">
        <x:v>Size: XS / S / M / L</x:v>
      </x:c>
      <x:c r="E7303" s="25" t="str">
        <x:v>$4.99</x:v>
      </x:c>
      <x:c r="F7303" s="19" t="str">
        <x:v>3</x:v>
      </x:c>
    </x:row>
    <x:row r="7304" ht="93" customHeight="1">
      <x:c r="A7304" s="19" t="n">
        <x:v>7301</x:v>
      </x:c>
      <x:c r="B7304" s="22" t="e">
        <x:f>HYPERLINK("https://cdn.shopify.com/s/files/1/0918/6066/4603/files/O1CN01Th95SM1HlWzliWhcs__2545140798-0-cib.jpg?v=1773651763","Open")</x:f>
        <x:v>HYPERLINK is not implemented. linkLocation=https://cdn.shopify.com/s/files/1/0918/6066/4603/files/O1CN01Th95SM1HlWzliWhcs__2545140798-0-cib.jpg?v=1773651763, friendlyName=Open</x:v>
      </x:c>
      <x:c r="C7304" s="24" t="e">
        <x:f>HYPERLINK("https://365nails.com/products/chinese-ink-floral-scholars-garden-5d-embossed-nail-sticker","Chinese Ink Floral: ""Scholar's Garden"" – 5D Embossed Nail Sticker")</x:f>
        <x:v>HYPERLINK is not implemented. linkLocation=https://365nails.com/products/chinese-ink-floral-scholars-garden-5d-embossed-nail-sticker, friendlyName=Chinese Ink Floral: "Scholar's Garden" – 5D Embossed Nail Sticker</x:v>
      </x:c>
      <x:c r="D7304" s="18" t="str">
        <x:v>Specification type: To3793-relief</x:v>
      </x:c>
      <x:c r="E7304" s="25" t="str">
        <x:v>$1.23</x:v>
      </x:c>
      <x:c r="F7304" s="19" t="str">
        <x:v>5</x:v>
      </x:c>
    </x:row>
    <x:row r="7305" ht="93" customHeight="1">
      <x:c r="A7305" s="19" t="n">
        <x:v>7302</x:v>
      </x:c>
      <x:c r="B7305" s="22" t="e">
        <x:f>HYPERLINK("https://cdn.shopify.com/s/files/1/0918/6066/4603/files/19d95bcb3abc640425df5e253bc952c6.jpg?v=1772972073","Open")</x:f>
        <x:v>HYPERLINK is not implemented. linkLocation=https://cdn.shopify.com/s/files/1/0918/6066/4603/files/19d95bcb3abc640425df5e253bc952c6.jpg?v=1772972073, friendlyName=Open</x:v>
      </x:c>
      <x:c r="C7305" s="24" t="e">
        <x:f>HYPERLINK("https://365nails.com/products/tropical-parrot-paradise-vibrant-avian-nail-art-set","Tropical Parrot Paradise – Vibrant Avian Nail Art Set")</x:f>
        <x:v>HYPERLINK is not implemented. linkLocation=https://365nails.com/products/tropical-parrot-paradise-vibrant-avian-nail-art-set, friendlyName=Tropical Parrot Paradise – Vibrant Avian Nail Art Set</x:v>
      </x:c>
      <x:c r="D7305" s="18" t="str">
        <x:v>Specification type: Wy-23 / Wy-24 / Wy-25 / Wy-26 / Wy–27 / Wy-28 / Wy-29</x:v>
      </x:c>
      <x:c r="E7305" s="25" t="str">
        <x:v>$1.23</x:v>
      </x:c>
      <x:c r="F7305" s="19" t="str">
        <x:v>5</x:v>
      </x:c>
    </x:row>
    <x:row r="7306" ht="93" customHeight="1">
      <x:c r="A7306" s="19" t="n">
        <x:v>7303</x:v>
      </x:c>
      <x:c r="B7306" s="22" t="e">
        <x:f>HYPERLINK("https://cdn.shopify.com/s/files/1/0918/6066/4603/files/52b9a6db708b0a8854a679c60cde1249.jpg?v=1772969632","Open")</x:f>
        <x:v>HYPERLINK is not implemented. linkLocation=https://cdn.shopify.com/s/files/1/0918/6066/4603/files/52b9a6db708b0a8854a679c60cde1249.jpg?v=1772969632, friendlyName=Open</x:v>
      </x:c>
      <x:c r="C7306" s="24" t="e">
        <x:f>HYPERLINK("https://365nails.com/products/lavender-heart-fantasy-dreamy-purple-nail-art-set","Lavender Heart Fantasy – Dreamy Purple Nail Art Set")</x:f>
        <x:v>HYPERLINK is not implemented. linkLocation=https://365nails.com/products/lavender-heart-fantasy-dreamy-purple-nail-art-set, friendlyName=Lavender Heart Fantasy – Dreamy Purple Nail Art Set</x:v>
      </x:c>
      <x:c r="D7306" s="18" t="str">
        <x:v>Specification type: To2149 / To2151 / To2157 / To2174</x:v>
      </x:c>
      <x:c r="E7306" s="25" t="str">
        <x:v>$1.23</x:v>
      </x:c>
      <x:c r="F7306" s="19" t="str">
        <x:v>5</x:v>
      </x:c>
    </x:row>
    <x:row r="7307" ht="93" customHeight="1">
      <x:c r="A7307" s="19" t="n">
        <x:v>7304</x:v>
      </x:c>
      <x:c r="B7307" s="22" t="e">
        <x:f>HYPERLINK("https://cdn.shopify.com/s/files/1/0918/6066/4603/files/O1CN01AwXuxQ1HlWokOkxW3__2545140798-0-cib.jpg?v=1772968897","Open")</x:f>
        <x:v>HYPERLINK is not implemented. linkLocation=https://cdn.shopify.com/s/files/1/0918/6066/4603/files/O1CN01AwXuxQ1HlWokOkxW3__2545140798-0-cib.jpg?v=1772968897, friendlyName=Open</x:v>
      </x:c>
      <x:c r="C7307" s="24" t="e">
        <x:f>HYPERLINK("https://365nails.com/products/pastel-tulip-wishes-watercolor-spring-nail-art-set","Pastel Tulip Wishes – Watercolor Spring Nail Art Set")</x:f>
        <x:v>HYPERLINK is not implemented. linkLocation=https://365nails.com/products/pastel-tulip-wishes-watercolor-spring-nail-art-set, friendlyName=Pastel Tulip Wishes – Watercolor Spring Nail Art Set</x:v>
      </x:c>
      <x:c r="D7307" s="18" t="str">
        <x:v>Specification type: To1713 / To1689 / To1715</x:v>
      </x:c>
      <x:c r="E7307" s="25" t="str">
        <x:v>$1.23</x:v>
      </x:c>
      <x:c r="F7307" s="19" t="str">
        <x:v>5</x:v>
      </x:c>
    </x:row>
    <x:row r="7308" ht="93" customHeight="1">
      <x:c r="A7308" s="19" t="n">
        <x:v>7305</x:v>
      </x:c>
      <x:c r="B7308" s="22" t="e">
        <x:f>HYPERLINK("https://cdn.shopify.com/s/files/1/0918/6066/4603/files/203017f7ff6da85b14ffcd6b6fa69cb7.jpg?v=1777555872","Open")</x:f>
        <x:v>HYPERLINK is not implemented. linkLocation=https://cdn.shopify.com/s/files/1/0918/6066/4603/files/203017f7ff6da85b14ffcd6b6fa69cb7.jpg?v=1777555872, friendlyName=Open</x:v>
      </x:c>
      <x:c r="C7308" s="24" t="e">
        <x:f>HYPERLINK("https://365nails.com/products/365nails-nude-gold-edge-handmade-medium-almond-press-on-nails","365nails: ""Nude Gold Edge"" – Handmade Medium Almond Press-On Nails")</x:f>
        <x:v>HYPERLINK is not implemented. linkLocation=https://365nails.com/products/365nails-nude-gold-edge-handmade-medium-almond-press-on-nails, friendlyName=365nails: "Nude Gold Edge" – Handmade Medium Almond Press-On Nails</x:v>
      </x:c>
      <x:c r="D7308" s="18" t="str">
        <x:v>Size: XS / S / M / L</x:v>
      </x:c>
      <x:c r="E7308" s="25" t="str">
        <x:v>$4.99</x:v>
      </x:c>
      <x:c r="F7308" s="19" t="str">
        <x:v>5</x:v>
      </x:c>
    </x:row>
    <x:row r="7309" ht="93" customHeight="1">
      <x:c r="A7309" s="19" t="n">
        <x:v>7306</x:v>
      </x:c>
      <x:c r="B7309" s="22" t="e">
        <x:f>HYPERLINK("https://cdn.shopify.com/s/files/1/0918/6066/4603/files/27cd3562d0757e3857853afbe07b1a33.jpg?v=1777543330","Open")</x:f>
        <x:v>HYPERLINK is not implemented. linkLocation=https://cdn.shopify.com/s/files/1/0918/6066/4603/files/27cd3562d0757e3857853afbe07b1a33.jpg?v=1777543330, friendlyName=Open</x:v>
      </x:c>
      <x:c r="C7309" s="24" t="e">
        <x:f>HYPERLINK("https://365nails.com/products/365nails-lime-pink-leopard-flower-handmade-medium-almond-press-on-nails","365nails: ""Lime Pink Leopard Flower"" – Handmade Medium Almond Press-On Nails")</x:f>
        <x:v>HYPERLINK is not implemented. linkLocation=https://365nails.com/products/365nails-lime-pink-leopard-flower-handmade-medium-almond-press-on-nails, friendlyName=365nails: "Lime Pink Leopard Flower" – Handmade Medium Almond Press-On Nails</x:v>
      </x:c>
      <x:c r="D7309" s="18" t="str">
        <x:v>Size: XS / S / M / L</x:v>
      </x:c>
      <x:c r="E7309" s="25" t="str">
        <x:v>$4.99</x:v>
      </x:c>
      <x:c r="F7309" s="19" t="str">
        <x:v>5</x:v>
      </x:c>
    </x:row>
    <x:row r="7310" ht="93" customHeight="1">
      <x:c r="A7310" s="19" t="n">
        <x:v>7307</x:v>
      </x:c>
      <x:c r="B7310" s="22" t="e">
        <x:f>HYPERLINK("https://cdn.shopify.com/s/files/1/0918/6066/4603/files/bc2570ac0aa2d13435e8ca5f713145e5.jpg?v=1772971982","Open")</x:f>
        <x:v>HYPERLINK is not implemented. linkLocation=https://cdn.shopify.com/s/files/1/0918/6066/4603/files/bc2570ac0aa2d13435e8ca5f713145e5.jpg?v=1772971982, friendlyName=Open</x:v>
      </x:c>
      <x:c r="C7310" s="24" t="e">
        <x:f>HYPERLINK("https://365nails.com/products/winter-wonderland-festive-christmas-nail-art-set","Winter Wonderland – Festive Christmas Nail Art Set")</x:f>
        <x:v>HYPERLINK is not implemented. linkLocation=https://365nails.com/products/winter-wonderland-festive-christmas-nail-art-set, friendlyName=Winter Wonderland – Festive Christmas Nail Art Set</x:v>
      </x:c>
      <x:c r="D7310" s="18" t="str">
        <x:v>Specification type: To2446 / To2448</x:v>
      </x:c>
      <x:c r="E7310" s="25" t="str">
        <x:v>$1.23</x:v>
      </x:c>
      <x:c r="F7310" s="19" t="str">
        <x:v>5</x:v>
      </x:c>
    </x:row>
    <x:row r="7311" ht="93" customHeight="1">
      <x:c r="A7311" s="19" t="n">
        <x:v>7308</x:v>
      </x:c>
      <x:c r="B7311" s="22" t="e">
        <x:f>HYPERLINK("https://cdn.shopify.com/s/files/1/0918/6066/4603/files/d122af296c4bea5b70e11051223f6c10.jpg?v=1773060088","Open")</x:f>
        <x:v>HYPERLINK is not implemented. linkLocation=https://cdn.shopify.com/s/files/1/0918/6066/4603/files/d122af296c4bea5b70e11051223f6c10.jpg?v=1773060088, friendlyName=Open</x:v>
      </x:c>
      <x:c r="C7311" s="24" t="e">
        <x:f>HYPERLINK("https://365nails.com/products/ink-wash-bamboo-chinese-style-nail-art-set","Ink Wash Bamboo – Chinese Style Nail Art Set")</x:f>
        <x:v>HYPERLINK is not implemented. linkLocation=https://365nails.com/products/ink-wash-bamboo-chinese-style-nail-art-set, friendlyName=Ink Wash Bamboo – Chinese Style Nail Art Set</x:v>
      </x:c>
      <x:c r="D7311" s="18" t="str">
        <x:v>Specification type: To3961 / To3962 / To3963</x:v>
      </x:c>
      <x:c r="E7311" s="25" t="str">
        <x:v>$1.23</x:v>
      </x:c>
      <x:c r="F7311" s="19" t="str">
        <x:v>5</x:v>
      </x:c>
    </x:row>
    <x:row r="7312" ht="93" customHeight="1">
      <x:c r="A7312" s="19" t="n">
        <x:v>7309</x:v>
      </x:c>
      <x:c r="B7312" s="22" t="e">
        <x:f>HYPERLINK("https://cdn.shopify.com/s/files/1/0918/6066/4603/files/O1CN01NSNOQ81HlX7rdTY8w__2545140798-0-cib.jpg?v=1773924739","Open")</x:f>
        <x:v>HYPERLINK is not implemented. linkLocation=https://cdn.shopify.com/s/files/1/0918/6066/4603/files/O1CN01NSNOQ81HlX7rdTY8w__2545140798-0-cib.jpg?v=1773924739, friendlyName=Open</x:v>
      </x:c>
      <x:c r="C7312" s="24" t="e">
        <x:f>HYPERLINK("https://365nails.com/products/mini-blue-butterfly-azure-flutter-5d-embossed-nail-sticker","Mini Blue Butterfly: ""Azure Flutter"" – 5D Embossed Nail Sticker")</x:f>
        <x:v>HYPERLINK is not implemented. linkLocation=https://365nails.com/products/mini-blue-butterfly-azure-flutter-5d-embossed-nail-sticker, friendlyName=Mini Blue Butterfly: "Azure Flutter" – 5D Embossed Nail Sticker</x:v>
      </x:c>
      <x:c r="D7312" s="18" t="str">
        <x:v>Specification type: Ta398-metal / Ta399-metal</x:v>
      </x:c>
      <x:c r="E7312" s="25" t="str">
        <x:v>$1.23</x:v>
      </x:c>
      <x:c r="F7312" s="19" t="str">
        <x:v>5</x:v>
      </x:c>
    </x:row>
    <x:row r="7313" ht="93" customHeight="1">
      <x:c r="A7313" s="19" t="n">
        <x:v>7310</x:v>
      </x:c>
      <x:c r="B7313" s="22" t="e">
        <x:f>HYPERLINK("https://cdn.shopify.com/s/files/1/0918/6066/4603/files/O1CN018Yn7Fh1HlWuRsCgAv__2545140798-0-cib.jpg?v=1773650775","Open")</x:f>
        <x:v>HYPERLINK is not implemented. linkLocation=https://cdn.shopify.com/s/files/1/0918/6066/4603/files/O1CN018Yn7Fh1HlWuRsCgAv__2545140798-0-cib.jpg?v=1773650775, friendlyName=Open</x:v>
      </x:c>
      <x:c r="C7313" s="24" t="e">
        <x:f>HYPERLINK("https://365nails.com/products/iris-girl-abstract-art-indigo-fantasy-5d-embossed-nail-sticker","Iris Girl &amp; Abstract Art: ""Indigo Fantasy"" – 5D Embossed Nail Sticker")</x:f>
        <x:v>HYPERLINK is not implemented. linkLocation=https://365nails.com/products/iris-girl-abstract-art-indigo-fantasy-5d-embossed-nail-sticker, friendlyName=Iris Girl &amp; Abstract Art: "Indigo Fantasy" – 5D Embossed Nail Sticker</x:v>
      </x:c>
      <x:c r="D7313" s="18" t="str">
        <x:v>Specification type: To3059 / To3064 / To3065</x:v>
      </x:c>
      <x:c r="E7313" s="25" t="str">
        <x:v>$1.23</x:v>
      </x:c>
      <x:c r="F7313" s="19" t="str">
        <x:v>5</x:v>
      </x:c>
    </x:row>
    <x:row r="7314" ht="93" customHeight="1">
      <x:c r="A7314" s="19" t="n">
        <x:v>7311</x:v>
      </x:c>
      <x:c r="B7314" s="22" t="e">
        <x:f>HYPERLINK("https://cdn.shopify.com/s/files/1/0918/6066/4603/files/O1CN010t2soB1HlX0BR0XqA__2545140798-0-cib_b92d6d08-1cde-4329-9a00-224a48f47da4.jpg?v=1773929900","Open")</x:f>
        <x:v>HYPERLINK is not implemented. linkLocation=https://cdn.shopify.com/s/files/1/0918/6066/4603/files/O1CN010t2soB1HlX0BR0XqA__2545140798-0-cib_b92d6d08-1cde-4329-9a00-224a48f47da4.jpg?v=1773929900, friendlyName=Open</x:v>
      </x:c>
      <x:c r="C7314" s="24" t="e">
        <x:f>HYPERLINK("https://365nails.com/products/lovely-tulip-script-spring-tulip-tale-5d-embossed-nail-sticker","Lovely Tulip &amp; Script: ""Spring Tulip Tale"" – 5D Embossed Nail Sticker")</x:f>
        <x:v>HYPERLINK is not implemented. linkLocation=https://365nails.com/products/lovely-tulip-script-spring-tulip-tale-5d-embossed-nail-sticker, friendlyName=Lovely Tulip &amp; Script: "Spring Tulip Tale" – 5D Embossed Nail Sticker</x:v>
      </x:c>
      <x:c r="D7314" s="18" t="str">
        <x:v>Specification type: To3840-jelly / To3841-relief</x:v>
      </x:c>
      <x:c r="E7314" s="25" t="str">
        <x:v>$1.23</x:v>
      </x:c>
      <x:c r="F7314" s="19" t="str">
        <x:v>5</x:v>
      </x:c>
    </x:row>
    <x:row r="7315" ht="93" customHeight="1">
      <x:c r="A7315" s="19" t="n">
        <x:v>7312</x:v>
      </x:c>
      <x:c r="B7315" s="22" t="e">
        <x:f>HYPERLINK("https://cdn.shopify.com/s/files/1/0918/6066/4603/files/a40c30d28077b62bf979f0e8c77a2afb.jpg?v=1773060624","Open")</x:f>
        <x:v>HYPERLINK is not implemented. linkLocation=https://cdn.shopify.com/s/files/1/0918/6066/4603/files/a40c30d28077b62bf979f0e8c77a2afb.jpg?v=1773060624, friendlyName=Open</x:v>
      </x:c>
      <x:c r="C7315" s="24" t="e">
        <x:f>HYPERLINK("https://365nails.com/products/blue-pink-butterfly-flutter-delicate-nail-art-set","Blue &amp; Pink Butterfly Flutter – Delicate Nail Art Set")</x:f>
        <x:v>HYPERLINK is not implemented. linkLocation=https://365nails.com/products/blue-pink-butterfly-flutter-delicate-nail-art-set, friendlyName=Blue &amp; Pink Butterfly Flutter – Delicate Nail Art Set</x:v>
      </x:c>
      <x:c r="D7315" s="18" t="str">
        <x:v>Color: Tomoni 202 white / Tomoni 206 / To202 black / To1974</x:v>
      </x:c>
      <x:c r="E7315" s="25" t="str">
        <x:v>$1.23</x:v>
      </x:c>
      <x:c r="F7315" s="19" t="str">
        <x:v>5</x:v>
      </x:c>
    </x:row>
    <x:row r="7316" ht="93" customHeight="1">
      <x:c r="A7316" s="19" t="n">
        <x:v>7313</x:v>
      </x:c>
      <x:c r="B7316" s="22" t="e">
        <x:f>HYPERLINK("https://cdn.shopify.com/s/files/1/0918/6066/4603/files/b49c09384e63cb5be6d1967454d7b3c2.jpg?v=1777555382","Open")</x:f>
        <x:v>HYPERLINK is not implemented. linkLocation=https://cdn.shopify.com/s/files/1/0918/6066/4603/files/b49c09384e63cb5be6d1967454d7b3c2.jpg?v=1777555382, friendlyName=Open</x:v>
      </x:c>
      <x:c r="C7316" s="24" t="e">
        <x:f>HYPERLINK("https://365nails.com/products/365nails-sunset-yellow-flower-handmade-medium-square-press-on-nails","365nails: ""Sunset Yellow Flower"" – Handmade Medium Square Press-On Nails")</x:f>
        <x:v>HYPERLINK is not implemented. linkLocation=https://365nails.com/products/365nails-sunset-yellow-flower-handmade-medium-square-press-on-nails, friendlyName=365nails: "Sunset Yellow Flower" – Handmade Medium Square Press-On Nails</x:v>
      </x:c>
      <x:c r="D7316" s="18" t="str">
        <x:v>Size: XS / S / M / L</x:v>
      </x:c>
      <x:c r="E7316" s="25" t="str">
        <x:v>$4.99</x:v>
      </x:c>
      <x:c r="F7316" s="19" t="str">
        <x:v>5</x:v>
      </x:c>
    </x:row>
    <x:row r="7317" ht="93" customHeight="1">
      <x:c r="A7317" s="19" t="n">
        <x:v>7314</x:v>
      </x:c>
      <x:c r="B7317" s="22" t="e">
        <x:f>HYPERLINK("https://cdn.shopify.com/s/files/1/0918/6066/4603/files/f102d6f7adaeef86c200d472dba08c32.jpg?v=1777543006","Open")</x:f>
        <x:v>HYPERLINK is not implemented. linkLocation=https://cdn.shopify.com/s/files/1/0918/6066/4603/files/f102d6f7adaeef86c200d472dba08c32.jpg?v=1777543006, friendlyName=Open</x:v>
      </x:c>
      <x:c r="C7317" s="24" t="e">
        <x:f>HYPERLINK("https://365nails.com/products/365nails-coral-beach-shell-handmade-medium-almond-press-on-nails","365nails: ""Coral Beach Shell"" – Handmade Medium Almond Press-On Nails")</x:f>
        <x:v>HYPERLINK is not implemented. linkLocation=https://365nails.com/products/365nails-coral-beach-shell-handmade-medium-almond-press-on-nails, friendlyName=365nails: "Coral Beach Shell" – Handmade Medium Almond Press-On Nails</x:v>
      </x:c>
      <x:c r="D7317" s="18" t="str">
        <x:v>Size: XS / S / M / L</x:v>
      </x:c>
      <x:c r="E7317" s="25" t="str">
        <x:v>$4.99</x:v>
      </x:c>
      <x:c r="F7317" s="19" t="str">
        <x:v>5</x:v>
      </x:c>
    </x:row>
    <x:row r="7318" ht="93" customHeight="1">
      <x:c r="A7318" s="19" t="n">
        <x:v>7315</x:v>
      </x:c>
      <x:c r="B7318" s="22" t="e">
        <x:f>HYPERLINK("https://cdn.shopify.com/s/files/1/0918/6066/4603/files/O1CN01mFQdY11HlX3LpP9k7__2545140798-0-cib.jpg?v=1773839735","Open")</x:f>
        <x:v>HYPERLINK is not implemented. linkLocation=https://cdn.shopify.com/s/files/1/0918/6066/4603/files/O1CN01mFQdY11HlX3LpP9k7__2545140798-0-cib.jpg?v=1773839735, friendlyName=Open</x:v>
      </x:c>
      <x:c r="C7318" s="24" t="e">
        <x:f>HYPERLINK("https://365nails.com/products/leopard-print-bow-retro-leopard-bow-5d-embossed-nail-sticker","Leopard Print &amp; Bow: ""Retro Leopard Bow"" – 5D Embossed Nail Sticker")</x:f>
        <x:v>HYPERLINK is not implemented. linkLocation=https://365nails.com/products/leopard-print-bow-retro-leopard-bow-5d-embossed-nail-sticker, friendlyName=Leopard Print &amp; Bow: "Retro Leopard Bow" – 5D Embossed Nail Sticker</x:v>
      </x:c>
      <x:c r="D7318" s="18" t="str">
        <x:v>Specification type: Ms 690-1 / Ms 691-1</x:v>
      </x:c>
      <x:c r="E7318" s="25" t="str">
        <x:v>$2.09</x:v>
      </x:c>
      <x:c r="F7318" s="19" t="str">
        <x:v>5</x:v>
      </x:c>
    </x:row>
    <x:row r="7319" ht="93" customHeight="1">
      <x:c r="A7319" s="19" t="n">
        <x:v>7316</x:v>
      </x:c>
      <x:c r="B7319" s="22" t="e">
        <x:f>HYPERLINK("https://cdn.shopify.com/s/files/1/0918/6066/4603/files/3dee4511e1bc75fde603a690081d331f.jpg?v=1772975025","Open")</x:f>
        <x:v>HYPERLINK is not implemented. linkLocation=https://cdn.shopify.com/s/files/1/0918/6066/4603/files/3dee4511e1bc75fde603a690081d331f.jpg?v=1772975025, friendlyName=Open</x:v>
      </x:c>
      <x:c r="C7319" s="24" t="e">
        <x:f>HYPERLINK("https://365nails.com/products/embossed-snowflake-winter-wonderland-nail-art-set","Embossed Snowflake – Winter Wonderland Nail Art Set")</x:f>
        <x:v>HYPERLINK is not implemented. linkLocation=https://365nails.com/products/embossed-snowflake-winter-wonderland-nail-art-set, friendlyName=Embossed Snowflake – Winter Wonderland Nail Art Set</x:v>
      </x:c>
      <x:c r="D7319" s="18" t="str">
        <x:v>Specification type: Ms 489 / Ms490-5d micro engraving</x:v>
      </x:c>
      <x:c r="E7319" s="25" t="str">
        <x:v>$1.23</x:v>
      </x:c>
      <x:c r="F7319" s="19" t="str">
        <x:v>5</x:v>
      </x:c>
    </x:row>
    <x:row r="7320" ht="93" customHeight="1">
      <x:c r="A7320" s="19" t="n">
        <x:v>7317</x:v>
      </x:c>
      <x:c r="B7320" s="22" t="e">
        <x:f>HYPERLINK("https://cdn.shopify.com/s/files/1/0918/6066/4603/files/37c18846cff7621896374dbd6c862bc5.jpg?v=1773061325","Open")</x:f>
        <x:v>HYPERLINK is not implemented. linkLocation=https://cdn.shopify.com/s/files/1/0918/6066/4603/files/37c18846cff7621896374dbd6c862bc5.jpg?v=1773061325, friendlyName=Open</x:v>
      </x:c>
      <x:c r="C7320" s="24" t="e">
        <x:f>HYPERLINK("https://365nails.com/products/royal-gold-filigree-elegant-metal-nail-art-set","Royal Gold Filigree – Elegant Metal Nail Art Set")</x:f>
        <x:v>HYPERLINK is not implemented. linkLocation=https://365nails.com/products/royal-gold-filigree-elegant-metal-nail-art-set, friendlyName=Royal Gold Filigree – Elegant Metal Nail Art Set</x:v>
      </x:c>
      <x:c r="D7320" s="18" t="str">
        <x:v>Specification type: Ms841-metal / Ms842-metal / Ms843-metal</x:v>
      </x:c>
      <x:c r="E7320" s="25" t="str">
        <x:v>$1.23</x:v>
      </x:c>
      <x:c r="F7320" s="19" t="str">
        <x:v>5</x:v>
      </x:c>
    </x:row>
    <x:row r="7321" ht="93" customHeight="1">
      <x:c r="A7321" s="19" t="n">
        <x:v>7318</x:v>
      </x:c>
      <x:c r="B7321" s="22" t="e">
        <x:f>HYPERLINK("https://cdn.shopify.com/s/files/1/0918/6066/4603/files/a21e51f12d0faa12b32bbd115eaa6dcb.jpg?v=1772972243","Open")</x:f>
        <x:v>HYPERLINK is not implemented. linkLocation=https://cdn.shopify.com/s/files/1/0918/6066/4603/files/a21e51f12d0faa12b32bbd115eaa6dcb.jpg?v=1772972243, friendlyName=Open</x:v>
      </x:c>
      <x:c r="C7321" s="24" t="e">
        <x:f>HYPERLINK("https://365nails.com/products/shell-iridescent-dragon-chinese-style-nail-art-set","Shell Iridescent Dragon – Chinese Style Nail Art Set")</x:f>
        <x:v>HYPERLINK is not implemented. linkLocation=https://365nails.com/products/shell-iridescent-dragon-chinese-style-nail-art-set, friendlyName=Shell Iridescent Dragon – Chinese Style Nail Art Set</x:v>
      </x:c>
      <x:c r="D7321" s="18" t="str">
        <x:v>Specification type: To3386 / To3388</x:v>
      </x:c>
      <x:c r="E7321" s="25" t="str">
        <x:v>$1.23</x:v>
      </x:c>
      <x:c r="F7321" s="19" t="str">
        <x:v>5</x:v>
      </x:c>
    </x:row>
    <x:row r="7322" ht="93" customHeight="1">
      <x:c r="A7322" s="19" t="n">
        <x:v>7319</x:v>
      </x:c>
      <x:c r="B7322" s="22" t="e">
        <x:f>HYPERLINK("https://cdn.shopify.com/s/files/1/0918/6066/4603/files/ef3d701dfadc4b7beef74b052fc8b861.jpg?v=1777561939","Open")</x:f>
        <x:v>HYPERLINK is not implemented. linkLocation=https://cdn.shopify.com/s/files/1/0918/6066/4603/files/ef3d701dfadc4b7beef74b052fc8b861.jpg?v=1777561939, friendlyName=Open</x:v>
      </x:c>
      <x:c r="C7322" s="24" t="e">
        <x:f>HYPERLINK("https://365nails.com/products/365nails-red-french-cherry-handmade-medium-square-press-on-nails","365nails: ""Red French Cherry"" – Handmade Medium Square Press-On Nails")</x:f>
        <x:v>HYPERLINK is not implemented. linkLocation=https://365nails.com/products/365nails-red-french-cherry-handmade-medium-square-press-on-nails, friendlyName=365nails: "Red French Cherry" – Handmade Medium Square Press-On Nails</x:v>
      </x:c>
      <x:c r="D7322" s="18" t="str">
        <x:v>Size: XS / S / M / L</x:v>
      </x:c>
      <x:c r="E7322" s="25" t="str">
        <x:v>$4.99</x:v>
      </x:c>
      <x:c r="F7322" s="19" t="str">
        <x:v>5</x:v>
      </x:c>
    </x:row>
    <x:row r="7323" ht="93" customHeight="1">
      <x:c r="A7323" s="19" t="n">
        <x:v>7320</x:v>
      </x:c>
      <x:c r="B7323" s="22" t="e">
        <x:f>HYPERLINK("https://cdn.shopify.com/s/files/1/0918/6066/4603/files/806f69f2900796f59872487ec6a68199.jpg?v=1777553847","Open")</x:f>
        <x:v>HYPERLINK is not implemented. linkLocation=https://cdn.shopify.com/s/files/1/0918/6066/4603/files/806f69f2900796f59872487ec6a68199.jpg?v=1777553847, friendlyName=Open</x:v>
      </x:c>
      <x:c r="C7323" s="24" t="e">
        <x:f>HYPERLINK("https://365nails.com/products/365nails-y2k-cherry-polka-dot-handmade-medium-almond-press-on-nails","365nails: ""Y2K Cherry Polka Dot"" – Handmade Medium Almond Press-On Nails")</x:f>
        <x:v>HYPERLINK is not implemented. linkLocation=https://365nails.com/products/365nails-y2k-cherry-polka-dot-handmade-medium-almond-press-on-nails, friendlyName=365nails: "Y2K Cherry Polka Dot" – Handmade Medium Almond Press-On Nails</x:v>
      </x:c>
      <x:c r="D7323" s="18" t="str">
        <x:v>Size: XS / S / M / L</x:v>
      </x:c>
      <x:c r="E7323" s="25" t="str">
        <x:v>$4.99</x:v>
      </x:c>
      <x:c r="F7323" s="19" t="str">
        <x:v>5</x:v>
      </x:c>
    </x:row>
    <x:row r="7324" ht="93" customHeight="1">
      <x:c r="A7324" s="19" t="n">
        <x:v>7321</x:v>
      </x:c>
      <x:c r="B7324" s="22" t="e">
        <x:f>HYPERLINK("https://cdn.shopify.com/s/files/1/0918/6066/4603/files/O1CN012J8YhV1HlWzcBMyep__2545140798-0-cib.jpg?v=1773757878","Open")</x:f>
        <x:v>HYPERLINK is not implemented. linkLocation=https://cdn.shopify.com/s/files/1/0918/6066/4603/files/O1CN012J8YhV1HlWzcBMyep__2545140798-0-cib.jpg?v=1773757878, friendlyName=Open</x:v>
      </x:c>
      <x:c r="C7324" s="24" t="e">
        <x:f>HYPERLINK("https://365nails.com/products/pastel-tulip-ribbon-frame-sweet-tulip-garden-5d-embossed-nail-sticker","Pastel Tulip &amp; Ribbon Frame: ""Sweet Tulip Garden"" – 5D Embossed Nail Sticker")</x:f>
        <x:v>HYPERLINK is not implemented. linkLocation=https://365nails.com/products/pastel-tulip-ribbon-frame-sweet-tulip-garden-5d-embossed-nail-sticker, friendlyName=Pastel Tulip &amp; Ribbon Frame: "Sweet Tulip Garden" – 5D Embossed Nail Sticker</x:v>
      </x:c>
      <x:c r="D7324" s="18" t="str">
        <x:v>Specification type: To3796-relief / Ms423-green gold</x:v>
      </x:c>
      <x:c r="E7324" s="25" t="str">
        <x:v>$1.23</x:v>
      </x:c>
      <x:c r="F7324" s="19" t="str">
        <x:v>5</x:v>
      </x:c>
    </x:row>
    <x:row r="7325" ht="93" customHeight="1">
      <x:c r="A7325" s="19" t="n">
        <x:v>7322</x:v>
      </x:c>
      <x:c r="B7325" s="22" t="e">
        <x:f>HYPERLINK("https://cdn.shopify.com/s/files/1/0918/6066/4603/files/O1CN01Nhzk3B1HlWxT4BzDj__2545140798-0-cib.jpg?v=1772967879","Open")</x:f>
        <x:v>HYPERLINK is not implemented. linkLocation=https://cdn.shopify.com/s/files/1/0918/6066/4603/files/O1CN01Nhzk3B1HlWxT4BzDj__2545140798-0-cib.jpg?v=1772967879, friendlyName=Open</x:v>
      </x:c>
      <x:c r="C7325" s="24" t="e">
        <x:f>HYPERLINK("https://365nails.com/products/jelly-holographic-butterflies-iridescent-nail-art-set","Jelly Holographic Butterflies – Iridescent Nail Art Set")</x:f>
        <x:v>HYPERLINK is not implemented. linkLocation=https://365nails.com/products/jelly-holographic-butterflies-iridescent-nail-art-set, friendlyName=Jelly Holographic Butterflies – Iridescent Nail Art Set</x:v>
      </x:c>
      <x:c r="D7325" s="18" t="str">
        <x:v>Specification type: Ms480-jelly / Ms481-jelly / Ms482-jelly / Ms485-relief / Ms483-shell light</x:v>
      </x:c>
      <x:c r="E7325" s="25" t="str">
        <x:v>$1.23</x:v>
      </x:c>
      <x:c r="F7325" s="19" t="str">
        <x:v>5</x:v>
      </x:c>
    </x:row>
    <x:row r="7326" ht="93" customHeight="1">
      <x:c r="A7326" s="19" t="n">
        <x:v>7323</x:v>
      </x:c>
      <x:c r="B7326" s="22" t="e">
        <x:f>HYPERLINK("https://cdn.shopify.com/s/files/1/0918/6066/4603/files/ef5270923b46ff8aab75e61937e2fac3.jpg?v=1777542864","Open")</x:f>
        <x:v>HYPERLINK is not implemented. linkLocation=https://cdn.shopify.com/s/files/1/0918/6066/4603/files/ef5270923b46ff8aab75e61937e2fac3.jpg?v=1777542864, friendlyName=Open</x:v>
      </x:c>
      <x:c r="C7326" s="24" t="e">
        <x:f>HYPERLINK("https://365nails.com/products/365nails-grunge-cross-floral-handmade-medium-almond-press-on-nails","365nails: ""Grunge Cross &amp; Floral"" – Handmade Medium Almond Press-On Nails")</x:f>
        <x:v>HYPERLINK is not implemented. linkLocation=https://365nails.com/products/365nails-grunge-cross-floral-handmade-medium-almond-press-on-nails, friendlyName=365nails: "Grunge Cross &amp; Floral" – Handmade Medium Almond Press-On Nails</x:v>
      </x:c>
      <x:c r="D7326" s="18" t="str">
        <x:v>Size: XS / S / M / L</x:v>
      </x:c>
      <x:c r="E7326" s="25" t="str">
        <x:v>$4.99</x:v>
      </x:c>
      <x:c r="F7326" s="19" t="str">
        <x:v>5</x:v>
      </x:c>
    </x:row>
    <x:row r="7327" ht="93" customHeight="1">
      <x:c r="A7327" s="19" t="n">
        <x:v>7324</x:v>
      </x:c>
      <x:c r="B7327" s="22" t="e">
        <x:f>HYPERLINK("https://cdn.shopify.com/s/files/1/0918/6066/4603/files/f4c39d3d110c19af3cf95eb1fffb37e2.jpg?v=1777554984","Open")</x:f>
        <x:v>HYPERLINK is not implemented. linkLocation=https://cdn.shopify.com/s/files/1/0918/6066/4603/files/f4c39d3d110c19af3cf95eb1fffb37e2.jpg?v=1777554984, friendlyName=Open</x:v>
      </x:c>
      <x:c r="C7327" s="24" t="e">
        <x:f>HYPERLINK("https://365nails.com/products/365nails-turquoise-grunge-angel-cross-handmade-medium-stiletto-press-on-nails","365nails: ""Turquoise Grunge Angel Cross"" – Handmade Medium Stiletto Press-On Nails")</x:f>
        <x:v>HYPERLINK is not implemented. linkLocation=https://365nails.com/products/365nails-turquoise-grunge-angel-cross-handmade-medium-stiletto-press-on-nails, friendlyName=365nails: "Turquoise Grunge Angel Cross" – Handmade Medium Stiletto Press-On Nails</x:v>
      </x:c>
      <x:c r="D7327" s="18" t="str">
        <x:v>Size: XS / S / M / L</x:v>
      </x:c>
      <x:c r="E7327" s="25" t="str">
        <x:v>$4.99</x:v>
      </x:c>
      <x:c r="F7327" s="19" t="str">
        <x:v>5</x:v>
      </x:c>
    </x:row>
    <x:row r="7328" ht="93" customHeight="1">
      <x:c r="A7328" s="19" t="n">
        <x:v>7325</x:v>
      </x:c>
      <x:c r="B7328" s="22" t="e">
        <x:f>HYPERLINK("https://cdn.shopify.com/s/files/1/0918/6066/4603/files/O1CN018obAPU1YmlLtCzJbz__2213953983102-0-cib.jpg?v=1772969055","Open")</x:f>
        <x:v>HYPERLINK is not implemented. linkLocation=https://cdn.shopify.com/s/files/1/0918/6066/4603/files/O1CN018obAPU1YmlLtCzJbz__2213953983102-0-cib.jpg?v=1772969055, friendlyName=Open</x:v>
      </x:c>
      <x:c r="C7328" s="24" t="e">
        <x:f>HYPERLINK("https://365nails.com/products/dunhuang-flying-apsaras-traditional-chinese-nail-art-set","Dunhuang Flying Apsaras – Traditional Chinese Nail Art Set")</x:f>
        <x:v>HYPERLINK is not implemented. linkLocation=https://365nails.com/products/dunhuang-flying-apsaras-traditional-chinese-nail-art-set, friendlyName=Dunhuang Flying Apsaras – Traditional Chinese Nail Art Set</x:v>
      </x:c>
      <x:c r="D7328" s="18" t="str">
        <x:v>Specification type: To1755 / To1759 / To1761 / To1757</x:v>
      </x:c>
      <x:c r="E7328" s="25" t="str">
        <x:v>$1.23</x:v>
      </x:c>
      <x:c r="F7328" s="19" t="str">
        <x:v>5</x:v>
      </x:c>
    </x:row>
    <x:row r="7329" ht="93" customHeight="1">
      <x:c r="A7329" s="19" t="n">
        <x:v>7326</x:v>
      </x:c>
      <x:c r="B7329" s="22" t="e">
        <x:f>HYPERLINK("https://cdn.shopify.com/s/files/1/0918/6066/4603/files/O1CN01pOxcQc1HlX40SbSFZ__2545140798-0-cib.jpg?v=1773653381","Open")</x:f>
        <x:v>HYPERLINK is not implemented. linkLocation=https://cdn.shopify.com/s/files/1/0918/6066/4603/files/O1CN01pOxcQc1HlX40SbSFZ__2545140798-0-cib.jpg?v=1773653381, friendlyName=Open</x:v>
      </x:c>
      <x:c r="C7329" s="24" t="e">
        <x:f>HYPERLINK("https://365nails.com/products/pastel-heart-gold-starburst-celestial-sweetheart-5d-embossed-nail-sticker","Pastel Heart &amp; Gold Starburst: ""Celestial Sweetheart"" – 5D Embossed Nail Sticker")</x:f>
        <x:v>HYPERLINK is not implemented. linkLocation=https://365nails.com/products/pastel-heart-gold-starburst-celestial-sweetheart-5d-embossed-nail-sticker, friendlyName=Pastel Heart &amp; Gold Starburst: "Celestial Sweetheart" – 5D Embossed Nail Sticker</x:v>
      </x:c>
      <x:c r="D7329" s="18" t="str">
        <x:v>Specification type: To3913-new hot stamping / To3913-silver / To4133-jelly</x:v>
      </x:c>
      <x:c r="E7329" s="25" t="str">
        <x:v>$1.23</x:v>
      </x:c>
      <x:c r="F7329" s="19" t="str">
        <x:v>5</x:v>
      </x:c>
    </x:row>
    <x:row r="7330" ht="93" customHeight="1">
      <x:c r="A7330" s="19" t="n">
        <x:v>7327</x:v>
      </x:c>
      <x:c r="B7330" s="22" t="e">
        <x:f>HYPERLINK("https://cdn.shopify.com/s/files/1/0918/6066/4603/files/O1CN01dXZRnh1HlWrD9xE24__2545140798-0-cib.jpg?v=1772962343","Open")</x:f>
        <x:v>HYPERLINK is not implemented. linkLocation=https://cdn.shopify.com/s/files/1/0918/6066/4603/files/O1CN01dXZRnh1HlWrD9xE24__2545140798-0-cib.jpg?v=1772962343, friendlyName=Open</x:v>
      </x:c>
      <x:c r="C7330" s="24" t="e">
        <x:f>HYPERLINK("https://365nails.com/products/holographic-hearts-iridescent-nail-art-set","Holographic Hearts – Iridescent Nail Art Set")</x:f>
        <x:v>HYPERLINK is not implemented. linkLocation=https://365nails.com/products/holographic-hearts-iridescent-nail-art-set, friendlyName=Holographic Hearts – Iridescent Nail Art Set</x:v>
      </x:c>
      <x:c r="D7330" s="18" t="str">
        <x:v>Specification type: To2526 laser / Ms290 laser</x:v>
      </x:c>
      <x:c r="E7330" s="25" t="str">
        <x:v>$1.09</x:v>
      </x:c>
      <x:c r="F7330" s="19" t="str">
        <x:v>5</x:v>
      </x:c>
    </x:row>
    <x:row r="7331" ht="93" customHeight="1">
      <x:c r="A7331" s="19" t="n">
        <x:v>7328</x:v>
      </x:c>
      <x:c r="B7331" s="22" t="e">
        <x:f>HYPERLINK("https://cdn.shopify.com/s/files/1/0918/6066/4603/files/a36280cb7f68c3f623172f171daa8496.jpg?v=1773146272","Open")</x:f>
        <x:v>HYPERLINK is not implemented. linkLocation=https://cdn.shopify.com/s/files/1/0918/6066/4603/files/a36280cb7f68c3f623172f171daa8496.jpg?v=1773146272, friendlyName=Open</x:v>
      </x:c>
      <x:c r="C7331" s="24" t="e">
        <x:f>HYPERLINK("https://365nails.com/products/christmas-sweet-party-festive-bear-nail-art-set","Christmas Sweet Party – Festive Bear Nail Art Stickers")</x:f>
        <x:v>HYPERLINK is not implemented. linkLocation=https://365nails.com/products/christmas-sweet-party-festive-bear-nail-art-set, friendlyName=Christmas Sweet Party – Festive Bear Nail Art Stickers</x:v>
      </x:c>
      <x:c r="D7331" s="18" t="str">
        <x:v>Specification type: To5469-shell light / To5470-shell light / To5490-relief</x:v>
      </x:c>
      <x:c r="E7331" s="25" t="str">
        <x:v>$1.23</x:v>
      </x:c>
      <x:c r="F7331" s="19" t="str">
        <x:v>5</x:v>
      </x:c>
    </x:row>
    <x:row r="7332" ht="93" customHeight="1">
      <x:c r="A7332" s="19" t="n">
        <x:v>7329</x:v>
      </x:c>
      <x:c r="B7332" s="22" t="e">
        <x:f>HYPERLINK("https://cdn.shopify.com/s/files/1/0918/6066/4603/files/O1CN01mz5GjH1HlX4k9WpBC__2545140798-0-cib.jpg?v=1773840340","Open")</x:f>
        <x:v>HYPERLINK is not implemented. linkLocation=https://cdn.shopify.com/s/files/1/0918/6066/4603/files/O1CN01mz5GjH1HlX4k9WpBC__2545140798-0-cib.jpg?v=1773840340, friendlyName=Open</x:v>
      </x:c>
      <x:c r="C7332" s="24" t="e">
        <x:f>HYPERLINK("https://365nails.com/products/holographic-tassel-fringe-laser-silver-tassel-fringe-5d-embossed-nail-sticker","Holographic Tassel Fringe: ""Laser Silver Tassel Fringe"" – 5D Embossed Nail Sticker")</x:f>
        <x:v>HYPERLINK is not implemented. linkLocation=https://365nails.com/products/holographic-tassel-fringe-laser-silver-tassel-fringe-5d-embossed-nail-sticker, friendlyName=Holographic Tassel Fringe: "Laser Silver Tassel Fringe" – 5D Embossed Nail Sticker</x:v>
      </x:c>
      <x:c r="D7332" s="18" t="str">
        <x:v>Specification type: To4780-laser silver / To4780-glitter / To4780-flash silver / To4780-flash purple / To4780-new hot stamping / To4780-silver / To4780-laser powder</x:v>
      </x:c>
      <x:c r="E7332" s="25" t="str">
        <x:v>$1.23</x:v>
      </x:c>
      <x:c r="F7332" s="19" t="str">
        <x:v>5</x:v>
      </x:c>
    </x:row>
    <x:row r="7333" ht="93" customHeight="1">
      <x:c r="A7333" s="19" t="n">
        <x:v>7330</x:v>
      </x:c>
      <x:c r="B7333" s="22" t="e">
        <x:f>HYPERLINK("https://cdn.shopify.com/s/files/1/0918/6066/4603/files/O1CN01uxRWy71HlX6iguaV6__2545140798-0-cib.jpg?v=1773666719","Open")</x:f>
        <x:v>HYPERLINK is not implemented. linkLocation=https://cdn.shopify.com/s/files/1/0918/6066/4603/files/O1CN01uxRWy71HlX6iguaV6__2545140798-0-cib.jpg?v=1773666719, friendlyName=Open</x:v>
      </x:c>
      <x:c r="C7333" s="24" t="e">
        <x:f>HYPERLINK("https://365nails.com/products/iridescent-summer-fruits-fruity-summer-glow-5d-embossed-nail-sticker","Iridescent Summer Fruits: ""Fruity Summer Glow"" – 5D Embossed Nail Sticker")</x:f>
        <x:v>HYPERLINK is not implemented. linkLocation=https://365nails.com/products/iridescent-summer-fruits-fruity-summer-glow-5d-embossed-nail-sticker, friendlyName=Iridescent Summer Fruits: "Fruity Summer Glow" – 5D Embossed Nail Sticker</x:v>
      </x:c>
      <x:c r="D7333" s="18" t="str">
        <x:v>Specification type: To4361-shell light / To5017-jelly</x:v>
      </x:c>
      <x:c r="E7333" s="25" t="str">
        <x:v>$1.23</x:v>
      </x:c>
      <x:c r="F7333" s="19" t="str">
        <x:v>5</x:v>
      </x:c>
    </x:row>
    <x:row r="7334" ht="93" customHeight="1">
      <x:c r="A7334" s="19" t="n">
        <x:v>7331</x:v>
      </x:c>
      <x:c r="B7334" s="22" t="e">
        <x:f>HYPERLINK("https://cdn.shopify.com/s/files/1/0918/6066/4603/files/7673dfc144fab4957d5ffd4a1cf5097d.jpg?v=1777554182","Open")</x:f>
        <x:v>HYPERLINK is not implemented. linkLocation=https://cdn.shopify.com/s/files/1/0918/6066/4603/files/7673dfc144fab4957d5ffd4a1cf5097d.jpg?v=1777554182, friendlyName=Open</x:v>
      </x:c>
      <x:c r="C7334" s="24" t="e">
        <x:f>HYPERLINK("https://365nails.com/products/365nails-blue-silver-croc-print-handmade-medium-stiletto-press-on-nails","365nails: ""Blue &amp; Silver Croc Print"" – Handmade Medium Stiletto Press-On Nails")</x:f>
        <x:v>HYPERLINK is not implemented. linkLocation=https://365nails.com/products/365nails-blue-silver-croc-print-handmade-medium-stiletto-press-on-nails, friendlyName=365nails: "Blue &amp; Silver Croc Print" – Handmade Medium Stiletto Press-On Nails</x:v>
      </x:c>
      <x:c r="D7334" s="18" t="str">
        <x:v>Size: XS / S / M / L</x:v>
      </x:c>
      <x:c r="E7334" s="25" t="str">
        <x:v>$4.99</x:v>
      </x:c>
      <x:c r="F7334" s="19" t="str">
        <x:v>5</x:v>
      </x:c>
    </x:row>
    <x:row r="7335" ht="93" customHeight="1">
      <x:c r="A7335" s="19" t="n">
        <x:v>7332</x:v>
      </x:c>
      <x:c r="B7335" s="22" t="e">
        <x:f>HYPERLINK("https://cdn.shopify.com/s/files/1/0918/6066/4603/files/f72f069fed95a1b20a216e71d8e94037.jpg?v=1772974420","Open")</x:f>
        <x:v>HYPERLINK is not implemented. linkLocation=https://cdn.shopify.com/s/files/1/0918/6066/4603/files/f72f069fed95a1b20a216e71d8e94037.jpg?v=1772974420, friendlyName=Open</x:v>
      </x:c>
      <x:c r="C7335" s="24" t="e">
        <x:f>HYPERLINK("https://365nails.com/products/crystal-diamond-butterfly-holographic-nail-art-set","Crystal Diamond Butterfly – Holographic Nail Art Set")</x:f>
        <x:v>HYPERLINK is not implemented. linkLocation=https://365nails.com/products/crystal-diamond-butterfly-holographic-nail-art-set, friendlyName=Crystal Diamond Butterfly – Holographic Nail Art Set</x:v>
      </x:c>
      <x:c r="D7335" s="18" t="str">
        <x:v>Specification type: Ms484-crystal diamond / To3499-crystal diamond</x:v>
      </x:c>
      <x:c r="E7335" s="25" t="str">
        <x:v>$1.23</x:v>
      </x:c>
      <x:c r="F7335" s="19" t="str">
        <x:v>5</x:v>
      </x:c>
    </x:row>
    <x:row r="7336" ht="93" customHeight="1">
      <x:c r="A7336" s="19" t="n">
        <x:v>7333</x:v>
      </x:c>
      <x:c r="B7336" s="22" t="e">
        <x:f>HYPERLINK("https://cdn.shopify.com/s/files/1/0918/6066/4603/files/0c9528f7bd933433fa498b4d5380a677.jpg?v=1777554543","Open")</x:f>
        <x:v>HYPERLINK is not implemented. linkLocation=https://cdn.shopify.com/s/files/1/0918/6066/4603/files/0c9528f7bd933433fa498b4d5380a677.jpg?v=1777554543, friendlyName=Open</x:v>
      </x:c>
      <x:c r="C7336" s="24" t="e">
        <x:f>HYPERLINK("https://365nails.com/products/365nails-retro-polka-dot-handmade-medium-almond-press-on-nails","365nails: ""Retro Polka Dot"" – Handmade Medium Almond Press-On Nails")</x:f>
        <x:v>HYPERLINK is not implemented. linkLocation=https://365nails.com/products/365nails-retro-polka-dot-handmade-medium-almond-press-on-nails, friendlyName=365nails: "Retro Polka Dot" – Handmade Medium Almond Press-On Nails</x:v>
      </x:c>
      <x:c r="D7336" s="18" t="str">
        <x:v>Size: XS / S / M / L</x:v>
      </x:c>
      <x:c r="E7336" s="25" t="str">
        <x:v>$4.99</x:v>
      </x:c>
      <x:c r="F7336" s="19" t="str">
        <x:v>5</x:v>
      </x:c>
    </x:row>
    <x:row r="7337" ht="93" customHeight="1">
      <x:c r="A7337" s="19" t="n">
        <x:v>7334</x:v>
      </x:c>
      <x:c r="B7337" s="22" t="e">
        <x:f>HYPERLINK("https://cdn.shopify.com/s/files/1/0918/6066/4603/files/O1CN01mAxBGN1HlX85lc8cw__2545140798-0-cib.jpg?v=1773925124","Open")</x:f>
        <x:v>HYPERLINK is not implemented. linkLocation=https://cdn.shopify.com/s/files/1/0918/6066/4603/files/O1CN01mAxBGN1HlX85lc8cw__2545140798-0-cib.jpg?v=1773925124, friendlyName=Open</x:v>
      </x:c>
      <x:c r="C7337" s="24" t="e">
        <x:f>HYPERLINK("https://365nails.com/products/star-moon-snake-mystic-moon-serpent-5d-embossed-nail-sticker","Star Moon Snake: ""Mystic Moon Serpent"" – 5D Embossed Nail Sticker")</x:f>
        <x:v>HYPERLINK is not implemented. linkLocation=https://365nails.com/products/star-moon-snake-mystic-moon-serpent-5d-embossed-nail-sticker, friendlyName=Star Moon Snake: "Mystic Moon Serpent" – 5D Embossed Nail Sticker</x:v>
      </x:c>
      <x:c r="D7337" s="18" t="str">
        <x:v>Specification type: Ta 400 / Ta 401</x:v>
      </x:c>
      <x:c r="E7337" s="25" t="str">
        <x:v>$1.09</x:v>
      </x:c>
      <x:c r="F7337" s="19" t="str">
        <x:v>5</x:v>
      </x:c>
    </x:row>
    <x:row r="7338" ht="93" customHeight="1">
      <x:c r="A7338" s="19" t="n">
        <x:v>7335</x:v>
      </x:c>
      <x:c r="B7338" s="22" t="e">
        <x:f>HYPERLINK("https://cdn.shopify.com/s/files/1/0918/6066/4603/files/dc0489705372b4b269c37221412b9ee0.jpg?v=1772973739","Open")</x:f>
        <x:v>HYPERLINK is not implemented. linkLocation=https://cdn.shopify.com/s/files/1/0918/6066/4603/files/dc0489705372b4b269c37221412b9ee0.jpg?v=1772973739, friendlyName=Open</x:v>
      </x:c>
      <x:c r="C7338" s="24" t="e">
        <x:f>HYPERLINK("https://365nails.com/products/panda-embossed-cute-chinese-style-nail-art-set","Panda Embossed – Cute Chinese Style Nail Art Set")</x:f>
        <x:v>HYPERLINK is not implemented. linkLocation=https://365nails.com/products/panda-embossed-cute-chinese-style-nail-art-set, friendlyName=Panda Embossed – Cute Chinese Style Nail Art Set</x:v>
      </x:c>
      <x:c r="D7338" s="18" t="str">
        <x:v>Specification type: To3452 / To3485</x:v>
      </x:c>
      <x:c r="E7338" s="25" t="str">
        <x:v>$1.23</x:v>
      </x:c>
      <x:c r="F7338" s="19" t="str">
        <x:v>5</x:v>
      </x:c>
    </x:row>
    <x:row r="7339" ht="93" customHeight="1">
      <x:c r="A7339" s="19" t="n">
        <x:v>7336</x:v>
      </x:c>
      <x:c r="B7339" s="22" t="e">
        <x:f>HYPERLINK("https://cdn.shopify.com/s/files/1/0918/6066/4603/files/O1CN01wVHtyd1HlX1MynNFo__2545140798-0-cib.jpg?v=1773746306","Open")</x:f>
        <x:v>HYPERLINK is not implemented. linkLocation=https://cdn.shopify.com/s/files/1/0918/6066/4603/files/O1CN01wVHtyd1HlX1MynNFo__2545140798-0-cib.jpg?v=1773746306, friendlyName=Open</x:v>
      </x:c>
      <x:c r="C7339" s="24" t="e">
        <x:f>HYPERLINK("https://365nails.com/products/white-jasmine-green-leaf-zhibai-pure-jasmine-5d-embossed-nail-sticker","White Jasmine &amp; Green Leaf: ""ZHIBAI Pure Jasmine"" – 5D Embossed Nail Sticker")</x:f>
        <x:v>HYPERLINK is not implemented. linkLocation=https://365nails.com/products/white-jasmine-green-leaf-zhibai-pure-jasmine-5d-embossed-nail-sticker, friendlyName=White Jasmine &amp; Green Leaf: "ZHIBAI Pure Jasmine" – 5D Embossed Nail Sticker</x:v>
      </x:c>
      <x:c r="D7339" s="18" t="str">
        <x:v>Specification type: To3864-relief / To3865-shell light</x:v>
      </x:c>
      <x:c r="E7339" s="25" t="str">
        <x:v>$1.23</x:v>
      </x:c>
      <x:c r="F7339" s="19" t="str">
        <x:v>5</x:v>
      </x:c>
    </x:row>
    <x:row r="7340" ht="93" customHeight="1">
      <x:c r="A7340" s="19" t="n">
        <x:v>7337</x:v>
      </x:c>
      <x:c r="B7340" s="22" t="e">
        <x:f>HYPERLINK("https://cdn.shopify.com/s/files/1/0918/6066/4603/files/O1CN01wN3KTW1HlWuuElmA3__2545140798-0-cib.jpg?v=1773650872","Open")</x:f>
        <x:v>HYPERLINK is not implemented. linkLocation=https://cdn.shopify.com/s/files/1/0918/6066/4603/files/O1CN01wN3KTW1HlWuuElmA3__2545140798-0-cib.jpg?v=1773650872, friendlyName=Open</x:v>
      </x:c>
      <x:c r="C7340" s="24" t="e">
        <x:f>HYPERLINK("https://365nails.com/products/crystal-diamond-butterfly-iridescent-fairy-wings-5d-embossed-nail-sticker","Crystal Diamond Butterfly: ""Iridescent Fairy Wings"" – 5D Embossed Nail Sticker")</x:f>
        <x:v>HYPERLINK is not implemented. linkLocation=https://365nails.com/products/crystal-diamond-butterfly-iridescent-fairy-wings-5d-embossed-nail-sticker, friendlyName=Crystal Diamond Butterfly: "Iridescent Fairy Wings" – 5D Embossed Nail Sticker</x:v>
      </x:c>
      <x:c r="D7340" s="18" t="str">
        <x:v>Specification type: To3137 / To3138 / To3139</x:v>
      </x:c>
      <x:c r="E7340" s="25" t="str">
        <x:v>$1.30</x:v>
      </x:c>
      <x:c r="F7340" s="19" t="str">
        <x:v>5</x:v>
      </x:c>
    </x:row>
    <x:row r="7341" ht="93" customHeight="1">
      <x:c r="A7341" s="19" t="n">
        <x:v>7338</x:v>
      </x:c>
      <x:c r="B7341" s="22" t="e">
        <x:f>HYPERLINK("https://cdn.shopify.com/s/files/1/0918/6066/4603/files/f273ebe4b1bab6c8e8113c65c343c690.jpg?v=1777556146","Open")</x:f>
        <x:v>HYPERLINK is not implemented. linkLocation=https://cdn.shopify.com/s/files/1/0918/6066/4603/files/f273ebe4b1bab6c8e8113c65c343c690.jpg?v=1777556146, friendlyName=Open</x:v>
      </x:c>
      <x:c r="C7341" s="24" t="e">
        <x:f>HYPERLINK("https://365nails.com/products/365nails-hot-pink-floral-swirl-handmade-medium-stiletto-press-on-nails","365nails: ""Hot Pink Floral Swirl"" – Handmade Medium Stiletto Press-On Nails")</x:f>
        <x:v>HYPERLINK is not implemented. linkLocation=https://365nails.com/products/365nails-hot-pink-floral-swirl-handmade-medium-stiletto-press-on-nails, friendlyName=365nails: "Hot Pink Floral Swirl" – Handmade Medium Stiletto Press-On Nails</x:v>
      </x:c>
      <x:c r="D7341" s="18" t="str">
        <x:v>Size: XS / S / M / L</x:v>
      </x:c>
      <x:c r="E7341" s="25" t="str">
        <x:v>$4.99</x:v>
      </x:c>
      <x:c r="F7341" s="19" t="str">
        <x:v>5</x:v>
      </x:c>
    </x:row>
    <x:row r="7342" ht="93" customHeight="1">
      <x:c r="A7342" s="19" t="n">
        <x:v>7339</x:v>
      </x:c>
      <x:c r="B7342" s="22" t="e">
        <x:f>HYPERLINK("https://cdn.shopify.com/s/files/1/0918/6066/4603/files/38add6ddf46fb04af7b10ee8b3d34cb6.jpg?v=1772975391","Open")</x:f>
        <x:v>HYPERLINK is not implemented. linkLocation=https://cdn.shopify.com/s/files/1/0918/6066/4603/files/38add6ddf46fb04af7b10ee8b3d34cb6.jpg?v=1772975391, friendlyName=Open</x:v>
      </x:c>
      <x:c r="C7342" s="24" t="e">
        <x:f>HYPERLINK("https://365nails.com/products/strawberry-bear-party-cute-embossed-nail-art-set","Strawberry Bear Party – Cute Embossed Nail Art Set")</x:f>
        <x:v>HYPERLINK is not implemented. linkLocation=https://365nails.com/products/strawberry-bear-party-cute-embossed-nail-art-set, friendlyName=Strawberry Bear Party – Cute Embossed Nail Art Set</x:v>
      </x:c>
      <x:c r="D7342" s="18" t="str">
        <x:v>Specification type: To4258-relief / To4259-jelly</x:v>
      </x:c>
      <x:c r="E7342" s="25" t="str">
        <x:v>$1.23</x:v>
      </x:c>
      <x:c r="F7342" s="19" t="str">
        <x:v>5</x:v>
      </x:c>
    </x:row>
    <x:row r="7343" ht="93" customHeight="1">
      <x:c r="A7343" s="19" t="n">
        <x:v>7340</x:v>
      </x:c>
      <x:c r="B7343" s="22" t="e">
        <x:f>HYPERLINK("https://cdn.shopify.com/s/files/1/0918/6066/4603/files/9f3b60ed95564e7b77807cf3d8d4d2c9.jpg?v=1768892051","Open")</x:f>
        <x:v>HYPERLINK is not implemented. linkLocation=https://cdn.shopify.com/s/files/1/0918/6066/4603/files/9f3b60ed95564e7b77807cf3d8d4d2c9.jpg?v=1768892051, friendlyName=Open</x:v>
      </x:c>
      <x:c r="C7343" s="24" t="e">
        <x:f>HYPERLINK("https://365nails.com/products/silver-dragon-obsidian-dragon-nail-metallic-dark-fantasy-long-short-options","Silver Dragon Obsidian Dragon Nail｜Metallic Dark Fantasy (Long/Short Options)")</x:f>
        <x:v>HYPERLINK is not implemented. linkLocation=https://365nails.com/products/silver-dragon-obsidian-dragon-nail-metallic-dark-fantasy-long-short-options, friendlyName=Silver Dragon Obsidian Dragon Nail｜Metallic Dark Fantasy (Long/Short Options)</x:v>
      </x:c>
      <x:c r="D7343" s="18" t="str">
        <x:v>Size: XS / S / M / L; length: 25mm / 40mm</x:v>
      </x:c>
      <x:c r="E7343" s="25" t="str">
        <x:v>$6.99</x:v>
      </x:c>
      <x:c r="F7343" s="19" t="str">
        <x:v>1</x:v>
      </x:c>
    </x:row>
    <x:row r="7344" ht="93" customHeight="1">
      <x:c r="A7344" s="19" t="n">
        <x:v>7341</x:v>
      </x:c>
      <x:c r="B7344" s="22" t="e">
        <x:f>HYPERLINK("https://cdn.shopify.com/s/files/1/0918/6066/4603/files/eef71d493dfde37038795c117ef5deb1.jpg?v=1773146516","Open")</x:f>
        <x:v>HYPERLINK is not implemented. linkLocation=https://cdn.shopify.com/s/files/1/0918/6066/4603/files/eef71d493dfde37038795c117ef5deb1.jpg?v=1773146516, friendlyName=Open</x:v>
      </x:c>
      <x:c r="C7344" s="24" t="e">
        <x:f>HYPERLINK("https://365nails.com/products/divine-beasts-chinese-mythology-nail-art-set","Divine Beasts – Chinese Mythology Nail Art Stickers")</x:f>
        <x:v>HYPERLINK is not implemented. linkLocation=https://365nails.com/products/divine-beasts-chinese-mythology-nail-art-set, friendlyName=Divine Beasts – Chinese Mythology Nail Art Stickers</x:v>
      </x:c>
      <x:c r="D7344" s="18" t="str">
        <x:v>Specification type: To5233-relief / To5234-relief</x:v>
      </x:c>
      <x:c r="E7344" s="25" t="str">
        <x:v>$1.23</x:v>
      </x:c>
      <x:c r="F7344" s="19" t="str">
        <x:v>5</x:v>
      </x:c>
    </x:row>
    <x:row r="7345" ht="93" customHeight="1">
      <x:c r="A7345" s="19" t="n">
        <x:v>7342</x:v>
      </x:c>
      <x:c r="B7345" s="22" t="e">
        <x:f>HYPERLINK("https://cdn.shopify.com/s/files/1/0918/6066/4603/files/2342408b66f72299e3a8bec49d10cc07.jpg?v=1776418977","Open")</x:f>
        <x:v>HYPERLINK is not implemented. linkLocation=https://cdn.shopify.com/s/files/1/0918/6066/4603/files/2342408b66f72299e3a8bec49d10cc07.jpg?v=1776418977, friendlyName=Open</x:v>
      </x:c>
      <x:c r="C7345" s="24" t="e">
        <x:f>HYPERLINK("https://365nails.com/products/365nails-one-piece-straw-hat-crew-handmade-medium-trapezoid-press-on-nails","365nails: ""One Piece Straw Hat Crew"" – Handmade Medium Trapezoid Press-On Nails")</x:f>
        <x:v>HYPERLINK is not implemented. linkLocation=https://365nails.com/products/365nails-one-piece-straw-hat-crew-handmade-medium-trapezoid-press-on-nails, friendlyName=365nails: "One Piece Straw Hat Crew" – Handmade Medium Trapezoid Press-On Nails</x:v>
      </x:c>
      <x:c r="D7345" s="18" t="str">
        <x:v>Size: XS / S / M</x:v>
      </x:c>
      <x:c r="E7345" s="25" t="str">
        <x:v>$3.49</x:v>
      </x:c>
      <x:c r="F7345" s="19" t="str">
        <x:v>5</x:v>
      </x:c>
    </x:row>
    <x:row r="7346" ht="93" customHeight="1">
      <x:c r="A7346" s="19" t="n">
        <x:v>7343</x:v>
      </x:c>
      <x:c r="B7346" s="22" t="e">
        <x:f>HYPERLINK("https://cdn.shopify.com/s/files/1/0918/6066/4603/files/O1CN01rogE9r1HlX2pjyekR__2545140798-0-cib.jpg?v=1773839198","Open")</x:f>
        <x:v>HYPERLINK is not implemented. linkLocation=https://cdn.shopify.com/s/files/1/0918/6066/4603/files/O1CN01rogE9r1HlX2pjyekR__2545140798-0-cib.jpg?v=1773839198, friendlyName=Open</x:v>
      </x:c>
      <x:c r="C7346" s="24" t="e">
        <x:f>HYPERLINK("https://365nails.com/products/white-lace-feather-floral-ethereal-bridal-lace-5d-embossed-nail-sticker","White Lace Feather &amp; Floral: ""Ethereal Bridal Lace"" – 5D Embossed Nail Sticker")</x:f>
        <x:v>HYPERLINK is not implemented. linkLocation=https://365nails.com/products/white-lace-feather-floral-ethereal-bridal-lace-5d-embossed-nail-sticker, friendlyName=White Lace Feather &amp; Floral: "Ethereal Bridal Lace" – 5D Embossed Nail Sticker</x:v>
      </x:c>
      <x:c r="D7346" s="18" t="str">
        <x:v>Specification type: Ms685-crystal diamond / Ms686-crystal diamond / Ms687-crystal diamond</x:v>
      </x:c>
      <x:c r="E7346" s="25" t="str">
        <x:v>$1.30</x:v>
      </x:c>
      <x:c r="F7346" s="19" t="str">
        <x:v>5</x:v>
      </x:c>
    </x:row>
    <x:row r="7347" ht="93" customHeight="1">
      <x:c r="A7347" s="19" t="n">
        <x:v>7344</x:v>
      </x:c>
      <x:c r="B7347" s="22" t="e">
        <x:f>HYPERLINK("https://cdn.shopify.com/s/files/1/0918/6066/4603/files/O1CN01WV3H851HlWjneB9L3__2545140798-0-cib.jpg?v=1773931905","Open")</x:f>
        <x:v>HYPERLINK is not implemented. linkLocation=https://cdn.shopify.com/s/files/1/0918/6066/4603/files/O1CN01WV3H851HlWjneB9L3__2545140798-0-cib.jpg?v=1773931905, friendlyName=Open</x:v>
      </x:c>
      <x:c r="C7347" s="24" t="e">
        <x:f>HYPERLINK("https://365nails.com/products/bohemian-mandala-pattern-leo-s-bohemian-dream-5d-embossed-nail-sticker","Bohemian Mandala Pattern: ""Leo’s Bohemian Dream"" – 5D Embossed Nail Sticker")</x:f>
        <x:v>HYPERLINK is not implemented. linkLocation=https://365nails.com/products/bohemian-mandala-pattern-leo-s-bohemian-dream-5d-embossed-nail-sticker, friendlyName=Bohemian Mandala Pattern: "Leo’s Bohemian Dream" – 5D Embossed Nail Sticker</x:v>
      </x:c>
      <x:c r="D7347" s="18" t="str">
        <x:v>Specification type: L01 relief</x:v>
      </x:c>
      <x:c r="E7347" s="25" t="str">
        <x:v>$1.23</x:v>
      </x:c>
      <x:c r="F7347" s="19" t="str">
        <x:v>5</x:v>
      </x:c>
    </x:row>
    <x:row r="7348" ht="93" customHeight="1">
      <x:c r="A7348" s="19" t="n">
        <x:v>7345</x:v>
      </x:c>
      <x:c r="B7348" s="22" t="e">
        <x:f>HYPERLINK("https://cdn.shopify.com/s/files/1/0918/6066/4603/files/a44fd5eabc859a603cfdecef52b4ea74.jpg?v=1772972678","Open")</x:f>
        <x:v>HYPERLINK is not implemented. linkLocation=https://cdn.shopify.com/s/files/1/0918/6066/4603/files/a44fd5eabc859a603cfdecef52b4ea74.jpg?v=1772972678, friendlyName=Open</x:v>
      </x:c>
      <x:c r="C7348" s="24" t="e">
        <x:f>HYPERLINK("https://365nails.com/products/holographic-pink-christmas-festive-iridescent-nail-art-set","Holographic Pink Christmas – Festive Iridescent Nail Art Set")</x:f>
        <x:v>HYPERLINK is not implemented. linkLocation=https://365nails.com/products/holographic-pink-christmas-festive-iridescent-nail-art-set, friendlyName=Holographic Pink Christmas – Festive Iridescent Nail Art Set</x:v>
      </x:c>
      <x:c r="D7348" s="18" t="str">
        <x:v>Specification type: Ms460-laser powder / Ms460-laser silver / Ms460-new hot stamping / Ms460-silver / Ms461-shell light / Ms464-relief</x:v>
      </x:c>
      <x:c r="E7348" s="25" t="str">
        <x:v>$1.23</x:v>
      </x:c>
      <x:c r="F7348" s="19" t="str">
        <x:v>5</x:v>
      </x:c>
    </x:row>
    <x:row r="7349" ht="93" customHeight="1">
      <x:c r="A7349" s="19" t="n">
        <x:v>7346</x:v>
      </x:c>
      <x:c r="B7349" s="22" t="e">
        <x:f>HYPERLINK("https://cdn.shopify.com/s/files/1/0918/6066/4603/files/O1CN01U03voW1HlX9YqGdgj__2545140798-0-cib.jpg?v=1773929841","Open")</x:f>
        <x:v>HYPERLINK is not implemented. linkLocation=https://cdn.shopify.com/s/files/1/0918/6066/4603/files/O1CN01U03voW1HlX9YqGdgj__2545140798-0-cib.jpg?v=1773929841, friendlyName=Open</x:v>
      </x:c>
      <x:c r="C7349" s="24" t="e">
        <x:f>HYPERLINK("https://365nails.com/products/spooky-halloween-happy-halloween-5d-embossed-nail-sticker","Spooky Halloween: ""Happy Halloween"" – 5D Embossed Nail Sticker")</x:f>
        <x:v>HYPERLINK is not implemented. linkLocation=https://365nails.com/products/spooky-halloween-happy-halloween-5d-embossed-nail-sticker, friendlyName=Spooky Halloween: "Happy Halloween" – 5D Embossed Nail Sticker</x:v>
      </x:c>
      <x:c r="D7349" s="18" t="str">
        <x:v>Specification type: To5365-relief</x:v>
      </x:c>
      <x:c r="E7349" s="25" t="str">
        <x:v>$1.23</x:v>
      </x:c>
      <x:c r="F7349" s="19" t="str">
        <x:v>5</x:v>
      </x:c>
    </x:row>
    <x:row r="7350" ht="93" customHeight="1">
      <x:c r="A7350" s="19" t="n">
        <x:v>7347</x:v>
      </x:c>
      <x:c r="B7350" s="22" t="e">
        <x:f>HYPERLINK("https://cdn.shopify.com/s/files/1/0918/6066/4603/files/O1CN012rRO181HlX2XkiFtl__2545140798-0-cib.jpg?v=1773838538","Open")</x:f>
        <x:v>HYPERLINK is not implemented. linkLocation=https://cdn.shopify.com/s/files/1/0918/6066/4603/files/O1CN012rRO181HlX2XkiFtl__2545140798-0-cib.jpg?v=1773838538, friendlyName=Open</x:v>
      </x:c>
      <x:c r="C7350" s="24" t="e">
        <x:f>HYPERLINK("https://365nails.com/products/gothic-purple-cross-butterfly-dark-gothic-elegance-5d-embossed-nail-sticker","Gothic Purple Cross &amp; Butterfly: ""Dark Gothic Elegance"" – 5D Embossed Nail Sticker")</x:f>
        <x:v>HYPERLINK is not implemented. linkLocation=https://365nails.com/products/gothic-purple-cross-butterfly-dark-gothic-elegance-5d-embossed-nail-sticker, friendlyName=Gothic Purple Cross &amp; Butterfly: "Dark Gothic Elegance" – 5D Embossed Nail Sticker</x:v>
      </x:c>
      <x:c r="D7350" s="18" t="str">
        <x:v>Specification type: To4340-relief</x:v>
      </x:c>
      <x:c r="E7350" s="25" t="str">
        <x:v>$1.23</x:v>
      </x:c>
      <x:c r="F7350" s="19" t="str">
        <x:v>5</x:v>
      </x:c>
    </x:row>
    <x:row r="7351" ht="93" customHeight="1">
      <x:c r="A7351" s="19" t="n">
        <x:v>7348</x:v>
      </x:c>
      <x:c r="B7351" s="22" t="e">
        <x:f>HYPERLINK("https://cdn.shopify.com/s/files/1/0918/6066/4603/files/O1CN01CRFqtn1HlX3SMACN4__2545140798-0-cib.jpg?v=1773672334","Open")</x:f>
        <x:v>HYPERLINK is not implemented. linkLocation=https://cdn.shopify.com/s/files/1/0918/6066/4603/files/O1CN01CRFqtn1HlX3SMACN4__2545140798-0-cib.jpg?v=1773672334, friendlyName=Open</x:v>
      </x:c>
      <x:c r="C7351" s="24" t="e">
        <x:f>HYPERLINK("https://365nails.com/products/rainbow-crystal-christmas-tree-pastel-christmas-forest-5d-embossed-nail-sticker","Rainbow Crystal Christmas Tree: ""Pastel Christmas Forest"" – 5D Embossed Nail Sticker")</x:f>
        <x:v>HYPERLINK is not implemented. linkLocation=https://365nails.com/products/rainbow-crystal-christmas-tree-pastel-christmas-forest-5d-embossed-nail-sticker, friendlyName=Rainbow Crystal Christmas Tree: "Pastel Christmas Forest" – 5D Embossed Nail Sticker</x:v>
      </x:c>
      <x:c r="D7351" s="18" t="str">
        <x:v>Specification type: To4460-crystal diamond / To4461-crystal diamond</x:v>
      </x:c>
      <x:c r="E7351" s="25" t="str">
        <x:v>$1.30</x:v>
      </x:c>
      <x:c r="F7351" s="19" t="str">
        <x:v>5</x:v>
      </x:c>
    </x:row>
    <x:row r="7352" ht="93" customHeight="1">
      <x:c r="A7352" s="19" t="n">
        <x:v>7349</x:v>
      </x:c>
      <x:c r="B7352" s="22" t="e">
        <x:f>HYPERLINK("https://cdn.shopify.com/s/files/1/0918/6066/4603/files/O1CN01lU6WAu1YmlM2GDL9Q__2213953983102-0-cib.jpg?v=1772968977","Open")</x:f>
        <x:v>HYPERLINK is not implemented. linkLocation=https://cdn.shopify.com/s/files/1/0918/6066/4603/files/O1CN01lU6WAu1YmlM2GDL9Q__2213953983102-0-cib.jpg?v=1772968977, friendlyName=Open</x:v>
      </x:c>
      <x:c r="C7352" s="24" t="e">
        <x:f>HYPERLINK("https://365nails.com/products/delicate-white-blossoms-minimalist-floral-nail-art-set","Delicate White Blossoms – Minimalist Floral Nail Art Set")</x:f>
        <x:v>HYPERLINK is not implemented. linkLocation=https://365nails.com/products/delicate-white-blossoms-minimalist-floral-nail-art-set, friendlyName=Delicate White Blossoms – Minimalist Floral Nail Art Set</x:v>
      </x:c>
      <x:c r="D7352" s="18" t="str">
        <x:v>Specification type: To1806 / To1812</x:v>
      </x:c>
      <x:c r="E7352" s="25" t="str">
        <x:v>$1.23</x:v>
      </x:c>
      <x:c r="F7352" s="19" t="str">
        <x:v>5</x:v>
      </x:c>
    </x:row>
    <x:row r="7353" ht="93" customHeight="1">
      <x:c r="A7353" s="19" t="n">
        <x:v>7350</x:v>
      </x:c>
      <x:c r="B7353" s="22" t="e">
        <x:f>HYPERLINK("https://cdn.shopify.com/s/files/1/0918/6066/4603/files/d032eb19b891c2f70629b86bc84b52c0.jpg?v=1776418020","Open")</x:f>
        <x:v>HYPERLINK is not implemented. linkLocation=https://cdn.shopify.com/s/files/1/0918/6066/4603/files/d032eb19b891c2f70629b86bc84b52c0.jpg?v=1776418020, friendlyName=Open</x:v>
      </x:c>
      <x:c r="C7353" s="24" t="e">
        <x:f>HYPERLINK("https://365nails.com/products/365nails-demon-slayer-giyu-tomioka-handmade-medium-trapezoid-press-on-nails","365nails: ""Demon Slayer Giyu Tomioka"" – Handmade Medium Trapezoid Press-On Nails")</x:f>
        <x:v>HYPERLINK is not implemented. linkLocation=https://365nails.com/products/365nails-demon-slayer-giyu-tomioka-handmade-medium-trapezoid-press-on-nails, friendlyName=365nails: "Demon Slayer Giyu Tomioka" – Handmade Medium Trapezoid Press-On Nails</x:v>
      </x:c>
      <x:c r="D7353" s="18" t="str">
        <x:v>Size: XS / S / M</x:v>
      </x:c>
      <x:c r="E7353" s="25" t="str">
        <x:v>$3.49</x:v>
      </x:c>
      <x:c r="F7353" s="19" t="str">
        <x:v>5</x:v>
      </x:c>
    </x:row>
    <x:row r="7354" ht="93" customHeight="1">
      <x:c r="A7354" s="19" t="n">
        <x:v>7351</x:v>
      </x:c>
      <x:c r="B7354" s="22" t="e">
        <x:f>HYPERLINK("https://cdn.shopify.com/s/files/1/0918/6066/4603/files/O1CN01E0JZ6x1HlX5NGEJaZ__2545140798-0-cib.jpg?v=1773841968","Open")</x:f>
        <x:v>HYPERLINK is not implemented. linkLocation=https://cdn.shopify.com/s/files/1/0918/6066/4603/files/O1CN01E0JZ6x1HlX5NGEJaZ__2545140798-0-cib.jpg?v=1773841968, friendlyName=Open</x:v>
      </x:c>
      <x:c r="C7354" s="24" t="e">
        <x:f>HYPERLINK("https://365nails.com/products/pastel-crystal-bow-flower-ethereal-crystal-bow-5d-embossed-nail-sticker","Pastel Crystal Bow &amp; Flower: ""Ethereal Crystal Bow"" – 5D Embossed Nail Sticker")</x:f>
        <x:v>HYPERLINK is not implemented. linkLocation=https://365nails.com/products/pastel-crystal-bow-flower-ethereal-crystal-bow-5d-embossed-nail-sticker, friendlyName=Pastel Crystal Bow &amp; Flower: "Ethereal Crystal Bow" – 5D Embossed Nail Sticker</x:v>
      </x:c>
      <x:c r="D7354" s="18" t="str">
        <x:v>Specification type: To4850-crystal diamond / To4852-crystal diamond</x:v>
      </x:c>
      <x:c r="E7354" s="25" t="str">
        <x:v>$1.30</x:v>
      </x:c>
      <x:c r="F7354" s="19" t="str">
        <x:v>5</x:v>
      </x:c>
    </x:row>
    <x:row r="7355" ht="93" customHeight="1">
      <x:c r="A7355" s="19" t="n">
        <x:v>7352</x:v>
      </x:c>
      <x:c r="B7355" s="22" t="e">
        <x:f>HYPERLINK("https://cdn.shopify.com/s/files/1/0918/6066/4603/files/1497fb393408d5386130506b0db89ca3.jpg?v=1772807271","Open")</x:f>
        <x:v>HYPERLINK is not implemented. linkLocation=https://cdn.shopify.com/s/files/1/0918/6066/4603/files/1497fb393408d5386130506b0db89ca3.jpg?v=1772807271, friendlyName=Open</x:v>
      </x:c>
      <x:c r="C7355" s="24" t="e">
        <x:f>HYPERLINK("https://365nails.com/products/golden-bamboo-butterfly-nail-stickers-5d-embossed-oriental-ink-set","Golden Bamboo &amp; Butterfly Nail Stickers – 5D Embossed Oriental Ink Set")</x:f>
        <x:v>HYPERLINK is not implemented. linkLocation=https://365nails.com/products/golden-bamboo-butterfly-nail-stickers-5d-embossed-oriental-ink-set, friendlyName=Golden Bamboo &amp; Butterfly Nail Stickers – 5D Embossed Oriental Ink Set</x:v>
      </x:c>
      <x:c r="D7355" s="18" t="str">
        <x:v>Specification type: To3938-platinum / To3938-mint gold / To3938-green gold / To3938-ming gold / To3938-ming zijin / To3938-mist blue gold</x:v>
      </x:c>
      <x:c r="E7355" s="25" t="str">
        <x:v>$1.23</x:v>
      </x:c>
      <x:c r="F7355" s="19" t="str">
        <x:v>5</x:v>
      </x:c>
    </x:row>
    <x:row r="7356" ht="93" customHeight="1">
      <x:c r="A7356" s="19" t="n">
        <x:v>7353</x:v>
      </x:c>
      <x:c r="B7356" s="22" t="e">
        <x:f>HYPERLINK("https://cdn.shopify.com/s/files/1/0918/6066/4603/files/O1CN01Ch8bB31HlX0YijDct__2545140798-0-cib_c157caad-2669-44c2-9980-eb5f129684ca.jpg?v=1773929967","Open")</x:f>
        <x:v>HYPERLINK is not implemented. linkLocation=https://cdn.shopify.com/s/files/1/0918/6066/4603/files/O1CN01Ch8bB31HlX0YijDct__2545140798-0-cib_c157caad-2669-44c2-9980-eb5f129684ca.jpg?v=1773929967, friendlyName=Open</x:v>
      </x:c>
      <x:c r="C7356" s="24" t="e">
        <x:f>HYPERLINK("https://365nails.com/products/sweet-strawberry-lace-strawberry-cream-5d-embossed-nail-sticker","Sweet Strawberry &amp; Lace: ""Strawberry Cream"" – 5D Embossed Nail Sticker")</x:f>
        <x:v>HYPERLINK is not implemented. linkLocation=https://365nails.com/products/sweet-strawberry-lace-strawberry-cream-5d-embossed-nail-sticker, friendlyName=Sweet Strawberry &amp; Lace: "Strawberry Cream" – 5D Embossed Nail Sticker</x:v>
      </x:c>
      <x:c r="D7356" s="18" t="str">
        <x:v>Specification type: To3925 / To3937</x:v>
      </x:c>
      <x:c r="E7356" s="25" t="str">
        <x:v>$1.09</x:v>
      </x:c>
      <x:c r="F7356" s="19" t="str">
        <x:v>5</x:v>
      </x:c>
    </x:row>
    <x:row r="7357" ht="93" customHeight="1">
      <x:c r="A7357" s="19" t="n">
        <x:v>7354</x:v>
      </x:c>
      <x:c r="B7357" s="22" t="e">
        <x:f>HYPERLINK("https://cdn.shopify.com/s/files/1/0918/6066/4603/files/O1CN01bvXQeL1HlXAQmFMpE__2545140798-0-cib.jpg?v=1773580179","Open")</x:f>
        <x:v>HYPERLINK is not implemented. linkLocation=https://cdn.shopify.com/s/files/1/0918/6066/4603/files/O1CN01bvXQeL1HlXAQmFMpE__2545140798-0-cib.jpg?v=1773580179, friendlyName=Open</x:v>
      </x:c>
      <x:c r="C7357" s="24" t="e">
        <x:f>HYPERLINK("https://365nails.com/products/vintage-teddy-bear-red-line-art-3d-embossed-nail-sticker","Vintage Teddy Bear: ""Red Line Art"" – 3D Embossed Nail Sticker")</x:f>
        <x:v>HYPERLINK is not implemented. linkLocation=https://365nails.com/products/vintage-teddy-bear-red-line-art-3d-embossed-nail-sticker, friendlyName=Vintage Teddy Bear: "Red Line Art" – 3D Embossed Nail Sticker</x:v>
      </x:c>
      <x:c r="D7357" s="18" t="str">
        <x:v>Specification type: To5355 / To5356</x:v>
      </x:c>
      <x:c r="E7357" s="25" t="str">
        <x:v>$1.00</x:v>
      </x:c>
      <x:c r="F7357" s="19" t="str">
        <x:v>5</x:v>
      </x:c>
    </x:row>
    <x:row r="7358" ht="93" customHeight="1">
      <x:c r="A7358" s="19" t="n">
        <x:v>7355</x:v>
      </x:c>
      <x:c r="B7358" s="22" t="e">
        <x:f>HYPERLINK("https://cdn.shopify.com/s/files/1/0918/6066/4603/files/768f4363ef06e249453778016180e2da.jpg?v=1773059556","Open")</x:f>
        <x:v>HYPERLINK is not implemented. linkLocation=https://cdn.shopify.com/s/files/1/0918/6066/4603/files/768f4363ef06e249453778016180e2da.jpg?v=1773059556, friendlyName=Open</x:v>
      </x:c>
      <x:c r="C7358" s="24" t="e">
        <x:f>HYPERLINK("https://365nails.com/products/white-lace-rose-elegant-embossed-nail-art-set","White Lace Rose – Elegant Embossed Nail Art Set")</x:f>
        <x:v>HYPERLINK is not implemented. linkLocation=https://365nails.com/products/white-lace-rose-elegant-embossed-nail-art-set, friendlyName=White Lace Rose – Elegant Embossed Nail Art Set</x:v>
      </x:c>
      <x:c r="D7358" s="18" t="str">
        <x:v>Specification type: To3676-relief</x:v>
      </x:c>
      <x:c r="E7358" s="25" t="str">
        <x:v>$1.23</x:v>
      </x:c>
      <x:c r="F7358" s="19" t="str">
        <x:v>5</x:v>
      </x:c>
    </x:row>
    <x:row r="7359" ht="93" customHeight="1">
      <x:c r="A7359" s="19" t="n">
        <x:v>7356</x:v>
      </x:c>
      <x:c r="B7359" s="22" t="e">
        <x:f>HYPERLINK("https://cdn.shopify.com/s/files/1/0918/6066/4603/files/O1CN01Lg5SDQ1HlX287mCIo__2545140798-0-cib.jpg?v=1773838365","Open")</x:f>
        <x:v>HYPERLINK is not implemented. linkLocation=https://cdn.shopify.com/s/files/1/0918/6066/4603/files/O1CN01Lg5SDQ1HlX287mCIo__2545140798-0-cib.jpg?v=1773838365, friendlyName=Open</x:v>
      </x:c>
      <x:c r="C7359" s="24" t="e">
        <x:f>HYPERLINK("https://365nails.com/products/golden-yellow-rose-elegant-yellow-rose-bloom-5d-embossed-nail-sticker","Golden Yellow Rose: ""Elegant Yellow Rose Bloom"" – 5D Embossed Nail Sticker")</x:f>
        <x:v>HYPERLINK is not implemented. linkLocation=https://365nails.com/products/golden-yellow-rose-elegant-yellow-rose-bloom-5d-embossed-nail-sticker, friendlyName=Golden Yellow Rose: "Elegant Yellow Rose Bloom" – 5D Embossed Nail Sticker</x:v>
      </x:c>
      <x:c r="D7359" s="18" t="str">
        <x:v>Specification type: To4265-shell light / Ms653-relief</x:v>
      </x:c>
      <x:c r="E7359" s="25" t="str">
        <x:v>$1.23</x:v>
      </x:c>
      <x:c r="F7359" s="19" t="str">
        <x:v>5</x:v>
      </x:c>
    </x:row>
    <x:row r="7360" ht="93" customHeight="1">
      <x:c r="A7360" s="19" t="n">
        <x:v>7357</x:v>
      </x:c>
      <x:c r="B7360" s="22" t="e">
        <x:f>HYPERLINK("https://cdn.shopify.com/s/files/1/0918/6066/4603/files/ba26cb02338dcd46b6a588ec33233901.jpg?v=1772975310","Open")</x:f>
        <x:v>HYPERLINK is not implemented. linkLocation=https://cdn.shopify.com/s/files/1/0918/6066/4603/files/ba26cb02338dcd46b6a588ec33233901.jpg?v=1772975310, friendlyName=Open</x:v>
      </x:c>
      <x:c r="C7360" s="24" t="e">
        <x:f>HYPERLINK("https://365nails.com/products/golden-rose-garden-watercolor-floral-nail-art-set","Golden Rose Garden – Watercolor Floral Nail Art Set")</x:f>
        <x:v>HYPERLINK is not implemented. linkLocation=https://365nails.com/products/golden-rose-garden-watercolor-floral-nail-art-set, friendlyName=Golden Rose Garden – Watercolor Floral Nail Art Set</x:v>
      </x:c>
      <x:c r="D7360" s="18" t="str">
        <x:v>Specification type: Ms 654</x:v>
      </x:c>
      <x:c r="E7360" s="25" t="str">
        <x:v>$1.23</x:v>
      </x:c>
      <x:c r="F7360" s="19" t="str">
        <x:v>5</x:v>
      </x:c>
    </x:row>
    <x:row r="7361" ht="93" customHeight="1">
      <x:c r="A7361" s="19" t="n">
        <x:v>7358</x:v>
      </x:c>
      <x:c r="B7361" s="22" t="e">
        <x:f>HYPERLINK("https://cdn.shopify.com/s/files/1/0918/6066/4603/files/O1CN01HRY1961HlX1o3W4I7__2545140798-0-cib_30c7e02f-332a-4971-9806-58ae67d7cee5.jpg?v=1773932158","Open")</x:f>
        <x:v>HYPERLINK is not implemented. linkLocation=https://cdn.shopify.com/s/files/1/0918/6066/4603/files/O1CN01HRY1961HlX1o3W4I7__2545140798-0-cib_30c7e02f-332a-4971-9806-58ae67d7cee5.jpg?v=1773932158, friendlyName=Open</x:v>
      </x:c>
      <x:c r="C7361" s="24" t="e">
        <x:f>HYPERLINK("https://365nails.com/products/pink-bunny-fruit-bunny-s-orchard-picnic-5d-embossed-nail-sticker","Pink Bunny &amp; Fruit: ""Bunny’s Orchard Picnic"" – 5D Embossed Nail Sticker")</x:f>
        <x:v>HYPERLINK is not implemented. linkLocation=https://365nails.com/products/pink-bunny-fruit-bunny-s-orchard-picnic-5d-embossed-nail-sticker, friendlyName=Pink Bunny &amp; Fruit: "Bunny’s Orchard Picnic" – 5D Embossed Nail Sticker</x:v>
      </x:c>
      <x:c r="D7361" s="18" t="str">
        <x:v>Specification type: To4064 / To4171 / To4190</x:v>
      </x:c>
      <x:c r="E7361" s="25" t="str">
        <x:v>$1.09</x:v>
      </x:c>
      <x:c r="F7361" s="19" t="str">
        <x:v>5</x:v>
      </x:c>
    </x:row>
    <x:row r="7362" ht="93" customHeight="1">
      <x:c r="A7362" s="19" t="n">
        <x:v>7359</x:v>
      </x:c>
      <x:c r="B7362" s="22" t="e">
        <x:f>HYPERLINK("https://cdn.shopify.com/s/files/1/0918/6066/4603/files/O1CN01OeIwkl1HlWz4532hI__2545140798-0-cib_8fc85a37-63ab-44b1-9791-bdd1368cbb1c.jpg?v=1773843622","Open")</x:f>
        <x:v>HYPERLINK is not implemented. linkLocation=https://cdn.shopify.com/s/files/1/0918/6066/4603/files/O1CN01OeIwkl1HlWz4532hI__2545140798-0-cib_8fc85a37-63ab-44b1-9791-bdd1368cbb1c.jpg?v=1773843622, friendlyName=Open</x:v>
      </x:c>
      <x:c r="C7362" s="24" t="e">
        <x:f>HYPERLINK("https://365nails.com/products/minimalist-black-bow-elegant-crystal-bow-5d-embossed-nail-sticker","Minimalist Black Bow: ""Elegant Crystal Bow"" – 5D Embossed Nail Sticker")</x:f>
        <x:v>HYPERLINK is not implemented. linkLocation=https://365nails.com/products/minimalist-black-bow-elegant-crystal-bow-5d-embossed-nail-sticker, friendlyName=Minimalist Black Bow: "Elegant Crystal Bow" – 5D Embossed Nail Sticker</x:v>
      </x:c>
      <x:c r="D7362" s="18" t="str">
        <x:v>Specification type: To3648-crystal diamond / To3649-crystal diamond / To3656-crystal diamond</x:v>
      </x:c>
      <x:c r="E7362" s="25" t="str">
        <x:v>$1.30</x:v>
      </x:c>
      <x:c r="F7362" s="19" t="str">
        <x:v>5</x:v>
      </x:c>
    </x:row>
    <x:row r="7363" ht="93" customHeight="1">
      <x:c r="A7363" s="19" t="n">
        <x:v>7360</x:v>
      </x:c>
      <x:c r="B7363" s="22" t="e">
        <x:f>HYPERLINK("https://cdn.shopify.com/s/files/1/0918/6066/4603/files/O1CN01cHgQ511HlXAdthd3g__2545140798-0-cib.jpg?v=1773667697","Open")</x:f>
        <x:v>HYPERLINK is not implemented. linkLocation=https://cdn.shopify.com/s/files/1/0918/6066/4603/files/O1CN01cHgQ511HlXAdthd3g__2545140798-0-cib.jpg?v=1773667697, friendlyName=Open</x:v>
      </x:c>
      <x:c r="C7363" s="24" t="e">
        <x:f>HYPERLINK("https://365nails.com/products/chinese-lion-dance-festive-accents-lucky-lion-dance-festival-5d-embossed-nail-sticker","Chinese Lion Dance &amp; Festive Accents: ""Lucky Lion Dance Festival"" – 5D Embossed Nail Sticker")</x:f>
        <x:v>HYPERLINK is not implemented. linkLocation=https://365nails.com/products/chinese-lion-dance-festive-accents-lucky-lion-dance-festival-5d-embossed-nail-sticker, friendlyName=Chinese Lion Dance &amp; Festive Accents: "Lucky Lion Dance Festival" – 5D Embossed Nail Sticker</x:v>
      </x:c>
      <x:c r="D7363" s="18" t="str">
        <x:v>Specification type: Ms915-metal</x:v>
      </x:c>
      <x:c r="E7363" s="25" t="str">
        <x:v>$1.23</x:v>
      </x:c>
      <x:c r="F7363" s="19" t="str">
        <x:v>5</x:v>
      </x:c>
    </x:row>
    <x:row r="7364" ht="93" customHeight="1">
      <x:c r="A7364" s="19" t="n">
        <x:v>7361</x:v>
      </x:c>
      <x:c r="B7364" s="22" t="e">
        <x:f>HYPERLINK("https://cdn.shopify.com/s/files/1/0918/6066/4603/files/O1CN01dC2OYr1HlX288ucVB__2545140798-0-cib_7dfd3545-5928-4f3c-a2b7-faf90e186ac7.jpg?v=1774009179","Open")</x:f>
        <x:v>HYPERLINK is not implemented. linkLocation=https://cdn.shopify.com/s/files/1/0918/6066/4603/files/O1CN01dC2OYr1HlX288ucVB__2545140798-0-cib_7dfd3545-5928-4f3c-a2b7-faf90e186ac7.jpg?v=1774009179, friendlyName=Open</x:v>
      </x:c>
      <x:c r="C7364" s="24" t="e">
        <x:f>HYPERLINK("https://365nails.com/products/green-red-apple-slices-orchard-apple-crush-5d-embossed-nail-sticker","Green &amp; Red Apple Slices: ""Orchard Apple Crush"" – 5D Embossed Nail Sticker")</x:f>
        <x:v>HYPERLINK is not implemented. linkLocation=https://365nails.com/products/green-red-apple-slices-orchard-apple-crush-5d-embossed-nail-sticker, friendlyName=Green &amp; Red Apple Slices: "Orchard Apple Crush" – 5D Embossed Nail Sticker</x:v>
      </x:c>
      <x:c r="D7364" s="18" t="str">
        <x:v>Specification type: To4232 / To4234</x:v>
      </x:c>
      <x:c r="E7364" s="25" t="str">
        <x:v>$1.09</x:v>
      </x:c>
      <x:c r="F7364" s="19" t="str">
        <x:v>5</x:v>
      </x:c>
    </x:row>
    <x:row r="7365" ht="93" customHeight="1">
      <x:c r="A7365" s="19" t="n">
        <x:v>7362</x:v>
      </x:c>
      <x:c r="B7365" s="22" t="e">
        <x:f>HYPERLINK("https://cdn.shopify.com/s/files/1/0918/6066/4603/files/O1CN01EwWcTT1HlX207eECJ__2545140798-0-cib_f74e6873-5652-4d87-9a04-4ee4026c6fda.jpg?v=1774008892","Open")</x:f>
        <x:v>HYPERLINK is not implemented. linkLocation=https://cdn.shopify.com/s/files/1/0918/6066/4603/files/O1CN01EwWcTT1HlX207eECJ__2545140798-0-cib_f74e6873-5652-4d87-9a04-4ee4026c6fda.jpg?v=1774008892, friendlyName=Open</x:v>
      </x:c>
      <x:c r="C7365" s="24" t="e">
        <x:f>HYPERLINK("https://365nails.com/products/cute-cat-bow-kawaii-cat-playtime-5d-embossed-nail-sticker","Cute Cat &amp; Bow: ""Kawaii Cat Playtime"" – 5D Embossed Nail Sticker")</x:f>
        <x:v>HYPERLINK is not implemented. linkLocation=https://365nails.com/products/cute-cat-bow-kawaii-cat-playtime-5d-embossed-nail-sticker, friendlyName=Cute Cat &amp; Bow: "Kawaii Cat Playtime" – 5D Embossed Nail Sticker</x:v>
      </x:c>
      <x:c r="D7365" s="18" t="str">
        <x:v>Specification type: To4215 / To4225</x:v>
      </x:c>
      <x:c r="E7365" s="25" t="str">
        <x:v>$1.09</x:v>
      </x:c>
      <x:c r="F7365" s="19" t="str">
        <x:v>5</x:v>
      </x:c>
    </x:row>
    <x:row r="7366" ht="93" customHeight="1">
      <x:c r="A7366" s="19" t="n">
        <x:v>7363</x:v>
      </x:c>
      <x:c r="B7366" s="22" t="e">
        <x:f>HYPERLINK("https://cdn.shopify.com/s/files/1/0918/6066/4603/files/O1CN016aJ2H31HlWnsWtG5c__2545140798-0-cib.jpg?v=1774008053","Open")</x:f>
        <x:v>HYPERLINK is not implemented. linkLocation=https://cdn.shopify.com/s/files/1/0918/6066/4603/files/O1CN016aJ2H31HlWnsWtG5c__2545140798-0-cib.jpg?v=1774008053, friendlyName=Open</x:v>
      </x:c>
      <x:c r="C7366" s="24" t="e">
        <x:f>HYPERLINK("https://365nails.com/products/white-jellyfish-dream-script-deep-sea-jelly-dream-5d-embossed-nail-sticker","White Jellyfish &amp; Dream Script: ""Deep Sea Jelly Dream"" – 5D Embossed Nail Sticker")</x:f>
        <x:v>HYPERLINK is not implemented. linkLocation=https://365nails.com/products/white-jellyfish-dream-script-deep-sea-jelly-dream-5d-embossed-nail-sticker, friendlyName=White Jellyfish &amp; Dream Script: "Deep Sea Jelly Dream" – 5D Embossed Nail Sticker</x:v>
      </x:c>
      <x:c r="D7366" s="18" t="str">
        <x:v>Specification type: To1362</x:v>
      </x:c>
      <x:c r="E7366" s="25" t="str">
        <x:v>$1.09</x:v>
      </x:c>
      <x:c r="F7366" s="19" t="str">
        <x:v>5</x:v>
      </x:c>
    </x:row>
    <x:row r="7367" ht="93" customHeight="1">
      <x:c r="A7367" s="19" t="n">
        <x:v>7364</x:v>
      </x:c>
      <x:c r="B7367" s="22" t="e">
        <x:f>HYPERLINK("https://cdn.shopify.com/s/files/1/0918/6066/4603/files/O1CN01hv2EW71HlX6QanEHB__2545140798-0-cib.jpg?v=1773653472","Open")</x:f>
        <x:v>HYPERLINK is not implemented. linkLocation=https://cdn.shopify.com/s/files/1/0918/6066/4603/files/O1CN01hv2EW71HlX6QanEHB__2545140798-0-cib.jpg?v=1773653472, friendlyName=Open</x:v>
      </x:c>
      <x:c r="C7367" s="24" t="e">
        <x:f>HYPERLINK("https://365nails.com/products/vintage-gem-gold-jewelry-regal-antique-charm-5d-embossed-nail-sticker","Vintage Gem &amp; Gold Jewelry: ""Regal Antique Charm"" – 5D Embossed Nail Sticker")</x:f>
        <x:v>HYPERLINK is not implemented. linkLocation=https://365nails.com/products/vintage-gem-gold-jewelry-regal-antique-charm-5d-embossed-nail-sticker, friendlyName=Vintage Gem &amp; Gold Jewelry: "Regal Antique Charm" – 5D Embossed Nail Sticker</x:v>
      </x:c>
      <x:c r="D7367" s="18" t="str">
        <x:v>Specification type: To3688-metal / To3688-silver / To4684-metal / To4764-metal</x:v>
      </x:c>
      <x:c r="E7367" s="25" t="str">
        <x:v>$1.23</x:v>
      </x:c>
      <x:c r="F7367" s="19" t="str">
        <x:v>5</x:v>
      </x:c>
    </x:row>
    <x:row r="7368" ht="93" customHeight="1">
      <x:c r="A7368" s="19" t="n">
        <x:v>7365</x:v>
      </x:c>
      <x:c r="B7368" s="22" t="e">
        <x:f>HYPERLINK("https://cdn.shopify.com/s/files/1/0918/6066/4603/files/1f3df7fffba162fe4a72cf2bede6cec9.jpg?v=1773467459","Open")</x:f>
        <x:v>HYPERLINK is not implemented. linkLocation=https://cdn.shopify.com/s/files/1/0918/6066/4603/files/1f3df7fffba162fe4a72cf2bede6cec9.jpg?v=1773467459, friendlyName=Open</x:v>
      </x:c>
      <x:c r="C7368" s="24" t="e">
        <x:f>HYPERLINK("https://365nails.com/products/god-of-wealth-collection-cai-shen-lucky-fortune-3d-embossed-nail-sticker","God of Wealth Collection: ""Cai Shen &amp; Lucky Fortune"" – 3D Embossed Nail Sticker")</x:f>
        <x:v>HYPERLINK is not implemented. linkLocation=https://365nails.com/products/god-of-wealth-collection-cai-shen-lucky-fortune-3d-embossed-nail-sticker, friendlyName=God of Wealth Collection: "Cai Shen &amp; Lucky Fortune" – 3D Embossed Nail Sticker</x:v>
      </x:c>
      <x:c r="D7368" s="18" t="str">
        <x:v>Specification type: To5473-relief / To5476-metal / To5474-1-relief</x:v>
      </x:c>
      <x:c r="E7368" s="25" t="str">
        <x:v>$1.23</x:v>
      </x:c>
      <x:c r="F7368" s="19" t="str">
        <x:v>5</x:v>
      </x:c>
    </x:row>
    <x:row r="7369" ht="93" customHeight="1">
      <x:c r="A7369" s="19" t="n">
        <x:v>7366</x:v>
      </x:c>
      <x:c r="B7369" s="22" t="e">
        <x:f>HYPERLINK("https://cdn.shopify.com/s/files/1/0918/6066/4603/files/O1CN01WbI1dX1HlX46hYnCz__2545140798-0-cib.jpg?v=1776522482","Open")</x:f>
        <x:v>HYPERLINK is not implemented. linkLocation=https://cdn.shopify.com/s/files/1/0918/6066/4603/files/O1CN01WbI1dX1HlX46hYnCz__2545140798-0-cib.jpg?v=1776522482, friendlyName=Open</x:v>
      </x:c>
      <x:c r="C7369" s="24" t="e">
        <x:f>HYPERLINK("https://365nails.com/products/365nails-colorful-snake-nail-art-stickers","365nails: ""Colorful Snake"" – nail art stickers")</x:f>
        <x:v>HYPERLINK is not implemented. linkLocation=https://365nails.com/products/365nails-colorful-snake-nail-art-stickers, friendlyName=365nails: "Colorful Snake" – nail art stickers</x:v>
      </x:c>
      <x:c r="D7369" s="18" t="str">
        <x:v>Specification type: To4637-relief</x:v>
      </x:c>
      <x:c r="E7369" s="25" t="str">
        <x:v>$1.23</x:v>
      </x:c>
      <x:c r="F7369" s="19" t="str">
        <x:v>5</x:v>
      </x:c>
    </x:row>
    <x:row r="7370" ht="93" customHeight="1">
      <x:c r="A7370" s="19" t="n">
        <x:v>7367</x:v>
      </x:c>
      <x:c r="B7370" s="22" t="e">
        <x:f>HYPERLINK("https://cdn.shopify.com/s/files/1/0918/6066/4603/files/O1CN01MRo4Ow1HlX1oO8zdV__2545140798-0-cib_b4b51074-0f10-4323-ab1c-0076428a92b0.jpg?v=1774008199","Open")</x:f>
        <x:v>HYPERLINK is not implemented. linkLocation=https://cdn.shopify.com/s/files/1/0918/6066/4603/files/O1CN01MRo4Ow1HlX1oO8zdV__2545140798-0-cib_b4b51074-0f10-4323-ab1c-0076428a92b0.jpg?v=1774008199, friendlyName=Open</x:v>
      </x:c>
      <x:c r="C7370" s="24" t="e">
        <x:f>HYPERLINK("https://365nails.com/products/white-crystal-flower-script-bridal-white-bloom-5d-embossed-nail-sticker","White Crystal Flower &amp; Script: ""Bridal White Bloom"" – 5D Embossed Nail Sticker")</x:f>
        <x:v>HYPERLINK is not implemented. linkLocation=https://365nails.com/products/white-crystal-flower-script-bridal-white-bloom-5d-embossed-nail-sticker, friendlyName=White Crystal Flower &amp; Script: "Bridal White Bloom" – 5D Embossed Nail Sticker</x:v>
      </x:c>
      <x:c r="D7370" s="18" t="str">
        <x:v>Specification type: To4169 crystal diamond</x:v>
      </x:c>
      <x:c r="E7370" s="25" t="str">
        <x:v>$1.30</x:v>
      </x:c>
      <x:c r="F7370" s="19" t="str">
        <x:v>5</x:v>
      </x:c>
    </x:row>
    <x:row r="7371" ht="93" customHeight="1">
      <x:c r="A7371" s="19" t="n">
        <x:v>7368</x:v>
      </x:c>
      <x:c r="B7371" s="22" t="e">
        <x:f>HYPERLINK("https://cdn.shopify.com/s/files/1/0918/6066/4603/files/09e09f0be56201ab7d7daa4f30ea63f0.jpg?v=1773059928","Open")</x:f>
        <x:v>HYPERLINK is not implemented. linkLocation=https://cdn.shopify.com/s/files/1/0918/6066/4603/files/09e09f0be56201ab7d7daa4f30ea63f0.jpg?v=1773059928, friendlyName=Open</x:v>
      </x:c>
      <x:c r="C7371" s="24" t="e">
        <x:f>HYPERLINK("https://365nails.com/products/bunny-multi-role-play-cute-cartoon-nail-art-set","Bunny Multi-Role Play – Cute Cartoon Nail Art Set")</x:f>
        <x:v>HYPERLINK is not implemented. linkLocation=https://365nails.com/products/bunny-multi-role-play-cute-cartoon-nail-art-set, friendlyName=Bunny Multi-Role Play – Cute Cartoon Nail Art Set</x:v>
      </x:c>
      <x:c r="D7371" s="18" t="str">
        <x:v>Specification type: To2113</x:v>
      </x:c>
      <x:c r="E7371" s="25" t="str">
        <x:v>$1.23</x:v>
      </x:c>
      <x:c r="F7371" s="19" t="str">
        <x:v>5</x:v>
      </x:c>
    </x:row>
    <x:row r="7372" ht="93" customHeight="1">
      <x:c r="A7372" s="19" t="n">
        <x:v>7369</x:v>
      </x:c>
      <x:c r="B7372" s="22" t="e">
        <x:f>HYPERLINK("https://cdn.shopify.com/s/files/1/0918/6066/4603/files/O1CN01iLhwDf1HlX56S2LJg__2545140798-0-cib.jpg?v=1773745844","Open")</x:f>
        <x:v>HYPERLINK is not implemented. linkLocation=https://cdn.shopify.com/s/files/1/0918/6066/4603/files/O1CN01iLhwDf1HlX56S2LJg__2545140798-0-cib.jpg?v=1773745844, friendlyName=Open</x:v>
      </x:c>
      <x:c r="C7372" s="24" t="e">
        <x:f>HYPERLINK("https://365nails.com/products/pink-goldfish-starry-accent-celestial-goldfish-pond-5d-embossed-nail-sticker","Pink Goldfish &amp; Starry Accent: ""Celestial Goldfish Pond"" – 5D Embossed Nail Sticker")</x:f>
        <x:v>HYPERLINK is not implemented. linkLocation=https://365nails.com/products/pink-goldfish-starry-accent-celestial-goldfish-pond-5d-embossed-nail-sticker, friendlyName=Pink Goldfish &amp; Starry Accent: "Celestial Goldfish Pond" – 5D Embossed Nail Sticker</x:v>
      </x:c>
      <x:c r="D7372" s="18" t="str">
        <x:v>Specification type: To4812-metal</x:v>
      </x:c>
      <x:c r="E7372" s="25" t="str">
        <x:v>$1.23</x:v>
      </x:c>
      <x:c r="F7372" s="19" t="str">
        <x:v>5</x:v>
      </x:c>
    </x:row>
    <x:row r="7373" ht="93" customHeight="1">
      <x:c r="A7373" s="19" t="n">
        <x:v>7370</x:v>
      </x:c>
      <x:c r="B7373" s="22" t="e">
        <x:f>HYPERLINK("https://cdn.shopify.com/s/files/1/0918/6066/4603/files/ef07b5b279ebf7613483e0c0da86de49.jpg?v=1776417894","Open")</x:f>
        <x:v>HYPERLINK is not implemented. linkLocation=https://cdn.shopify.com/s/files/1/0918/6066/4603/files/ef07b5b279ebf7613483e0c0da86de49.jpg?v=1776417894, friendlyName=Open</x:v>
      </x:c>
      <x:c r="C7373" s="24" t="e">
        <x:f>HYPERLINK("https://365nails.com/products/365nails-demon-slayer-muichiro-tokito-handmade-short-almond-press-on-nails","365nails: ""Demon Slayer Muichiro Tokito"" – Handmade Short Almond Press-On Nails")</x:f>
        <x:v>HYPERLINK is not implemented. linkLocation=https://365nails.com/products/365nails-demon-slayer-muichiro-tokito-handmade-short-almond-press-on-nails, friendlyName=365nails: "Demon Slayer Muichiro Tokito" – Handmade Short Almond Press-On Nails</x:v>
      </x:c>
      <x:c r="D7373" s="18" t="str">
        <x:v>Size: XS / S / M</x:v>
      </x:c>
      <x:c r="E7373" s="25" t="str">
        <x:v>$3.49</x:v>
      </x:c>
      <x:c r="F7373" s="19" t="str">
        <x:v>5</x:v>
      </x:c>
    </x:row>
    <x:row r="7374" ht="93" customHeight="1">
      <x:c r="A7374" s="19" t="n">
        <x:v>7371</x:v>
      </x:c>
      <x:c r="B7374" s="22" t="e">
        <x:f>HYPERLINK("https://cdn.shopify.com/s/files/1/0918/6066/4603/files/O1CN01GLdXli1HlX0o3aqIS__2545140798-0-cib_32821e0d-a830-4387-b00d-ef360524e977.jpg?v=1774006375","Open")</x:f>
        <x:v>HYPERLINK is not implemented. linkLocation=https://cdn.shopify.com/s/files/1/0918/6066/4603/files/O1CN01GLdXli1HlX0o3aqIS__2545140798-0-cib_32821e0d-a830-4387-b00d-ef360524e977.jpg?v=1774006375, friendlyName=Open</x:v>
      </x:c>
      <x:c r="C7374" s="24" t="e">
        <x:f>HYPERLINK("https://365nails.com/products/ditsy-floral-polka-dot-retro-cherry-blossom-5d-embossed-nail-sticker","Ditsy Floral &amp; Polka Dot: ""Retro Cherry Blossom"" – 5D Embossed Nail Sticker")</x:f>
        <x:v>HYPERLINK is not implemented. linkLocation=https://365nails.com/products/ditsy-floral-polka-dot-retro-cherry-blossom-5d-embossed-nail-sticker, friendlyName=Ditsy Floral &amp; Polka Dot: "Retro Cherry Blossom" – 5D Embossed Nail Sticker</x:v>
      </x:c>
      <x:c r="D7374" s="18" t="str">
        <x:v>Specification type: To3971</x:v>
      </x:c>
      <x:c r="E7374" s="25" t="str">
        <x:v>$1.09</x:v>
      </x:c>
      <x:c r="F7374" s="19" t="str">
        <x:v>5</x:v>
      </x:c>
    </x:row>
    <x:row r="7375" ht="93" customHeight="1">
      <x:c r="A7375" s="19" t="n">
        <x:v>7372</x:v>
      </x:c>
      <x:c r="B7375" s="22" t="e">
        <x:f>HYPERLINK("https://cdn.shopify.com/s/files/1/0918/6066/4603/files/O1CN01ArmIZB1HlX7jOoElt__2545140798-0-cib.jpg?v=1773924575","Open")</x:f>
        <x:v>HYPERLINK is not implemented. linkLocation=https://cdn.shopify.com/s/files/1/0918/6066/4603/files/O1CN01ArmIZB1HlX7jOoElt__2545140798-0-cib.jpg?v=1773924575, friendlyName=Open</x:v>
      </x:c>
      <x:c r="C7375" s="24" t="e">
        <x:f>HYPERLINK("https://365nails.com/products/cocktail-fruit-goblet-summer-fruit-cocktail-5d-embossed-nail-sticker","Cocktail &amp; Fruit Goblet: ""Summer Fruit Cocktail"" – 5D Embossed Nail Sticker")</x:f>
        <x:v>HYPERLINK is not implemented. linkLocation=https://365nails.com/products/cocktail-fruit-goblet-summer-fruit-cocktail-5d-embossed-nail-sticker, friendlyName=Cocktail &amp; Fruit Goblet: "Summer Fruit Cocktail" – 5D Embossed Nail Sticker</x:v>
      </x:c>
      <x:c r="D7375" s="18" t="str">
        <x:v>Specification type: Ms823-shell light</x:v>
      </x:c>
      <x:c r="E7375" s="25" t="str">
        <x:v>$1.23</x:v>
      </x:c>
      <x:c r="F7375" s="19" t="str">
        <x:v>5</x:v>
      </x:c>
    </x:row>
    <x:row r="7376" ht="93" customHeight="1">
      <x:c r="A7376" s="19" t="n">
        <x:v>7373</x:v>
      </x:c>
      <x:c r="B7376" s="22" t="e">
        <x:f>HYPERLINK("https://cdn.shopify.com/s/files/1/0918/6066/4603/files/O1CN01s0DQvD1HlX3Vi09F0__2545140798-0-cib.jpg?v=1773839601","Open")</x:f>
        <x:v>HYPERLINK is not implemented. linkLocation=https://cdn.shopify.com/s/files/1/0918/6066/4603/files/O1CN01s0DQvD1HlX3Vi09F0__2545140798-0-cib.jpg?v=1773839601, friendlyName=Open</x:v>
      </x:c>
      <x:c r="C7376" s="24" t="e">
        <x:f>HYPERLINK("https://365nails.com/products/gothic-spider-cross-dark-gothic-spider-5d-embossed-nail-sticker","Gothic Spider &amp; Cross: ""Dark Gothic Spider"" – 5D Embossed Nail Sticker")</x:f>
        <x:v>HYPERLINK is not implemented. linkLocation=https://365nails.com/products/gothic-spider-cross-dark-gothic-spider-5d-embossed-nail-sticker, friendlyName=Gothic Spider &amp; Cross: "Dark Gothic Spider" – 5D Embossed Nail Sticker</x:v>
      </x:c>
      <x:c r="D7376" s="18" t="str">
        <x:v>Specification type: To4371-cat eye</x:v>
      </x:c>
      <x:c r="E7376" s="25" t="str">
        <x:v>$1.23</x:v>
      </x:c>
      <x:c r="F7376" s="19" t="str">
        <x:v>5</x:v>
      </x:c>
    </x:row>
    <x:row r="7377" ht="93" customHeight="1">
      <x:c r="A7377" s="19" t="n">
        <x:v>7374</x:v>
      </x:c>
      <x:c r="B7377" s="22" t="e">
        <x:f>HYPERLINK("https://cdn.shopify.com/s/files/1/0918/6066/4603/files/O1CN01jXj8pr1HlWy4pdfVh__2545140798-0-cib.jpg?v=1772968222","Open")</x:f>
        <x:v>HYPERLINK is not implemented. linkLocation=https://cdn.shopify.com/s/files/1/0918/6066/4603/files/O1CN01jXj8pr1HlWy4pdfVh__2545140798-0-cib.jpg?v=1772968222, friendlyName=Open</x:v>
      </x:c>
      <x:c r="C7377" s="24" t="e">
        <x:f>HYPERLINK("https://365nails.com/products/glitter-outline-nail-sticker-collection-minimalist-geometric-festive-set","Glitter Outline Nail Sticker Collection – Minimalist Geometric &amp; Festive Set")</x:f>
        <x:v>HYPERLINK is not implemented. linkLocation=https://365nails.com/products/glitter-outline-nail-sticker-collection-minimalist-geometric-festive-set, friendlyName=Glitter Outline Nail Sticker Collection – Minimalist Geometric &amp; Festive Set</x:v>
      </x:c>
      <x:c r="D7377" s="18" t="str">
        <x:v>Specification type: Sp-001 / Sp-003 / Sp-004 / Sp-005 / Sp-006 / Sp-007</x:v>
      </x:c>
      <x:c r="E7377" s="25" t="str">
        <x:v>$0.72</x:v>
      </x:c>
      <x:c r="F7377" s="19" t="str">
        <x:v>5</x:v>
      </x:c>
    </x:row>
    <x:row r="7378" ht="93" customHeight="1">
      <x:c r="A7378" s="19" t="n">
        <x:v>7375</x:v>
      </x:c>
      <x:c r="B7378" s="22" t="e">
        <x:f>HYPERLINK("https://cdn.shopify.com/s/files/1/0918/6066/4603/files/O1CN011Zv7I41HlX4H0K6zJ__2545140798-0-cib.jpg?v=1773841407","Open")</x:f>
        <x:v>HYPERLINK is not implemented. linkLocation=https://cdn.shopify.com/s/files/1/0918/6066/4603/files/O1CN011Zv7I41HlX4H0K6zJ__2545140798-0-cib.jpg?v=1773841407, friendlyName=Open</x:v>
      </x:c>
      <x:c r="C7378" s="24" t="e">
        <x:f>HYPERLINK("https://365nails.com/products/holographic-snake-cross-laser-pink-snake-cross-5d-embossed-nail-sticker","Holographic Snake &amp; Cross: ""Laser Pink Snake &amp; Cross"" – 5D Embossed Nail Sticker")</x:f>
        <x:v>HYPERLINK is not implemented. linkLocation=https://365nails.com/products/holographic-snake-cross-laser-pink-snake-cross-5d-embossed-nail-sticker, friendlyName=Holographic Snake &amp; Cross: "Laser Pink Snake &amp; Cross" – 5D Embossed Nail Sticker</x:v>
      </x:c>
      <x:c r="D7378" s="18" t="str">
        <x:v>Specification type: To4658-laser powder / To4659-new hot stamping / To4660-laser silver</x:v>
      </x:c>
      <x:c r="E7378" s="25" t="str">
        <x:v>$1.23</x:v>
      </x:c>
      <x:c r="F7378" s="19" t="str">
        <x:v>5</x:v>
      </x:c>
    </x:row>
    <x:row r="7379" ht="93" customHeight="1">
      <x:c r="A7379" s="19" t="n">
        <x:v>7376</x:v>
      </x:c>
      <x:c r="B7379" s="22" t="e">
        <x:f>HYPERLINK("https://cdn.shopify.com/s/files/1/0918/6066/4603/files/O1CN01p89MsF1HlWzJV6xnO__2545140798-0-cib_34f67bff-44ef-4b65-a911-e4c302f21438.jpg?v=1773924422","Open")</x:f>
        <x:v>HYPERLINK is not implemented. linkLocation=https://cdn.shopify.com/s/files/1/0918/6066/4603/files/O1CN01p89MsF1HlWzJV6xnO__2545140798-0-cib_34f67bff-44ef-4b65-a911-e4c302f21438.jpg?v=1773924422, friendlyName=Open</x:v>
      </x:c>
      <x:c r="C7379" s="24" t="e">
        <x:f>HYPERLINK("https://365nails.com/products/blue-white-chinese-dragon-mystic-azure-dragon-5d-embossed-nail-sticker","Blue &amp; White Chinese Dragon: ""Mystic Azure Dragon"" – 5D Embossed Nail Sticker")</x:f>
        <x:v>HYPERLINK is not implemented. linkLocation=https://365nails.com/products/blue-white-chinese-dragon-mystic-azure-dragon-5d-embossed-nail-sticker, friendlyName=Blue &amp; White Chinese Dragon: "Mystic Azure Dragon" – 5D Embossed Nail Sticker</x:v>
      </x:c>
      <x:c r="D7379" s="18" t="str">
        <x:v>Specification type: Ms 531 / Ms 535</x:v>
      </x:c>
      <x:c r="E7379" s="25" t="str">
        <x:v>$1.09</x:v>
      </x:c>
      <x:c r="F7379" s="19" t="str">
        <x:v>5</x:v>
      </x:c>
    </x:row>
    <x:row r="7380" ht="93" customHeight="1">
      <x:c r="A7380" s="19" t="n">
        <x:v>7377</x:v>
      </x:c>
      <x:c r="B7380" s="22" t="e">
        <x:f>HYPERLINK("https://cdn.shopify.com/s/files/1/0918/6066/4603/files/O1CN01FHUL4o1HlXAO50Zte__2545140798-0-cib.jpg?v=1773930039","Open")</x:f>
        <x:v>HYPERLINK is not implemented. linkLocation=https://cdn.shopify.com/s/files/1/0918/6066/4603/files/O1CN01FHUL4o1HlXAO50Zte__2545140798-0-cib.jpg?v=1773930039, friendlyName=Open</x:v>
      </x:c>
      <x:c r="C7380" s="24" t="e">
        <x:f>HYPERLINK("https://365nails.com/products/holographic-jellyfish-drip-glitter-jelly-drip-5d-embossed-nail-sticker","Holographic Jellyfish Drip: ""Glitter Jelly Drip"" – 5D Embossed Nail Sticker")</x:f>
        <x:v>HYPERLINK is not implemented. linkLocation=https://365nails.com/products/holographic-jellyfish-drip-glitter-jelly-drip-5d-embossed-nail-sticker, friendlyName=Holographic Jellyfish Drip: "Glitter Jelly Drip" – 5D Embossed Nail Sticker</x:v>
      </x:c>
      <x:c r="D7380" s="18" t="str">
        <x:v>Specification type: To5478-laser silver / To5478-flash silver / To5478-silver</x:v>
      </x:c>
      <x:c r="E7380" s="25" t="str">
        <x:v>$1.23</x:v>
      </x:c>
      <x:c r="F7380" s="19" t="str">
        <x:v>5</x:v>
      </x:c>
    </x:row>
    <x:row r="7381" ht="93" customHeight="1">
      <x:c r="A7381" s="19" t="n">
        <x:v>7378</x:v>
      </x:c>
      <x:c r="B7381" s="22" t="e">
        <x:f>HYPERLINK("https://cdn.shopify.com/s/files/1/0918/6066/4603/files/O1CN01H6MnAN1HlX2zxZaIU__2545140798-0-cib.jpg?v=1773839145","Open")</x:f>
        <x:v>HYPERLINK is not implemented. linkLocation=https://cdn.shopify.com/s/files/1/0918/6066/4603/files/O1CN01H6MnAN1HlX2zxZaIU__2545140798-0-cib.jpg?v=1773839145, friendlyName=Open</x:v>
      </x:c>
      <x:c r="C7381" s="24" t="e">
        <x:f>HYPERLINK("https://365nails.com/products/silver-stag-beetle-baroque-frame-gothic-insect-elegance-5d-embossed-nail-sticker","Silver Stag Beetle &amp; Baroque Frame: ""Gothic Insect Elegance"" – 5D Embossed Nail Sticker")</x:f>
        <x:v>HYPERLINK is not implemented. linkLocation=https://365nails.com/products/silver-stag-beetle-baroque-frame-gothic-insect-elegance-5d-embossed-nail-sticker, friendlyName=Silver Stag Beetle &amp; Baroque Frame: "Gothic Insect Elegance" – 5D Embossed Nail Sticker</x:v>
      </x:c>
      <x:c r="D7381" s="18" t="str">
        <x:v>Specification type: Ms683-shell light / Ms684-relief</x:v>
      </x:c>
      <x:c r="E7381" s="25" t="str">
        <x:v>$1.23</x:v>
      </x:c>
      <x:c r="F7381" s="19" t="str">
        <x:v>5</x:v>
      </x:c>
    </x:row>
    <x:row r="7382" ht="93" customHeight="1">
      <x:c r="A7382" s="19" t="n">
        <x:v>7379</x:v>
      </x:c>
      <x:c r="B7382" s="22" t="e">
        <x:f>HYPERLINK("https://cdn.shopify.com/s/files/1/0918/6066/4603/files/O1CN01FLlyuE1HlX1s3m5G2__2545140798-0-cib_6c30f668-d1ac-4317-9cc3-1e785e5f5ec2.jpg?v=1773932289","Open")</x:f>
        <x:v>HYPERLINK is not implemented. linkLocation=https://cdn.shopify.com/s/files/1/0918/6066/4603/files/O1CN01FLlyuE1HlX1s3m5G2__2545140798-0-cib_6c30f668-d1ac-4317-9cc3-1e785e5f5ec2.jpg?v=1773932289, friendlyName=Open</x:v>
      </x:c>
      <x:c r="C7382" s="24" t="e">
        <x:f>HYPERLINK("https://365nails.com/products/plush-pet-dessert-cozy-plush-pet-cafe-5d-embossed-nail-sticker","Plush Pet &amp; Dessert: ""Cozy Plush Pet Café"" – 5D Embossed Nail Sticker")</x:f>
        <x:v>HYPERLINK is not implemented. linkLocation=https://365nails.com/products/plush-pet-dessert-cozy-plush-pet-cafe-5d-embossed-nail-sticker, friendlyName=Plush Pet &amp; Dessert: "Cozy Plush Pet Café" – 5D Embossed Nail Sticker</x:v>
      </x:c>
      <x:c r="D7382" s="18" t="str">
        <x:v>Specification type: To4195-relief / To4202-relief</x:v>
      </x:c>
      <x:c r="E7382" s="25" t="str">
        <x:v>$1.23</x:v>
      </x:c>
      <x:c r="F7382" s="19" t="str">
        <x:v>5</x:v>
      </x:c>
    </x:row>
    <x:row r="7383" ht="93" customHeight="1">
      <x:c r="A7383" s="19" t="n">
        <x:v>7380</x:v>
      </x:c>
      <x:c r="B7383" s="22" t="e">
        <x:f>HYPERLINK("https://cdn.shopify.com/s/files/1/0918/6066/4603/files/O1CN01geJ5JM1HlX1SdmmPH__2545140798-0-cib.jpg?v=1773747562","Open")</x:f>
        <x:v>HYPERLINK is not implemented. linkLocation=https://cdn.shopify.com/s/files/1/0918/6066/4603/files/O1CN01geJ5JM1HlX1SdmmPH__2545140798-0-cib.jpg?v=1773747562, friendlyName=Open</x:v>
      </x:c>
      <x:c r="C7383" s="24" t="e">
        <x:f>HYPERLINK("https://365nails.com/products/vintage-rose-butterfly-embossed-misty-garden-floral-5d-embossed-nail-sticker","Vintage Rose &amp; Butterfly Embossed: ""Misty Garden Floral"" – 5D Embossed Nail Sticker")</x:f>
        <x:v>HYPERLINK is not implemented. linkLocation=https://365nails.com/products/vintage-rose-butterfly-embossed-misty-garden-floral-5d-embossed-nail-sticker, friendlyName=Vintage Rose &amp; Butterfly Embossed: "Misty Garden Floral" – 5D Embossed Nail Sticker</x:v>
      </x:c>
      <x:c r="D7383" s="18" t="str">
        <x:v>Specification type: Ms 625</x:v>
      </x:c>
      <x:c r="E7383" s="25" t="str">
        <x:v>$1.23</x:v>
      </x:c>
      <x:c r="F7383" s="19" t="str">
        <x:v>5</x:v>
      </x:c>
    </x:row>
    <x:row r="7384" ht="93" customHeight="1">
      <x:c r="A7384" s="19" t="n">
        <x:v>7381</x:v>
      </x:c>
      <x:c r="B7384" s="22" t="e">
        <x:f>HYPERLINK("https://cdn.shopify.com/s/files/1/0918/6066/4603/files/O1CN01xCIpD01HlX36cEtca__2545140798-0-cib_667aedc9-e62b-404b-938c-3dcabde6cbf1.jpg?v=1774017914","Open")</x:f>
        <x:v>HYPERLINK is not implemented. linkLocation=https://cdn.shopify.com/s/files/1/0918/6066/4603/files/O1CN01xCIpD01HlX36cEtca__2545140798-0-cib_667aedc9-e62b-404b-938c-3dcabde6cbf1.jpg?v=1774017914, friendlyName=Open</x:v>
      </x:c>
      <x:c r="C7384" s="24" t="e">
        <x:f>HYPERLINK("https://365nails.com/products/rose-gold-wildflower-botanical-script-nail-sticker-set-golden-wildflower-whisper","Rose Gold Wildflower &amp; Botanical Script Nail Sticker Set – ""Golden Wildflower Whisper""")</x:f>
        <x:v>HYPERLINK is not implemented. linkLocation=https://365nails.com/products/rose-gold-wildflower-botanical-script-nail-sticker-set-golden-wildflower-whisper, friendlyName=Rose Gold Wildflower &amp; Botanical Script Nail Sticker Set – "Golden Wildflower Whisper"</x:v>
      </x:c>
      <x:c r="D7384" s="18" t="str">
        <x:v>Specification type: To4237-rose gold / To4237-new hot stamping / To4237-silver</x:v>
      </x:c>
      <x:c r="E7384" s="25" t="str">
        <x:v>$1.23</x:v>
      </x:c>
      <x:c r="F7384" s="19" t="str">
        <x:v>5</x:v>
      </x:c>
    </x:row>
    <x:row r="7385" ht="93" customHeight="1">
      <x:c r="A7385" s="19" t="n">
        <x:v>7382</x:v>
      </x:c>
      <x:c r="B7385" s="22" t="e">
        <x:f>HYPERLINK("https://cdn.shopify.com/s/files/1/0918/6066/4603/files/O1CN01OgrR0z1HlX4qq81Li__2545140798-0-cib.jpg?v=1773840465","Open")</x:f>
        <x:v>HYPERLINK is not implemented. linkLocation=https://cdn.shopify.com/s/files/1/0918/6066/4603/files/O1CN01OgrR0z1HlX4qq81Li__2545140798-0-cib.jpg?v=1773840465, friendlyName=Open</x:v>
      </x:c>
      <x:c r="C7385" s="24" t="e">
        <x:f>HYPERLINK("https://365nails.com/products/cute-winter-puppy-cozy-winter-puppy-5d-embossed-nail-sticker","Cute Winter Puppy: ""Cozy Winter Puppy"" – 5D Embossed Nail Sticker")</x:f>
        <x:v>HYPERLINK is not implemented. linkLocation=https://365nails.com/products/cute-winter-puppy-cozy-winter-puppy-5d-embossed-nail-sticker, friendlyName=Cute Winter Puppy: "Cozy Winter Puppy" – 5D Embossed Nail Sticker</x:v>
      </x:c>
      <x:c r="D7385" s="18" t="str">
        <x:v>Specification type: To4797 / To4798</x:v>
      </x:c>
      <x:c r="E7385" s="25" t="str">
        <x:v>$1.09</x:v>
      </x:c>
      <x:c r="F7385" s="19" t="str">
        <x:v>5</x:v>
      </x:c>
    </x:row>
    <x:row r="7386" ht="93" customHeight="1">
      <x:c r="A7386" s="19" t="n">
        <x:v>7383</x:v>
      </x:c>
      <x:c r="B7386" s="22" t="e">
        <x:f>HYPERLINK("https://cdn.shopify.com/s/files/1/0918/6066/4603/files/O1CN01wAdGoQ1HlX2e5s81o__2545140798-0-cib.jpg?v=1773838593","Open")</x:f>
        <x:v>HYPERLINK is not implemented. linkLocation=https://cdn.shopify.com/s/files/1/0918/6066/4603/files/O1CN01wAdGoQ1HlX2e5s81o__2545140798-0-cib.jpg?v=1773838593, friendlyName=Open</x:v>
      </x:c>
      <x:c r="C7386" s="24" t="e">
        <x:f>HYPERLINK("https://365nails.com/products/white-crystal-butterfly-star-ethereal-celestial-butterfly-5d-embossed-nail-sticker","White Crystal Butterfly &amp; Star: ""Ethereal Celestial Butterfly"" – 5D Embossed Nail Sticker")</x:f>
        <x:v>HYPERLINK is not implemented. linkLocation=https://365nails.com/products/white-crystal-butterfly-star-ethereal-celestial-butterfly-5d-embossed-nail-sticker, friendlyName=White Crystal Butterfly &amp; Star: "Ethereal Celestial Butterfly" – 5D Embossed Nail Sticker</x:v>
      </x:c>
      <x:c r="D7386" s="18" t="str">
        <x:v>Specification type: To4302-crystal diamond / To4303-crystal diamond</x:v>
      </x:c>
      <x:c r="E7386" s="25" t="str">
        <x:v>$1.30</x:v>
      </x:c>
      <x:c r="F7386" s="19" t="str">
        <x:v>5</x:v>
      </x:c>
    </x:row>
    <x:row r="7387" ht="93" customHeight="1">
      <x:c r="A7387" s="19" t="n">
        <x:v>7384</x:v>
      </x:c>
      <x:c r="B7387" s="22" t="e">
        <x:f>HYPERLINK("https://cdn.shopify.com/s/files/1/0918/6066/4603/files/O1CN01EMQRHz1HlX521KTcZ__2545140798-0-cib.jpg?v=1773840542","Open")</x:f>
        <x:v>HYPERLINK is not implemented. linkLocation=https://cdn.shopify.com/s/files/1/0918/6066/4603/files/O1CN01EMQRHz1HlX521KTcZ__2545140798-0-cib.jpg?v=1773840542, friendlyName=Open</x:v>
      </x:c>
      <x:c r="C7387" s="24" t="e">
        <x:f>HYPERLINK("https://365nails.com/products/kuromi-sweet-cake-kuromi-pink-sweet-party-5d-embossed-nail-sticker","Kuromi Sweet Cake: ""Kuromi Pink Sweet Party"" – 5D Embossed Nail Sticker")</x:f>
        <x:v>HYPERLINK is not implemented. linkLocation=https://365nails.com/products/kuromi-sweet-cake-kuromi-pink-sweet-party-5d-embossed-nail-sticker, friendlyName=Kuromi Sweet Cake: "Kuromi Pink Sweet Party" – 5D Embossed Nail Sticker</x:v>
      </x:c>
      <x:c r="D7387" s="18" t="str">
        <x:v>Specification type: San 108 / San116</x:v>
      </x:c>
      <x:c r="E7387" s="25" t="str">
        <x:v>$1.16</x:v>
      </x:c>
      <x:c r="F7387" s="19" t="str">
        <x:v>5</x:v>
      </x:c>
    </x:row>
    <x:row r="7388" ht="93" customHeight="1">
      <x:c r="A7388" s="19" t="n">
        <x:v>7385</x:v>
      </x:c>
      <x:c r="B7388" s="22" t="e">
        <x:f>HYPERLINK("https://cdn.shopify.com/s/files/1/0918/6066/4603/files/aec4c6b9db701bfe5ce45778efa22259.jpg?v=1772968312","Open")</x:f>
        <x:v>HYPERLINK is not implemented. linkLocation=https://cdn.shopify.com/s/files/1/0918/6066/4603/files/aec4c6b9db701bfe5ce45778efa22259.jpg?v=1772968312, friendlyName=Open</x:v>
      </x:c>
      <x:c r="C7388" s="24" t="e">
        <x:f>HYPERLINK("https://365nails.com/products/celestial-zodiac-crystals-astrology-nail-art-set","Celestial Zodiac Crystals – Astrology Nail Art Set")</x:f>
        <x:v>HYPERLINK is not implemented. linkLocation=https://365nails.com/products/celestial-zodiac-crystals-astrology-nail-art-set, friendlyName=Celestial Zodiac Crystals – Astrology Nail Art Set</x:v>
      </x:c>
      <x:c r="D7388" s="18" t="str">
        <x:v>Specification type: To3616-silver / To3617-new hot stamping</x:v>
      </x:c>
      <x:c r="E7388" s="25" t="str">
        <x:v>$1.23</x:v>
      </x:c>
      <x:c r="F7388" s="19" t="str">
        <x:v>5</x:v>
      </x:c>
    </x:row>
    <x:row r="7389" ht="93" customHeight="1">
      <x:c r="A7389" s="19" t="n">
        <x:v>7386</x:v>
      </x:c>
      <x:c r="B7389" s="22" t="e">
        <x:f>HYPERLINK("https://cdn.shopify.com/s/files/1/0918/6066/4603/files/O1CN01ASMQdC1HlX8Y8oMqG__2545140798-0-cib.jpg?v=1773565115","Open")</x:f>
        <x:v>HYPERLINK is not implemented. linkLocation=https://cdn.shopify.com/s/files/1/0918/6066/4603/files/O1CN01ASMQdC1HlX8Y8oMqG__2545140798-0-cib.jpg?v=1773565115, friendlyName=Open</x:v>
      </x:c>
      <x:c r="C7389" s="24" t="e">
        <x:f>HYPERLINK("https://365nails.com/products/angel-wings-crown-iridescent-pearl-3d-nail-sticker-1","Angel Wings &amp; Crown: ""Iridescent Pearl"" – 3D Nail Sticker")</x:f>
        <x:v>HYPERLINK is not implemented. linkLocation=https://365nails.com/products/angel-wings-crown-iridescent-pearl-3d-nail-sticker-1, friendlyName=Angel Wings &amp; Crown: "Iridescent Pearl" – 3D Nail Sticker</x:v>
      </x:c>
      <x:c r="D7389" s="18" t="str">
        <x:v>Specification type: To5237 / To5238 / To5239 / To5240</x:v>
      </x:c>
      <x:c r="E7389" s="25" t="str">
        <x:v>$1.09</x:v>
      </x:c>
      <x:c r="F7389" s="19" t="str">
        <x:v>5</x:v>
      </x:c>
    </x:row>
    <x:row r="7390" ht="93" customHeight="1">
      <x:c r="A7390" s="19" t="n">
        <x:v>7387</x:v>
      </x:c>
      <x:c r="B7390" s="22" t="e">
        <x:f>HYPERLINK("https://cdn.shopify.com/s/files/1/0918/6066/4603/files/O1CN01FhNmiE1HlX2uVbAIQ__2545140798-0-cib.jpg?v=1773839022","Open")</x:f>
        <x:v>HYPERLINK is not implemented. linkLocation=https://cdn.shopify.com/s/files/1/0918/6066/4603/files/O1CN01FhNmiE1HlX2uVbAIQ__2545140798-0-cib.jpg?v=1773839022, friendlyName=Open</x:v>
      </x:c>
      <x:c r="C7390" s="24" t="e">
        <x:f>HYPERLINK("https://365nails.com/products/egyptian-bastet-cat-ancient-egyptian-cat-goddess-5d-embossed-nail-sticker","Egyptian Bastet Cat: ""Ancient Egyptian Cat Goddess"" – 5D Embossed Nail Sticker")</x:f>
        <x:v>HYPERLINK is not implemented. linkLocation=https://365nails.com/products/egyptian-bastet-cat-ancient-egyptian-cat-goddess-5d-embossed-nail-sticker, friendlyName=Egyptian Bastet Cat: "Ancient Egyptian Cat Goddess" – 5D Embossed Nail Sticker</x:v>
      </x:c>
      <x:c r="D7390" s="18" t="str">
        <x:v>Specification type: To4396-new hot stamping / To4397-relief / To4401-new hot stamping / To4402-relief</x:v>
      </x:c>
      <x:c r="E7390" s="25" t="str">
        <x:v>$1.23</x:v>
      </x:c>
      <x:c r="F7390" s="19" t="str">
        <x:v>5</x:v>
      </x:c>
    </x:row>
    <x:row r="7391" ht="93" customHeight="1">
      <x:c r="A7391" s="19" t="n">
        <x:v>7388</x:v>
      </x:c>
      <x:c r="B7391" s="22" t="e">
        <x:f>HYPERLINK("https://cdn.shopify.com/s/files/1/0918/6066/4603/files/O1CN01TtUWDI1HlX4PXGZU0__2545140798-0-cib.jpg?v=1773840275","Open")</x:f>
        <x:v>HYPERLINK is not implemented. linkLocation=https://cdn.shopify.com/s/files/1/0918/6066/4603/files/O1CN01TtUWDI1HlX4PXGZU0__2545140798-0-cib.jpg?v=1773840275, friendlyName=Open</x:v>
      </x:c>
      <x:c r="C7391" s="24" t="e">
        <x:f>HYPERLINK("https://365nails.com/products/blue-gradient-butterfly-azure-gradient-butterfly-5d-embossed-nail-sticker","Blue Gradient Butterfly: ""Azure Gradient Butterfly"" – 5D Embossed Nail Sticker")</x:f>
        <x:v>HYPERLINK is not implemented. linkLocation=https://365nails.com/products/blue-gradient-butterfly-azure-gradient-butterfly-5d-embossed-nail-sticker, friendlyName=Blue Gradient Butterfly: "Azure Gradient Butterfly" – 5D Embossed Nail Sticker</x:v>
      </x:c>
      <x:c r="D7391" s="18" t="str">
        <x:v>Specification type: To4711</x:v>
      </x:c>
      <x:c r="E7391" s="25" t="str">
        <x:v>$1.09</x:v>
      </x:c>
      <x:c r="F7391" s="19" t="str">
        <x:v>5</x:v>
      </x:c>
    </x:row>
    <x:row r="7392" ht="93" customHeight="1">
      <x:c r="A7392" s="19" t="n">
        <x:v>7389</x:v>
      </x:c>
      <x:c r="B7392" s="22" t="e">
        <x:f>HYPERLINK("https://cdn.shopify.com/s/files/1/0918/6066/4603/files/O1CN01ahuit01HlX6WE8QXS__2545140798-0-cib.jpg?v=1773672674","Open")</x:f>
        <x:v>HYPERLINK is not implemented. linkLocation=https://cdn.shopify.com/s/files/1/0918/6066/4603/files/O1CN01ahuit01HlX6WE8QXS__2545140798-0-cib.jpg?v=1773672674, friendlyName=Open</x:v>
      </x:c>
      <x:c r="C7392" s="24" t="e">
        <x:f>HYPERLINK("https://365nails.com/products/vintage-floral-vase-botanical-botanical-garden-vase-5d-embossed-nail-sticker","Vintage Floral Vase &amp; Botanical: ""Botanical Garden Vase"" – 5D Embossed Nail Sticker")</x:f>
        <x:v>HYPERLINK is not implemented. linkLocation=https://365nails.com/products/vintage-floral-vase-botanical-botanical-garden-vase-5d-embossed-nail-sticker, friendlyName=Vintage Floral Vase &amp; Botanical: "Botanical Garden Vase" – 5D Embossed Nail Sticker</x:v>
      </x:c>
      <x:c r="D7392" s="18" t="str">
        <x:v>Specification type: To5041-relief / To5042-relief / To5043-relief</x:v>
      </x:c>
      <x:c r="E7392" s="25" t="str">
        <x:v>$1.23</x:v>
      </x:c>
      <x:c r="F7392" s="19" t="str">
        <x:v>5</x:v>
      </x:c>
    </x:row>
    <x:row r="7393" ht="93" customHeight="1">
      <x:c r="A7393" s="19" t="n">
        <x:v>7390</x:v>
      </x:c>
      <x:c r="B7393" s="22" t="e">
        <x:f>HYPERLINK("https://cdn.shopify.com/s/files/1/0918/6066/4603/files/O1CN01Zcjtfn1HlX11AS1bf__2545140798-0-cib_b235b33a-334a-418c-8230-431e7f04af6a.jpg?v=1773931718","Open")</x:f>
        <x:v>HYPERLINK is not implemented. linkLocation=https://cdn.shopify.com/s/files/1/0918/6066/4603/files/O1CN01Zcjtfn1HlX11AS1bf__2545140798-0-cib_b235b33a-334a-418c-8230-431e7f04af6a.jpg?v=1773931718, friendlyName=Open</x:v>
      </x:c>
      <x:c r="C7393" s="24" t="e">
        <x:f>HYPERLINK("https://365nails.com/products/kuromi-character-heart-kuromi-s-purple-dream-5d-embossed-nail-sticker","Kuromi Character &amp; Heart: ""Kuromi’s Purple Dream"" – 5D Embossed Nail Sticker")</x:f>
        <x:v>HYPERLINK is not implemented. linkLocation=https://365nails.com/products/kuromi-character-heart-kuromi-s-purple-dream-5d-embossed-nail-sticker, friendlyName=Kuromi Character &amp; Heart: "Kuromi’s Purple Dream" – 5D Embossed Nail Sticker</x:v>
      </x:c>
      <x:c r="D7393" s="18" t="str">
        <x:v>Specification type: San010</x:v>
      </x:c>
      <x:c r="E7393" s="25" t="str">
        <x:v>$1.16</x:v>
      </x:c>
      <x:c r="F7393" s="19" t="str">
        <x:v>5</x:v>
      </x:c>
    </x:row>
    <x:row r="7394" ht="93" customHeight="1">
      <x:c r="A7394" s="19" t="n">
        <x:v>7391</x:v>
      </x:c>
      <x:c r="B7394" s="22" t="e">
        <x:f>HYPERLINK("https://cdn.shopify.com/s/files/1/0918/6066/4603/files/O1CN01VZgxS51HlX5FdpPS3__2545140798-0-cib.jpg?v=1773841900","Open")</x:f>
        <x:v>HYPERLINK is not implemented. linkLocation=https://cdn.shopify.com/s/files/1/0918/6066/4603/files/O1CN01VZgxS51HlX5FdpPS3__2545140798-0-cib.jpg?v=1773841900, friendlyName=Open</x:v>
      </x:c>
      <x:c r="C7394" s="24" t="e">
        <x:f>HYPERLINK("https://365nails.com/products/cute-retro-bakery-animals-vintage-bakery-party-5d-embossed-nail-sticker","Cute Retro Bakery Animals: ""Vintage Bakery Party"" – 5D Embossed Nail Sticker")</x:f>
        <x:v>HYPERLINK is not implemented. linkLocation=https://365nails.com/products/cute-retro-bakery-animals-vintage-bakery-party-5d-embossed-nail-sticker, friendlyName=Cute Retro Bakery Animals: "Vintage Bakery Party" – 5D Embossed Nail Sticker</x:v>
      </x:c>
      <x:c r="D7394" s="18" t="str">
        <x:v>Specification type: To4813-relief</x:v>
      </x:c>
      <x:c r="E7394" s="25" t="str">
        <x:v>$1.23</x:v>
      </x:c>
      <x:c r="F7394" s="19" t="str">
        <x:v>5</x:v>
      </x:c>
    </x:row>
    <x:row r="7395" ht="93" customHeight="1">
      <x:c r="A7395" s="19" t="n">
        <x:v>7392</x:v>
      </x:c>
      <x:c r="B7395" s="22" t="e">
        <x:f>HYPERLINK("https://cdn.shopify.com/s/files/1/0918/6066/4603/files/O1CN01awGz2H1HlX4McvqFw__2545140798-0-cib.jpg?v=1773840145","Open")</x:f>
        <x:v>HYPERLINK is not implemented. linkLocation=https://cdn.shopify.com/s/files/1/0918/6066/4603/files/O1CN01awGz2H1HlX4McvqFw__2545140798-0-cib.jpg?v=1773840145, friendlyName=Open</x:v>
      </x:c>
      <x:c r="C7395" s="24" t="e">
        <x:f>HYPERLINK("https://365nails.com/products/blue-metallic-butterfly-sapphire-metallic-butterfly-5d-embossed-nail-sticker","Blue Metallic Butterfly: ""Sapphire Metallic Butterfly"" – 5D Embossed Nail Sticker")</x:f>
        <x:v>HYPERLINK is not implemented. linkLocation=https://365nails.com/products/blue-metallic-butterfly-sapphire-metallic-butterfly-5d-embossed-nail-sticker, friendlyName=Blue Metallic Butterfly: "Sapphire Metallic Butterfly" – 5D Embossed Nail Sticker</x:v>
      </x:c>
      <x:c r="D7395" s="18" t="str">
        <x:v>Specification type: To4709-metal / To4710 metal</x:v>
      </x:c>
      <x:c r="E7395" s="25" t="str">
        <x:v>$1.23</x:v>
      </x:c>
      <x:c r="F7395" s="19" t="str">
        <x:v>5</x:v>
      </x:c>
    </x:row>
    <x:row r="7396" ht="93" customHeight="1">
      <x:c r="A7396" s="19" t="n">
        <x:v>7393</x:v>
      </x:c>
      <x:c r="B7396" s="22" t="e">
        <x:f>HYPERLINK("https://cdn.shopify.com/s/files/1/0918/6066/4603/files/O1CN01cuFDx31HlX44NA42e__2545140798-0-cib.jpg?v=1773841349","Open")</x:f>
        <x:v>HYPERLINK is not implemented. linkLocation=https://cdn.shopify.com/s/files/1/0918/6066/4603/files/O1CN01cuFDx31HlX44NA42e__2545140798-0-cib.jpg?v=1773841349, friendlyName=Open</x:v>
      </x:c>
      <x:c r="C7396" s="24" t="e">
        <x:f>HYPERLINK("https://365nails.com/products/white-crystal-butterfly-lace-ethereal-white-butterfly-5d-embossed-nail-sticker","White Crystal Butterfly &amp; Lace: ""Ethereal White Butterfly"" – 5D Embossed Nail Sticker")</x:f>
        <x:v>HYPERLINK is not implemented. linkLocation=https://365nails.com/products/white-crystal-butterfly-lace-ethereal-white-butterfly-5d-embossed-nail-sticker, friendlyName=White Crystal Butterfly &amp; Lace: "Ethereal White Butterfly" – 5D Embossed Nail Sticker</x:v>
      </x:c>
      <x:c r="D7396" s="18" t="str">
        <x:v>Specification type: Ms720-crystal diamond</x:v>
      </x:c>
      <x:c r="E7396" s="25" t="str">
        <x:v>$1.30</x:v>
      </x:c>
      <x:c r="F7396" s="19" t="str">
        <x:v>5</x:v>
      </x:c>
    </x:row>
    <x:row r="7397" ht="93" customHeight="1">
      <x:c r="A7397" s="19" t="n">
        <x:v>7394</x:v>
      </x:c>
      <x:c r="B7397" s="22" t="e">
        <x:f>HYPERLINK("https://cdn.shopify.com/s/files/1/0918/6066/4603/files/37de09a2b89658f3b3407352cb6c1e12.jpg?v=1781012096","Open")</x:f>
        <x:v>HYPERLINK is not implemented. linkLocation=https://cdn.shopify.com/s/files/1/0918/6066/4603/files/37de09a2b89658f3b3407352cb6c1e12.jpg?v=1781012096, friendlyName=Open</x:v>
      </x:c>
      <x:c r="C7397" s="24" t="e">
        <x:f>HYPERLINK("https://365nails.com/products/365nails-pink-cherry-butterfly-rhinestone-french-luxury-crystal-handmade-medium-square-nails","365nails: ""Pink Cherry Butterfly Rhinestone French"" – Luxury Crystal Handmade Medium Square Nails")</x:f>
        <x:v>HYPERLINK is not implemented. linkLocation=https://365nails.com/products/365nails-pink-cherry-butterfly-rhinestone-french-luxury-crystal-handmade-medium-square-nails, friendlyName=365nails: "Pink Cherry Butterfly Rhinestone French" – Luxury Crystal Handmade Medium Square Nails</x:v>
      </x:c>
      <x:c r="D7397" s="18" t="str">
        <x:v>Size: XS / S / M / L</x:v>
      </x:c>
      <x:c r="E7397" s="25" t="str">
        <x:v>$3.99</x:v>
      </x:c>
      <x:c r="F7397" s="19" t="str">
        <x:v>3</x:v>
      </x:c>
    </x:row>
    <x:row r="7398" ht="93" customHeight="1">
      <x:c r="A7398" s="19" t="n">
        <x:v>7395</x:v>
      </x:c>
      <x:c r="B7398" s="22" t="e">
        <x:f>HYPERLINK("https://cdn.shopify.com/s/files/1/0918/6066/4603/files/O1CN01MCn5Tk1HlX2496G8A__2545140798-0-cib_adc0cc10-9645-45ac-b444-40b735ce2234.jpg?v=1774008973","Open")</x:f>
        <x:v>HYPERLINK is not implemented. linkLocation=https://cdn.shopify.com/s/files/1/0918/6066/4603/files/O1CN01MCn5Tk1HlX2496G8A__2545140798-0-cib_adc0cc10-9645-45ac-b444-40b735ce2234.jpg?v=1774008973, friendlyName=Open</x:v>
      </x:c>
      <x:c r="C7398" s="24" t="e">
        <x:f>HYPERLINK("https://365nails.com/products/silver-floral-star-embossed-elegant-silver-bloom-5d-embossed-nail-sticker","Silver Floral &amp; Star Embossed: ""Elegant Silver Bloom"" – 5D Embossed Nail Sticker")</x:f>
        <x:v>HYPERLINK is not implemented. linkLocation=https://365nails.com/products/silver-floral-star-embossed-elegant-silver-bloom-5d-embossed-nail-sticker, friendlyName=Silver Floral &amp; Star Embossed: "Elegant Silver Bloom" – 5D Embossed Nail Sticker</x:v>
      </x:c>
      <x:c r="D7398" s="18" t="str">
        <x:v>Specification type: Ms610 - new gold foil stamping / Ms610-silver</x:v>
      </x:c>
      <x:c r="E7398" s="25" t="str">
        <x:v>$1.23</x:v>
      </x:c>
      <x:c r="F7398" s="19" t="str">
        <x:v>5</x:v>
      </x:c>
    </x:row>
    <x:row r="7399" ht="93" customHeight="1">
      <x:c r="A7399" s="19" t="n">
        <x:v>7396</x:v>
      </x:c>
      <x:c r="B7399" s="22" t="e">
        <x:f>HYPERLINK("https://cdn.shopify.com/s/files/1/0918/6066/4603/files/O1CN01Sq77Aw1HlX4pUytHV__2545140798-0-cib.jpg?v=1773841649","Open")</x:f>
        <x:v>HYPERLINK is not implemented. linkLocation=https://cdn.shopify.com/s/files/1/0918/6066/4603/files/O1CN01Sq77Aw1HlX4pUytHV__2545140798-0-cib.jpg?v=1773841649, friendlyName=Open</x:v>
      </x:c>
      <x:c r="C7399" s="24" t="e">
        <x:f>HYPERLINK("https://365nails.com/products/silver-snowflake-snow-text-winter-frost-snowflake-5d-embossed-nail-sticker","Silver Snowflake &amp; ""SNOW"" Text: ""Winter Frost Snowflake"" – 5D Embossed Nail Sticker")</x:f>
        <x:v>HYPERLINK is not implemented. linkLocation=https://365nails.com/products/silver-snowflake-snow-text-winter-frost-snowflake-5d-embossed-nail-sticker, friendlyName=Silver Snowflake &amp; "SNOW" Text: "Winter Frost Snowflake" – 5D Embossed Nail Sticker</x:v>
      </x:c>
      <x:c r="D7399" s="18" t="str">
        <x:v>Specification type: To4774-glitter / To4774-flash gold / To4774-flash silver / To4774-new hot stamping / To4774-silver</x:v>
      </x:c>
      <x:c r="E7399" s="25" t="str">
        <x:v>$1.23</x:v>
      </x:c>
      <x:c r="F7399" s="19" t="str">
        <x:v>5</x:v>
      </x:c>
    </x:row>
    <x:row r="7400" ht="93" customHeight="1">
      <x:c r="A7400" s="19" t="n">
        <x:v>7397</x:v>
      </x:c>
      <x:c r="B7400" s="22" t="e">
        <x:f>HYPERLINK("https://cdn.shopify.com/s/files/1/0918/6066/4603/files/22656931968_1801976554.jpg?v=1773581528","Open")</x:f>
        <x:v>HYPERLINK is not implemented. linkLocation=https://cdn.shopify.com/s/files/1/0918/6066/4603/files/22656931968_1801976554.jpg?v=1773581528, friendlyName=Open</x:v>
      </x:c>
      <x:c r="C7400" s="24" t="e">
        <x:f>HYPERLINK("https://365nails.com/products/vintage-floral-lace-trim-bridal-noir-3d-embossed-nail-sticker","Vintage Floral Lace Trim: ""Bridal Noir"" – 3D Embossed Nail Sticker")</x:f>
        <x:v>HYPERLINK is not implemented. linkLocation=https://365nails.com/products/vintage-floral-lace-trim-bridal-noir-3d-embossed-nail-sticker, friendlyName=Vintage Floral Lace Trim: "Bridal Noir" – 3D Embossed Nail Sticker</x:v>
      </x:c>
      <x:c r="D7400" s="18" t="str">
        <x:v>Color: Tomoni 274 / Tomoni 273</x:v>
      </x:c>
      <x:c r="E7400" s="25" t="str">
        <x:v>$1.08</x:v>
      </x:c>
      <x:c r="F7400" s="19" t="str">
        <x:v>5</x:v>
      </x:c>
    </x:row>
    <x:row r="7401" ht="93" customHeight="1">
      <x:c r="A7401" s="19" t="n">
        <x:v>7398</x:v>
      </x:c>
      <x:c r="B7401" s="22" t="e">
        <x:f>HYPERLINK("https://cdn.shopify.com/s/files/1/0918/6066/4603/files/O1CN01ZDmkTG1HlX26e39YK__2545140798-0-cib_b6594a84-dbc7-45fa-a9c0-6e1d67a3e95d.jpg?v=1774011617","Open")</x:f>
        <x:v>HYPERLINK is not implemented. linkLocation=https://cdn.shopify.com/s/files/1/0918/6066/4603/files/O1CN01ZDmkTG1HlX26e39YK__2545140798-0-cib_b6594a84-dbc7-45fa-a9c0-6e1d67a3e95d.jpg?v=1774011617, friendlyName=Open</x:v>
      </x:c>
      <x:c r="C7401" s="24" t="e">
        <x:f>HYPERLINK("https://365nails.com/products/miiiiichan-puppy-girl-cozy-puppy-party-5d-embossed-nail-sticker","Miiiiichan Puppy &amp; Girl: ""Cozy Puppy Party"" – 5D Embossed Nail Sticker")</x:f>
        <x:v>HYPERLINK is not implemented. linkLocation=https://365nails.com/products/miiiiichan-puppy-girl-cozy-puppy-party-5d-embossed-nail-sticker, friendlyName=Miiiiichan Puppy &amp; Girl: "Cozy Puppy Party" – 5D Embossed Nail Sticker</x:v>
      </x:c>
      <x:c r="D7401" s="18" t="str">
        <x:v>Specification type: Mc 21</x:v>
      </x:c>
      <x:c r="E7401" s="25" t="str">
        <x:v>$1.16</x:v>
      </x:c>
      <x:c r="F7401" s="19" t="str">
        <x:v>5</x:v>
      </x:c>
    </x:row>
    <x:row r="7402" ht="93" customHeight="1">
      <x:c r="A7402" s="19" t="n">
        <x:v>7399</x:v>
      </x:c>
      <x:c r="B7402" s="22" t="e">
        <x:f>HYPERLINK("https://cdn.shopify.com/s/files/1/0918/6066/4603/files/O1CN018U44PC1HlWyebff6f__2545140798-0-cib.jpg?v=1773753567","Open")</x:f>
        <x:v>HYPERLINK is not implemented. linkLocation=https://cdn.shopify.com/s/files/1/0918/6066/4603/files/O1CN018U44PC1HlWyebff6f__2545140798-0-cib.jpg?v=1773753567, friendlyName=Open</x:v>
      </x:c>
      <x:c r="C7402" s="24" t="e">
        <x:f>HYPERLINK("https://365nails.com/products/floral-bunny-embossed-garden-nail-sticker","Floral Bunny: ""Embossed Garden"" – Nail Sticker")</x:f>
        <x:v>HYPERLINK is not implemented. linkLocation=https://365nails.com/products/floral-bunny-embossed-garden-nail-sticker, friendlyName=Floral Bunny: "Embossed Garden" – Nail Sticker</x:v>
      </x:c>
      <x:c r="D7402" s="18" t="str">
        <x:v>Specification type: To3697-crystal diamond</x:v>
      </x:c>
      <x:c r="E7402" s="25" t="str">
        <x:v>$1.45</x:v>
      </x:c>
      <x:c r="F7402" s="19" t="str">
        <x:v>5</x:v>
      </x:c>
    </x:row>
    <x:row r="7403" ht="93" customHeight="1">
      <x:c r="A7403" s="19" t="n">
        <x:v>7400</x:v>
      </x:c>
      <x:c r="B7403" s="22" t="e">
        <x:f>HYPERLINK("https://cdn.shopify.com/s/files/1/0918/6066/4603/files/O1CN01TWCTgq1HlX2FU5muU__2545140798-0-cib_1b84b591-2101-4b73-af7f-aac92299a2a3.jpg?v=1774011984","Open")</x:f>
        <x:v>HYPERLINK is not implemented. linkLocation=https://cdn.shopify.com/s/files/1/0918/6066/4603/files/O1CN01TWCTgq1HlX2FU5muU__2545140798-0-cib_1b84b591-2101-4b73-af7f-aac92299a2a3.jpg?v=1774011984, friendlyName=Open</x:v>
      </x:c>
      <x:c r="C7403" s="24" t="e">
        <x:f>HYPERLINK("https://365nails.com/products/miiiiichan-teddy-bear-dessert-cozy-teddy-bear-cafe-5d-embossed-nail-sticker","Miiiiichan Teddy Bear &amp; Dessert: ""Cozy Teddy Bear Café"" – 5D Embossed Nail Sticker")</x:f>
        <x:v>HYPERLINK is not implemented. linkLocation=https://365nails.com/products/miiiiichan-teddy-bear-dessert-cozy-teddy-bear-cafe-5d-embossed-nail-sticker, friendlyName=Miiiiichan Teddy Bear &amp; Dessert: "Cozy Teddy Bear Café" – 5D Embossed Nail Sticker</x:v>
      </x:c>
      <x:c r="D7403" s="18" t="str">
        <x:v>Specification type: Mc36-relief / Mc38-relief</x:v>
      </x:c>
      <x:c r="E7403" s="25" t="str">
        <x:v>$1.30</x:v>
      </x:c>
      <x:c r="F7403" s="19" t="str">
        <x:v>5</x:v>
      </x:c>
    </x:row>
    <x:row r="7404" ht="93" customHeight="1">
      <x:c r="A7404" s="19" t="n">
        <x:v>7401</x:v>
      </x:c>
      <x:c r="B7404" s="22" t="e">
        <x:f>HYPERLINK("https://cdn.shopify.com/s/files/1/0918/6066/4603/files/O1CN01KiFgx01HlX6u7vCho__2545140798-0-cib.jpg?v=1773924103","Open")</x:f>
        <x:v>HYPERLINK is not implemented. linkLocation=https://cdn.shopify.com/s/files/1/0918/6066/4603/files/O1CN01KiFgx01HlX6u7vCho__2545140798-0-cib.jpg?v=1773924103, friendlyName=Open</x:v>
      </x:c>
      <x:c r="C7404" s="24" t="e">
        <x:f>HYPERLINK("https://365nails.com/products/cute-cartoon-critters-snacks-playful-mini-world-5d-embossed-nail-sticker","Cute Cartoon Critters &amp; Snacks: ""Playful Mini World"" – 5D Embossed Nail Sticker")</x:f>
        <x:v>HYPERLINK is not implemented. linkLocation=https://365nails.com/products/cute-cartoon-critters-snacks-playful-mini-world-5d-embossed-nail-sticker, friendlyName=Cute Cartoon Critters &amp; Snacks: "Playful Mini World" – 5D Embossed Nail Sticker</x:v>
      </x:c>
      <x:c r="D7404" s="18" t="str">
        <x:v>Specification type: To5039-shell light / To5077-relief</x:v>
      </x:c>
      <x:c r="E7404" s="25" t="str">
        <x:v>$1.23</x:v>
      </x:c>
      <x:c r="F7404" s="19" t="str">
        <x:v>5</x:v>
      </x:c>
    </x:row>
    <x:row r="7405" ht="93" customHeight="1">
      <x:c r="A7405" s="19" t="n">
        <x:v>7402</x:v>
      </x:c>
      <x:c r="B7405" s="22" t="e">
        <x:f>HYPERLINK("https://cdn.shopify.com/s/files/1/0918/6066/4603/files/O1CN017gedq71HlX3ViFJtD__2545140798-0-cib.jpg?v=1773839662","Open")</x:f>
        <x:v>HYPERLINK is not implemented. linkLocation=https://cdn.shopify.com/s/files/1/0918/6066/4603/files/O1CN017gedq71HlX3ViFJtD__2545140798-0-cib.jpg?v=1773839662, friendlyName=Open</x:v>
      </x:c>
      <x:c r="C7405" s="24" t="e">
        <x:f>HYPERLINK("https://365nails.com/products/pink-crystal-castle-floral-fairy-tale-princess-castle-5d-embossed-nail-sticker","Pink Crystal Castle &amp; Floral: ""Fairy Tale Princess Castle"" – 5D Embossed Nail Sticker")</x:f>
        <x:v>HYPERLINK is not implemented. linkLocation=https://365nails.com/products/pink-crystal-castle-floral-fairy-tale-princess-castle-5d-embossed-nail-sticker, friendlyName=Pink Crystal Castle &amp; Floral: "Fairy Tale Princess Castle" – 5D Embossed Nail Sticker</x:v>
      </x:c>
      <x:c r="D7405" s="18" t="str">
        <x:v>Specification type: To4468-crystal diamond / To4469-crystal diamond</x:v>
      </x:c>
      <x:c r="E7405" s="25" t="str">
        <x:v>$1.30</x:v>
      </x:c>
      <x:c r="F7405" s="19" t="str">
        <x:v>5</x:v>
      </x:c>
    </x:row>
    <x:row r="7406" ht="93" customHeight="1">
      <x:c r="A7406" s="19" t="n">
        <x:v>7403</x:v>
      </x:c>
      <x:c r="B7406" s="22" t="e">
        <x:f>HYPERLINK("https://cdn.shopify.com/s/files/1/0918/6066/4603/files/O1CN01weHbuX1HlX3CEqAkr__2545140798-0-cib.jpg?v=1773560304","Open")</x:f>
        <x:v>HYPERLINK is not implemented. linkLocation=https://cdn.shopify.com/s/files/1/0918/6066/4603/files/O1CN01weHbuX1HlX3CEqAkr__2545140798-0-cib.jpg?v=1773560304, friendlyName=Open</x:v>
      </x:c>
      <x:c r="C7406" s="24" t="e">
        <x:f>HYPERLINK("https://365nails.com/products/pink-blossom-3d-embossed-nail-sticker","Pink Blossom– 3D Embossed Nail Sticker")</x:f>
        <x:v>HYPERLINK is not implemented. linkLocation=https://365nails.com/products/pink-blossom-3d-embossed-nail-sticker, friendlyName=Pink Blossom– 3D Embossed Nail Sticker</x:v>
      </x:c>
      <x:c r="D7406" s="18" t="str">
        <x:v>Specification type: To3868-relief / To4456-relief</x:v>
      </x:c>
      <x:c r="E7406" s="25" t="str">
        <x:v>$1.23</x:v>
      </x:c>
      <x:c r="F7406" s="19" t="str">
        <x:v>5</x:v>
      </x:c>
    </x:row>
    <x:row r="7407" ht="93" customHeight="1">
      <x:c r="A7407" s="19" t="n">
        <x:v>7404</x:v>
      </x:c>
      <x:c r="B7407" s="22" t="e">
        <x:f>HYPERLINK("https://cdn.shopify.com/s/files/1/0918/6066/4603/files/6391a5303038a676072f01326bc19ed9.jpg?v=1772963962","Open")</x:f>
        <x:v>HYPERLINK is not implemented. linkLocation=https://cdn.shopify.com/s/files/1/0918/6066/4603/files/6391a5303038a676072f01326bc19ed9.jpg?v=1772963962, friendlyName=Open</x:v>
      </x:c>
      <x:c r="C7407" s="24" t="e">
        <x:f>HYPERLINK("https://365nails.com/products/crayon-shin-chan-adventures-3d-embossed-cartoon-nail-art-set","Crayon Shin-chan Adventures – 3D Embossed Cartoon Nail Art Set")</x:f>
        <x:v>HYPERLINK is not implemented. linkLocation=https://365nails.com/products/crayon-shin-chan-adventures-3d-embossed-cartoon-nail-art-set, friendlyName=Crayon Shin-chan Adventures – 3D Embossed Cartoon Nail Art Set</x:v>
      </x:c>
      <x:c r="D7407" s="18" t="str">
        <x:v>Specification type: To2410</x:v>
      </x:c>
      <x:c r="E7407" s="25" t="str">
        <x:v>$1.23</x:v>
      </x:c>
      <x:c r="F7407" s="19" t="str">
        <x:v>5</x:v>
      </x:c>
    </x:row>
    <x:row r="7408" ht="93" customHeight="1">
      <x:c r="A7408" s="19" t="n">
        <x:v>7405</x:v>
      </x:c>
      <x:c r="B7408" s="22" t="e">
        <x:f>HYPERLINK("https://cdn.shopify.com/s/files/1/0918/6066/4603/files/O1CN01aWw2fH1HlX3yyukKh__2545140798-0-cib.jpg?v=1776522174","Open")</x:f>
        <x:v>HYPERLINK is not implemented. linkLocation=https://cdn.shopify.com/s/files/1/0918/6066/4603/files/O1CN01aWw2fH1HlX3yyukKh__2545140798-0-cib.jpg?v=1776522174, friendlyName=Open</x:v>
      </x:c>
      <x:c r="C7408" s="24" t="e">
        <x:f>HYPERLINK("https://365nails.com/products/365nails-cute-snowman-christmas-nail-art-stickers","365nails: ""Cute Snowman Christmas"" – nail art stickers")</x:f>
        <x:v>HYPERLINK is not implemented. linkLocation=https://365nails.com/products/365nails-cute-snowman-christmas-nail-art-stickers, friendlyName=365nails: "Cute Snowman Christmas" – nail art stickers</x:v>
      </x:c>
      <x:c r="D7408" s="18" t="str">
        <x:v>Specification type: To4635</x:v>
      </x:c>
      <x:c r="E7408" s="25" t="str">
        <x:v>$1.09</x:v>
      </x:c>
      <x:c r="F7408" s="19" t="str">
        <x:v>5</x:v>
      </x:c>
    </x:row>
    <x:row r="7409" ht="93" customHeight="1">
      <x:c r="A7409" s="19" t="n">
        <x:v>7406</x:v>
      </x:c>
      <x:c r="B7409" s="22" t="e">
        <x:f>HYPERLINK("https://cdn.shopify.com/s/files/1/0918/6066/4603/files/O1CN01m0OGhV1HlX3xnyvce__2545140798-0-cib.jpg?v=1776522253","Open")</x:f>
        <x:v>HYPERLINK is not implemented. linkLocation=https://cdn.shopify.com/s/files/1/0918/6066/4603/files/O1CN01m0OGhV1HlX3xnyvce__2545140798-0-cib.jpg?v=1776522253, friendlyName=Open</x:v>
      </x:c>
      <x:c r="C7409" s="24" t="e">
        <x:f>HYPERLINK("https://365nails.com/products/365nails-holographic-grey-cat-nail-art-stickers","365nails: ""Holographic Grey Cat"" – nail art stickers")</x:f>
        <x:v>HYPERLINK is not implemented. linkLocation=https://365nails.com/products/365nails-holographic-grey-cat-nail-art-stickers, friendlyName=365nails: "Holographic Grey Cat" – nail art stickers</x:v>
      </x:c>
      <x:c r="D7409" s="18" t="str">
        <x:v>Specification type: To4630-cat eye / To4632-cat eye</x:v>
      </x:c>
      <x:c r="E7409" s="25" t="str">
        <x:v>$1.23</x:v>
      </x:c>
      <x:c r="F7409" s="19" t="str">
        <x:v>5</x:v>
      </x:c>
    </x:row>
    <x:row r="7410" ht="93" customHeight="1">
      <x:c r="A7410" s="19" t="n">
        <x:v>7407</x:v>
      </x:c>
      <x:c r="B7410" s="22" t="e">
        <x:f>HYPERLINK("https://cdn.shopify.com/s/files/1/0918/6066/4603/files/O1CN013GTCEp1HlX0x4mxbk__2545140798-0-cib_a67393da-cf3a-4a71-b71b-6cbda23164e6.jpg?v=1773931231","Open")</x:f>
        <x:v>HYPERLINK is not implemented. linkLocation=https://cdn.shopify.com/s/files/1/0918/6066/4603/files/O1CN013GTCEp1HlX0x4mxbk__2545140798-0-cib_a67393da-cf3a-4a71-b71b-6cbda23164e6.jpg?v=1773931231, friendlyName=Open</x:v>
      </x:c>
      <x:c r="C7410" s="24" t="e">
        <x:f>HYPERLINK("https://365nails.com/products/white-gardenia-lace-bridal-gardenia-5d-embossed-nail-sticker","White Gardenia &amp; Lace: ""Bridal Gardenia"" – 5D Embossed Nail Sticker")</x:f>
        <x:v>HYPERLINK is not implemented. linkLocation=https://365nails.com/products/white-gardenia-lace-bridal-gardenia-5d-embossed-nail-sticker, friendlyName=White Gardenia &amp; Lace: "Bridal Gardenia" – 5D Embossed Nail Sticker</x:v>
      </x:c>
      <x:c r="D7410" s="18" t="str">
        <x:v>Specification type: To3891-relief / To3989-relief</x:v>
      </x:c>
      <x:c r="E7410" s="25" t="str">
        <x:v>$1.23</x:v>
      </x:c>
      <x:c r="F7410" s="19" t="str">
        <x:v>5</x:v>
      </x:c>
    </x:row>
    <x:row r="7411" ht="93" customHeight="1">
      <x:c r="A7411" s="19" t="n">
        <x:v>7408</x:v>
      </x:c>
      <x:c r="B7411" s="22" t="e">
        <x:f>HYPERLINK("https://cdn.shopify.com/s/files/1/0918/6066/4603/files/O1CN01YajE8n1HlWzm5dI4d__2545140798-0-cib_bd643245-2a76-4014-9dc8-5850bdd90445.jpg?v=1773929298","Open")</x:f>
        <x:v>HYPERLINK is not implemented. linkLocation=https://cdn.shopify.com/s/files/1/0918/6066/4603/files/O1CN01YajE8n1HlWzm5dI4d__2545140798-0-cib_bd643245-2a76-4014-9dc8-5850bdd90445.jpg?v=1773929298, friendlyName=Open</x:v>
      </x:c>
      <x:c r="C7411" s="24" t="e">
        <x:f>HYPERLINK("https://365nails.com/products/pomegranate-bamboo-oriental-pomegranate-bamboo-5d-embossed-nail-sticker","Pomegranate &amp; Bamboo: ""Oriental Pomegranate Bamboo"" – 5D Embossed Nail Sticker")</x:f>
        <x:v>HYPERLINK is not implemented. linkLocation=https://365nails.com/products/pomegranate-bamboo-oriental-pomegranate-bamboo-5d-embossed-nail-sticker, friendlyName=Pomegranate &amp; Bamboo: "Oriental Pomegranate Bamboo" – 5D Embossed Nail Sticker</x:v>
      </x:c>
      <x:c r="D7411" s="18" t="str">
        <x:v>Specification type: To3794</x:v>
      </x:c>
      <x:c r="E7411" s="25" t="str">
        <x:v>$1.09</x:v>
      </x:c>
      <x:c r="F7411" s="19" t="str">
        <x:v>5</x:v>
      </x:c>
    </x:row>
    <x:row r="7412" ht="93" customHeight="1">
      <x:c r="A7412" s="19" t="n">
        <x:v>7409</x:v>
      </x:c>
      <x:c r="B7412" s="22" t="e">
        <x:f>HYPERLINK("https://cdn.shopify.com/s/files/1/0918/6066/4603/files/O1CN01esiWZi1HlWrJ6eySQ__2545140798-0-cib.jpg?v=1773582311","Open")</x:f>
        <x:v>HYPERLINK is not implemented. linkLocation=https://cdn.shopify.com/s/files/1/0918/6066/4603/files/O1CN01esiWZi1HlWrJ6eySQ__2545140798-0-cib.jpg?v=1773582311, friendlyName=Open</x:v>
      </x:c>
      <x:c r="C7412" s="24" t="e">
        <x:f>HYPERLINK("https://365nails.com/products/gold-star-celestial-sparkle-3d-embossed-nail-sticker","Gold Star: ""Celestial Sparkle"" – 3D Embossed Nail Sticker")</x:f>
        <x:v>HYPERLINK is not implemented. linkLocation=https://365nails.com/products/gold-star-celestial-sparkle-3d-embossed-nail-sticker, friendlyName=Gold Star: "Celestial Sparkle" – 3D Embossed Nail Sticker</x:v>
      </x:c>
      <x:c r="D7412" s="18" t="str">
        <x:v>Specification type: Ta167 new hot stamping / Ta168 silver / Ta169 laser silver / Ta 170 / Ta 171 / Ta 172</x:v>
      </x:c>
      <x:c r="E7412" s="25" t="str">
        <x:v>$1.09</x:v>
      </x:c>
      <x:c r="F7412" s="19" t="str">
        <x:v>5</x:v>
      </x:c>
    </x:row>
    <x:row r="7413" ht="93" customHeight="1">
      <x:c r="A7413" s="19" t="n">
        <x:v>7410</x:v>
      </x:c>
      <x:c r="B7413" s="22" t="e">
        <x:f>HYPERLINK("https://cdn.shopify.com/s/files/1/0918/6066/4603/files/O1CN01aYFjja1HlX7ikZNO7__2545140798-0-cib.jpg?v=1773579826","Open")</x:f>
        <x:v>HYPERLINK is not implemented. linkLocation=https://cdn.shopify.com/s/files/1/0918/6066/4603/files/O1CN01aYFjja1HlX7ikZNO7__2545140798-0-cib.jpg?v=1773579826, friendlyName=Open</x:v>
      </x:c>
      <x:c r="C7413" s="24" t="e">
        <x:f>HYPERLINK("https://365nails.com/products/vintage-frame-floral-antique-crystal-3d-embossed-nail-sticker","Vintage Frame &amp; Floral: ""Antique Crystal"" – 3D Embossed Nail Sticker")</x:f>
        <x:v>HYPERLINK is not implemented. linkLocation=https://365nails.com/products/vintage-frame-floral-antique-crystal-3d-embossed-nail-sticker, friendlyName=Vintage Frame &amp; Floral: "Antique Crystal" – 3D Embossed Nail Sticker</x:v>
      </x:c>
      <x:c r="D7413" s="18" t="str">
        <x:v>Specification type: Ms822 new hot stamping-crystal diamond / Ms822 silver-crystal diamond</x:v>
      </x:c>
      <x:c r="E7413" s="25" t="str">
        <x:v>$1.30</x:v>
      </x:c>
      <x:c r="F7413" s="19" t="str">
        <x:v>5</x:v>
      </x:c>
    </x:row>
    <x:row r="7414" ht="93" customHeight="1">
      <x:c r="A7414" s="19" t="n">
        <x:v>7411</x:v>
      </x:c>
      <x:c r="B7414" s="22" t="e">
        <x:f>HYPERLINK("https://cdn.shopify.com/s/files/1/0918/6066/4603/files/O1CN01RNXFIa1HlX4Lw0hPD__2545140798-0-cib.jpg?v=1776522981","Open")</x:f>
        <x:v>HYPERLINK is not implemented. linkLocation=https://cdn.shopify.com/s/files/1/0918/6066/4603/files/O1CN01RNXFIa1HlX4Lw0hPD__2545140798-0-cib.jpg?v=1776522981, friendlyName=Open</x:v>
      </x:c>
      <x:c r="C7414" s="24" t="e">
        <x:f>HYPERLINK("https://365nails.com/products/365nails-holographic-orange-butterfly-nail-art-stickers","365nails: ""Holographic Orange Butterfly"" – nail art stickers")</x:f>
        <x:v>HYPERLINK is not implemented. linkLocation=https://365nails.com/products/365nails-holographic-orange-butterfly-nail-art-stickers, friendlyName=365nails: "Holographic Orange Butterfly" – nail art stickers</x:v>
      </x:c>
      <x:c r="D7414" s="18" t="str">
        <x:v>Specification type: Ms722-shell light</x:v>
      </x:c>
      <x:c r="E7414" s="25" t="str">
        <x:v>$1.23</x:v>
      </x:c>
      <x:c r="F7414" s="19" t="str">
        <x:v>5</x:v>
      </x:c>
    </x:row>
    <x:row r="7415" ht="93" customHeight="1">
      <x:c r="A7415" s="19" t="n">
        <x:v>7412</x:v>
      </x:c>
      <x:c r="B7415" s="22" t="e">
        <x:f>HYPERLINK("https://cdn.shopify.com/s/files/1/0918/6066/4603/files/O1CN01rdJlqI1HlX2mSxz7b__2545140798-0-cib.jpg?v=1773585808","Open")</x:f>
        <x:v>HYPERLINK is not implemented. linkLocation=https://cdn.shopify.com/s/files/1/0918/6066/4603/files/O1CN01rdJlqI1HlX2mSxz7b__2545140798-0-cib.jpg?v=1773585808, friendlyName=Open</x:v>
      </x:c>
      <x:c r="C7415" s="24" t="e">
        <x:f>HYPERLINK("https://365nails.com/products/green-gold-leaf-star-fresh-spring-3d-embossed-nail-sticker","Green Gold Leaf &amp; Star: ""Fresh Spring"" – 3D Embossed Nail Sticker")</x:f>
        <x:v>HYPERLINK is not implemented. linkLocation=https://365nails.com/products/green-gold-leaf-star-fresh-spring-3d-embossed-nail-sticker, friendlyName=Green Gold Leaf &amp; Star: "Fresh Spring" – 3D Embossed Nail Sticker</x:v>
      </x:c>
      <x:c r="D7415" s="18" t="str">
        <x:v>Specification type: To4376-green gold / To4376-rose gold / To4376-new hot stamping / To4376-silver</x:v>
      </x:c>
      <x:c r="E7415" s="25" t="str">
        <x:v>$1.23</x:v>
      </x:c>
      <x:c r="F7415" s="19" t="str">
        <x:v>5</x:v>
      </x:c>
    </x:row>
    <x:row r="7416" ht="93" customHeight="1">
      <x:c r="A7416" s="19" t="n">
        <x:v>7413</x:v>
      </x:c>
      <x:c r="B7416" s="22" t="e">
        <x:f>HYPERLINK("https://cdn.shopify.com/s/files/1/0918/6066/4603/files/O1CN01THSz751HlX0CCNClg__2545140798-0-cib.jpg?v=1773758571","Open")</x:f>
        <x:v>HYPERLINK is not implemented. linkLocation=https://cdn.shopify.com/s/files/1/0918/6066/4603/files/O1CN01THSz751HlX0CCNClg__2545140798-0-cib.jpg?v=1773758571, friendlyName=Open</x:v>
      </x:c>
      <x:c r="C7416" s="24" t="e">
        <x:f>HYPERLINK("https://365nails.com/products/oriental-peach-blossom-pattern-elegant-peach-blossom-5d-embossed-nail-sticker","Oriental Peach Blossom &amp; Pattern: ""Elegant Peach Blossom"" – 5D Embossed Nail Sticker")</x:f>
        <x:v>HYPERLINK is not implemented. linkLocation=https://365nails.com/products/oriental-peach-blossom-pattern-elegant-peach-blossom-5d-embossed-nail-sticker, friendlyName=Oriental Peach Blossom &amp; Pattern: "Elegant Peach Blossom" – 5D Embossed Nail Sticker</x:v>
      </x:c>
      <x:c r="D7416" s="18" t="str">
        <x:v>Specification type: To3838-crystal diamond</x:v>
      </x:c>
      <x:c r="E7416" s="25" t="str">
        <x:v>$1.30</x:v>
      </x:c>
      <x:c r="F7416" s="19" t="str">
        <x:v>5</x:v>
      </x:c>
    </x:row>
    <x:row r="7417" ht="93" customHeight="1">
      <x:c r="A7417" s="19" t="n">
        <x:v>7414</x:v>
      </x:c>
      <x:c r="B7417" s="22" t="e">
        <x:f>HYPERLINK("https://cdn.shopify.com/s/files/1/0918/6066/4603/files/O1CN01r6gsKU1HlX5F8VD0R__2545140798-0-cib.jpg?v=1774018188","Open")</x:f>
        <x:v>HYPERLINK is not implemented. linkLocation=https://cdn.shopify.com/s/files/1/0918/6066/4603/files/O1CN01r6gsKU1HlX5F8VD0R__2545140798-0-cib.jpg?v=1774018188, friendlyName=Open</x:v>
      </x:c>
      <x:c r="C7417" s="24" t="e">
        <x:f>HYPERLINK("https://365nails.com/products/white-lace-butterfly-star-nail-sticker-set-ethereal-butterfly-lace","White Lace Butterfly &amp; Star Nail Sticker Set – ""Ethereal Butterfly Lace""")</x:f>
        <x:v>HYPERLINK is not implemented. linkLocation=https://365nails.com/products/white-lace-butterfly-star-nail-sticker-set-ethereal-butterfly-lace, friendlyName=White Lace Butterfly &amp; Star Nail Sticker Set – "Ethereal Butterfly Lace"</x:v>
      </x:c>
      <x:c r="D7417" s="18" t="str">
        <x:v>Specification type: To4621</x:v>
      </x:c>
      <x:c r="E7417" s="25" t="str">
        <x:v>$1.09</x:v>
      </x:c>
      <x:c r="F7417" s="19" t="str">
        <x:v>5</x:v>
      </x:c>
    </x:row>
    <x:row r="7418" ht="93" customHeight="1">
      <x:c r="A7418" s="19" t="n">
        <x:v>7415</x:v>
      </x:c>
      <x:c r="B7418" s="22" t="e">
        <x:f>HYPERLINK("https://cdn.shopify.com/s/files/1/0918/6066/4603/files/O1CN01vdDC7A1HlX2oV6E32__2545140798-0-cib.jpg?v=1773581786","Open")</x:f>
        <x:v>HYPERLINK is not implemented. linkLocation=https://cdn.shopify.com/s/files/1/0918/6066/4603/files/O1CN01vdDC7A1HlX2oV6E32__2545140798-0-cib.jpg?v=1773581786, friendlyName=Open</x:v>
      </x:c>
      <x:c r="C7418" s="24" t="e">
        <x:f>HYPERLINK("https://365nails.com/products/purple-floral-mandala-oriental-enchantment-3d-embossed-nail-sticker","Purple Floral Mandala: ""Oriental Enchantment"" – 3D Embossed Nail Sticker")</x:f>
        <x:v>HYPERLINK is not implemented. linkLocation=https://365nails.com/products/purple-floral-mandala-oriental-enchantment-3d-embossed-nail-sticker, friendlyName=Purple Floral Mandala: "Oriental Enchantment" – 3D Embossed Nail Sticker</x:v>
      </x:c>
      <x:c r="D7418" s="18" t="str">
        <x:v>Specification type: L03 / L06 / L09</x:v>
      </x:c>
      <x:c r="E7418" s="25" t="str">
        <x:v>$1.09</x:v>
      </x:c>
      <x:c r="F7418" s="19" t="str">
        <x:v>5</x:v>
      </x:c>
    </x:row>
    <x:row r="7419" ht="93" customHeight="1">
      <x:c r="A7419" s="19" t="n">
        <x:v>7416</x:v>
      </x:c>
      <x:c r="B7419" s="22" t="e">
        <x:f>HYPERLINK("https://cdn.shopify.com/s/files/1/0918/6066/4603/files/O1CN014iEe351HlX3ZT1bjV__2545140798-0-cib.jpg?v=1776522649","Open")</x:f>
        <x:v>HYPERLINK is not implemented. linkLocation=https://cdn.shopify.com/s/files/1/0918/6066/4603/files/O1CN014iEe351HlX3ZT1bjV__2545140798-0-cib.jpg?v=1776522649, friendlyName=Open</x:v>
      </x:c>
      <x:c r="C7419" s="24" t="e">
        <x:f>HYPERLINK("https://365nails.com/products/365nails-chinese-ink-fish-rabbit-nail-art-stickers","365nails: ""Chinese Ink Fish &amp; Rabbit"" – nail art stickers")</x:f>
        <x:v>HYPERLINK is not implemented. linkLocation=https://365nails.com/products/365nails-chinese-ink-fish-rabbit-nail-art-stickers, friendlyName=365nails: "Chinese Ink Fish &amp; Rabbit" – nail art stickers</x:v>
      </x:c>
      <x:c r="D7419" s="18" t="str">
        <x:v>Specification type: Wy–49 / Wy-51</x:v>
      </x:c>
      <x:c r="E7419" s="25" t="str">
        <x:v>$1.09</x:v>
      </x:c>
      <x:c r="F7419" s="19" t="str">
        <x:v>5</x:v>
      </x:c>
    </x:row>
    <x:row r="7420" ht="93" customHeight="1">
      <x:c r="A7420" s="19" t="n">
        <x:v>7417</x:v>
      </x:c>
      <x:c r="B7420" s="22" t="e">
        <x:f>HYPERLINK("https://cdn.shopify.com/s/files/1/0918/6066/4603/files/O1CN01EbC6EF1HlXAMHFyOQ__2545140798-0-cib.jpg?v=1773587110","Open")</x:f>
        <x:v>HYPERLINK is not implemented. linkLocation=https://cdn.shopify.com/s/files/1/0918/6066/4603/files/O1CN01EbC6EF1HlXAMHFyOQ__2545140798-0-cib.jpg?v=1773587110, friendlyName=Open</x:v>
      </x:c>
      <x:c r="C7420" s="24" t="e">
        <x:f>HYPERLINK("https://365nails.com/products/gothic-cross-lohengrin-5d-embossed-nail-sticker","Gothic Cross: ""Lohengrin"" – 5D Embossed Nail Sticker")</x:f>
        <x:v>HYPERLINK is not implemented. linkLocation=https://365nails.com/products/gothic-cross-lohengrin-5d-embossed-nail-sticker, friendlyName=Gothic Cross: "Lohengrin" – 5D Embossed Nail Sticker</x:v>
      </x:c>
      <x:c r="D7420" s="18" t="str">
        <x:v>Specification type: To5471-relief</x:v>
      </x:c>
      <x:c r="E7420" s="25" t="str">
        <x:v>$1.23</x:v>
      </x:c>
      <x:c r="F7420" s="19" t="str">
        <x:v>5</x:v>
      </x:c>
    </x:row>
    <x:row r="7421" ht="93" customHeight="1">
      <x:c r="A7421" s="19" t="n">
        <x:v>7418</x:v>
      </x:c>
      <x:c r="B7421" s="22" t="e">
        <x:f>HYPERLINK("https://cdn.shopify.com/s/files/1/0918/6066/4603/files/O1CN01rogE9r1HlX2pjyekR__2545140798-0-cib_3f05cc0a-5dc0-4a7c-b0bb-d5a9b2b6a7c2.jpg?v=1774017692","Open")</x:f>
        <x:v>HYPERLINK is not implemented. linkLocation=https://cdn.shopify.com/s/files/1/0918/6066/4603/files/O1CN01rogE9r1HlX2pjyekR__2545140798-0-cib_3f05cc0a-5dc0-4a7c-b0bb-d5a9b2b6a7c2.jpg?v=1774017692, friendlyName=Open</x:v>
      </x:c>
      <x:c r="C7421" s="24" t="e">
        <x:f>HYPERLINK("https://365nails.com/products/white-lace-feather-crystal-nail-sticker-set-crystal-feather-lace","White Lace Feather &amp; Crystal Nail Sticker Set – ""Crystal Feather Lace""")</x:f>
        <x:v>HYPERLINK is not implemented. linkLocation=https://365nails.com/products/white-lace-feather-crystal-nail-sticker-set-crystal-feather-lace, friendlyName=White Lace Feather &amp; Crystal Nail Sticker Set – "Crystal Feather Lace"</x:v>
      </x:c>
      <x:c r="D7421" s="18" t="str">
        <x:v>Specification type: Ms685-crystal diamond / Ms686-crystal diamond / Ms687-crystal diamond</x:v>
      </x:c>
      <x:c r="E7421" s="25" t="str">
        <x:v>$1.30</x:v>
      </x:c>
      <x:c r="F7421" s="19" t="str">
        <x:v>5</x:v>
      </x:c>
    </x:row>
    <x:row r="7422" ht="93" customHeight="1">
      <x:c r="A7422" s="19" t="n">
        <x:v>7419</x:v>
      </x:c>
      <x:c r="B7422" s="22" t="e">
        <x:f>HYPERLINK("https://cdn.shopify.com/s/files/1/0918/6066/4603/files/O1CN011MP1YC1HlWwAwdOTu__2545140798-0-cib.jpg?v=1772962759","Open")</x:f>
        <x:v>HYPERLINK is not implemented. linkLocation=https://cdn.shopify.com/s/files/1/0918/6066/4603/files/O1CN011MP1YC1HlWwAwdOTu__2545140798-0-cib.jpg?v=1772962759, friendlyName=Open</x:v>
      </x:c>
      <x:c r="C7422" s="24" t="e">
        <x:f>HYPERLINK("https://365nails.com/products/magical-black-cat-3d-embossed-halloween-nail-art-set","Magical Black Cat – 3D Embossed Halloween Nail Art Set")</x:f>
        <x:v>HYPERLINK is not implemented. linkLocation=https://365nails.com/products/magical-black-cat-3d-embossed-halloween-nail-art-set, friendlyName=Magical Black Cat – 3D Embossed Halloween Nail Art Set</x:v>
      </x:c>
      <x:c r="D7422" s="18" t="str">
        <x:v>Specification type: To3265</x:v>
      </x:c>
      <x:c r="E7422" s="25" t="str">
        <x:v>$1.23</x:v>
      </x:c>
      <x:c r="F7422" s="19" t="str">
        <x:v>5</x:v>
      </x:c>
    </x:row>
    <x:row r="7423" ht="93" customHeight="1">
      <x:c r="A7423" s="19" t="n">
        <x:v>7420</x:v>
      </x:c>
      <x:c r="B7423" s="22" t="e">
        <x:f>HYPERLINK("https://cdn.shopify.com/s/files/1/0918/6066/4603/files/O1CN01O6XKNC1HlXAYrHJhA__2545140798-0-cib.jpg?v=1773930890","Open")</x:f>
        <x:v>HYPERLINK is not implemented. linkLocation=https://cdn.shopify.com/s/files/1/0918/6066/4603/files/O1CN01O6XKNC1HlXAYrHJhA__2545140798-0-cib.jpg?v=1773930890, friendlyName=Open</x:v>
      </x:c>
      <x:c r="C7423" s="24" t="e">
        <x:f>HYPERLINK("https://365nails.com/products/purple-glitter-butterfly-lavender-flutter-5d-embossed-nail-sticker","Purple Glitter Butterfly: ""Lavender Flutter"" – 5D Embossed Nail Sticker")</x:f>
        <x:v>HYPERLINK is not implemented. linkLocation=https://365nails.com/products/purple-glitter-butterfly-lavender-flutter-5d-embossed-nail-sticker, friendlyName=Purple Glitter Butterfly: "Lavender Flutter" – 5D Embossed Nail Sticker</x:v>
      </x:c>
      <x:c r="D7423" s="18" t="str">
        <x:v>Specification type: Ms910-glitter powder</x:v>
      </x:c>
      <x:c r="E7423" s="25" t="str">
        <x:v>$1.23</x:v>
      </x:c>
      <x:c r="F7423" s="19" t="str">
        <x:v>5</x:v>
      </x:c>
    </x:row>
    <x:row r="7424" ht="93" customHeight="1">
      <x:c r="A7424" s="19" t="n">
        <x:v>7421</x:v>
      </x:c>
      <x:c r="B7424" s="22" t="e">
        <x:f>HYPERLINK("https://cdn.shopify.com/s/files/1/0918/6066/4603/files/O1CN0149h0OX1HlWqaNXSnr__2545140798-0-cib.jpg?v=1774021059","Open")</x:f>
        <x:v>HYPERLINK is not implemented. linkLocation=https://cdn.shopify.com/s/files/1/0918/6066/4603/files/O1CN0149h0OX1HlWqaNXSnr__2545140798-0-cib.jpg?v=1774021059, friendlyName=Open</x:v>
      </x:c>
      <x:c r="C7424" s="24" t="e">
        <x:f>HYPERLINK("https://365nails.com/products/vintage-lace-embossed-nail-sticker-set-bridal-vintage-lace","Vintage Lace Embossed Nail Sticker Set – ""Bridal Vintage Lace""")</x:f>
        <x:v>HYPERLINK is not implemented. linkLocation=https://365nails.com/products/vintage-lace-embossed-nail-sticker-set-bridal-vintage-lace, friendlyName=Vintage Lace Embossed Nail Sticker Set – "Bridal Vintage Lace"</x:v>
      </x:c>
      <x:c r="D7424" s="18" t="str">
        <x:v>Specification type: To2420 / To2422</x:v>
      </x:c>
      <x:c r="E7424" s="25" t="str">
        <x:v>$1.23</x:v>
      </x:c>
      <x:c r="F7424" s="19" t="str">
        <x:v>5</x:v>
      </x:c>
    </x:row>
    <x:row r="7425" ht="93" customHeight="1">
      <x:c r="A7425" s="19" t="n">
        <x:v>7422</x:v>
      </x:c>
      <x:c r="B7425" s="22" t="e">
        <x:f>HYPERLINK("https://cdn.shopify.com/s/files/1/0918/6066/4603/files/O1CN010kn0WP1HlWohXqZkI__2545140798-0-cib.jpg?v=1772968751","Open")</x:f>
        <x:v>HYPERLINK is not implemented. linkLocation=https://cdn.shopify.com/s/files/1/0918/6066/4603/files/O1CN010kn0WP1HlWohXqZkI__2545140798-0-cib.jpg?v=1772968751, friendlyName=Open</x:v>
      </x:c>
      <x:c r="C7425" s="24" t="e">
        <x:f>HYPERLINK("https://365nails.com/products/royal-lace-medallion-3d-embossed-gothic-nail-art-set","Royal Lace Medallion – 3D Embossed Gothic Nail Art Set")</x:f>
        <x:v>HYPERLINK is not implemented. linkLocation=https://365nails.com/products/royal-lace-medallion-3d-embossed-gothic-nail-art-set, friendlyName=Royal Lace Medallion – 3D Embossed Gothic Nail Art Set</x:v>
      </x:c>
      <x:c r="D7425" s="18" t="str">
        <x:v>Specification type: To1608 / To1610</x:v>
      </x:c>
      <x:c r="E7425" s="25" t="str">
        <x:v>$1.23</x:v>
      </x:c>
      <x:c r="F7425" s="19" t="str">
        <x:v>5</x:v>
      </x:c>
    </x:row>
    <x:row r="7426" ht="93" customHeight="1">
      <x:c r="A7426" s="19" t="n">
        <x:v>7423</x:v>
      </x:c>
      <x:c r="B7426" s="22" t="e">
        <x:f>HYPERLINK("https://cdn.shopify.com/s/files/1/0918/6066/4603/files/O1CN01S3vBHX1HlWvNkJu3T__2545140798-0-cib.jpg?v=1774011683","Open")</x:f>
        <x:v>HYPERLINK is not implemented. linkLocation=https://cdn.shopify.com/s/files/1/0918/6066/4603/files/O1CN01S3vBHX1HlWvNkJu3T__2545140798-0-cib.jpg?v=1774011683, friendlyName=Open</x:v>
      </x:c>
      <x:c r="C7426" s="24" t="e">
        <x:f>HYPERLINK("https://365nails.com/products/metallic-text-lolita-script-sweet-lolita-text-mix-5d-embossed-nail-sticker","Metallic Text &amp; Lolita Script: ""Sweet Lolita Text Mix"" – 5D Embossed Nail Sticker")</x:f>
        <x:v>HYPERLINK is not implemented. linkLocation=https://365nails.com/products/metallic-text-lolita-script-sweet-lolita-text-mix-5d-embossed-nail-sticker, friendlyName=Metallic Text &amp; Lolita Script: "Sweet Lolita Text Mix" – 5D Embossed Nail Sticker</x:v>
      </x:c>
      <x:c r="D7426" s="18" t="str">
        <x:v>Specification type: To3149-relief / To3150-pink gold / To3151-green gold / To3152-silver</x:v>
      </x:c>
      <x:c r="E7426" s="25" t="str">
        <x:v>$1.23</x:v>
      </x:c>
      <x:c r="F7426" s="19" t="str">
        <x:v>5</x:v>
      </x:c>
    </x:row>
    <x:row r="7427" ht="93" customHeight="1">
      <x:c r="A7427" s="19" t="n">
        <x:v>7424</x:v>
      </x:c>
      <x:c r="B7427" s="22" t="e">
        <x:f>HYPERLINK("https://cdn.shopify.com/s/files/1/0918/6066/4603/files/O1CN01N0O2p51HlX5NT5bn8__2545140798-0-cib.jpg?v=1773842156","Open")</x:f>
        <x:v>HYPERLINK is not implemented. linkLocation=https://cdn.shopify.com/s/files/1/0918/6066/4603/files/O1CN01N0O2p51HlX5NT5bn8__2545140798-0-cib.jpg?v=1773842156, friendlyName=Open</x:v>
      </x:c>
      <x:c r="C7427" s="24" t="e">
        <x:f>HYPERLINK("https://365nails.com/products/pink-lotus-chinese-calligraphy-elegant-oriental-lotus-5d-embossed-nail-sticker","Pink Lotus &amp; Chinese Calligraphy: ""Elegant Oriental Lotus"" – 5D Embossed Nail Sticker")</x:f>
        <x:v>HYPERLINK is not implemented. linkLocation=https://365nails.com/products/pink-lotus-chinese-calligraphy-elegant-oriental-lotus-5d-embossed-nail-sticker, friendlyName=Pink Lotus &amp; Chinese Calligraphy: "Elegant Oriental Lotus" – 5D Embossed Nail Sticker</x:v>
      </x:c>
      <x:c r="D7427" s="18" t="str">
        <x:v>Specification type: To4837-relief / To4841-relief</x:v>
      </x:c>
      <x:c r="E7427" s="25" t="str">
        <x:v>$1.23</x:v>
      </x:c>
      <x:c r="F7427" s="19" t="str">
        <x:v>5</x:v>
      </x:c>
    </x:row>
    <x:row r="7428" ht="93" customHeight="1">
      <x:c r="A7428" s="19" t="n">
        <x:v>7425</x:v>
      </x:c>
      <x:c r="B7428" s="22" t="e">
        <x:f>HYPERLINK("https://cdn.shopify.com/s/files/1/0918/6066/4603/files/O1CN01GyCT4G1HlX3p4Qy8W__2545140798-0-cib.jpg?v=1773841142","Open")</x:f>
        <x:v>HYPERLINK is not implemented. linkLocation=https://cdn.shopify.com/s/files/1/0918/6066/4603/files/O1CN01GyCT4G1HlX3p4Qy8W__2545140798-0-cib.jpg?v=1773841142, friendlyName=Open</x:v>
      </x:c>
      <x:c r="C7428" s="24" t="e">
        <x:f>HYPERLINK("https://365nails.com/products/cute-mini-animal-snack-colorful-mini-animal-party-5d-embossed-nail-sticker","Cute Mini Animal &amp; Snack: ""Colorful Mini Animal Party"" – 5D Embossed Nail Sticker")</x:f>
        <x:v>HYPERLINK is not implemented. linkLocation=https://365nails.com/products/cute-mini-animal-snack-colorful-mini-animal-party-5d-embossed-nail-sticker, friendlyName=Cute Mini Animal &amp; Snack: "Colorful Mini Animal Party" – 5D Embossed Nail Sticker</x:v>
      </x:c>
      <x:c r="D7428" s="18" t="str">
        <x:v>Specification type: To4571-relief / To4591-relief</x:v>
      </x:c>
      <x:c r="E7428" s="25" t="str">
        <x:v>$1.23</x:v>
      </x:c>
      <x:c r="F7428" s="19" t="str">
        <x:v>5</x:v>
      </x:c>
    </x:row>
    <x:row r="7429" ht="93" customHeight="1">
      <x:c r="A7429" s="19" t="n">
        <x:v>7426</x:v>
      </x:c>
      <x:c r="B7429" s="22" t="e">
        <x:f>HYPERLINK("https://cdn.shopify.com/s/files/1/0918/6066/4603/files/O1CN01U0GcjY1HlX35lFFgv__2545140798-0-cib.jpg?v=1773581630","Open")</x:f>
        <x:v>HYPERLINK is not implemented. linkLocation=https://cdn.shopify.com/s/files/1/0918/6066/4603/files/O1CN01U0GcjY1HlX35lFFgv__2545140798-0-cib.jpg?v=1773581630, friendlyName=Open</x:v>
      </x:c>
      <x:c r="C7429" s="24" t="e">
        <x:f>HYPERLINK("https://365nails.com/products/oriental-mountain-crane-serene-landscape-3d-embossed-nail-sticker","Oriental Mountain &amp; Crane: ""Serene Landscape"" – 3D Embossed Nail Sticker")</x:f>
        <x:v>HYPERLINK is not implemented. linkLocation=https://365nails.com/products/oriental-mountain-crane-serene-landscape-3d-embossed-nail-sticker, friendlyName=Oriental Mountain &amp; Crane: "Serene Landscape" – 3D Embossed Nail Sticker</x:v>
      </x:c>
      <x:c r="D7429" s="18" t="str">
        <x:v>Specification type: To4411-relief / To4414-relief</x:v>
      </x:c>
      <x:c r="E7429" s="25" t="str">
        <x:v>$1.23</x:v>
      </x:c>
      <x:c r="F7429" s="19" t="str">
        <x:v>5</x:v>
      </x:c>
    </x:row>
    <x:row r="7430" ht="93" customHeight="1">
      <x:c r="A7430" s="19" t="n">
        <x:v>7427</x:v>
      </x:c>
      <x:c r="B7430" s="22" t="e">
        <x:f>HYPERLINK("https://cdn.shopify.com/s/files/1/0918/6066/4603/files/O1CN01DfzzEH1HlX6q9PUc2__2545140798-0-cib.jpg?v=1773843755","Open")</x:f>
        <x:v>HYPERLINK is not implemented. linkLocation=https://cdn.shopify.com/s/files/1/0918/6066/4603/files/O1CN01DfzzEH1HlX6q9PUc2__2545140798-0-cib.jpg?v=1773843755, friendlyName=Open</x:v>
      </x:c>
      <x:c r="C7430" s="24" t="e">
        <x:f>HYPERLINK("https://365nails.com/products/sweet-dalmatian-puppy-playful-puppy-love-5d-embossed-nail-sticker","Sweet Dalmatian Puppy: ""Playful Puppy Love"" – 5D Embossed Nail Sticker")</x:f>
        <x:v>HYPERLINK is not implemented. linkLocation=https://365nails.com/products/sweet-dalmatian-puppy-playful-puppy-love-5d-embossed-nail-sticker, friendlyName=Sweet Dalmatian Puppy: "Playful Puppy Love" – 5D Embossed Nail Sticker</x:v>
      </x:c>
      <x:c r="D7430" s="18" t="str">
        <x:v>Specification type: To5058 / To5059</x:v>
      </x:c>
      <x:c r="E7430" s="25" t="str">
        <x:v>$1.09</x:v>
      </x:c>
      <x:c r="F7430" s="19" t="str">
        <x:v>5</x:v>
      </x:c>
    </x:row>
    <x:row r="7431" ht="93" customHeight="1">
      <x:c r="A7431" s="19" t="n">
        <x:v>7428</x:v>
      </x:c>
      <x:c r="B7431" s="22" t="e">
        <x:f>HYPERLINK("https://cdn.shopify.com/s/files/1/0918/6066/4603/files/e9498b7ba5c7e9321255695f67679418.jpg?v=1777803089","Open")</x:f>
        <x:v>HYPERLINK is not implemented. linkLocation=https://cdn.shopify.com/s/files/1/0918/6066/4603/files/e9498b7ba5c7e9321255695f67679418.jpg?v=1777803089, friendlyName=Open</x:v>
      </x:c>
      <x:c r="C7431" s="24" t="e">
        <x:f>HYPERLINK("https://365nails.com/products/365nails-tropical-fruit-mix-3d-handmade-medium-stiletto-press-on-nails","365nails: ""Tropical Fruit Mix 3D"" – Handmade Medium Stiletto Press-On Nails")</x:f>
        <x:v>HYPERLINK is not implemented. linkLocation=https://365nails.com/products/365nails-tropical-fruit-mix-3d-handmade-medium-stiletto-press-on-nails, friendlyName=365nails: "Tropical Fruit Mix 3D" – Handmade Medium Stiletto Press-On Nails</x:v>
      </x:c>
      <x:c r="D7431" s="18" t="str">
        <x:v>Size: XS / S / M / L</x:v>
      </x:c>
      <x:c r="E7431" s="25" t="str">
        <x:v>$3.49</x:v>
      </x:c>
      <x:c r="F7431" s="19" t="str">
        <x:v>5</x:v>
      </x:c>
    </x:row>
    <x:row r="7432" ht="93" customHeight="1">
      <x:c r="A7432" s="19" t="n">
        <x:v>7429</x:v>
      </x:c>
      <x:c r="B7432" s="22" t="e">
        <x:f>HYPERLINK("https://cdn.shopify.com/s/files/1/0918/6066/4603/files/O1CN01E2MPxp1HlWzX1fVaw__2545140798-0-cib_77dbc788-21f1-4aea-b9d8-f953910f257b.jpg?v=1773925267","Open")</x:f>
        <x:v>HYPERLINK is not implemented. linkLocation=https://cdn.shopify.com/s/files/1/0918/6066/4603/files/O1CN01E2MPxp1HlWzX1fVaw__2545140798-0-cib_77dbc788-21f1-4aea-b9d8-f953910f257b.jpg?v=1773925267, friendlyName=Open</x:v>
      </x:c>
      <x:c r="C7432" s="24" t="e">
        <x:f>HYPERLINK("https://365nails.com/products/holographic-star-butterfly-luminous-crystal-flutter-5d-embossed-nail-sticker","Holographic Star Butterfly: ""Luminous Crystal Flutter"" – 5D Embossed Nail Sticker")</x:f>
        <x:v>HYPERLINK is not implemented. linkLocation=https://365nails.com/products/holographic-star-butterfly-luminous-crystal-flutter-5d-embossed-nail-sticker, friendlyName=Holographic Star Butterfly: "Luminous Crystal Flutter" – 5D Embossed Nail Sticker</x:v>
      </x:c>
      <x:c r="D7432" s="18" t="str">
        <x:v>Specification type: To3638-shell light</x:v>
      </x:c>
      <x:c r="E7432" s="25" t="str">
        <x:v>$1.23</x:v>
      </x:c>
      <x:c r="F7432" s="19" t="str">
        <x:v>5</x:v>
      </x:c>
    </x:row>
    <x:row r="7433" ht="93" customHeight="1">
      <x:c r="A7433" s="19" t="n">
        <x:v>7430</x:v>
      </x:c>
      <x:c r="B7433" s="22" t="e">
        <x:f>HYPERLINK("https://cdn.shopify.com/s/files/1/0918/6066/4603/files/O1CN01j43Eb21HlX593UYsz__2545140798-0-cib.jpg?v=1773840886","Open")</x:f>
        <x:v>HYPERLINK is not implemented. linkLocation=https://cdn.shopify.com/s/files/1/0918/6066/4603/files/O1CN01j43Eb21HlX593UYsz__2545140798-0-cib.jpg?v=1773840886, friendlyName=Open</x:v>
      </x:c>
      <x:c r="C7433" s="24" t="e">
        <x:f>HYPERLINK("https://365nails.com/products/glitter-snowflake-crystal-pink-glitter-snowflake-5d-embossed-nail-sticker","Glitter Snowflake &amp; Crystal: ""Pink Glitter Snowflake"" – 5D Embossed Nail Sticker")</x:f>
        <x:v>HYPERLINK is not implemented. linkLocation=https://365nails.com/products/glitter-snowflake-crystal-pink-glitter-snowflake-5d-embossed-nail-sticker, friendlyName=Glitter Snowflake &amp; Crystal: "Pink Glitter Snowflake" – 5D Embossed Nail Sticker</x:v>
      </x:c>
      <x:c r="D7433" s="18" t="str">
        <x:v>Specification type: Ms752 glitter-crystal diamond / Ms752 flash gold-crystal diamond / Ms752 flash silver-crystal diamond</x:v>
      </x:c>
      <x:c r="E7433" s="25" t="str">
        <x:v>$1.30</x:v>
      </x:c>
      <x:c r="F7433" s="19" t="str">
        <x:v>5</x:v>
      </x:c>
    </x:row>
    <x:row r="7434" ht="93" customHeight="1">
      <x:c r="A7434" s="19" t="n">
        <x:v>7431</x:v>
      </x:c>
      <x:c r="B7434" s="22" t="e">
        <x:f>HYPERLINK("https://cdn.shopify.com/s/files/1/0918/6066/4603/files/O1CN012e7HFW1HlX6R5ptIk__2545140798-0-cib.jpg?v=1773843095","Open")</x:f>
        <x:v>HYPERLINK is not implemented. linkLocation=https://cdn.shopify.com/s/files/1/0918/6066/4603/files/O1CN012e7HFW1HlX6R5ptIk__2545140798-0-cib.jpg?v=1773843095, friendlyName=Open</x:v>
      </x:c>
      <x:c r="C7434" s="24" t="e">
        <x:f>HYPERLINK("https://365nails.com/products/crystal-sunflower-sunny-summer-sunflower-5d-embossed-nail-sticker","Crystal Sunflower: ""Sunny Summer Sunflower"" – 5D Embossed Nail Sticker")</x:f>
        <x:v>HYPERLINK is not implemented. linkLocation=https://365nails.com/products/crystal-sunflower-sunny-summer-sunflower-5d-embossed-nail-sticker, friendlyName=Crystal Sunflower: "Sunny Summer Sunflower" – 5D Embossed Nail Sticker</x:v>
      </x:c>
      <x:c r="D7434" s="18" t="str">
        <x:v>Specification type: To5012-crystal diamond</x:v>
      </x:c>
      <x:c r="E7434" s="25" t="str">
        <x:v>$1.30</x:v>
      </x:c>
      <x:c r="F7434" s="19" t="str">
        <x:v>5</x:v>
      </x:c>
    </x:row>
    <x:row r="7435" ht="93" customHeight="1">
      <x:c r="A7435" s="19" t="n">
        <x:v>7432</x:v>
      </x:c>
      <x:c r="B7435" s="22" t="e">
        <x:f>HYPERLINK("https://cdn.shopify.com/s/files/1/0918/6066/4603/files/O1CN01nmv3A81HlX0J3LX2j__2545140798-0-cib.jpg?v=1773586696","Open")</x:f>
        <x:v>HYPERLINK is not implemented. linkLocation=https://cdn.shopify.com/s/files/1/0918/6066/4603/files/O1CN01nmv3A81HlX0J3LX2j__2545140798-0-cib.jpg?v=1773586696, friendlyName=Open</x:v>
      </x:c>
      <x:c r="C7435" s="24" t="e">
        <x:f>HYPERLINK("https://365nails.com/products/iridescent-butterfly-crystal-flutter-5d-crystal-diamond-nail-sticker","Iridescent Butterfly: ""Crystal Flutter"" – 5D Crystal Diamond Nail Sticker")</x:f>
        <x:v>HYPERLINK is not implemented. linkLocation=https://365nails.com/products/iridescent-butterfly-crystal-flutter-5d-crystal-diamond-nail-sticker, friendlyName=Iridescent Butterfly: "Crystal Flutter" – 5D Crystal Diamond Nail Sticker</x:v>
      </x:c>
      <x:c r="D7435" s="18" t="str">
        <x:v>Specification type: Ms585-crystal diamond / Ms587-crystal diamond / Ms589-crystal diamond</x:v>
      </x:c>
      <x:c r="E7435" s="25" t="str">
        <x:v>$1.30</x:v>
      </x:c>
      <x:c r="F7435" s="19" t="str">
        <x:v>5</x:v>
      </x:c>
    </x:row>
    <x:row r="7436" ht="93" customHeight="1">
      <x:c r="A7436" s="19" t="n">
        <x:v>7433</x:v>
      </x:c>
      <x:c r="B7436" s="22" t="e">
        <x:f>HYPERLINK("https://cdn.shopify.com/s/files/1/0918/6066/4603/files/2d641d3ce97e8cc4220ca8ef5bedcdb1.jpg?v=1772969272","Open")</x:f>
        <x:v>HYPERLINK is not implemented. linkLocation=https://cdn.shopify.com/s/files/1/0918/6066/4603/files/2d641d3ce97e8cc4220ca8ef5bedcdb1.jpg?v=1772969272, friendlyName=Open</x:v>
      </x:c>
      <x:c r="C7436" s="24" t="e">
        <x:f>HYPERLINK("https://365nails.com/products/5d-micro-embossed-wildflower-medley-ultra-textured-nail-art-set","5D Micro-Embossed Wildflower Medley – Ultra-Textured Nail Art Set")</x:f>
        <x:v>HYPERLINK is not implemented. linkLocation=https://365nails.com/products/5d-micro-embossed-wildflower-medley-ultra-textured-nail-art-set, friendlyName=5D Micro-Embossed Wildflower Medley – Ultra-Textured Nail Art Set</x:v>
      </x:c>
      <x:c r="D7436" s="18" t="str">
        <x:v>Specification type: Ms 243 / Ms 245 / Ms 246</x:v>
      </x:c>
      <x:c r="E7436" s="25" t="str">
        <x:v>$1.23</x:v>
      </x:c>
      <x:c r="F7436" s="19" t="str">
        <x:v>5</x:v>
      </x:c>
    </x:row>
    <x:row r="7437" ht="93" customHeight="1">
      <x:c r="A7437" s="19" t="n">
        <x:v>7434</x:v>
      </x:c>
      <x:c r="B7437" s="22" t="e">
        <x:f>HYPERLINK("https://cdn.shopify.com/s/files/1/0918/6066/4603/files/O1CN01CtJ5aK1HlWzgf2BvJ__2545140798-0-cib_78a85577-ef2d-45fb-bc29-bec5cae5b2ec.jpg?v=1773925404","Open")</x:f>
        <x:v>HYPERLINK is not implemented. linkLocation=https://cdn.shopify.com/s/files/1/0918/6066/4603/files/O1CN01CtJ5aK1HlWzgf2BvJ__2545140798-0-cib_78a85577-ef2d-45fb-bc29-bec5cae5b2ec.jpg?v=1773925404, friendlyName=Open</x:v>
      </x:c>
      <x:c r="C7437" s="24" t="e">
        <x:f>HYPERLINK("https://365nails.com/products/ink-wash-nine-tailed-fox-mystic-ink-fox-5d-embossed-nail-sticker","Ink Wash Nine-Tailed Fox: ""Mystic Ink Fox"" – 5D Embossed Nail Sticker")</x:f>
        <x:v>HYPERLINK is not implemented. linkLocation=https://365nails.com/products/ink-wash-nine-tailed-fox-mystic-ink-fox-5d-embossed-nail-sticker, friendlyName=Ink Wash Nine-Tailed Fox: "Mystic Ink Fox" – 5D Embossed Nail Sticker</x:v>
      </x:c>
      <x:c r="D7437" s="18" t="str">
        <x:v>Specification type: To3739 / To3743</x:v>
      </x:c>
      <x:c r="E7437" s="25" t="str">
        <x:v>$1.09</x:v>
      </x:c>
      <x:c r="F7437" s="19" t="str">
        <x:v>5</x:v>
      </x:c>
    </x:row>
    <x:row r="7438" ht="93" customHeight="1">
      <x:c r="A7438" s="19" t="n">
        <x:v>7435</x:v>
      </x:c>
      <x:c r="B7438" s="22" t="e">
        <x:f>HYPERLINK("https://cdn.shopify.com/s/files/1/0918/6066/4603/files/O1CN01Iuet6L1HlX9SbkqWU__2545140798-0-cib.jpg?v=1773931459","Open")</x:f>
        <x:v>HYPERLINK is not implemented. linkLocation=https://cdn.shopify.com/s/files/1/0918/6066/4603/files/O1CN01Iuet6L1HlX9SbkqWU__2545140798-0-cib.jpg?v=1773931459, friendlyName=Open</x:v>
      </x:c>
      <x:c r="C7438" s="24" t="e">
        <x:f>HYPERLINK("https://365nails.com/products/iridescent-gold-butterfly-aurora-gold-flutter-5d-embossed-nail-sticker","Iridescent Gold Butterfly: ""Aurora Gold Flutter"" – 5D Embossed Nail Sticker")</x:f>
        <x:v>HYPERLINK is not implemented. linkLocation=https://365nails.com/products/iridescent-gold-butterfly-aurora-gold-flutter-5d-embossed-nail-sticker, friendlyName=Iridescent Gold Butterfly: "Aurora Gold Flutter" – 5D Embossed Nail Sticker</x:v>
      </x:c>
      <x:c r="D7438" s="18" t="str">
        <x:v>Specification type: Ms865-new hot stamping / Ms865-silver / Ms866-new hot stamping / Ms866-silver</x:v>
      </x:c>
      <x:c r="E7438" s="25" t="str">
        <x:v>$1.23</x:v>
      </x:c>
      <x:c r="F7438" s="19" t="str">
        <x:v>5</x:v>
      </x:c>
    </x:row>
    <x:row r="7439" ht="93" customHeight="1">
      <x:c r="A7439" s="19" t="n">
        <x:v>7436</x:v>
      </x:c>
      <x:c r="B7439" s="22" t="e">
        <x:f>HYPERLINK("https://cdn.shopify.com/s/files/1/0918/6066/4603/files/O1CN01d5PXhW1HlX4tVvs94__2545140798-0-cib.jpg?v=1773840405","Open")</x:f>
        <x:v>HYPERLINK is not implemented. linkLocation=https://cdn.shopify.com/s/files/1/0918/6066/4603/files/O1CN01d5PXhW1HlX4tVvs94__2545140798-0-cib.jpg?v=1773840405, friendlyName=Open</x:v>
      </x:c>
      <x:c r="C7439" s="24" t="e">
        <x:f>HYPERLINK("https://365nails.com/products/mahjong-tile-crystal-lucky-mahjong-crystal-5d-embossed-nail-sticker","Mahjong Tile &amp; Crystal: ""Lucky Mahjong Crystal"" – 5D Embossed Nail Sticker")</x:f>
        <x:v>HYPERLINK is not implemented. linkLocation=https://365nails.com/products/mahjong-tile-crystal-lucky-mahjong-crystal-5d-embossed-nail-sticker, friendlyName=Mahjong Tile &amp; Crystal: "Lucky Mahjong Crystal" – 5D Embossed Nail Sticker</x:v>
      </x:c>
      <x:c r="D7439" s="18" t="str">
        <x:v>Specification type: To4771-crystal diamond</x:v>
      </x:c>
      <x:c r="E7439" s="25" t="str">
        <x:v>$1.30</x:v>
      </x:c>
      <x:c r="F7439" s="19" t="str">
        <x:v>5</x:v>
      </x:c>
    </x:row>
    <x:row r="7440" ht="93" customHeight="1">
      <x:c r="A7440" s="19" t="n">
        <x:v>7437</x:v>
      </x:c>
      <x:c r="B7440" s="22" t="e">
        <x:f>HYPERLINK("https://cdn.shopify.com/s/files/1/0918/6066/4603/files/O1CN01ybRi491HlWnZnQSrQ__2545140798-0-cib.jpg?v=1772953732","Open")</x:f>
        <x:v>HYPERLINK is not implemented. linkLocation=https://cdn.shopify.com/s/files/1/0918/6066/4603/files/O1CN01ybRi491HlWnZnQSrQ__2545140798-0-cib.jpg?v=1772953732, friendlyName=Open</x:v>
      </x:c>
      <x:c r="C7440" s="24" t="e">
        <x:f>HYPERLINK("https://365nails.com/products/shin-chan-fun-cartoon-nail-art-accent-set","Shin-chan Fun – Cartoon Nail Art Accent Set")</x:f>
        <x:v>HYPERLINK is not implemented. linkLocation=https://365nails.com/products/shin-chan-fun-cartoon-nail-art-accent-set, friendlyName=Shin-chan Fun – Cartoon Nail Art Accent Set</x:v>
      </x:c>
      <x:c r="D7440" s="18" t="str">
        <x:v>Specification type: To1287</x:v>
      </x:c>
      <x:c r="E7440" s="25" t="str">
        <x:v>$1.23</x:v>
      </x:c>
      <x:c r="F7440" s="19" t="str">
        <x:v>5</x:v>
      </x:c>
    </x:row>
    <x:row r="7441" ht="93" customHeight="1">
      <x:c r="A7441" s="19" t="n">
        <x:v>7438</x:v>
      </x:c>
      <x:c r="B7441" s="22" t="e">
        <x:f>HYPERLINK("https://cdn.shopify.com/s/files/1/0918/6066/4603/files/O1CN01hNWOur1HlWzCo6OIX__2545140798-0-cib.jpg?v=1773757579","Open")</x:f>
        <x:v>HYPERLINK is not implemented. linkLocation=https://cdn.shopify.com/s/files/1/0918/6066/4603/files/O1CN01hNWOur1HlWzCo6OIX__2545140798-0-cib.jpg?v=1773757579, friendlyName=Open</x:v>
      </x:c>
      <x:c r="C7441" s="24" t="e">
        <x:f>HYPERLINK("https://365nails.com/products/red-heart-wave-love-heart-wave-5d-embossed-nail-sticker","Red Heart Wave: ""Love Heart Wave"" – 5D Embossed Nail Sticker")</x:f>
        <x:v>HYPERLINK is not implemented. linkLocation=https://365nails.com/products/red-heart-wave-love-heart-wave-5d-embossed-nail-sticker, friendlyName=Red Heart Wave: "Love Heart Wave" – 5D Embossed Nail Sticker</x:v>
      </x:c>
      <x:c r="D7441" s="18" t="str">
        <x:v>Specification type: Ta287-red gold</x:v>
      </x:c>
      <x:c r="E7441" s="25" t="str">
        <x:v>$1.23</x:v>
      </x:c>
      <x:c r="F7441" s="19" t="str">
        <x:v>5</x:v>
      </x:c>
    </x:row>
    <x:row r="7442" ht="93" customHeight="1">
      <x:c r="A7442" s="19" t="n">
        <x:v>7439</x:v>
      </x:c>
      <x:c r="B7442" s="22" t="e">
        <x:f>HYPERLINK("https://cdn.shopify.com/s/files/1/0918/6066/4603/files/O1CN01yBC2L21HlX7Urz4TZ__2545140798-0-cib.jpg?v=1773924264","Open")</x:f>
        <x:v>HYPERLINK is not implemented. linkLocation=https://cdn.shopify.com/s/files/1/0918/6066/4603/files/O1CN01yBC2L21HlX7Urz4TZ__2545140798-0-cib.jpg?v=1773924264, friendlyName=Open</x:v>
      </x:c>
      <x:c r="C7442" s="24" t="e">
        <x:f>HYPERLINK("https://365nails.com/products/holographic-floral-pearl-ethereal-white-floral-5d-embossed-nail-sticker","Holographic Floral &amp; Pearl: ""Ethereal White Floral"" – 5D Embossed Nail Sticker")</x:f>
        <x:v>HYPERLINK is not implemented. linkLocation=https://365nails.com/products/holographic-floral-pearl-ethereal-white-floral-5d-embossed-nail-sticker, friendlyName=Holographic Floral &amp; Pearl: "Ethereal White Floral" – 5D Embossed Nail Sticker</x:v>
      </x:c>
      <x:c r="D7442" s="18" t="str">
        <x:v>Specification type: To4918-crystal diamond / To4920-crystal diamond</x:v>
      </x:c>
      <x:c r="E7442" s="25" t="str">
        <x:v>$1.30</x:v>
      </x:c>
      <x:c r="F7442" s="19" t="str">
        <x:v>5</x:v>
      </x:c>
    </x:row>
    <x:row r="7443" ht="93" customHeight="1">
      <x:c r="A7443" s="19" t="n">
        <x:v>7440</x:v>
      </x:c>
      <x:c r="B7443" s="22" t="e">
        <x:f>HYPERLINK("https://cdn.shopify.com/s/files/1/0918/6066/4603/files/O1CN01cn5P001HlX6E0op81__2545140798-0-cib.jpg?v=1773637347","Open")</x:f>
        <x:v>HYPERLINK is not implemented. linkLocation=https://cdn.shopify.com/s/files/1/0918/6066/4603/files/O1CN01cn5P001HlX6E0op81__2545140798-0-cib.jpg?v=1773637347, friendlyName=Open</x:v>
      </x:c>
      <x:c r="C7443" s="24" t="e">
        <x:f>HYPERLINK("https://365nails.com/products/daisy-script-pure-white-bloom-5d-embossed-nail-sticker","Daisy &amp; Script: ""Pure White Bloom"" – 5D Embossed Nail Sticker")</x:f>
        <x:v>HYPERLINK is not implemented. linkLocation=https://365nails.com/products/daisy-script-pure-white-bloom-5d-embossed-nail-sticker, friendlyName=Daisy &amp; Script: "Pure White Bloom" – 5D Embossed Nail Sticker</x:v>
      </x:c>
      <x:c r="D7443" s="18" t="str">
        <x:v>Specification type: To4979-relief</x:v>
      </x:c>
      <x:c r="E7443" s="25" t="str">
        <x:v>$1.23</x:v>
      </x:c>
      <x:c r="F7443" s="19" t="str">
        <x:v>5</x:v>
      </x:c>
    </x:row>
    <x:row r="7444" ht="93" customHeight="1">
      <x:c r="A7444" s="19" t="n">
        <x:v>7441</x:v>
      </x:c>
      <x:c r="B7444" s="22" t="e">
        <x:f>HYPERLINK("https://cdn.shopify.com/s/files/1/0918/6066/4603/files/O1CN013btNyw1HlX5LoqMDh__2545140798-0-cib.jpg?v=1773846739","Open")</x:f>
        <x:v>HYPERLINK is not implemented. linkLocation=https://cdn.shopify.com/s/files/1/0918/6066/4603/files/O1CN013btNyw1HlX5LoqMDh__2545140798-0-cib.jpg?v=1773846739, friendlyName=Open</x:v>
      </x:c>
      <x:c r="C7444" s="24" t="e">
        <x:f>HYPERLINK("https://365nails.com/products/iridescent-bubble-dots-dreamy-holographic-bubble-5d-embossed-nail-sticker","Iridescent Bubble Dots: ""Dreamy Holographic Bubble"" – 5D Embossed Nail Sticker")</x:f>
        <x:v>HYPERLINK is not implemented. linkLocation=https://365nails.com/products/iridescent-bubble-dots-dreamy-holographic-bubble-5d-embossed-nail-sticker, friendlyName=Iridescent Bubble Dots: "Dreamy Holographic Bubble" – 5D Embossed Nail Sticker</x:v>
      </x:c>
      <x:c r="D7444" s="18" t="str">
        <x:v>Specification type: To4848</x:v>
      </x:c>
      <x:c r="E7444" s="25" t="str">
        <x:v>$1.09</x:v>
      </x:c>
      <x:c r="F7444" s="19" t="str">
        <x:v>5</x:v>
      </x:c>
    </x:row>
    <x:row r="7445" ht="93" customHeight="1">
      <x:c r="A7445" s="19" t="n">
        <x:v>7442</x:v>
      </x:c>
      <x:c r="B7445" s="22" t="e">
        <x:f>HYPERLINK("https://cdn.shopify.com/s/files/1/0918/6066/4603/files/O1CN01eqhkAf1HlX1CWqjk7__2545140798-0-cib.jpg?v=1776498976","Open")</x:f>
        <x:v>HYPERLINK is not implemented. linkLocation=https://cdn.shopify.com/s/files/1/0918/6066/4603/files/O1CN01eqhkAf1HlX1CWqjk7__2545140798-0-cib.jpg?v=1776498976, friendlyName=Open</x:v>
      </x:c>
      <x:c r="C7445" s="24" t="e">
        <x:f>HYPERLINK("https://365nails.com/products/365nails-floral-bunny-with-pink-bows-nail-art-stickers","365nails: ""Floral Bunny with Pink Bows"" – nail art stickers")</x:f>
        <x:v>HYPERLINK is not implemented. linkLocation=https://365nails.com/products/365nails-floral-bunny-with-pink-bows-nail-art-stickers, friendlyName=365nails: "Floral Bunny with Pink Bows" – nail art stickers</x:v>
      </x:c>
      <x:c r="D7445" s="18" t="str">
        <x:v>Specification type: To4040-relief / To4047-relief</x:v>
      </x:c>
      <x:c r="E7445" s="25" t="str">
        <x:v>$1.23</x:v>
      </x:c>
      <x:c r="F7445" s="19" t="str">
        <x:v>5</x:v>
      </x:c>
    </x:row>
    <x:row r="7446" ht="93" customHeight="1">
      <x:c r="A7446" s="19" t="n">
        <x:v>7443</x:v>
      </x:c>
      <x:c r="B7446" s="22" t="e">
        <x:f>HYPERLINK("https://cdn.shopify.com/s/files/1/0918/6066/4603/files/O1CN01DQe8Hr1HlX6bE0qrH__2545140798-0-cib.jpg?v=1773637506","Open")</x:f>
        <x:v>HYPERLINK is not implemented. linkLocation=https://cdn.shopify.com/s/files/1/0918/6066/4603/files/O1CN01DQe8Hr1HlX6bE0qrH__2545140798-0-cib.jpg?v=1773637506, friendlyName=Open</x:v>
      </x:c>
      <x:c r="C7446" s="24" t="e">
        <x:f>HYPERLINK("https://365nails.com/products/cozy-knitwear-winter-warmth-5d-embossed-nail-sticker","Cozy Knitwear: ""Winter Warmth"" – 5D Embossed Nail Sticker")</x:f>
        <x:v>HYPERLINK is not implemented. linkLocation=https://365nails.com/products/cozy-knitwear-winter-warmth-5d-embossed-nail-sticker, friendlyName=Cozy Knitwear: "Winter Warmth" – 5D Embossed Nail Sticker</x:v>
      </x:c>
      <x:c r="D7446" s="18" t="str">
        <x:v>Specification type: Pro013 / Pro104-pink / Pro 105 / Pro139 / Pro104-orange / To97 / To189 / To190 / To194 / To199 / To174 / To211 / To227 / To250 / To291 / To283 / To303-relief / To323-relief / To324-relief / To534-relief / To1103 / To1104 / To246 / To672 / To822-relief / To826-relief / To831-relief / To847-relief / To848-relief / To874-relief / To875-relief / To893 / To901-relief / To902-relief / To903-relief / To904-relief / To905-relief / To907 / To908-relief / To909-relief / To910-relief / To911-relief / To913-relief / To914-relief / To926 / To930 / To951-relief / To953-relief / To954-relief / To955-relief / To956-relief / To957-relief / To959-relief / To960-relief / To963-relief / To964-relief / To965-relief / To967-relief / To974 / To975-relief / To978-relief / To979-relief / To981-relief / To982-relief / To983-relief / To986-relief / To998-relief / To1051 / To966-relief</x:v>
      </x:c>
      <x:c r="E7446" s="25" t="str">
        <x:v>$1.01</x:v>
      </x:c>
      <x:c r="F7446" s="19" t="str">
        <x:v>5</x:v>
      </x:c>
    </x:row>
    <x:row r="7447" ht="93" customHeight="1">
      <x:c r="A7447" s="19" t="n">
        <x:v>7444</x:v>
      </x:c>
      <x:c r="B7447" s="22" t="e">
        <x:f>HYPERLINK("https://cdn.shopify.com/s/files/1/0918/6066/4603/files/O1CN01PKjqg61HlX3mJhrUq__2545140798-0-cib.jpg?v=1774068626","Open")</x:f>
        <x:v>HYPERLINK is not implemented. linkLocation=https://cdn.shopify.com/s/files/1/0918/6066/4603/files/O1CN01PKjqg61HlX3mJhrUq__2545140798-0-cib.jpg?v=1774068626, friendlyName=Open</x:v>
      </x:c>
      <x:c r="C7447" s="24" t="e">
        <x:f>HYPERLINK("https://365nails.com/products/minimalist-white-butterfly-outline-nail-sticker-set-floating-white-butterfly","Minimalist White Butterfly Outline Nail Sticker Set – ""Floating White Butterfly""")</x:f>
        <x:v>HYPERLINK is not implemented. linkLocation=https://365nails.com/products/minimalist-white-butterfly-outline-nail-sticker-set-floating-white-butterfly, friendlyName=Minimalist White Butterfly Outline Nail Sticker Set – "Floating White Butterfly"</x:v>
      </x:c>
      <x:c r="D7447" s="18" t="str">
        <x:v>Specification type: To4592</x:v>
      </x:c>
      <x:c r="E7447" s="25" t="str">
        <x:v>$0.87</x:v>
      </x:c>
      <x:c r="F7447" s="19" t="str">
        <x:v>5</x:v>
      </x:c>
    </x:row>
    <x:row r="7448" ht="93" customHeight="1">
      <x:c r="A7448" s="19" t="n">
        <x:v>7445</x:v>
      </x:c>
      <x:c r="B7448" s="22" t="e">
        <x:f>HYPERLINK("https://cdn.shopify.com/s/files/1/0918/6066/4603/files/O1CN01ruLw9s1HlX5z52lPy__2545140798-0-cib.jpg?v=1773842930","Open")</x:f>
        <x:v>HYPERLINK is not implemented. linkLocation=https://cdn.shopify.com/s/files/1/0918/6066/4603/files/O1CN01ruLw9s1HlX5z52lPy__2545140798-0-cib.jpg?v=1773842930, friendlyName=Open</x:v>
      </x:c>
      <x:c r="C7448" s="24" t="e">
        <x:f>HYPERLINK("https://365nails.com/products/crystal-pink-tulip-love-script-ethereal-spring-tulip-5d-embossed-nail-sticker","Crystal Pink Tulip &amp; Love Script: ""Ethereal Spring Tulip"" – 5D Embossed Nail Sticker")</x:f>
        <x:v>HYPERLINK is not implemented. linkLocation=https://365nails.com/products/crystal-pink-tulip-love-script-ethereal-spring-tulip-5d-embossed-nail-sticker, friendlyName=Crystal Pink Tulip &amp; Love Script: "Ethereal Spring Tulip" – 5D Embossed Nail Sticker</x:v>
      </x:c>
      <x:c r="D7448" s="18" t="str">
        <x:v>Specification type: To4968-crystal diamond</x:v>
      </x:c>
      <x:c r="E7448" s="25" t="str">
        <x:v>$1.30</x:v>
      </x:c>
      <x:c r="F7448" s="19" t="str">
        <x:v>5</x:v>
      </x:c>
    </x:row>
    <x:row r="7449" ht="93" customHeight="1">
      <x:c r="A7449" s="19" t="n">
        <x:v>7446</x:v>
      </x:c>
      <x:c r="B7449" s="22" t="e">
        <x:f>HYPERLINK("https://cdn.shopify.com/s/files/1/0918/6066/4603/files/O1CN01GerAL31HlX3E72qqe__2545140798-0-cib.jpg?v=1773586001","Open")</x:f>
        <x:v>HYPERLINK is not implemented. linkLocation=https://cdn.shopify.com/s/files/1/0918/6066/4603/files/O1CN01GerAL31HlX3E72qqe__2545140798-0-cib.jpg?v=1773586001, friendlyName=Open</x:v>
      </x:c>
      <x:c r="C7449" s="24" t="e">
        <x:f>HYPERLINK("https://365nails.com/products/my-melody-strawberry-sweet-strawberry-3d-embossed-nail-sticker","My Melody &amp; Strawberry: ""Sweet Strawberry"" – 3D Embossed Nail Sticker")</x:f>
        <x:v>HYPERLINK is not implemented. linkLocation=https://365nails.com/products/my-melody-strawberry-sweet-strawberry-3d-embossed-nail-sticker, friendlyName=My Melody &amp; Strawberry: "Sweet Strawberry" – 3D Embossed Nail Sticker</x:v>
      </x:c>
      <x:c r="D7449" s="18" t="str">
        <x:v>Specification type: San076 / San078</x:v>
      </x:c>
      <x:c r="E7449" s="25" t="str">
        <x:v>$1.16</x:v>
      </x:c>
      <x:c r="F7449" s="19" t="str">
        <x:v>5</x:v>
      </x:c>
    </x:row>
    <x:row r="7450" ht="93" customHeight="1">
      <x:c r="A7450" s="19" t="n">
        <x:v>7447</x:v>
      </x:c>
      <x:c r="B7450" s="22" t="e">
        <x:f>HYPERLINK("https://cdn.shopify.com/s/files/1/0918/6066/4603/files/13675e8c197184558b482d4536fb8251.jpg?v=1775292471","Open")</x:f>
        <x:v>HYPERLINK is not implemented. linkLocation=https://cdn.shopify.com/s/files/1/0918/6066/4603/files/13675e8c197184558b482d4536fb8251.jpg?v=1775292471, friendlyName=Open</x:v>
      </x:c>
      <x:c r="C7450" s="24" t="e">
        <x:f>HYPERLINK("https://365nails.com/products/cherry-blossom-oriental-orchid-long-coffin-press-on-nails","Cherry Blossom: ""Oriental Orchid"" – Long Coffin Press-on Nails")</x:f>
        <x:v>HYPERLINK is not implemented. linkLocation=https://365nails.com/products/cherry-blossom-oriental-orchid-long-coffin-press-on-nails, friendlyName=Cherry Blossom: "Oriental Orchid" – Long Coffin Press-on Nails</x:v>
      </x:c>
      <x:c r="D7450" s="18" t="str">
        <x:v>Size: XS / S / M / L</x:v>
      </x:c>
      <x:c r="E7450" s="25" t="str">
        <x:v>$3.99</x:v>
      </x:c>
      <x:c r="F7450" s="19" t="str">
        <x:v>5</x:v>
      </x:c>
    </x:row>
    <x:row r="7451" ht="93" customHeight="1">
      <x:c r="A7451" s="19" t="n">
        <x:v>7448</x:v>
      </x:c>
      <x:c r="B7451" s="22" t="e">
        <x:f>HYPERLINK("https://cdn.shopify.com/s/files/1/0918/6066/4603/files/O1CN01ne9UcG1HlWoS0PCdD__2545140798-0-cib.jpg?v=1773638467","Open")</x:f>
        <x:v>HYPERLINK is not implemented. linkLocation=https://cdn.shopify.com/s/files/1/0918/6066/4603/files/O1CN01ne9UcG1HlWoS0PCdD__2545140798-0-cib.jpg?v=1773638467, friendlyName=Open</x:v>
      </x:c>
      <x:c r="C7451" s="24" t="e">
        <x:f>HYPERLINK("https://365nails.com/products/black-rose-silhouette-midnight-bloom-5d-embossed-nail-sticker","Black Rose Silhouette: ""Midnight Bloom"" – 5D Embossed Nail Sticker")</x:f>
        <x:v>HYPERLINK is not implemented. linkLocation=https://365nails.com/products/black-rose-silhouette-midnight-bloom-5d-embossed-nail-sticker, friendlyName=Black Rose Silhouette: "Midnight Bloom" – 5D Embossed Nail Sticker</x:v>
      </x:c>
      <x:c r="D7451" s="18" t="str">
        <x:v>Specification type: To1569 / To1570 / To1571</x:v>
      </x:c>
      <x:c r="E7451" s="25" t="str">
        <x:v>$1.23</x:v>
      </x:c>
      <x:c r="F7451" s="19" t="str">
        <x:v>5</x:v>
      </x:c>
    </x:row>
    <x:row r="7452" ht="93" customHeight="1">
      <x:c r="A7452" s="19" t="n">
        <x:v>7449</x:v>
      </x:c>
      <x:c r="B7452" s="22" t="e">
        <x:f>HYPERLINK("https://cdn.shopify.com/s/files/1/0918/6066/4603/files/O1CN017cOYN41HlXA9HispV__2545140798-0-cib.jpg?v=1773584191","Open")</x:f>
        <x:v>HYPERLINK is not implemented. linkLocation=https://cdn.shopify.com/s/files/1/0918/6066/4603/files/O1CN017cOYN41HlXA9HispV__2545140798-0-cib.jpg?v=1773584191, friendlyName=Open</x:v>
      </x:c>
      <x:c r="C7452" s="24" t="e">
        <x:f>HYPERLINK("https://365nails.com/products/vintage-watercolor-flower-autumn-bloom-3d-embossed-nail-sticker","Vintage Watercolor Flower: ""Autumn Bloom"" – 3D Embossed Nail Sticker")</x:f>
        <x:v>HYPERLINK is not implemented. linkLocation=https://365nails.com/products/vintage-watercolor-flower-autumn-bloom-3d-embossed-nail-sticker, friendlyName=Vintage Watercolor Flower: "Autumn Bloom" – 3D Embossed Nail Sticker</x:v>
      </x:c>
      <x:c r="D7452" s="18" t="str">
        <x:v>Specification type: To5451-metal</x:v>
      </x:c>
      <x:c r="E7452" s="25" t="str">
        <x:v>$1.23</x:v>
      </x:c>
      <x:c r="F7452" s="19" t="str">
        <x:v>5</x:v>
      </x:c>
    </x:row>
    <x:row r="7453" ht="93" customHeight="1">
      <x:c r="A7453" s="19" t="n">
        <x:v>7450</x:v>
      </x:c>
      <x:c r="B7453" s="22" t="e">
        <x:f>HYPERLINK("https://cdn.shopify.com/s/files/1/0918/6066/4603/files/O1CN01a8nRfZ1HlWqvpJdyP__2545140798-0-cib.jpg?v=1772971891","Open")</x:f>
        <x:v>HYPERLINK is not implemented. linkLocation=https://cdn.shopify.com/s/files/1/0918/6066/4603/files/O1CN01a8nRfZ1HlWqvpJdyP__2545140798-0-cib.jpg?v=1772971891, friendlyName=Open</x:v>
      </x:c>
      <x:c r="C7453" s="24" t="e">
        <x:f>HYPERLINK("https://365nails.com/products/gold-foil-flames-punk-metallic-nail-art-set","Gold Foil Flames – Punk Metallic Nail Art Set")</x:f>
        <x:v>HYPERLINK is not implemented. linkLocation=https://365nails.com/products/gold-foil-flames-punk-metallic-nail-art-set, friendlyName=Gold Foil Flames – Punk Metallic Nail Art Set</x:v>
      </x:c>
      <x:c r="D7453" s="18" t="str">
        <x:v>Specification type: To2430 hot stamping / To2430 silver / To2541 hot stamping / To2541 silver</x:v>
      </x:c>
      <x:c r="E7453" s="25" t="str">
        <x:v>$1.23</x:v>
      </x:c>
      <x:c r="F7453" s="19" t="str">
        <x:v>5</x:v>
      </x:c>
    </x:row>
    <x:row r="7454" ht="93" customHeight="1">
      <x:c r="A7454" s="19" t="n">
        <x:v>7451</x:v>
      </x:c>
      <x:c r="B7454" s="22" t="e">
        <x:f>HYPERLINK("https://cdn.shopify.com/s/files/1/0918/6066/4603/files/O1CN01GyCT4G1HlX3p4Qy8W__2545140798-0-cib_e06a66b8-97cc-4eea-871f-2e51f77e2e39.jpg?v=1774020045","Open")</x:f>
        <x:v>HYPERLINK is not implemented. linkLocation=https://cdn.shopify.com/s/files/1/0918/6066/4603/files/O1CN01GyCT4G1HlX3p4Qy8W__2545140798-0-cib_e06a66b8-97cc-4eea-871f-2e51f77e2e39.jpg?v=1774020045, friendlyName=Open</x:v>
      </x:c>
      <x:c r="C7454" s="24" t="e">
        <x:f>HYPERLINK("https://365nails.com/products/lucky-bear-chinese-blessing-nail-sticker-set-lucky-fortune-bear","Lucky Bear &amp; Chinese Blessing Nail Sticker Set – ""Lucky Fortune Bear""")</x:f>
        <x:v>HYPERLINK is not implemented. linkLocation=https://365nails.com/products/lucky-bear-chinese-blessing-nail-sticker-set-lucky-fortune-bear, friendlyName=Lucky Bear &amp; Chinese Blessing Nail Sticker Set – "Lucky Fortune Bear"</x:v>
      </x:c>
      <x:c r="D7454" s="18" t="str">
        <x:v>Specification type: To4571-relief / To4591-relief</x:v>
      </x:c>
      <x:c r="E7454" s="25" t="str">
        <x:v>$1.23</x:v>
      </x:c>
      <x:c r="F7454" s="19" t="str">
        <x:v>5</x:v>
      </x:c>
    </x:row>
    <x:row r="7455" ht="93" customHeight="1">
      <x:c r="A7455" s="19" t="n">
        <x:v>7452</x:v>
      </x:c>
      <x:c r="B7455" s="22" t="e">
        <x:f>HYPERLINK("https://cdn.shopify.com/s/files/1/0918/6066/4603/files/O1CN0141nKkO1HlWnLuMvfp__2545140798-0-cib.jpg?v=1774006505","Open")</x:f>
        <x:v>HYPERLINK is not implemented. linkLocation=https://cdn.shopify.com/s/files/1/0918/6066/4603/files/O1CN0141nKkO1HlWnLuMvfp__2545140798-0-cib.jpg?v=1774006505, friendlyName=Open</x:v>
      </x:c>
      <x:c r="C7455" s="24" t="e">
        <x:f>HYPERLINK("https://365nails.com/products/chinese-traditional-pattern-set-oriental-brocade-porcelain-5d-embossed-nail-sticker","Chinese Traditional Pattern Set: ""Oriental Brocade &amp; Porcelain"" – 5D Embossed Nail Sticker")</x:f>
        <x:v>HYPERLINK is not implemented. linkLocation=https://365nails.com/products/chinese-traditional-pattern-set-oriental-brocade-porcelain-5d-embossed-nail-sticker, friendlyName=Chinese Traditional Pattern Set: "Oriental Brocade &amp; Porcelain" – 5D Embossed Nail Sticker</x:v>
      </x:c>
      <x:c r="D7455" s="18" t="str">
        <x:v>Specification type: Ta68 / Ta69 / Ta70 / Ta 102</x:v>
      </x:c>
      <x:c r="E7455" s="25" t="str">
        <x:v>$1.09</x:v>
      </x:c>
      <x:c r="F7455" s="19" t="str">
        <x:v>5</x:v>
      </x:c>
    </x:row>
    <x:row r="7456" ht="93" customHeight="1">
      <x:c r="A7456" s="19" t="n">
        <x:v>7453</x:v>
      </x:c>
      <x:c r="B7456" s="22" t="e">
        <x:f>HYPERLINK("https://cdn.shopify.com/s/files/1/0918/6066/4603/files/O1CN01yTn4em1HlX0e2G3Rq__2545140798-0-cib.jpg?v=1776497274","Open")</x:f>
        <x:v>HYPERLINK is not implemented. linkLocation=https://cdn.shopify.com/s/files/1/0918/6066/4603/files/O1CN01yTn4em1HlX0e2G3Rq__2545140798-0-cib.jpg?v=1776497274, friendlyName=Open</x:v>
      </x:c>
      <x:c r="C7456" s="24" t="e">
        <x:f>HYPERLINK("https://365nails.com/products/365nails-floral-corgi-nail-art-stickers","365nails: ""Floral Corgi"" – nail art stickers")</x:f>
        <x:v>HYPERLINK is not implemented. linkLocation=https://365nails.com/products/365nails-floral-corgi-nail-art-stickers, friendlyName=365nails: "Floral Corgi" – nail art stickers</x:v>
      </x:c>
      <x:c r="D7456" s="18" t="str">
        <x:v>Specification type: To3900 / To3949</x:v>
      </x:c>
      <x:c r="E7456" s="25" t="str">
        <x:v>$1.09</x:v>
      </x:c>
      <x:c r="F7456" s="19" t="str">
        <x:v>5</x:v>
      </x:c>
    </x:row>
    <x:row r="7457" ht="93" customHeight="1">
      <x:c r="A7457" s="19" t="n">
        <x:v>7454</x:v>
      </x:c>
      <x:c r="B7457" s="22" t="e">
        <x:f>HYPERLINK("https://cdn.shopify.com/s/files/1/0918/6066/4603/files/O1CN01aSHgTk1HlX6BYKIyR__2545140798-0-cib.jpg?v=1773637413","Open")</x:f>
        <x:v>HYPERLINK is not implemented. linkLocation=https://cdn.shopify.com/s/files/1/0918/6066/4603/files/O1CN01aSHgTk1HlX6BYKIyR__2545140798-0-cib.jpg?v=1773637413, friendlyName=Open</x:v>
      </x:c>
      <x:c r="C7457" s="24" t="e">
        <x:f>HYPERLINK("https://365nails.com/products/white-floral-script-rainy-garden-5d-crystal-diamond-nail-sticker","White Floral &amp; Script: ""Rainy Garden"" – 5D Crystal Diamond Nail Sticker")</x:f>
        <x:v>HYPERLINK is not implemented. linkLocation=https://365nails.com/products/white-floral-script-rainy-garden-5d-crystal-diamond-nail-sticker, friendlyName=White Floral &amp; Script: "Rainy Garden" – 5D Crystal Diamond Nail Sticker</x:v>
      </x:c>
      <x:c r="D7457" s="18" t="str">
        <x:v>Specification type: To4984-crystal diamond</x:v>
      </x:c>
      <x:c r="E7457" s="25" t="str">
        <x:v>$1.30</x:v>
      </x:c>
      <x:c r="F7457" s="19" t="str">
        <x:v>5</x:v>
      </x:c>
    </x:row>
    <x:row r="7458" ht="93" customHeight="1">
      <x:c r="A7458" s="19" t="n">
        <x:v>7455</x:v>
      </x:c>
      <x:c r="B7458" s="22" t="e">
        <x:f>HYPERLINK("https://cdn.shopify.com/s/files/1/0918/6066/4603/files/O1CN012rRO181HlX2XkiFtl__2545140798-0-cib_cc9d5d82-1512-4a9e-86ce-b6616d39c71a.jpg?v=1774012143","Open")</x:f>
        <x:v>HYPERLINK is not implemented. linkLocation=https://cdn.shopify.com/s/files/1/0918/6066/4603/files/O1CN012rRO181HlX2XkiFtl__2545140798-0-cib_cc9d5d82-1512-4a9e-86ce-b6616d39c71a.jpg?v=1774012143, friendlyName=Open</x:v>
      </x:c>
      <x:c r="C7458" s="24" t="e">
        <x:f>HYPERLINK("https://365nails.com/products/purple-gothic-butterfly-cross-midnight-gothic-dream-5d-embossed-nail-sticker","Purple Gothic Butterfly &amp; Cross: ""Midnight Gothic Dream"" – 5D Embossed Nail Sticker")</x:f>
        <x:v>HYPERLINK is not implemented. linkLocation=https://365nails.com/products/purple-gothic-butterfly-cross-midnight-gothic-dream-5d-embossed-nail-sticker, friendlyName=Purple Gothic Butterfly &amp; Cross: "Midnight Gothic Dream" – 5D Embossed Nail Sticker</x:v>
      </x:c>
      <x:c r="D7458" s="18" t="str">
        <x:v>Specification type: To4340-relief</x:v>
      </x:c>
      <x:c r="E7458" s="25" t="str">
        <x:v>$1.23</x:v>
      </x:c>
      <x:c r="F7458" s="19" t="str">
        <x:v>5</x:v>
      </x:c>
    </x:row>
    <x:row r="7459" ht="93" customHeight="1">
      <x:c r="A7459" s="19" t="n">
        <x:v>7456</x:v>
      </x:c>
      <x:c r="B7459" s="22" t="e">
        <x:f>HYPERLINK("https://cdn.shopify.com/s/files/1/0918/6066/4603/files/O1CN012ErGST1HlWubR7T5g__2545140798-0-cib.jpg?v=1776495739","Open")</x:f>
        <x:v>HYPERLINK is not implemented. linkLocation=https://cdn.shopify.com/s/files/1/0918/6066/4603/files/O1CN012ErGST1HlWubR7T5g__2545140798-0-cib.jpg?v=1776495739, friendlyName=Open</x:v>
      </x:c>
      <x:c r="C7459" s="24" t="e">
        <x:f>HYPERLINK("https://365nails.com/products/365nails-crystal-star-nail-art-stickers","365nails: ""Crystal Star"" – nail art stickers")</x:f>
        <x:v>HYPERLINK is not implemented. linkLocation=https://365nails.com/products/365nails-crystal-star-nail-art-stickers, friendlyName=365nails: "Crystal Star" – nail art stickers</x:v>
      </x:c>
      <x:c r="D7459" s="18" t="str">
        <x:v>Specification type: To3036 / To3084</x:v>
      </x:c>
      <x:c r="E7459" s="25" t="str">
        <x:v>$1.30</x:v>
      </x:c>
      <x:c r="F7459" s="19" t="str">
        <x:v>5</x:v>
      </x:c>
    </x:row>
    <x:row r="7460" ht="93" customHeight="1">
      <x:c r="A7460" s="19" t="n">
        <x:v>7457</x:v>
      </x:c>
      <x:c r="B7460" s="22" t="e">
        <x:f>HYPERLINK("https://cdn.shopify.com/s/files/1/0918/6066/4603/files/O1CN01u7MDpL1HlX7keXtzz__2545140798-0-cib.jpg?v=1773638004","Open")</x:f>
        <x:v>HYPERLINK is not implemented. linkLocation=https://cdn.shopify.com/s/files/1/0918/6066/4603/files/O1CN01u7MDpL1HlX7keXtzz__2545140798-0-cib.jpg?v=1773638004, friendlyName=Open</x:v>
      </x:c>
      <x:c r="C7460" s="24" t="e">
        <x:f>HYPERLINK("https://365nails.com/products/brunch-doodle-happy-morning-5d-embossed-nail-sticker","Brunch &amp; Doodle: ""Happy Morning"" – 5D Embossed Nail Sticker")</x:f>
        <x:v>HYPERLINK is not implemented. linkLocation=https://365nails.com/products/brunch-doodle-happy-morning-5d-embossed-nail-sticker, friendlyName=Brunch &amp; Doodle: "Happy Morning" – 5D Embossed Nail Sticker</x:v>
      </x:c>
      <x:c r="D7460" s="18" t="str">
        <x:v>Specification type: To5157-relief / To5158-relief</x:v>
      </x:c>
      <x:c r="E7460" s="25" t="str">
        <x:v>$1.23</x:v>
      </x:c>
      <x:c r="F7460" s="19" t="str">
        <x:v>5</x:v>
      </x:c>
    </x:row>
    <x:row r="7461" ht="93" customHeight="1">
      <x:c r="A7461" s="19" t="n">
        <x:v>7458</x:v>
      </x:c>
      <x:c r="B7461" s="22" t="e">
        <x:f>HYPERLINK("https://cdn.shopify.com/s/files/1/0918/6066/4603/files/O1CN01GFZS6U1HlWxRK76Ps__2545140798-0-cib.jpg?v=1774012262","Open")</x:f>
        <x:v>HYPERLINK is not implemented. linkLocation=https://cdn.shopify.com/s/files/1/0918/6066/4603/files/O1CN01GFZS6U1HlWxRK76Ps__2545140798-0-cib.jpg?v=1774012262, friendlyName=Open</x:v>
      </x:c>
      <x:c r="C7461" s="24" t="e">
        <x:f>HYPERLINK("https://365nails.com/products/metallic-bow-celestial-charm-gilded-celestial-bow-5d-embossed-nail-sticker","Metallic Bow &amp; Celestial Charm: ""Gilded Celestial Bow"" – 5D Embossed Nail Sticker")</x:f>
        <x:v>HYPERLINK is not implemented. linkLocation=https://365nails.com/products/metallic-bow-celestial-charm-gilded-celestial-bow-5d-embossed-nail-sticker, friendlyName=Metallic Bow &amp; Celestial Charm: "Gilded Celestial Bow" – 5D Embossed Nail Sticker</x:v>
      </x:c>
      <x:c r="D7461" s="18" t="str">
        <x:v>Specification type: To3528-laser powder / To3528-new hot stamping / To3528-silver</x:v>
      </x:c>
      <x:c r="E7461" s="25" t="str">
        <x:v>$1.23</x:v>
      </x:c>
      <x:c r="F7461" s="19" t="str">
        <x:v>5</x:v>
      </x:c>
    </x:row>
    <x:row r="7462" ht="93" customHeight="1">
      <x:c r="A7462" s="19" t="n">
        <x:v>7459</x:v>
      </x:c>
      <x:c r="B7462" s="22" t="e">
        <x:f>HYPERLINK("https://cdn.shopify.com/s/files/1/0918/6066/4603/files/O1CN01prPnmM1HlX9WqvNP1__2545140798-0-cib.jpg?v=1774070790","Open")</x:f>
        <x:v>HYPERLINK is not implemented. linkLocation=https://cdn.shopify.com/s/files/1/0918/6066/4603/files/O1CN01prPnmM1HlX9WqvNP1__2545140798-0-cib.jpg?v=1774070790, friendlyName=Open</x:v>
      </x:c>
      <x:c r="C7462" s="24" t="e">
        <x:f>HYPERLINK("https://365nails.com/products/kawaii-teddy-bear-sweet-dessert-nail-sticker-set-cozy-teddy-bear-bakery","Kawaii Teddy Bear &amp; Sweet Dessert Nail Sticker Set – ""Cozy Teddy Bear Bakery""")</x:f>
        <x:v>HYPERLINK is not implemented. linkLocation=https://365nails.com/products/kawaii-teddy-bear-sweet-dessert-nail-sticker-set-cozy-teddy-bear-bakery, friendlyName=Kawaii Teddy Bear &amp; Sweet Dessert Nail Sticker Set – "Cozy Teddy Bear Bakery"</x:v>
      </x:c>
      <x:c r="D7462" s="18" t="str">
        <x:v>Specification type: To5310 / To5361</x:v>
      </x:c>
      <x:c r="E7462" s="25" t="str">
        <x:v>$1.00</x:v>
      </x:c>
      <x:c r="F7462" s="19" t="str">
        <x:v>5</x:v>
      </x:c>
    </x:row>
    <x:row r="7463" ht="93" customHeight="1">
      <x:c r="A7463" s="19" t="n">
        <x:v>7460</x:v>
      </x:c>
      <x:c r="B7463" s="22" t="e">
        <x:f>HYPERLINK("https://cdn.shopify.com/s/files/1/0918/6066/4603/files/O1CN01ls59ny1HlX6pxRBIq__2545140798-0-cib.jpg?v=1773846952","Open")</x:f>
        <x:v>HYPERLINK is not implemented. linkLocation=https://cdn.shopify.com/s/files/1/0918/6066/4603/files/O1CN01ls59ny1HlX6pxRBIq__2545140798-0-cib.jpg?v=1773846952, friendlyName=Open</x:v>
      </x:c>
      <x:c r="C7463" s="24" t="e">
        <x:f>HYPERLINK("https://365nails.com/products/gold-foil-butterfly-bow-elegant-gilded-butterfly-5d-embossed-nail-sticker","Gold Foil Butterfly &amp; Bow: ""Elegant Gilded Butterfly"" – 5D Embossed Nail Sticker")</x:f>
        <x:v>HYPERLINK is not implemented. linkLocation=https://365nails.com/products/gold-foil-butterfly-bow-elegant-gilded-butterfly-5d-embossed-nail-sticker, friendlyName=Gold Foil Butterfly &amp; Bow: "Elegant Gilded Butterfly" – 5D Embossed Nail Sticker</x:v>
      </x:c>
      <x:c r="D7463" s="18" t="str">
        <x:v>Specification type: To5061-new hot stamping / To5061-silver</x:v>
      </x:c>
      <x:c r="E7463" s="25" t="str">
        <x:v>$1.23</x:v>
      </x:c>
      <x:c r="F7463" s="19" t="str">
        <x:v>5</x:v>
      </x:c>
    </x:row>
    <x:row r="7464" ht="93" customHeight="1">
      <x:c r="A7464" s="19" t="n">
        <x:v>7461</x:v>
      </x:c>
      <x:c r="B7464" s="22" t="e">
        <x:f>HYPERLINK("https://cdn.shopify.com/s/files/1/0918/6066/4603/files/eab1b47611cfa789673824932292a100.jpg?v=1775308245","Open")</x:f>
        <x:v>HYPERLINK is not implemented. linkLocation=https://cdn.shopify.com/s/files/1/0918/6066/4603/files/eab1b47611cfa789673824932292a100.jpg?v=1775308245, friendlyName=Open</x:v>
      </x:c>
      <x:c r="C7464" s="24" t="e">
        <x:f>HYPERLINK("https://365nails.com/products/sweet-bloom-peach-orchid-long-coffin-press-on-nails","Sweet Bloom: ""Peach Orchid"" – Long Coffin Press-on Nails")</x:f>
        <x:v>HYPERLINK is not implemented. linkLocation=https://365nails.com/products/sweet-bloom-peach-orchid-long-coffin-press-on-nails, friendlyName=Sweet Bloom: "Peach Orchid" – Long Coffin Press-on Nails</x:v>
      </x:c>
      <x:c r="D7464" s="18" t="str">
        <x:v>Size: XS / S / M / L</x:v>
      </x:c>
      <x:c r="E7464" s="25" t="str">
        <x:v>$3.99</x:v>
      </x:c>
      <x:c r="F7464" s="19" t="str">
        <x:v>5</x:v>
      </x:c>
    </x:row>
    <x:row r="7465" ht="93" customHeight="1">
      <x:c r="A7465" s="19" t="n">
        <x:v>7462</x:v>
      </x:c>
      <x:c r="B7465" s="22" t="e">
        <x:f>HYPERLINK("https://cdn.shopify.com/s/files/1/0918/6066/4603/files/O1CN018wTpmh1HlX6jcjNbo__2545140798-0-cib.jpg?v=1773843366","Open")</x:f>
        <x:v>HYPERLINK is not implemented. linkLocation=https://cdn.shopify.com/s/files/1/0918/6066/4603/files/O1CN018wTpmh1HlX6jcjNbo__2545140798-0-cib.jpg?v=1773843366, friendlyName=Open</x:v>
      </x:c>
      <x:c r="C7465" s="24" t="e">
        <x:f>HYPERLINK("https://365nails.com/products/mermaid-tail-ocean-shell-enchanted-mermaid-ocean-5d-embossed-nail-sticker","Mermaid Tail &amp; Ocean Shell: ""Enchanted Mermaid Ocean"" – 5D Embossed Nail Sticker")</x:f>
        <x:v>HYPERLINK is not implemented. linkLocation=https://365nails.com/products/mermaid-tail-ocean-shell-enchanted-mermaid-ocean-5d-embossed-nail-sticker, friendlyName=Mermaid Tail &amp; Ocean Shell: "Enchanted Mermaid Ocean" – 5D Embossed Nail Sticker</x:v>
      </x:c>
      <x:c r="D7465" s="18" t="str">
        <x:v>Specification type: Ms798-metal</x:v>
      </x:c>
      <x:c r="E7465" s="25" t="str">
        <x:v>$1.23</x:v>
      </x:c>
      <x:c r="F7465" s="19" t="str">
        <x:v>5</x:v>
      </x:c>
    </x:row>
    <x:row r="7466" ht="93" customHeight="1">
      <x:c r="A7466" s="19" t="n">
        <x:v>7463</x:v>
      </x:c>
      <x:c r="B7466" s="22" t="e">
        <x:f>HYPERLINK("https://cdn.shopify.com/s/files/1/0918/6066/4603/files/O1CN01zhNXf11HlWzc7ndPq__2545140798-0-cib.jpg?v=1773651546","Open")</x:f>
        <x:v>HYPERLINK is not implemented. linkLocation=https://cdn.shopify.com/s/files/1/0918/6066/4603/files/O1CN01zhNXf11HlWzc7ndPq__2545140798-0-cib.jpg?v=1773651546, friendlyName=Open</x:v>
      </x:c>
      <x:c r="C7466" s="24" t="e">
        <x:f>HYPERLINK("https://365nails.com/products/mini-gold-bow-elegant-satin-5d-embossed-nail-sticker","Mini Gold Bow: ""Elegant Satin"" – 5D Embossed Nail Sticker")</x:f>
        <x:v>HYPERLINK is not implemented. linkLocation=https://365nails.com/products/mini-gold-bow-elegant-satin-5d-embossed-nail-sticker, friendlyName=Mini Gold Bow: "Elegant Satin" – 5D Embossed Nail Sticker</x:v>
      </x:c>
      <x:c r="D7466" s="18" t="str">
        <x:v>Specification type: Ta301-new hot stamping / Ta301-silver</x:v>
      </x:c>
      <x:c r="E7466" s="25" t="str">
        <x:v>$1.23</x:v>
      </x:c>
      <x:c r="F7466" s="19" t="str">
        <x:v>5</x:v>
      </x:c>
    </x:row>
    <x:row r="7467" ht="93" customHeight="1">
      <x:c r="A7467" s="19" t="n">
        <x:v>7464</x:v>
      </x:c>
      <x:c r="B7467" s="22" t="e">
        <x:f>HYPERLINK("https://cdn.shopify.com/s/files/1/0918/6066/4603/files/O1CN01opVhfw1HlWt6rKHjL__2545140798-0-cib.jpg?v=1773650566","Open")</x:f>
        <x:v>HYPERLINK is not implemented. linkLocation=https://cdn.shopify.com/s/files/1/0918/6066/4603/files/O1CN01opVhfw1HlWt6rKHjL__2545140798-0-cib.jpg?v=1773650566, friendlyName=Open</x:v>
      </x:c>
      <x:c r="C7467" s="24" t="e">
        <x:f>HYPERLINK("https://365nails.com/products/jelly-cherry-sweet-summer-berry-5d-embossed-nail-sticker","Jelly Cherry: ""Sweet Summer Berry"" – 5D Embossed Nail Sticker")</x:f>
        <x:v>HYPERLINK is not implemented. linkLocation=https://365nails.com/products/jelly-cherry-sweet-summer-berry-5d-embossed-nail-sticker, friendlyName=Jelly Cherry: "Sweet Summer Berry" – 5D Embossed Nail Sticker</x:v>
      </x:c>
      <x:c r="D7467" s="18" t="str">
        <x:v>Specification type: Ta 210 / Ta 212 / Ta 214</x:v>
      </x:c>
      <x:c r="E7467" s="25" t="str">
        <x:v>$1.23</x:v>
      </x:c>
      <x:c r="F7467" s="19" t="str">
        <x:v>5</x:v>
      </x:c>
    </x:row>
    <x:row r="7468" ht="93" customHeight="1">
      <x:c r="A7468" s="19" t="n">
        <x:v>7465</x:v>
      </x:c>
      <x:c r="B7468" s="22" t="e">
        <x:f>HYPERLINK("https://cdn.shopify.com/s/files/1/0918/6066/4603/files/O1CN01SdSgrM1HlWzNWLB7I__2545140798-0-cib.jpg?v=1776496308","Open")</x:f>
        <x:v>HYPERLINK is not implemented. linkLocation=https://cdn.shopify.com/s/files/1/0918/6066/4603/files/O1CN01SdSgrM1HlWzNWLB7I__2545140798-0-cib.jpg?v=1776496308, friendlyName=Open</x:v>
      </x:c>
      <x:c r="C7468" s="24" t="e">
        <x:f>HYPERLINK("https://365nails.com/products/365nails-cute-capybara-nail-art-stickers","365nails: ""Cute Capybara"" – nail art stickers")</x:f>
        <x:v>HYPERLINK is not implemented. linkLocation=https://365nails.com/products/365nails-cute-capybara-nail-art-stickers, friendlyName=365nails: "Cute Capybara" – nail art stickers</x:v>
      </x:c>
      <x:c r="D7468" s="18" t="str">
        <x:v>Specification type: Ms 523 / To3759</x:v>
      </x:c>
      <x:c r="E7468" s="25" t="str">
        <x:v>$1.09</x:v>
      </x:c>
      <x:c r="F7468" s="19" t="str">
        <x:v>5</x:v>
      </x:c>
    </x:row>
    <x:row r="7469" ht="93" customHeight="1">
      <x:c r="A7469" s="19" t="n">
        <x:v>7466</x:v>
      </x:c>
      <x:c r="B7469" s="22" t="e">
        <x:f>HYPERLINK("https://cdn.shopify.com/s/files/1/0918/6066/4603/files/O1CN01Zcj9G21HlX1u6xuBP__2545140798-0-cib.jpg?v=1773583065","Open")</x:f>
        <x:v>HYPERLINK is not implemented. linkLocation=https://cdn.shopify.com/s/files/1/0918/6066/4603/files/O1CN01Zcj9G21HlX1u6xuBP__2545140798-0-cib.jpg?v=1773583065, friendlyName=Open</x:v>
      </x:c>
      <x:c r="C7469" s="24" t="e">
        <x:f>HYPERLINK("https://365nails.com/products/egyptian-pharaoh-bastet-ancient-mystic-3d-embossed-nail-sticker","Egyptian Pharaoh &amp; Bastet: ""Ancient Mystic"" – 3D Embossed Nail Sticker")</x:f>
        <x:v>HYPERLINK is not implemented. linkLocation=https://365nails.com/products/egyptian-pharaoh-bastet-ancient-mystic-3d-embossed-nail-sticker, friendlyName=Egyptian Pharaoh &amp; Bastet: "Ancient Mystic" – 3D Embossed Nail Sticker</x:v>
      </x:c>
      <x:c r="D7469" s="18" t="str">
        <x:v>Specification type: To4136-new hot stamping / To4137-relief</x:v>
      </x:c>
      <x:c r="E7469" s="25" t="str">
        <x:v>$1.23</x:v>
      </x:c>
      <x:c r="F7469" s="19" t="str">
        <x:v>5</x:v>
      </x:c>
    </x:row>
    <x:row r="7470" ht="93" customHeight="1">
      <x:c r="A7470" s="19" t="n">
        <x:v>7467</x:v>
      </x:c>
      <x:c r="B7470" s="22" t="e">
        <x:f>HYPERLINK("https://cdn.shopify.com/s/files/1/0918/6066/4603/files/21131364636_1801976554.jpg?v=1774255276","Open")</x:f>
        <x:v>HYPERLINK is not implemented. linkLocation=https://cdn.shopify.com/s/files/1/0918/6066/4603/files/21131364636_1801976554.jpg?v=1774255276, friendlyName=Open</x:v>
      </x:c>
      <x:c r="C7470" s="24" t="e">
        <x:f>HYPERLINK("https://365nails.com/products/doraemon-dorami-5d-embossed-nail-sticker-set-doraemons-magic-world","Doraemon &amp; Dorami 5D Embossed Nail Sticker Set – ""Doraemon's Magic World""")</x:f>
        <x:v>HYPERLINK is not implemented. linkLocation=https://365nails.com/products/doraemon-dorami-5d-embossed-nail-sticker-set-doraemons-magic-world, friendlyName=Doraemon &amp; Dorami 5D Embossed Nail Sticker Set – "Doraemon's Magic World"</x:v>
      </x:c>
      <x:c r="D7470" s="18" t="str">
        <x:v>Specification type: Tomoni 187</x:v>
      </x:c>
      <x:c r="E7470" s="25" t="str">
        <x:v>$1.09</x:v>
      </x:c>
      <x:c r="F7470" s="19" t="str">
        <x:v>5</x:v>
      </x:c>
    </x:row>
    <x:row r="7471" ht="93" customHeight="1">
      <x:c r="A7471" s="19" t="n">
        <x:v>7468</x:v>
      </x:c>
      <x:c r="B7471" s="22" t="e">
        <x:f>HYPERLINK("https://cdn.shopify.com/s/files/1/0918/6066/4603/files/O1CN01THSz751HlX0CCNClg__2545140798-0-cib_b47dd189-b72e-46b2-82ae-5d54762e447b.jpg?v=1773929651","Open")</x:f>
        <x:v>HYPERLINK is not implemented. linkLocation=https://cdn.shopify.com/s/files/1/0918/6066/4603/files/O1CN01THSz751HlX0CCNClg__2545140798-0-cib_b47dd189-b72e-46b2-82ae-5d54762e447b.jpg?v=1773929651, friendlyName=Open</x:v>
      </x:c>
      <x:c r="C7471" s="24" t="e">
        <x:f>HYPERLINK("https://365nails.com/products/oriental-peach-blossom-pattern-elegant-peach-blossom-5d-embossed-nail-sticker-1","Oriental Peach Blossom &amp; Pattern: ""Elegant Peach Blossom"" – 5D Embossed Nail Sticker")</x:f>
        <x:v>HYPERLINK is not implemented. linkLocation=https://365nails.com/products/oriental-peach-blossom-pattern-elegant-peach-blossom-5d-embossed-nail-sticker-1, friendlyName=Oriental Peach Blossom &amp; Pattern: "Elegant Peach Blossom" – 5D Embossed Nail Sticker</x:v>
      </x:c>
      <x:c r="D7471" s="18" t="str">
        <x:v>Specification type: To3838-crystal diamond</x:v>
      </x:c>
      <x:c r="E7471" s="25" t="str">
        <x:v>$1.30</x:v>
      </x:c>
      <x:c r="F7471" s="19" t="str">
        <x:v>5</x:v>
      </x:c>
    </x:row>
    <x:row r="7472" ht="93" customHeight="1">
      <x:c r="A7472" s="19" t="n">
        <x:v>7469</x:v>
      </x:c>
      <x:c r="B7472" s="22" t="e">
        <x:f>HYPERLINK("https://cdn.shopify.com/s/files/1/0918/6066/4603/files/0f977c3c798008cedb29091ce03faaec.jpg?v=1779203728","Open")</x:f>
        <x:v>HYPERLINK is not implemented. linkLocation=https://cdn.shopify.com/s/files/1/0918/6066/4603/files/0f977c3c798008cedb29091ce03faaec.jpg?v=1779203728, friendlyName=Open</x:v>
      </x:c>
      <x:c r="C7472" s="24" t="e">
        <x:f>HYPERLINK("https://365nails.com/products/365nails-wild-scarlet-bloom-handmade-medium-square-press-on-nails","365nails: ""Wild Scarlet Bloom"" – Handmade Medium Square Press-On Nails")</x:f>
        <x:v>HYPERLINK is not implemented. linkLocation=https://365nails.com/products/365nails-wild-scarlet-bloom-handmade-medium-square-press-on-nails, friendlyName=365nails: "Wild Scarlet Bloom" – Handmade Medium Square Press-On Nails</x:v>
      </x:c>
      <x:c r="D7472" s="18" t="str">
        <x:v>Size: XS / S / M / L</x:v>
      </x:c>
      <x:c r="E7472" s="25" t="str">
        <x:v>$3.99</x:v>
      </x:c>
      <x:c r="F7472" s="19" t="str">
        <x:v>5</x:v>
      </x:c>
    </x:row>
    <x:row r="7473" ht="93" customHeight="1">
      <x:c r="A7473" s="19" t="n">
        <x:v>7470</x:v>
      </x:c>
      <x:c r="B7473" s="22" t="e">
        <x:f>HYPERLINK("https://cdn.shopify.com/s/files/1/0918/6066/4603/files/O1CN011Zv7I41HlX4H0K6zJ__2545140798-0-cib_7390fabe-dc4f-49e4-8f6e-09990393673d.jpg?v=1774068324","Open")</x:f>
        <x:v>HYPERLINK is not implemented. linkLocation=https://cdn.shopify.com/s/files/1/0918/6066/4603/files/O1CN011Zv7I41HlX4H0K6zJ__2545140798-0-cib_7390fabe-dc4f-49e4-8f6e-09990393673d.jpg?v=1774068324, friendlyName=Open</x:v>
      </x:c>
      <x:c r="C7473" s="24" t="e">
        <x:f>HYPERLINK("https://365nails.com/products/holographic-snake-cross-nail-sticker-set-gothic-holographic-snake","Holographic Snake &amp; Cross Nail Sticker Set – ""Gothic Holographic Snake""")</x:f>
        <x:v>HYPERLINK is not implemented. linkLocation=https://365nails.com/products/holographic-snake-cross-nail-sticker-set-gothic-holographic-snake, friendlyName=Holographic Snake &amp; Cross Nail Sticker Set – "Gothic Holographic Snake"</x:v>
      </x:c>
      <x:c r="D7473" s="18" t="str">
        <x:v>Specification type: To4658-laser powder / To4659-new hot stamping / To4660-laser silver</x:v>
      </x:c>
      <x:c r="E7473" s="25" t="str">
        <x:v>$1.23</x:v>
      </x:c>
      <x:c r="F7473" s="19" t="str">
        <x:v>5</x:v>
      </x:c>
    </x:row>
    <x:row r="7474" ht="93" customHeight="1">
      <x:c r="A7474" s="19" t="n">
        <x:v>7471</x:v>
      </x:c>
      <x:c r="B7474" s="22" t="e">
        <x:f>HYPERLINK("https://cdn.shopify.com/s/files/1/0918/6066/4603/files/O1CN01wAdGoQ1HlX2e5s81o__2545140798-0-cib_e77c6ba4-96cf-41a4-80ab-6135c0aa728d.jpg?v=1774012204","Open")</x:f>
        <x:v>HYPERLINK is not implemented. linkLocation=https://cdn.shopify.com/s/files/1/0918/6066/4603/files/O1CN01wAdGoQ1HlX2e5s81o__2545140798-0-cib_e77c6ba4-96cf-41a4-80ab-6135c0aa728d.jpg?v=1774012204, friendlyName=Open</x:v>
      </x:c>
      <x:c r="C7474" s="24" t="e">
        <x:f>HYPERLINK("https://365nails.com/products/silver-crystal-butterfly-celestial-lunar-butterfly-dream-5d-embossed-nail-sticker","Silver Crystal Butterfly &amp; Celestial: ""Lunar Butterfly Dream"" – 5D Embossed Nail Sticker")</x:f>
        <x:v>HYPERLINK is not implemented. linkLocation=https://365nails.com/products/silver-crystal-butterfly-celestial-lunar-butterfly-dream-5d-embossed-nail-sticker, friendlyName=Silver Crystal Butterfly &amp; Celestial: "Lunar Butterfly Dream" – 5D Embossed Nail Sticker</x:v>
      </x:c>
      <x:c r="D7474" s="18" t="str">
        <x:v>Specification type: To4302-crystal diamond / To4303-crystal diamond</x:v>
      </x:c>
      <x:c r="E7474" s="25" t="str">
        <x:v>$1.30</x:v>
      </x:c>
      <x:c r="F7474" s="19" t="str">
        <x:v>5</x:v>
      </x:c>
    </x:row>
    <x:row r="7475" ht="93" customHeight="1">
      <x:c r="A7475" s="19" t="n">
        <x:v>7472</x:v>
      </x:c>
      <x:c r="B7475" s="22" t="e">
        <x:f>HYPERLINK("https://cdn.shopify.com/s/files/1/0918/6066/4603/files/O1CN01H6MnAN1HlX2zxZaIU__2545140798-0-cib_005acc72-3b72-4cf6-a1bc-eb06bf1534b4.jpg?v=1774013732","Open")</x:f>
        <x:v>HYPERLINK is not implemented. linkLocation=https://cdn.shopify.com/s/files/1/0918/6066/4603/files/O1CN01H6MnAN1HlX2zxZaIU__2545140798-0-cib_005acc72-3b72-4cf6-a1bc-eb06bf1534b4.jpg?v=1774013732, friendlyName=Open</x:v>
      </x:c>
      <x:c r="C7475" s="24" t="e">
        <x:f>HYPERLINK("https://365nails.com/products/shell-shine-stag-beetle-gothic-frame-nail-sticker-set-gothic-insect-curio","Shell-Shine Stag Beetle &amp; Gothic Frame Nail Sticker Set – ""Gothic Insect Curio""")</x:f>
        <x:v>HYPERLINK is not implemented. linkLocation=https://365nails.com/products/shell-shine-stag-beetle-gothic-frame-nail-sticker-set-gothic-insect-curio, friendlyName=Shell-Shine Stag Beetle &amp; Gothic Frame Nail Sticker Set – "Gothic Insect Curio"</x:v>
      </x:c>
      <x:c r="D7475" s="18" t="str">
        <x:v>Specification type: Ms683-shell light / Ms684-relief</x:v>
      </x:c>
      <x:c r="E7475" s="25" t="str">
        <x:v>$1.23</x:v>
      </x:c>
      <x:c r="F7475" s="19" t="str">
        <x:v>5</x:v>
      </x:c>
    </x:row>
    <x:row r="7476" ht="93" customHeight="1">
      <x:c r="A7476" s="19" t="n">
        <x:v>7473</x:v>
      </x:c>
      <x:c r="B7476" s="22" t="e">
        <x:f>HYPERLINK("https://cdn.shopify.com/s/files/1/0918/6066/4603/files/O1CN01G2HsSS1HlX5HBnDfq__2545140798-0-cib.jpg?v=1773840948","Open")</x:f>
        <x:v>HYPERLINK is not implemented. linkLocation=https://cdn.shopify.com/s/files/1/0918/6066/4603/files/O1CN01G2HsSS1HlX5HBnDfq__2545140798-0-cib.jpg?v=1773840948, friendlyName=Open</x:v>
      </x:c>
      <x:c r="C7476" s="24" t="e">
        <x:f>HYPERLINK("https://365nails.com/products/golden-chrysanthemum-chinese-calligraphy-elegant-autumn-chrysanthemum-5d-embossed-nail-sticker","Golden Chrysanthemum &amp; Chinese Calligraphy: ""Elegant Autumn Chrysanthemum"" – 5D Embossed Nail Sticker")</x:f>
        <x:v>HYPERLINK is not implemented. linkLocation=https://365nails.com/products/golden-chrysanthemum-chinese-calligraphy-elegant-autumn-chrysanthemum-5d-embossed-nail-sticker, friendlyName=Golden Chrysanthemum &amp; Chinese Calligraphy: "Elegant Autumn Chrysanthemum" – 5D Embossed Nail Sticker</x:v>
      </x:c>
      <x:c r="D7476" s="18" t="str">
        <x:v>Specification type: To4642-relief</x:v>
      </x:c>
      <x:c r="E7476" s="25" t="str">
        <x:v>$1.23</x:v>
      </x:c>
      <x:c r="F7476" s="19" t="str">
        <x:v>5</x:v>
      </x:c>
    </x:row>
    <x:row r="7477" ht="93" customHeight="1">
      <x:c r="A7477" s="19" t="n">
        <x:v>7474</x:v>
      </x:c>
      <x:c r="B7477" s="22" t="e">
        <x:f>HYPERLINK("https://cdn.shopify.com/s/files/1/0918/6066/4603/files/O1CN01h8TNDY1HlX584Z3U5__2545140798-0-cib.jpg?v=1773633465","Open")</x:f>
        <x:v>HYPERLINK is not implemented. linkLocation=https://cdn.shopify.com/s/files/1/0918/6066/4603/files/O1CN01h8TNDY1HlX584Z3U5__2545140798-0-cib.jpg?v=1773633465, friendlyName=Open</x:v>
      </x:c>
      <x:c r="C7477" s="24" t="e">
        <x:f>HYPERLINK("https://365nails.com/products/pastel-butterfly-flower-dreamy-flutter-5d-embossed-nail-sticker","Pastel Butterfly &amp; Flower: ""Dreamy Flutter"" – 5D Embossed Nail Sticker")</x:f>
        <x:v>HYPERLINK is not implemented. linkLocation=https://365nails.com/products/pastel-butterfly-flower-dreamy-flutter-5d-embossed-nail-sticker, friendlyName=Pastel Butterfly &amp; Flower: "Dreamy Flutter" – 5D Embossed Nail Sticker</x:v>
      </x:c>
      <x:c r="D7477" s="18" t="str">
        <x:v>Specification type: To4795-relief</x:v>
      </x:c>
      <x:c r="E7477" s="25" t="str">
        <x:v>$1.23</x:v>
      </x:c>
      <x:c r="F7477" s="19" t="str">
        <x:v>5</x:v>
      </x:c>
    </x:row>
    <x:row r="7478" ht="93" customHeight="1">
      <x:c r="A7478" s="19" t="n">
        <x:v>7475</x:v>
      </x:c>
      <x:c r="B7478" s="22" t="e">
        <x:f>HYPERLINK("https://cdn.shopify.com/s/files/1/0918/6066/4603/files/O1CN01tzDwoX1HlWnOIR8Ia__2545140798-0-cib.jpg?v=1773633204","Open")</x:f>
        <x:v>HYPERLINK is not implemented. linkLocation=https://cdn.shopify.com/s/files/1/0918/6066/4603/files/O1CN01tzDwoX1HlWnOIR8Ia__2545140798-0-cib.jpg?v=1773633204, friendlyName=Open</x:v>
      </x:c>
      <x:c r="C7478" s="24" t="e">
        <x:f>HYPERLINK("https://365nails.com/products/chinese-lion-dance-auspicious-lion-3d-embossed-nail-sticker","Chinese Lion Dance: ""Auspicious Lion"" – 3D Embossed Nail Sticker")</x:f>
        <x:v>HYPERLINK is not implemented. linkLocation=https://365nails.com/products/chinese-lion-dance-auspicious-lion-3d-embossed-nail-sticker, friendlyName=Chinese Lion Dance: "Auspicious Lion" – 3D Embossed Nail Sticker</x:v>
      </x:c>
      <x:c r="D7478" s="18" t="str">
        <x:v>Specification type: To1193 / To1202</x:v>
      </x:c>
      <x:c r="E7478" s="25" t="str">
        <x:v>$1.23</x:v>
      </x:c>
      <x:c r="F7478" s="19" t="str">
        <x:v>5</x:v>
      </x:c>
    </x:row>
    <x:row r="7479" ht="93" customHeight="1">
      <x:c r="A7479" s="19" t="n">
        <x:v>7476</x:v>
      </x:c>
      <x:c r="B7479" s="22" t="e">
        <x:f>HYPERLINK("https://cdn.shopify.com/s/files/1/0918/6066/4603/files/O1CN01UtPAnU1HlWz9pu9SQ__2545140798-0-cib_2ca157e1-21e3-4331-99ce-a28755c9bfef.jpg?v=1773844122","Open")</x:f>
        <x:v>HYPERLINK is not implemented. linkLocation=https://cdn.shopify.com/s/files/1/0918/6066/4603/files/O1CN01UtPAnU1HlWz9pu9SQ__2545140798-0-cib_2ca157e1-21e3-4331-99ce-a28755c9bfef.jpg?v=1773844122, friendlyName=Open</x:v>
      </x:c>
      <x:c r="C7479" s="24" t="e">
        <x:f>HYPERLINK("https://365nails.com/products/crimson-butterfly-enchanted-red-butterfly-5d-embossed-nail-sticker","Crimson Butterfly: ""Enchanted Red Butterfly"" – 5D Embossed Nail Sticker")</x:f>
        <x:v>HYPERLINK is not implemented. linkLocation=https://365nails.com/products/crimson-butterfly-enchanted-red-butterfly-5d-embossed-nail-sticker, friendlyName=Crimson Butterfly: "Enchanted Red Butterfly" – 5D Embossed Nail Sticker</x:v>
      </x:c>
      <x:c r="D7479" s="18" t="str">
        <x:v>Specification type: To3710-shell light / To3711-relief</x:v>
      </x:c>
      <x:c r="E7479" s="25" t="str">
        <x:v>$1.23</x:v>
      </x:c>
      <x:c r="F7479" s="19" t="str">
        <x:v>5</x:v>
      </x:c>
    </x:row>
    <x:row r="7480" ht="93" customHeight="1">
      <x:c r="A7480" s="19" t="n">
        <x:v>7477</x:v>
      </x:c>
      <x:c r="B7480" s="22" t="e">
        <x:f>HYPERLINK("https://cdn.shopify.com/s/files/1/0918/6066/4603/files/O1CN01JOCDNT1HlX4ypHcu2__2545140798-0-cib.jpg?v=1773841812","Open")</x:f>
        <x:v>HYPERLINK is not implemented. linkLocation=https://cdn.shopify.com/s/files/1/0918/6066/4603/files/O1CN01JOCDNT1HlX4ypHcu2__2545140798-0-cib.jpg?v=1773841812, friendlyName=Open</x:v>
      </x:c>
      <x:c r="C7480" s="24" t="e">
        <x:f>HYPERLINK("https://365nails.com/products/cute-chinese-new-year-animals-fortune-bunny-cat-5d-embossed-nail-sticker","Cute Chinese New Year Animals: ""Fortune Bunny &amp; Cat"" – 5D Embossed Nail Sticker")</x:f>
        <x:v>HYPERLINK is not implemented. linkLocation=https://365nails.com/products/cute-chinese-new-year-animals-fortune-bunny-cat-5d-embossed-nail-sticker, friendlyName=Cute Chinese New Year Animals: "Fortune Bunny &amp; Cat" – 5D Embossed Nail Sticker</x:v>
      </x:c>
      <x:c r="D7480" s="18" t="str">
        <x:v>Specification type: To4799-relief / To4805-relief</x:v>
      </x:c>
      <x:c r="E7480" s="25" t="str">
        <x:v>$1.23</x:v>
      </x:c>
      <x:c r="F7480" s="19" t="str">
        <x:v>5</x:v>
      </x:c>
    </x:row>
    <x:row r="7481" ht="93" customHeight="1">
      <x:c r="A7481" s="19" t="n">
        <x:v>7478</x:v>
      </x:c>
      <x:c r="B7481" s="22" t="e">
        <x:f>HYPERLINK("https://cdn.shopify.com/s/files/1/0918/6066/4603/files/O1CN014j4V4L1HlWzbNHTDF__2545140798-0-cib.jpg?v=1776496549","Open")</x:f>
        <x:v>HYPERLINK is not implemented. linkLocation=https://cdn.shopify.com/s/files/1/0918/6066/4603/files/O1CN014j4V4L1HlWzbNHTDF__2545140798-0-cib.jpg?v=1776496549, friendlyName=Open</x:v>
      </x:c>
      <x:c r="C7481" s="24" t="e">
        <x:f>HYPERLINK("https://365nails.com/products/365nails-spring-garden-bunny-nail-art-stickers","365nails: ""Spring Garden Bunny"" – nail art stickers")</x:f>
        <x:v>HYPERLINK is not implemented. linkLocation=https://365nails.com/products/365nails-spring-garden-bunny-nail-art-stickers, friendlyName=365nails: "Spring Garden Bunny" – nail art stickers</x:v>
      </x:c>
      <x:c r="D7481" s="18" t="str">
        <x:v>Specification type: To3753 / To3755</x:v>
      </x:c>
      <x:c r="E7481" s="25" t="str">
        <x:v>$1.09</x:v>
      </x:c>
      <x:c r="F7481" s="19" t="str">
        <x:v>5</x:v>
      </x:c>
    </x:row>
    <x:row r="7482" ht="93" customHeight="1">
      <x:c r="A7482" s="19" t="n">
        <x:v>7479</x:v>
      </x:c>
      <x:c r="B7482" s="22" t="e">
        <x:f>HYPERLINK("https://cdn.shopify.com/s/files/1/0918/6066/4603/files/O1CN01A1C5KS1HlX0VYOadR__2545140798-0-cib.jpg?v=1776497104","Open")</x:f>
        <x:v>HYPERLINK is not implemented. linkLocation=https://cdn.shopify.com/s/files/1/0918/6066/4603/files/O1CN01A1C5KS1HlX0VYOadR__2545140798-0-cib.jpg?v=1776497104, friendlyName=Open</x:v>
      </x:c>
      <x:c r="C7482" s="24" t="e">
        <x:f>HYPERLINK("https://365nails.com/products/365nails-teddy-bear-heart-nail-art-stickers","365nails: ""Teddy Bear Heart"" – nail art stickers")</x:f>
        <x:v>HYPERLINK is not implemented. linkLocation=https://365nails.com/products/365nails-teddy-bear-heart-nail-art-stickers, friendlyName=365nails: "Teddy Bear Heart" – nail art stickers</x:v>
      </x:c>
      <x:c r="D7482" s="18" t="str">
        <x:v>Specification type: To3936-relief</x:v>
      </x:c>
      <x:c r="E7482" s="25" t="str">
        <x:v>$1.23</x:v>
      </x:c>
      <x:c r="F7482" s="19" t="str">
        <x:v>5</x:v>
      </x:c>
    </x:row>
    <x:row r="7483" ht="93" customHeight="1">
      <x:c r="A7483" s="19" t="n">
        <x:v>7480</x:v>
      </x:c>
      <x:c r="B7483" s="22" t="e">
        <x:f>HYPERLINK("https://cdn.shopify.com/s/files/1/0918/6066/4603/files/O1CN010gNz161HlX4736EVT__2545140798-0-cib.jpg?v=1773841247","Open")</x:f>
        <x:v>HYPERLINK is not implemented. linkLocation=https://cdn.shopify.com/s/files/1/0918/6066/4603/files/O1CN010gNz161HlX4736EVT__2545140798-0-cib.jpg?v=1773841247, friendlyName=Open</x:v>
      </x:c>
      <x:c r="C7483" s="24" t="e">
        <x:f>HYPERLINK("https://365nails.com/products/red-peony-chinese-calligraphy-elegant-oriental-peony-5d-embossed-nail-sticker","Red Peony &amp; Chinese Calligraphy: ""Elegant Oriental Peony"" – 5D Embossed Nail Sticker")</x:f>
        <x:v>HYPERLINK is not implemented. linkLocation=https://365nails.com/products/red-peony-chinese-calligraphy-elegant-oriental-peony-5d-embossed-nail-sticker, friendlyName=Red Peony &amp; Chinese Calligraphy: "Elegant Oriental Peony" – 5D Embossed Nail Sticker</x:v>
      </x:c>
      <x:c r="D7483" s="18" t="str">
        <x:v>Specification type: To4602 / To4629</x:v>
      </x:c>
      <x:c r="E7483" s="25" t="str">
        <x:v>$1.09</x:v>
      </x:c>
      <x:c r="F7483" s="19" t="str">
        <x:v>5</x:v>
      </x:c>
    </x:row>
    <x:row r="7484" ht="93" customHeight="1">
      <x:c r="A7484" s="19" t="n">
        <x:v>7481</x:v>
      </x:c>
      <x:c r="B7484" s="22" t="e">
        <x:f>HYPERLINK("https://cdn.shopify.com/s/files/1/0918/6066/4603/files/4664ce4b41b4fce0f386a661a0a7e9d3.jpg?v=1773146426","Open")</x:f>
        <x:v>HYPERLINK is not implemented. linkLocation=https://cdn.shopify.com/s/files/1/0918/6066/4603/files/4664ce4b41b4fce0f386a661a0a7e9d3.jpg?v=1773146426, friendlyName=Open</x:v>
      </x:c>
      <x:c r="C7484" s="24" t="e">
        <x:f>HYPERLINK("https://365nails.com/products/knit-snowflake-winter-cozy-nail-art-set","Knit Snowflake – Winter Cozy Nail Art Stickers")</x:f>
        <x:v>HYPERLINK is not implemented. linkLocation=https://365nails.com/products/knit-snowflake-winter-cozy-nail-art-set, friendlyName=Knit Snowflake – Winter Cozy Nail Art Stickers</x:v>
      </x:c>
      <x:c r="D7484" s="18" t="str">
        <x:v>Specification type: To5402-shell light / To5415-glitter / To5416-glitter</x:v>
      </x:c>
      <x:c r="E7484" s="25" t="str">
        <x:v>$1.23</x:v>
      </x:c>
      <x:c r="F7484" s="19" t="str">
        <x:v>5</x:v>
      </x:c>
    </x:row>
    <x:row r="7485" ht="93" customHeight="1">
      <x:c r="A7485" s="19" t="n">
        <x:v>7482</x:v>
      </x:c>
      <x:c r="B7485" s="22" t="e">
        <x:f>HYPERLINK("https://cdn.shopify.com/s/files/1/0918/6066/4603/files/O1CN011DhgOz1HlX1UYqE0q__2545140798-0-cib.jpg?v=1773653069","Open")</x:f>
        <x:v>HYPERLINK is not implemented. linkLocation=https://cdn.shopify.com/s/files/1/0918/6066/4603/files/O1CN011DhgOz1HlX1UYqE0q__2545140798-0-cib.jpg?v=1773653069, friendlyName=Open</x:v>
      </x:c>
      <x:c r="C7485" s="24" t="e">
        <x:f>HYPERLINK("https://365nails.com/products/rose-gold-sacred-symbols-mystic-boho-charm-5d-embossed-nail-sticker","Rose Gold Sacred Symbols: ""Mystic Boho Charm"" – 5D Embossed Nail Sticker")</x:f>
        <x:v>HYPERLINK is not implemented. linkLocation=https://365nails.com/products/rose-gold-sacred-symbols-mystic-boho-charm-5d-embossed-nail-sticker, friendlyName=Rose Gold Sacred Symbols: "Mystic Boho Charm" – 5D Embossed Nail Sticker</x:v>
      </x:c>
      <x:c r="D7485" s="18" t="str">
        <x:v>Specification type: To4138-rose gold / To4138-new hot stamping / To4138-silver / To4140-rose gold / To4140-new hot stamping / To4140-silver</x:v>
      </x:c>
      <x:c r="E7485" s="25" t="str">
        <x:v>$1.23</x:v>
      </x:c>
      <x:c r="F7485" s="19" t="str">
        <x:v>5</x:v>
      </x:c>
    </x:row>
    <x:row r="7486" ht="93" customHeight="1">
      <x:c r="A7486" s="19" t="n">
        <x:v>7483</x:v>
      </x:c>
      <x:c r="B7486" s="22" t="e">
        <x:f>HYPERLINK("https://cdn.shopify.com/s/files/1/0918/6066/4603/files/O1CN01kcfqMv1HlWuKrrw75__2545140798-0-cib.jpg?v=1773638533","Open")</x:f>
        <x:v>HYPERLINK is not implemented. linkLocation=https://cdn.shopify.com/s/files/1/0918/6066/4603/files/O1CN01kcfqMv1HlWuKrrw75__2545140798-0-cib.jpg?v=1773638533, friendlyName=Open</x:v>
      </x:c>
      <x:c r="C7486" s="24" t="e">
        <x:f>HYPERLINK("https://365nails.com/products/colorful-bear-charm-playful-doodle-5d-embossed-nail-sticker","Colorful Bear &amp; Charm: ""Playful Doodle"" – 5D Embossed Nail Sticker")</x:f>
        <x:v>HYPERLINK is not implemented. linkLocation=https://365nails.com/products/colorful-bear-charm-playful-doodle-5d-embossed-nail-sticker, friendlyName=Colorful Bear &amp; Charm: "Playful Doodle" – 5D Embossed Nail Sticker</x:v>
      </x:c>
      <x:c r="D7486" s="18" t="str">
        <x:v>Specification type: To1961 / To2000</x:v>
      </x:c>
      <x:c r="E7486" s="25" t="str">
        <x:v>$1.16</x:v>
      </x:c>
      <x:c r="F7486" s="19" t="str">
        <x:v>5</x:v>
      </x:c>
    </x:row>
    <x:row r="7487" ht="93" customHeight="1">
      <x:c r="A7487" s="19" t="n">
        <x:v>7484</x:v>
      </x:c>
      <x:c r="B7487" s="22" t="e">
        <x:f>HYPERLINK("https://cdn.shopify.com/s/files/1/0918/6066/4603/files/O1CN01YKJ2W41HlX5oRebfO__2545140798-0-cib.jpg?v=1773666533","Open")</x:f>
        <x:v>HYPERLINK is not implemented. linkLocation=https://cdn.shopify.com/s/files/1/0918/6066/4603/files/O1CN01YKJ2W41HlX5oRebfO__2545140798-0-cib.jpg?v=1773666533, friendlyName=Open</x:v>
      </x:c>
      <x:c r="C7487" s="24" t="e">
        <x:f>HYPERLINK("https://365nails.com/products/gold-foil-cherry-blossom-elegant-sakura-bloom-5d-embossed-nail-sticker","Gold Foil Cherry Blossom: ""Elegant Sakura Bloom"" – 5D Embossed Nail Sticker")</x:f>
        <x:v>HYPERLINK is not implemented. linkLocation=https://365nails.com/products/gold-foil-cherry-blossom-elegant-sakura-bloom-5d-embossed-nail-sticker, friendlyName=Gold Foil Cherry Blossom: "Elegant Sakura Bloom" – 5D Embossed Nail Sticker</x:v>
      </x:c>
      <x:c r="D7487" s="18" t="str">
        <x:v>Specification type: To4881-laser powder / To4881-new hot stamping / To4881-silver</x:v>
      </x:c>
      <x:c r="E7487" s="25" t="str">
        <x:v>$1.23</x:v>
      </x:c>
      <x:c r="F7487" s="19" t="str">
        <x:v>5</x:v>
      </x:c>
    </x:row>
    <x:row r="7488" ht="93" customHeight="1">
      <x:c r="A7488" s="19" t="n">
        <x:v>7485</x:v>
      </x:c>
      <x:c r="B7488" s="22" t="e">
        <x:f>HYPERLINK("https://cdn.shopify.com/s/files/1/0918/6066/4603/files/O1CN01BmCQxV1HlX9d40G7n__2545140798-0-cib.jpg?v=1774018617","Open")</x:f>
        <x:v>HYPERLINK is not implemented. linkLocation=https://cdn.shopify.com/s/files/1/0918/6066/4603/files/O1CN01BmCQxV1HlX9d40G7n__2545140798-0-cib.jpg?v=1774018617, friendlyName=Open</x:v>
      </x:c>
      <x:c r="C7488" s="24" t="e">
        <x:f>HYPERLINK("https://365nails.com/products/halloween-gothic-gold-black-nail-sticker-set-spooky-gothic-halloween","Halloween Gothic Gold &amp; Black Nail Sticker Set – ""Spooky Gothic Halloween""")</x:f>
        <x:v>HYPERLINK is not implemented. linkLocation=https://365nails.com/products/halloween-gothic-gold-black-nail-sticker-set-spooky-gothic-halloween, friendlyName=Halloween Gothic Gold &amp; Black Nail Sticker Set – "Spooky Gothic Halloween"</x:v>
      </x:c>
      <x:c r="D7488" s="18" t="str">
        <x:v>Specification type: Ms872-relief</x:v>
      </x:c>
      <x:c r="E7488" s="25" t="str">
        <x:v>$1.23</x:v>
      </x:c>
      <x:c r="F7488" s="19" t="str">
        <x:v>5</x:v>
      </x:c>
    </x:row>
    <x:row r="7489" ht="93" customHeight="1">
      <x:c r="A7489" s="19" t="n">
        <x:v>7486</x:v>
      </x:c>
      <x:c r="B7489" s="22" t="e">
        <x:f>HYPERLINK("https://cdn.shopify.com/s/files/1/0918/6066/4603/files/O1CN01saa6gS1HlX5HxmL1L__2545140798-0-cib.jpg?v=1773747640","Open")</x:f>
        <x:v>HYPERLINK is not implemented. linkLocation=https://cdn.shopify.com/s/files/1/0918/6066/4603/files/O1CN01saa6gS1HlX5HxmL1L__2545140798-0-cib.jpg?v=1773747640, friendlyName=Open</x:v>
      </x:c>
      <x:c r="C7489" s="24" t="e">
        <x:f>HYPERLINK("https://365nails.com/products/glitter-red-star-galactic-ruby-sparkle-5d-embossed-nail-sticker","Glitter Red Star: ""Galactic Ruby Sparkle"" – 5D Embossed Nail Sticker")</x:f>
        <x:v>HYPERLINK is not implemented. linkLocation=https://365nails.com/products/glitter-red-star-galactic-ruby-sparkle-5d-embossed-nail-sticker, friendlyName=Glitter Red Star: "Galactic Ruby Sparkle" – 5D Embossed Nail Sticker</x:v>
      </x:c>
      <x:c r="D7489" s="18" t="str">
        <x:v>Specification type: To4840-1-flash silver / To4840-metal</x:v>
      </x:c>
      <x:c r="E7489" s="25" t="str">
        <x:v>$1.23</x:v>
      </x:c>
      <x:c r="F7489" s="19" t="str">
        <x:v>5</x:v>
      </x:c>
    </x:row>
    <x:row r="7490" ht="93" customHeight="1">
      <x:c r="A7490" s="19" t="n">
        <x:v>7487</x:v>
      </x:c>
      <x:c r="B7490" s="22" t="e">
        <x:f>HYPERLINK("https://cdn.shopify.com/s/files/1/0918/6066/4603/files/O1CN01Cxg97D1HlWyhSp873__2545140798-0-cib.jpg?v=1773757386","Open")</x:f>
        <x:v>HYPERLINK is not implemented. linkLocation=https://cdn.shopify.com/s/files/1/0918/6066/4603/files/O1CN01Cxg97D1HlWyhSp873__2545140798-0-cib.jpg?v=1773757386, friendlyName=Open</x:v>
      </x:c>
      <x:c r="C7490" s="24" t="e">
        <x:f>HYPERLINK("https://365nails.com/products/pastel-checkered-square-vintage-gingham-plaid-5d-embossed-nail-sticker","Pastel Checkered Square: ""Vintage Gingham Plaid"" – 5D Embossed Nail Sticker")</x:f>
        <x:v>HYPERLINK is not implemented. linkLocation=https://365nails.com/products/pastel-checkered-square-vintage-gingham-plaid-5d-embossed-nail-sticker, friendlyName=Pastel Checkered Square: "Vintage Gingham Plaid" – 5D Embossed Nail Sticker</x:v>
      </x:c>
      <x:c r="D7490" s="18" t="str">
        <x:v>Specification type: Ms 516 / Ms 517 / Ms 518 / Ms 519 / Ms 520 / Ms 521 / Ms522</x:v>
      </x:c>
      <x:c r="E7490" s="25" t="str">
        <x:v>$1.23</x:v>
      </x:c>
      <x:c r="F7490" s="19" t="str">
        <x:v>5</x:v>
      </x:c>
    </x:row>
    <x:row r="7491" ht="93" customHeight="1">
      <x:c r="A7491" s="19" t="n">
        <x:v>7488</x:v>
      </x:c>
      <x:c r="B7491" s="22" t="e">
        <x:f>HYPERLINK("https://cdn.shopify.com/s/files/1/0918/6066/4603/files/O1CN01me8jKM1HlX5lRNM5X__2545140798-0-cib.jpg?v=1773633526","Open")</x:f>
        <x:v>HYPERLINK is not implemented. linkLocation=https://cdn.shopify.com/s/files/1/0918/6066/4603/files/O1CN01me8jKM1HlX5lRNM5X__2545140798-0-cib.jpg?v=1773633526, friendlyName=Open</x:v>
      </x:c>
      <x:c r="C7491" s="24" t="e">
        <x:f>HYPERLINK("https://365nails.com/products/spring-bouquet-bow-fresh-bloom-5d-embossed-nail-sticker","Spring Bouquet &amp; Bow: ""Fresh Bloom"" – 5D Embossed Nail Sticker")</x:f>
        <x:v>HYPERLINK is not implemented. linkLocation=https://365nails.com/products/spring-bouquet-bow-fresh-bloom-5d-embossed-nail-sticker, friendlyName=Spring Bouquet &amp; Bow: "Fresh Bloom" – 5D Embossed Nail Sticker</x:v>
      </x:c>
      <x:c r="D7491" s="18" t="str">
        <x:v>Specification type: To4856 / To4891 / To4893</x:v>
      </x:c>
      <x:c r="E7491" s="25" t="str">
        <x:v>$1.09</x:v>
      </x:c>
      <x:c r="F7491" s="19" t="str">
        <x:v>5</x:v>
      </x:c>
    </x:row>
    <x:row r="7492" ht="93" customHeight="1">
      <x:c r="A7492" s="19" t="n">
        <x:v>7489</x:v>
      </x:c>
      <x:c r="B7492" s="22" t="e">
        <x:f>HYPERLINK("https://cdn.shopify.com/s/files/1/0918/6066/4603/files/b8887c942ff25ba307672add4f018cf8.jpg?v=1772962860","Open")</x:f>
        <x:v>HYPERLINK is not implemented. linkLocation=https://cdn.shopify.com/s/files/1/0918/6066/4603/files/b8887c942ff25ba307672add4f018cf8.jpg?v=1772962860, friendlyName=Open</x:v>
      </x:c>
      <x:c r="C7492" s="24" t="e">
        <x:f>HYPERLINK("https://365nails.com/products/crane-ancient-relics-3d-embossed-chinese-style-nail-art-set","Crane &amp; Ancient Relics – 3D Embossed Chinese Style Nail Art Set")</x:f>
        <x:v>HYPERLINK is not implemented. linkLocation=https://365nails.com/products/crane-ancient-relics-3d-embossed-chinese-style-nail-art-set, friendlyName=Crane &amp; Ancient Relics – 3D Embossed Chinese Style Nail Art Set</x:v>
      </x:c>
      <x:c r="D7492" s="18" t="str">
        <x:v>Specification type: To3357</x:v>
      </x:c>
      <x:c r="E7492" s="25" t="str">
        <x:v>$1.23</x:v>
      </x:c>
      <x:c r="F7492" s="19" t="str">
        <x:v>5</x:v>
      </x:c>
    </x:row>
    <x:row r="7493" ht="93" customHeight="1">
      <x:c r="A7493" s="19" t="n">
        <x:v>7490</x:v>
      </x:c>
      <x:c r="B7493" s="22" t="e">
        <x:f>HYPERLINK("https://cdn.shopify.com/s/files/1/0918/6066/4603/files/4632596647c6e3cb599eaa1d1dee3f58.jpg?v=1773060897","Open")</x:f>
        <x:v>HYPERLINK is not implemented. linkLocation=https://cdn.shopify.com/s/files/1/0918/6066/4603/files/4632596647c6e3cb599eaa1d1dee3f58.jpg?v=1773060897, friendlyName=Open</x:v>
      </x:c>
      <x:c r="C7493" s="24" t="e">
        <x:f>HYPERLINK("https://365nails.com/products/red-panda-autumn-cute-animal-nail-art-set","Red Panda Autumn – Cute Animal Nail Art Set")</x:f>
        <x:v>HYPERLINK is not implemented. linkLocation=https://365nails.com/products/red-panda-autumn-cute-animal-nail-art-set, friendlyName=Red Panda Autumn – Cute Animal Nail Art Set</x:v>
      </x:c>
      <x:c r="D7493" s="18" t="str">
        <x:v>Specification type: To4599-relief / To4619-relief</x:v>
      </x:c>
      <x:c r="E7493" s="25" t="str">
        <x:v>$1.23</x:v>
      </x:c>
      <x:c r="F7493" s="19" t="str">
        <x:v>5</x:v>
      </x:c>
    </x:row>
    <x:row r="7494" ht="93" customHeight="1">
      <x:c r="A7494" s="19" t="n">
        <x:v>7491</x:v>
      </x:c>
      <x:c r="B7494" s="22" t="e">
        <x:f>HYPERLINK("https://cdn.shopify.com/s/files/1/0918/6066/4603/files/O1CN01aJY4z51HlX9HYRfDr__2545140798-0-cib.jpg?v=1773638265","Open")</x:f>
        <x:v>HYPERLINK is not implemented. linkLocation=https://cdn.shopify.com/s/files/1/0918/6066/4603/files/O1CN01aJY4z51HlX9HYRfDr__2545140798-0-cib.jpg?v=1773638265, friendlyName=Open</x:v>
      </x:c>
      <x:c r="C7494" s="24" t="e">
        <x:f>HYPERLINK("https://365nails.com/products/cherry-blossom-berry-spring-petal-5d-embossed-nail-sticker","Cherry Blossom &amp; Berry: ""Spring Petal"" – 5D Embossed Nail Sticker")</x:f>
        <x:v>HYPERLINK is not implemented. linkLocation=https://365nails.com/products/cherry-blossom-berry-spring-petal-5d-embossed-nail-sticker, friendlyName=Cherry Blossom &amp; Berry: "Spring Petal" – 5D Embossed Nail Sticker</x:v>
      </x:c>
      <x:c r="D7494" s="18" t="str">
        <x:v>Specification type: To5326-jelly / To5327-metal</x:v>
      </x:c>
      <x:c r="E7494" s="25" t="str">
        <x:v>$1.23</x:v>
      </x:c>
      <x:c r="F7494" s="19" t="str">
        <x:v>5</x:v>
      </x:c>
    </x:row>
    <x:row r="7495" ht="93" customHeight="1">
      <x:c r="A7495" s="19" t="n">
        <x:v>7492</x:v>
      </x:c>
      <x:c r="B7495" s="22" t="e">
        <x:f>HYPERLINK("https://cdn.shopify.com/s/files/1/0918/6066/4603/files/O1CN01KGD2qU1HlX3xi7TFA__2545140798-0-cib.jpg?v=1773666285","Open")</x:f>
        <x:v>HYPERLINK is not implemented. linkLocation=https://cdn.shopify.com/s/files/1/0918/6066/4603/files/O1CN01KGD2qU1HlX3xi7TFA__2545140798-0-cib.jpg?v=1773666285, friendlyName=Open</x:v>
      </x:c>
      <x:c r="C7495" s="24" t="e">
        <x:f>HYPERLINK("https://365nails.com/products/denim-cross-heart-punk-denim-romance-5d-embossed-nail-sticker","Denim Cross &amp; Heart: ""Punk Denim Romance"" – 5D Embossed Nail Sticker")</x:f>
        <x:v>HYPERLINK is not implemented. linkLocation=https://365nails.com/products/denim-cross-heart-punk-denim-romance-5d-embossed-nail-sticker, friendlyName=Denim Cross &amp; Heart: "Punk Denim Romance" – 5D Embossed Nail Sticker</x:v>
      </x:c>
      <x:c r="D7495" s="18" t="str">
        <x:v>Specification type: To4646-relief</x:v>
      </x:c>
      <x:c r="E7495" s="25" t="str">
        <x:v>$1.23</x:v>
      </x:c>
      <x:c r="F7495" s="19" t="str">
        <x:v>5</x:v>
      </x:c>
    </x:row>
    <x:row r="7496" ht="93" customHeight="1">
      <x:c r="A7496" s="19" t="n">
        <x:v>7493</x:v>
      </x:c>
      <x:c r="B7496" s="22" t="e">
        <x:f>HYPERLINK("https://cdn.shopify.com/s/files/1/0918/6066/4603/files/O1CN01Sq77Aw1HlX4pUytHV__2545140798-0-cib_969100c4-5db2-4edd-b50b-473e11a9e8f8.jpg?v=1774071414","Open")</x:f>
        <x:v>HYPERLINK is not implemented. linkLocation=https://cdn.shopify.com/s/files/1/0918/6066/4603/files/O1CN01Sq77Aw1HlX4pUytHV__2545140798-0-cib_969100c4-5db2-4edd-b50b-473e11a9e8f8.jpg?v=1774071414, friendlyName=Open</x:v>
      </x:c>
      <x:c r="C7496" s="24" t="e">
        <x:f>HYPERLINK("https://365nails.com/products/glitter-snowflake-winter-greeting-nail-sticker-set-sparkling-winter-snow","Glitter Snowflake &amp; Winter Greeting Nail Sticker Set – ""Sparkling Winter Snow""")</x:f>
        <x:v>HYPERLINK is not implemented. linkLocation=https://365nails.com/products/glitter-snowflake-winter-greeting-nail-sticker-set-sparkling-winter-snow, friendlyName=Glitter Snowflake &amp; Winter Greeting Nail Sticker Set – "Sparkling Winter Snow"</x:v>
      </x:c>
      <x:c r="D7496" s="18" t="str">
        <x:v>Specification type: To4774-glitter / To4774-flash gold / To4774-flash silver / To4774-new hot stamping / To4774-silver</x:v>
      </x:c>
      <x:c r="E7496" s="25" t="str">
        <x:v>$1.23</x:v>
      </x:c>
      <x:c r="F7496" s="19" t="str">
        <x:v>5</x:v>
      </x:c>
    </x:row>
    <x:row r="7497" ht="93" customHeight="1">
      <x:c r="A7497" s="19" t="n">
        <x:v>7494</x:v>
      </x:c>
      <x:c r="B7497" s="22" t="e">
        <x:f>HYPERLINK("https://cdn.shopify.com/s/files/1/0918/6066/4603/files/O1CN01Rc8VK31HlX2s4M9Z0__2545140798-0-cib.jpg?v=1773839084","Open")</x:f>
        <x:v>HYPERLINK is not implemented. linkLocation=https://cdn.shopify.com/s/files/1/0918/6066/4603/files/O1CN01Rc8VK31HlX2s4M9Z0__2545140798-0-cib.jpg?v=1773839084, friendlyName=Open</x:v>
      </x:c>
      <x:c r="C7497" s="24" t="e">
        <x:f>HYPERLINK("https://365nails.com/products/white-lace-butterfly-ethereal-lace-butterfly-5d-embossed-nail-sticker","White Lace Butterfly: ""Ethereal Lace Butterfly"" – 5D Embossed Nail Sticker")</x:f>
        <x:v>HYPERLINK is not implemented. linkLocation=https://365nails.com/products/white-lace-butterfly-ethereal-lace-butterfly-5d-embossed-nail-sticker, friendlyName=White Lace Butterfly: "Ethereal Lace Butterfly" – 5D Embossed Nail Sticker</x:v>
      </x:c>
      <x:c r="D7497" s="18" t="str">
        <x:v>Specification type: Ms614-relief / Ms615-relief</x:v>
      </x:c>
      <x:c r="E7497" s="25" t="str">
        <x:v>$1.23</x:v>
      </x:c>
      <x:c r="F7497" s="19" t="str">
        <x:v>5</x:v>
      </x:c>
    </x:row>
    <x:row r="7498" ht="93" customHeight="1">
      <x:c r="A7498" s="19" t="n">
        <x:v>7495</x:v>
      </x:c>
      <x:c r="B7498" s="22" t="e">
        <x:f>HYPERLINK("https://cdn.shopify.com/s/files/1/0918/6066/4603/files/96f8755c36324ded74acabe4e799bd95.jpg?v=1772971072","Open")</x:f>
        <x:v>HYPERLINK is not implemented. linkLocation=https://cdn.shopify.com/s/files/1/0918/6066/4603/files/96f8755c36324ded74acabe4e799bd95.jpg?v=1772971072, friendlyName=Open</x:v>
      </x:c>
      <x:c r="C7498" s="24" t="e">
        <x:f>HYPERLINK("https://365nails.com/products/black-cat-cafe-cute-monochrome-nail-art-set","Black Cat Café – Cute Monochrome Nail Art Set")</x:f>
        <x:v>HYPERLINK is not implemented. linkLocation=https://365nails.com/products/black-cat-cafe-cute-monochrome-nail-art-set, friendlyName=Black Cat Café – Cute Monochrome Nail Art Set</x:v>
      </x:c>
      <x:c r="D7498" s="18" t="str">
        <x:v>Specification type: To2317</x:v>
      </x:c>
      <x:c r="E7498" s="25" t="str">
        <x:v>$1.23</x:v>
      </x:c>
      <x:c r="F7498" s="19" t="str">
        <x:v>5</x:v>
      </x:c>
    </x:row>
    <x:row r="7499" ht="93" customHeight="1">
      <x:c r="A7499" s="19" t="n">
        <x:v>7496</x:v>
      </x:c>
      <x:c r="B7499" s="22" t="e">
        <x:f>HYPERLINK("https://cdn.shopify.com/s/files/1/0918/6066/4603/files/O1CN01abKHBL1HlX48QPINm__2545140798-0-cib.jpg?v=1774017847","Open")</x:f>
        <x:v>HYPERLINK is not implemented. linkLocation=https://cdn.shopify.com/s/files/1/0918/6066/4603/files/O1CN01abKHBL1HlX48QPINm__2545140798-0-cib.jpg?v=1774017847, friendlyName=Open</x:v>
      </x:c>
      <x:c r="C7499" s="24" t="e">
        <x:f>HYPERLINK("https://365nails.com/products/red-peony-oriental-calligraphy-nail-sticker-set-crimson-peony-elegance","Red Peony &amp; Oriental Calligraphy Nail Sticker Set – ""Crimson Peony Elegance""")</x:f>
        <x:v>HYPERLINK is not implemented. linkLocation=https://365nails.com/products/red-peony-oriental-calligraphy-nail-sticker-set-crimson-peony-elegance, friendlyName=Red Peony &amp; Oriental Calligraphy Nail Sticker Set – "Crimson Peony Elegance"</x:v>
      </x:c>
      <x:c r="D7499" s="18" t="str">
        <x:v>Specification type: To4601-relief</x:v>
      </x:c>
      <x:c r="E7499" s="25" t="str">
        <x:v>$1.23</x:v>
      </x:c>
      <x:c r="F7499" s="19" t="str">
        <x:v>5</x:v>
      </x:c>
    </x:row>
    <x:row r="7500" ht="93" customHeight="1">
      <x:c r="A7500" s="19" t="n">
        <x:v>7497</x:v>
      </x:c>
      <x:c r="B7500" s="22" t="e">
        <x:f>HYPERLINK("https://cdn.shopify.com/s/files/1/0918/6066/4603/files/e4ae40cd3375aec0f50bed83f8c27eee.jpg?v=1772972931","Open")</x:f>
        <x:v>HYPERLINK is not implemented. linkLocation=https://cdn.shopify.com/s/files/1/0918/6066/4603/files/e4ae40cd3375aec0f50bed83f8c27eee.jpg?v=1772972931, friendlyName=Open</x:v>
      </x:c>
      <x:c r="C7500" s="24" t="e">
        <x:f>HYPERLINK("https://365nails.com/products/jelly-crystal-bows-minimalist-nail-art-set","Jelly Crystal Bows – Minimalist Nail Art Set")</x:f>
        <x:v>HYPERLINK is not implemented. linkLocation=https://365nails.com/products/jelly-crystal-bows-minimalist-nail-art-set, friendlyName=Jelly Crystal Bows – Minimalist Nail Art Set</x:v>
      </x:c>
      <x:c r="D7500" s="18" t="str">
        <x:v>Specification type: Ta256-crystal diamond / Ta257-crystal diamond / Ta259-crystal diamond / Ta260-crystal diamond / Ta261 new hot stamping-crystal diamond / Ta261 silver-crystal diamond / Ta262-crystal diamond</x:v>
      </x:c>
      <x:c r="E7500" s="25" t="str">
        <x:v>$1.23</x:v>
      </x:c>
      <x:c r="F7500" s="19" t="str">
        <x:v>5</x:v>
      </x:c>
    </x:row>
    <x:row r="7501" ht="93" customHeight="1">
      <x:c r="A7501" s="19" t="n">
        <x:v>7498</x:v>
      </x:c>
      <x:c r="B7501" s="22" t="e">
        <x:f>HYPERLINK("https://cdn.shopify.com/s/files/1/0918/6066/4603/files/O1CN01Ye0W6s1HlWnvsXXGX__2545140798-0-cib.jpg?v=1772953836","Open")</x:f>
        <x:v>HYPERLINK is not implemented. linkLocation=https://cdn.shopify.com/s/files/1/0918/6066/4603/files/O1CN01Ye0W6s1HlWnvsXXGX__2545140798-0-cib.jpg?v=1772953836, friendlyName=Open</x:v>
      </x:c>
      <x:c r="C7501" s="24" t="e">
        <x:f>HYPERLINK("https://365nails.com/products/holographic-sakura-iridescent-nail-art-accent-set","Holographic Sakura – Iridescent Nail Art Accent Set")</x:f>
        <x:v>HYPERLINK is not implemented. linkLocation=https://365nails.com/products/holographic-sakura-iridescent-nail-art-accent-set, friendlyName=Holographic Sakura – Iridescent Nail Art Accent Set</x:v>
      </x:c>
      <x:c r="D7501" s="18" t="str">
        <x:v>Specification type: To1462 laser silver / To1462 new hot stamping</x:v>
      </x:c>
      <x:c r="E7501" s="25" t="str">
        <x:v>$1.23</x:v>
      </x:c>
      <x:c r="F7501" s="19" t="str">
        <x:v>5</x:v>
      </x:c>
    </x:row>
    <x:row r="7502" ht="93" customHeight="1">
      <x:c r="A7502" s="19" t="n">
        <x:v>7499</x:v>
      </x:c>
      <x:c r="B7502" s="22" t="e">
        <x:f>HYPERLINK("https://cdn.shopify.com/s/files/1/0918/6066/4603/files/O1CN01NcghVk1HlWtJglb9W__2545140798-0-cib.jpg?v=1773652491","Open")</x:f>
        <x:v>HYPERLINK is not implemented. linkLocation=https://cdn.shopify.com/s/files/1/0918/6066/4603/files/O1CN01NcghVk1HlWtJglb9W__2545140798-0-cib.jpg?v=1773652491, friendlyName=Open</x:v>
      </x:c>
      <x:c r="C7502" s="24" t="e">
        <x:f>HYPERLINK("https://365nails.com/products/white-embossed-floral-pearl-bridal-elegance-5d-embossed-nail-sticker","White Embossed Floral &amp; Pearl: ""Bridal Elegance"" – 5D Embossed Nail Sticker")</x:f>
        <x:v>HYPERLINK is not implemented. linkLocation=https://365nails.com/products/white-embossed-floral-pearl-bridal-elegance-5d-embossed-nail-sticker, friendlyName=White Embossed Floral &amp; Pearl: "Bridal Elegance" – 5D Embossed Nail Sticker</x:v>
      </x:c>
      <x:c r="D7502" s="18" t="str">
        <x:v>Specification type: Ms 301 / Ms 303 / Ms 305</x:v>
      </x:c>
      <x:c r="E7502" s="25" t="str">
        <x:v>$1.30</x:v>
      </x:c>
      <x:c r="F7502" s="19" t="str">
        <x:v>5</x:v>
      </x:c>
    </x:row>
    <x:row r="7503" ht="93" customHeight="1">
      <x:c r="A7503" s="19" t="n">
        <x:v>7500</x:v>
      </x:c>
      <x:c r="B7503" s="22" t="e">
        <x:f>HYPERLINK("https://cdn.shopify.com/s/files/1/0918/6066/4603/files/O1CN01zBx28w1HlWjneEIu9__2545140798-0-cib.jpg?v=1773638607","Open")</x:f>
        <x:v>HYPERLINK is not implemented. linkLocation=https://cdn.shopify.com/s/files/1/0918/6066/4603/files/O1CN01zBx28w1HlWjneEIu9__2545140798-0-cib.jpg?v=1773638607, friendlyName=Open</x:v>
      </x:c>
      <x:c r="C7503" s="24" t="e">
        <x:f>HYPERLINK("https://365nails.com/products/vintage-ornate-frame-antique-gallery-5d-metallic-nail-sticker","Vintage Ornate Frame: ""Antique Gallery"" – 5D Metallic Nail Sticker")</x:f>
        <x:v>HYPERLINK is not implemented. linkLocation=https://365nails.com/products/vintage-ornate-frame-antique-gallery-5d-metallic-nail-sticker, friendlyName=Vintage Ornate Frame: "Antique Gallery" – 5D Metallic Nail Sticker</x:v>
      </x:c>
      <x:c r="D7503" s="18" t="str">
        <x:v>Specification type: Ta801 relief</x:v>
      </x:c>
      <x:c r="E7503" s="25" t="str">
        <x:v>$1.23</x:v>
      </x:c>
      <x:c r="F7503" s="19" t="str">
        <x:v>5</x:v>
      </x:c>
    </x:row>
    <x:row r="7504" ht="93" customHeight="1">
      <x:c r="A7504" s="19" t="n">
        <x:v>7501</x:v>
      </x:c>
      <x:c r="B7504" s="22" t="e">
        <x:f>HYPERLINK("https://cdn.shopify.com/s/files/1/0918/6066/4603/files/O1CN01YNGdca1HlX0FoxIWJ__2545140798-0-cib.jpg?v=1776496924","Open")</x:f>
        <x:v>HYPERLINK is not implemented. linkLocation=https://cdn.shopify.com/s/files/1/0918/6066/4603/files/O1CN01YNGdca1HlX0FoxIWJ__2545140798-0-cib.jpg?v=1776496924, friendlyName=Open</x:v>
      </x:c>
      <x:c r="C7504" s="24" t="e">
        <x:f>HYPERLINK("https://365nails.com/products/365nails-holographic-purple-butterfly-nail-art-stickers","365nails: ""Holographic Purple Butterfly"" – nail art stickers")</x:f>
        <x:v>HYPERLINK is not implemented. linkLocation=https://365nails.com/products/365nails-holographic-purple-butterfly-nail-art-stickers, friendlyName=365nails: "Holographic Purple Butterfly" – nail art stickers</x:v>
      </x:c>
      <x:c r="D7504" s="18" t="str">
        <x:v>Specification type: To3910 / To3911</x:v>
      </x:c>
      <x:c r="E7504" s="25" t="str">
        <x:v>$1.23</x:v>
      </x:c>
      <x:c r="F7504" s="19" t="str">
        <x:v>5</x:v>
      </x:c>
    </x:row>
    <x:row r="7505" ht="93" customHeight="1">
      <x:c r="A7505" s="19" t="n">
        <x:v>7502</x:v>
      </x:c>
      <x:c r="B7505" s="22" t="e">
        <x:f>HYPERLINK("https://cdn.shopify.com/s/files/1/0918/6066/4603/files/O1CN01IJS9iR1HlX3VGsQAZ__2545140798-0-cib_91c71807-d45b-4c4c-bbd0-8890ffe34e86.jpg?v=1774018482","Open")</x:f>
        <x:v>HYPERLINK is not implemented. linkLocation=https://cdn.shopify.com/s/files/1/0918/6066/4603/files/O1CN01IJS9iR1HlX3VGsQAZ__2545140798-0-cib_91c71807-d45b-4c4c-bbd0-8890ffe34e86.jpg?v=1774018482, friendlyName=Open</x:v>
      </x:c>
      <x:c r="C7505" s="24" t="e">
        <x:f>HYPERLINK("https://365nails.com/products/christmas-snow-globe-crystal-accent-nail-sticker-set-winter-wonderland-snow-globe","Christmas Snow Globe &amp; Crystal Accent Nail Sticker Set – ""Winter Wonderland Snow Globe""")</x:f>
        <x:v>HYPERLINK is not implemented. linkLocation=https://365nails.com/products/christmas-snow-globe-crystal-accent-nail-sticker-set-winter-wonderland-snow-globe, friendlyName=Christmas Snow Globe &amp; Crystal Accent Nail Sticker Set – "Winter Wonderland Snow Globe"</x:v>
      </x:c>
      <x:c r="D7505" s="18" t="str">
        <x:v>Specification type: To4505-crystal diamond / To4506-crystal diamond / To4515-crystal diamond</x:v>
      </x:c>
      <x:c r="E7505" s="25" t="str">
        <x:v>$1.30</x:v>
      </x:c>
      <x:c r="F7505" s="19" t="str">
        <x:v>5</x:v>
      </x:c>
    </x:row>
    <x:row r="7506" ht="93" customHeight="1">
      <x:c r="A7506" s="19" t="n">
        <x:v>7503</x:v>
      </x:c>
      <x:c r="B7506" s="22" t="e">
        <x:f>HYPERLINK("https://cdn.shopify.com/s/files/1/0918/6066/4603/files/O1CN01rF4P381HlX4aeEgZA__2545140798-0-cib.jpg?v=1773666349","Open")</x:f>
        <x:v>HYPERLINK is not implemented. linkLocation=https://cdn.shopify.com/s/files/1/0918/6066/4603/files/O1CN01rF4P381HlX4aeEgZA__2545140798-0-cib.jpg?v=1773666349, friendlyName=Open</x:v>
      </x:c>
      <x:c r="C7506" s="24" t="e">
        <x:f>HYPERLINK("https://365nails.com/products/gradient-french-tip-soft-lavender-ombre-5d-embossed-nail-sticker","Gradient French Tip: ""Soft Lavender Ombre"" – 5D Embossed Nail Sticker")</x:f>
        <x:v>HYPERLINK is not implemented. linkLocation=https://365nails.com/products/gradient-french-tip-soft-lavender-ombre-5d-embossed-nail-sticker, friendlyName=Gradient French Tip: "Soft Lavender Ombre" – 5D Embossed Nail Sticker</x:v>
      </x:c>
      <x:c r="D7506" s="18" t="str">
        <x:v>Specification type: To4767 / To4768 / Ms 723</x:v>
      </x:c>
      <x:c r="E7506" s="25" t="str">
        <x:v>$1.09</x:v>
      </x:c>
      <x:c r="F7506" s="19" t="str">
        <x:v>5</x:v>
      </x:c>
    </x:row>
    <x:row r="7507" ht="93" customHeight="1">
      <x:c r="A7507" s="19" t="n">
        <x:v>7504</x:v>
      </x:c>
      <x:c r="B7507" s="22" t="e">
        <x:f>HYPERLINK("https://cdn.shopify.com/s/files/1/0918/6066/4603/files/e32ee62bde7d6d5579b2fee7bce47ce3.jpg?v=1772963770","Open")</x:f>
        <x:v>HYPERLINK is not implemented. linkLocation=https://cdn.shopify.com/s/files/1/0918/6066/4603/files/e32ee62bde7d6d5579b2fee7bce47ce3.jpg?v=1772963770, friendlyName=Open</x:v>
      </x:c>
      <x:c r="C7507" s="24" t="e">
        <x:f>HYPERLINK("https://365nails.com/products/boho-crystal-mandala-bohemian-nail-art-set","Boho Crystal Mandala – Bohemian Nail Art Set")</x:f>
        <x:v>HYPERLINK is not implemented. linkLocation=https://365nails.com/products/boho-crystal-mandala-bohemian-nail-art-set, friendlyName=Boho Crystal Mandala – Bohemian Nail Art Set</x:v>
      </x:c>
      <x:c r="D7507" s="18" t="str">
        <x:v>Specification type: L24-crystal diamond</x:v>
      </x:c>
      <x:c r="E7507" s="25" t="str">
        <x:v>$1.30</x:v>
      </x:c>
      <x:c r="F7507" s="19" t="str">
        <x:v>5</x:v>
      </x:c>
    </x:row>
    <x:row r="7508" ht="93" customHeight="1">
      <x:c r="A7508" s="19" t="n">
        <x:v>7505</x:v>
      </x:c>
      <x:c r="B7508" s="22" t="e">
        <x:f>HYPERLINK("https://cdn.shopify.com/s/files/1/0918/6066/4603/files/O1CN01d5PXhW1HlX4tVvs94__2545140798-0-cib_046b34fb-5dc0-45db-be60-d861173d949a.jpg?v=1774071073","Open")</x:f>
        <x:v>HYPERLINK is not implemented. linkLocation=https://cdn.shopify.com/s/files/1/0918/6066/4603/files/O1CN01d5PXhW1HlX4tVvs94__2545140798-0-cib_046b34fb-5dc0-45db-be60-d861173d949a.jpg?v=1774071073, friendlyName=Open</x:v>
      </x:c>
      <x:c r="C7508" s="24" t="e">
        <x:f>HYPERLINK("https://365nails.com/products/mahjong-tile-chinese-lucky-nail-sticker-set-lucky-mahjong","Mahjong Tile &amp; Chinese Lucky Nail Sticker Set – ""Lucky Mahjong""")</x:f>
        <x:v>HYPERLINK is not implemented. linkLocation=https://365nails.com/products/mahjong-tile-chinese-lucky-nail-sticker-set-lucky-mahjong, friendlyName=Mahjong Tile &amp; Chinese Lucky Nail Sticker Set – "Lucky Mahjong"</x:v>
      </x:c>
      <x:c r="D7508" s="18" t="str">
        <x:v>Specification type: To4771-crystal diamond</x:v>
      </x:c>
      <x:c r="E7508" s="25" t="str">
        <x:v>$1.30</x:v>
      </x:c>
      <x:c r="F7508" s="19" t="str">
        <x:v>5</x:v>
      </x:c>
    </x:row>
    <x:row r="7509" ht="93" customHeight="1">
      <x:c r="A7509" s="19" t="n">
        <x:v>7506</x:v>
      </x:c>
      <x:c r="B7509" s="22" t="e">
        <x:f>HYPERLINK("https://cdn.shopify.com/s/files/1/0918/6066/4603/files/O1CN01dKIkYB1HlX7pZLdZb__2545140798-0-cib.jpg?v=1773638069","Open")</x:f>
        <x:v>HYPERLINK is not implemented. linkLocation=https://cdn.shopify.com/s/files/1/0918/6066/4603/files/O1CN01dKIkYB1HlX7pZLdZb__2545140798-0-cib.jpg?v=1773638069, friendlyName=Open</x:v>
      </x:c>
      <x:c r="C7509" s="24" t="e">
        <x:f>HYPERLINK("https://365nails.com/products/vintage-ornate-frame-royal-crystal-5d-crystal-diamond-nail-sticker","Vintage Ornate Frame: ""Royal Crystal"" – 5D Crystal Diamond Nail Sticker")</x:f>
        <x:v>HYPERLINK is not implemented. linkLocation=https://365nails.com/products/vintage-ornate-frame-royal-crystal-5d-crystal-diamond-nail-sticker, friendlyName=Vintage Ornate Frame: "Royal Crystal" – 5D Crystal Diamond Nail Sticker</x:v>
      </x:c>
      <x:c r="D7509" s="18" t="str">
        <x:v>Specification type: To4691-crystal diamond</x:v>
      </x:c>
      <x:c r="E7509" s="25" t="str">
        <x:v>$1.30</x:v>
      </x:c>
      <x:c r="F7509" s="19" t="str">
        <x:v>5</x:v>
      </x:c>
    </x:row>
    <x:row r="7510" ht="93" customHeight="1">
      <x:c r="A7510" s="19" t="n">
        <x:v>7507</x:v>
      </x:c>
      <x:c r="B7510" s="22" t="e">
        <x:f>HYPERLINK("https://cdn.shopify.com/s/files/1/0918/6066/4603/files/a970258589f44d1f112b7081c9c22ebb.jpg?v=1772972156","Open")</x:f>
        <x:v>HYPERLINK is not implemented. linkLocation=https://cdn.shopify.com/s/files/1/0918/6066/4603/files/a970258589f44d1f112b7081c9c22ebb.jpg?v=1772972156, friendlyName=Open</x:v>
      </x:c>
      <x:c r="C7510" s="24" t="e">
        <x:f>HYPERLINK("https://365nails.com/products/embossed-space-cats-cute-3d-nail-art-set","Embossed Space Cats – Cute 3D Nail Art Set")</x:f>
        <x:v>HYPERLINK is not implemented. linkLocation=https://365nails.com/products/embossed-space-cats-cute-3d-nail-art-set, friendlyName=Embossed Space Cats – Cute 3D Nail Art Set</x:v>
      </x:c>
      <x:c r="D7510" s="18" t="str">
        <x:v>Specification type: To3273</x:v>
      </x:c>
      <x:c r="E7510" s="25" t="str">
        <x:v>$1.23</x:v>
      </x:c>
      <x:c r="F7510" s="19" t="str">
        <x:v>5</x:v>
      </x:c>
    </x:row>
    <x:row r="7511" ht="93" customHeight="1">
      <x:c r="A7511" s="19" t="n">
        <x:v>7508</x:v>
      </x:c>
      <x:c r="B7511" s="22" t="e">
        <x:f>HYPERLINK("https://cdn.shopify.com/s/files/1/0918/6066/4603/files/O1CN01ckcs6T1HlWziVM2o7__2545140798-0-cib.jpg?v=1773633404","Open")</x:f>
        <x:v>HYPERLINK is not implemented. linkLocation=https://cdn.shopify.com/s/files/1/0918/6066/4603/files/O1CN01ckcs6T1HlWziVM2o7__2545140798-0-cib.jpg?v=1773633404, friendlyName=Open</x:v>
      </x:c>
      <x:c r="C7511" s="24" t="e">
        <x:f>HYPERLINK("https://365nails.com/products/golden-bamboo-panda-oriental-serenity-5d-metallic-nail-sticker","Golden Bamboo &amp; Panda: ""Oriental Serenity"" – 5D Metallic Nail Sticker")</x:f>
        <x:v>HYPERLINK is not implemented. linkLocation=https://365nails.com/products/golden-bamboo-panda-oriental-serenity-5d-metallic-nail-sticker, friendlyName=Golden Bamboo &amp; Panda: "Oriental Serenity" – 5D Metallic Nail Sticker</x:v>
      </x:c>
      <x:c r="D7511" s="18" t="str">
        <x:v>Specification type: To3812-laser powder / To3812-new hot stamping / To3812-silver / To3812-green gold</x:v>
      </x:c>
      <x:c r="E7511" s="25" t="str">
        <x:v>$1.23</x:v>
      </x:c>
      <x:c r="F7511" s="19" t="str">
        <x:v>5</x:v>
      </x:c>
    </x:row>
    <x:row r="7512" ht="93" customHeight="1">
      <x:c r="A7512" s="19" t="n">
        <x:v>7509</x:v>
      </x:c>
      <x:c r="B7512" s="22" t="e">
        <x:f>HYPERLINK("https://cdn.shopify.com/s/files/1/0918/6066/4603/files/O1CN013jkvXy1HlWqKPnIa0__2545140798-0-cib.jpg?v=1772970508","Open")</x:f>
        <x:v>HYPERLINK is not implemented. linkLocation=https://cdn.shopify.com/s/files/1/0918/6066/4603/files/O1CN013jkvXy1HlWqKPnIa0__2545140798-0-cib.jpg?v=1772970508, friendlyName=Open</x:v>
      </x:c>
      <x:c r="C7512" s="24" t="e">
        <x:f>HYPERLINK("https://365nails.com/products/gothic-baroque-white-ornate-nail-art-set","Gothic Baroque White – Ornate Nail Art Set")</x:f>
        <x:v>HYPERLINK is not implemented. linkLocation=https://365nails.com/products/gothic-baroque-white-ornate-nail-art-set, friendlyName=Gothic Baroque White – Ornate Nail Art Set</x:v>
      </x:c>
      <x:c r="D7512" s="18" t="str">
        <x:v>Specification type: To2245</x:v>
      </x:c>
      <x:c r="E7512" s="25" t="str">
        <x:v>$1.23</x:v>
      </x:c>
      <x:c r="F7512" s="19" t="str">
        <x:v>5</x:v>
      </x:c>
    </x:row>
    <x:row r="7513" ht="93" customHeight="1">
      <x:c r="A7513" s="19" t="n">
        <x:v>7510</x:v>
      </x:c>
      <x:c r="B7513" s="22" t="e">
        <x:f>HYPERLINK("https://cdn.shopify.com/s/files/1/0918/6066/4603/files/4b6f261c120c595039ad3ec4d34fed79.jpg?v=1772971305","Open")</x:f>
        <x:v>HYPERLINK is not implemented. linkLocation=https://cdn.shopify.com/s/files/1/0918/6066/4603/files/4b6f261c120c595039ad3ec4d34fed79.jpg?v=1772971305, friendlyName=Open</x:v>
      </x:c>
      <x:c r="C7513" s="24" t="e">
        <x:f>HYPERLINK("https://365nails.com/products/space-bear-adventure-cute-cartoon-nail-art-set","Space Bear Adventure – Cute Cartoon Nail Art Set")</x:f>
        <x:v>HYPERLINK is not implemented. linkLocation=https://365nails.com/products/space-bear-adventure-cute-cartoon-nail-art-set, friendlyName=Space Bear Adventure – Cute Cartoon Nail Art Set</x:v>
      </x:c>
      <x:c r="D7513" s="18" t="str">
        <x:v>Specification type: To2416 / To2433</x:v>
      </x:c>
      <x:c r="E7513" s="25" t="str">
        <x:v>$1.23</x:v>
      </x:c>
      <x:c r="F7513" s="19" t="str">
        <x:v>5</x:v>
      </x:c>
    </x:row>
    <x:row r="7514" ht="93" customHeight="1">
      <x:c r="A7514" s="19" t="n">
        <x:v>7511</x:v>
      </x:c>
      <x:c r="B7514" s="22" t="e">
        <x:f>HYPERLINK("https://cdn.shopify.com/s/files/1/0918/6066/4603/files/O1CN01jMFc5e1HlWxFoXAZB__2545140798-0-cib.jpg?v=1774012071","Open")</x:f>
        <x:v>HYPERLINK is not implemented. linkLocation=https://cdn.shopify.com/s/files/1/0918/6066/4603/files/O1CN01jMFc5e1HlWxFoXAZB__2545140798-0-cib.jpg?v=1774012071, friendlyName=Open</x:v>
      </x:c>
      <x:c r="C7514" s="24" t="e">
        <x:f>HYPERLINK("https://365nails.com/products/shell-shine-peacock-oriental-floral-elegant-peacock-feather-5d-embossed-nail-sticker","Shell-Shine Peacock &amp; Oriental Floral: ""Elegant Peacock Feather"" – 5D Embossed Nail Sticker")</x:f>
        <x:v>HYPERLINK is not implemented. linkLocation=https://365nails.com/products/shell-shine-peacock-oriental-floral-elegant-peacock-feather-5d-embossed-nail-sticker, friendlyName=Shell-Shine Peacock &amp; Oriental Floral: "Elegant Peacock Feather" – 5D Embossed Nail Sticker</x:v>
      </x:c>
      <x:c r="D7514" s="18" t="str">
        <x:v>Specification type: To3407</x:v>
      </x:c>
      <x:c r="E7514" s="25" t="str">
        <x:v>$1.23</x:v>
      </x:c>
      <x:c r="F7514" s="19" t="str">
        <x:v>5</x:v>
      </x:c>
    </x:row>
    <x:row r="7515" ht="93" customHeight="1">
      <x:c r="A7515" s="19" t="n">
        <x:v>7512</x:v>
      </x:c>
      <x:c r="B7515" s="22" t="e">
        <x:f>HYPERLINK("https://cdn.shopify.com/s/files/1/0918/6066/4603/files/O1CN01a946941HlX0luVo1e__2545140798-0-cib.jpg?v=1773666223","Open")</x:f>
        <x:v>HYPERLINK is not implemented. linkLocation=https://cdn.shopify.com/s/files/1/0918/6066/4603/files/O1CN01a946941HlX0luVo1e__2545140798-0-cib.jpg?v=1773666223, friendlyName=Open</x:v>
      </x:c>
      <x:c r="C7515" s="24" t="e">
        <x:f>HYPERLINK("https://365nails.com/products/kawaii-puppy-floral-puppy-garden-picnic-5d-embossed-nail-sticker","Kawaii Puppy &amp; Floral: ""Puppy Garden Picnic"" – 5D Embossed Nail Sticker")</x:f>
        <x:v>HYPERLINK is not implemented. linkLocation=https://365nails.com/products/kawaii-puppy-floral-puppy-garden-picnic-5d-embossed-nail-sticker, friendlyName=Kawaii Puppy &amp; Floral: "Puppy Garden Picnic" – 5D Embossed Nail Sticker</x:v>
      </x:c>
      <x:c r="D7515" s="18" t="str">
        <x:v>Specification type: Mc11-relief / Mc13-relief / Mc14-shell light</x:v>
      </x:c>
      <x:c r="E7515" s="25" t="str">
        <x:v>$1.30</x:v>
      </x:c>
      <x:c r="F7515" s="19" t="str">
        <x:v>5</x:v>
      </x:c>
    </x:row>
    <x:row r="7516" ht="93" customHeight="1">
      <x:c r="A7516" s="19" t="n">
        <x:v>7513</x:v>
      </x:c>
      <x:c r="B7516" s="22" t="e">
        <x:f>HYPERLINK("https://cdn.shopify.com/s/files/1/0918/6066/4603/files/O1CN01r8eUWB1HlX3CFkpfY__2545140798-0-cib_972e6dc5-5ac8-4bea-8c06-6b9a0d2d34b0.jpg?v=1774018122","Open")</x:f>
        <x:v>HYPERLINK is not implemented. linkLocation=https://cdn.shopify.com/s/files/1/0918/6066/4603/files/O1CN01r8eUWB1HlX3CFkpfY__2545140798-0-cib_972e6dc5-5ac8-4bea-8c06-6b9a0d2d34b0.jpg?v=1774018122, friendlyName=Open</x:v>
      </x:c>
      <x:c r="C7516" s="24" t="e">
        <x:f>HYPERLINK("https://365nails.com/products/multicolor-realistic-butterfly-nail-sticker-set-butterfly-garden-collection","Multicolor Realistic Butterfly Nail Sticker Set – ""Butterfly Garden Collection""")</x:f>
        <x:v>HYPERLINK is not implemented. linkLocation=https://365nails.com/products/multicolor-realistic-butterfly-nail-sticker-set-butterfly-garden-collection, friendlyName=Multicolor Realistic Butterfly Nail Sticker Set – "Butterfly Garden Collection"</x:v>
      </x:c>
      <x:c r="D7516" s="18" t="str">
        <x:v>Specification type: Wy38-1-relief / Wy53-shell light</x:v>
      </x:c>
      <x:c r="E7516" s="25" t="str">
        <x:v>$1.23</x:v>
      </x:c>
      <x:c r="F7516" s="19" t="str">
        <x:v>5</x:v>
      </x:c>
    </x:row>
    <x:row r="7517" ht="93" customHeight="1">
      <x:c r="A7517" s="19" t="n">
        <x:v>7514</x:v>
      </x:c>
      <x:c r="B7517" s="22" t="e">
        <x:f>HYPERLINK("https://cdn.shopify.com/s/files/1/0918/6066/4603/files/O1CN01Hy1f4l1HlX7GrDWah__2545140798-0-cib.jpg?v=1773756729","Open")</x:f>
        <x:v>HYPERLINK is not implemented. linkLocation=https://cdn.shopify.com/s/files/1/0918/6066/4603/files/O1CN01Hy1f4l1HlX7GrDWah__2545140798-0-cib.jpg?v=1773756729, friendlyName=Open</x:v>
      </x:c>
      <x:c r="C7517" s="24" t="e">
        <x:f>HYPERLINK("https://365nails.com/products/gold-hand-painted-floral-elegant-golden-orchid-5d-embossed-nail-sticker","Gold Hand-Painted Floral: ""Elegant Golden Orchid"" – 5D Embossed Nail Sticker")</x:f>
        <x:v>HYPERLINK is not implemented. linkLocation=https://365nails.com/products/gold-hand-painted-floral-elegant-golden-orchid-5d-embossed-nail-sticker, friendlyName=Gold Hand-Painted Floral: "Elegant Golden Orchid" – 5D Embossed Nail Sticker</x:v>
      </x:c>
      <x:c r="D7517" s="18" t="str">
        <x:v>Specification type: To4478-new hot stamping / To4478-laser powder / To4478-rose gold / To4478-silver</x:v>
      </x:c>
      <x:c r="E7517" s="25" t="str">
        <x:v>$1.23</x:v>
      </x:c>
      <x:c r="F7517" s="19" t="str">
        <x:v>5</x:v>
      </x:c>
    </x:row>
    <x:row r="7518" ht="93" customHeight="1">
      <x:c r="A7518" s="19" t="n">
        <x:v>7515</x:v>
      </x:c>
      <x:c r="B7518" s="22" t="e">
        <x:f>HYPERLINK("https://cdn.shopify.com/s/files/1/0918/6066/4603/files/O1CN01RTB7011HlWwoDaevY__2545140798-0-cib.jpg?v=1772972416","Open")</x:f>
        <x:v>HYPERLINK is not implemented. linkLocation=https://cdn.shopify.com/s/files/1/0918/6066/4603/files/O1CN01RTB7011HlWwoDaevY__2545140798-0-cib.jpg?v=1772972416, friendlyName=Open</x:v>
      </x:c>
      <x:c r="C7518" s="24" t="e">
        <x:f>HYPERLINK("https://365nails.com/products/cosmic-love-doodle-cute-valentines-nail-art-set","Cosmic Love Doodle – Cute Valentine's Nail Art Set")</x:f>
        <x:v>HYPERLINK is not implemented. linkLocation=https://365nails.com/products/cosmic-love-doodle-cute-valentines-nail-art-set, friendlyName=Cosmic Love Doodle – Cute Valentine's Nail Art Set</x:v>
      </x:c>
      <x:c r="D7518" s="18" t="str">
        <x:v>Specification type: To1740 / To2122 / To2417 / To1718 / To1575 / To2328</x:v>
      </x:c>
      <x:c r="E7518" s="25" t="str">
        <x:v>$1.23</x:v>
      </x:c>
      <x:c r="F7518" s="19" t="str">
        <x:v>5</x:v>
      </x:c>
    </x:row>
    <x:row r="7519" ht="93" customHeight="1">
      <x:c r="A7519" s="19" t="n">
        <x:v>7516</x:v>
      </x:c>
      <x:c r="B7519" s="22" t="e">
        <x:f>HYPERLINK("https://cdn.shopify.com/s/files/1/0918/6066/4603/files/O1CN01njg9Eo1HlX5pnuXvE__2545140798-0-cib.jpg?v=1773637282","Open")</x:f>
        <x:v>HYPERLINK is not implemented. linkLocation=https://cdn.shopify.com/s/files/1/0918/6066/4603/files/O1CN01njg9Eo1HlX5pnuXvE__2545140798-0-cib.jpg?v=1773637282, friendlyName=Open</x:v>
      </x:c>
      <x:c r="C7519" s="24" t="e">
        <x:f>HYPERLINK("https://365nails.com/products/crystal-floral-frame-pastel-garden-5d-crystal-diamond-nail-sticker","Crystal Floral Frame: ""Pastel Garden"" – 5D Crystal Diamond Nail Sticker")</x:f>
        <x:v>HYPERLINK is not implemented. linkLocation=https://365nails.com/products/crystal-floral-frame-pastel-garden-5d-crystal-diamond-nail-sticker, friendlyName=Crystal Floral Frame: "Pastel Garden" – 5D Crystal Diamond Nail Sticker</x:v>
      </x:c>
      <x:c r="D7519" s="18" t="str">
        <x:v>Specification type: To4949-crystal diamond</x:v>
      </x:c>
      <x:c r="E7519" s="25" t="str">
        <x:v>$1.30</x:v>
      </x:c>
      <x:c r="F7519" s="19" t="str">
        <x:v>5</x:v>
      </x:c>
    </x:row>
    <x:row r="7520" ht="93" customHeight="1">
      <x:c r="A7520" s="19" t="n">
        <x:v>7517</x:v>
      </x:c>
      <x:c r="B7520" s="22" t="e">
        <x:f>HYPERLINK("https://cdn.shopify.com/s/files/1/0918/6066/4603/files/fb97445c574a5ababa2c95b26d5c6730.jpg?v=1773146601","Open")</x:f>
        <x:v>HYPERLINK is not implemented. linkLocation=https://cdn.shopify.com/s/files/1/0918/6066/4603/files/fb97445c574a5ababa2c95b26d5c6730.jpg?v=1773146601, friendlyName=Open</x:v>
      </x:c>
      <x:c r="C7520" s="24" t="e">
        <x:f>HYPERLINK("https://365nails.com/products/crystal-lace-butterfly-bridal-nail-art-set","Crystal Lace Butterfly – Bridal Nail Art Stickers")</x:f>
        <x:v>HYPERLINK is not implemented. linkLocation=https://365nails.com/products/crystal-lace-butterfly-bridal-nail-art-set, friendlyName=Crystal Lace Butterfly – Bridal Nail Art Stickers</x:v>
      </x:c>
      <x:c r="D7520" s="18" t="str">
        <x:v>Specification type: To3801-crystal diamond / To3802-crystal diamond</x:v>
      </x:c>
      <x:c r="E7520" s="25" t="str">
        <x:v>$1.30</x:v>
      </x:c>
      <x:c r="F7520" s="19" t="str">
        <x:v>5</x:v>
      </x:c>
    </x:row>
    <x:row r="7521" ht="93" customHeight="1">
      <x:c r="A7521" s="19" t="n">
        <x:v>7518</x:v>
      </x:c>
      <x:c r="B7521" s="22" t="e">
        <x:f>HYPERLINK("https://cdn.shopify.com/s/files/1/0918/6066/4603/files/O1CN01eTpJZ81HlX094Bplq__2545140798-0-cib_0c8d65be-344d-4a70-bfd9-946fdd57e65b.jpg?v=1773929585","Open")</x:f>
        <x:v>HYPERLINK is not implemented. linkLocation=https://cdn.shopify.com/s/files/1/0918/6066/4603/files/O1CN01eTpJZ81HlX094Bplq__2545140798-0-cib_0c8d65be-344d-4a70-bfd9-946fdd57e65b.jpg?v=1773929585, friendlyName=Open</x:v>
      </x:c>
      <x:c r="C7521" s="24" t="e">
        <x:f>HYPERLINK("https://365nails.com/products/purple-wildflower-daisy-meadow-bloom-5d-embossed-nail-sticker","Purple Wildflower &amp; Daisy: ""Meadow Bloom"" – 5D Embossed Nail Sticker")</x:f>
        <x:v>HYPERLINK is not implemented. linkLocation=https://365nails.com/products/purple-wildflower-daisy-meadow-bloom-5d-embossed-nail-sticker, friendlyName=Purple Wildflower &amp; Daisy: "Meadow Bloom" – 5D Embossed Nail Sticker</x:v>
      </x:c>
      <x:c r="D7521" s="18" t="str">
        <x:v>Specification type: To3836 / To3837</x:v>
      </x:c>
      <x:c r="E7521" s="25" t="str">
        <x:v>$1.23</x:v>
      </x:c>
      <x:c r="F7521" s="19" t="str">
        <x:v>5</x:v>
      </x:c>
    </x:row>
    <x:row r="7522" ht="93" customHeight="1">
      <x:c r="A7522" s="19" t="n">
        <x:v>7519</x:v>
      </x:c>
      <x:c r="B7522" s="22" t="e">
        <x:f>HYPERLINK("https://cdn.shopify.com/s/files/1/0918/6066/4603/files/O1CN010Kc76H1HlX7FfqnLK__2545140798-0-cib.jpg?v=1773649942","Open")</x:f>
        <x:v>HYPERLINK is not implemented. linkLocation=https://cdn.shopify.com/s/files/1/0918/6066/4603/files/O1CN010Kc76H1HlX7FfqnLK__2545140798-0-cib.jpg?v=1773649942, friendlyName=Open</x:v>
      </x:c>
      <x:c r="C7522" s="24" t="e">
        <x:f>HYPERLINK("https://365nails.com/products/ocean-treasures-seaside-glow-5d-metallic-nail-sticker","Ocean Treasures: ""Seaside Glow"" – 5D Metallic Nail Sticker")</x:f>
        <x:v>HYPERLINK is not implemented. linkLocation=https://365nails.com/products/ocean-treasures-seaside-glow-5d-metallic-nail-sticker, friendlyName=Ocean Treasures: "Seaside Glow" – 5D Metallic Nail Sticker</x:v>
      </x:c>
      <x:c r="D7522" s="18" t="str">
        <x:v>Specification type: To5120-metal</x:v>
      </x:c>
      <x:c r="E7522" s="25" t="str">
        <x:v>$1.23</x:v>
      </x:c>
      <x:c r="F7522" s="19" t="str">
        <x:v>5</x:v>
      </x:c>
    </x:row>
    <x:row r="7523" ht="93" customHeight="1">
      <x:c r="A7523" s="19" t="n">
        <x:v>7520</x:v>
      </x:c>
      <x:c r="B7523" s="22" t="e">
        <x:f>HYPERLINK("https://cdn.shopify.com/s/files/1/0918/6066/4603/files/O1CN01zyEeZm1HlXAkD5YvH__2545140798-0-cib.jpg?v=1773633141","Open")</x:f>
        <x:v>HYPERLINK is not implemented. linkLocation=https://cdn.shopify.com/s/files/1/0918/6066/4603/files/O1CN01zyEeZm1HlXAkD5YvH__2545140798-0-cib.jpg?v=1773633141, friendlyName=Open</x:v>
      </x:c>
      <x:c r="C7523" s="24" t="e">
        <x:f>HYPERLINK("https://365nails.com/products/strawberry-bow-sweet-strawberry-5d-embossed-nail-sticker","Strawberry &amp; Bow: ""Sweet Strawberry"" – 5D Embossed Nail Sticker")</x:f>
        <x:v>HYPERLINK is not implemented. linkLocation=https://365nails.com/products/strawberry-bow-sweet-strawberry-5d-embossed-nail-sticker, friendlyName=Strawberry &amp; Bow: "Sweet Strawberry" – 5D Embossed Nail Sticker</x:v>
      </x:c>
      <x:c r="D7523" s="18" t="str">
        <x:v>Specification type: To5528-relief / To5534-relief</x:v>
      </x:c>
      <x:c r="E7523" s="25" t="str">
        <x:v>$1.23</x:v>
      </x:c>
      <x:c r="F7523" s="19" t="str">
        <x:v>5</x:v>
      </x:c>
    </x:row>
    <x:row r="7524" ht="93" customHeight="1">
      <x:c r="A7524" s="19" t="n">
        <x:v>7521</x:v>
      </x:c>
      <x:c r="B7524" s="22" t="e">
        <x:f>HYPERLINK("https://cdn.shopify.com/s/files/1/0918/6066/4603/files/O1CN01a5MSXB1HlWqqqo9Js__2545140798-0-cib.jpg?v=1773146763","Open")</x:f>
        <x:v>HYPERLINK is not implemented. linkLocation=https://cdn.shopify.com/s/files/1/0918/6066/4603/files/O1CN01a5MSXB1HlWqqqo9Js__2545140798-0-cib.jpg?v=1773146763, friendlyName=Open</x:v>
      </x:c>
      <x:c r="C7524" s="24" t="e">
        <x:f>HYPERLINK("https://365nails.com/products/monochrome-starry-y2k-cool-nail-art-set","Monochrome Starry – Y2K Cool Nail Art Stickers")</x:f>
        <x:v>HYPERLINK is not implemented. linkLocation=https://365nails.com/products/monochrome-starry-y2k-cool-nail-art-set, friendlyName=Monochrome Starry – Y2K Cool Nail Art Stickers</x:v>
      </x:c>
      <x:c r="D7524" s="18" t="str">
        <x:v>Specification type: To2246-thin tough / To2465-relief / To2466 laser silver / To2466 new hot stamping / To2466 silver</x:v>
      </x:c>
      <x:c r="E7524" s="25" t="str">
        <x:v>$1.23</x:v>
      </x:c>
      <x:c r="F7524" s="19" t="str">
        <x:v>5</x:v>
      </x:c>
    </x:row>
    <x:row r="7525" ht="93" customHeight="1">
      <x:c r="A7525" s="19" t="n">
        <x:v>7522</x:v>
      </x:c>
      <x:c r="B7525" s="22" t="e">
        <x:f>HYPERLINK("https://cdn.shopify.com/s/files/1/0918/6066/4603/files/81ccb0e8325977f31beb534c980aada0.jpg?v=1772956013","Open")</x:f>
        <x:v>HYPERLINK is not implemented. linkLocation=https://cdn.shopify.com/s/files/1/0918/6066/4603/files/81ccb0e8325977f31beb534c980aada0.jpg?v=1772956013, friendlyName=Open</x:v>
      </x:c>
      <x:c r="C7525" s="24" t="e">
        <x:f>HYPERLINK("https://365nails.com/products/susuwatari-sprites-whimsical-ghibli-nail-art-set","Susuwatari Sprites – Whimsical Ghibli Nail Art Set")</x:f>
        <x:v>HYPERLINK is not implemented. linkLocation=https://365nails.com/products/susuwatari-sprites-whimsical-ghibli-nail-art-set, friendlyName=Susuwatari Sprites – Whimsical Ghibli Nail Art Set</x:v>
      </x:c>
      <x:c r="D7525" s="18" t="str">
        <x:v>Specification type: To 1998</x:v>
      </x:c>
      <x:c r="E7525" s="25" t="str">
        <x:v>$1.23</x:v>
      </x:c>
      <x:c r="F7525" s="19" t="str">
        <x:v>5</x:v>
      </x:c>
    </x:row>
    <x:row r="7526" ht="93" customHeight="1">
      <x:c r="A7526" s="19" t="n">
        <x:v>7523</x:v>
      </x:c>
      <x:c r="B7526" s="22" t="e">
        <x:f>HYPERLINK("https://cdn.shopify.com/s/files/1/0918/6066/4603/files/O1CN01hNWOur1HlWzCo6OIX__2545140798-0-cib_29a7f01b-b314-4f04-b81e-a4075c2a4846.jpg?v=1773844185","Open")</x:f>
        <x:v>HYPERLINK is not implemented. linkLocation=https://cdn.shopify.com/s/files/1/0918/6066/4603/files/O1CN01hNWOur1HlWzCo6OIX__2545140798-0-cib_29a7f01b-b314-4f04-b81e-a4075c2a4846.jpg?v=1773844185, friendlyName=Open</x:v>
      </x:c>
      <x:c r="C7526" s="24" t="e">
        <x:f>HYPERLINK("https://365nails.com/products/red-heart-wave-sweet-love-heart-5d-embossed-nail-sticker","Red Heart Wave: ""Sweet Love Heart"" – 5D Embossed Nail Sticker")</x:f>
        <x:v>HYPERLINK is not implemented. linkLocation=https://365nails.com/products/red-heart-wave-sweet-love-heart-5d-embossed-nail-sticker, friendlyName=Red Heart Wave: "Sweet Love Heart" – 5D Embossed Nail Sticker</x:v>
      </x:c>
      <x:c r="D7526" s="18" t="str">
        <x:v>Specification type: Ta287-red gold</x:v>
      </x:c>
      <x:c r="E7526" s="25" t="str">
        <x:v>$1.23</x:v>
      </x:c>
      <x:c r="F7526" s="19" t="str">
        <x:v>5</x:v>
      </x:c>
    </x:row>
    <x:row r="7527" ht="93" customHeight="1">
      <x:c r="A7527" s="19" t="n">
        <x:v>7524</x:v>
      </x:c>
      <x:c r="B7527" s="22" t="e">
        <x:f>HYPERLINK("https://cdn.shopify.com/s/files/1/0918/6066/4603/files/O1CN018jeaLV1HlX3BU0ft3__2545140798-0-cib.jpg?v=1773756550","Open")</x:f>
        <x:v>HYPERLINK is not implemented. linkLocation=https://cdn.shopify.com/s/files/1/0918/6066/4603/files/O1CN018jeaLV1HlX3BU0ft3__2545140798-0-cib.jpg?v=1773756550, friendlyName=Open</x:v>
      </x:c>
      <x:c r="C7527" s="24" t="e">
        <x:f>HYPERLINK("https://365nails.com/products/pastel-starry-sky-dreamy-pastel-star-cluster-5d-embossed-nail-sticker","Pastel Starry Sky: ""Dreamy Pastel Star Cluster"" – 5D Embossed Nail Sticker")</x:f>
        <x:v>HYPERLINK is not implemented. linkLocation=https://365nails.com/products/pastel-starry-sky-dreamy-pastel-star-cluster-5d-embossed-nail-sticker, friendlyName=Pastel Starry Sky: "Dreamy Pastel Star Cluster" – 5D Embossed Nail Sticker</x:v>
      </x:c>
      <x:c r="D7527" s="18" t="str">
        <x:v>Specification type: To4395 / To4448</x:v>
      </x:c>
      <x:c r="E7527" s="25" t="str">
        <x:v>$1.09</x:v>
      </x:c>
      <x:c r="F7527" s="19" t="str">
        <x:v>5</x:v>
      </x:c>
    </x:row>
    <x:row r="7528" ht="93" customHeight="1">
      <x:c r="A7528" s="19" t="n">
        <x:v>7525</x:v>
      </x:c>
      <x:c r="B7528" s="22" t="e">
        <x:f>HYPERLINK("https://cdn.shopify.com/s/files/1/0918/6066/4603/files/O1CN01Ozv51d1HlWqu43DxF__2545140798-0-cib.jpg?v=1773650505","Open")</x:f>
        <x:v>HYPERLINK is not implemented. linkLocation=https://cdn.shopify.com/s/files/1/0918/6066/4603/files/O1CN01Ozv51d1HlWqu43DxF__2545140798-0-cib.jpg?v=1773650505, friendlyName=Open</x:v>
      </x:c>
      <x:c r="C7528" s="24" t="e">
        <x:f>HYPERLINK("https://365nails.com/products/holographic-butterfly-iridescent-fantasy-5d-embossed-nail-sticker","Holographic Butterfly: ""Iridescent Fantasy"" – 5D Embossed Nail Sticker")</x:f>
        <x:v>HYPERLINK is not implemented. linkLocation=https://365nails.com/products/holographic-butterfly-iridescent-fantasy-5d-embossed-nail-sticker, friendlyName=Holographic Butterfly: "Iridescent Fantasy" – 5D Embossed Nail Sticker</x:v>
      </x:c>
      <x:c r="D7528" s="18" t="str">
        <x:v>Specification type: To2559 laser silver / To2559 new hot stamping / To2559silver / To2558-thin tough</x:v>
      </x:c>
      <x:c r="E7528" s="25" t="str">
        <x:v>$1.09</x:v>
      </x:c>
      <x:c r="F7528" s="19" t="str">
        <x:v>5</x:v>
      </x:c>
    </x:row>
    <x:row r="7529" ht="93" customHeight="1">
      <x:c r="A7529" s="19" t="n">
        <x:v>7526</x:v>
      </x:c>
      <x:c r="B7529" s="22" t="e">
        <x:f>HYPERLINK("https://cdn.shopify.com/s/files/1/0918/6066/4603/files/O1CN01mz5GjH1HlX4k9WpBC__2545140798-0-cib_a7fe66e8-ebf3-4607-8c9c-8869b6e6e567.jpg?v=1774070925","Open")</x:f>
        <x:v>HYPERLINK is not implemented. linkLocation=https://cdn.shopify.com/s/files/1/0918/6066/4603/files/O1CN01mz5GjH1HlX4k9WpBC__2545140798-0-cib_a7fe66e8-ebf3-4607-8c9c-8869b6e6e567.jpg?v=1774070925, friendlyName=Open</x:v>
      </x:c>
      <x:c r="C7529" s="24" t="e">
        <x:f>HYPERLINK("https://365nails.com/products/glitter-crescent-french-tip-nail-sticker-set-sparkle-french-tip","Glitter Crescent French Tip Nail Sticker Set – ""Sparkle French Tip""")</x:f>
        <x:v>HYPERLINK is not implemented. linkLocation=https://365nails.com/products/glitter-crescent-french-tip-nail-sticker-set-sparkle-french-tip, friendlyName=Glitter Crescent French Tip Nail Sticker Set – "Sparkle French Tip"</x:v>
      </x:c>
      <x:c r="D7529" s="18" t="str">
        <x:v>Specification type: To4780-laser silver / To4780-glitter / To4780-flash silver / To4780-flash purple / To4780-new hot stamping / To4780-silver / To4780-laser powder</x:v>
      </x:c>
      <x:c r="E7529" s="25" t="str">
        <x:v>$1.23</x:v>
      </x:c>
      <x:c r="F7529" s="19" t="str">
        <x:v>5</x:v>
      </x:c>
    </x:row>
    <x:row r="7530" ht="93" customHeight="1">
      <x:c r="A7530" s="19" t="n">
        <x:v>7527</x:v>
      </x:c>
      <x:c r="B7530" s="22" t="e">
        <x:f>HYPERLINK("https://cdn.shopify.com/s/files/1/0918/6066/4603/files/O1CN01xYtOBz1HlX99Y4f3d__2545140798-0-cib.jpg?v=1773650424","Open")</x:f>
        <x:v>HYPERLINK is not implemented. linkLocation=https://cdn.shopify.com/s/files/1/0918/6066/4603/files/O1CN01xYtOBz1HlX99Y4f3d__2545140798-0-cib.jpg?v=1773650424, friendlyName=Open</x:v>
      </x:c>
      <x:c r="C7530" s="24" t="e">
        <x:f>HYPERLINK("https://365nails.com/products/ink-bamboo-calligraphy-elegant-ink-wash-5d-embossed-nail-sticker","Ink Bamboo &amp; Calligraphy: ""Elegant Ink Wash"" – 5D Embossed Nail Sticker")</x:f>
        <x:v>HYPERLINK is not implemented. linkLocation=https://365nails.com/products/ink-bamboo-calligraphy-elegant-ink-wash-5d-embossed-nail-sticker, friendlyName=Ink Bamboo &amp; Calligraphy: "Elegant Ink Wash" – 5D Embossed Nail Sticker</x:v>
      </x:c>
      <x:c r="D7530" s="18" t="str">
        <x:v>Specification type: To5251 / To5307</x:v>
      </x:c>
      <x:c r="E7530" s="25" t="str">
        <x:v>$1.00</x:v>
      </x:c>
      <x:c r="F7530" s="19" t="str">
        <x:v>5</x:v>
      </x:c>
    </x:row>
    <x:row r="7531" ht="93" customHeight="1">
      <x:c r="A7531" s="19" t="n">
        <x:v>7528</x:v>
      </x:c>
      <x:c r="B7531" s="22" t="e">
        <x:f>HYPERLINK("https://cdn.shopify.com/s/files/1/0918/6066/4603/files/O1CN01iirt5i1HlX37kyRsM__2545140798-0-cib.jpg?v=1773745418","Open")</x:f>
        <x:v>HYPERLINK is not implemented. linkLocation=https://cdn.shopify.com/s/files/1/0918/6066/4603/files/O1CN01iirt5i1HlX37kyRsM__2545140798-0-cib.jpg?v=1773745418, friendlyName=Open</x:v>
      </x:c>
      <x:c r="C7531" s="24" t="e">
        <x:f>HYPERLINK("https://365nails.com/products/sunflower-daisy-floral-sunny-sunflower-field-5d-embossed-nail-sticker","Sunflower &amp; Daisy Floral: ""Sunny Sunflower Field"" – 5D Embossed Nail Sticker")</x:f>
        <x:v>HYPERLINK is not implemented. linkLocation=https://365nails.com/products/sunflower-daisy-floral-sunny-sunflower-field-5d-embossed-nail-sticker, friendlyName=Sunflower &amp; Daisy Floral: "Sunny Sunflower Field" – 5D Embossed Nail Sticker</x:v>
      </x:c>
      <x:c r="D7531" s="18" t="str">
        <x:v>Specification type: To355-1-relief / To4400-relief</x:v>
      </x:c>
      <x:c r="E7531" s="25" t="str">
        <x:v>$1.23</x:v>
      </x:c>
      <x:c r="F7531" s="19" t="str">
        <x:v>5</x:v>
      </x:c>
    </x:row>
    <x:row r="7532" ht="93" customHeight="1">
      <x:c r="A7532" s="19" t="n">
        <x:v>7529</x:v>
      </x:c>
      <x:c r="B7532" s="22" t="e">
        <x:f>HYPERLINK("https://cdn.shopify.com/s/files/1/0918/6066/4603/files/O1CN01FT47QF1HlWx5cDHI9__2545140798-0-cib.jpg?v=1773650932","Open")</x:f>
        <x:v>HYPERLINK is not implemented. linkLocation=https://cdn.shopify.com/s/files/1/0918/6066/4603/files/O1CN01FT47QF1HlWx5cDHI9__2545140798-0-cib.jpg?v=1773650932, friendlyName=Open</x:v>
      </x:c>
      <x:c r="C7532" s="24" t="e">
        <x:f>HYPERLINK("https://365nails.com/products/argyle-plaid-embossed-vintage-preppy-5d-embossed-nail-sticker","Argyle Plaid Embossed: ""Vintage Preppy"" – 5D Embossed Nail Sticker")</x:f>
        <x:v>HYPERLINK is not implemented. linkLocation=https://365nails.com/products/argyle-plaid-embossed-vintage-preppy-5d-embossed-nail-sticker, friendlyName=Argyle Plaid Embossed: "Vintage Preppy" – 5D Embossed Nail Sticker</x:v>
      </x:c>
      <x:c r="D7532" s="18" t="str">
        <x:v>Specification type: To3361-relief / To3362-new hot stamping / To3363-relief / To3364-new hot stamping / To3365-new hot stamping / To3366-relief / To2561-new hot stamping / To3436-relief / To3437-relief</x:v>
      </x:c>
      <x:c r="E7532" s="25" t="str">
        <x:v>$1.09</x:v>
      </x:c>
      <x:c r="F7532" s="19" t="str">
        <x:v>5</x:v>
      </x:c>
    </x:row>
    <x:row r="7533" ht="93" customHeight="1">
      <x:c r="A7533" s="19" t="n">
        <x:v>7530</x:v>
      </x:c>
      <x:c r="B7533" s="22" t="e">
        <x:f>HYPERLINK("https://cdn.shopify.com/s/files/1/0918/6066/4603/files/O1CN01dtbcsw1HlWwqz6YLt__2545140798-0-cib.jpg?v=1773633341","Open")</x:f>
        <x:v>HYPERLINK is not implemented. linkLocation=https://cdn.shopify.com/s/files/1/0918/6066/4603/files/O1CN01dtbcsw1HlWwqz6YLt__2545140798-0-cib.jpg?v=1773633341, friendlyName=Open</x:v>
      </x:c>
      <x:c r="C7533" s="24" t="e">
        <x:f>HYPERLINK("https://365nails.com/products/oriental-peacock-shell-blue-peacock-5d-shell-shine-nail-sticker","Oriental Peacock &amp; Shell: ""Blue Peacock"" – 5D Shell-Shine Nail Sticker")</x:f>
        <x:v>HYPERLINK is not implemented. linkLocation=https://365nails.com/products/oriental-peacock-shell-blue-peacock-5d-shell-shine-nail-sticker, friendlyName=Oriental Peacock &amp; Shell: "Blue Peacock" – 5D Shell-Shine Nail Sticker</x:v>
      </x:c>
      <x:c r="D7533" s="18" t="str">
        <x:v>Specification type: To3390 / To3391</x:v>
      </x:c>
      <x:c r="E7533" s="25" t="str">
        <x:v>$1.23</x:v>
      </x:c>
      <x:c r="F7533" s="19" t="str">
        <x:v>5</x:v>
      </x:c>
    </x:row>
    <x:row r="7534" ht="93" customHeight="1">
      <x:c r="A7534" s="19" t="n">
        <x:v>7531</x:v>
      </x:c>
      <x:c r="B7534" s="22" t="e">
        <x:f>HYPERLINK("https://cdn.shopify.com/s/files/1/0918/6066/4603/files/O1CN01QmZAO71HlX3hII7EG__2545140798-0-cib.jpg?v=1773653146","Open")</x:f>
        <x:v>HYPERLINK is not implemented. linkLocation=https://cdn.shopify.com/s/files/1/0918/6066/4603/files/O1CN01QmZAO71HlX3hII7EG__2545140798-0-cib.jpg?v=1773653146, friendlyName=Open</x:v>
      </x:c>
      <x:c r="C7534" s="24" t="e">
        <x:f>HYPERLINK("https://365nails.com/products/3d-gold-foil-snowflake-winter-wonderland-5d-embossed-nail-sticker","3D Gold Foil Snowflake: ""Winter Wonderland"" – 5D Embossed Nail Sticker")</x:f>
        <x:v>HYPERLINK is not implemented. linkLocation=https://365nails.com/products/3d-gold-foil-snowflake-winter-wonderland-5d-embossed-nail-sticker, friendlyName=3D Gold Foil Snowflake: "Winter Wonderland" – 5D Embossed Nail Sticker</x:v>
      </x:c>
      <x:c r="D7534" s="18" t="str">
        <x:v>Specification type: To207-new hot stamping / To207-silver / To2515-new hot stamping / To2515-silver / To2640-new hot stamping / To2640-silver</x:v>
      </x:c>
      <x:c r="E7534" s="25" t="str">
        <x:v>$1.23</x:v>
      </x:c>
      <x:c r="F7534" s="19" t="str">
        <x:v>5</x:v>
      </x:c>
    </x:row>
    <x:row r="7535" ht="93" customHeight="1">
      <x:c r="A7535" s="19" t="n">
        <x:v>7532</x:v>
      </x:c>
      <x:c r="B7535" s="22" t="e">
        <x:f>HYPERLINK("https://cdn.shopify.com/s/files/1/0918/6066/4603/files/O1CN01cllMV51HlWvJKXDke__2545140798-0-cib.jpg?v=1773653317","Open")</x:f>
        <x:v>HYPERLINK is not implemented. linkLocation=https://cdn.shopify.com/s/files/1/0918/6066/4603/files/O1CN01cllMV51HlWvJKXDke__2545140798-0-cib.jpg?v=1773653317, friendlyName=Open</x:v>
      </x:c>
      <x:c r="C7535" s="24" t="e">
        <x:f>HYPERLINK("https://365nails.com/products/pink-bow-crystal-grid-ballet-core-sweetheart-5d-embossed-nail-sticker","Pink Bow &amp; Crystal Grid: ""Ballet Core Sweetheart"" – 5D Embossed Nail Sticker")</x:f>
        <x:v>HYPERLINK is not implemented. linkLocation=https://365nails.com/products/pink-bow-crystal-grid-ballet-core-sweetheart-5d-embossed-nail-sticker, friendlyName=Pink Bow &amp; Crystal Grid: "Ballet Core Sweetheart" – 5D Embossed Nail Sticker</x:v>
      </x:c>
      <x:c r="D7535" s="18" t="str">
        <x:v>Specification type: To3182-crystal diamond / To3183-crystal diamond / To3184-crystal diamond / Ms399-crystal diamond / Ms405-crystal diamond / Ms410-crystal diamond</x:v>
      </x:c>
      <x:c r="E7535" s="25" t="str">
        <x:v>$1.30</x:v>
      </x:c>
      <x:c r="F7535" s="19" t="str">
        <x:v>5</x:v>
      </x:c>
    </x:row>
    <x:row r="7536" ht="93" customHeight="1">
      <x:c r="A7536" s="19" t="n">
        <x:v>7533</x:v>
      </x:c>
      <x:c r="B7536" s="22" t="e">
        <x:f>HYPERLINK("https://cdn.shopify.com/s/files/1/0918/6066/4603/files/O1CN01mRVa3I1HlX3iyVntb__2545140798-0-cib.jpg?v=1773652168","Open")</x:f>
        <x:v>HYPERLINK is not implemented. linkLocation=https://cdn.shopify.com/s/files/1/0918/6066/4603/files/O1CN01mRVa3I1HlX3iyVntb__2545140798-0-cib.jpg?v=1773652168, friendlyName=Open</x:v>
      </x:c>
      <x:c r="C7536" s="24" t="e">
        <x:f>HYPERLINK("https://365nails.com/products/dusty-rose-watercolor-rose-vintage-bridal-bouquet-5d-embossed-nail-sticker","Dusty Rose Watercolor Rose: ""Vintage Bridal Bouquet"" – 5D Embossed Nail Sticker")</x:f>
        <x:v>HYPERLINK is not implemented. linkLocation=https://365nails.com/products/dusty-rose-watercolor-rose-vintage-bridal-bouquet-5d-embossed-nail-sticker, friendlyName=Dusty Rose Watercolor Rose: "Vintage Bridal Bouquet" – 5D Embossed Nail Sticker</x:v>
      </x:c>
      <x:c r="D7536" s="18" t="str">
        <x:v>Specification type: Ms 706 / Ms 707</x:v>
      </x:c>
      <x:c r="E7536" s="25" t="str">
        <x:v>$1.09</x:v>
      </x:c>
      <x:c r="F7536" s="19" t="str">
        <x:v>5</x:v>
      </x:c>
    </x:row>
    <x:row r="7537" ht="93" customHeight="1">
      <x:c r="A7537" s="19" t="n">
        <x:v>7534</x:v>
      </x:c>
      <x:c r="B7537" s="22" t="e">
        <x:f>HYPERLINK("https://cdn.shopify.com/s/files/1/0918/6066/4603/files/O1CN01rcm2GZ1HlX8fIfwLs__2545140798-0-cib.jpg?v=1773650231","Open")</x:f>
        <x:v>HYPERLINK is not implemented. linkLocation=https://cdn.shopify.com/s/files/1/0918/6066/4603/files/O1CN01rcm2GZ1HlX8fIfwLs__2545140798-0-cib.jpg?v=1773650231, friendlyName=Open</x:v>
      </x:c>
      <x:c r="C7537" s="24" t="e">
        <x:f>HYPERLINK("https://365nails.com/products/winter-penguin-snowy-wonderland-5d-embossed-nail-sticker","Winter Penguin: ""Snowy Wonderland"" – 5D Embossed Nail Sticker")</x:f>
        <x:v>HYPERLINK is not implemented. linkLocation=https://365nails.com/products/winter-penguin-snowy-wonderland-5d-embossed-nail-sticker, friendlyName=Winter Penguin: "Snowy Wonderland" – 5D Embossed Nail Sticker</x:v>
      </x:c>
      <x:c r="D7537" s="18" t="str">
        <x:v>Specification type: To5245-relief / To5246-relief</x:v>
      </x:c>
      <x:c r="E7537" s="25" t="str">
        <x:v>$1.23</x:v>
      </x:c>
      <x:c r="F7537" s="19" t="str">
        <x:v>5</x:v>
      </x:c>
    </x:row>
    <x:row r="7538" ht="93" customHeight="1">
      <x:c r="A7538" s="19" t="n">
        <x:v>7535</x:v>
      </x:c>
      <x:c r="B7538" s="22" t="e">
        <x:f>HYPERLINK("https://cdn.shopify.com/s/files/1/0918/6066/4603/files/O1CN012hyY8q1HlWqWfrLzw__2545140798-0-cib.jpg?v=1772970247","Open")</x:f>
        <x:v>HYPERLINK is not implemented. linkLocation=https://cdn.shopify.com/s/files/1/0918/6066/4603/files/O1CN012hyY8q1HlWqWfrLzw__2545140798-0-cib.jpg?v=1772970247, friendlyName=Open</x:v>
      </x:c>
      <x:c r="C7538" s="24" t="e">
        <x:f>HYPERLINK("https://365nails.com/products/holographic-silver-wings-iridescent-nail-art-set","Holographic Silver Wings – Iridescent Nail Art Set")</x:f>
        <x:v>HYPERLINK is not implemented. linkLocation=https://365nails.com/products/holographic-silver-wings-iridescent-nail-art-set, friendlyName=Holographic Silver Wings – Iridescent Nail Art Set</x:v>
      </x:c>
      <x:c r="D7538" s="18" t="str">
        <x:v>Specification type: To2322-laser silver / To2322-new hot stamping / To2322-silver</x:v>
      </x:c>
      <x:c r="E7538" s="25" t="str">
        <x:v>$1.23</x:v>
      </x:c>
      <x:c r="F7538" s="19" t="str">
        <x:v>5</x:v>
      </x:c>
    </x:row>
    <x:row r="7539" ht="93" customHeight="1">
      <x:c r="A7539" s="19" t="n">
        <x:v>7536</x:v>
      </x:c>
      <x:c r="B7539" s="22" t="e">
        <x:f>HYPERLINK("https://cdn.shopify.com/s/files/1/0918/6066/4603/files/6fe8139b610e2a4623ffba96300ff4a7.jpg?v=1777554317","Open")</x:f>
        <x:v>HYPERLINK is not implemented. linkLocation=https://cdn.shopify.com/s/files/1/0918/6066/4603/files/6fe8139b610e2a4623ffba96300ff4a7.jpg?v=1777554317, friendlyName=Open</x:v>
      </x:c>
      <x:c r="C7539" s="24" t="e">
        <x:f>HYPERLINK("https://365nails.com/products/365nails-ivory-red-floral-handmade-medium-stiletto-press-on-nails","365nails: ""Ivory Red Floral"" – Handmade Medium Stiletto Press-On Nails")</x:f>
        <x:v>HYPERLINK is not implemented. linkLocation=https://365nails.com/products/365nails-ivory-red-floral-handmade-medium-stiletto-press-on-nails, friendlyName=365nails: "Ivory Red Floral" – Handmade Medium Stiletto Press-On Nails</x:v>
      </x:c>
      <x:c r="D7539" s="18" t="str">
        <x:v>Size: XS / S / M / L</x:v>
      </x:c>
      <x:c r="E7539" s="25" t="str">
        <x:v>$4.99</x:v>
      </x:c>
      <x:c r="F7539" s="19" t="str">
        <x:v>5</x:v>
      </x:c>
    </x:row>
    <x:row r="7540" ht="93" customHeight="1">
      <x:c r="A7540" s="19" t="n">
        <x:v>7537</x:v>
      </x:c>
      <x:c r="B7540" s="22" t="e">
        <x:f>HYPERLINK("https://cdn.shopify.com/s/files/1/0918/6066/4603/files/O1CN01nrbEZ21HlX33szPvA__2545140798-0-cib.jpg?v=1773652094","Open")</x:f>
        <x:v>HYPERLINK is not implemented. linkLocation=https://cdn.shopify.com/s/files/1/0918/6066/4603/files/O1CN01nrbEZ21HlX33szPvA__2545140798-0-cib.jpg?v=1773652094, friendlyName=Open</x:v>
      </x:c>
      <x:c r="C7540" s="24" t="e">
        <x:f>HYPERLINK("https://365nails.com/products/floral-bunny-garden-spring-bunny-picnic-5d-embossed-nail-sticker","Floral Bunny Garden: ""Spring Bunny Picnic"" – 5D Embossed Nail Sticker")</x:f>
        <x:v>HYPERLINK is not implemented. linkLocation=https://365nails.com/products/floral-bunny-garden-spring-bunny-picnic-5d-embossed-nail-sticker, friendlyName=Floral Bunny Garden: "Spring Bunny Picnic" – 5D Embossed Nail Sticker</x:v>
      </x:c>
      <x:c r="D7540" s="18" t="str">
        <x:v>Specification type: To4412-relief / To4413-shell light</x:v>
      </x:c>
      <x:c r="E7540" s="25" t="str">
        <x:v>$1.23</x:v>
      </x:c>
      <x:c r="F7540" s="19" t="str">
        <x:v>5</x:v>
      </x:c>
    </x:row>
    <x:row r="7541" ht="93" customHeight="1">
      <x:c r="A7541" s="19" t="n">
        <x:v>7538</x:v>
      </x:c>
      <x:c r="B7541" s="22" t="e">
        <x:f>HYPERLINK("https://cdn.shopify.com/s/files/1/0918/6066/4603/files/O1CN01iYycpx1HlWzDq029T__2545140798-0-cib.jpg?v=1773757742","Open")</x:f>
        <x:v>HYPERLINK is not implemented. linkLocation=https://cdn.shopify.com/s/files/1/0918/6066/4603/files/O1CN01iYycpx1HlWzDq029T__2545140798-0-cib.jpg?v=1773757742, friendlyName=Open</x:v>
      </x:c>
      <x:c r="C7541" s="24" t="e">
        <x:f>HYPERLINK("https://365nails.com/products/white-floral-crystal-diamond-ethereal-white-floral-5d-embossed-nail-sticker","White Floral Crystal-Diamond: ""Ethereal White Floral"" – 5D Embossed Nail Sticker")</x:f>
        <x:v>HYPERLINK is not implemented. linkLocation=https://365nails.com/products/white-floral-crystal-diamond-ethereal-white-floral-5d-embossed-nail-sticker, friendlyName=White Floral Crystal-Diamond: "Ethereal White Floral" – 5D Embossed Nail Sticker</x:v>
      </x:c>
      <x:c r="D7541" s="18" t="str">
        <x:v>Specification type: To3746-crystal diamond (pearl) / To3746-crystal diamond / To3768-crystal diamond</x:v>
      </x:c>
      <x:c r="E7541" s="25" t="str">
        <x:v>$1.30</x:v>
      </x:c>
      <x:c r="F7541" s="19" t="str">
        <x:v>5</x:v>
      </x:c>
    </x:row>
    <x:row r="7542" ht="93" customHeight="1">
      <x:c r="A7542" s="19" t="n">
        <x:v>7539</x:v>
      </x:c>
      <x:c r="B7542" s="22" t="e">
        <x:f>HYPERLINK("https://cdn.shopify.com/s/files/1/0918/6066/4603/files/O1CN01gNp30B1HlX99UBYz9__2545140798-0-cib.jpg?v=1773929176","Open")</x:f>
        <x:v>HYPERLINK is not implemented. linkLocation=https://cdn.shopify.com/s/files/1/0918/6066/4603/files/O1CN01gNp30B1HlX99UBYz9__2545140798-0-cib.jpg?v=1773929176, friendlyName=Open</x:v>
      </x:c>
      <x:c r="C7542" s="24" t="e">
        <x:f>HYPERLINK("https://365nails.com/products/gold-bamboo-leaf-elegant-green-bamboo-5d-embossed-nail-sticker","Gold Bamboo Leaf: ""Elegant Green Bamboo"" – 5D Embossed Nail Sticker")</x:f>
        <x:v>HYPERLINK is not implemented. linkLocation=https://365nails.com/products/gold-bamboo-leaf-elegant-green-bamboo-5d-embossed-nail-sticker, friendlyName=Gold Bamboo Leaf: "Elegant Green Bamboo" – 5D Embossed Nail Sticker</x:v>
      </x:c>
      <x:c r="D7542" s="18" t="str">
        <x:v>Specification type: To5308-metal</x:v>
      </x:c>
      <x:c r="E7542" s="25" t="str">
        <x:v>$1.23</x:v>
      </x:c>
      <x:c r="F7542" s="19" t="str">
        <x:v>5</x:v>
      </x:c>
    </x:row>
    <x:row r="7543" ht="93" customHeight="1">
      <x:c r="A7543" s="19" t="n">
        <x:v>7540</x:v>
      </x:c>
      <x:c r="B7543" s="22" t="e">
        <x:f>HYPERLINK("https://cdn.shopify.com/s/files/1/0918/6066/4603/files/O1CN01luBmbu1HlX6KV4Uf8__2545140798-0-cib.jpg?v=1773652916","Open")</x:f>
        <x:v>HYPERLINK is not implemented. linkLocation=https://cdn.shopify.com/s/files/1/0918/6066/4603/files/O1CN01luBmbu1HlX6KV4Uf8__2545140798-0-cib.jpg?v=1773652916, friendlyName=Open</x:v>
      </x:c>
      <x:c r="C7543" s="24" t="e">
        <x:f>HYPERLINK("https://365nails.com/products/blue-gold-camellia-embossed-elegant-winter-camellia-5d-embossed-nail-sticker","Blue &amp; Gold Camellia Embossed: ""Elegant Winter Camellia"" – 5D Embossed Nail Sticker")</x:f>
        <x:v>HYPERLINK is not implemented. linkLocation=https://365nails.com/products/blue-gold-camellia-embossed-elegant-winter-camellia-5d-embossed-nail-sticker, friendlyName=Blue &amp; Gold Camellia Embossed: "Elegant Winter Camellia" – 5D Embossed Nail Sticker</x:v>
      </x:c>
      <x:c r="D7543" s="18" t="str">
        <x:v>Specification type: To4965-metal / To4965-1-relief</x:v>
      </x:c>
      <x:c r="E7543" s="25" t="str">
        <x:v>$1.23</x:v>
      </x:c>
      <x:c r="F7543" s="19" t="str">
        <x:v>5</x:v>
      </x:c>
    </x:row>
    <x:row r="7544" ht="93" customHeight="1">
      <x:c r="A7544" s="19" t="n">
        <x:v>7541</x:v>
      </x:c>
      <x:c r="B7544" s="22" t="e">
        <x:f>HYPERLINK("https://cdn.shopify.com/s/files/1/0918/6066/4603/files/O1CN01ebqAAW1HlX1MvVIC5__2545140798-0-cib.jpg?v=1773652028","Open")</x:f>
        <x:v>HYPERLINK is not implemented. linkLocation=https://cdn.shopify.com/s/files/1/0918/6066/4603/files/O1CN01ebqAAW1HlX1MvVIC5__2545140798-0-cib.jpg?v=1773652028, friendlyName=Open</x:v>
      </x:c>
      <x:c r="C7544" s="24" t="e">
        <x:f>HYPERLINK("https://365nails.com/products/colorful-jelly-cup-sweet-cocktail-party-5d-embossed-nail-sticker","Colorful Jelly Cup: ""Sweet Cocktail Party"" – 5D Embossed Nail Sticker")</x:f>
        <x:v>HYPERLINK is not implemented. linkLocation=https://365nails.com/products/colorful-jelly-cup-sweet-cocktail-party-5d-embossed-nail-sticker, friendlyName=Colorful Jelly Cup: "Sweet Cocktail Party" – 5D Embossed Nail Sticker</x:v>
      </x:c>
      <x:c r="D7544" s="18" t="str">
        <x:v>Specification type: To4003-jelly / To4004-shell light</x:v>
      </x:c>
      <x:c r="E7544" s="25" t="str">
        <x:v>$1.23</x:v>
      </x:c>
      <x:c r="F7544" s="19" t="str">
        <x:v>5</x:v>
      </x:c>
    </x:row>
    <x:row r="7545" ht="93" customHeight="1">
      <x:c r="A7545" s="19" t="n">
        <x:v>7542</x:v>
      </x:c>
      <x:c r="B7545" s="22" t="e">
        <x:f>HYPERLINK("https://cdn.shopify.com/s/files/1/0918/6066/4603/files/f1fbf26788dfadefc58a371e0e2c0073.jpg?v=1773146076","Open")</x:f>
        <x:v>HYPERLINK is not implemented. linkLocation=https://cdn.shopify.com/s/files/1/0918/6066/4603/files/f1fbf26788dfadefc58a371e0e2c0073.jpg?v=1773146076, friendlyName=Open</x:v>
      </x:c>
      <x:c r="C7545" s="24" t="e">
        <x:f>HYPERLINK("https://365nails.com/products/gothic-castle-dark-academia-nail-art-set","Gothic Castle – Dark Academia Nail Art Stickers")</x:f>
        <x:v>HYPERLINK is not implemented. linkLocation=https://365nails.com/products/gothic-castle-dark-academia-nail-art-set, friendlyName=Gothic Castle – Dark Academia Nail Art Stickers</x:v>
      </x:c>
      <x:c r="D7545" s="18" t="str">
        <x:v>Specification type: To5166 / To5167</x:v>
      </x:c>
      <x:c r="E7545" s="25" t="str">
        <x:v>$1.09</x:v>
      </x:c>
      <x:c r="F7545" s="19" t="str">
        <x:v>5</x:v>
      </x:c>
    </x:row>
    <x:row r="7546" ht="93" customHeight="1">
      <x:c r="A7546" s="19" t="n">
        <x:v>7543</x:v>
      </x:c>
      <x:c r="B7546" s="22" t="e">
        <x:f>HYPERLINK("https://cdn.shopify.com/s/files/1/0918/6066/4603/files/O1CN01Gr9um21HlWqhl8dhm__2545140798-0-cib.jpg?v=1772971722","Open")</x:f>
        <x:v>HYPERLINK is not implemented. linkLocation=https://cdn.shopify.com/s/files/1/0918/6066/4603/files/O1CN01Gr9um21HlWqhl8dhm__2545140798-0-cib.jpg?v=1772971722, friendlyName=Open</x:v>
      </x:c>
      <x:c r="C7546" s="24" t="e">
        <x:f>HYPERLINK("https://365nails.com/products/monochrome-butterfly-minimalist-nail-art-set","Monochrome Butterfly – Minimalist Nail Art Set")</x:f>
        <x:v>HYPERLINK is not implemented. linkLocation=https://365nails.com/products/monochrome-butterfly-minimalist-nail-art-set, friendlyName=Monochrome Butterfly – Minimalist Nail Art Set</x:v>
      </x:c>
      <x:c r="D7546" s="18" t="str">
        <x:v>Specification type: To2461-relief / To2462-thin tough</x:v>
      </x:c>
      <x:c r="E7546" s="25" t="str">
        <x:v>$1.23</x:v>
      </x:c>
      <x:c r="F7546" s="19" t="str">
        <x:v>5</x:v>
      </x:c>
    </x:row>
    <x:row r="7547" ht="93" customHeight="1">
      <x:c r="A7547" s="19" t="n">
        <x:v>7544</x:v>
      </x:c>
      <x:c r="B7547" s="22" t="e">
        <x:f>HYPERLINK("https://cdn.shopify.com/s/files/1/0918/6066/4603/files/O1CN01dJh2xu1HlX2uSAU4L__2545140798-0-cib.jpg?v=1773748420","Open")</x:f>
        <x:v>HYPERLINK is not implemented. linkLocation=https://cdn.shopify.com/s/files/1/0918/6066/4603/files/O1CN01dJh2xu1HlX2uSAU4L__2545140798-0-cib.jpg?v=1773748420, friendlyName=Open</x:v>
      </x:c>
      <x:c r="C7547" s="24" t="e">
        <x:f>HYPERLINK("https://365nails.com/products/holographic-dessert-teddy-bear-sweet-toy-party-5d-embossed-nail-sticker","Holographic Dessert &amp; Teddy Bear: ""Sweet Toy Party"" – 5D Embossed Nail Sticker")</x:f>
        <x:v>HYPERLINK is not implemented. linkLocation=https://365nails.com/products/holographic-dessert-teddy-bear-sweet-toy-party-5d-embossed-nail-sticker, friendlyName=Holographic Dessert &amp; Teddy Bear: "Sweet Toy Party" – 5D Embossed Nail Sticker</x:v>
      </x:c>
      <x:c r="D7547" s="18" t="str">
        <x:v>Specification type: To4350-shell light</x:v>
      </x:c>
      <x:c r="E7547" s="25" t="str">
        <x:v>$1.23</x:v>
      </x:c>
      <x:c r="F7547" s="19" t="str">
        <x:v>5</x:v>
      </x:c>
    </x:row>
    <x:row r="7548" ht="93" customHeight="1">
      <x:c r="A7548" s="19" t="n">
        <x:v>7545</x:v>
      </x:c>
      <x:c r="B7548" s="22" t="e">
        <x:f>HYPERLINK("https://cdn.shopify.com/s/files/1/0918/6066/4603/files/O1CN01gC10gZ1HlX4aefXYr__2545140798-0-cib.jpg?v=1773586061","Open")</x:f>
        <x:v>HYPERLINK is not implemented. linkLocation=https://cdn.shopify.com/s/files/1/0918/6066/4603/files/O1CN01gC10gZ1HlX4aefXYr__2545140798-0-cib.jpg?v=1773586061, friendlyName=Open</x:v>
      </x:c>
      <x:c r="C7548" s="24" t="e">
        <x:f>HYPERLINK("https://365nails.com/products/oriental-nine-tailed-fox-mountain-mystic-ink-crystal-diamond-nail-sticker","Oriental Nine-Tailed Fox &amp; Mountain: ""Mystic Ink"" – Crystal Diamond Nail Sticker")</x:f>
        <x:v>HYPERLINK is not implemented. linkLocation=https://365nails.com/products/oriental-nine-tailed-fox-mountain-mystic-ink-crystal-diamond-nail-sticker, friendlyName=Oriental Nine-Tailed Fox &amp; Mountain: "Mystic Ink" – Crystal Diamond Nail Sticker</x:v>
      </x:c>
      <x:c r="D7548" s="18" t="str">
        <x:v>Specification type: Ms735-crystal diamond / Ms736-crystal diamond</x:v>
      </x:c>
      <x:c r="E7548" s="25" t="str">
        <x:v>$1.30</x:v>
      </x:c>
      <x:c r="F7548" s="19" t="str">
        <x:v>5</x:v>
      </x:c>
    </x:row>
    <x:row r="7549" ht="93" customHeight="1">
      <x:c r="A7549" s="19" t="n">
        <x:v>7546</x:v>
      </x:c>
      <x:c r="B7549" s="22" t="e">
        <x:f>HYPERLINK("https://cdn.shopify.com/s/files/1/0918/6066/4603/files/713e74730ffa5038a35003e3c8a721f8.jpg?v=1774080289","Open")</x:f>
        <x:v>HYPERLINK is not implemented. linkLocation=https://cdn.shopify.com/s/files/1/0918/6066/4603/files/713e74730ffa5038a35003e3c8a721f8.jpg?v=1774080289, friendlyName=Open</x:v>
      </x:c>
      <x:c r="C7549" s="24" t="e">
        <x:f>HYPERLINK("https://365nails.com/products/cosmic-fatale-noir-web-vein-long-sharp-stiletto-handmade-press-on-nails","Cosmic Fatale: ""Noir Web Vein"" – Long Sharp Stiletto Handmade Press On Nails")</x:f>
        <x:v>HYPERLINK is not implemented. linkLocation=https://365nails.com/products/cosmic-fatale-noir-web-vein-long-sharp-stiletto-handmade-press-on-nails, friendlyName=Cosmic Fatale: "Noir Web Vein" – Long Sharp Stiletto Handmade Press On Nails</x:v>
      </x:c>
      <x:c r="D7549" s="18" t="str">
        <x:v>Size: XS / S / M / L</x:v>
      </x:c>
      <x:c r="E7549" s="25" t="str">
        <x:v>$3.99</x:v>
      </x:c>
      <x:c r="F7549" s="19" t="str">
        <x:v>5</x:v>
      </x:c>
    </x:row>
    <x:row r="7550" ht="93" customHeight="1">
      <x:c r="A7550" s="19" t="n">
        <x:v>7547</x:v>
      </x:c>
      <x:c r="B7550" s="22" t="e">
        <x:f>HYPERLINK("https://cdn.shopify.com/s/files/1/0918/6066/4603/files/O1CN01WSE0np1HlWsfej59o__2545140798-0-cib.jpg?v=1773651349","Open")</x:f>
        <x:v>HYPERLINK is not implemented. linkLocation=https://cdn.shopify.com/s/files/1/0918/6066/4603/files/O1CN01WSE0np1HlWsfej59o__2545140798-0-cib.jpg?v=1773651349, friendlyName=Open</x:v>
      </x:c>
      <x:c r="C7550" s="24" t="e">
        <x:f>HYPERLINK("https://365nails.com/products/new-gold-foil-floral-oriental-royalty-5d-embossed-nail-sticker","New Gold Foil Floral: ""Oriental Royalty"" – 5D Embossed Nail Sticker")</x:f>
        <x:v>HYPERLINK is not implemented. linkLocation=https://365nails.com/products/new-gold-foil-floral-oriental-royalty-5d-embossed-nail-sticker, friendlyName=New Gold Foil Floral: "Oriental Royalty" – 5D Embossed Nail Sticker</x:v>
      </x:c>
      <x:c r="D7550" s="18" t="str">
        <x:v>Specification type: Ms345-new hot stamping / Ms345-silver</x:v>
      </x:c>
      <x:c r="E7550" s="25" t="str">
        <x:v>$1.23</x:v>
      </x:c>
      <x:c r="F7550" s="19" t="str">
        <x:v>5</x:v>
      </x:c>
    </x:row>
    <x:row r="7551" ht="93" customHeight="1">
      <x:c r="A7551" s="19" t="n">
        <x:v>7548</x:v>
      </x:c>
      <x:c r="B7551" s="22" t="e">
        <x:f>HYPERLINK("https://cdn.shopify.com/s/files/1/0918/6066/4603/files/O1CN01uc14es1HlX7yc70HY__2545140798-0-cib.jpg?v=1773666772","Open")</x:f>
        <x:v>HYPERLINK is not implemented. linkLocation=https://cdn.shopify.com/s/files/1/0918/6066/4603/files/O1CN01uc14es1HlX7yc70HY__2545140798-0-cib.jpg?v=1773666772, friendlyName=Open</x:v>
      </x:c>
      <x:c r="C7551" s="24" t="e">
        <x:f>HYPERLINK("https://365nails.com/products/teal-jelly-french-tip-gems-ocean-breeze-french-manicure-5d-embossed-nail-sticker","Teal Jelly French Tip &amp; Gems: ""Ocean Breeze French Manicure"" – 5D Embossed Nail Sticker")</x:f>
        <x:v>HYPERLINK is not implemented. linkLocation=https://365nails.com/products/teal-jelly-french-tip-gems-ocean-breeze-french-manicure-5d-embossed-nail-sticker, friendlyName=Teal Jelly French Tip &amp; Gems: "Ocean Breeze French Manicure" – 5D Embossed Nail Sticker</x:v>
      </x:c>
      <x:c r="D7551" s="18" t="str">
        <x:v>Specification type: Ms826-jelly / Ms827-jelly</x:v>
      </x:c>
      <x:c r="E7551" s="25" t="str">
        <x:v>$1.23</x:v>
      </x:c>
      <x:c r="F7551" s="19" t="str">
        <x:v>5</x:v>
      </x:c>
    </x:row>
    <x:row r="7552" ht="93" customHeight="1">
      <x:c r="A7552" s="19" t="n">
        <x:v>7549</x:v>
      </x:c>
      <x:c r="B7552" s="22" t="e">
        <x:f>HYPERLINK("https://cdn.shopify.com/s/files/1/0918/6066/4603/files/O1CN01Ch8bB31HlX0YijDct__2545140798-0-cib.jpg?v=1773758689","Open")</x:f>
        <x:v>HYPERLINK is not implemented. linkLocation=https://cdn.shopify.com/s/files/1/0918/6066/4603/files/O1CN01Ch8bB31HlX0YijDct__2545140798-0-cib.jpg?v=1773758689, friendlyName=Open</x:v>
      </x:c>
      <x:c r="C7552" s="24" t="e">
        <x:f>HYPERLINK("https://365nails.com/products/juicy-strawberry-lace-sweet-summer-strawberry-5d-embossed-nail-sticker","Juicy Strawberry &amp; Lace: ""Sweet Summer Strawberry"" – 5D Embossed Nail Sticker")</x:f>
        <x:v>HYPERLINK is not implemented. linkLocation=https://365nails.com/products/juicy-strawberry-lace-sweet-summer-strawberry-5d-embossed-nail-sticker, friendlyName=Juicy Strawberry &amp; Lace: "Sweet Summer Strawberry" – 5D Embossed Nail Sticker</x:v>
      </x:c>
      <x:c r="D7552" s="18" t="str">
        <x:v>Specification type: To3925 / To3937</x:v>
      </x:c>
      <x:c r="E7552" s="25" t="str">
        <x:v>$1.09</x:v>
      </x:c>
      <x:c r="F7552" s="19" t="str">
        <x:v>5</x:v>
      </x:c>
    </x:row>
    <x:row r="7553" ht="93" customHeight="1">
      <x:c r="A7553" s="19" t="n">
        <x:v>7550</x:v>
      </x:c>
      <x:c r="B7553" s="22" t="e">
        <x:f>HYPERLINK("https://cdn.shopify.com/s/files/1/0918/6066/4603/files/O1CN017F9k2C1HlX4ZvpjEe__2545140798-0-cib.jpg?v=1774068761","Open")</x:f>
        <x:v>HYPERLINK is not implemented. linkLocation=https://cdn.shopify.com/s/files/1/0918/6066/4603/files/O1CN017F9k2C1HlX4ZvpjEe__2545140798-0-cib.jpg?v=1774068761, friendlyName=Open</x:v>
      </x:c>
      <x:c r="C7553" s="24" t="e">
        <x:f>HYPERLINK("https://365nails.com/products/vintage-gothic-bow-gem-frame-nail-sticker-set-gothic-lolita-bow-elegance","Vintage Gothic Bow &amp; Gem Frame Nail Sticker Set – ""Gothic Lolita Bow Elegance""")</x:f>
        <x:v>HYPERLINK is not implemented. linkLocation=https://365nails.com/products/vintage-gothic-bow-gem-frame-nail-sticker-set-gothic-lolita-bow-elegance, friendlyName=Vintage Gothic Bow &amp; Gem Frame Nail Sticker Set – "Gothic Lolita Bow Elegance"</x:v>
      </x:c>
      <x:c r="D7553" s="18" t="str">
        <x:v>Specification type: To4525-crystal diamond / To4526-crystal diamond / To4527-crystal diamond</x:v>
      </x:c>
      <x:c r="E7553" s="25" t="str">
        <x:v>$1.30</x:v>
      </x:c>
      <x:c r="F7553" s="19" t="str">
        <x:v>5</x:v>
      </x:c>
    </x:row>
    <x:row r="7554" ht="93" customHeight="1">
      <x:c r="A7554" s="19" t="n">
        <x:v>7551</x:v>
      </x:c>
      <x:c r="B7554" s="22" t="e">
        <x:f>HYPERLINK("https://cdn.shopify.com/s/files/1/0918/6066/4603/files/O1CN01XcdPMh1HlX8FG4qSO__2545140798-0-cib.jpg?v=1773925330","Open")</x:f>
        <x:v>HYPERLINK is not implemented. linkLocation=https://cdn.shopify.com/s/files/1/0918/6066/4603/files/O1CN01XcdPMh1HlX8FG4qSO__2545140798-0-cib.jpg?v=1773925330, friendlyName=Open</x:v>
      </x:c>
      <x:c r="C7554" s="24" t="e">
        <x:f>HYPERLINK("https://365nails.com/products/ink-wash-branch-minimalist-ink-twig-5d-embossed-nail-sticker","Ink Wash Branch: ""Minimalist Ink Twig"" – 5D Embossed Nail Sticker")</x:f>
        <x:v>HYPERLINK is not implemented. linkLocation=https://365nails.com/products/ink-wash-branch-minimalist-ink-twig-5d-embossed-nail-sticker, friendlyName=Ink Wash Branch: "Minimalist Ink Twig" – 5D Embossed Nail Sticker</x:v>
      </x:c>
      <x:c r="D7554" s="18" t="str">
        <x:v>Specification type: To5200 / To5201 / To5202</x:v>
      </x:c>
      <x:c r="E7554" s="25" t="str">
        <x:v>$1.09</x:v>
      </x:c>
      <x:c r="F7554" s="19" t="str">
        <x:v>5</x:v>
      </x:c>
    </x:row>
    <x:row r="7555" ht="93" customHeight="1">
      <x:c r="A7555" s="19" t="n">
        <x:v>7552</x:v>
      </x:c>
      <x:c r="B7555" s="22" t="e">
        <x:f>HYPERLINK("https://cdn.shopify.com/s/files/1/0918/6066/4603/files/O1CN01cPKjQb1HlX1mu3aPM__2545140798-0-cib.jpg?v=1773838138","Open")</x:f>
        <x:v>HYPERLINK is not implemented. linkLocation=https://cdn.shopify.com/s/files/1/0918/6066/4603/files/O1CN01cPKjQb1HlX1mu3aPM__2545140798-0-cib.jpg?v=1773838138, friendlyName=Open</x:v>
      </x:c>
      <x:c r="C7555" s="24" t="e">
        <x:f>HYPERLINK("https://365nails.com/products/dainty-white-blossom-elegant-small-flower-5d-embossed-nail-sticker","Dainty White Blossom: ""Elegant Small Flower"" – 5D Embossed Nail Sticker")</x:f>
        <x:v>HYPERLINK is not implemented. linkLocation=https://365nails.com/products/dainty-white-blossom-elegant-small-flower-5d-embossed-nail-sticker, friendlyName=Dainty White Blossom: "Elegant Small Flower" – 5D Embossed Nail Sticker</x:v>
      </x:c>
      <x:c r="D7555" s="18" t="str">
        <x:v>Specification type: To4197</x:v>
      </x:c>
      <x:c r="E7555" s="25" t="str">
        <x:v>$1.09</x:v>
      </x:c>
      <x:c r="F7555" s="19" t="str">
        <x:v>5</x:v>
      </x:c>
    </x:row>
    <x:row r="7556" ht="93" customHeight="1">
      <x:c r="A7556" s="19" t="n">
        <x:v>7553</x:v>
      </x:c>
      <x:c r="B7556" s="22" t="e">
        <x:f>HYPERLINK("https://cdn.shopify.com/s/files/1/0918/6066/4603/files/O1CN010EYlZd1HlX7z3i3jw__2545140798-0-cib.jpg?v=1773924815","Open")</x:f>
        <x:v>HYPERLINK is not implemented. linkLocation=https://cdn.shopify.com/s/files/1/0918/6066/4603/files/O1CN010EYlZd1HlX7z3i3jw__2545140798-0-cib.jpg?v=1773924815, friendlyName=Open</x:v>
      </x:c>
      <x:c r="C7556" s="24" t="e">
        <x:f>HYPERLINK("https://365nails.com/products/cute-animal-faces-mini-buddy-face-5d-embossed-nail-sticker","Cute Animal Faces: ""Mini Buddy Face"" – 5D Embossed Nail Sticker")</x:f>
        <x:v>HYPERLINK is not implemented. linkLocation=https://365nails.com/products/cute-animal-faces-mini-buddy-face-5d-embossed-nail-sticker, friendlyName=Cute Animal Faces: "Mini Buddy Face" – 5D Embossed Nail Sticker</x:v>
      </x:c>
      <x:c r="D7556" s="18" t="str">
        <x:v>Specification type: To5169</x:v>
      </x:c>
      <x:c r="E7556" s="25" t="str">
        <x:v>$1.09</x:v>
      </x:c>
      <x:c r="F7556" s="19" t="str">
        <x:v>5</x:v>
      </x:c>
    </x:row>
    <x:row r="7557" ht="93" customHeight="1">
      <x:c r="A7557" s="19" t="n">
        <x:v>7554</x:v>
      </x:c>
      <x:c r="B7557" s="22" t="e">
        <x:f>HYPERLINK("https://cdn.shopify.com/s/files/1/0918/6066/4603/files/O1CN01Cxg97D1HlWyhSp873__2545140798-0-cib_114ca366-db18-4c36-ba61-f4ea052c3fc0.jpg?v=1773843964","Open")</x:f>
        <x:v>HYPERLINK is not implemented. linkLocation=https://cdn.shopify.com/s/files/1/0918/6066/4603/files/O1CN01Cxg97D1HlWyhSp873__2545140798-0-cib_114ca366-db18-4c36-ba61-f4ea052c3fc0.jpg?v=1773843964, friendlyName=Open</x:v>
      </x:c>
      <x:c r="C7557" s="24" t="e">
        <x:f>HYPERLINK("https://365nails.com/products/pastel-checkered-square-minimalist-gingham-5d-embossed-nail-sticker","Pastel Checkered Square: ""Minimalist Gingham"" – 5D Embossed Nail Sticker")</x:f>
        <x:v>HYPERLINK is not implemented. linkLocation=https://365nails.com/products/pastel-checkered-square-minimalist-gingham-5d-embossed-nail-sticker, friendlyName=Pastel Checkered Square: "Minimalist Gingham" – 5D Embossed Nail Sticker</x:v>
      </x:c>
      <x:c r="D7557" s="18" t="str">
        <x:v>Specification type: Ms 516 / Ms 517 / Ms 518 / Ms 519 / Ms 520 / Ms 521 / Ms522</x:v>
      </x:c>
      <x:c r="E7557" s="25" t="str">
        <x:v>$1.23</x:v>
      </x:c>
      <x:c r="F7557" s="19" t="str">
        <x:v>5</x:v>
      </x:c>
    </x:row>
    <x:row r="7558" ht="93" customHeight="1">
      <x:c r="A7558" s="19" t="n">
        <x:v>7555</x:v>
      </x:c>
      <x:c r="B7558" s="22" t="e">
        <x:f>HYPERLINK("https://cdn.shopify.com/s/files/1/0918/6066/4603/files/O1CN01Mtsubb1HlX874ytyT__2545140798-0-cib.jpg?v=1773666830","Open")</x:f>
        <x:v>HYPERLINK is not implemented. linkLocation=https://cdn.shopify.com/s/files/1/0918/6066/4603/files/O1CN01Mtsubb1HlX874ytyT__2545140798-0-cib.jpg?v=1773666830, friendlyName=Open</x:v>
      </x:c>
      <x:c r="C7558" s="24" t="e">
        <x:f>HYPERLINK("https://365nails.com/products/gold-heart-bow-embellishment-golden-romantic-charm-5d-embossed-nail-sticker","Gold Heart &amp; Bow Embellishment: ""Golden Romantic Charm"" – 5D Embossed Nail Sticker")</x:f>
        <x:v>HYPERLINK is not implemented. linkLocation=https://365nails.com/products/gold-heart-bow-embellishment-golden-romantic-charm-5d-embossed-nail-sticker, friendlyName=Gold Heart &amp; Bow Embellishment: "Golden Romantic Charm" – 5D Embossed Nail Sticker</x:v>
      </x:c>
      <x:c r="D7558" s="18" t="str">
        <x:v>Specification type: Ms831-metal</x:v>
      </x:c>
      <x:c r="E7558" s="25" t="str">
        <x:v>$1.23</x:v>
      </x:c>
      <x:c r="F7558" s="19" t="str">
        <x:v>5</x:v>
      </x:c>
    </x:row>
    <x:row r="7559" ht="93" customHeight="1">
      <x:c r="A7559" s="19" t="n">
        <x:v>7556</x:v>
      </x:c>
      <x:c r="B7559" s="22" t="e">
        <x:f>HYPERLINK("https://cdn.shopify.com/s/files/1/0918/6066/4603/files/O1CN01m9xhZ91HlX9KnnI1k__2545140798-0-cib.jpg?v=1773929528","Open")</x:f>
        <x:v>HYPERLINK is not implemented. linkLocation=https://cdn.shopify.com/s/files/1/0918/6066/4603/files/O1CN01m9xhZ91HlX9KnnI1k__2545140798-0-cib.jpg?v=1773929528, friendlyName=Open</x:v>
      </x:c>
      <x:c r="C7559" s="24" t="e">
        <x:f>HYPERLINK("https://365nails.com/products/autumn-cute-animal-food-cozy-autumn-buddy-5d-embossed-nail-sticker","Autumn Cute Animal &amp; Food: ""Cozy Autumn Buddy"" – 5D Embossed Nail Sticker")</x:f>
        <x:v>HYPERLINK is not implemented. linkLocation=https://365nails.com/products/autumn-cute-animal-food-cozy-autumn-buddy-5d-embossed-nail-sticker, friendlyName=Autumn Cute Animal &amp; Food: "Cozy Autumn Buddy" – 5D Embossed Nail Sticker</x:v>
      </x:c>
      <x:c r="D7559" s="18" t="str">
        <x:v>Specification type: To4049 / To5322</x:v>
      </x:c>
      <x:c r="E7559" s="25" t="str">
        <x:v>$1.09</x:v>
      </x:c>
      <x:c r="F7559" s="19" t="str">
        <x:v>5</x:v>
      </x:c>
    </x:row>
    <x:row r="7560" ht="93" customHeight="1">
      <x:c r="A7560" s="19" t="n">
        <x:v>7557</x:v>
      </x:c>
      <x:c r="B7560" s="22" t="e">
        <x:f>HYPERLINK("https://cdn.shopify.com/s/files/1/0918/6066/4603/files/O1CN019cD8751HlX9G5AcrW__2545140798-0-cib.jpg?v=1773757049","Open")</x:f>
        <x:v>HYPERLINK is not implemented. linkLocation=https://cdn.shopify.com/s/files/1/0918/6066/4603/files/O1CN019cD8751HlX9G5AcrW__2545140798-0-cib.jpg?v=1773757049, friendlyName=Open</x:v>
      </x:c>
      <x:c r="C7560" s="24" t="e">
        <x:f>HYPERLINK("https://365nails.com/products/iridescent-white-bow-bridal-pearl-ribbon-5d-embossed-nail-sticker","Iridescent White Bow: ""Bridal Pearl Ribbon"" – 5D Embossed Nail Sticker")</x:f>
        <x:v>HYPERLINK is not implemented. linkLocation=https://365nails.com/products/iridescent-white-bow-bridal-pearl-ribbon-5d-embossed-nail-sticker, friendlyName=Iridescent White Bow: "Bridal Pearl Ribbon" – 5D Embossed Nail Sticker</x:v>
      </x:c>
      <x:c r="D7560" s="18" t="str">
        <x:v>Specification type: Ms859-jelly</x:v>
      </x:c>
      <x:c r="E7560" s="25" t="str">
        <x:v>$1.23</x:v>
      </x:c>
      <x:c r="F7560" s="19" t="str">
        <x:v>5</x:v>
      </x:c>
    </x:row>
    <x:row r="7561" ht="93" customHeight="1">
      <x:c r="A7561" s="19" t="n">
        <x:v>7558</x:v>
      </x:c>
      <x:c r="B7561" s="22" t="e">
        <x:f>HYPERLINK("https://cdn.shopify.com/s/files/1/0918/6066/4603/files/O1CN01e5XdQT1HlX5QWEajQ__2545140798-0-cib.jpg?v=1773746624","Open")</x:f>
        <x:v>HYPERLINK is not implemented. linkLocation=https://cdn.shopify.com/s/files/1/0918/6066/4603/files/O1CN01e5XdQT1HlX5QWEajQ__2545140798-0-cib.jpg?v=1773746624, friendlyName=Open</x:v>
      </x:c>
      <x:c r="C7561" s="24" t="e">
        <x:f>HYPERLINK("https://365nails.com/products/red-bow-iridescent-polka-coquette-red-lace-5d-embossed-nail-sticker","Red Bow &amp; Iridescent Polka: ""Coquette Red Lace"" – 5D Embossed Nail Sticker")</x:f>
        <x:v>HYPERLINK is not implemented. linkLocation=https://365nails.com/products/red-bow-iridescent-polka-coquette-red-lace-5d-embossed-nail-sticker, friendlyName=Red Bow &amp; Iridescent Polka: "Coquette Red Lace" – 5D Embossed Nail Sticker</x:v>
      </x:c>
      <x:c r="D7561" s="18" t="str">
        <x:v>Specification type: Ms 760 / Ms 761 / Ms 762 / Ms 763</x:v>
      </x:c>
      <x:c r="E7561" s="25" t="str">
        <x:v>$1.09</x:v>
      </x:c>
      <x:c r="F7561" s="19" t="str">
        <x:v>5</x:v>
      </x:c>
    </x:row>
    <x:row r="7562" ht="93" customHeight="1">
      <x:c r="A7562" s="19" t="n">
        <x:v>7559</x:v>
      </x:c>
      <x:c r="B7562" s="22" t="e">
        <x:f>HYPERLINK("https://cdn.shopify.com/s/files/1/0918/6066/4603/files/O1CN01p89MsF1HlWzJV6xnO__2545140798-0-cib.jpg?v=1773757664","Open")</x:f>
        <x:v>HYPERLINK is not implemented. linkLocation=https://cdn.shopify.com/s/files/1/0918/6066/4603/files/O1CN01p89MsF1HlWzJV6xnO__2545140798-0-cib.jpg?v=1773757664, friendlyName=Open</x:v>
      </x:c>
      <x:c r="C7562" s="24" t="e">
        <x:f>HYPERLINK("https://365nails.com/products/red-blue-dual-dragon-oriental-porcelain-twin-dragons-5d-embossed-nail-sticker","Red &amp; Blue Dual Dragon: ""Oriental Porcelain Twin Dragons"" – 5D Embossed Nail Sticker")</x:f>
        <x:v>HYPERLINK is not implemented. linkLocation=https://365nails.com/products/red-blue-dual-dragon-oriental-porcelain-twin-dragons-5d-embossed-nail-sticker, friendlyName=Red &amp; Blue Dual Dragon: "Oriental Porcelain Twin Dragons" – 5D Embossed Nail Sticker</x:v>
      </x:c>
      <x:c r="D7562" s="18" t="str">
        <x:v>Specification type: Ms 531 / Ms 535</x:v>
      </x:c>
      <x:c r="E7562" s="25" t="str">
        <x:v>$1.09</x:v>
      </x:c>
      <x:c r="F7562" s="19" t="str">
        <x:v>5</x:v>
      </x:c>
    </x:row>
    <x:row r="7563" ht="93" customHeight="1">
      <x:c r="A7563" s="19" t="n">
        <x:v>7560</x:v>
      </x:c>
      <x:c r="B7563" s="22" t="e">
        <x:f>HYPERLINK("https://cdn.shopify.com/s/files/1/0918/6066/4603/files/O1CN01OeIwkl1HlWz4532hI__2545140798-0-cib.jpg?v=1773757176","Open")</x:f>
        <x:v>HYPERLINK is not implemented. linkLocation=https://cdn.shopify.com/s/files/1/0918/6066/4603/files/O1CN01OeIwkl1HlWz4532hI__2545140798-0-cib.jpg?v=1773757176, friendlyName=Open</x:v>
      </x:c>
      <x:c r="C7563" s="24" t="e">
        <x:f>HYPERLINK("https://365nails.com/products/crystal-diamond-mini-bow-sleek-silver-bow-outline-5d-crystal-diamond-nail-sticker","Crystal-Diamond Mini Bow: ""Sleek Silver Bow Outline"" – 5D Crystal-Diamond Nail Sticker")</x:f>
        <x:v>HYPERLINK is not implemented. linkLocation=https://365nails.com/products/crystal-diamond-mini-bow-sleek-silver-bow-outline-5d-crystal-diamond-nail-sticker, friendlyName=Crystal-Diamond Mini Bow: "Sleek Silver Bow Outline" – 5D Crystal-Diamond Nail Sticker</x:v>
      </x:c>
      <x:c r="D7563" s="18" t="str">
        <x:v>Specification type: To3648-crystal diamond / To3649-crystal diamond / To3656-crystal diamond</x:v>
      </x:c>
      <x:c r="E7563" s="25" t="str">
        <x:v>$1.30</x:v>
      </x:c>
      <x:c r="F7563" s="19" t="str">
        <x:v>5</x:v>
      </x:c>
    </x:row>
    <x:row r="7564" ht="93" customHeight="1">
      <x:c r="A7564" s="19" t="n">
        <x:v>7561</x:v>
      </x:c>
      <x:c r="B7564" s="22" t="e">
        <x:f>HYPERLINK("https://cdn.shopify.com/s/files/1/0918/6066/4603/files/O1CN01TtbFS51HlWtE1jvSW__2545140798-0-cib_34f3e75c-78f8-400e-846e-351e9d8f6500.jpg?v=1773990741","Open")</x:f>
        <x:v>HYPERLINK is not implemented. linkLocation=https://cdn.shopify.com/s/files/1/0918/6066/4603/files/O1CN01TtbFS51HlWtE1jvSW__2545140798-0-cib_34f3e75c-78f8-400e-846e-351e9d8f6500.jpg?v=1773990741, friendlyName=Open</x:v>
      </x:c>
      <x:c r="C7564" s="24" t="e">
        <x:f>HYPERLINK("https://365nails.com/products/jelly-colorful-squiggles-dots-playful-jelly-pop-5d-embossed-nail-sticker","Jelly Colorful Squiggles &amp; Dots: ""Playful Jelly Pop"" – 5D Embossed Nail Sticker")</x:f>
        <x:v>HYPERLINK is not implemented. linkLocation=https://365nails.com/products/jelly-colorful-squiggles-dots-playful-jelly-pop-5d-embossed-nail-sticker, friendlyName=Jelly Colorful Squiggles &amp; Dots: "Playful Jelly Pop" – 5D Embossed Nail Sticker</x:v>
      </x:c>
      <x:c r="D7564" s="18" t="str">
        <x:v>规格类型: Ms 339 / Ms 340 / To2800</x:v>
      </x:c>
      <x:c r="E7564" s="25" t="str">
        <x:v>$1.23</x:v>
      </x:c>
      <x:c r="F7564" s="19" t="str">
        <x:v>5</x:v>
      </x:c>
    </x:row>
    <x:row r="7565" ht="93" customHeight="1">
      <x:c r="A7565" s="19" t="n">
        <x:v>7562</x:v>
      </x:c>
      <x:c r="B7565" s="22" t="e">
        <x:f>HYPERLINK("https://cdn.shopify.com/s/files/1/0918/6066/4603/files/fc0116d1f1ba076410471e8c543da8f8.jpg?v=1773059481","Open")</x:f>
        <x:v>HYPERLINK is not implemented. linkLocation=https://cdn.shopify.com/s/files/1/0918/6066/4603/files/fc0116d1f1ba076410471e8c543da8f8.jpg?v=1773059481, friendlyName=Open</x:v>
      </x:c>
      <x:c r="C7565" s="24" t="e">
        <x:f>HYPERLINK("https://365nails.com/products/ink-wash-white-peony-chinese-style-nail-art-set","Ink Wash White Peony – Chinese Style Nail Art Set")</x:f>
        <x:v>HYPERLINK is not implemented. linkLocation=https://365nails.com/products/ink-wash-white-peony-chinese-style-nail-art-set, friendlyName=Ink Wash White Peony – Chinese Style Nail Art Set</x:v>
      </x:c>
      <x:c r="D7565" s="18" t="str">
        <x:v>Specification type: To4199 / To4200 / To4201</x:v>
      </x:c>
      <x:c r="E7565" s="25" t="str">
        <x:v>$1.23</x:v>
      </x:c>
      <x:c r="F7565" s="19" t="str">
        <x:v>5</x:v>
      </x:c>
    </x:row>
    <x:row r="7566" ht="93" customHeight="1">
      <x:c r="A7566" s="19" t="n">
        <x:v>7563</x:v>
      </x:c>
      <x:c r="B7566" s="22" t="e">
        <x:f>HYPERLINK("https://cdn.shopify.com/s/files/1/0918/6066/4603/files/O1CN01pGZg6e1HlX7MVkHZg__2545140798-0-cib.jpg?v=1773650151","Open")</x:f>
        <x:v>HYPERLINK is not implemented. linkLocation=https://cdn.shopify.com/s/files/1/0918/6066/4603/files/O1CN01pGZg6e1HlX7MVkHZg__2545140798-0-cib.jpg?v=1773650151, friendlyName=Open</x:v>
      </x:c>
      <x:c r="C7566" s="24" t="e">
        <x:f>HYPERLINK("https://365nails.com/products/puppy-girl-miiichans-pet-club-5d-embossed-nail-sticker","Puppy &amp; Girl: ""Miiichan's Pet Club"" – 5D Embossed Nail Sticker")</x:f>
        <x:v>HYPERLINK is not implemented. linkLocation=https://365nails.com/products/puppy-girl-miiichans-pet-club-5d-embossed-nail-sticker, friendlyName=Puppy &amp; Girl: "Miiichan's Pet Club" – 5D Embossed Nail Sticker</x:v>
      </x:c>
      <x:c r="D7566" s="18" t="str">
        <x:v>Specification type: Mc63-relief / Mc65-relief</x:v>
      </x:c>
      <x:c r="E7566" s="25" t="str">
        <x:v>$1.30</x:v>
      </x:c>
      <x:c r="F7566" s="19" t="str">
        <x:v>5</x:v>
      </x:c>
    </x:row>
    <x:row r="7567" ht="93" customHeight="1">
      <x:c r="A7567" s="19" t="n">
        <x:v>7564</x:v>
      </x:c>
      <x:c r="B7567" s="22" t="e">
        <x:f>HYPERLINK("https://cdn.shopify.com/s/files/1/0918/6066/4603/files/O1CN01nQbojA1HlX8m8hrbv__2545140798-0-cib_8bd1199e-dd4a-4640-bc54-f5d607598d38.jpg?v=1773638399","Open")</x:f>
        <x:v>HYPERLINK is not implemented. linkLocation=https://cdn.shopify.com/s/files/1/0918/6066/4603/files/O1CN01nQbojA1HlX8m8hrbv__2545140798-0-cib_8bd1199e-dd4a-4640-bc54-f5d607598d38.jpg?v=1773638399, friendlyName=Open</x:v>
      </x:c>
      <x:c r="C7567" s="24" t="e">
        <x:f>HYPERLINK("https://365nails.com/products/golden-dreamy-butterfly-celestial-glow-5d-metallic-nail-sticker","Golden Dreamy Butterfly: ""Celestial Glow"" – 5D Metallic Nail Sticker")</x:f>
        <x:v>HYPERLINK is not implemented. linkLocation=https://365nails.com/products/golden-dreamy-butterfly-celestial-glow-5d-metallic-nail-sticker, friendlyName=Golden Dreamy Butterfly: "Celestial Glow" – 5D Metallic Nail Sticker</x:v>
      </x:c>
      <x:c r="D7567" s="18" t="str">
        <x:v>Specification type: To5255-new hot stamping</x:v>
      </x:c>
      <x:c r="E7567" s="25" t="str">
        <x:v>$1.16</x:v>
      </x:c>
      <x:c r="F7567" s="19" t="str">
        <x:v>5</x:v>
      </x:c>
    </x:row>
    <x:row r="7568" ht="93" customHeight="1">
      <x:c r="A7568" s="19" t="n">
        <x:v>7565</x:v>
      </x:c>
      <x:c r="B7568" s="22" t="e">
        <x:f>HYPERLINK("https://cdn.shopify.com/s/files/1/0918/6066/4603/files/9295c4df1da639cb637995ca81d69673.jpg?v=1772970972","Open")</x:f>
        <x:v>HYPERLINK is not implemented. linkLocation=https://cdn.shopify.com/s/files/1/0918/6066/4603/files/9295c4df1da639cb637995ca81d69673.jpg?v=1772970972, friendlyName=Open</x:v>
      </x:c>
      <x:c r="C7568" s="24" t="e">
        <x:f>HYPERLINK("https://365nails.com/products/holographic-celestial-iridescent-nail-art-set","Holographic Celestial – Iridescent Nail Art Set")</x:f>
        <x:v>HYPERLINK is not implemented. linkLocation=https://365nails.com/products/holographic-celestial-iridescent-nail-art-set, friendlyName=Holographic Celestial – Iridescent Nail Art Set</x:v>
      </x:c>
      <x:c r="D7568" s="18" t="str">
        <x:v>Specification type: To2290-laser silver / To2290-new hot stamping / To2290-silver</x:v>
      </x:c>
      <x:c r="E7568" s="25" t="str">
        <x:v>$1.23</x:v>
      </x:c>
      <x:c r="F7568" s="19" t="str">
        <x:v>5</x:v>
      </x:c>
    </x:row>
    <x:row r="7569" ht="93" customHeight="1">
      <x:c r="A7569" s="19" t="n">
        <x:v>7566</x:v>
      </x:c>
      <x:c r="B7569" s="22" t="e">
        <x:f>HYPERLINK("https://cdn.shopify.com/s/files/1/0918/6066/4603/files/O1CN012J8YhV1HlWzcBMyep__2545140798-0-cib_e4eecf54-766d-4ee2-a8b2-b7e5a3706149.jpg?v=1773925053","Open")</x:f>
        <x:v>HYPERLINK is not implemented. linkLocation=https://cdn.shopify.com/s/files/1/0918/6066/4603/files/O1CN012J8YhV1HlWzcBMyep__2545140798-0-cib_e4eecf54-766d-4ee2-a8b2-b7e5a3706149.jpg?v=1773925053, friendlyName=Open</x:v>
      </x:c>
      <x:c r="C7569" s="24" t="e">
        <x:f>HYPERLINK("https://365nails.com/products/pink-tulip-frame-sweet-tulip-garden-5d-embossed-nail-sticker","Pink Tulip &amp; Frame: ""Sweet Tulip Garden"" – 5D Embossed Nail Sticker")</x:f>
        <x:v>HYPERLINK is not implemented. linkLocation=https://365nails.com/products/pink-tulip-frame-sweet-tulip-garden-5d-embossed-nail-sticker, friendlyName=Pink Tulip &amp; Frame: "Sweet Tulip Garden" – 5D Embossed Nail Sticker</x:v>
      </x:c>
      <x:c r="D7569" s="18" t="str">
        <x:v>Specification type: To3796-relief / Ms423-green gold</x:v>
      </x:c>
      <x:c r="E7569" s="25" t="str">
        <x:v>$1.23</x:v>
      </x:c>
      <x:c r="F7569" s="19" t="str">
        <x:v>5</x:v>
      </x:c>
    </x:row>
    <x:row r="7570" ht="93" customHeight="1">
      <x:c r="A7570" s="19" t="n">
        <x:v>7567</x:v>
      </x:c>
      <x:c r="B7570" s="22" t="e">
        <x:f>HYPERLINK("https://cdn.shopify.com/s/files/1/0918/6066/4603/files/O1CN01IVGVIq1HlWs8kvyGK__2545140798-0-cib.jpg?v=1774009257","Open")</x:f>
        <x:v>HYPERLINK is not implemented. linkLocation=https://cdn.shopify.com/s/files/1/0918/6066/4603/files/O1CN01IVGVIq1HlWs8kvyGK__2545140798-0-cib.jpg?v=1774009257, friendlyName=Open</x:v>
      </x:c>
      <x:c r="C7570" s="24" t="e">
        <x:f>HYPERLINK("https://365nails.com/products/white-floral-lace-bridal-lace-whisper-5d-embossed-nail-sticker","White Floral Lace: ""Bridal Lace Whisper"" – 5D Embossed Nail Sticker")</x:f>
        <x:v>HYPERLINK is not implemented. linkLocation=https://365nails.com/products/white-floral-lace-bridal-lace-whisper-5d-embossed-nail-sticker, friendlyName=White Floral Lace: "Bridal Lace Whisper" – 5D Embossed Nail Sticker</x:v>
      </x:c>
      <x:c r="D7570" s="18" t="str">
        <x:v>Specification type: To2740 / To2741</x:v>
      </x:c>
      <x:c r="E7570" s="25" t="str">
        <x:v>$1.09</x:v>
      </x:c>
      <x:c r="F7570" s="19" t="str">
        <x:v>5</x:v>
      </x:c>
    </x:row>
    <x:row r="7571" ht="93" customHeight="1">
      <x:c r="A7571" s="19" t="n">
        <x:v>7568</x:v>
      </x:c>
      <x:c r="B7571" s="22" t="e">
        <x:f>HYPERLINK("https://cdn.shopify.com/s/files/1/0918/6066/4603/files/O1CN01NcVcyh1HlXAqN0bOH__2545140798-0-cib.jpg?v=1773747471","Open")</x:f>
        <x:v>HYPERLINK is not implemented. linkLocation=https://cdn.shopify.com/s/files/1/0918/6066/4603/files/O1CN01NcVcyh1HlXAqN0bOH__2545140798-0-cib.jpg?v=1773747471, friendlyName=Open</x:v>
      </x:c>
      <x:c r="C7571" s="24" t="e">
        <x:f>HYPERLINK("https://365nails.com/products/pearl-bow-lace-embroidery-bridal-crystal-charm-5d-embossed-nail-sticker","Pearl Bow &amp; Lace Embroidery: ""Bridal Crystal Charm"" – 5D Embossed Nail Sticker")</x:f>
        <x:v>HYPERLINK is not implemented. linkLocation=https://365nails.com/products/pearl-bow-lace-embroidery-bridal-crystal-charm-5d-embossed-nail-sticker, friendlyName=Pearl Bow &amp; Lace Embroidery: "Bridal Crystal Charm" – 5D Embossed Nail Sticker</x:v>
      </x:c>
      <x:c r="D7571" s="18" t="str">
        <x:v>Specification type: Md 010 / Md 019</x:v>
      </x:c>
      <x:c r="E7571" s="25" t="str">
        <x:v>$3.62–$3.91</x:v>
      </x:c>
      <x:c r="F7571" s="19" t="str">
        <x:v>5</x:v>
      </x:c>
    </x:row>
    <x:row r="7572" ht="93" customHeight="1">
      <x:c r="A7572" s="19" t="n">
        <x:v>7569</x:v>
      </x:c>
      <x:c r="B7572" s="22" t="e">
        <x:f>HYPERLINK("https://cdn.shopify.com/s/files/1/0918/6066/4603/files/a6ea95cbd6231bcddf99c0fa019f8675.jpg?v=1772969773","Open")</x:f>
        <x:v>HYPERLINK is not implemented. linkLocation=https://cdn.shopify.com/s/files/1/0918/6066/4603/files/a6ea95cbd6231bcddf99c0fa019f8675.jpg?v=1772969773, friendlyName=Open</x:v>
      </x:c>
      <x:c r="C7572" s="24" t="e">
        <x:f>HYPERLINK("https://365nails.com/products/pastel-abstract-blobs-minimalist-geometric-nail-art-set","Pastel Abstract Blobs – Minimalist Geometric Nail Art Set")</x:f>
        <x:v>HYPERLINK is not implemented. linkLocation=https://365nails.com/products/pastel-abstract-blobs-minimalist-geometric-nail-art-set, friendlyName=Pastel Abstract Blobs – Minimalist Geometric Nail Art Set</x:v>
      </x:c>
      <x:c r="D7572" s="18" t="str">
        <x:v>Specification type: To2161 / To1140</x:v>
      </x:c>
      <x:c r="E7572" s="25" t="str">
        <x:v>$1.23</x:v>
      </x:c>
      <x:c r="F7572" s="19" t="str">
        <x:v>5</x:v>
      </x:c>
    </x:row>
    <x:row r="7573" ht="93" customHeight="1">
      <x:c r="A7573" s="19" t="n">
        <x:v>7570</x:v>
      </x:c>
      <x:c r="B7573" s="22" t="e">
        <x:f>HYPERLINK("https://cdn.shopify.com/s/files/1/0918/6066/4603/files/O1CN012Y5fOQ1HlXA8WklZk__2545140798-0-cib.jpg?v=1773672805","Open")</x:f>
        <x:v>HYPERLINK is not implemented. linkLocation=https://cdn.shopify.com/s/files/1/0918/6066/4603/files/O1CN012Y5fOQ1HlXA8WklZk__2545140798-0-cib.jpg?v=1773672805, friendlyName=Open</x:v>
      </x:c>
      <x:c r="C7573" s="24" t="e">
        <x:f>HYPERLINK("https://365nails.com/products/gold-amber-vintage-ornate-frame-baroque-amber-jewel-5d-embossed-nail-sticker","Gold Amber Vintage Ornate Frame: ""Baroque Amber Jewel"" – 5D Embossed Nail Sticker")</x:f>
        <x:v>HYPERLINK is not implemented. linkLocation=https://365nails.com/products/gold-amber-vintage-ornate-frame-baroque-amber-jewel-5d-embossed-nail-sticker, friendlyName=Gold Amber Vintage Ornate Frame: "Baroque Amber Jewel" – 5D Embossed Nail Sticker</x:v>
      </x:c>
      <x:c r="D7573" s="18" t="str">
        <x:v>Specification type: Ms898-metal / Ms899-metal</x:v>
      </x:c>
      <x:c r="E7573" s="25" t="str">
        <x:v>$1.23</x:v>
      </x:c>
      <x:c r="F7573" s="19" t="str">
        <x:v>5</x:v>
      </x:c>
    </x:row>
    <x:row r="7574" ht="93" customHeight="1">
      <x:c r="A7574" s="19" t="n">
        <x:v>7571</x:v>
      </x:c>
      <x:c r="B7574" s="22" t="e">
        <x:f>HYPERLINK("https://cdn.shopify.com/s/files/1/0918/6066/4603/files/O1CN01c29ZaX1HlWxSfJPWr__2545140798-0-cib.jpg?v=1773651410","Open")</x:f>
        <x:v>HYPERLINK is not implemented. linkLocation=https://cdn.shopify.com/s/files/1/0918/6066/4603/files/O1CN01c29ZaX1HlWxSfJPWr__2545140798-0-cib.jpg?v=1773651410, friendlyName=Open</x:v>
      </x:c>
      <x:c r="C7574" s="24" t="e">
        <x:f>HYPERLINK("https://365nails.com/products/vintage-jewel-jelly-royal-treasure-box-5d-embossed-nail-sticker","Vintage Jewel Jelly: ""Royal Treasure Box"" – 5D Embossed Nail Sticker")</x:f>
        <x:v>HYPERLINK is not implemented. linkLocation=https://365nails.com/products/vintage-jewel-jelly-royal-treasure-box-5d-embossed-nail-sticker, friendlyName=Vintage Jewel Jelly: "Royal Treasure Box" – 5D Embossed Nail Sticker</x:v>
      </x:c>
      <x:c r="D7574" s="18" t="str">
        <x:v>Specification type: To3541-shell light / To3545-jelly</x:v>
      </x:c>
      <x:c r="E7574" s="25" t="str">
        <x:v>$1.23</x:v>
      </x:c>
      <x:c r="F7574" s="19" t="str">
        <x:v>5</x:v>
      </x:c>
    </x:row>
    <x:row r="7575" ht="93" customHeight="1">
      <x:c r="A7575" s="19" t="n">
        <x:v>7572</x:v>
      </x:c>
      <x:c r="B7575" s="22" t="e">
        <x:f>HYPERLINK("https://cdn.shopify.com/s/files/1/0918/6066/4603/files/O1CN011QsVbn1YmlM0q6uQg__2213953983102-0-cib.jpg?v=1772968830","Open")</x:f>
        <x:v>HYPERLINK is not implemented. linkLocation=https://cdn.shopify.com/s/files/1/0918/6066/4603/files/O1CN011QsVbn1YmlM0q6uQg__2213953983102-0-cib.jpg?v=1772968830, friendlyName=Open</x:v>
      </x:c>
      <x:c r="C7575" s="24" t="e">
        <x:f>HYPERLINK("https://365nails.com/products/gummy-bear-happy-mix-playful-y2k-nail-art-set","Gummy Bear Happy Mix – Playful Y2K Nail Art Set")</x:f>
        <x:v>HYPERLINK is not implemented. linkLocation=https://365nails.com/products/gummy-bear-happy-mix-playful-y2k-nail-art-set, friendlyName=Gummy Bear Happy Mix – Playful Y2K Nail Art Set</x:v>
      </x:c>
      <x:c r="D7575" s="18" t="str">
        <x:v>Specification type: To1649 / To1684 / To1686 / To1688 / To1692 / To1704</x:v>
      </x:c>
      <x:c r="E7575" s="25" t="str">
        <x:v>$1.23</x:v>
      </x:c>
      <x:c r="F7575" s="19" t="str">
        <x:v>5</x:v>
      </x:c>
    </x:row>
    <x:row r="7576" ht="93" customHeight="1">
      <x:c r="A7576" s="19" t="n">
        <x:v>7573</x:v>
      </x:c>
      <x:c r="B7576" s="22" t="e">
        <x:f>HYPERLINK("https://cdn.shopify.com/s/files/1/0918/6066/4603/files/O1CN01x7843w1HlWzNzE3pX__2545140798-0-cib.jpg?v=1773652571","Open")</x:f>
        <x:v>HYPERLINK is not implemented. linkLocation=https://cdn.shopify.com/s/files/1/0918/6066/4603/files/O1CN01x7843w1HlWzNzE3pX__2545140798-0-cib.jpg?v=1773652571, friendlyName=Open</x:v>
      </x:c>
      <x:c r="C7576" s="24" t="e">
        <x:f>HYPERLINK("https://365nails.com/products/lace-bow-heart-crystal-gothic-lolita-charm-5d-embossed-nail-sticker","Lace Bow &amp; Heart Crystal: ""Gothic Lolita Charm"" – 5D Embossed Nail Sticker")</x:f>
        <x:v>HYPERLINK is not implemented. linkLocation=https://365nails.com/products/lace-bow-heart-crystal-gothic-lolita-charm-5d-embossed-nail-sticker, friendlyName=Lace Bow &amp; Heart Crystal: "Gothic Lolita Charm" – 5D Embossed Nail Sticker</x:v>
      </x:c>
      <x:c r="D7576" s="18" t="str">
        <x:v>Specification type: Ta293-crystal diamond / Ta294-crystal diamond / Ta295-crystal diamond / Ta296-crystal diamond / Ta297-crystal diamond / Ta298-crystal diamond</x:v>
      </x:c>
      <x:c r="E7576" s="25" t="str">
        <x:v>$1.30</x:v>
      </x:c>
      <x:c r="F7576" s="19" t="str">
        <x:v>5</x:v>
      </x:c>
    </x:row>
    <x:row r="7577" ht="93" customHeight="1">
      <x:c r="A7577" s="19" t="n">
        <x:v>7574</x:v>
      </x:c>
      <x:c r="B7577" s="22" t="e">
        <x:f>HYPERLINK("https://cdn.shopify.com/s/files/1/0918/6066/4603/files/O1CN01aVbPsd1HlX5mXE6Cr__2545140798-0-cib.jpg?v=1773587033","Open")</x:f>
        <x:v>HYPERLINK is not implemented. linkLocation=https://cdn.shopify.com/s/files/1/0918/6066/4603/files/O1CN01aVbPsd1HlX5mXE6Cr__2545140798-0-cib.jpg?v=1773587033, friendlyName=Open</x:v>
      </x:c>
      <x:c r="C7577" s="24" t="e">
        <x:f>HYPERLINK("https://365nails.com/products/farm-animal-garden-spring-pastoral-5d-embossed-nail-sticker","Farm Animal &amp; Garden: ""Spring Pastoral"" – 5D Embossed Nail Sticker")</x:f>
        <x:v>HYPERLINK is not implemented. linkLocation=https://365nails.com/products/farm-animal-garden-spring-pastoral-5d-embossed-nail-sticker, friendlyName=Farm Animal &amp; Garden: "Spring Pastoral" – 5D Embossed Nail Sticker</x:v>
      </x:c>
      <x:c r="D7577" s="18" t="str">
        <x:v>Specification type: To4825-relief / To4827-relief</x:v>
      </x:c>
      <x:c r="E7577" s="25" t="str">
        <x:v>$1.23</x:v>
      </x:c>
      <x:c r="F7577" s="19" t="str">
        <x:v>5</x:v>
      </x:c>
    </x:row>
    <x:row r="7578" ht="93" customHeight="1">
      <x:c r="A7578" s="19" t="n">
        <x:v>7575</x:v>
      </x:c>
      <x:c r="B7578" s="22" t="e">
        <x:f>HYPERLINK("https://cdn.shopify.com/s/files/1/0918/6066/4603/files/751bf7ae097acc3c1f7dfe494d9e51c6.jpg?v=1773059649","Open")</x:f>
        <x:v>HYPERLINK is not implemented. linkLocation=https://cdn.shopify.com/s/files/1/0918/6066/4603/files/751bf7ae097acc3c1f7dfe494d9e51c6.jpg?v=1773059649, friendlyName=Open</x:v>
      </x:c>
      <x:c r="C7578" s="24" t="e">
        <x:f>HYPERLINK("https://365nails.com/products/miiichan-ice-cream-party-cute-collaboration-nail-art-set","Miiichan Ice Cream Party – Cute Collaboration Nail Art Set")</x:f>
        <x:v>HYPERLINK is not implemented. linkLocation=https://365nails.com/products/miiichan-ice-cream-party-cute-collaboration-nail-art-set, friendlyName=Miiichan Ice Cream Party – Cute Collaboration Nail Art Set</x:v>
      </x:c>
      <x:c r="D7578" s="18" t="str">
        <x:v>Specification type: Mc67-relief</x:v>
      </x:c>
      <x:c r="E7578" s="25" t="str">
        <x:v>$1.23</x:v>
      </x:c>
      <x:c r="F7578" s="19" t="str">
        <x:v>5</x:v>
      </x:c>
    </x:row>
    <x:row r="7579" ht="93" customHeight="1">
      <x:c r="A7579" s="19" t="n">
        <x:v>7576</x:v>
      </x:c>
      <x:c r="B7579" s="22" t="e">
        <x:f>HYPERLINK("https://cdn.shopify.com/s/files/1/0918/6066/4603/files/O1CN01xCIpD01HlX36cEtca__2545140798-0-cib.jpg?v=1773839263","Open")</x:f>
        <x:v>HYPERLINK is not implemented. linkLocation=https://cdn.shopify.com/s/files/1/0918/6066/4603/files/O1CN01xCIpD01HlX36cEtca__2545140798-0-cib.jpg?v=1773839263, friendlyName=Open</x:v>
      </x:c>
      <x:c r="C7579" s="24" t="e">
        <x:f>HYPERLINK("https://365nails.com/products/rose-gold-wildflower-minimalist-botanical-wildflower-5d-embossed-nail-sticker","Rose Gold Wildflower: ""Minimalist Botanical Wildflower"" – 5D Embossed Nail Sticker")</x:f>
        <x:v>HYPERLINK is not implemented. linkLocation=https://365nails.com/products/rose-gold-wildflower-minimalist-botanical-wildflower-5d-embossed-nail-sticker, friendlyName=Rose Gold Wildflower: "Minimalist Botanical Wildflower" – 5D Embossed Nail Sticker</x:v>
      </x:c>
      <x:c r="D7579" s="18" t="str">
        <x:v>Specification type: To4237-rose gold / To4237-new hot stamping / To4237-silver</x:v>
      </x:c>
      <x:c r="E7579" s="25" t="str">
        <x:v>$1.23</x:v>
      </x:c>
      <x:c r="F7579" s="19" t="str">
        <x:v>5</x:v>
      </x:c>
    </x:row>
    <x:row r="7580" ht="93" customHeight="1">
      <x:c r="A7580" s="19" t="n">
        <x:v>7577</x:v>
      </x:c>
      <x:c r="B7580" s="22" t="e">
        <x:f>HYPERLINK("https://cdn.shopify.com/s/files/1/0918/6066/4603/files/O1CN01JDE8kw1HlX65zkLlX__2545140798-0-cib.jpg?v=1773653217","Open")</x:f>
        <x:v>HYPERLINK is not implemented. linkLocation=https://cdn.shopify.com/s/files/1/0918/6066/4603/files/O1CN01JDE8kw1HlX65zkLlX__2545140798-0-cib.jpg?v=1773653217, friendlyName=Open</x:v>
      </x:c>
      <x:c r="C7580" s="24" t="e">
        <x:f>HYPERLINK("https://365nails.com/products/pastel-spring-floral-love-letter-secret-garden-love-letter-5d-embossed-nail-sticker","Pastel Spring Floral &amp; Love Letter: ""Secret Garden Love Letter"" – 5D Embossed Nail Sticker")</x:f>
        <x:v>HYPERLINK is not implemented. linkLocation=https://365nails.com/products/pastel-spring-floral-love-letter-secret-garden-love-letter-5d-embossed-nail-sticker, friendlyName=Pastel Spring Floral &amp; Love Letter: "Secret Garden Love Letter" – 5D Embossed Nail Sticker</x:v>
      </x:c>
      <x:c r="D7580" s="18" t="str">
        <x:v>Specification type: To4994-relief</x:v>
      </x:c>
      <x:c r="E7580" s="25" t="str">
        <x:v>$1.23</x:v>
      </x:c>
      <x:c r="F7580" s="19" t="str">
        <x:v>5</x:v>
      </x:c>
    </x:row>
    <x:row r="7581" ht="93" customHeight="1">
      <x:c r="A7581" s="19" t="n">
        <x:v>7578</x:v>
      </x:c>
      <x:c r="B7581" s="22" t="e">
        <x:f>HYPERLINK("https://cdn.shopify.com/s/files/1/0918/6066/4603/files/O1CN01VhMPrX1HlX0bJsVDD__2545140798-0-cib_8c4ed162-7b02-490d-891c-e121dcc8d19f.jpg?v=1773931576","Open")</x:f>
        <x:v>HYPERLINK is not implemented. linkLocation=https://cdn.shopify.com/s/files/1/0918/6066/4603/files/O1CN01VhMPrX1HlX0bJsVDD__2545140798-0-cib_8c4ed162-7b02-490d-891c-e121dcc8d19f.jpg?v=1773931576, friendlyName=Open</x:v>
      </x:c>
      <x:c r="C7581" s="24" t="e">
        <x:f>HYPERLINK("https://365nails.com/products/pastel-heart-star-sweet-heart-dream-5d-embossed-nail-sticker","Pastel Heart &amp; Star: ""Sweet Heart Dream"" – 5D Embossed Nail Sticker")</x:f>
        <x:v>HYPERLINK is not implemented. linkLocation=https://365nails.com/products/pastel-heart-star-sweet-heart-dream-5d-embossed-nail-sticker, friendlyName=Pastel Heart &amp; Star: "Sweet Heart Dream" – 5D Embossed Nail Sticker</x:v>
      </x:c>
      <x:c r="D7581" s="18" t="str">
        <x:v>Specification type: To3921 / To3960</x:v>
      </x:c>
      <x:c r="E7581" s="25" t="str">
        <x:v>$1.09</x:v>
      </x:c>
      <x:c r="F7581" s="19" t="str">
        <x:v>5</x:v>
      </x:c>
    </x:row>
    <x:row r="7582" ht="93" customHeight="1">
      <x:c r="A7582" s="19" t="n">
        <x:v>7579</x:v>
      </x:c>
      <x:c r="B7582" s="22" t="e">
        <x:f>HYPERLINK("https://cdn.shopify.com/s/files/1/0918/6066/4603/files/O1CN01jiKA081HlX3A3Ddfc__2545140798-0-cib.jpg?v=1773060529","Open")</x:f>
        <x:v>HYPERLINK is not implemented. linkLocation=https://cdn.shopify.com/s/files/1/0918/6066/4603/files/O1CN01jiKA081HlX3A3Ddfc__2545140798-0-cib.jpg?v=1773060529, friendlyName=Open</x:v>
      </x:c>
      <x:c r="C7582" s="24" t="e">
        <x:f>HYPERLINK("https://365nails.com/products/taomini-sweet-party-cute-collaboration-nail-art-set","Taomini Sweet Party – Cute Collaboration Nail Art Set")</x:f>
        <x:v>HYPERLINK is not implemented. linkLocation=https://365nails.com/products/taomini-sweet-party-cute-collaboration-nail-art-set, friendlyName=Taomini Sweet Party – Cute Collaboration Nail Art Set</x:v>
      </x:c>
      <x:c r="D7582" s="18" t="str">
        <x:v>Specification type: Mini004-relief / Mini005-relief / Mini006-relief / Mini012-silver</x:v>
      </x:c>
      <x:c r="E7582" s="25" t="str">
        <x:v>$1.23</x:v>
      </x:c>
      <x:c r="F7582" s="19" t="str">
        <x:v>5</x:v>
      </x:c>
    </x:row>
    <x:row r="7583" ht="93" customHeight="1">
      <x:c r="A7583" s="19" t="n">
        <x:v>7580</x:v>
      </x:c>
      <x:c r="B7583" s="22" t="e">
        <x:f>HYPERLINK("https://cdn.shopify.com/s/files/1/0918/6066/4603/files/80c15dce9f491fe60430729474aea6fe.jpg?v=1772968047","Open")</x:f>
        <x:v>HYPERLINK is not implemented. linkLocation=https://cdn.shopify.com/s/files/1/0918/6066/4603/files/80c15dce9f491fe60430729474aea6fe.jpg?v=1772968047, friendlyName=Open</x:v>
      </x:c>
      <x:c r="C7583" s="24" t="e">
        <x:f>HYPERLINK("https://365nails.com/products/baroque-gold-filigree-hot-stamping-nail-art-set","Baroque Gold Filigree – Hot Stamping Nail Art Set")</x:f>
        <x:v>HYPERLINK is not implemented. linkLocation=https://365nails.com/products/baroque-gold-filigree-hot-stamping-nail-art-set, friendlyName=Baroque Gold Filigree – Hot Stamping Nail Art Set</x:v>
      </x:c>
      <x:c r="D7583" s="18" t="str">
        <x:v>Specification type: Ms475-hot stamping</x:v>
      </x:c>
      <x:c r="E7583" s="25" t="str">
        <x:v>$1.23</x:v>
      </x:c>
      <x:c r="F7583" s="19" t="str">
        <x:v>5</x:v>
      </x:c>
    </x:row>
    <x:row r="7584" ht="93" customHeight="1">
      <x:c r="A7584" s="19" t="n">
        <x:v>7581</x:v>
      </x:c>
      <x:c r="B7584" s="22" t="e">
        <x:f>HYPERLINK("https://cdn.shopify.com/s/files/1/0918/6066/4603/files/O1CN01FPn2gk1HlWtIchqVd__2545140798-0-cib.jpg?v=1773745765","Open")</x:f>
        <x:v>HYPERLINK is not implemented. linkLocation=https://cdn.shopify.com/s/files/1/0918/6066/4603/files/O1CN01FPn2gk1HlWtIchqVd__2545140798-0-cib.jpg?v=1773745765, friendlyName=Open</x:v>
      </x:c>
      <x:c r="C7584" s="24" t="e">
        <x:f>HYPERLINK("https://365nails.com/products/silver-crystal-quadrangle-star-celestial-north-star-5d-embossed-nail-sticker","Silver Crystal Quadrangle Star: ""Celestial North Star"" – 5D Embossed Nail Sticker")</x:f>
        <x:v>HYPERLINK is not implemented. linkLocation=https://365nails.com/products/silver-crystal-quadrangle-star-celestial-north-star-5d-embossed-nail-sticker, friendlyName=Silver Crystal Quadrangle Star: "Celestial North Star" – 5D Embossed Nail Sticker</x:v>
      </x:c>
      <x:c r="D7584" s="18" t="str">
        <x:v>Specification type: To2944-silver crystal diamond / To2945 / To2946 / To2968 / To2944-new hot stamping crystal diamond</x:v>
      </x:c>
      <x:c r="E7584" s="25" t="str">
        <x:v>$1.30</x:v>
      </x:c>
      <x:c r="F7584" s="19" t="str">
        <x:v>5</x:v>
      </x:c>
    </x:row>
    <x:row r="7585" ht="93" customHeight="1">
      <x:c r="A7585" s="19" t="n">
        <x:v>7582</x:v>
      </x:c>
      <x:c r="B7585" s="22" t="e">
        <x:f>HYPERLINK("https://cdn.shopify.com/s/files/1/0918/6066/4603/files/O1CN01nI2NmL1HlWp5ejgFx__2545140798-0-cib.jpg?v=1772969140","Open")</x:f>
        <x:v>HYPERLINK is not implemented. linkLocation=https://cdn.shopify.com/s/files/1/0918/6066/4603/files/O1CN01nI2NmL1HlWp5ejgFx__2545140798-0-cib.jpg?v=1772969140, friendlyName=Open</x:v>
      </x:c>
      <x:c r="C7585" s="24" t="e">
        <x:f>HYPERLINK("https://365nails.com/products/ink-wash-red-bamboo-chinese-ink-art-nail-art-set","Ink Wash Red Bamboo – Chinese Ink Art Nail Art Set")</x:f>
        <x:v>HYPERLINK is not implemented. linkLocation=https://365nails.com/products/ink-wash-red-bamboo-chinese-ink-art-nail-art-set, friendlyName=Ink Wash Red Bamboo – Chinese Ink Art Nail Art Set</x:v>
      </x:c>
      <x:c r="D7585" s="18" t="str">
        <x:v>Specification type: To1881 / To1882 / To1883 / To1884</x:v>
      </x:c>
      <x:c r="E7585" s="25" t="str">
        <x:v>$1.23</x:v>
      </x:c>
      <x:c r="F7585" s="19" t="str">
        <x:v>5</x:v>
      </x:c>
    </x:row>
    <x:row r="7586" ht="93" customHeight="1">
      <x:c r="A7586" s="19" t="n">
        <x:v>7583</x:v>
      </x:c>
      <x:c r="B7586" s="22" t="e">
        <x:f>HYPERLINK("https://cdn.shopify.com/s/files/1/0918/6066/4603/files/O1CN01EwWcTT1HlX207eECJ__2545140798-0-cib.jpg?v=1773838212","Open")</x:f>
        <x:v>HYPERLINK is not implemented. linkLocation=https://cdn.shopify.com/s/files/1/0918/6066/4603/files/O1CN01EwWcTT1HlX207eECJ__2545140798-0-cib.jpg?v=1773838212, friendlyName=Open</x:v>
      </x:c>
      <x:c r="C7586" s="24" t="e">
        <x:f>HYPERLINK("https://365nails.com/products/dreamy-pastel-cloud-ethereal-sky-cloud-5d-embossed-nail-sticker","Dreamy Pastel Cloud: ""Ethereal Sky Cloud"" – 5D Embossed Nail Sticker")</x:f>
        <x:v>HYPERLINK is not implemented. linkLocation=https://365nails.com/products/dreamy-pastel-cloud-ethereal-sky-cloud-5d-embossed-nail-sticker, friendlyName=Dreamy Pastel Cloud: "Ethereal Sky Cloud" – 5D Embossed Nail Sticker</x:v>
      </x:c>
      <x:c r="D7586" s="18" t="str">
        <x:v>Specification type: To4215 / To4225</x:v>
      </x:c>
      <x:c r="E7586" s="25" t="str">
        <x:v>$1.09</x:v>
      </x:c>
      <x:c r="F7586" s="19" t="str">
        <x:v>5</x:v>
      </x:c>
    </x:row>
    <x:row r="7587" ht="93" customHeight="1">
      <x:c r="A7587" s="19" t="n">
        <x:v>7584</x:v>
      </x:c>
      <x:c r="B7587" s="22" t="e">
        <x:f>HYPERLINK("https://cdn.shopify.com/s/files/1/0918/6066/4603/files/7ac3c0b5bf9d3da5221c53b1c01984ca.jpg?v=1772970335","Open")</x:f>
        <x:v>HYPERLINK is not implemented. linkLocation=https://cdn.shopify.com/s/files/1/0918/6066/4603/files/7ac3c0b5bf9d3da5221c53b1c01984ca.jpg?v=1772970335, friendlyName=Open</x:v>
      </x:c>
      <x:c r="C7587" s="24" t="e">
        <x:f>HYPERLINK("https://365nails.com/products/watercolor-lotus-pond-chinese-style-floral-nail-art-set","Watercolor Lotus Pond – Chinese Style Floral Nail Art Set")</x:f>
        <x:v>HYPERLINK is not implemented. linkLocation=https://365nails.com/products/watercolor-lotus-pond-chinese-style-floral-nail-art-set, friendlyName=Watercolor Lotus Pond – Chinese Style Floral Nail Art Set</x:v>
      </x:c>
      <x:c r="D7587" s="18" t="str">
        <x:v>Specification type: To2039 / To2040</x:v>
      </x:c>
      <x:c r="E7587" s="25" t="str">
        <x:v>$1.23</x:v>
      </x:c>
      <x:c r="F7587" s="19" t="str">
        <x:v>5</x:v>
      </x:c>
    </x:row>
    <x:row r="7588" ht="93" customHeight="1">
      <x:c r="A7588" s="19" t="n">
        <x:v>7585</x:v>
      </x:c>
      <x:c r="B7588" s="22" t="e">
        <x:f>HYPERLINK("https://cdn.shopify.com/s/files/1/0918/6066/4603/files/e738b6118850d7f52bb12053fe2235e7.jpg?v=1772973986","Open")</x:f>
        <x:v>HYPERLINK is not implemented. linkLocation=https://cdn.shopify.com/s/files/1/0918/6066/4603/files/e738b6118850d7f52bb12053fe2235e7.jpg?v=1772973986, friendlyName=Open</x:v>
      </x:c>
      <x:c r="C7588" s="24" t="e">
        <x:f>HYPERLINK("https://365nails.com/products/warm-christmas-festive-watercolor-nail-art-set","Warm Christmas – Festive Watercolor Nail Art Set")</x:f>
        <x:v>HYPERLINK is not implemented. linkLocation=https://365nails.com/products/warm-christmas-festive-watercolor-nail-art-set, friendlyName=Warm Christmas – Festive Watercolor Nail Art Set</x:v>
      </x:c>
      <x:c r="D7588" s="18" t="str">
        <x:v>Specification type: To3505 / To3535</x:v>
      </x:c>
      <x:c r="E7588" s="25" t="str">
        <x:v>$1.23</x:v>
      </x:c>
      <x:c r="F7588" s="19" t="str">
        <x:v>5</x:v>
      </x:c>
    </x:row>
    <x:row r="7589" ht="93" customHeight="1">
      <x:c r="A7589" s="19" t="n">
        <x:v>7586</x:v>
      </x:c>
      <x:c r="B7589" s="22" t="e">
        <x:f>HYPERLINK("https://cdn.shopify.com/s/files/1/0918/6066/4603/files/O1CN01oGRjbv1HlX2NAsDkj__2545140798-0-cib.jpg?v=1773837996","Open")</x:f>
        <x:v>HYPERLINK is not implemented. linkLocation=https://cdn.shopify.com/s/files/1/0918/6066/4603/files/O1CN01oGRjbv1HlX2NAsDkj__2545140798-0-cib.jpg?v=1773837996, friendlyName=Open</x:v>
      </x:c>
      <x:c r="C7589" s="24" t="e">
        <x:f>HYPERLINK("https://365nails.com/products/summer-beach-treats-tropical-summer-dessert-5d-embossed-nail-sticker","Summer Beach Treats: ""Tropical Summer Dessert"" – 5D Embossed Nail Sticker")</x:f>
        <x:v>HYPERLINK is not implemented. linkLocation=https://365nails.com/products/summer-beach-treats-tropical-summer-dessert-5d-embossed-nail-sticker, friendlyName=Summer Beach Treats: "Tropical Summer Dessert" – 5D Embossed Nail Sticker</x:v>
      </x:c>
      <x:c r="D7589" s="18" t="str">
        <x:v>Specification type: To4296-relief / To4297-relief / To4298-jelly</x:v>
      </x:c>
      <x:c r="E7589" s="25" t="str">
        <x:v>$1.23</x:v>
      </x:c>
      <x:c r="F7589" s="19" t="str">
        <x:v>5</x:v>
      </x:c>
    </x:row>
    <x:row r="7590" ht="93" customHeight="1">
      <x:c r="A7590" s="19" t="n">
        <x:v>7587</x:v>
      </x:c>
      <x:c r="B7590" s="22" t="e">
        <x:f>HYPERLINK("https://cdn.shopify.com/s/files/1/0918/6066/4603/files/O1CN01gAltUA1HlX9KHHQWi__2545140798-0-cib.jpg?v=1773667352","Open")</x:f>
        <x:v>HYPERLINK is not implemented. linkLocation=https://cdn.shopify.com/s/files/1/0918/6066/4603/files/O1CN01gAltUA1HlX9KHHQWi__2545140798-0-cib.jpg?v=1773667352, friendlyName=Open</x:v>
      </x:c>
      <x:c r="C7590" s="24" t="e">
        <x:f>HYPERLINK("https://365nails.com/products/silver-crystal-butterfly-chain-crystal-butterfly-fantasy-5d-embossed-nail-sticker","Silver Crystal Butterfly &amp; Chain: ""Crystal Butterfly Fantasy"" – 5D Embossed Nail Sticker")</x:f>
        <x:v>HYPERLINK is not implemented. linkLocation=https://365nails.com/products/silver-crystal-butterfly-chain-crystal-butterfly-fantasy-5d-embossed-nail-sticker, friendlyName=Silver Crystal Butterfly &amp; Chain: "Crystal Butterfly Fantasy" – 5D Embossed Nail Sticker</x:v>
      </x:c>
      <x:c r="D7590" s="18" t="str">
        <x:v>Specification type: Ms862-metal</x:v>
      </x:c>
      <x:c r="E7590" s="25" t="str">
        <x:v>$1.23</x:v>
      </x:c>
      <x:c r="F7590" s="19" t="str">
        <x:v>5</x:v>
      </x:c>
    </x:row>
    <x:row r="7591" ht="93" customHeight="1">
      <x:c r="A7591" s="19" t="n">
        <x:v>7588</x:v>
      </x:c>
      <x:c r="B7591" s="22" t="e">
        <x:f>HYPERLINK("https://cdn.shopify.com/s/files/1/0918/6066/4603/files/O1CN01XXaV221HlX1GVStTk__2545140798-0-cib_61e068e1-d020-4ca7-858c-a5d85ac0d74f.jpg?v=1773931834","Open")</x:f>
        <x:v>HYPERLINK is not implemented. linkLocation=https://cdn.shopify.com/s/files/1/0918/6066/4603/files/O1CN01XXaV221HlX1GVStTk__2545140798-0-cib_61e068e1-d020-4ca7-858c-a5d85ac0d74f.jpg?v=1773931834, friendlyName=Open</x:v>
      </x:c>
      <x:c r="C7591" s="24" t="e">
        <x:f>HYPERLINK("https://365nails.com/products/holographic-cloud-rainbow-sky-dream-hologram-5d-embossed-nail-sticker","Holographic Cloud &amp; Rainbow: ""Sky Dream Hologram"" – 5D Embossed Nail Sticker")</x:f>
        <x:v>HYPERLINK is not implemented. linkLocation=https://365nails.com/products/holographic-cloud-rainbow-sky-dream-hologram-5d-embossed-nail-sticker, friendlyName=Holographic Cloud &amp; Rainbow: "Sky Dream Hologram" – 5D Embossed Nail Sticker</x:v>
      </x:c>
      <x:c r="D7591" s="18" t="str">
        <x:v>Specification type: To4028-shell light</x:v>
      </x:c>
      <x:c r="E7591" s="25" t="str">
        <x:v>$1.23</x:v>
      </x:c>
      <x:c r="F7591" s="19" t="str">
        <x:v>5</x:v>
      </x:c>
    </x:row>
    <x:row r="7592" ht="93" customHeight="1">
      <x:c r="A7592" s="19" t="n">
        <x:v>7589</x:v>
      </x:c>
      <x:c r="B7592" s="22" t="e">
        <x:f>HYPERLINK("https://cdn.shopify.com/s/files/1/0918/6066/4603/files/O1CN01CtJ5aK1HlWzgf2BvJ__2545140798-0-cib.jpg?v=1773757980","Open")</x:f>
        <x:v>HYPERLINK is not implemented. linkLocation=https://cdn.shopify.com/s/files/1/0918/6066/4603/files/O1CN01CtJ5aK1HlWzgf2BvJ__2545140798-0-cib.jpg?v=1773757980, friendlyName=Open</x:v>
      </x:c>
      <x:c r="C7592" s="24" t="e">
        <x:f>HYPERLINK("https://365nails.com/products/ink-wash-nine-tailed-fox-oriental-ink-fox-plum-blossom-5d-embossed-nail-sticker","Ink Wash Nine-Tailed Fox: ""Oriental Ink Fox &amp; Plum Blossom"" – 5D Embossed Nail Sticker")</x:f>
        <x:v>HYPERLINK is not implemented. linkLocation=https://365nails.com/products/ink-wash-nine-tailed-fox-oriental-ink-fox-plum-blossom-5d-embossed-nail-sticker, friendlyName=Ink Wash Nine-Tailed Fox: "Oriental Ink Fox &amp; Plum Blossom" – 5D Embossed Nail Sticker</x:v>
      </x:c>
      <x:c r="D7592" s="18" t="str">
        <x:v>Specification type: To3739 / To3743</x:v>
      </x:c>
      <x:c r="E7592" s="25" t="str">
        <x:v>$1.09</x:v>
      </x:c>
      <x:c r="F7592" s="19" t="str">
        <x:v>5</x:v>
      </x:c>
    </x:row>
    <x:row r="7593" ht="93" customHeight="1">
      <x:c r="A7593" s="19" t="n">
        <x:v>7590</x:v>
      </x:c>
      <x:c r="B7593" s="22" t="e">
        <x:f>HYPERLINK("https://cdn.shopify.com/s/files/1/0918/6066/4603/files/O1CN01hRRt2x1HlX9pNJmA5__2545140798-0-cib.jpg?v=1773931516","Open")</x:f>
        <x:v>HYPERLINK is not implemented. linkLocation=https://cdn.shopify.com/s/files/1/0918/6066/4603/files/O1CN01hRRt2x1HlX9pNJmA5__2545140798-0-cib.jpg?v=1773931516, friendlyName=Open</x:v>
      </x:c>
      <x:c r="C7593" s="24" t="e">
        <x:f>HYPERLINK("https://365nails.com/products/glitter-firework-burst-festival-sparkle-5d-embossed-nail-sticker","Glitter Firework Burst: ""Festival Sparkle"" – 5D Embossed Nail Sticker")</x:f>
        <x:v>HYPERLINK is not implemented. linkLocation=https://365nails.com/products/glitter-firework-burst-festival-sparkle-5d-embossed-nail-sticker, friendlyName=Glitter Firework Burst: "Festival Sparkle" – 5D Embossed Nail Sticker</x:v>
      </x:c>
      <x:c r="D7593" s="18" t="str">
        <x:v>Specification type: Ms861-red gold / Ms861-new hot stamping</x:v>
      </x:c>
      <x:c r="E7593" s="25" t="str">
        <x:v>$1.23</x:v>
      </x:c>
      <x:c r="F7593" s="19" t="str">
        <x:v>5</x:v>
      </x:c>
    </x:row>
    <x:row r="7594" ht="93" customHeight="1">
      <x:c r="A7594" s="19" t="n">
        <x:v>7591</x:v>
      </x:c>
      <x:c r="B7594" s="22" t="e">
        <x:f>HYPERLINK("https://cdn.shopify.com/s/files/1/0918/6066/4603/files/O1CN01FLlyuE1HlX1s3m5G2__2545140798-0-cib.jpg?v=1773837737","Open")</x:f>
        <x:v>HYPERLINK is not implemented. linkLocation=https://cdn.shopify.com/s/files/1/0918/6066/4603/files/O1CN01FLlyuE1HlX1s3m5G2__2545140798-0-cib.jpg?v=1773837737, friendlyName=Open</x:v>
      </x:c>
      <x:c r="C7594" s="24" t="e">
        <x:f>HYPERLINK("https://365nails.com/products/plush-teddy-pet-cozy-plush-pet-party-5d-embossed-nail-sticker","Plush Teddy &amp; Pet: ""Cozy Plush Pet Party"" – 5D Embossed Nail Sticker")</x:f>
        <x:v>HYPERLINK is not implemented. linkLocation=https://365nails.com/products/plush-teddy-pet-cozy-plush-pet-party-5d-embossed-nail-sticker, friendlyName=Plush Teddy &amp; Pet: "Cozy Plush Pet Party" – 5D Embossed Nail Sticker</x:v>
      </x:c>
      <x:c r="D7594" s="18" t="str">
        <x:v>Specification type: To4195-relief / To4202-relief</x:v>
      </x:c>
      <x:c r="E7594" s="25" t="str">
        <x:v>$1.23</x:v>
      </x:c>
      <x:c r="F7594" s="19" t="str">
        <x:v>5</x:v>
      </x:c>
    </x:row>
    <x:row r="7595" ht="93" customHeight="1">
      <x:c r="A7595" s="19" t="n">
        <x:v>7592</x:v>
      </x:c>
      <x:c r="B7595" s="22" t="e">
        <x:f>HYPERLINK("https://cdn.shopify.com/s/files/1/0918/6066/4603/files/O1CN01AXVkuj1HlX8hV0RVL__2545140798-0-cib.jpg?v=1773650296","Open")</x:f>
        <x:v>HYPERLINK is not implemented. linkLocation=https://cdn.shopify.com/s/files/1/0918/6066/4603/files/O1CN01AXVkuj1HlX8hV0RVL__2545140798-0-cib.jpg?v=1773650296, friendlyName=Open</x:v>
      </x:c>
      <x:c r="C7595" s="24" t="e">
        <x:f>HYPERLINK("https://365nails.com/products/cute-animal-doodle-whimsical-pet-parade-5d-embossed-nail-sticker","Cute Animal Doodle: ""Whimsical Pet Parade"" – 5D Embossed Nail Sticker")</x:f>
        <x:v>HYPERLINK is not implemented. linkLocation=https://365nails.com/products/cute-animal-doodle-whimsical-pet-parade-5d-embossed-nail-sticker, friendlyName=Cute Animal Doodle: "Whimsical Pet Parade" – 5D Embossed Nail Sticker</x:v>
      </x:c>
      <x:c r="D7595" s="18" t="str">
        <x:v>Specification type: To5229-shell light / To5230-shell light</x:v>
      </x:c>
      <x:c r="E7595" s="25" t="str">
        <x:v>$1.23</x:v>
      </x:c>
      <x:c r="F7595" s="19" t="str">
        <x:v>5</x:v>
      </x:c>
    </x:row>
    <x:row r="7596" ht="93" customHeight="1">
      <x:c r="A7596" s="19" t="n">
        <x:v>7593</x:v>
      </x:c>
      <x:c r="B7596" s="22" t="e">
        <x:f>HYPERLINK("https://cdn.shopify.com/s/files/1/0918/6066/4603/files/O1CN01Eq9bhE1HlX5y8WYzk__2545140798-0-cib.jpg?v=1773633600","Open")</x:f>
        <x:v>HYPERLINK is not implemented. linkLocation=https://cdn.shopify.com/s/files/1/0918/6066/4603/files/O1CN01Eq9bhE1HlX5y8WYzk__2545140798-0-cib.jpg?v=1773633600, friendlyName=Open</x:v>
      </x:c>
      <x:c r="C7596" s="24" t="e">
        <x:f>HYPERLINK("https://365nails.com/products/zootopia-clawhauser-cheerful-officer-3d-embossed-sticker","Zootopia Clawhauser: ""Cheerful Officer"" – 3D Embossed Sticker")</x:f>
        <x:v>HYPERLINK is not implemented. linkLocation=https://365nails.com/products/zootopia-clawhauser-cheerful-officer-3d-embossed-sticker, friendlyName=Zootopia Clawhauser: "Cheerful Officer" – 3D Embossed Sticker</x:v>
      </x:c>
      <x:c r="D7596" s="18" t="str">
        <x:v>Specification type: Tdsn001-relief</x:v>
      </x:c>
      <x:c r="E7596" s="25" t="str">
        <x:v>$1.23</x:v>
      </x:c>
      <x:c r="F7596" s="19" t="str">
        <x:v>5</x:v>
      </x:c>
    </x:row>
    <x:row r="7597" ht="93" customHeight="1">
      <x:c r="A7597" s="19" t="n">
        <x:v>7594</x:v>
      </x:c>
      <x:c r="B7597" s="22" t="e">
        <x:f>HYPERLINK("https://cdn.shopify.com/s/files/1/0918/6066/4603/files/O1CN019v1Efh1HlX3p7mDH3__2545140798-0-cib.jpg?v=1773840001","Open")</x:f>
        <x:v>HYPERLINK is not implemented. linkLocation=https://cdn.shopify.com/s/files/1/0918/6066/4603/files/O1CN019v1Efh1HlX3p7mDH3__2545140798-0-cib.jpg?v=1773840001, friendlyName=Open</x:v>
      </x:c>
      <x:c r="C7597" s="24" t="e">
        <x:f>HYPERLINK("https://365nails.com/products/halloween-puppy-witch-cute-spooky-halloween-puppy-5d-embossed-nail-sticker","Halloween Puppy &amp; Witch: ""Cute Spooky Halloween Puppy"" – 5D Embossed Nail Sticker")</x:f>
        <x:v>HYPERLINK is not implemented. linkLocation=https://365nails.com/products/halloween-puppy-witch-cute-spooky-halloween-puppy-5d-embossed-nail-sticker, friendlyName=Halloween Puppy &amp; Witch: "Cute Spooky Halloween Puppy" – 5D Embossed Nail Sticker</x:v>
      </x:c>
      <x:c r="D7597" s="18" t="str">
        <x:v>Specification type: Mc50 / Mc 52</x:v>
      </x:c>
      <x:c r="E7597" s="25" t="str">
        <x:v>$1.16</x:v>
      </x:c>
      <x:c r="F7597" s="19" t="str">
        <x:v>5</x:v>
      </x:c>
    </x:row>
    <x:row r="7598" ht="93" customHeight="1">
      <x:c r="A7598" s="19" t="n">
        <x:v>7595</x:v>
      </x:c>
      <x:c r="B7598" s="22" t="e">
        <x:f>HYPERLINK("https://cdn.shopify.com/s/files/1/0918/6066/4603/files/O1CN01MRo4Ow1HlX1oO8zdV__2545140798-0-cib.jpg?v=1773837682","Open")</x:f>
        <x:v>HYPERLINK is not implemented. linkLocation=https://cdn.shopify.com/s/files/1/0918/6066/4603/files/O1CN01MRo4Ow1HlX1oO8zdV__2545140798-0-cib.jpg?v=1773837682, friendlyName=Open</x:v>
      </x:c>
      <x:c r="C7598" s="24" t="e">
        <x:f>HYPERLINK("https://365nails.com/products/white-floral-crystal-diamond-ethereal-white-floral-5d-embossed-nail-sticker-1","White Floral Crystal-Diamond: ""Ethereal White Floral"" – 5D Embossed Nail Sticker")</x:f>
        <x:v>HYPERLINK is not implemented. linkLocation=https://365nails.com/products/white-floral-crystal-diamond-ethereal-white-floral-5d-embossed-nail-sticker-1, friendlyName=White Floral Crystal-Diamond: "Ethereal White Floral" – 5D Embossed Nail Sticker</x:v>
      </x:c>
      <x:c r="D7598" s="18" t="str">
        <x:v>Specification type: To4169 crystal diamond</x:v>
      </x:c>
      <x:c r="E7598" s="25" t="str">
        <x:v>$1.30</x:v>
      </x:c>
      <x:c r="F7598" s="19" t="str">
        <x:v>5</x:v>
      </x:c>
    </x:row>
    <x:row r="7599" ht="93" customHeight="1">
      <x:c r="A7599" s="19" t="n">
        <x:v>7596</x:v>
      </x:c>
      <x:c r="B7599" s="22" t="e">
        <x:f>HYPERLINK("https://cdn.shopify.com/s/files/1/0918/6066/4603/files/O1CN01APuKTi1HlX4PVT7xK__2545140798-0-cib.jpg?v=1773840211","Open")</x:f>
        <x:v>HYPERLINK is not implemented. linkLocation=https://cdn.shopify.com/s/files/1/0918/6066/4603/files/O1CN01APuKTi1HlX4PVT7xK__2545140798-0-cib.jpg?v=1773840211, friendlyName=Open</x:v>
      </x:c>
      <x:c r="C7599" s="24" t="e">
        <x:f>HYPERLINK("https://365nails.com/products/pink-rose-snake-elegant-rose-snake-5d-embossed-nail-sticker","Pink Rose &amp; Snake: ""Elegant Rose Snake"" – 5D Embossed Nail Sticker")</x:f>
        <x:v>HYPERLINK is not implemented. linkLocation=https://365nails.com/products/pink-rose-snake-elegant-rose-snake-5d-embossed-nail-sticker, friendlyName=Pink Rose &amp; Snake: "Elegant Rose Snake" – 5D Embossed Nail Sticker</x:v>
      </x:c>
      <x:c r="D7599" s="18" t="str">
        <x:v>Specification type: To4674 / To4713</x:v>
      </x:c>
      <x:c r="E7599" s="25" t="str">
        <x:v>$1.09</x:v>
      </x:c>
      <x:c r="F7599" s="19" t="str">
        <x:v>5</x:v>
      </x:c>
    </x:row>
    <x:row r="7600" ht="93" customHeight="1">
      <x:c r="A7600" s="19" t="n">
        <x:v>7597</x:v>
      </x:c>
      <x:c r="B7600" s="22" t="e">
        <x:f>HYPERLINK("https://cdn.shopify.com/s/files/1/0918/6066/4603/files/O1CN01HRY1961HlX1o3W4I7__2545140798-0-cib.jpg?v=1773837622","Open")</x:f>
        <x:v>HYPERLINK is not implemented. linkLocation=https://cdn.shopify.com/s/files/1/0918/6066/4603/files/O1CN01HRY1961HlX1o3W4I7__2545140798-0-cib.jpg?v=1773837622, friendlyName=Open</x:v>
      </x:c>
      <x:c r="C7600" s="24" t="e">
        <x:f>HYPERLINK("https://365nails.com/products/pink-bunny-fruit-sweet-orchard-bunny-5d-embossed-nail-sticker","Pink Bunny &amp; Fruit: ""Sweet Orchard Bunny"" – 5D Embossed Nail Sticker")</x:f>
        <x:v>HYPERLINK is not implemented. linkLocation=https://365nails.com/products/pink-bunny-fruit-sweet-orchard-bunny-5d-embossed-nail-sticker, friendlyName=Pink Bunny &amp; Fruit: "Sweet Orchard Bunny" – 5D Embossed Nail Sticker</x:v>
      </x:c>
      <x:c r="D7600" s="18" t="str">
        <x:v>Specification type: To4064 / To4171 / To4190</x:v>
      </x:c>
      <x:c r="E7600" s="25" t="str">
        <x:v>$1.09</x:v>
      </x:c>
      <x:c r="F7600" s="19" t="str">
        <x:v>5</x:v>
      </x:c>
    </x:row>
    <x:row r="7601" ht="93" customHeight="1">
      <x:c r="A7601" s="19" t="n">
        <x:v>7598</x:v>
      </x:c>
      <x:c r="B7601" s="22" t="e">
        <x:f>HYPERLINK("https://cdn.shopify.com/s/files/1/0918/6066/4603/files/O1CN01gYF2zw1HlX1IVJXjP__2545140798-0-cib.jpg?v=1773652643","Open")</x:f>
        <x:v>HYPERLINK is not implemented. linkLocation=https://cdn.shopify.com/s/files/1/0918/6066/4603/files/O1CN01gYF2zw1HlX1IVJXjP__2545140798-0-cib.jpg?v=1773652643, friendlyName=Open</x:v>
      </x:c>
      <x:c r="C7601" s="24" t="e">
        <x:f>HYPERLINK("https://365nails.com/products/peter-rabbit-friends-storybook-garden-5d-embossed-nail-sticker","Peter Rabbit &amp; Friends: ""Storybook Garden"" – 5D Embossed Nail Sticker")</x:f>
        <x:v>HYPERLINK is not implemented. linkLocation=https://365nails.com/products/peter-rabbit-friends-storybook-garden-5d-embossed-nail-sticker, friendlyName=Peter Rabbit &amp; Friends: "Storybook Garden" – 5D Embossed Nail Sticker</x:v>
      </x:c>
      <x:c r="D7601" s="18" t="str">
        <x:v>Specification type: To4065-relief</x:v>
      </x:c>
      <x:c r="E7601" s="25" t="str">
        <x:v>$1.23</x:v>
      </x:c>
      <x:c r="F7601" s="19" t="str">
        <x:v>5</x:v>
      </x:c>
    </x:row>
    <x:row r="7602" ht="93" customHeight="1">
      <x:c r="A7602" s="19" t="n">
        <x:v>7599</x:v>
      </x:c>
      <x:c r="B7602" s="22" t="e">
        <x:f>HYPERLINK("https://cdn.shopify.com/s/files/1/0918/6066/4603/files/O1CN01xHk8hE1HlWsG0dsvB__2545140798-0-cib.jpg?v=1773745013","Open")</x:f>
        <x:v>HYPERLINK is not implemented. linkLocation=https://cdn.shopify.com/s/files/1/0918/6066/4603/files/O1CN01xHk8hE1HlWsG0dsvB__2545140798-0-cib.jpg?v=1773745013, friendlyName=Open</x:v>
      </x:c>
      <x:c r="C7602" s="24" t="e">
        <x:f>HYPERLINK("https://365nails.com/products/lolita-doll-berry-floral-strawberry-lolita-garden-5d-embossed-nail-sticker","Lolita Doll &amp; Berry Floral: ""Strawberry Lolita Garden"" – 5D Embossed Nail Sticker")</x:f>
        <x:v>HYPERLINK is not implemented. linkLocation=https://365nails.com/products/lolita-doll-berry-floral-strawberry-lolita-garden-5d-embossed-nail-sticker, friendlyName=Lolita Doll &amp; Berry Floral: "Strawberry Lolita Garden" – 5D Embossed Nail Sticker</x:v>
      </x:c>
      <x:c r="D7602" s="18" t="str">
        <x:v>Specification type: To2763</x:v>
      </x:c>
      <x:c r="E7602" s="25" t="str">
        <x:v>$1.23</x:v>
      </x:c>
      <x:c r="F7602" s="19" t="str">
        <x:v>5</x:v>
      </x:c>
    </x:row>
    <x:row r="7603" ht="93" customHeight="1">
      <x:c r="A7603" s="19" t="n">
        <x:v>7600</x:v>
      </x:c>
      <x:c r="B7603" s="22" t="e">
        <x:f>HYPERLINK("https://cdn.shopify.com/s/files/1/0918/6066/4603/files/O1CN01S1mKZA1HlX1TOQ40e__2545140798-0-cib.jpg?v=1773837485","Open")</x:f>
        <x:v>HYPERLINK is not implemented. linkLocation=https://cdn.shopify.com/s/files/1/0918/6066/4603/files/O1CN01S1mKZA1HlX1TOQ40e__2545140798-0-cib.jpg?v=1773837485, friendlyName=Open</x:v>
      </x:c>
      <x:c r="C7603" s="24" t="e">
        <x:f>HYPERLINK("https://365nails.com/products/crystal-bubble-star-ethereal-water-bubble-5d-embossed-nail-sticker","Crystal Bubble &amp; Star: ""Ethereal Water Bubble"" – 5D Embossed Nail Sticker")</x:f>
        <x:v>HYPERLINK is not implemented. linkLocation=https://365nails.com/products/crystal-bubble-star-ethereal-water-bubble-5d-embossed-nail-sticker, friendlyName=Crystal Bubble &amp; Star: "Ethereal Water Bubble" – 5D Embossed Nail Sticker</x:v>
      </x:c>
      <x:c r="D7603" s="18" t="str">
        <x:v>Specification type: To4131 / To4135</x:v>
      </x:c>
      <x:c r="E7603" s="25" t="str">
        <x:v>$1.09</x:v>
      </x:c>
      <x:c r="F7603" s="19" t="str">
        <x:v>5</x:v>
      </x:c>
    </x:row>
    <x:row r="7604" ht="93" customHeight="1">
      <x:c r="A7604" s="19" t="n">
        <x:v>7601</x:v>
      </x:c>
      <x:c r="B7604" s="22" t="e">
        <x:f>HYPERLINK("https://cdn.shopify.com/s/files/1/0918/6066/4603/files/O1CN01sfRJiP1HlX0Y35IEm__2545140798-0-cib.jpg?v=1774068221","Open")</x:f>
        <x:v>HYPERLINK is not implemented. linkLocation=https://cdn.shopify.com/s/files/1/0918/6066/4603/files/O1CN01sfRJiP1HlX0Y35IEm__2545140798-0-cib.jpg?v=1774068221, friendlyName=Open</x:v>
      </x:c>
      <x:c r="C7604" s="24" t="e">
        <x:f>HYPERLINK("https://365nails.com/products/holographic-blue-epiphyllum-celestial-nail-sticker-set-celestial-epiphyllum-glow","Holographic Blue Epiphyllum &amp; Celestial Nail Sticker Set – ""Celestial Epiphyllum Glow""")</x:f>
        <x:v>HYPERLINK is not implemented. linkLocation=https://365nails.com/products/holographic-blue-epiphyllum-celestial-nail-sticker-set-celestial-epiphyllum-glow, friendlyName=Holographic Blue Epiphyllum &amp; Celestial Nail Sticker Set – "Celestial Epiphyllum Glow"</x:v>
      </x:c>
      <x:c r="D7604" s="18" t="str">
        <x:v>Specification type: To3884-crystal diamond / To3885-crystal diamond / To3886-crystal diamond / To3887-crystal diamond</x:v>
      </x:c>
      <x:c r="E7604" s="25" t="str">
        <x:v>$1.30</x:v>
      </x:c>
      <x:c r="F7604" s="19" t="str">
        <x:v>5</x:v>
      </x:c>
    </x:row>
    <x:row r="7605" ht="93" customHeight="1">
      <x:c r="A7605" s="19" t="n">
        <x:v>7602</x:v>
      </x:c>
      <x:c r="B7605" s="22" t="e">
        <x:f>HYPERLINK("https://cdn.shopify.com/s/files/1/0918/6066/4603/files/O1CN01O39xoN1HlX2OS1Hug__2545140798-0-cib.jpg?v=1773756385","Open")</x:f>
        <x:v>HYPERLINK is not implemented. linkLocation=https://cdn.shopify.com/s/files/1/0918/6066/4603/files/O1CN01O39xoN1HlX2OS1Hug__2545140798-0-cib.jpg?v=1773756385, friendlyName=Open</x:v>
      </x:c>
      <x:c r="C7605" s="24" t="e">
        <x:f>HYPERLINK("https://365nails.com/products/holographic-dessert-pudding-sweet-dessert-parlor-5d-embossed-nail-sticker","Holographic Dessert &amp; Pudding: ""Sweet Dessert Parlor"" – 5D Embossed Nail Sticker")</x:f>
        <x:v>HYPERLINK is not implemented. linkLocation=https://365nails.com/products/holographic-dessert-pudding-sweet-dessert-parlor-5d-embossed-nail-sticker, friendlyName=Holographic Dessert &amp; Pudding: "Sweet Dessert Parlor" – 5D Embossed Nail Sticker</x:v>
      </x:c>
      <x:c r="D7605" s="18" t="str">
        <x:v>Specification type: To4328-jelly / To4329-shell light</x:v>
      </x:c>
      <x:c r="E7605" s="25" t="str">
        <x:v>$1.23</x:v>
      </x:c>
      <x:c r="F7605" s="19" t="str">
        <x:v>5</x:v>
      </x:c>
    </x:row>
    <x:row r="7606" ht="93" customHeight="1">
      <x:c r="A7606" s="19" t="n">
        <x:v>7603</x:v>
      </x:c>
      <x:c r="B7606" s="22" t="e">
        <x:f>HYPERLINK("https://cdn.shopify.com/s/files/1/0918/6066/4603/files/O1CN019XWbYg1HlX3547u6o__2545140798-0-cib.jpg?v=1774017633","Open")</x:f>
        <x:v>HYPERLINK is not implemented. linkLocation=https://cdn.shopify.com/s/files/1/0918/6066/4603/files/O1CN019XWbYg1HlX3547u6o__2545140798-0-cib.jpg?v=1774017633, friendlyName=Open</x:v>
      </x:c>
      <x:c r="C7606" s="24" t="e">
        <x:f>HYPERLINK("https://365nails.com/products/white-lace-stripe-nail-sticker-set-ethereal-lace-whisper","White Lace Stripe Nail Sticker Set – ""Ethereal Lace Whisper""")</x:f>
        <x:v>HYPERLINK is not implemented. linkLocation=https://365nails.com/products/white-lace-stripe-nail-sticker-set-ethereal-lace-whisper, friendlyName=White Lace Stripe Nail Sticker Set – "Ethereal Lace Whisper"</x:v>
      </x:c>
      <x:c r="D7606" s="18" t="str">
        <x:v>Specification type: To4299 / To4300 / To4301</x:v>
      </x:c>
      <x:c r="E7606" s="25" t="str">
        <x:v>$1.09</x:v>
      </x:c>
      <x:c r="F7606" s="19" t="str">
        <x:v>5</x:v>
      </x:c>
    </x:row>
    <x:row r="7607" ht="93" customHeight="1">
      <x:c r="A7607" s="19" t="n">
        <x:v>7604</x:v>
      </x:c>
      <x:c r="B7607" s="22" t="e">
        <x:f>HYPERLINK("https://cdn.shopify.com/s/files/1/0918/6066/4603/files/O1CN01Rc8VK31HlX2s4M9Z0__2545140798-0-cib_2234d9e2-6162-412a-8397-73903574c0f6.jpg?v=1774013220","Open")</x:f>
        <x:v>HYPERLINK is not implemented. linkLocation=https://cdn.shopify.com/s/files/1/0918/6066/4603/files/O1CN01Rc8VK31HlX2s4M9Z0__2545140798-0-cib_2234d9e2-6162-412a-8397-73903574c0f6.jpg?v=1774013220, friendlyName=Open</x:v>
      </x:c>
      <x:c r="C7607" s="24" t="e">
        <x:f>HYPERLINK("https://365nails.com/products/pastel-pink-lace-butterfly-nail-sticker-set-blush-butterfly-whisper","Pastel Pink Lace Butterfly Nail Sticker Set – ""Blush Butterfly Whisper"" 🦋")</x:f>
        <x:v>HYPERLINK is not implemented. linkLocation=https://365nails.com/products/pastel-pink-lace-butterfly-nail-sticker-set-blush-butterfly-whisper, friendlyName=Pastel Pink Lace Butterfly Nail Sticker Set – "Blush Butterfly Whisper" 🦋</x:v>
      </x:c>
      <x:c r="D7607" s="18" t="str">
        <x:v>Specification type: Ms614-relief / Ms615-relief</x:v>
      </x:c>
      <x:c r="E7607" s="25" t="str">
        <x:v>$1.23</x:v>
      </x:c>
      <x:c r="F7607" s="19" t="str">
        <x:v>5</x:v>
      </x:c>
    </x:row>
    <x:row r="7608" ht="93" customHeight="1">
      <x:c r="A7608" s="19" t="n">
        <x:v>7605</x:v>
      </x:c>
      <x:c r="B7608" s="22" t="e">
        <x:f>HYPERLINK("https://cdn.shopify.com/s/files/1/0918/6066/4603/files/O1CN01nWtkLA1HlX8IOxohL__2545140798-0-cib.jpg?v=1773638186","Open")</x:f>
        <x:v>HYPERLINK is not implemented. linkLocation=https://cdn.shopify.com/s/files/1/0918/6066/4603/files/O1CN01nWtkLA1HlX8IOxohL__2545140798-0-cib.jpg?v=1773638186, friendlyName=Open</x:v>
      </x:c>
      <x:c r="C7608" s="24" t="e">
        <x:f>HYPERLINK("https://365nails.com/products/winnie-the-pooh-hundred-acre-wood-3d-embossed-sticker","Winnie the Pooh: ""Hundred Acre Wood"" – 3D Embossed Sticker")</x:f>
        <x:v>HYPERLINK is not implemented. linkLocation=https://365nails.com/products/winnie-the-pooh-hundred-acre-wood-3d-embossed-sticker, friendlyName=Winnie the Pooh: "Hundred Acre Wood" – 3D Embossed Sticker</x:v>
      </x:c>
      <x:c r="D7608" s="18" t="str">
        <x:v>Specification type: Td021w-shell light</x:v>
      </x:c>
      <x:c r="E7608" s="25" t="str">
        <x:v>$1.23</x:v>
      </x:c>
      <x:c r="F7608" s="19" t="str">
        <x:v>5</x:v>
      </x:c>
    </x:row>
    <x:row r="7609" ht="93" customHeight="1">
      <x:c r="A7609" s="19" t="n">
        <x:v>7606</x:v>
      </x:c>
      <x:c r="B7609" s="22" t="e">
        <x:f>HYPERLINK("https://cdn.shopify.com/s/files/1/0918/6066/4603/files/23129976957_1801976554.jpg?v=1773059836","Open")</x:f>
        <x:v>HYPERLINK is not implemented. linkLocation=https://cdn.shopify.com/s/files/1/0918/6066/4603/files/23129976957_1801976554.jpg?v=1773059836, friendlyName=Open</x:v>
      </x:c>
      <x:c r="C7609" s="24" t="e">
        <x:f>HYPERLINK("https://365nails.com/products/sailor-moon-classic-anime-collaboration-nail-art-set","Sailor Moon Classic – Anime Collaboration Nail Art Set")</x:f>
        <x:v>HYPERLINK is not implemented. linkLocation=https://365nails.com/products/sailor-moon-classic-anime-collaboration-nail-art-set, friendlyName=Sailor Moon Classic – Anime Collaboration Nail Art Set</x:v>
      </x:c>
      <x:c r="D7609" s="18" t="str">
        <x:v>Color: Tomoni 277; Specification type: Normal specifications</x:v>
      </x:c>
      <x:c r="E7609" s="25" t="str">
        <x:v>$1.23</x:v>
      </x:c>
      <x:c r="F7609" s="19" t="str">
        <x:v>5</x:v>
      </x:c>
    </x:row>
    <x:row r="7610" ht="93" customHeight="1">
      <x:c r="A7610" s="19" t="n">
        <x:v>7607</x:v>
      </x:c>
      <x:c r="B7610" s="22" t="e">
        <x:f>HYPERLINK("https://cdn.shopify.com/s/files/1/0918/6066/4603/files/O1CN01MCn5Tk1HlX2496G8A__2545140798-0-cib.jpg?v=1773837805","Open")</x:f>
        <x:v>HYPERLINK is not implemented. linkLocation=https://cdn.shopify.com/s/files/1/0918/6066/4603/files/O1CN01MCn5Tk1HlX2496G8A__2545140798-0-cib.jpg?v=1773837805, friendlyName=Open</x:v>
      </x:c>
      <x:c r="C7610" s="24" t="e">
        <x:f>HYPERLINK("https://365nails.com/products/vintage-baroque-star-royal-baroque-ornament-5d-embossed-nail-sticker","Vintage Baroque Star: ""Royal Baroque Ornament"" – 5D Embossed Nail Sticker")</x:f>
        <x:v>HYPERLINK is not implemented. linkLocation=https://365nails.com/products/vintage-baroque-star-royal-baroque-ornament-5d-embossed-nail-sticker, friendlyName=Vintage Baroque Star: "Royal Baroque Ornament" – 5D Embossed Nail Sticker</x:v>
      </x:c>
      <x:c r="D7610" s="18" t="str">
        <x:v>Specification type: Ms610 - new gold foil stamping / Ms610-silver</x:v>
      </x:c>
      <x:c r="E7610" s="25" t="str">
        <x:v>$1.23</x:v>
      </x:c>
      <x:c r="F7610" s="19" t="str">
        <x:v>5</x:v>
      </x:c>
    </x:row>
    <x:row r="7611" ht="93" customHeight="1">
      <x:c r="A7611" s="19" t="n">
        <x:v>7608</x:v>
      </x:c>
      <x:c r="B7611" s="22" t="e">
        <x:f>HYPERLINK("https://cdn.shopify.com/s/files/1/0918/6066/4603/files/O1CN01he4I0B1HlX2kdW6s3__2545140798-0-cib.jpg?v=1773838709","Open")</x:f>
        <x:v>HYPERLINK is not implemented. linkLocation=https://cdn.shopify.com/s/files/1/0918/6066/4603/files/O1CN01he4I0B1HlX2kdW6s3__2545140798-0-cib.jpg?v=1773838709, friendlyName=Open</x:v>
      </x:c>
      <x:c r="C7611" s="24" t="e">
        <x:f>HYPERLINK("https://365nails.com/products/purple-lolita-doll-floral-sweet-lolita-tea-party-5d-embossed-nail-sticker","Purple Lolita Doll &amp; Floral: ""Sweet Lolita Tea Party"" – 5D Embossed Nail Sticker")</x:f>
        <x:v>HYPERLINK is not implemented. linkLocation=https://365nails.com/products/purple-lolita-doll-floral-sweet-lolita-tea-party-5d-embossed-nail-sticker, friendlyName=Purple Lolita Doll &amp; Floral: "Sweet Lolita Tea Party" – 5D Embossed Nail Sticker</x:v>
      </x:c>
      <x:c r="D7611" s="18" t="str">
        <x:v>Specification type: To4343-crystal diamond</x:v>
      </x:c>
      <x:c r="E7611" s="25" t="str">
        <x:v>$1.30</x:v>
      </x:c>
      <x:c r="F7611" s="19" t="str">
        <x:v>5</x:v>
      </x:c>
    </x:row>
    <x:row r="7612" ht="93" customHeight="1">
      <x:c r="A7612" s="19" t="n">
        <x:v>7609</x:v>
      </x:c>
      <x:c r="B7612" s="22" t="e">
        <x:f>HYPERLINK("https://cdn.shopify.com/s/files/1/0918/6066/4603/files/O1CN01DTWDBV1HlX6RwbX0d__2545140798-0-cib.jpg?v=1773672489","Open")</x:f>
        <x:v>HYPERLINK is not implemented. linkLocation=https://cdn.shopify.com/s/files/1/0918/6066/4603/files/O1CN01DTWDBV1HlX6RwbX0d__2545140798-0-cib.jpg?v=1773672489, friendlyName=Open</x:v>
      </x:c>
      <x:c r="C7612" s="24" t="e">
        <x:f>HYPERLINK("https://365nails.com/products/gold-vintage-gem-frame-heart-regal-antique-gemstone-5d-embossed-nail-sticker","Gold Vintage Gem Frame &amp; Heart: ""Regal Antique Gemstone"" – 5D Embossed Nail Sticker")</x:f>
        <x:v>HYPERLINK is not implemented. linkLocation=https://365nails.com/products/gold-vintage-gem-frame-heart-regal-antique-gemstone-5d-embossed-nail-sticker, friendlyName=Gold Vintage Gem Frame &amp; Heart: "Regal Antique Gemstone" – 5D Embossed Nail Sticker</x:v>
      </x:c>
      <x:c r="D7612" s="18" t="str">
        <x:v>Specification type: Ms797-metal / Ms797-silver</x:v>
      </x:c>
      <x:c r="E7612" s="25" t="str">
        <x:v>$1.23</x:v>
      </x:c>
      <x:c r="F7612" s="19" t="str">
        <x:v>5</x:v>
      </x:c>
    </x:row>
    <x:row r="7613" ht="93" customHeight="1">
      <x:c r="A7613" s="19" t="n">
        <x:v>7610</x:v>
      </x:c>
      <x:c r="B7613" s="22" t="e">
        <x:f>HYPERLINK("https://cdn.shopify.com/s/files/1/0918/6066/4603/files/dd295fe28bb96f4e069b954dbdcadd6f.jpg?v=1775891331","Open")</x:f>
        <x:v>HYPERLINK is not implemented. linkLocation=https://cdn.shopify.com/s/files/1/0918/6066/4603/files/dd295fe28bb96f4e069b954dbdcadd6f.jpg?v=1775891331, friendlyName=Open</x:v>
      </x:c>
      <x:c r="C7613" s="24" t="e">
        <x:f>HYPERLINK("https://365nails.com/products/365nails-y2k-star-cow-print-stiletto-handmade-long-sharp-stiletto-nails","365nails: ""Y2K Star Cow Print Stiletto"" – Handmade Long Sharp Stiletto Nails")</x:f>
        <x:v>HYPERLINK is not implemented. linkLocation=https://365nails.com/products/365nails-y2k-star-cow-print-stiletto-handmade-long-sharp-stiletto-nails, friendlyName=365nails: "Y2K Star Cow Print Stiletto" – Handmade Long Sharp Stiletto Nails</x:v>
      </x:c>
      <x:c r="D7613" s="18" t="str">
        <x:v>Size: XS / S / M / L</x:v>
      </x:c>
      <x:c r="E7613" s="25" t="str">
        <x:v>$3.99</x:v>
      </x:c>
      <x:c r="F7613" s="19" t="str">
        <x:v>3</x:v>
      </x:c>
    </x:row>
    <x:row r="7614" ht="93" customHeight="1">
      <x:c r="A7614" s="19" t="n">
        <x:v>7611</x:v>
      </x:c>
      <x:c r="B7614" s="22" t="e">
        <x:f>HYPERLINK("https://cdn.shopify.com/s/files/1/0918/6066/4603/files/O1CN01JkZXfB1HlX3WH2M1O__2545140798-0-cib.jpg?v=1773746558","Open")</x:f>
        <x:v>HYPERLINK is not implemented. linkLocation=https://cdn.shopify.com/s/files/1/0918/6066/4603/files/O1CN01JkZXfB1HlX3WH2M1O__2545140798-0-cib.jpg?v=1773746558, friendlyName=Open</x:v>
      </x:c>
      <x:c r="C7614" s="24" t="e">
        <x:f>HYPERLINK("https://365nails.com/products/sanrio-kuromi-gothic-bow-kuromi-s-punk-kawaii-5d-embossed-nail-sticker","Sanrio Kuromi &amp; Gothic Bow: ""Kuromi’s Punk Kawaii"" – 5D Embossed Nail Sticker")</x:f>
        <x:v>HYPERLINK is not implemented. linkLocation=https://365nails.com/products/sanrio-kuromi-gothic-bow-kuromi-s-punk-kawaii-5d-embossed-nail-sticker, friendlyName=Sanrio Kuromi &amp; Gothic Bow: "Kuromi’s Punk Kawaii" – 5D Embossed Nail Sticker</x:v>
      </x:c>
      <x:c r="D7614" s="18" t="str">
        <x:v>Specification type: Mn040-shell light</x:v>
      </x:c>
      <x:c r="E7614" s="25" t="str">
        <x:v>$1.23</x:v>
      </x:c>
      <x:c r="F7614" s="19" t="str">
        <x:v>5</x:v>
      </x:c>
    </x:row>
    <x:row r="7615" ht="93" customHeight="1">
      <x:c r="A7615" s="19" t="n">
        <x:v>7612</x:v>
      </x:c>
      <x:c r="B7615" s="22" t="e">
        <x:f>HYPERLINK("https://cdn.shopify.com/s/files/1/0918/6066/4603/files/O1CN01XUDl5z1HlX2gMOz7t__2545140798-0-cib.jpg?v=1773746437","Open")</x:f>
        <x:v>HYPERLINK is not implemented. linkLocation=https://cdn.shopify.com/s/files/1/0918/6066/4603/files/O1CN01XUDl5z1HlX2gMOz7t__2545140798-0-cib.jpg?v=1773746437, friendlyName=Open</x:v>
      </x:c>
      <x:c r="C7615" s="24" t="e">
        <x:f>HYPERLINK("https://365nails.com/products/cherry-blossom-princess-jewel-royal-sakura-frame-5d-embossed-nail-sticker","Cherry Blossom Princess Jewel: ""Royal Sakura Frame"" – 5D Embossed Nail Sticker")</x:f>
        <x:v>HYPERLINK is not implemented. linkLocation=https://365nails.com/products/cherry-blossom-princess-jewel-royal-sakura-frame-5d-embossed-nail-sticker, friendlyName=Cherry Blossom Princess Jewel: "Royal Sakura Frame" – 5D Embossed Nail Sticker</x:v>
      </x:c>
      <x:c r="D7615" s="18" t="str">
        <x:v>Specification type: To4344-shell light / To4345-relief</x:v>
      </x:c>
      <x:c r="E7615" s="25" t="str">
        <x:v>$1.23</x:v>
      </x:c>
      <x:c r="F7615" s="19" t="str">
        <x:v>5</x:v>
      </x:c>
    </x:row>
    <x:row r="7616" ht="93" customHeight="1">
      <x:c r="A7616" s="19" t="n">
        <x:v>7613</x:v>
      </x:c>
      <x:c r="B7616" s="22" t="e">
        <x:f>HYPERLINK("https://cdn.shopify.com/s/files/1/0918/6066/4603/files/O1CN01UrRdCI1HlX1gNf4Vo__2545140798-0-cib.jpg?v=1773651962","Open")</x:f>
        <x:v>HYPERLINK is not implemented. linkLocation=https://cdn.shopify.com/s/files/1/0918/6066/4603/files/O1CN01UrRdCI1HlX1gNf4Vo__2545140798-0-cib.jpg?v=1773651962, friendlyName=Open</x:v>
      </x:c>
      <x:c r="C7616" s="24" t="e">
        <x:f>HYPERLINK("https://365nails.com/products/stained-glass-window-gothic-cathedral-glow-5d-embossed-nail-sticker","Stained Glass Window: ""Gothic Cathedral Glow"" – 5D Embossed Nail Sticker")</x:f>
        <x:v>HYPERLINK is not implemented. linkLocation=https://365nails.com/products/stained-glass-window-gothic-cathedral-glow-5d-embossed-nail-sticker, friendlyName=Stained Glass Window: "Gothic Cathedral Glow" – 5D Embossed Nail Sticker</x:v>
      </x:c>
      <x:c r="D7616" s="18" t="str">
        <x:v>Specification type: To4024-shell light</x:v>
      </x:c>
      <x:c r="E7616" s="25" t="str">
        <x:v>$1.23</x:v>
      </x:c>
      <x:c r="F7616" s="19" t="str">
        <x:v>5</x:v>
      </x:c>
    </x:row>
    <x:row r="7617" ht="93" customHeight="1">
      <x:c r="A7617" s="19" t="n">
        <x:v>7614</x:v>
      </x:c>
      <x:c r="B7617" s="22" t="e">
        <x:f>HYPERLINK("https://cdn.shopify.com/s/files/1/0918/6066/4603/files/O1CN017SbTof1HlX1WSorsA__2545140798-0-cib.jpg?v=1773672275","Open")</x:f>
        <x:v>HYPERLINK is not implemented. linkLocation=https://cdn.shopify.com/s/files/1/0918/6066/4603/files/O1CN017SbTof1HlX1WSorsA__2545140798-0-cib.jpg?v=1773672275, friendlyName=Open</x:v>
      </x:c>
      <x:c r="C7617" s="24" t="e">
        <x:f>HYPERLINK("https://365nails.com/products/vintage-rose-bird-butterfly-secret-garden-botanical-5d-embossed-nail-sticker","Vintage Rose &amp; Bird Butterfly: ""Secret Garden Botanical"" – 5D Embossed Nail Sticker")</x:f>
        <x:v>HYPERLINK is not implemented. linkLocation=https://365nails.com/products/vintage-rose-bird-butterfly-secret-garden-botanical-5d-embossed-nail-sticker, friendlyName=Vintage Rose &amp; Bird Butterfly: "Secret Garden Botanical" – 5D Embossed Nail Sticker</x:v>
      </x:c>
      <x:c r="D7617" s="18" t="str">
        <x:v>Specification type: Ms626-crystal diamond / Ms626-pearl</x:v>
      </x:c>
      <x:c r="E7617" s="25" t="str">
        <x:v>$1.30</x:v>
      </x:c>
      <x:c r="F7617" s="19" t="str">
        <x:v>5</x:v>
      </x:c>
    </x:row>
    <x:row r="7618" ht="93" customHeight="1">
      <x:c r="A7618" s="19" t="n">
        <x:v>7615</x:v>
      </x:c>
      <x:c r="B7618" s="22" t="e">
        <x:f>HYPERLINK("https://cdn.shopify.com/s/files/1/0918/6066/4603/files/O1CN01Tjj7aN1HlX0juN2Qb__2545140798-0-cib.jpg?v=1773651838","Open")</x:f>
        <x:v>HYPERLINK is not implemented. linkLocation=https://cdn.shopify.com/s/files/1/0918/6066/4603/files/O1CN01Tjj7aN1HlX0juN2Qb__2545140798-0-cib.jpg?v=1773651838, friendlyName=Open</x:v>
      </x:c>
      <x:c r="C7618" s="24" t="e">
        <x:f>HYPERLINK("https://365nails.com/products/mint-green-holographic-butterfly-fairy-forest-glow-5d-embossed-nail-sticker","Mint Green Holographic Butterfly: ""Fairy Forest Glow"" – 5D Embossed Nail Sticker")</x:f>
        <x:v>HYPERLINK is not implemented. linkLocation=https://365nails.com/products/mint-green-holographic-butterfly-fairy-forest-glow-5d-embossed-nail-sticker, friendlyName=Mint Green Holographic Butterfly: "Fairy Forest Glow" – 5D Embossed Nail Sticker</x:v>
      </x:c>
      <x:c r="D7618" s="18" t="str">
        <x:v>Specification type: Ms600-jelly / Ms601-jelly / Ms602-jelly</x:v>
      </x:c>
      <x:c r="E7618" s="25" t="str">
        <x:v>$1.23</x:v>
      </x:c>
      <x:c r="F7618" s="19" t="str">
        <x:v>5</x:v>
      </x:c>
    </x:row>
    <x:row r="7619" ht="93" customHeight="1">
      <x:c r="A7619" s="19" t="n">
        <x:v>7616</x:v>
      </x:c>
      <x:c r="B7619" s="22" t="e">
        <x:f>HYPERLINK("https://cdn.shopify.com/s/files/1/0918/6066/4603/files/6dc4f73ab8d11e9c43a8482e17e27448.jpg?v=1772972586","Open")</x:f>
        <x:v>HYPERLINK is not implemented. linkLocation=https://cdn.shopify.com/s/files/1/0918/6066/4603/files/6dc4f73ab8d11e9c43a8482e17e27448.jpg?v=1772972586, friendlyName=Open</x:v>
      </x:c>
      <x:c r="C7619" s="24" t="e">
        <x:f>HYPERLINK("https://365nails.com/products/new-gold-foil-chinese-wedding-luxe-nail-art-set","New Gold Foil Chinese Wedding – Luxe Nail Art Set")</x:f>
        <x:v>HYPERLINK is not implemented. linkLocation=https://365nails.com/products/new-gold-foil-chinese-wedding-luxe-nail-art-set, friendlyName=New Gold Foil Chinese Wedding – Luxe Nail Art Set</x:v>
      </x:c>
      <x:c r="D7619" s="18" t="str">
        <x:v>Specification type: To3414-new hot stamping</x:v>
      </x:c>
      <x:c r="E7619" s="25" t="str">
        <x:v>$1.23</x:v>
      </x:c>
      <x:c r="F7619" s="19" t="str">
        <x:v>5</x:v>
      </x:c>
    </x:row>
    <x:row r="7620" ht="93" customHeight="1">
      <x:c r="A7620" s="19" t="n">
        <x:v>7617</x:v>
      </x:c>
      <x:c r="B7620" s="22" t="e">
        <x:f>HYPERLINK("https://cdn.shopify.com/s/files/1/0918/6066/4603/files/O1CN01HBN4Mj1HlX58tqq99__2545140798-0-cib.jpg?v=1773652366","Open")</x:f>
        <x:v>HYPERLINK is not implemented. linkLocation=https://cdn.shopify.com/s/files/1/0918/6066/4603/files/O1CN01HBN4Mj1HlX58tqq99__2545140798-0-cib.jpg?v=1773652366, friendlyName=Open</x:v>
      </x:c>
      <x:c r="C7620" s="24" t="e">
        <x:f>HYPERLINK("https://365nails.com/products/lucky-lion-dance-fortune-cat-chinese-new-year-festivity-5d-embossed-nail-sticker","Lucky Lion Dance &amp; Fortune Cat: ""Chinese New Year Festivity"" – 5D Embossed Nail Sticker")</x:f>
        <x:v>HYPERLINK is not implemented. linkLocation=https://365nails.com/products/lucky-lion-dance-fortune-cat-chinese-new-year-festivity-5d-embossed-nail-sticker, friendlyName=Lucky Lion Dance &amp; Fortune Cat: "Chinese New Year Festivity" – 5D Embossed Nail Sticker</x:v>
      </x:c>
      <x:c r="D7620" s="18" t="str">
        <x:v>Specification type: To4824-relief / To4835-metal</x:v>
      </x:c>
      <x:c r="E7620" s="25" t="str">
        <x:v>$1.23</x:v>
      </x:c>
      <x:c r="F7620" s="19" t="str">
        <x:v>5</x:v>
      </x:c>
    </x:row>
    <x:row r="7621" ht="93" customHeight="1">
      <x:c r="A7621" s="19" t="n">
        <x:v>7618</x:v>
      </x:c>
      <x:c r="B7621" s="22" t="e">
        <x:f>HYPERLINK("https://cdn.shopify.com/s/files/1/0918/6066/4603/files/29f29bbcefbf56303f4df5e7745316a9.jpg?v=1772974538","Open")</x:f>
        <x:v>HYPERLINK is not implemented. linkLocation=https://cdn.shopify.com/s/files/1/0918/6066/4603/files/29f29bbcefbf56303f4df5e7745316a9.jpg?v=1772974538, friendlyName=Open</x:v>
      </x:c>
      <x:c r="C7621" s="24" t="e">
        <x:f>HYPERLINK("https://365nails.com/products/holographic-pink-strokes-abstract-iridescent-nail-art-set","Holographic Pink Strokes – Abstract Iridescent Nail Art Set")</x:f>
        <x:v>HYPERLINK is not implemented. linkLocation=https://365nails.com/products/holographic-pink-strokes-abstract-iridescent-nail-art-set, friendlyName=Holographic Pink Strokes – Abstract Iridescent Nail Art Set</x:v>
      </x:c>
      <x:c r="D7621" s="18" t="str">
        <x:v>Specification type: To3533-laser powder / To3533-new hot stamping / To3533-silver / To3533-rose gold</x:v>
      </x:c>
      <x:c r="E7621" s="25" t="str">
        <x:v>$1.23</x:v>
      </x:c>
      <x:c r="F7621" s="19" t="str">
        <x:v>5</x:v>
      </x:c>
    </x:row>
    <x:row r="7622" ht="93" customHeight="1">
      <x:c r="A7622" s="19" t="n">
        <x:v>7619</x:v>
      </x:c>
      <x:c r="B7622" s="22" t="e">
        <x:f>HYPERLINK("https://cdn.shopify.com/s/files/1/0918/6066/4603/files/O1CN01iYycpx1HlWzDq029T__2545140798-0-cib_b55a1e0d-3496-4e98-ae8d-f24f824936fa.jpg?v=1773924653","Open")</x:f>
        <x:v>HYPERLINK is not implemented. linkLocation=https://cdn.shopify.com/s/files/1/0918/6066/4603/files/O1CN01iYycpx1HlWzDq029T__2545140798-0-cib_b55a1e0d-3496-4e98-ae8d-f24f824936fa.jpg?v=1773924653, friendlyName=Open</x:v>
      </x:c>
      <x:c r="C7622" s="24" t="e">
        <x:f>HYPERLINK("https://365nails.com/products/white-crystal-floral-elegant-white-lily-5d-embossed-nail-sticker","White Crystal Floral: ""Elegant White Lily"" – 5D Embossed Nail Sticker")</x:f>
        <x:v>HYPERLINK is not implemented. linkLocation=https://365nails.com/products/white-crystal-floral-elegant-white-lily-5d-embossed-nail-sticker, friendlyName=White Crystal Floral: "Elegant White Lily" – 5D Embossed Nail Sticker</x:v>
      </x:c>
      <x:c r="D7622" s="18" t="str">
        <x:v>Specification type: To3746-crystal diamond (pearl) / To3746-crystal diamond / To3768-crystal diamond</x:v>
      </x:c>
      <x:c r="E7622" s="25" t="str">
        <x:v>$1.30</x:v>
      </x:c>
      <x:c r="F7622" s="19" t="str">
        <x:v>5</x:v>
      </x:c>
    </x:row>
    <x:row r="7623" ht="93" customHeight="1">
      <x:c r="A7623" s="19" t="n">
        <x:v>7620</x:v>
      </x:c>
      <x:c r="B7623" s="22" t="e">
        <x:f>HYPERLINK("https://cdn.shopify.com/s/files/1/0918/6066/4603/files/O1CN01BCdPMA1HlX1Pwvba7__2545140798-0-cib_a0a8367f-80fa-4f2d-a7fa-d56205cac19b.jpg?v=1773931980","Open")</x:f>
        <x:v>HYPERLINK is not implemented. linkLocation=https://cdn.shopify.com/s/files/1/0918/6066/4603/files/O1CN01BCdPMA1HlX1Pwvba7__2545140798-0-cib_a0a8367f-80fa-4f2d-a7fa-d56205cac19b.jpg?v=1773931980, friendlyName=Open</x:v>
      </x:c>
      <x:c r="C7623" s="24" t="e">
        <x:f>HYPERLINK("https://365nails.com/products/cute-cartoon-dessert-miiiiichan-s-sweet-day-5d-embossed-nail-sticker","Cute Cartoon &amp; Dessert: ""Miiiiichan’s Sweet Day"" – 5D Embossed Nail Sticker")</x:f>
        <x:v>HYPERLINK is not implemented. linkLocation=https://365nails.com/products/cute-cartoon-dessert-miiiiichan-s-sweet-day-5d-embossed-nail-sticker, friendlyName=Cute Cartoon &amp; Dessert: "Miiiiichan’s Sweet Day" – 5D Embossed Nail Sticker</x:v>
      </x:c>
      <x:c r="D7623" s="18" t="str">
        <x:v>Specification type: Mc24-relief / Mc28-crystal diamond</x:v>
      </x:c>
      <x:c r="E7623" s="25" t="str">
        <x:v>$1.30</x:v>
      </x:c>
      <x:c r="F7623" s="19" t="str">
        <x:v>5</x:v>
      </x:c>
    </x:row>
    <x:row r="7624" ht="93" customHeight="1">
      <x:c r="A7624" s="19" t="n">
        <x:v>7621</x:v>
      </x:c>
      <x:c r="B7624" s="22" t="e">
        <x:f>HYPERLINK("https://cdn.shopify.com/s/files/1/0918/6066/4603/files/O1CN01du92881HlX409Sy9K__2545140798-0-cib.jpg?v=1773756324","Open")</x:f>
        <x:v>HYPERLINK is not implemented. linkLocation=https://cdn.shopify.com/s/files/1/0918/6066/4603/files/O1CN01du92881HlX409Sy9K__2545140798-0-cib.jpg?v=1773756324, friendlyName=Open</x:v>
      </x:c>
      <x:c r="C7624" s="24" t="e">
        <x:f>HYPERLINK("https://365nails.com/products/silver-celestial-snake-moon-mystic-celestial-serpent-5d-embossed-nail-sticker","Silver Celestial Snake &amp; Moon: ""Mystic Celestial Serpent"" – 5D Embossed Nail Sticker")</x:f>
        <x:v>HYPERLINK is not implemented. linkLocation=https://365nails.com/products/silver-celestial-snake-moon-mystic-celestial-serpent-5d-embossed-nail-sticker, friendlyName=Silver Celestial Snake &amp; Moon: "Mystic Celestial Serpent" – 5D Embossed Nail Sticker</x:v>
      </x:c>
      <x:c r="D7624" s="18" t="str">
        <x:v>Specification type: Ta365-silver / Ta366-new hot stamping / Ta367-new hot stamping</x:v>
      </x:c>
      <x:c r="E7624" s="25" t="str">
        <x:v>$1.23</x:v>
      </x:c>
      <x:c r="F7624" s="19" t="str">
        <x:v>5</x:v>
      </x:c>
    </x:row>
    <x:row r="7625" ht="93" customHeight="1">
      <x:c r="A7625" s="19" t="n">
        <x:v>7622</x:v>
      </x:c>
      <x:c r="B7625" s="22" t="e">
        <x:f>HYPERLINK("https://cdn.shopify.com/s/files/1/0918/6066/4603/files/O1CN01IrUUhC1HlX2XmMMtI__2545140798-0-cib.jpg?v=1773745338","Open")</x:f>
        <x:v>HYPERLINK is not implemented. linkLocation=https://cdn.shopify.com/s/files/1/0918/6066/4603/files/O1CN01IrUUhC1HlX2XmMMtI__2545140798-0-cib.jpg?v=1773745338, friendlyName=Open</x:v>
      </x:c>
      <x:c r="C7625" s="24" t="e">
        <x:f>HYPERLINK("https://365nails.com/products/sanrio-my-melody-hello-kitty-kawaii-sanrio-friends-5d-embossed-nail-sticker","Sanrio My Melody &amp; Hello Kitty: ""Kawaii Sanrio Friends"" – 5D Embossed Nail Sticker")</x:f>
        <x:v>HYPERLINK is not implemented. linkLocation=https://365nails.com/products/sanrio-my-melody-hello-kitty-kawaii-sanrio-friends-5d-embossed-nail-sticker, friendlyName=Sanrio My Melody &amp; Hello Kitty: "Kawaii Sanrio Friends" – 5D Embossed Nail Sticker</x:v>
      </x:c>
      <x:c r="D7625" s="18" t="str">
        <x:v>Specification type: Mn003-relief / Mn004-relief</x:v>
      </x:c>
      <x:c r="E7625" s="25" t="str">
        <x:v>$1.23</x:v>
      </x:c>
      <x:c r="F7625" s="19" t="str">
        <x:v>5</x:v>
      </x:c>
    </x:row>
    <x:row r="7626" ht="93" customHeight="1">
      <x:c r="A7626" s="19" t="n">
        <x:v>7623</x:v>
      </x:c>
      <x:c r="B7626" s="22" t="e">
        <x:f>HYPERLINK("https://cdn.shopify.com/s/files/1/0918/6066/4603/files/O1CN01u0K1zm1HlX6E80tSX__2545140798-0-cib.jpg?v=1773652428","Open")</x:f>
        <x:v>HYPERLINK is not implemented. linkLocation=https://cdn.shopify.com/s/files/1/0918/6066/4603/files/O1CN01u0K1zm1HlX6E80tSX__2545140798-0-cib.jpg?v=1773652428, friendlyName=Open</x:v>
      </x:c>
      <x:c r="C7626" s="24" t="e">
        <x:f>HYPERLINK("https://365nails.com/products/jelly-crystal-butterfly-ethereal-fairy-wings-5d-embossed-nail-sticker","Jelly Crystal Butterfly: ""Ethereal Fairy Wings"" – 5D Embossed Nail Sticker")</x:f>
        <x:v>HYPERLINK is not implemented. linkLocation=https://365nails.com/products/jelly-crystal-butterfly-ethereal-fairy-wings-5d-embossed-nail-sticker, friendlyName=Jelly Crystal Butterfly: "Ethereal Fairy Wings" – 5D Embossed Nail Sticker</x:v>
      </x:c>
      <x:c r="D7626" s="18" t="str">
        <x:v>Specification type: Ms781-crystal diamond / Ms788-crystal diamond</x:v>
      </x:c>
      <x:c r="E7626" s="25" t="str">
        <x:v>$1.30</x:v>
      </x:c>
      <x:c r="F7626" s="19" t="str">
        <x:v>5</x:v>
      </x:c>
    </x:row>
    <x:row r="7627" ht="93" customHeight="1">
      <x:c r="A7627" s="19" t="n">
        <x:v>7624</x:v>
      </x:c>
      <x:c r="B7627" s="22" t="e">
        <x:f>HYPERLINK("https://cdn.shopify.com/s/files/1/0918/6066/4603/files/O1CN01YajE8n1HlWzm5dI4d__2545140798-0-cib.jpg?v=1773758500","Open")</x:f>
        <x:v>HYPERLINK is not implemented. linkLocation=https://cdn.shopify.com/s/files/1/0918/6066/4603/files/O1CN01YajE8n1HlWzm5dI4d__2545140798-0-cib.jpg?v=1773758500, friendlyName=Open</x:v>
      </x:c>
      <x:c r="C7627" s="24" t="e">
        <x:f>HYPERLINK("https://365nails.com/products/oriental-ink-pomegranate-bamboo-vintage-pomegranate-bamboo-5d-embossed-nail-sticker","Oriental Ink Pomegranate &amp; Bamboo: ""Vintage Pomegranate Bamboo"" – 5D Embossed Nail Sticker")</x:f>
        <x:v>HYPERLINK is not implemented. linkLocation=https://365nails.com/products/oriental-ink-pomegranate-bamboo-vintage-pomegranate-bamboo-5d-embossed-nail-sticker, friendlyName=Oriental Ink Pomegranate &amp; Bamboo: "Vintage Pomegranate Bamboo" – 5D Embossed Nail Sticker</x:v>
      </x:c>
      <x:c r="D7627" s="18" t="str">
        <x:v>Specification type: To3794</x:v>
      </x:c>
      <x:c r="E7627" s="25" t="str">
        <x:v>$1.09</x:v>
      </x:c>
      <x:c r="F7627" s="19" t="str">
        <x:v>5</x:v>
      </x:c>
    </x:row>
    <x:row r="7628" ht="93" customHeight="1">
      <x:c r="A7628" s="19" t="n">
        <x:v>7625</x:v>
      </x:c>
      <x:c r="B7628" s="22" t="e">
        <x:f>HYPERLINK("https://cdn.shopify.com/s/files/1/0918/6066/4603/files/O1CN01S1mKZA1HlX1TOQ40e__2545140798-0-cib_bf3cc83d-2c18-48a6-a0a3-c88a1d4a8848.jpg?v=1773932041","Open")</x:f>
        <x:v>HYPERLINK is not implemented. linkLocation=https://cdn.shopify.com/s/files/1/0918/6066/4603/files/O1CN01S1mKZA1HlX1TOQ40e__2545140798-0-cib_bf3cc83d-2c18-48a6-a0a3-c88a1d4a8848.jpg?v=1773932041, friendlyName=Open</x:v>
      </x:c>
      <x:c r="C7628" s="24" t="e">
        <x:f>HYPERLINK("https://365nails.com/products/dreamy-bubble-star-crystal-bubble-dream-5d-embossed-nail-sticker","Dreamy Bubble &amp; Star: ""Crystal Bubble Dream"" – 5D Embossed Nail Sticker")</x:f>
        <x:v>HYPERLINK is not implemented. linkLocation=https://365nails.com/products/dreamy-bubble-star-crystal-bubble-dream-5d-embossed-nail-sticker, friendlyName=Dreamy Bubble &amp; Star: "Crystal Bubble Dream" – 5D Embossed Nail Sticker</x:v>
      </x:c>
      <x:c r="D7628" s="18" t="str">
        <x:v>Specification type: To4131 / To4135</x:v>
      </x:c>
      <x:c r="E7628" s="25" t="str">
        <x:v>$1.09</x:v>
      </x:c>
      <x:c r="F7628" s="19" t="str">
        <x:v>5</x:v>
      </x:c>
    </x:row>
    <x:row r="7629" ht="93" customHeight="1">
      <x:c r="A7629" s="19" t="n">
        <x:v>7626</x:v>
      </x:c>
      <x:c r="B7629" s="22" t="e">
        <x:f>HYPERLINK("https://cdn.shopify.com/s/files/1/0918/6066/4603/files/O1CN01i9yRFq1HlX24VJPPr__2545140798-0-cib_c155d9f0-cafe-4997-ae96-e8b97d739798.jpg?v=1774009315","Open")</x:f>
        <x:v>HYPERLINK is not implemented. linkLocation=https://cdn.shopify.com/s/files/1/0918/6066/4603/files/O1CN01i9yRFq1HlX24VJPPr__2545140798-0-cib_c155d9f0-cafe-4997-ae96-e8b97d739798.jpg?v=1774009315, friendlyName=Open</x:v>
      </x:c>
      <x:c r="C7629" s="24" t="e">
        <x:f>HYPERLINK("https://365nails.com/products/miiiiichan-cute-cartoon-dessert-cozy-morning-with-miiiiichan-5d-embossed-nail-sticker","Miiiiichan Cute Cartoon &amp; Dessert: ""Cozy Morning with Miiiiichan"" – 5D Embossed Nail Sticker")</x:f>
        <x:v>HYPERLINK is not implemented. linkLocation=https://365nails.com/products/miiiiichan-cute-cartoon-dessert-cozy-morning-with-miiiiichan-5d-embossed-nail-sticker, friendlyName=Miiiiichan Cute Cartoon &amp; Dessert: "Cozy Morning with Miiiiichan" – 5D Embossed Nail Sticker</x:v>
      </x:c>
      <x:c r="D7629" s="18" t="str">
        <x:v>Specification type: Mc20-relief</x:v>
      </x:c>
      <x:c r="E7629" s="25" t="str">
        <x:v>$1.30</x:v>
      </x:c>
      <x:c r="F7629" s="19" t="str">
        <x:v>5</x:v>
      </x:c>
    </x:row>
    <x:row r="7630" ht="93" customHeight="1">
      <x:c r="A7630" s="19" t="n">
        <x:v>7627</x:v>
      </x:c>
      <x:c r="B7630" s="22" t="e">
        <x:f>HYPERLINK("https://cdn.shopify.com/s/files/1/0918/6066/4603/files/O1CN0125aaDL1HlX2v4ZLc8__2545140798-0-cib.jpg?v=1773838953","Open")</x:f>
        <x:v>HYPERLINK is not implemented. linkLocation=https://cdn.shopify.com/s/files/1/0918/6066/4603/files/O1CN0125aaDL1HlX2v4ZLc8__2545140798-0-cib.jpg?v=1773838953, friendlyName=Open</x:v>
      </x:c>
      <x:c r="C7630" s="24" t="e">
        <x:f>HYPERLINK("https://365nails.com/products/autumn-bear-snack-cozy-autumn-bear-tea-time-5d-embossed-nail-sticker","Autumn Bear &amp; Snack: ""Cozy Autumn Bear Tea Time"" – 5D Embossed Nail Sticker")</x:f>
        <x:v>HYPERLINK is not implemented. linkLocation=https://365nails.com/products/autumn-bear-snack-cozy-autumn-bear-tea-time-5d-embossed-nail-sticker, friendlyName=Autumn Bear &amp; Snack: "Cozy Autumn Bear Tea Time" – 5D Embossed Nail Sticker</x:v>
      </x:c>
      <x:c r="D7630" s="18" t="str">
        <x:v>Specification type: To4382-relief / To4386-relief</x:v>
      </x:c>
      <x:c r="E7630" s="25" t="str">
        <x:v>$1.23</x:v>
      </x:c>
      <x:c r="F7630" s="19" t="str">
        <x:v>5</x:v>
      </x:c>
    </x:row>
    <x:row r="7631" ht="93" customHeight="1">
      <x:c r="A7631" s="19" t="n">
        <x:v>7628</x:v>
      </x:c>
      <x:c r="B7631" s="22" t="e">
        <x:f>HYPERLINK("https://cdn.shopify.com/s/files/1/0918/6066/4603/files/O1CN015wi1No1HlX6ZCqyXB__2545140798-0-cib.jpg?v=1773846890","Open")</x:f>
        <x:v>HYPERLINK is not implemented. linkLocation=https://cdn.shopify.com/s/files/1/0918/6066/4603/files/O1CN015wi1No1HlX6ZCqyXB__2545140798-0-cib.jpg?v=1773846890, friendlyName=Open</x:v>
      </x:c>
      <x:c r="C7631" s="24" t="e">
        <x:f>HYPERLINK("https://365nails.com/products/vintage-monogram-buttons-retro-letter-button-5d-embossed-nail-sticker","Vintage Monogram Buttons: ""Retro Letter Button"" – 5D Embossed Nail Sticker")</x:f>
        <x:v>HYPERLINK is not implemented. linkLocation=https://365nails.com/products/vintage-monogram-buttons-retro-letter-button-5d-embossed-nail-sticker, friendlyName=Vintage Monogram Buttons: "Retro Letter Button" – 5D Embossed Nail Sticker</x:v>
      </x:c>
      <x:c r="D7631" s="18" t="str">
        <x:v>Specification type: To133 / To134 / To148 / To154 / To167 / To171 / To173 / To185 / To290 / Pro067 / Pro080 / Pro082 / Pro 103 / Pro121 / Pro 122 / Pro 136 / Pro 143 / Pro 151 / Pro 156 / To238 / To282 / To305 / To307 / To322 / To350 / To351 / To377 / To378 / To379 / To401 / To409-white / To409-black / To420-black / To420-white / To475 / To479 / To480 / To481 / To482 / To495 / To498 / To499 / To500 / To518 / To542-relief / To689-relief / To757 / Ta79 / To915-relief / To935</x:v>
      </x:c>
      <x:c r="E7631" s="25" t="str">
        <x:v>$1.01</x:v>
      </x:c>
      <x:c r="F7631" s="19" t="str">
        <x:v>5</x:v>
      </x:c>
    </x:row>
    <x:row r="7632" ht="93" customHeight="1">
      <x:c r="A7632" s="19" t="n">
        <x:v>7629</x:v>
      </x:c>
      <x:c r="B7632" s="22" t="e">
        <x:f>HYPERLINK("https://cdn.shopify.com/s/files/1/0918/6066/4603/files/O1CN01sPS8sM1HlX1W9Q2FU__2545140798-0-cib.jpg?v=1773837561","Open")</x:f>
        <x:v>HYPERLINK is not implemented. linkLocation=https://cdn.shopify.com/s/files/1/0918/6066/4603/files/O1CN01sPS8sM1HlX1W9Q2FU__2545140798-0-cib.jpg?v=1773837561, friendlyName=Open</x:v>
      </x:c>
      <x:c r="C7632" s="24" t="e">
        <x:f>HYPERLINK("https://365nails.com/products/oriental-goldfish-cherry-blossom-elegant-pond-goldfish-5d-embossed-nail-sticker","Oriental Goldfish &amp; Cherry Blossom: ""Elegant Pond Goldfish"" – 5D Embossed Nail Sticker")</x:f>
        <x:v>HYPERLINK is not implemented. linkLocation=https://365nails.com/products/oriental-goldfish-cherry-blossom-elegant-pond-goldfish-5d-embossed-nail-sticker, friendlyName=Oriental Goldfish &amp; Cherry Blossom: "Elegant Pond Goldfish" – 5D Embossed Nail Sticker</x:v>
      </x:c>
      <x:c r="D7632" s="18" t="str">
        <x:v>Specification type: Ms 631</x:v>
      </x:c>
      <x:c r="E7632" s="25" t="str">
        <x:v>$1.09</x:v>
      </x:c>
      <x:c r="F7632" s="19" t="str">
        <x:v>5</x:v>
      </x:c>
    </x:row>
    <x:row r="7633" ht="93" customHeight="1">
      <x:c r="A7633" s="19" t="n">
        <x:v>7630</x:v>
      </x:c>
      <x:c r="B7633" s="22" t="e">
        <x:f>HYPERLINK("https://cdn.shopify.com/s/files/1/0918/6066/4603/files/O1CN01n2HGva1HlWs7kcr92__2545140798-0-cib.jpg?v=1774011405","Open")</x:f>
        <x:v>HYPERLINK is not implemented. linkLocation=https://cdn.shopify.com/s/files/1/0918/6066/4603/files/O1CN01n2HGva1HlWs7kcr92__2545140798-0-cib.jpg?v=1774011405, friendlyName=Open</x:v>
      </x:c>
      <x:c r="C7633" s="24" t="e">
        <x:f>HYPERLINK("https://365nails.com/products/angel-teddy-sweet-lolita-celestial-angel-teddy-5d-embossed-nail-sticker","Angel Teddy &amp; Sweet Lolita: ""Celestial Angel Teddy"" – 5D Embossed Nail Sticker")</x:f>
        <x:v>HYPERLINK is not implemented. linkLocation=https://365nails.com/products/angel-teddy-sweet-lolita-celestial-angel-teddy-5d-embossed-nail-sticker, friendlyName=Angel Teddy &amp; Sweet Lolita: "Celestial Angel Teddy" – 5D Embossed Nail Sticker</x:v>
      </x:c>
      <x:c r="D7633" s="18" t="str">
        <x:v>Specification type: To2759 / To2738</x:v>
      </x:c>
      <x:c r="E7633" s="25" t="str">
        <x:v>$1.09</x:v>
      </x:c>
      <x:c r="F7633" s="19" t="str">
        <x:v>5</x:v>
      </x:c>
    </x:row>
    <x:row r="7634" ht="93" customHeight="1">
      <x:c r="A7634" s="19" t="n">
        <x:v>7631</x:v>
      </x:c>
      <x:c r="B7634" s="22" t="e">
        <x:f>HYPERLINK("https://cdn.shopify.com/s/files/1/0918/6066/4603/files/O1CN01he4I0B1HlX2kdW6s3__2545140798-0-cib_7345fbb1-7086-4841-a51b-e42a6e974b56.jpg?v=1774012402","Open")</x:f>
        <x:v>HYPERLINK is not implemented. linkLocation=https://cdn.shopify.com/s/files/1/0918/6066/4603/files/O1CN01he4I0B1HlX2kdW6s3__2545140798-0-cib_7345fbb1-7086-4841-a51b-e42a6e974b56.jpg?v=1774012402, friendlyName=Open</x:v>
      </x:c>
      <x:c r="C7634" s="24" t="e">
        <x:f>HYPERLINK("https://365nails.com/products/purple-lolita-cat-floral-lavender-cat-tea-party-5d-embossed-nail-sticker","Purple Lolita Cat &amp; Floral: ""Lavender Cat Tea Party"" – 5D Embossed Nail Sticker")</x:f>
        <x:v>HYPERLINK is not implemented. linkLocation=https://365nails.com/products/purple-lolita-cat-floral-lavender-cat-tea-party-5d-embossed-nail-sticker, friendlyName=Purple Lolita Cat &amp; Floral: "Lavender Cat Tea Party" – 5D Embossed Nail Sticker</x:v>
      </x:c>
      <x:c r="D7634" s="18" t="str">
        <x:v>Specification type: To4343-crystal diamond</x:v>
      </x:c>
      <x:c r="E7634" s="25" t="str">
        <x:v>$1.30</x:v>
      </x:c>
      <x:c r="F7634" s="19" t="str">
        <x:v>5</x:v>
      </x:c>
    </x:row>
    <x:row r="7635" ht="93" customHeight="1">
      <x:c r="A7635" s="19" t="n">
        <x:v>7632</x:v>
      </x:c>
      <x:c r="B7635" s="22" t="e">
        <x:f>HYPERLINK("https://cdn.shopify.com/s/files/1/0918/6066/4603/files/O1CN01Lg5SDQ1HlX287mCIo__2545140798-0-cib_0e48dbc8-a592-43d3-a784-e64c771caa5d.jpg?v=1774011475","Open")</x:f>
        <x:v>HYPERLINK is not implemented. linkLocation=https://cdn.shopify.com/s/files/1/0918/6066/4603/files/O1CN01Lg5SDQ1HlX287mCIo__2545140798-0-cib_0e48dbc8-a592-43d3-a784-e64c771caa5d.jpg?v=1774011475, friendlyName=Open</x:v>
      </x:c>
      <x:c r="C7635" s="24" t="e">
        <x:f>HYPERLINK("https://365nails.com/products/yellow-rose-white-lace-golden-rose-story-5d-embossed-nail-sticker","Yellow Rose &amp; White Lace: ""Golden Rose Story"" – 5D Embossed Nail Sticker")</x:f>
        <x:v>HYPERLINK is not implemented. linkLocation=https://365nails.com/products/yellow-rose-white-lace-golden-rose-story-5d-embossed-nail-sticker, friendlyName=Yellow Rose &amp; White Lace: "Golden Rose Story" – 5D Embossed Nail Sticker</x:v>
      </x:c>
      <x:c r="D7635" s="18" t="str">
        <x:v>Specification type: To4265-shell light / Ms653-relief</x:v>
      </x:c>
      <x:c r="E7635" s="25" t="str">
        <x:v>$1.23</x:v>
      </x:c>
      <x:c r="F7635" s="19" t="str">
        <x:v>5</x:v>
      </x:c>
    </x:row>
    <x:row r="7636" ht="93" customHeight="1">
      <x:c r="A7636" s="19" t="n">
        <x:v>7633</x:v>
      </x:c>
      <x:c r="B7636" s="22" t="e">
        <x:f>HYPERLINK("https://cdn.shopify.com/s/files/1/0918/6066/4603/files/O1CN01ri342a1HlX2f16zqt__2545140798-0-cib.jpg?v=1773838649","Open")</x:f>
        <x:v>HYPERLINK is not implemented. linkLocation=https://cdn.shopify.com/s/files/1/0918/6066/4603/files/O1CN01ri342a1HlX2f16zqt__2545140798-0-cib.jpg?v=1773838649, friendlyName=Open</x:v>
      </x:c>
      <x:c r="C7636" s="24" t="e">
        <x:f>HYPERLINK("https://365nails.com/products/gradient-pink-gold-butterfly-luxury-rose-butterfly-5d-embossed-nail-sticker","Gradient Pink Gold Butterfly: ""Luxury Rose Butterfly"" – 5D Embossed Nail Sticker")</x:f>
        <x:v>HYPERLINK is not implemented. linkLocation=https://365nails.com/products/gradient-pink-gold-butterfly-luxury-rose-butterfly-5d-embossed-nail-sticker, friendlyName=Gradient Pink Gold Butterfly: "Luxury Rose Butterfly" – 5D Embossed Nail Sticker</x:v>
      </x:c>
      <x:c r="D7636" s="18" t="str">
        <x:v>Specification type: To4363-relief / To4364-shell light</x:v>
      </x:c>
      <x:c r="E7636" s="25" t="str">
        <x:v>$1.23</x:v>
      </x:c>
      <x:c r="F7636" s="19" t="str">
        <x:v>5</x:v>
      </x:c>
    </x:row>
    <x:row r="7637" ht="93" customHeight="1">
      <x:c r="A7637" s="19" t="n">
        <x:v>7634</x:v>
      </x:c>
      <x:c r="B7637" s="22" t="e">
        <x:f>HYPERLINK("https://cdn.shopify.com/s/files/1/0918/6066/4603/files/O1CN01mn7MUd1HlX643jlvV__2545140798-0-cib.jpg?v=1773746706","Open")</x:f>
        <x:v>HYPERLINK is not implemented. linkLocation=https://cdn.shopify.com/s/files/1/0918/6066/4603/files/O1CN01mn7MUd1HlX643jlvV__2545140798-0-cib.jpg?v=1773746706, friendlyName=Open</x:v>
      </x:c>
      <x:c r="C7637" s="24" t="e">
        <x:f>HYPERLINK("https://365nails.com/products/holographic-sakura-butterfly-spring-sakura-breeze-5d-embossed-nail-sticker","Holographic Sakura &amp; Butterfly: ""Spring Sakura Breeze"" – 5D Embossed Nail Sticker")</x:f>
        <x:v>HYPERLINK is not implemented. linkLocation=https://365nails.com/products/holographic-sakura-butterfly-spring-sakura-breeze-5d-embossed-nail-sticker, friendlyName=Holographic Sakura &amp; Butterfly: "Spring Sakura Breeze" – 5D Embossed Nail Sticker</x:v>
      </x:c>
      <x:c r="D7637" s="18" t="str">
        <x:v>Specification type: To4991-relief</x:v>
      </x:c>
      <x:c r="E7637" s="25" t="str">
        <x:v>$1.23</x:v>
      </x:c>
      <x:c r="F7637" s="19" t="str">
        <x:v>5</x:v>
      </x:c>
    </x:row>
    <x:row r="7638" ht="93" customHeight="1">
      <x:c r="A7638" s="19" t="n">
        <x:v>7635</x:v>
      </x:c>
      <x:c r="B7638" s="22" t="e">
        <x:f>HYPERLINK("https://cdn.shopify.com/s/files/1/0918/6066/4603/files/O1CN01sPS8sM1HlX1W9Q2FU__2545140798-0-cib_4bb1477d-825d-4552-9777-1c5a0eab1641.jpg?v=1774008136","Open")</x:f>
        <x:v>HYPERLINK is not implemented. linkLocation=https://cdn.shopify.com/s/files/1/0918/6066/4603/files/O1CN01sPS8sM1HlX1W9Q2FU__2545140798-0-cib_4bb1477d-825d-4552-9777-1c5a0eab1641.jpg?v=1774008136, friendlyName=Open</x:v>
      </x:c>
      <x:c r="C7638" s="24" t="e">
        <x:f>HYPERLINK("https://365nails.com/products/goldfish-cherry-blossom-oriental-pond-dream-5d-embossed-nail-sticker","Goldfish &amp; Cherry Blossom: ""Oriental Pond Dream"" – 5D Embossed Nail Sticker")</x:f>
        <x:v>HYPERLINK is not implemented. linkLocation=https://365nails.com/products/goldfish-cherry-blossom-oriental-pond-dream-5d-embossed-nail-sticker, friendlyName=Goldfish &amp; Cherry Blossom: "Oriental Pond Dream" – 5D Embossed Nail Sticker</x:v>
      </x:c>
      <x:c r="D7638" s="18" t="str">
        <x:v>Specification type: Ms 631</x:v>
      </x:c>
      <x:c r="E7638" s="25" t="str">
        <x:v>$1.09</x:v>
      </x:c>
      <x:c r="F7638" s="19" t="str">
        <x:v>5</x:v>
      </x:c>
    </x:row>
    <x:row r="7639" ht="93" customHeight="1">
      <x:c r="A7639" s="19" t="n">
        <x:v>7636</x:v>
      </x:c>
      <x:c r="B7639" s="22" t="e">
        <x:f>HYPERLINK("https://cdn.shopify.com/s/files/1/0918/6066/4603/files/O1CN01VLEKCr1HlWvjKY6ac__2545140798-0-cib.jpg?v=1774011850","Open")</x:f>
        <x:v>HYPERLINK is not implemented. linkLocation=https://cdn.shopify.com/s/files/1/0918/6066/4603/files/O1CN01VLEKCr1HlWvjKY6ac__2545140798-0-cib.jpg?v=1774011850, friendlyName=Open</x:v>
      </x:c>
      <x:c r="C7639" s="24" t="e">
        <x:f>HYPERLINK("https://365nails.com/products/vintage-pink-rose-lace-frame-antique-rose-letter-5d-embossed-nail-sticker","Vintage Pink Rose &amp; Lace Frame: ""Antique Rose Letter"" – 5D Embossed Nail Sticker")</x:f>
        <x:v>HYPERLINK is not implemented. linkLocation=https://365nails.com/products/vintage-pink-rose-lace-frame-antique-rose-letter-5d-embossed-nail-sticker, friendlyName=Vintage Pink Rose &amp; Lace Frame: "Antique Rose Letter" – 5D Embossed Nail Sticker</x:v>
      </x:c>
      <x:c r="D7639" s="18" t="str">
        <x:v>Specification type: Ms420 relief-crystal diamond</x:v>
      </x:c>
      <x:c r="E7639" s="25" t="str">
        <x:v>$1.30</x:v>
      </x:c>
      <x:c r="F7639" s="19" t="str">
        <x:v>5</x:v>
      </x:c>
    </x:row>
    <x:row r="7640" ht="93" customHeight="1">
      <x:c r="A7640" s="19" t="n">
        <x:v>7637</x:v>
      </x:c>
      <x:c r="B7640" s="22" t="e">
        <x:f>HYPERLINK("https://cdn.shopify.com/s/files/1/0918/6066/4603/files/O1CN01cPKjQb1HlX1mu3aPM__2545140798-0-cib_1e1d1ba8-78a2-4e06-b502-80e2acce4624.jpg?v=1774008258","Open")</x:f>
        <x:v>HYPERLINK is not implemented. linkLocation=https://cdn.shopify.com/s/files/1/0918/6066/4603/files/O1CN01cPKjQb1HlX1mu3aPM__2545140798-0-cib_1e1d1ba8-78a2-4e06-b502-80e2acce4624.jpg?v=1774008258, friendlyName=Open</x:v>
      </x:c>
      <x:c r="C7640" s="24" t="e">
        <x:f>HYPERLINK("https://365nails.com/products/lavender-cherry-blossom-twilight-sakura-dream-5d-embossed-nail-sticker","Lavender Cherry Blossom: ""Twilight Sakura Dream"" – 5D Embossed Nail Sticker")</x:f>
        <x:v>HYPERLINK is not implemented. linkLocation=https://365nails.com/products/lavender-cherry-blossom-twilight-sakura-dream-5d-embossed-nail-sticker, friendlyName=Lavender Cherry Blossom: "Twilight Sakura Dream" – 5D Embossed Nail Sticker</x:v>
      </x:c>
      <x:c r="D7640" s="18" t="str">
        <x:v>Specification type: To4197</x:v>
      </x:c>
      <x:c r="E7640" s="25" t="str">
        <x:v>$1.09</x:v>
      </x:c>
      <x:c r="F7640" s="19" t="str">
        <x:v>5</x:v>
      </x:c>
    </x:row>
    <x:row r="7641" ht="93" customHeight="1">
      <x:c r="A7641" s="19" t="n">
        <x:v>7638</x:v>
      </x:c>
      <x:c r="B7641" s="22" t="e">
        <x:f>HYPERLINK("https://cdn.shopify.com/s/files/1/0918/6066/4603/files/O1CN01a14Qcx1HlX5n0fKb4__2545140798-0-cib.jpg?v=1773842299","Open")</x:f>
        <x:v>HYPERLINK is not implemented. linkLocation=https://cdn.shopify.com/s/files/1/0918/6066/4603/files/O1CN01a14Qcx1HlX5n0fKb4__2545140798-0-cib.jpg?v=1773842299, friendlyName=Open</x:v>
      </x:c>
      <x:c r="C7641" s="24" t="e">
        <x:f>HYPERLINK("https://365nails.com/products/cute-retro-bunny-bear-vintage-toy-box-5d-embossed-nail-sticker","Cute Retro Bunny &amp; Bear: ""Vintage Toy Box"" – 5D Embossed Nail Sticker")</x:f>
        <x:v>HYPERLINK is not implemented. linkLocation=https://365nails.com/products/cute-retro-bunny-bear-vintage-toy-box-5d-embossed-nail-sticker, friendlyName=Cute Retro Bunny &amp; Bear: "Vintage Toy Box" – 5D Embossed Nail Sticker</x:v>
      </x:c>
      <x:c r="D7641" s="18" t="str">
        <x:v>Specification type: To4895 / To4926</x:v>
      </x:c>
      <x:c r="E7641" s="25" t="str">
        <x:v>$1.09</x:v>
      </x:c>
      <x:c r="F7641" s="19" t="str">
        <x:v>5</x:v>
      </x:c>
    </x:row>
    <x:row r="7642" ht="93" customHeight="1">
      <x:c r="A7642" s="19" t="n">
        <x:v>7639</x:v>
      </x:c>
      <x:c r="B7642" s="22" t="e">
        <x:f>HYPERLINK("https://cdn.shopify.com/s/files/1/0918/6066/4603/files/O1CN01lQVv0s1HlWq6STtau__2545140798-0-cib_0b3b450f-2e80-46cc-aae1-4530775ae8a6.jpg?v=1773991272","Open")</x:f>
        <x:v>HYPERLINK is not implemented. linkLocation=https://cdn.shopify.com/s/files/1/0918/6066/4603/files/O1CN01lQVv0s1HlWq6STtau__2545140798-0-cib_0b3b450f-2e80-46cc-aae1-4530775ae8a6.jpg?v=1773991272, friendlyName=Open</x:v>
      </x:c>
      <x:c r="C7642" s="24" t="e">
        <x:f>HYPERLINK("https://365nails.com/products/silver-celestial-sun-moon-star-celestial-alchemy-5d-embossed-nail-sticker","Silver Celestial Sun Moon Star: ""Celestial Alchemy"" – 5D Embossed Nail Sticker")</x:f>
        <x:v>HYPERLINK is not implemented. linkLocation=https://365nails.com/products/silver-celestial-sun-moon-star-celestial-alchemy-5d-embossed-nail-sticker, friendlyName=Silver Celestial Sun Moon Star: "Celestial Alchemy" – 5D Embossed Nail Sticker</x:v>
      </x:c>
      <x:c r="D7642" s="18" t="str">
        <x:v>Specification type: To1931 / To1930 / To2002 / To2192</x:v>
      </x:c>
      <x:c r="E7642" s="25" t="str">
        <x:v>$1.23</x:v>
      </x:c>
      <x:c r="F7642" s="19" t="str">
        <x:v>5</x:v>
      </x:c>
    </x:row>
    <x:row r="7643" ht="93" customHeight="1">
      <x:c r="A7643" s="19" t="n">
        <x:v>7640</x:v>
      </x:c>
      <x:c r="B7643" s="22" t="e">
        <x:f>HYPERLINK("https://cdn.shopify.com/s/files/1/0918/6066/4603/files/8f0afdb37fd34b78a8d5c52d19e8eef9.jpg?v=1775221686","Open")</x:f>
        <x:v>HYPERLINK is not implemented. linkLocation=https://cdn.shopify.com/s/files/1/0918/6066/4603/files/8f0afdb37fd34b78a8d5c52d19e8eef9.jpg?v=1775221686, friendlyName=Open</x:v>
      </x:c>
      <x:c r="C7643" s="24" t="e">
        <x:f>HYPERLINK("https://365nails.com/products/gothic-romance-crimson-veil-long-stiletto-press-on-nails","Gothic Romance: ""Crimson Veil"" – Long Stiletto Press-on Nails")</x:f>
        <x:v>HYPERLINK is not implemented. linkLocation=https://365nails.com/products/gothic-romance-crimson-veil-long-stiletto-press-on-nails, friendlyName=Gothic Romance: "Crimson Veil" – Long Stiletto Press-on Nails</x:v>
      </x:c>
      <x:c r="D7643" s="18" t="str">
        <x:v>Size: XS / S / M / L</x:v>
      </x:c>
      <x:c r="E7643" s="25" t="str">
        <x:v>$3.99</x:v>
      </x:c>
      <x:c r="F7643" s="19" t="str">
        <x:v>3</x:v>
      </x:c>
    </x:row>
    <x:row r="7644" ht="93" customHeight="1">
      <x:c r="A7644" s="19" t="n">
        <x:v>7641</x:v>
      </x:c>
      <x:c r="B7644" s="22" t="e">
        <x:f>HYPERLINK("https://cdn.shopify.com/s/files/1/0918/6066/4603/files/O1CN01rYY8B51HlX03oNgLQ__2545140798-0-cib.jpg?v=1773758441","Open")</x:f>
        <x:v>HYPERLINK is not implemented. linkLocation=https://cdn.shopify.com/s/files/1/0918/6066/4603/files/O1CN01rYY8B51HlX03oNgLQ__2545140798-0-cib.jpg?v=1773758441, friendlyName=Open</x:v>
      </x:c>
      <x:c r="C7644" s="24" t="e">
        <x:f>HYPERLINK("https://365nails.com/products/iridescent-crystal-butterfly-holographic-crystal-butterfly-5d-embossed-nail-sticker","Iridescent Crystal Butterfly: ""Holographic Crystal Butterfly"" – 5D Embossed Nail Sticker")</x:f>
        <x:v>HYPERLINK is not implemented. linkLocation=https://365nails.com/products/iridescent-crystal-butterfly-holographic-crystal-butterfly-5d-embossed-nail-sticker, friendlyName=Iridescent Crystal Butterfly: "Holographic Crystal Butterfly" – 5D Embossed Nail Sticker</x:v>
      </x:c>
      <x:c r="D7644" s="18" t="str">
        <x:v>Specification type: Ms571-crystal diamond / Ms572-crystal diamond</x:v>
      </x:c>
      <x:c r="E7644" s="25" t="str">
        <x:v>$1.30</x:v>
      </x:c>
      <x:c r="F7644" s="19" t="str">
        <x:v>5</x:v>
      </x:c>
    </x:row>
    <x:row r="7645" ht="93" customHeight="1">
      <x:c r="A7645" s="19" t="n">
        <x:v>7642</x:v>
      </x:c>
      <x:c r="B7645" s="22" t="e">
        <x:f>HYPERLINK("https://cdn.shopify.com/s/files/1/0918/6066/4603/files/O1CN01yuYXyC1HlWxKCADjt__2545140798-0-cib.jpg?v=1774017289","Open")</x:f>
        <x:v>HYPERLINK is not implemented. linkLocation=https://cdn.shopify.com/s/files/1/0918/6066/4603/files/O1CN01yuYXyC1HlWxKCADjt__2545140798-0-cib.jpg?v=1774017289, friendlyName=Open</x:v>
      </x:c>
      <x:c r="C7645" s="24" t="e">
        <x:f>HYPERLINK("https://365nails.com/products/gold-foil-bamboo-oriental-script-nail-sticker-set-elegant-bamboo-whisper","Gold Foil Bamboo &amp; Oriental Script Nail Sticker Set – ""Elegant Bamboo Whisper""")</x:f>
        <x:v>HYPERLINK is not implemented. linkLocation=https://365nails.com/products/gold-foil-bamboo-oriental-script-nail-sticker-set-elegant-bamboo-whisper, friendlyName=Gold Foil Bamboo &amp; Oriental Script Nail Sticker Set – "Elegant Bamboo Whisper"</x:v>
      </x:c>
      <x:c r="D7645" s="18" t="str">
        <x:v>Specification type: To3525-new hot stamping / To3525-silver</x:v>
      </x:c>
      <x:c r="E7645" s="25" t="str">
        <x:v>$1.23</x:v>
      </x:c>
      <x:c r="F7645" s="19" t="str">
        <x:v>5</x:v>
      </x:c>
    </x:row>
    <x:row r="7646" ht="93" customHeight="1">
      <x:c r="A7646" s="19" t="n">
        <x:v>7643</x:v>
      </x:c>
      <x:c r="B7646" s="22" t="e">
        <x:f>HYPERLINK("https://cdn.shopify.com/s/files/1/0918/6066/4603/files/O1CN01gkheyZ1HlX7O1GB2p__2545140798-0-cib.jpg?v=1773924484","Open")</x:f>
        <x:v>HYPERLINK is not implemented. linkLocation=https://cdn.shopify.com/s/files/1/0918/6066/4603/files/O1CN01gkheyZ1HlX7O1GB2p__2545140798-0-cib.jpg?v=1773924484, friendlyName=Open</x:v>
      </x:c>
      <x:c r="C7646" s="24" t="e">
        <x:f>HYPERLINK("https://365nails.com/products/holographic-mini-flower-dainty-pastel-floral-5d-embossed-nail-sticker","Holographic Mini Flower: ""Dainty Pastel Floral"" – 5D Embossed Nail Sticker")</x:f>
        <x:v>HYPERLINK is not implemented. linkLocation=https://365nails.com/products/holographic-mini-flower-dainty-pastel-floral-5d-embossed-nail-sticker, friendlyName=Holographic Mini Flower: "Dainty Pastel Floral" – 5D Embossed Nail Sticker</x:v>
      </x:c>
      <x:c r="D7646" s="18" t="str">
        <x:v>Specification type: To5098-metal / To5119-shell light</x:v>
      </x:c>
      <x:c r="E7646" s="25" t="str">
        <x:v>$1.23</x:v>
      </x:c>
      <x:c r="F7646" s="19" t="str">
        <x:v>5</x:v>
      </x:c>
    </x:row>
    <x:row r="7647" ht="93" customHeight="1">
      <x:c r="A7647" s="19" t="n">
        <x:v>7644</x:v>
      </x:c>
      <x:c r="B7647" s="22" t="e">
        <x:f>HYPERLINK("https://cdn.shopify.com/s/files/1/0918/6066/4603/files/O1CN01r8eUWB1HlX3CFkpfY__2545140798-0-cib.jpg?v=1773839338","Open")</x:f>
        <x:v>HYPERLINK is not implemented. linkLocation=https://cdn.shopify.com/s/files/1/0918/6066/4603/files/O1CN01r8eUWB1HlX3CFkpfY__2545140798-0-cib.jpg?v=1773839338, friendlyName=Open</x:v>
      </x:c>
      <x:c r="C7647" s="24" t="e">
        <x:f>HYPERLINK("https://365nails.com/products/colorful-vintage-butterfly-vibrant-moth-butterfly-5d-embossed-nail-sticker","Colorful Vintage Butterfly: ""Vibrant Moth Butterfly"" – 5D Embossed Nail Sticker")</x:f>
        <x:v>HYPERLINK is not implemented. linkLocation=https://365nails.com/products/colorful-vintage-butterfly-vibrant-moth-butterfly-5d-embossed-nail-sticker, friendlyName=Colorful Vintage Butterfly: "Vibrant Moth Butterfly" – 5D Embossed Nail Sticker</x:v>
      </x:c>
      <x:c r="D7647" s="18" t="str">
        <x:v>Specification type: Wy38-1-relief / Wy53-shell light</x:v>
      </x:c>
      <x:c r="E7647" s="25" t="str">
        <x:v>$1.23</x:v>
      </x:c>
      <x:c r="F7647" s="19" t="str">
        <x:v>5</x:v>
      </x:c>
    </x:row>
    <x:row r="7648" ht="93" customHeight="1">
      <x:c r="A7648" s="19" t="n">
        <x:v>7645</x:v>
      </x:c>
      <x:c r="B7648" s="22" t="e">
        <x:f>HYPERLINK("https://cdn.shopify.com/s/files/1/0918/6066/4603/files/O1CN01PWqvqp1HlWxqMUfCE__2545140798-0-cib.jpg?v=1774012327","Open")</x:f>
        <x:v>HYPERLINK is not implemented. linkLocation=https://cdn.shopify.com/s/files/1/0918/6066/4603/files/O1CN01PWqvqp1HlWxqMUfCE__2545140798-0-cib.jpg?v=1774012327, friendlyName=Open</x:v>
      </x:c>
      <x:c r="C7648" s="24" t="e">
        <x:f>HYPERLINK("https://365nails.com/products/vintage-persian-rose-lace-otto-rose-vintage-5d-embossed-nail-sticker","Vintage Persian Rose &amp; Lace: ""Otto Rose Vintage"" – 5D Embossed Nail Sticker")</x:f>
        <x:v>HYPERLINK is not implemented. linkLocation=https://365nails.com/products/vintage-persian-rose-lace-otto-rose-vintage-5d-embossed-nail-sticker, friendlyName=Vintage Persian Rose &amp; Lace: "Otto Rose Vintage" – 5D Embossed Nail Sticker</x:v>
      </x:c>
      <x:c r="D7648" s="18" t="str">
        <x:v>Specification type: Ms 493 / Ms 494</x:v>
      </x:c>
      <x:c r="E7648" s="25" t="str">
        <x:v>$1.09</x:v>
      </x:c>
      <x:c r="F7648" s="19" t="str">
        <x:v>5</x:v>
      </x:c>
    </x:row>
    <x:row r="7649" ht="93" customHeight="1">
      <x:c r="A7649" s="19" t="n">
        <x:v>7646</x:v>
      </x:c>
      <x:c r="B7649" s="22" t="e">
        <x:f>HYPERLINK("https://cdn.shopify.com/s/files/1/0918/6066/4603/files/O1CN01CakB2K1HlX4P9HT8K__2545140798-0-cib_8e4e0b72-1a23-465c-891b-2725c8a70d9e.jpg?v=1774068684","Open")</x:f>
        <x:v>HYPERLINK is not implemented. linkLocation=https://cdn.shopify.com/s/files/1/0918/6066/4603/files/O1CN01CakB2K1HlX4P9HT8K__2545140798-0-cib_8e4e0b72-1a23-465c-891b-2725c8a70d9e.jpg?v=1774068684, friendlyName=Open</x:v>
      </x:c>
      <x:c r="C7649" s="24" t="e">
        <x:f>HYPERLINK("https://365nails.com/products/holographic-mini-bow-nail-sticker-set-iridescent-tiny-bow","Holographic Mini Bow Nail Sticker Set – ""Iridescent Tiny Bow""")</x:f>
        <x:v>HYPERLINK is not implemented. linkLocation=https://365nails.com/products/holographic-mini-bow-nail-sticker-set-iridescent-tiny-bow, friendlyName=Holographic Mini Bow Nail Sticker Set – "Iridescent Tiny Bow"</x:v>
      </x:c>
      <x:c r="D7649" s="18" t="str">
        <x:v>Specification type: To4703-rose gold / To4703-glitter / To4703-flash silver / To4703-new hot stamping / To4703-silver</x:v>
      </x:c>
      <x:c r="E7649" s="25" t="str">
        <x:v>$1.23</x:v>
      </x:c>
      <x:c r="F7649" s="19" t="str">
        <x:v>5</x:v>
      </x:c>
    </x:row>
    <x:row r="7650" ht="93" customHeight="1">
      <x:c r="A7650" s="19" t="n">
        <x:v>7647</x:v>
      </x:c>
      <x:c r="B7650" s="22" t="e">
        <x:f>HYPERLINK("https://cdn.shopify.com/s/files/1/0918/6066/4603/files/O1CN01pPD1LK1HlX3K5YSe2__2545140798-0-cib_fa39c97d-7924-4aeb-96ac-97e9a85d7623.jpg?v=1774018247","Open")</x:f>
        <x:v>HYPERLINK is not implemented. linkLocation=https://cdn.shopify.com/s/files/1/0918/6066/4603/files/O1CN01pPD1LK1HlX3K5YSe2__2545140798-0-cib_fa39c97d-7924-4aeb-96ac-97e9a85d7623.jpg?v=1774018247, friendlyName=Open</x:v>
      </x:c>
      <x:c r="C7650" s="24" t="e">
        <x:f>HYPERLINK("https://365nails.com/products/silver-star-gradient-oval-nail-sticker-set-starry-gradient-sparkle","Silver Star &amp; Gradient Oval Nail Sticker Set – ""Starry Gradient Sparkle""")</x:f>
        <x:v>HYPERLINK is not implemented. linkLocation=https://365nails.com/products/silver-star-gradient-oval-nail-sticker-set-starry-gradient-sparkle, friendlyName=Silver Star &amp; Gradient Oval Nail Sticker Set – "Starry Gradient Sparkle"</x:v>
      </x:c>
      <x:c r="D7650" s="18" t="str">
        <x:v>Specification type: To4452</x:v>
      </x:c>
      <x:c r="E7650" s="25" t="str">
        <x:v>$1.09</x:v>
      </x:c>
      <x:c r="F7650" s="19" t="str">
        <x:v>5</x:v>
      </x:c>
    </x:row>
    <x:row r="7651" ht="93" customHeight="1">
      <x:c r="A7651" s="19" t="n">
        <x:v>7648</x:v>
      </x:c>
      <x:c r="B7651" s="22" t="e">
        <x:f>HYPERLINK("https://cdn.shopify.com/s/files/1/0918/6066/4603/files/O1CN01ddZZlL1HlX2H9p389__2545140798-0-cib.jpg?v=1776521766","Open")</x:f>
        <x:v>HYPERLINK is not implemented. linkLocation=https://cdn.shopify.com/s/files/1/0918/6066/4603/files/O1CN01ddZZlL1HlX2H9p389__2545140798-0-cib.jpg?v=1776521766, friendlyName=Open</x:v>
      </x:c>
      <x:c r="C7651" s="24" t="e">
        <x:f>HYPERLINK("https://365nails.com/products/365nails-hello-kitty-pink-nail-art-stickers","365nails: ""Hello Kitty Pink"" – nail art stickers")</x:f>
        <x:v>HYPERLINK is not implemented. linkLocation=https://365nails.com/products/365nails-hello-kitty-pink-nail-art-stickers, friendlyName=365nails: "Hello Kitty Pink" – nail art stickers</x:v>
      </x:c>
      <x:c r="D7651" s="18" t="str">
        <x:v>Specification type: Mn 014</x:v>
      </x:c>
      <x:c r="E7651" s="25" t="str">
        <x:v>$1.09</x:v>
      </x:c>
      <x:c r="F7651" s="19" t="str">
        <x:v>5</x:v>
      </x:c>
    </x:row>
    <x:row r="7652" ht="93" customHeight="1">
      <x:c r="A7652" s="19" t="n">
        <x:v>7649</x:v>
      </x:c>
      <x:c r="B7652" s="22" t="e">
        <x:f>HYPERLINK("https://cdn.shopify.com/s/files/1/0918/6066/4603/files/O1CN0125aaDL1HlX2v4ZLc8__2545140798-0-cib_4de36c2d-f8f4-4ba2-b855-e12cdd5a8d76.jpg?v=1774012938","Open")</x:f>
        <x:v>HYPERLINK is not implemented. linkLocation=https://cdn.shopify.com/s/files/1/0918/6066/4603/files/O1CN0125aaDL1HlX2v4ZLc8__2545140798-0-cib_4de36c2d-f8f4-4ba2-b855-e12cdd5a8d76.jpg?v=1774012938, friendlyName=Open</x:v>
      </x:c>
      <x:c r="C7652" s="24" t="e">
        <x:f>HYPERLINK("https://365nails.com/products/pastel-bunny-mushroom-forest-mushroom-bunny-picnic-5d-embossed-nail-sticker","Pastel Bunny &amp; Mushroom Forest: ""Mushroom Bunny Picnic"" – 5D Embossed Nail Sticker")</x:f>
        <x:v>HYPERLINK is not implemented. linkLocation=https://365nails.com/products/pastel-bunny-mushroom-forest-mushroom-bunny-picnic-5d-embossed-nail-sticker, friendlyName=Pastel Bunny &amp; Mushroom Forest: "Mushroom Bunny Picnic" – 5D Embossed Nail Sticker</x:v>
      </x:c>
      <x:c r="D7652" s="18" t="str">
        <x:v>Specification type: To4382-relief / To4386-relief</x:v>
      </x:c>
      <x:c r="E7652" s="25" t="str">
        <x:v>$1.23</x:v>
      </x:c>
      <x:c r="F7652" s="19" t="str">
        <x:v>5</x:v>
      </x:c>
    </x:row>
    <x:row r="7653" ht="93" customHeight="1">
      <x:c r="A7653" s="19" t="n">
        <x:v>7650</x:v>
      </x:c>
      <x:c r="B7653" s="22" t="e">
        <x:f>HYPERLINK("https://cdn.shopify.com/s/files/1/0918/6066/4603/files/O1CN01102TkJ1HlWzFCyiWw__2545140798-0-cib.jpg?v=1774012688","Open")</x:f>
        <x:v>HYPERLINK is not implemented. linkLocation=https://cdn.shopify.com/s/files/1/0918/6066/4603/files/O1CN01102TkJ1HlWzFCyiWw__2545140798-0-cib.jpg?v=1774012688, friendlyName=Open</x:v>
      </x:c>
      <x:c r="C7653" s="24" t="e">
        <x:f>HYPERLINK("https://365nails.com/products/pastel-bunny-sweet-dessert-strawberry-bunny-paradise-5d-embossed-nail-sticker","Pastel Bunny &amp; Sweet Dessert: ""Strawberry Bunny Paradise"" – 5D Embossed Nail Sticker")</x:f>
        <x:v>HYPERLINK is not implemented. linkLocation=https://365nails.com/products/pastel-bunny-sweet-dessert-strawberry-bunny-paradise-5d-embossed-nail-sticker, friendlyName=Pastel Bunny &amp; Sweet Dessert: "Strawberry Bunny Paradise" – 5D Embossed Nail Sticker</x:v>
      </x:c>
      <x:c r="D7653" s="18" t="str">
        <x:v>Specification type: To3740-relief / To3745-relief</x:v>
      </x:c>
      <x:c r="E7653" s="25" t="str">
        <x:v>$1.23</x:v>
      </x:c>
      <x:c r="F7653" s="19" t="str">
        <x:v>5</x:v>
      </x:c>
    </x:row>
    <x:row r="7654" ht="93" customHeight="1">
      <x:c r="A7654" s="19" t="n">
        <x:v>7651</x:v>
      </x:c>
      <x:c r="B7654" s="22" t="e">
        <x:f>HYPERLINK("https://cdn.shopify.com/s/files/1/0918/6066/4603/files/O1CN01BCdPMA1HlX1Pwvba7__2545140798-0-cib.jpg?v=1773832088","Open")</x:f>
        <x:v>HYPERLINK is not implemented. linkLocation=https://cdn.shopify.com/s/files/1/0918/6066/4603/files/O1CN01BCdPMA1HlX1Pwvba7__2545140798-0-cib.jpg?v=1773832088, friendlyName=Open</x:v>
      </x:c>
      <x:c r="C7654" s="24" t="e">
        <x:f>HYPERLINK("https://365nails.com/products/cute-cartoon-girl-puppy-miiichan-sweet-puppy-party-5d-embossed-nail-sticker","Cute Cartoon Girl &amp; Puppy: ""Miiichan Sweet Puppy Party"" – 5D Embossed Nail Sticker")</x:f>
        <x:v>HYPERLINK is not implemented. linkLocation=https://365nails.com/products/cute-cartoon-girl-puppy-miiichan-sweet-puppy-party-5d-embossed-nail-sticker, friendlyName=Cute Cartoon Girl &amp; Puppy: "Miiichan Sweet Puppy Party" – 5D Embossed Nail Sticker</x:v>
      </x:c>
      <x:c r="D7654" s="18" t="str">
        <x:v>Specification type: Mc24-relief / Mc28-crystal diamond</x:v>
      </x:c>
      <x:c r="E7654" s="25" t="str">
        <x:v>$1.30</x:v>
      </x:c>
      <x:c r="F7654" s="19" t="str">
        <x:v>5</x:v>
      </x:c>
    </x:row>
    <x:row r="7655" ht="93" customHeight="1">
      <x:c r="A7655" s="19" t="n">
        <x:v>7652</x:v>
      </x:c>
      <x:c r="B7655" s="22" t="e">
        <x:f>HYPERLINK("https://cdn.shopify.com/s/files/1/0918/6066/4603/files/O1CN01UKfBeu1HlWp6n23se__2545140798-0-cib.jpg?v=1773991175","Open")</x:f>
        <x:v>HYPERLINK is not implemented. linkLocation=https://cdn.shopify.com/s/files/1/0918/6066/4603/files/O1CN01UKfBeu1HlWp6n23se__2545140798-0-cib.jpg?v=1773991175, friendlyName=Open</x:v>
      </x:c>
      <x:c r="C7655" s="24" t="e">
        <x:f>HYPERLINK("https://365nails.com/products/one-piece-character-set-straw-hat-crew-adventure-5d-embossed-nail-sticker","One Piece Character Set: ""Straw Hat Crew Adventure"" – 5D Embossed Nail Sticker")</x:f>
        <x:v>HYPERLINK is not implemented. linkLocation=https://365nails.com/products/one-piece-character-set-straw-hat-crew-adventure-5d-embossed-nail-sticker, friendlyName=One Piece Character Set: "Straw Hat Crew Adventure" – 5D Embossed Nail Sticker</x:v>
      </x:c>
      <x:c r="D7655" s="18" t="str">
        <x:v>Specification type: To1906 / To 1907 / To1909</x:v>
      </x:c>
      <x:c r="E7655" s="25" t="str">
        <x:v>$1.09</x:v>
      </x:c>
      <x:c r="F7655" s="19" t="str">
        <x:v>5</x:v>
      </x:c>
    </x:row>
    <x:row r="7656" ht="93" customHeight="1">
      <x:c r="A7656" s="19" t="n">
        <x:v>7653</x:v>
      </x:c>
      <x:c r="B7656" s="22" t="e">
        <x:f>HYPERLINK("https://cdn.shopify.com/s/files/1/0918/6066/4603/files/O1CN01zmJp5m1HlX9LvWSYu__2545140798-0-cib.jpg?v=1773929369","Open")</x:f>
        <x:v>HYPERLINK is not implemented. linkLocation=https://cdn.shopify.com/s/files/1/0918/6066/4603/files/O1CN01zmJp5m1HlX9LvWSYu__2545140798-0-cib.jpg?v=1773929369, friendlyName=Open</x:v>
      </x:c>
      <x:c r="C7656" s="24" t="e">
        <x:f>HYPERLINK("https://365nails.com/products/holographic-rose-pearl-lunar-night-rose-5d-embossed-nail-sticker","Holographic Rose &amp; Pearl: ""Lunar Night Rose"" – 5D Embossed Nail Sticker")</x:f>
        <x:v>HYPERLINK is not implemented. linkLocation=https://365nails.com/products/holographic-rose-pearl-lunar-night-rose-5d-embossed-nail-sticker, friendlyName=Holographic Rose &amp; Pearl: "Lunar Night Rose" – 5D Embossed Nail Sticker</x:v>
      </x:c>
      <x:c r="D7656" s="18" t="str">
        <x:v>Specification type: To3922-shell light / To3923-relief / To5130-shell light</x:v>
      </x:c>
      <x:c r="E7656" s="25" t="str">
        <x:v>$1.23</x:v>
      </x:c>
      <x:c r="F7656" s="19" t="str">
        <x:v>5</x:v>
      </x:c>
    </x:row>
    <x:row r="7657" ht="93" customHeight="1">
      <x:c r="A7657" s="19" t="n">
        <x:v>7654</x:v>
      </x:c>
      <x:c r="B7657" s="22" t="e">
        <x:f>HYPERLINK("https://cdn.shopify.com/s/files/1/0918/6066/4603/files/O1CN01c3DjqZ2MQzctaAzw1__2219089449823-0-cib.jpg?v=1774521090","Open")</x:f>
        <x:v>HYPERLINK is not implemented. linkLocation=https://cdn.shopify.com/s/files/1/0918/6066/4603/files/O1CN01c3DjqZ2MQzctaAzw1__2219089449823-0-cib.jpg?v=1774521090, friendlyName=Open</x:v>
      </x:c>
      <x:c r="C7657" s="24" t="e">
        <x:f>HYPERLINK("https://365nails.com/products/sakura-whisper-crimson-cherry-blossom-almond-press-on-nails","Sakura Whisper: ""Crimson Cherry Blossom"" – Almond Press-On Nails")</x:f>
        <x:v>HYPERLINK is not implemented. linkLocation=https://365nails.com/products/sakura-whisper-crimson-cherry-blossom-almond-press-on-nails, friendlyName=Sakura Whisper: "Crimson Cherry Blossom" – Almond Press-On Nails</x:v>
      </x:c>
      <x:c r="D7657" s="18" t="str">
        <x:v>Color: D411; Color classification: Xs / S / M / L</x:v>
      </x:c>
      <x:c r="E7657" s="25" t="str">
        <x:v>$3.49</x:v>
      </x:c>
      <x:c r="F7657" s="19" t="str">
        <x:v>1</x:v>
      </x:c>
    </x:row>
    <x:row r="7658" ht="93" customHeight="1">
      <x:c r="A7658" s="19" t="n">
        <x:v>7655</x:v>
      </x:c>
      <x:c r="B7658" s="22" t="e">
        <x:f>HYPERLINK("https://cdn.shopify.com/s/files/1/0918/6066/4603/files/O1CN01QDYMR51HlWwGYICxH__2545140798-0-cib.jpg?v=1774011923","Open")</x:f>
        <x:v>HYPERLINK is not implemented. linkLocation=https://cdn.shopify.com/s/files/1/0918/6066/4603/files/O1CN01QDYMR51HlWwGYICxH__2545140798-0-cib.jpg?v=1774011923, friendlyName=Open</x:v>
      </x:c>
      <x:c r="C7658" s="24" t="e">
        <x:f>HYPERLINK("https://365nails.com/products/forest-bunny-mushroom-woodland-bunny-picnic-5d-embossed-nail-sticker","Forest Bunny &amp; Mushroom: ""Woodland Bunny Picnic"" – 5D Embossed Nail Sticker")</x:f>
        <x:v>HYPERLINK is not implemented. linkLocation=https://365nails.com/products/forest-bunny-mushroom-woodland-bunny-picnic-5d-embossed-nail-sticker, friendlyName=Forest Bunny &amp; Mushroom: "Woodland Bunny Picnic" – 5D Embossed Nail Sticker</x:v>
      </x:c>
      <x:c r="D7658" s="18" t="str">
        <x:v>Specification type: To3275 / To3311</x:v>
      </x:c>
      <x:c r="E7658" s="25" t="str">
        <x:v>$1.23</x:v>
      </x:c>
      <x:c r="F7658" s="19" t="str">
        <x:v>5</x:v>
      </x:c>
    </x:row>
    <x:row r="7659" ht="93" customHeight="1">
      <x:c r="A7659" s="19" t="n">
        <x:v>7656</x:v>
      </x:c>
      <x:c r="B7659" s="22" t="e">
        <x:f>HYPERLINK("https://cdn.shopify.com/s/files/1/0918/6066/4603/files/O1CN01oGNHtc1HlX0nUfQ1a__2545140798-0-cib.jpg?v=1774013006","Open")</x:f>
        <x:v>HYPERLINK is not implemented. linkLocation=https://cdn.shopify.com/s/files/1/0918/6066/4603/files/O1CN01oGNHtc1HlX0nUfQ1a__2545140798-0-cib.jpg?v=1774013006, friendlyName=Open</x:v>
      </x:c>
      <x:c r="C7659" s="24" t="e">
        <x:f>HYPERLINK("https://365nails.com/products/kuromi-sweet-gothic-nail-sticker-set-kuromi-s-pink-gothic-diary-%E2%9C%A8","Kuromi Sweet Gothic Nail Sticker Set – ""Kuromi’s Pink Gothic Diary""")</x:f>
        <x:v>HYPERLINK is not implemented. linkLocation=https://365nails.com/products/kuromi-sweet-gothic-nail-sticker-set-kuromi-s-pink-gothic-diary-%E2%9C%A8, friendlyName=Kuromi Sweet Gothic Nail Sticker Set – "Kuromi’s Pink Gothic Diary"</x:v>
      </x:c>
      <x:c r="D7659" s="18" t="str">
        <x:v>Specification type: San033</x:v>
      </x:c>
      <x:c r="E7659" s="25" t="str">
        <x:v>$1.16</x:v>
      </x:c>
      <x:c r="F7659" s="19" t="str">
        <x:v>5</x:v>
      </x:c>
    </x:row>
    <x:row r="7660" ht="93" customHeight="1">
      <x:c r="A7660" s="19" t="n">
        <x:v>7657</x:v>
      </x:c>
      <x:c r="B7660" s="22" t="e">
        <x:f>HYPERLINK("https://cdn.shopify.com/s/files/1/0918/6066/4603/files/O1CN01LlLONn1HlWpmHqan1__2545140798-0-cib.jpg?v=1774008341","Open")</x:f>
        <x:v>HYPERLINK is not implemented. linkLocation=https://cdn.shopify.com/s/files/1/0918/6066/4603/files/O1CN01LlLONn1HlWpmHqan1__2545140798-0-cib.jpg?v=1774008341, friendlyName=Open</x:v>
      </x:c>
      <x:c r="C7660" s="24" t="e">
        <x:f>HYPERLINK("https://365nails.com/products/red-flower-poker-crown-royal-casino-rose-5d-embossed-nail-sticker","Red Flower Poker &amp; Crown: ""Royal Casino Rose"" – 5D Embossed Nail Sticker")</x:f>
        <x:v>HYPERLINK is not implemented. linkLocation=https://365nails.com/products/red-flower-poker-crown-royal-casino-rose-5d-embossed-nail-sticker, friendlyName=Red Flower Poker &amp; Crown: "Royal Casino Rose" – 5D Embossed Nail Sticker</x:v>
      </x:c>
      <x:c r="D7660" s="18" t="str">
        <x:v>Specification type: To2112</x:v>
      </x:c>
      <x:c r="E7660" s="25" t="str">
        <x:v>$1.08</x:v>
      </x:c>
      <x:c r="F7660" s="19" t="str">
        <x:v>5</x:v>
      </x:c>
    </x:row>
    <x:row r="7661" ht="93" customHeight="1">
      <x:c r="A7661" s="19" t="n">
        <x:v>7658</x:v>
      </x:c>
      <x:c r="B7661" s="22" t="e">
        <x:f>HYPERLINK("https://cdn.shopify.com/s/files/1/0918/6066/4603/files/O1CN01i9yRFq1HlX24VJPPr__2545140798-0-cib.jpg?v=1773837932","Open")</x:f>
        <x:v>HYPERLINK is not implemented. linkLocation=https://cdn.shopify.com/s/files/1/0918/6066/4603/files/O1CN01i9yRFq1HlX24VJPPr__2545140798-0-cib.jpg?v=1773837932, friendlyName=Open</x:v>
      </x:c>
      <x:c r="C7661" s="24" t="e">
        <x:f>HYPERLINK("https://365nails.com/products/miiichan-cartoon-girl-puppy-cozy-puppy-playdate-5d-embossed-nail-sticker","Miiichan Cartoon Girl &amp; Puppy: ""Cozy Puppy Playdate"" – 5D Embossed Nail Sticker")</x:f>
        <x:v>HYPERLINK is not implemented. linkLocation=https://365nails.com/products/miiichan-cartoon-girl-puppy-cozy-puppy-playdate-5d-embossed-nail-sticker, friendlyName=Miiichan Cartoon Girl &amp; Puppy: "Cozy Puppy Playdate" – 5D Embossed Nail Sticker</x:v>
      </x:c>
      <x:c r="D7661" s="18" t="str">
        <x:v>Specification type: Mc20-relief</x:v>
      </x:c>
      <x:c r="E7661" s="25" t="str">
        <x:v>$1.30</x:v>
      </x:c>
      <x:c r="F7661" s="19" t="str">
        <x:v>5</x:v>
      </x:c>
    </x:row>
    <x:row r="7662" ht="93" customHeight="1">
      <x:c r="A7662" s="19" t="n">
        <x:v>7659</x:v>
      </x:c>
      <x:c r="B7662" s="22" t="e">
        <x:f>HYPERLINK("https://cdn.shopify.com/s/files/1/0918/6066/4603/files/O1CN01DsAXLy1HlX2GUDK64__2545140798-0-cib.jpg?v=1774017486","Open")</x:f>
        <x:v>HYPERLINK is not implemented. linkLocation=https://cdn.shopify.com/s/files/1/0918/6066/4603/files/O1CN01DsAXLy1HlX2GUDK64__2545140798-0-cib.jpg?v=1774017486, friendlyName=Open</x:v>
      </x:c>
      <x:c r="C7662" s="24" t="e">
        <x:f>HYPERLINK("https://365nails.com/products/colorful-street-style-character-sweet-dessert-nail-sticker-set-blooming-youth-street","Colorful Street Style Character &amp; Sweet Dessert Nail Sticker Set – ""Blooming Youth Street""")</x:f>
        <x:v>HYPERLINK is not implemented. linkLocation=https://365nails.com/products/colorful-street-style-character-sweet-dessert-nail-sticker-set-blooming-youth-street, friendlyName=Colorful Street Style Character &amp; Sweet Dessert Nail Sticker Set – "Blooming Youth Street"</x:v>
      </x:c>
      <x:c r="D7662" s="18" t="str">
        <x:v>Specification type: To4250-relief / To4266-relief</x:v>
      </x:c>
      <x:c r="E7662" s="25" t="str">
        <x:v>$1.23</x:v>
      </x:c>
      <x:c r="F7662" s="19" t="str">
        <x:v>5</x:v>
      </x:c>
    </x:row>
    <x:row r="7663" ht="93" customHeight="1">
      <x:c r="A7663" s="19" t="n">
        <x:v>7660</x:v>
      </x:c>
      <x:c r="B7663" s="22" t="e">
        <x:f>HYPERLINK("https://cdn.shopify.com/s/files/1/0918/6066/4603/files/O1CN01rYY8B51HlX03oNgLQ__2545140798-0-cib_6dc092c0-365d-4277-912d-03aab14daf20.jpg?v=1773929467","Open")</x:f>
        <x:v>HYPERLINK is not implemented. linkLocation=https://cdn.shopify.com/s/files/1/0918/6066/4603/files/O1CN01rYY8B51HlX03oNgLQ__2545140798-0-cib_6dc092c0-365d-4277-912d-03aab14daf20.jpg?v=1773929467, friendlyName=Open</x:v>
      </x:c>
      <x:c r="C7663" s="24" t="e">
        <x:f>HYPERLINK("https://365nails.com/products/iridescent-crystal-butterfly-crystal-rainbow-flutter-5d-embossed-nail-sticker","Iridescent Crystal Butterfly: ""Crystal Rainbow Flutter"" – 5D Embossed Nail Sticker")</x:f>
        <x:v>HYPERLINK is not implemented. linkLocation=https://365nails.com/products/iridescent-crystal-butterfly-crystal-rainbow-flutter-5d-embossed-nail-sticker, friendlyName=Iridescent Crystal Butterfly: "Crystal Rainbow Flutter" – 5D Embossed Nail Sticker</x:v>
      </x:c>
      <x:c r="D7663" s="18" t="str">
        <x:v>Specification type: Ms571-crystal diamond / Ms572-crystal diamond</x:v>
      </x:c>
      <x:c r="E7663" s="25" t="str">
        <x:v>$1.30</x:v>
      </x:c>
      <x:c r="F7663" s="19" t="str">
        <x:v>5</x:v>
      </x:c>
    </x:row>
    <x:row r="7664" ht="93" customHeight="1">
      <x:c r="A7664" s="19" t="n">
        <x:v>7661</x:v>
      </x:c>
      <x:c r="B7664" s="22" t="e">
        <x:f>HYPERLINK("https://cdn.shopify.com/s/files/1/0918/6066/4603/files/O1CN01ixXRSR1HlX6ne8msb__2545140798-0-cib.jpg?v=1774018334","Open")</x:f>
        <x:v>HYPERLINK is not implemented. linkLocation=https://cdn.shopify.com/s/files/1/0918/6066/4603/files/O1CN01ixXRSR1HlX6ne8msb__2545140798-0-cib.jpg?v=1774018334, friendlyName=Open</x:v>
      </x:c>
      <x:c r="C7664" s="24" t="e">
        <x:f>HYPERLINK("https://365nails.com/products/strawberry-bear-sweet-dessert-nail-sticker-set-strawberry-bear-picnic","Strawberry Bear &amp; Sweet Dessert Nail Sticker Set – ""Strawberry Bear Picnic""")</x:f>
        <x:v>HYPERLINK is not implemented. linkLocation=https://365nails.com/products/strawberry-bear-sweet-dessert-nail-sticker-set-strawberry-bear-picnic, friendlyName=Strawberry Bear &amp; Sweet Dessert Nail Sticker Set – "Strawberry Bear Picnic"</x:v>
      </x:c>
      <x:c r="D7664" s="18" t="str">
        <x:v>Specification type: To5060 / To5072</x:v>
      </x:c>
      <x:c r="E7664" s="25" t="str">
        <x:v>$1.09</x:v>
      </x:c>
      <x:c r="F7664" s="19" t="str">
        <x:v>5</x:v>
      </x:c>
    </x:row>
    <x:row r="7665" ht="93" customHeight="1">
      <x:c r="A7665" s="19" t="n">
        <x:v>7662</x:v>
      </x:c>
      <x:c r="B7665" s="22" t="e">
        <x:f>HYPERLINK("https://cdn.shopify.com/s/files/1/0918/6066/4603/files/O1CN01ZWYTU21HlX0BuFle6__2545140798-0-cib.jpg?v=1773559459","Open")</x:f>
        <x:v>HYPERLINK is not implemented. linkLocation=https://cdn.shopify.com/s/files/1/0918/6066/4603/files/O1CN01ZWYTU21HlX0BuFle6__2545140798-0-cib.jpg?v=1773559459, friendlyName=Open</x:v>
      </x:c>
      <x:c r="C7665" s="24" t="e">
        <x:f>HYPERLINK("https://365nails.com/products/iris-flower-purple-iris-3d-crystal-nail-sticker","Iris Flower: ""Purple Iris"" – 3D Crystal Nail Sticker")</x:f>
        <x:v>HYPERLINK is not implemented. linkLocation=https://365nails.com/products/iris-flower-purple-iris-3d-crystal-nail-sticker, friendlyName=Iris Flower: "Purple Iris" – 3D Crystal Nail Sticker</x:v>
      </x:c>
      <x:c r="D7665" s="18" t="str">
        <x:v>Specification type: To3866-crystal diamond</x:v>
      </x:c>
      <x:c r="E7665" s="25" t="str">
        <x:v>$1.30</x:v>
      </x:c>
      <x:c r="F7665" s="19" t="str">
        <x:v>5</x:v>
      </x:c>
    </x:row>
    <x:row r="7666" ht="93" customHeight="1">
      <x:c r="A7666" s="19" t="n">
        <x:v>7663</x:v>
      </x:c>
      <x:c r="B7666" s="22" t="e">
        <x:f>HYPERLINK("https://cdn.shopify.com/s/files/1/0918/6066/4603/files/O1CN01ri342a1HlX2f16zqt__2545140798-0-cib_18631aac-2233-499e-9f37-0a83f99713d6.jpg?v=1774017351","Open")</x:f>
        <x:v>HYPERLINK is not implemented. linkLocation=https://cdn.shopify.com/s/files/1/0918/6066/4603/files/O1CN01ri342a1HlX2f16zqt__2545140798-0-cib_18631aac-2233-499e-9f37-0a83f99713d6.jpg?v=1774017351, friendlyName=Open</x:v>
      </x:c>
      <x:c r="C7666" s="24" t="e">
        <x:f>HYPERLINK("https://365nails.com/products/blush-gradient-butterfly-pearl-nail-sticker-set-blush-butterfly-dream","Blush Gradient Butterfly &amp; Pearl Nail Sticker Set – ""Blush Butterfly Dream""")</x:f>
        <x:v>HYPERLINK is not implemented. linkLocation=https://365nails.com/products/blush-gradient-butterfly-pearl-nail-sticker-set-blush-butterfly-dream, friendlyName=Blush Gradient Butterfly &amp; Pearl Nail Sticker Set – "Blush Butterfly Dream"</x:v>
      </x:c>
      <x:c r="D7666" s="18" t="str">
        <x:v>Specification type: To4363-relief / To4364-shell light</x:v>
      </x:c>
      <x:c r="E7666" s="25" t="str">
        <x:v>$1.23</x:v>
      </x:c>
      <x:c r="F7666" s="19" t="str">
        <x:v>5</x:v>
      </x:c>
    </x:row>
    <x:row r="7667" ht="93" customHeight="1">
      <x:c r="A7667" s="19" t="n">
        <x:v>7664</x:v>
      </x:c>
      <x:c r="B7667" s="22" t="e">
        <x:f>HYPERLINK("https://cdn.shopify.com/s/files/1/0918/6066/4603/files/O1CN012zSush1HlWzZEfhwQ__2545140798-0-cib.jpg?v=1774012749","Open")</x:f>
        <x:v>HYPERLINK is not implemented. linkLocation=https://cdn.shopify.com/s/files/1/0918/6066/4603/files/O1CN012zSush1HlWzZEfhwQ__2545140798-0-cib.jpg?v=1774012749, friendlyName=Open</x:v>
      </x:c>
      <x:c r="C7667" s="24" t="e">
        <x:f>HYPERLINK("https://365nails.com/products/cozy-teddy-bear-travel-traveling-teddy-diary-5d-embossed-nail-sticker","Cozy Teddy Bear &amp; Travel: ""Traveling Teddy Diary"" – 5D Embossed Nail Sticker")</x:f>
        <x:v>HYPERLINK is not implemented. linkLocation=https://365nails.com/products/cozy-teddy-bear-travel-traveling-teddy-diary-5d-embossed-nail-sticker, friendlyName=Cozy Teddy Bear &amp; Travel: "Traveling Teddy Diary" – 5D Embossed Nail Sticker</x:v>
      </x:c>
      <x:c r="D7667" s="18" t="str">
        <x:v>Specification type: Mc05-relief / Mc09-relief</x:v>
      </x:c>
      <x:c r="E7667" s="25" t="str">
        <x:v>$1.30</x:v>
      </x:c>
      <x:c r="F7667" s="19" t="str">
        <x:v>5</x:v>
      </x:c>
    </x:row>
    <x:row r="7668" ht="93" customHeight="1">
      <x:c r="A7668" s="19" t="n">
        <x:v>7665</x:v>
      </x:c>
      <x:c r="B7668" s="22" t="e">
        <x:f>HYPERLINK("https://cdn.shopify.com/s/files/1/0918/6066/4603/files/O1CN018Yp7Oz1HlX66HkxTr__2545140798-0-cib.jpg?v=1773842417","Open")</x:f>
        <x:v>HYPERLINK is not implemented. linkLocation=https://cdn.shopify.com/s/files/1/0918/6066/4603/files/O1CN018Yp7Oz1HlX66HkxTr__2545140798-0-cib.jpg?v=1773842417, friendlyName=Open</x:v>
      </x:c>
      <x:c r="C7668" s="24" t="e">
        <x:f>HYPERLINK("https://365nails.com/products/cute-forest-cats-whimsical-forest-cat-party-5d-embossed-nail-sticker","Cute Forest Cats: ""Whimsical Forest Cat Party"" – 5D Embossed Nail Sticker")</x:f>
        <x:v>HYPERLINK is not implemented. linkLocation=https://365nails.com/products/cute-forest-cats-whimsical-forest-cat-party-5d-embossed-nail-sticker, friendlyName=Cute Forest Cats: "Whimsical Forest Cat Party" – 5D Embossed Nail Sticker</x:v>
      </x:c>
      <x:c r="D7668" s="18" t="str">
        <x:v>Specification type: To4993-relief</x:v>
      </x:c>
      <x:c r="E7668" s="25" t="str">
        <x:v>$1.23</x:v>
      </x:c>
      <x:c r="F7668" s="19" t="str">
        <x:v>5</x:v>
      </x:c>
    </x:row>
    <x:row r="7669" ht="93" customHeight="1">
      <x:c r="A7669" s="19" t="n">
        <x:v>7666</x:v>
      </x:c>
      <x:c r="B7669" s="22" t="e">
        <x:f>HYPERLINK("https://cdn.shopify.com/s/files/1/0918/6066/4603/files/O1CN01TcgD0n1HlX1rnTIXJ__2545140798-0-cib.jpg?v=1774017409","Open")</x:f>
        <x:v>HYPERLINK is not implemented. linkLocation=https://cdn.shopify.com/s/files/1/0918/6066/4603/files/O1CN01TcgD0n1HlX1rnTIXJ__2545140798-0-cib.jpg?v=1774017409, friendlyName=Open</x:v>
      </x:c>
      <x:c r="C7669" s="24" t="e">
        <x:f>HYPERLINK("https://365nails.com/products/iridescent-holographic-butterfly-star-nail-sticker-set-aurora-butterfly-galaxy","Iridescent Holographic Butterfly &amp; Star Nail Sticker Set – ""Aurora Butterfly Galaxy""")</x:f>
        <x:v>HYPERLINK is not implemented. linkLocation=https://365nails.com/products/iridescent-holographic-butterfly-star-nail-sticker-set-aurora-butterfly-galaxy, friendlyName=Iridescent Holographic Butterfly &amp; Star Nail Sticker Set – "Aurora Butterfly Galaxy"</x:v>
      </x:c>
      <x:c r="D7669" s="18" t="str">
        <x:v>Specification type: To4042-crystal diamond / To4043-crystal diamond / To4044-crystal diamond</x:v>
      </x:c>
      <x:c r="E7669" s="25" t="str">
        <x:v>$1.30</x:v>
      </x:c>
      <x:c r="F7669" s="19" t="str">
        <x:v>5</x:v>
      </x:c>
    </x:row>
    <x:row r="7670" ht="93" customHeight="1">
      <x:c r="A7670" s="19" t="n">
        <x:v>7667</x:v>
      </x:c>
      <x:c r="B7670" s="22" t="e">
        <x:f>HYPERLINK("https://cdn.shopify.com/s/files/1/0918/6066/4603/files/O1CN01oGRjbv1HlX2NAsDkj__2545140798-0-cib_d4703662-4ff1-4661-852d-653889406aa4.jpg?v=1774011789","Open")</x:f>
        <x:v>HYPERLINK is not implemented. linkLocation=https://cdn.shopify.com/s/files/1/0918/6066/4603/files/O1CN01oGRjbv1HlX2NAsDkj__2545140798-0-cib_d4703662-4ff1-4661-852d-653889406aa4.jpg?v=1774011789, friendlyName=Open</x:v>
      </x:c>
      <x:c r="C7670" s="24" t="e">
        <x:f>HYPERLINK("https://365nails.com/products/summer-beach-dessert-tropical-summer-vacation-5d-embossed-nail-sticker","Summer Beach &amp; Dessert: ""Tropical Summer Vacation"" – 5D Embossed Nail Sticker")</x:f>
        <x:v>HYPERLINK is not implemented. linkLocation=https://365nails.com/products/summer-beach-dessert-tropical-summer-vacation-5d-embossed-nail-sticker, friendlyName=Summer Beach &amp; Dessert: "Tropical Summer Vacation" – 5D Embossed Nail Sticker</x:v>
      </x:c>
      <x:c r="D7670" s="18" t="str">
        <x:v>Specification type: To4296-relief / To4297-relief / To4298-jelly</x:v>
      </x:c>
      <x:c r="E7670" s="25" t="str">
        <x:v>$1.23</x:v>
      </x:c>
      <x:c r="F7670" s="19" t="str">
        <x:v>5</x:v>
      </x:c>
    </x:row>
    <x:row r="7671" ht="93" customHeight="1">
      <x:c r="A7671" s="19" t="n">
        <x:v>7668</x:v>
      </x:c>
      <x:c r="B7671" s="22" t="e">
        <x:f>HYPERLINK("https://cdn.shopify.com/s/files/1/0918/6066/4603/files/O1CN01HiN8sz1HlX5TAvNqz__2545140798-0-cib.jpg?v=1773842230","Open")</x:f>
        <x:v>HYPERLINK is not implemented. linkLocation=https://cdn.shopify.com/s/files/1/0918/6066/4603/files/O1CN01HiN8sz1HlX5TAvNqz__2545140798-0-cib.jpg?v=1773842230, friendlyName=Open</x:v>
      </x:c>
      <x:c r="C7671" s="24" t="e">
        <x:f>HYPERLINK("https://365nails.com/products/metallic-red-firework-festive-red-firework-5d-embossed-nail-sticker","Metallic Red Firework: ""Festive Red Firework"" – 5D Embossed Nail Sticker")</x:f>
        <x:v>HYPERLINK is not implemented. linkLocation=https://365nails.com/products/metallic-red-firework-festive-red-firework-5d-embossed-nail-sticker, friendlyName=Metallic Red Firework: "Festive Red Firework" – 5D Embossed Nail Sticker</x:v>
      </x:c>
      <x:c r="D7671" s="18" t="str">
        <x:v>Specification type: Ms765 - flashing red / Ms765-1-metal</x:v>
      </x:c>
      <x:c r="E7671" s="25" t="str">
        <x:v>$1.23</x:v>
      </x:c>
      <x:c r="F7671" s="19" t="str">
        <x:v>5</x:v>
      </x:c>
    </x:row>
    <x:row r="7672" ht="93" customHeight="1">
      <x:c r="A7672" s="19" t="n">
        <x:v>7669</x:v>
      </x:c>
      <x:c r="B7672" s="22" t="e">
        <x:f>HYPERLINK("https://cdn.shopify.com/s/files/1/0918/6066/4603/files/O1CN01d465TN1HlX98Sl5Ns__2545140798-0-cib.jpg?v=1774018549","Open")</x:f>
        <x:v>HYPERLINK is not implemented. linkLocation=https://cdn.shopify.com/s/files/1/0918/6066/4603/files/O1CN01d465TN1HlX98Sl5Ns__2545140798-0-cib.jpg?v=1774018549, friendlyName=Open</x:v>
      </x:c>
      <x:c r="C7672" s="24" t="e">
        <x:f>HYPERLINK("https://365nails.com/products/autumn-cat-harvest-leaf-nail-sticker-set-autumn-cat-harvest","Autumn Cat &amp; Harvest Leaf Nail Sticker Set – ""Autumn Cat Harvest""")</x:f>
        <x:v>HYPERLINK is not implemented. linkLocation=https://365nails.com/products/autumn-cat-harvest-leaf-nail-sticker-set-autumn-cat-harvest, friendlyName=Autumn Cat &amp; Harvest Leaf Nail Sticker Set – "Autumn Cat Harvest"</x:v>
      </x:c>
      <x:c r="D7672" s="18" t="str">
        <x:v>Specification type: To5204</x:v>
      </x:c>
      <x:c r="E7672" s="25" t="str">
        <x:v>$1.09</x:v>
      </x:c>
      <x:c r="F7672" s="19" t="str">
        <x:v>5</x:v>
      </x:c>
    </x:row>
    <x:row r="7673" ht="93" customHeight="1">
      <x:c r="A7673" s="19" t="n">
        <x:v>7670</x:v>
      </x:c>
      <x:c r="B7673" s="22" t="e">
        <x:f>HYPERLINK("https://cdn.shopify.com/s/files/1/0918/6066/4603/files/O1CN01FhNmiE1HlX2uVbAIQ__2545140798-0-cib_22e6a9f3-900e-4707-9a53-6febe5c51be6.jpg?v=1774013160","Open")</x:f>
        <x:v>HYPERLINK is not implemented. linkLocation=https://cdn.shopify.com/s/files/1/0918/6066/4603/files/O1CN01FhNmiE1HlX2uVbAIQ__2545140798-0-cib_22e6a9f3-900e-4707-9a53-6febe5c51be6.jpg?v=1774013160, friendlyName=Open</x:v>
      </x:c>
      <x:c r="C7673" s="24" t="e">
        <x:f>HYPERLINK("https://365nails.com/products/egyptian-bastet-cat-nail-sticker-set-pharaoh-s-sacred-cat","Egyptian Bastet Cat Nail Sticker Set – ""Pharaoh’s Sacred Cat""")</x:f>
        <x:v>HYPERLINK is not implemented. linkLocation=https://365nails.com/products/egyptian-bastet-cat-nail-sticker-set-pharaoh-s-sacred-cat, friendlyName=Egyptian Bastet Cat Nail Sticker Set – "Pharaoh’s Sacred Cat"</x:v>
      </x:c>
      <x:c r="D7673" s="18" t="str">
        <x:v>Specification type: To4396-new hot stamping / To4397-relief / To4401-new hot stamping / To4402-relief</x:v>
      </x:c>
      <x:c r="E7673" s="25" t="str">
        <x:v>$1.23</x:v>
      </x:c>
      <x:c r="F7673" s="19" t="str">
        <x:v>5</x:v>
      </x:c>
    </x:row>
    <x:row r="7674" ht="93" customHeight="1">
      <x:c r="A7674" s="19" t="n">
        <x:v>7671</x:v>
      </x:c>
      <x:c r="B7674" s="22" t="e">
        <x:f>HYPERLINK("https://cdn.shopify.com/s/files/1/0918/6066/4603/files/O1CN01ImgafC1HlWxxr5WFN__2545140798-0-cib.jpg?v=1774012464","Open")</x:f>
        <x:v>HYPERLINK is not implemented. linkLocation=https://cdn.shopify.com/s/files/1/0918/6066/4603/files/O1CN01ImgafC1HlWxxr5WFN__2545140798-0-cib.jpg?v=1774012464, friendlyName=Open</x:v>
      </x:c>
      <x:c r="C7674" s="24" t="e">
        <x:f>HYPERLINK("https://365nails.com/products/oriental-plum-blossom-magpie-plum-blossom-snow-scene-5d-embossed-nail-sticker","Oriental Plum Blossom &amp; Magpie: ""Plum Blossom Snow Scene"" – 5D Embossed Nail Sticker")</x:f>
        <x:v>HYPERLINK is not implemented. linkLocation=https://365nails.com/products/oriental-plum-blossom-magpie-plum-blossom-snow-scene-5d-embossed-nail-sticker, friendlyName=Oriental Plum Blossom &amp; Magpie: "Plum Blossom Snow Scene" – 5D Embossed Nail Sticker</x:v>
      </x:c>
      <x:c r="D7674" s="18" t="str">
        <x:v>Specification type: To3598 / To3599</x:v>
      </x:c>
      <x:c r="E7674" s="25" t="str">
        <x:v>$1.09</x:v>
      </x:c>
      <x:c r="F7674" s="19" t="str">
        <x:v>5</x:v>
      </x:c>
    </x:row>
    <x:row r="7675" ht="93" customHeight="1">
      <x:c r="A7675" s="19" t="n">
        <x:v>7672</x:v>
      </x:c>
      <x:c r="B7675" s="22" t="e">
        <x:f>HYPERLINK("https://cdn.shopify.com/s/files/1/0918/6066/4603/files/O1CN01rHVwcf1HlWxBR5dll__2545140798-0-cib.jpg?v=1773753518","Open")</x:f>
        <x:v>HYPERLINK is not implemented. linkLocation=https://cdn.shopify.com/s/files/1/0918/6066/4603/files/O1CN01rHVwcf1HlWxBR5dll__2545140798-0-cib.jpg?v=1773753518, friendlyName=Open</x:v>
      </x:c>
      <x:c r="C7675" s="24" t="e">
        <x:f>HYPERLINK("https://365nails.com/products/holographic-spider-gothic-cross-shell-shine-spider-web-5d-embossed-nail-sticker","Holographic Spider &amp; Gothic Cross: ""Shell Shine Spider Web"" – 5D Embossed Nail Sticker")</x:f>
        <x:v>HYPERLINK is not implemented. linkLocation=https://365nails.com/products/holographic-spider-gothic-cross-shell-shine-spider-web-5d-embossed-nail-sticker, friendlyName=Holographic Spider &amp; Gothic Cross: "Shell Shine Spider Web" – 5D Embossed Nail Sticker</x:v>
      </x:c>
      <x:c r="D7675" s="18" t="str">
        <x:v>Specification type: Ms468-shell light / Ms469-shell light</x:v>
      </x:c>
      <x:c r="E7675" s="25" t="str">
        <x:v>$1.23</x:v>
      </x:c>
      <x:c r="F7675" s="19" t="str">
        <x:v>5</x:v>
      </x:c>
    </x:row>
    <x:row r="7676" ht="93" customHeight="1">
      <x:c r="A7676" s="19" t="n">
        <x:v>7673</x:v>
      </x:c>
      <x:c r="B7676" s="22" t="e">
        <x:f>HYPERLINK("https://cdn.shopify.com/s/files/1/0918/6066/4603/files/O1CN01mFQdY11HlX3LpP9k7__2545140798-0-cib_8f5066e5-1d7b-4dbf-8bb8-52dc44ed9bf9.jpg?v=1774019049","Open")</x:f>
        <x:v>HYPERLINK is not implemented. linkLocation=https://cdn.shopify.com/s/files/1/0918/6066/4603/files/O1CN01mFQdY11HlX3LpP9k7__2545140798-0-cib_8f5066e5-1d7b-4dbf-8bb8-52dc44ed9bf9.jpg?v=1774019049, friendlyName=Open</x:v>
      </x:c>
      <x:c r="C7676" s="24" t="e">
        <x:f>HYPERLINK("https://365nails.com/products/pink-leopard-print-bow-nail-sticker-set-sweet-pink-leopard-bow","Pink Leopard Print &amp; Bow Nail Sticker Set – ""Sweet Pink Leopard Bow""")</x:f>
        <x:v>HYPERLINK is not implemented. linkLocation=https://365nails.com/products/pink-leopard-print-bow-nail-sticker-set-sweet-pink-leopard-bow, friendlyName=Pink Leopard Print &amp; Bow Nail Sticker Set – "Sweet Pink Leopard Bow"</x:v>
      </x:c>
      <x:c r="D7676" s="18" t="str">
        <x:v>Specification type: Ms 690-1 / Ms 691-1</x:v>
      </x:c>
      <x:c r="E7676" s="25" t="str">
        <x:v>$1.09</x:v>
      </x:c>
      <x:c r="F7676" s="19" t="str">
        <x:v>5</x:v>
      </x:c>
    </x:row>
    <x:row r="7677" ht="93" customHeight="1">
      <x:c r="A7677" s="19" t="n">
        <x:v>7674</x:v>
      </x:c>
      <x:c r="B7677" s="22" t="e">
        <x:f>HYPERLINK("https://cdn.shopify.com/s/files/1/0918/6066/4603/files/O1CN01IJS9iR1HlX3VGsQAZ__2545140798-0-cib.jpg?v=1773839539","Open")</x:f>
        <x:v>HYPERLINK is not implemented. linkLocation=https://cdn.shopify.com/s/files/1/0918/6066/4603/files/O1CN01IJS9iR1HlX3VGsQAZ__2545140798-0-cib.jpg?v=1773839539, friendlyName=Open</x:v>
      </x:c>
      <x:c r="C7677" s="24" t="e">
        <x:f>HYPERLINK("https://365nails.com/products/crystal-christmas-snow-globe-sparkling-holiday-snow-globe-5d-embossed-nail-sticker","Crystal Christmas Snow Globe: ""Sparkling Holiday Snow Globe"" – 5D Embossed Nail Sticker")</x:f>
        <x:v>HYPERLINK is not implemented. linkLocation=https://365nails.com/products/crystal-christmas-snow-globe-sparkling-holiday-snow-globe-5d-embossed-nail-sticker, friendlyName=Crystal Christmas Snow Globe: "Sparkling Holiday Snow Globe" – 5D Embossed Nail Sticker</x:v>
      </x:c>
      <x:c r="D7677" s="18" t="str">
        <x:v>Specification type: To4505-crystal diamond / To4506-crystal diamond / To4515-crystal diamond</x:v>
      </x:c>
      <x:c r="E7677" s="25" t="str">
        <x:v>$1.30</x:v>
      </x:c>
      <x:c r="F7677" s="19" t="str">
        <x:v>5</x:v>
      </x:c>
    </x:row>
    <x:row r="7678" ht="93" customHeight="1">
      <x:c r="A7678" s="19" t="n">
        <x:v>7675</x:v>
      </x:c>
      <x:c r="B7678" s="22" t="e">
        <x:f>HYPERLINK("https://cdn.shopify.com/s/files/1/0918/6066/4603/files/O1CN01TWCTgq1HlX2FU5muU__2545140798-0-cib.jpg?v=1773838071","Open")</x:f>
        <x:v>HYPERLINK is not implemented. linkLocation=https://cdn.shopify.com/s/files/1/0918/6066/4603/files/O1CN01TWCTgq1HlX2FU5muU__2545140798-0-cib.jpg?v=1773838071, friendlyName=Open</x:v>
      </x:c>
      <x:c r="C7678" s="24" t="e">
        <x:f>HYPERLINK("https://365nails.com/products/miiichan-road-trip-puppy-vintage-road-trip-adventure-5d-embossed-nail-sticker","Miiichan Road Trip Puppy: ""Vintage Road Trip Adventure"" – 5D Embossed Nail Sticker")</x:f>
        <x:v>HYPERLINK is not implemented. linkLocation=https://365nails.com/products/miiichan-road-trip-puppy-vintage-road-trip-adventure-5d-embossed-nail-sticker, friendlyName=Miiichan Road Trip Puppy: "Vintage Road Trip Adventure" – 5D Embossed Nail Sticker</x:v>
      </x:c>
      <x:c r="D7678" s="18" t="str">
        <x:v>Specification type: Mc36-relief / Mc38-relief</x:v>
      </x:c>
      <x:c r="E7678" s="25" t="str">
        <x:v>$1.30</x:v>
      </x:c>
      <x:c r="F7678" s="19" t="str">
        <x:v>5</x:v>
      </x:c>
    </x:row>
    <x:row r="7679" ht="93" customHeight="1">
      <x:c r="A7679" s="19" t="n">
        <x:v>7676</x:v>
      </x:c>
      <x:c r="B7679" s="22" t="e">
        <x:f>HYPERLINK("https://cdn.shopify.com/s/files/1/0918/6066/4603/files/O1CN01NSrl9s1HlX2PArSYg__2545140798-0-cib_e2327080-9431-4241-b245-33bf6a2d9373.jpg?v=1775454017","Open")</x:f>
        <x:v>HYPERLINK is not implemented. linkLocation=https://cdn.shopify.com/s/files/1/0918/6066/4603/files/O1CN01NSrl9s1HlX2PArSYg__2545140798-0-cib_e2327080-9431-4241-b245-33bf6a2d9373.jpg?v=1775454017, friendlyName=Open</x:v>
      </x:c>
      <x:c r="C7679" s="24" t="e">
        <x:f>HYPERLINK("https://365nails.com/products/365nails-holographic-celestial-snake-handmade-press-on-nails","365nails: ""Holographic Celestial Snake"" – Nail Art Stickers")</x:f>
        <x:v>HYPERLINK is not implemented. linkLocation=https://365nails.com/products/365nails-holographic-celestial-snake-handmade-press-on-nails, friendlyName=365nails: "Holographic Celestial Snake" – Nail Art Stickers</x:v>
      </x:c>
      <x:c r="D7679" s="18" t="str">
        <x:v>Specification type: To4273-laser powder / To4273-rose gold / To4273-new hot stamping / To4273-silver</x:v>
      </x:c>
      <x:c r="E7679" s="25" t="str">
        <x:v>$1.23</x:v>
      </x:c>
      <x:c r="F7679" s="19" t="str">
        <x:v>5</x:v>
      </x:c>
    </x:row>
    <x:row r="7680" ht="93" customHeight="1">
      <x:c r="A7680" s="19" t="n">
        <x:v>7677</x:v>
      </x:c>
      <x:c r="B7680" s="22" t="e">
        <x:f>HYPERLINK("https://cdn.shopify.com/s/files/1/0918/6066/4603/files/O1CN01APuKTi1HlX4PVT7xK__2545140798-0-cib_eb981336-9eb4-4d1c-8602-63c5815c0c40.jpg?v=1774068910","Open")</x:f>
        <x:v>HYPERLINK is not implemented. linkLocation=https://cdn.shopify.com/s/files/1/0918/6066/4603/files/O1CN01APuKTi1HlX4PVT7xK__2545140798-0-cib_eb981336-9eb4-4d1c-8602-63c5815c0c40.jpg?v=1774068910, friendlyName=Open</x:v>
      </x:c>
      <x:c r="C7680" s="24" t="e">
        <x:f>HYPERLINK("https://365nails.com/products/lucky-flower-chinese-blessing-nail-sticker-set-pink-lucky-flower","Lucky Flower &amp; Chinese Blessing Nail Sticker Set – ""Pink Lucky Flower""")</x:f>
        <x:v>HYPERLINK is not implemented. linkLocation=https://365nails.com/products/lucky-flower-chinese-blessing-nail-sticker-set-pink-lucky-flower, friendlyName=Lucky Flower &amp; Chinese Blessing Nail Sticker Set – "Pink Lucky Flower"</x:v>
      </x:c>
      <x:c r="D7680" s="18" t="str">
        <x:v>Specification type: To4674 / To4713</x:v>
      </x:c>
      <x:c r="E7680" s="25" t="str">
        <x:v>$1.09</x:v>
      </x:c>
      <x:c r="F7680" s="19" t="str">
        <x:v>5</x:v>
      </x:c>
    </x:row>
    <x:row r="7681" ht="93" customHeight="1">
      <x:c r="A7681" s="19" t="n">
        <x:v>7678</x:v>
      </x:c>
      <x:c r="B7681" s="22" t="e">
        <x:f>HYPERLINK("https://cdn.shopify.com/s/files/1/0918/6066/4603/files/O1CN01Co470x1HlX6ndFCTh__2545140798-0-cib.jpg?v=1773843692","Open")</x:f>
        <x:v>HYPERLINK is not implemented. linkLocation=https://cdn.shopify.com/s/files/1/0918/6066/4603/files/O1CN01Co470x1HlX6ndFCTh__2545140798-0-cib.jpg?v=1773843692, friendlyName=Open</x:v>
      </x:c>
      <x:c r="C7681" s="24" t="e">
        <x:f>HYPERLINK("https://365nails.com/products/cute-fruit-buddies-playful-fruit-monster-5d-embossed-nail-sticker","Cute Fruit Buddies: ""Playful Fruit Monster"" – 5D Embossed Nail Sticker")</x:f>
        <x:v>HYPERLINK is not implemented. linkLocation=https://365nails.com/products/cute-fruit-buddies-playful-fruit-monster-5d-embossed-nail-sticker, friendlyName=Cute Fruit Buddies: "Playful Fruit Monster" – 5D Embossed Nail Sticker</x:v>
      </x:c>
      <x:c r="D7681" s="18" t="str">
        <x:v>Specification type: To4911-relief / To4912-jelly</x:v>
      </x:c>
      <x:c r="E7681" s="25" t="str">
        <x:v>$1.23</x:v>
      </x:c>
      <x:c r="F7681" s="19" t="str">
        <x:v>5</x:v>
      </x:c>
    </x:row>
    <x:row r="7682" ht="93" customHeight="1">
      <x:c r="A7682" s="19" t="n">
        <x:v>7679</x:v>
      </x:c>
      <x:c r="B7682" s="22" t="e">
        <x:f>HYPERLINK("https://cdn.shopify.com/s/files/1/0918/6066/4603/files/O1CN01O9x3tA1HlX4GuJiLc__2545140798-0-cib.jpg?v=1773841492","Open")</x:f>
        <x:v>HYPERLINK is not implemented. linkLocation=https://cdn.shopify.com/s/files/1/0918/6066/4603/files/O1CN01O9x3tA1HlX4GuJiLc__2545140798-0-cib.jpg?v=1773841492, friendlyName=Open</x:v>
      </x:c>
      <x:c r="C7682" s="24" t="e">
        <x:f>HYPERLINK("https://365nails.com/products/vintage-rose-candle-elegant-victorian-rose-5d-embossed-nail-sticker","Vintage Rose &amp; Candle: ""Elegant Victorian Rose"" – 5D Embossed Nail Sticker")</x:f>
        <x:v>HYPERLINK is not implemented. linkLocation=https://365nails.com/products/vintage-rose-candle-elegant-victorian-rose-5d-embossed-nail-sticker, friendlyName=Vintage Rose &amp; Candle: "Elegant Victorian Rose" – 5D Embossed Nail Sticker</x:v>
      </x:c>
      <x:c r="D7682" s="18" t="str">
        <x:v>Specification type: Ms 725</x:v>
      </x:c>
      <x:c r="E7682" s="25" t="str">
        <x:v>$1.09</x:v>
      </x:c>
      <x:c r="F7682" s="19" t="str">
        <x:v>5</x:v>
      </x:c>
    </x:row>
    <x:row r="7683" ht="93" customHeight="1">
      <x:c r="A7683" s="19" t="n">
        <x:v>7680</x:v>
      </x:c>
      <x:c r="B7683" s="22" t="e">
        <x:f>HYPERLINK("https://cdn.shopify.com/s/files/1/0918/6066/4603/files/O1CN01NOwHFI1HlWkSk8zXJ__2545140798-0-cib.jpg?v=1774019252","Open")</x:f>
        <x:v>HYPERLINK is not implemented. linkLocation=https://cdn.shopify.com/s/files/1/0918/6066/4603/files/O1CN01NOwHFI1HlWkSk8zXJ__2545140798-0-cib.jpg?v=1774019252, friendlyName=Open</x:v>
      </x:c>
      <x:c r="C7683" s="24" t="e">
        <x:f>HYPERLINK("https://365nails.com/products/pastel-gothic-alphabet-nail-sticker-set-pastel-gothic-old-english-letters","Pastel Gothic Alphabet Nail Sticker Set – ""Pastel Gothic Old English Letters""")</x:f>
        <x:v>HYPERLINK is not implemented. linkLocation=https://365nails.com/products/pastel-gothic-alphabet-nail-sticker-set-pastel-gothic-old-english-letters, friendlyName=Pastel Gothic Alphabet Nail Sticker Set – "Pastel Gothic Old English Letters"</x:v>
      </x:c>
      <x:c r="D7683" s="18" t="str">
        <x:v>Specification type: Ta72 large relief / Ta73 large relief / Ta74 large relief / Ta76 medium embossed</x:v>
      </x:c>
      <x:c r="E7683" s="25" t="str">
        <x:v>$1.23</x:v>
      </x:c>
      <x:c r="F7683" s="19" t="str">
        <x:v>5</x:v>
      </x:c>
    </x:row>
    <x:row r="7684" ht="93" customHeight="1">
      <x:c r="A7684" s="19" t="n">
        <x:v>7681</x:v>
      </x:c>
      <x:c r="B7684" s="22" t="e">
        <x:f>HYPERLINK("https://cdn.shopify.com/s/files/1/0918/6066/4603/files/O1CN01WzlpjL1HlX3g9UNHH__2545140798-0-cib.jpg?v=1774017780","Open")</x:f>
        <x:v>HYPERLINK is not implemented. linkLocation=https://cdn.shopify.com/s/files/1/0918/6066/4603/files/O1CN01WzlpjL1HlX3g9UNHH__2545140798-0-cib.jpg?v=1774017780, friendlyName=Open</x:v>
      </x:c>
      <x:c r="C7684" s="24" t="e">
        <x:f>HYPERLINK("https://365nails.com/products/pastel-kawaii-character-crystal-nail-sticker-set-crystal-sweetheart-parade","Pastel Kawaii Character &amp; Crystal Nail Sticker Set – ""Crystal Sweetheart Parade""")</x:f>
        <x:v>HYPERLINK is not implemented. linkLocation=https://365nails.com/products/pastel-kawaii-character-crystal-nail-sticker-set-crystal-sweetheart-parade, friendlyName=Pastel Kawaii Character &amp; Crystal Nail Sticker Set – "Crystal Sweetheart Parade"</x:v>
      </x:c>
      <x:c r="D7684" s="18" t="str">
        <x:v>Specification type: To4546-crystal diamond / To4547-crystal diamond</x:v>
      </x:c>
      <x:c r="E7684" s="25" t="str">
        <x:v>$1.30</x:v>
      </x:c>
      <x:c r="F7684" s="19" t="str">
        <x:v>5</x:v>
      </x:c>
    </x:row>
    <x:row r="7685" ht="93" customHeight="1">
      <x:c r="A7685" s="19" t="n">
        <x:v>7682</x:v>
      </x:c>
      <x:c r="B7685" s="22" t="e">
        <x:f>HYPERLINK("https://cdn.shopify.com/s/files/1/0918/6066/4603/files/O1CN012bhv3M1HlX2nmWNM0__2545140798-0-cib_70d6c115-0a8b-4764-8d45-cefb983f2911.jpg?v=1774012628","Open")</x:f>
        <x:v>HYPERLINK is not implemented. linkLocation=https://cdn.shopify.com/s/files/1/0918/6066/4603/files/O1CN012bhv3M1HlX2nmWNM0__2545140798-0-cib_70d6c115-0a8b-4764-8d45-cefb983f2911.jpg?v=1774012628, friendlyName=Open</x:v>
      </x:c>
      <x:c r="C7685" s="24" t="e">
        <x:f>HYPERLINK("https://365nails.com/products/white-jasmine-oriental-calligraphy-moonlit-jasmine-night-5d-embossed-nail-sticker","White Jasmine &amp; Oriental Calligraphy: ""Moonlit Jasmine Night"" – 5D Embossed Nail Sticker")</x:f>
        <x:v>HYPERLINK is not implemented. linkLocation=https://365nails.com/products/white-jasmine-oriental-calligraphy-moonlit-jasmine-night-5d-embossed-nail-sticker, friendlyName=White Jasmine &amp; Oriental Calligraphy: "Moonlit Jasmine Night" – 5D Embossed Nail Sticker</x:v>
      </x:c>
      <x:c r="D7685" s="18" t="str">
        <x:v>Specification type: To4194 / To4314 / To4360</x:v>
      </x:c>
      <x:c r="E7685" s="25" t="str">
        <x:v>$1.09</x:v>
      </x:c>
      <x:c r="F7685" s="19" t="str">
        <x:v>5</x:v>
      </x:c>
    </x:row>
    <x:row r="7686" ht="93" customHeight="1">
      <x:c r="A7686" s="19" t="n">
        <x:v>7683</x:v>
      </x:c>
      <x:c r="B7686" s="22" t="e">
        <x:f>HYPERLINK("https://cdn.shopify.com/s/files/1/0918/6066/4603/files/O1CN01XnzPlk1HlX6jbLpCu__2545140798-0-cib.jpg?v=1773843507","Open")</x:f>
        <x:v>HYPERLINK is not implemented. linkLocation=https://cdn.shopify.com/s/files/1/0918/6066/4603/files/O1CN01XnzPlk1HlX6jbLpCu__2545140798-0-cib.jpg?v=1773843507, friendlyName=Open</x:v>
      </x:c>
      <x:c r="C7686" s="24" t="e">
        <x:f>HYPERLINK("https://365nails.com/products/iridescent-ocean-life-magical-rainbow-ocean-5d-embossed-nail-sticker","Iridescent Ocean Life: ""Magical Rainbow Ocean"" – 5D Embossed Nail Sticker")</x:f>
        <x:v>HYPERLINK is not implemented. linkLocation=https://365nails.com/products/iridescent-ocean-life-magical-rainbow-ocean-5d-embossed-nail-sticker, friendlyName=Iridescent Ocean Life: "Magical Rainbow Ocean" – 5D Embossed Nail Sticker</x:v>
      </x:c>
      <x:c r="D7686" s="18" t="str">
        <x:v>Specification type: To5067-metal</x:v>
      </x:c>
      <x:c r="E7686" s="25" t="str">
        <x:v>$1.23</x:v>
      </x:c>
      <x:c r="F7686" s="19" t="str">
        <x:v>5</x:v>
      </x:c>
    </x:row>
    <x:row r="7687" ht="93" customHeight="1">
      <x:c r="A7687" s="19" t="n">
        <x:v>7684</x:v>
      </x:c>
      <x:c r="B7687" s="22" t="e">
        <x:f>HYPERLINK("https://cdn.shopify.com/s/files/1/0918/6066/4603/files/O1CN01lRwxZu1HlX34etzw4__2545140798-0-cib.jpg?v=1773585936","Open")</x:f>
        <x:v>HYPERLINK is not implemented. linkLocation=https://cdn.shopify.com/s/files/1/0918/6066/4603/files/O1CN01lRwxZu1HlX34etzw4__2545140798-0-cib.jpg?v=1773585936, friendlyName=Open</x:v>
      </x:c>
      <x:c r="C7687" s="24" t="e">
        <x:f>HYPERLINK("https://365nails.com/products/gradient-crystal-flower-rainbow-sakura-5d-embossed-nail-sticker","Gradient Crystal Flower: ""Rainbow Sakura"" – 5D Embossed Nail Sticker")</x:f>
        <x:v>HYPERLINK is not implemented. linkLocation=https://365nails.com/products/gradient-crystal-flower-rainbow-sakura-5d-embossed-nail-sticker, friendlyName=Gradient Crystal Flower: "Rainbow Sakura" – 5D Embossed Nail Sticker</x:v>
      </x:c>
      <x:c r="D7687" s="18" t="str">
        <x:v>Specification type: To4436-jelly</x:v>
      </x:c>
      <x:c r="E7687" s="25" t="str">
        <x:v>$1.23</x:v>
      </x:c>
      <x:c r="F7687" s="19" t="str">
        <x:v>5</x:v>
      </x:c>
    </x:row>
    <x:row r="7688" ht="93" customHeight="1">
      <x:c r="A7688" s="19" t="n">
        <x:v>7685</x:v>
      </x:c>
      <x:c r="B7688" s="22" t="e">
        <x:f>HYPERLINK("https://cdn.shopify.com/s/files/1/0918/6066/4603/files/O1CN01AThLjv1HlX0LBE7mG__2545140798-0-cib.jpg?v=1774012865","Open")</x:f>
        <x:v>HYPERLINK is not implemented. linkLocation=https://cdn.shopify.com/s/files/1/0918/6066/4603/files/O1CN01AThLjv1HlX0LBE7mG__2545140798-0-cib.jpg?v=1774012865, friendlyName=Open</x:v>
      </x:c>
      <x:c r="C7688" s="24" t="e">
        <x:f>HYPERLINK("https://365nails.com/products/iridescent-shell-shine-butterfly-frame-aurora-butterfly-dream-5d-embossed-nail-sticker","Iridescent Shell-Shine Butterfly &amp; Frame: ""Aurora Butterfly Dream"" – 5D Embossed Nail Sticker")</x:f>
        <x:v>HYPERLINK is not implemented. linkLocation=https://365nails.com/products/iridescent-shell-shine-butterfly-frame-aurora-butterfly-dream-5d-embossed-nail-sticker, friendlyName=Iridescent Shell-Shine Butterfly &amp; Frame: "Aurora Butterfly Dream" – 5D Embossed Nail Sticker</x:v>
      </x:c>
      <x:c r="D7688" s="18" t="str">
        <x:v>Specification type: Ms578-shell light / Ms579-shell light</x:v>
      </x:c>
      <x:c r="E7688" s="25" t="str">
        <x:v>$1.23</x:v>
      </x:c>
      <x:c r="F7688" s="19" t="str">
        <x:v>5</x:v>
      </x:c>
    </x:row>
    <x:row r="7689" ht="93" customHeight="1">
      <x:c r="A7689" s="19" t="n">
        <x:v>7686</x:v>
      </x:c>
      <x:c r="B7689" s="22" t="e">
        <x:f>HYPERLINK("https://cdn.shopify.com/s/files/1/0918/6066/4603/files/O1CN01on8UgW1HlX2t5iw0l__2545140798-0-cib_846b745d-818c-4442-859c-10304eb49ce7.jpg?v=1774012802","Open")</x:f>
        <x:v>HYPERLINK is not implemented. linkLocation=https://cdn.shopify.com/s/files/1/0918/6066/4603/files/O1CN01on8UgW1HlX2t5iw0l__2545140798-0-cib_846b745d-818c-4442-859c-10304eb49ce7.jpg?v=1774012802, friendlyName=Open</x:v>
      </x:c>
      <x:c r="C7689" s="24" t="e">
        <x:f>HYPERLINK("https://365nails.com/products/vintage-alice-rabbit-garden-alice-in-garden-wonderland-5d-embossed-nail-sticker","Vintage Alice Rabbit &amp; Garden: ""Alice in Garden Wonderland"" – 5D Embossed Nail Sticker")</x:f>
        <x:v>HYPERLINK is not implemented. linkLocation=https://365nails.com/products/vintage-alice-rabbit-garden-alice-in-garden-wonderland-5d-embossed-nail-sticker, friendlyName=Vintage Alice Rabbit &amp; Garden: "Alice in Garden Wonderland" – 5D Embossed Nail Sticker</x:v>
      </x:c>
      <x:c r="D7689" s="18" t="str">
        <x:v>Specification type: To520-1-relief / To4380-relief</x:v>
      </x:c>
      <x:c r="E7689" s="25" t="str">
        <x:v>$1.23</x:v>
      </x:c>
      <x:c r="F7689" s="19" t="str">
        <x:v>5</x:v>
      </x:c>
    </x:row>
    <x:row r="7690" ht="93" customHeight="1">
      <x:c r="A7690" s="19" t="n">
        <x:v>7687</x:v>
      </x:c>
      <x:c r="B7690" s="22" t="e">
        <x:f>HYPERLINK("https://cdn.shopify.com/s/files/1/0918/6066/4603/files/O1CN01AXgadk1HlXAZJ0upH__2545140798-0-cib.jpg?v=1774019113","Open")</x:f>
        <x:v>HYPERLINK is not implemented. linkLocation=https://cdn.shopify.com/s/files/1/0918/6066/4603/files/O1CN01AXgadk1HlXAZJ0upH__2545140798-0-cib.jpg?v=1774019113, friendlyName=Open</x:v>
      </x:c>
      <x:c r="C7690" s="24" t="e">
        <x:f>HYPERLINK("https://365nails.com/products/multicolor-crystal-bow-star-nail-sticker-set-glamorous-crystal-bow-star","Multicolor Crystal Bow &amp; Star Nail Sticker Set – ""Glamorous Crystal Bow Star""")</x:f>
        <x:v>HYPERLINK is not implemented. linkLocation=https://365nails.com/products/multicolor-crystal-bow-star-nail-sticker-set-glamorous-crystal-bow-star, friendlyName=Multicolor Crystal Bow &amp; Star Nail Sticker Set – "Glamorous Crystal Bow Star"</x:v>
      </x:c>
      <x:c r="D7690" s="18" t="str">
        <x:v>Specification type: Md 006 / Md 008 / Md 012 / Md 013</x:v>
      </x:c>
      <x:c r="E7690" s="25" t="str">
        <x:v>$2.90</x:v>
      </x:c>
      <x:c r="F7690" s="19" t="str">
        <x:v>5</x:v>
      </x:c>
    </x:row>
    <x:row r="7691" ht="93" customHeight="1">
      <x:c r="A7691" s="19" t="n">
        <x:v>7688</x:v>
      </x:c>
      <x:c r="B7691" s="22" t="e">
        <x:f>HYPERLINK("https://cdn.shopify.com/s/files/1/0918/6066/4603/files/O1CN017gedq71HlX3ViFJtD__2545140798-0-cib_89e533dd-d40a-435d-8901-e3a196853386.jpg?v=1774018907","Open")</x:f>
        <x:v>HYPERLINK is not implemented. linkLocation=https://cdn.shopify.com/s/files/1/0918/6066/4603/files/O1CN017gedq71HlX3ViFJtD__2545140798-0-cib_89e533dd-d40a-435d-8901-e3a196853386.jpg?v=1774018907, friendlyName=Open</x:v>
      </x:c>
      <x:c r="C7691" s="24" t="e">
        <x:f>HYPERLINK("https://365nails.com/products/pink-castle-crystal-floral-nail-sticker-set-fairy-tale-crystal-castle","Pink Castle &amp; Crystal Floral Nail Sticker Set – ""Fairy Tale Crystal Castle""")</x:f>
        <x:v>HYPERLINK is not implemented. linkLocation=https://365nails.com/products/pink-castle-crystal-floral-nail-sticker-set-fairy-tale-crystal-castle, friendlyName=Pink Castle &amp; Crystal Floral Nail Sticker Set – "Fairy Tale Crystal Castle"</x:v>
      </x:c>
      <x:c r="D7691" s="18" t="str">
        <x:v>Specification type: To4468-crystal diamond / To4469-crystal diamond</x:v>
      </x:c>
      <x:c r="E7691" s="25" t="str">
        <x:v>$1.30</x:v>
      </x:c>
      <x:c r="F7691" s="19" t="str">
        <x:v>5</x:v>
      </x:c>
    </x:row>
    <x:row r="7692" ht="93" customHeight="1">
      <x:c r="A7692" s="19" t="n">
        <x:v>7689</x:v>
      </x:c>
      <x:c r="B7692" s="22" t="e">
        <x:f>HYPERLINK("https://cdn.shopify.com/s/files/1/0918/6066/4603/files/O1CN019v1Efh1HlX3p7mDH3__2545140798-0-cib_2fe5183e-1e70-4770-8102-fb6b8abb8e63.jpg?v=1774019171","Open")</x:f>
        <x:v>HYPERLINK is not implemented. linkLocation=https://cdn.shopify.com/s/files/1/0918/6066/4603/files/O1CN019v1Efh1HlX3p7mDH3__2545140798-0-cib_2fe5183e-1e70-4770-8102-fb6b8abb8e63.jpg?v=1774019171, friendlyName=Open</x:v>
      </x:c>
      <x:c r="C7692" s="24" t="e">
        <x:f>HYPERLINK("https://365nails.com/products/kawaii-halloween-bear-ghost-nail-sticker-set-spooky-cute-halloween-bears","Kawaii Halloween Bear &amp; Ghost Nail Sticker Set – ""Spooky Cute Halloween Bears""")</x:f>
        <x:v>HYPERLINK is not implemented. linkLocation=https://365nails.com/products/kawaii-halloween-bear-ghost-nail-sticker-set-spooky-cute-halloween-bears, friendlyName=Kawaii Halloween Bear &amp; Ghost Nail Sticker Set – "Spooky Cute Halloween Bears"</x:v>
      </x:c>
      <x:c r="D7692" s="18" t="str">
        <x:v>Specification type: Mc50 / Mc 52</x:v>
      </x:c>
      <x:c r="E7692" s="25" t="str">
        <x:v>$1.16</x:v>
      </x:c>
      <x:c r="F7692" s="19" t="str">
        <x:v>5</x:v>
      </x:c>
    </x:row>
    <x:row r="7693" ht="93" customHeight="1">
      <x:c r="A7693" s="19" t="n">
        <x:v>7690</x:v>
      </x:c>
      <x:c r="B7693" s="22" t="e">
        <x:f>HYPERLINK("https://cdn.shopify.com/s/files/1/0918/6066/4603/files/O1CN01a5Qfs81HlX5IA8DvK__2545140798-0-cib.jpg?v=1773846673","Open")</x:f>
        <x:v>HYPERLINK is not implemented. linkLocation=https://cdn.shopify.com/s/files/1/0918/6066/4603/files/O1CN01a5Qfs81HlX5IA8DvK__2545140798-0-cib.jpg?v=1773846673, friendlyName=Open</x:v>
      </x:c>
      <x:c r="C7693" s="24" t="e">
        <x:f>HYPERLINK("https://365nails.com/products/golden-chrysanthemum-elegant-autumn-chrysanthemum-5d-embossed-nail-sticker","Golden Chrysanthemum: ""Elegant Autumn Chrysanthemum"" – 5D Embossed Nail Sticker")</x:f>
        <x:v>HYPERLINK is not implemented. linkLocation=https://365nails.com/products/golden-chrysanthemum-elegant-autumn-chrysanthemum-5d-embossed-nail-sticker, friendlyName=Golden Chrysanthemum: "Elegant Autumn Chrysanthemum" – 5D Embossed Nail Sticker</x:v>
      </x:c>
      <x:c r="D7693" s="18" t="str">
        <x:v>Specification type: To4643 / To4836</x:v>
      </x:c>
      <x:c r="E7693" s="25" t="str">
        <x:v>$1.09</x:v>
      </x:c>
      <x:c r="F7693" s="19" t="str">
        <x:v>5</x:v>
      </x:c>
    </x:row>
    <x:row r="7694" ht="93" customHeight="1">
      <x:c r="A7694" s="19" t="n">
        <x:v>7691</x:v>
      </x:c>
      <x:c r="B7694" s="22" t="e">
        <x:f>HYPERLINK("https://cdn.shopify.com/s/files/1/0918/6066/4603/files/O1CN01SrHlmC1HlX4zw0j84__2545140798-0-cib.jpg?v=1773586937","Open")</x:f>
        <x:v>HYPERLINK is not implemented. linkLocation=https://cdn.shopify.com/s/files/1/0918/6066/4603/files/O1CN01SrHlmC1HlX4zw0j84__2545140798-0-cib.jpg?v=1773586937, friendlyName=Open</x:v>
      </x:c>
      <x:c r="C7694" s="24" t="e">
        <x:f>HYPERLINK("https://365nails.com/products/lucky-god-of-wealth-pink-fortune-5d-crystal-diamond-nail-sticker","Lucky God of Wealth: ""Pink Fortune"" – 5D Crystal Diamond Nail Sticker")</x:f>
        <x:v>HYPERLINK is not implemented. linkLocation=https://365nails.com/products/lucky-god-of-wealth-pink-fortune-5d-crystal-diamond-nail-sticker, friendlyName=Lucky God of Wealth: "Pink Fortune" – 5D Crystal Diamond Nail Sticker</x:v>
      </x:c>
      <x:c r="D7694" s="18" t="str">
        <x:v>Specification type: To4791-crystal diamond / To4810-crystal diamond</x:v>
      </x:c>
      <x:c r="E7694" s="25" t="str">
        <x:v>$1.30</x:v>
      </x:c>
      <x:c r="F7694" s="19" t="str">
        <x:v>5</x:v>
      </x:c>
    </x:row>
    <x:row r="7695" ht="93" customHeight="1">
      <x:c r="A7695" s="19" t="n">
        <x:v>7692</x:v>
      </x:c>
      <x:c r="B7695" s="22" t="e">
        <x:f>HYPERLINK("https://cdn.shopify.com/s/files/1/0918/6066/4603/files/O1CN01s0DQvD1HlX3Vi09F0__2545140798-0-cib_5e39df53-3421-48a3-80b4-0039ad717f92.jpg?v=1774018851","Open")</x:f>
        <x:v>HYPERLINK is not implemented. linkLocation=https://cdn.shopify.com/s/files/1/0918/6066/4603/files/O1CN01s0DQvD1HlX3Vi09F0__2545140798-0-cib_5e39df53-3421-48a3-80b4-0039ad717f92.jpg?v=1774018851, friendlyName=Open</x:v>
      </x:c>
      <x:c r="C7695" s="24" t="e">
        <x:f>HYPERLINK("https://365nails.com/products/gothic-spider-gem-accent-nail-sticker-set-mystic-gothic-spider","Gothic Spider &amp; Gem Accent Nail Sticker Set – ""Mystic Gothic Spider""")</x:f>
        <x:v>HYPERLINK is not implemented. linkLocation=https://365nails.com/products/gothic-spider-gem-accent-nail-sticker-set-mystic-gothic-spider, friendlyName=Gothic Spider &amp; Gem Accent Nail Sticker Set – "Mystic Gothic Spider"</x:v>
      </x:c>
      <x:c r="D7695" s="18" t="str">
        <x:v>Specification type: To4371-cat eye</x:v>
      </x:c>
      <x:c r="E7695" s="25" t="str">
        <x:v>$1.23</x:v>
      </x:c>
      <x:c r="F7695" s="19" t="str">
        <x:v>5</x:v>
      </x:c>
    </x:row>
    <x:row r="7696" ht="93" customHeight="1">
      <x:c r="A7696" s="19" t="n">
        <x:v>7693</x:v>
      </x:c>
      <x:c r="B7696" s="22" t="e">
        <x:f>HYPERLINK("https://cdn.shopify.com/s/files/1/0918/6066/4603/files/250ddef8adbf9a25682c09d1f5a3bca7.jpg?v=1772967809","Open")</x:f>
        <x:v>HYPERLINK is not implemented. linkLocation=https://cdn.shopify.com/s/files/1/0918/6066/4603/files/250ddef8adbf9a25682c09d1f5a3bca7.jpg?v=1772967809, friendlyName=Open</x:v>
      </x:c>
      <x:c r="C7696" s="24" t="e">
        <x:f>HYPERLINK("https://365nails.com/products/christmas-cozy-delights-3d-embossed-holiday-nail-art-set","Christmas Cozy Delights – 3D Embossed Holiday Nail Art Set")</x:f>
        <x:v>HYPERLINK is not implemented. linkLocation=https://365nails.com/products/christmas-cozy-delights-3d-embossed-holiday-nail-art-set, friendlyName=Christmas Cozy Delights – 3D Embossed Holiday Nail Art Set</x:v>
      </x:c>
      <x:c r="D7696" s="18" t="str">
        <x:v>Specification type: To3504 / To3513 / To3534</x:v>
      </x:c>
      <x:c r="E7696" s="25" t="str">
        <x:v>$1.23</x:v>
      </x:c>
      <x:c r="F7696" s="19" t="str">
        <x:v>5</x:v>
      </x:c>
    </x:row>
    <x:row r="7697" ht="93" customHeight="1">
      <x:c r="A7697" s="19" t="n">
        <x:v>7694</x:v>
      </x:c>
      <x:c r="B7697" s="22" t="e">
        <x:f>HYPERLINK("https://cdn.shopify.com/s/files/1/0918/6066/4603/files/O1CN01fOeTaY1HlWsLFr35Q__2545140798-0-cib.jpg?v=1774068017","Open")</x:f>
        <x:v>HYPERLINK is not implemented. linkLocation=https://cdn.shopify.com/s/files/1/0918/6066/4603/files/O1CN01fOeTaY1HlWsLFr35Q__2545140798-0-cib.jpg?v=1774068017, friendlyName=Open</x:v>
      </x:c>
      <x:c r="C7697" s="24" t="e">
        <x:f>HYPERLINK("https://365nails.com/products/pastel-argyle-sweet-heart-nail-sticker-set-sweet-argyle-love","Pastel Argyle &amp; Sweet Heart Nail Sticker Set – ""Sweet Argyle Love""")</x:f>
        <x:v>HYPERLINK is not implemented. linkLocation=https://365nails.com/products/pastel-argyle-sweet-heart-nail-sticker-set-sweet-argyle-love, friendlyName=Pastel Argyle &amp; Sweet Heart Nail Sticker Set – "Sweet Argyle Love"</x:v>
      </x:c>
      <x:c r="D7697" s="18" t="str">
        <x:v>Specification type: To2765 / To2784</x:v>
      </x:c>
      <x:c r="E7697" s="25" t="str">
        <x:v>$1.23</x:v>
      </x:c>
      <x:c r="F7697" s="19" t="str">
        <x:v>5</x:v>
      </x:c>
    </x:row>
    <x:row r="7698" ht="93" customHeight="1">
      <x:c r="A7698" s="19" t="n">
        <x:v>7695</x:v>
      </x:c>
      <x:c r="B7698" s="22" t="e">
        <x:f>HYPERLINK("https://cdn.shopify.com/s/files/1/0918/6066/4603/files/O1CN01lO9cZe1HlX5o3wlUU__2545140798-0-cib.jpg?v=1773842355","Open")</x:f>
        <x:v>HYPERLINK is not implemented. linkLocation=https://cdn.shopify.com/s/files/1/0918/6066/4603/files/O1CN01lO9cZe1HlX5o3wlUU__2545140798-0-cib.jpg?v=1773842355, friendlyName=Open</x:v>
      </x:c>
      <x:c r="C7698" s="24" t="e">
        <x:f>HYPERLINK("https://365nails.com/products/pink-peach-blossom-chinese-calligraphy-elegant-spring-peach-blossom-5d-embossed-nail-sticker","Pink Peach Blossom &amp; Chinese Calligraphy: ""Elegant Spring Peach Blossom"" – 5D Embossed Nail Sticker")</x:f>
        <x:v>HYPERLINK is not implemented. linkLocation=https://365nails.com/products/pink-peach-blossom-chinese-calligraphy-elegant-spring-peach-blossom-5d-embossed-nail-sticker, friendlyName=Pink Peach Blossom &amp; Chinese Calligraphy: "Elegant Spring Peach Blossom" – 5D Embossed Nail Sticker</x:v>
      </x:c>
      <x:c r="D7698" s="18" t="str">
        <x:v>Specification type: To4896-relief / To4898-relief</x:v>
      </x:c>
      <x:c r="E7698" s="25" t="str">
        <x:v>$1.23</x:v>
      </x:c>
      <x:c r="F7698" s="19" t="str">
        <x:v>5</x:v>
      </x:c>
    </x:row>
    <x:row r="7699" ht="93" customHeight="1">
      <x:c r="A7699" s="19" t="n">
        <x:v>7696</x:v>
      </x:c>
      <x:c r="B7699" s="22" t="e">
        <x:f>HYPERLINK("https://cdn.shopify.com/s/files/1/0918/6066/4603/files/O1CN013uwaCL1HlX7UBqWa2__2545140798-0-cib.jpg?v=1773637930","Open")</x:f>
        <x:v>HYPERLINK is not implemented. linkLocation=https://cdn.shopify.com/s/files/1/0918/6066/4603/files/O1CN013uwaCL1HlX7UBqWa2__2545140798-0-cib.jpg?v=1773637930, friendlyName=Open</x:v>
      </x:c>
      <x:c r="C7699" s="24" t="e">
        <x:f>HYPERLINK("https://365nails.com/products/elegant-swan-frame-swan-lake-5d-metallic-nail-sticker","Elegant Swan &amp; Frame: ""Swan Lake"" – 5D Metallic Nail Sticker")</x:f>
        <x:v>HYPERLINK is not implemented. linkLocation=https://365nails.com/products/elegant-swan-frame-swan-lake-5d-metallic-nail-sticker, friendlyName=Elegant Swan &amp; Frame: "Swan Lake" – 5D Metallic Nail Sticker</x:v>
      </x:c>
      <x:c r="D7699" s="18" t="str">
        <x:v>Specification type: Ms820-metal / Ms821-metal</x:v>
      </x:c>
      <x:c r="E7699" s="25" t="str">
        <x:v>$1.23</x:v>
      </x:c>
      <x:c r="F7699" s="19" t="str">
        <x:v>5</x:v>
      </x:c>
    </x:row>
    <x:row r="7700" ht="93" customHeight="1">
      <x:c r="A7700" s="19" t="n">
        <x:v>7697</x:v>
      </x:c>
      <x:c r="B7700" s="22" t="e">
        <x:f>HYPERLINK("https://cdn.shopify.com/s/files/1/0918/6066/4603/files/O1CN01KVAkLQ1HlWxBXWoR4__2545140798-0-cib.jpg?v=1772973250","Open")</x:f>
        <x:v>HYPERLINK is not implemented. linkLocation=https://cdn.shopify.com/s/files/1/0918/6066/4603/files/O1CN01KVAkLQ1HlWxBXWoR4__2545140798-0-cib.jpg?v=1772973250, friendlyName=Open</x:v>
      </x:c>
      <x:c r="C7700" s="24" t="e">
        <x:f>HYPERLINK("https://365nails.com/products/white-fireworks-minimalist-nail-art-set","White Fireworks – Minimalist Nail Art Set")</x:f>
        <x:v>HYPERLINK is not implemented. linkLocation=https://365nails.com/products/white-fireworks-minimalist-nail-art-set, friendlyName=White Fireworks – Minimalist Nail Art Set</x:v>
      </x:c>
      <x:c r="D7700" s="18" t="str">
        <x:v>Specification type: Ms 477</x:v>
      </x:c>
      <x:c r="E7700" s="25" t="str">
        <x:v>$1.23</x:v>
      </x:c>
      <x:c r="F7700" s="19" t="str">
        <x:v>5</x:v>
      </x:c>
    </x:row>
    <x:row r="7701" ht="93" customHeight="1">
      <x:c r="A7701" s="19" t="n">
        <x:v>7698</x:v>
      </x:c>
      <x:c r="B7701" s="22" t="e">
        <x:f>HYPERLINK("https://cdn.shopify.com/s/files/1/0918/6066/4603/files/O1CN01awGz2H1HlX4McvqFw__2545140798-0-cib_e7830eb9-84e5-4835-854b-18d797ccf4ff.jpg?v=1774070564","Open")</x:f>
        <x:v>HYPERLINK is not implemented. linkLocation=https://cdn.shopify.com/s/files/1/0918/6066/4603/files/O1CN01awGz2H1HlX4McvqFw__2545140798-0-cib_e7830eb9-84e5-4835-854b-18d797ccf4ff.jpg?v=1774070564, friendlyName=Open</x:v>
      </x:c>
      <x:c r="C7701" s="24" t="e">
        <x:f>HYPERLINK("https://365nails.com/products/holographic-blue-gold-butterfly-nail-sticker-set-mystic-peacock-butterfly","Holographic Blue-Gold Butterfly Nail Sticker Set – ""Mystic Peacock Butterfly""")</x:f>
        <x:v>HYPERLINK is not implemented. linkLocation=https://365nails.com/products/holographic-blue-gold-butterfly-nail-sticker-set-mystic-peacock-butterfly, friendlyName=Holographic Blue-Gold Butterfly Nail Sticker Set – "Mystic Peacock Butterfly"</x:v>
      </x:c>
      <x:c r="D7701" s="18" t="str">
        <x:v>Specification type: To4709-metal / To4710 metal</x:v>
      </x:c>
      <x:c r="E7701" s="25" t="str">
        <x:v>$1.23</x:v>
      </x:c>
      <x:c r="F7701" s="19" t="str">
        <x:v>5</x:v>
      </x:c>
    </x:row>
    <x:row r="7702" ht="93" customHeight="1">
      <x:c r="A7702" s="19" t="n">
        <x:v>7699</x:v>
      </x:c>
      <x:c r="B7702" s="22" t="e">
        <x:f>HYPERLINK("https://cdn.shopify.com/s/files/1/0918/6066/4603/files/O1CN01094R7R1HlX8AZdFTy__2545140798-0-cib.jpg?v=1774018412","Open")</x:f>
        <x:v>HYPERLINK is not implemented. linkLocation=https://cdn.shopify.com/s/files/1/0918/6066/4603/files/O1CN01094R7R1HlX8AZdFTy__2545140798-0-cib.jpg?v=1774018412, friendlyName=Open</x:v>
      </x:c>
      <x:c r="C7702" s="24" t="e">
        <x:f>HYPERLINK("https://365nails.com/products/holographic-tropical-fish-ocean-script-nail-sticker-set-deep-sea-tropical-school","Holographic Tropical Fish &amp; Ocean Script Nail Sticker Set – ""Deep Sea Tropical School""")</x:f>
        <x:v>HYPERLINK is not implemented. linkLocation=https://365nails.com/products/holographic-tropical-fish-ocean-script-nail-sticker-set-deep-sea-tropical-school, friendlyName=Holographic Tropical Fish &amp; Ocean Script Nail Sticker Set – "Deep Sea Tropical School"</x:v>
      </x:c>
      <x:c r="D7702" s="18" t="str">
        <x:v>Specification type: To5175-shell light / To5179-jelly</x:v>
      </x:c>
      <x:c r="E7702" s="25" t="str">
        <x:v>$1.23</x:v>
      </x:c>
      <x:c r="F7702" s="19" t="str">
        <x:v>5</x:v>
      </x:c>
    </x:row>
    <x:row r="7703" ht="93" customHeight="1">
      <x:c r="A7703" s="19" t="n">
        <x:v>7700</x:v>
      </x:c>
      <x:c r="B7703" s="22" t="e">
        <x:f>HYPERLINK("https://cdn.shopify.com/s/files/1/0918/6066/4603/files/O1CN01JS3Pgd1HlX1jLssQJ__2545140798-0-cib.jpg?v=1774068562","Open")</x:f>
        <x:v>HYPERLINK is not implemented. linkLocation=https://cdn.shopify.com/s/files/1/0918/6066/4603/files/O1CN01JS3Pgd1HlX1jLssQJ__2545140798-0-cib.jpg?v=1774068562, friendlyName=Open</x:v>
      </x:c>
      <x:c r="C7703" s="24" t="e">
        <x:f>HYPERLINK("https://365nails.com/products/holographic-butterfly-bow-nail-sticker-set-iridescent-fairy-butterfly","Holographic Butterfly &amp; Bow Nail Sticker Set – ""Iridescent Fairy Butterfly""")</x:f>
        <x:v>HYPERLINK is not implemented. linkLocation=https://365nails.com/products/holographic-butterfly-bow-nail-sticker-set-iridescent-fairy-butterfly, friendlyName=Holographic Butterfly &amp; Bow Nail Sticker Set – "Iridescent Fairy Butterfly"</x:v>
      </x:c>
      <x:c r="D7703" s="18" t="str">
        <x:v>Specification type: To4110-crystal diamond / To4112-crystal diamond / To4114-crystal diamond / To4115-crystal diamond</x:v>
      </x:c>
      <x:c r="E7703" s="25" t="str">
        <x:v>$1.30</x:v>
      </x:c>
      <x:c r="F7703" s="19" t="str">
        <x:v>5</x:v>
      </x:c>
    </x:row>
    <x:row r="7704" ht="93" customHeight="1">
      <x:c r="A7704" s="19" t="n">
        <x:v>7701</x:v>
      </x:c>
      <x:c r="B7704" s="22" t="e">
        <x:f>HYPERLINK("https://cdn.shopify.com/s/files/1/0918/6066/4603/files/O1CN01cuFDx31HlX44NA42e__2545140798-0-cib_4137b215-1eff-4b2b-9002-a769d800ec3b.jpg?v=1774068100","Open")</x:f>
        <x:v>HYPERLINK is not implemented. linkLocation=https://cdn.shopify.com/s/files/1/0918/6066/4603/files/O1CN01cuFDx31HlX44NA42e__2545140798-0-cib_4137b215-1eff-4b2b-9002-a769d800ec3b.jpg?v=1774068100, friendlyName=Open</x:v>
      </x:c>
      <x:c r="C7704" s="24" t="e">
        <x:f>HYPERLINK("https://365nails.com/products/white-lace-butterfly-crystal-accent-nail-sticker-set-ethereal-lace-butterfly","White Lace Butterfly &amp; Crystal Accent Nail Sticker Set – ""Ethereal Lace Butterfly""")</x:f>
        <x:v>HYPERLINK is not implemented. linkLocation=https://365nails.com/products/white-lace-butterfly-crystal-accent-nail-sticker-set-ethereal-lace-butterfly, friendlyName=White Lace Butterfly &amp; Crystal Accent Nail Sticker Set – "Ethereal Lace Butterfly"</x:v>
      </x:c>
      <x:c r="D7704" s="18" t="str">
        <x:v>Specification type: Ms720-crystal diamond</x:v>
      </x:c>
      <x:c r="E7704" s="25" t="str">
        <x:v>$1.30</x:v>
      </x:c>
      <x:c r="F7704" s="19" t="str">
        <x:v>5</x:v>
      </x:c>
    </x:row>
    <x:row r="7705" ht="93" customHeight="1">
      <x:c r="A7705" s="19" t="n">
        <x:v>7702</x:v>
      </x:c>
      <x:c r="B7705" s="22" t="e">
        <x:f>HYPERLINK("https://cdn.shopify.com/s/files/1/0918/6066/4603/files/O1CN01O9x3tA1HlX4GuJiLc__2545140798-0-cib_90e6c31b-8109-4280-bb96-c53b2f1a556f.jpg?v=1774068500","Open")</x:f>
        <x:v>HYPERLINK is not implemented. linkLocation=https://cdn.shopify.com/s/files/1/0918/6066/4603/files/O1CN01O9x3tA1HlX4GuJiLc__2545140798-0-cib_90e6c31b-8109-4280-bb96-c53b2f1a556f.jpg?v=1774068500, friendlyName=Open</x:v>
      </x:c>
      <x:c r="C7705" s="24" t="e">
        <x:f>HYPERLINK("https://365nails.com/products/vintage-rose-candle-nail-sticker-set-vintage-rose-candle-elegance","Vintage Rose &amp; Candle Nail Sticker Set – ""Vintage Rose &amp; Candle Elegance""")</x:f>
        <x:v>HYPERLINK is not implemented. linkLocation=https://365nails.com/products/vintage-rose-candle-nail-sticker-set-vintage-rose-candle-elegance, friendlyName=Vintage Rose &amp; Candle Nail Sticker Set – "Vintage Rose &amp; Candle Elegance"</x:v>
      </x:c>
      <x:c r="D7705" s="18" t="str">
        <x:v>Specification type: Ms 725</x:v>
      </x:c>
      <x:c r="E7705" s="25" t="str">
        <x:v>$1.09</x:v>
      </x:c>
      <x:c r="F7705" s="19" t="str">
        <x:v>5</x:v>
      </x:c>
    </x:row>
    <x:row r="7706" ht="93" customHeight="1">
      <x:c r="A7706" s="19" t="n">
        <x:v>7703</x:v>
      </x:c>
      <x:c r="B7706" s="22" t="e">
        <x:f>HYPERLINK("https://cdn.shopify.com/s/files/1/0918/6066/4603/files/O1CN01nlysna1HlX2cFj8zu__2545140798-0-cib_225343ca-ebad-48ed-af98-523f689ab3c7.jpg?v=1775454221","Open")</x:f>
        <x:v>HYPERLINK is not implemented. linkLocation=https://cdn.shopify.com/s/files/1/0918/6066/4603/files/O1CN01nlysna1HlX2cFj8zu__2545140798-0-cib_225343ca-ebad-48ed-af98-523f689ab3c7.jpg?v=1775454221, friendlyName=Open</x:v>
      </x:c>
      <x:c r="C7706" s="24" t="e">
        <x:f>HYPERLINK("https://365nails.com/products/365nails-watercolor-floral-butterfly-handmade-press-on-nails","365nails: ""Watercolor Floral &amp; Butterfly"" – Nail Art Stickers")</x:f>
        <x:v>HYPERLINK is not implemented. linkLocation=https://365nails.com/products/365nails-watercolor-floral-butterfly-handmade-press-on-nails, friendlyName=365nails: "Watercolor Floral &amp; Butterfly" – Nail Art Stickers</x:v>
      </x:c>
      <x:c r="D7706" s="18" t="str">
        <x:v>Specification type: To4269-relief / To4323-relief</x:v>
      </x:c>
      <x:c r="E7706" s="25" t="str">
        <x:v>$1.23</x:v>
      </x:c>
      <x:c r="F7706" s="19" t="str">
        <x:v>5</x:v>
      </x:c>
    </x:row>
    <x:row r="7707" ht="93" customHeight="1">
      <x:c r="A7707" s="19" t="n">
        <x:v>7704</x:v>
      </x:c>
      <x:c r="B7707" s="22" t="e">
        <x:f>HYPERLINK("https://cdn.shopify.com/s/files/1/0918/6066/4603/files/O1CN011tiOp01HlWqWZKGqv__2545140798-0-cib.jpg?v=1772970175","Open")</x:f>
        <x:v>HYPERLINK is not implemented. linkLocation=https://cdn.shopify.com/s/files/1/0918/6066/4603/files/O1CN011tiOp01HlWqWZKGqv__2545140798-0-cib.jpg?v=1772970175, friendlyName=Open</x:v>
      </x:c>
      <x:c r="C7707" s="24" t="e">
        <x:f>HYPERLINK("https://365nails.com/products/atashinchi-family-cute-cartoon-nail-art-set","Atashin'chi Family – Cute Cartoon Nail Art Set")</x:f>
        <x:v>HYPERLINK is not implemented. linkLocation=https://365nails.com/products/atashinchi-family-cute-cartoon-nail-art-set, friendlyName=Atashin'chi Family – Cute Cartoon Nail Art Set</x:v>
      </x:c>
      <x:c r="D7707" s="18" t="str">
        <x:v>Specification type: To2250</x:v>
      </x:c>
      <x:c r="E7707" s="25" t="str">
        <x:v>$1.23</x:v>
      </x:c>
      <x:c r="F7707" s="19" t="str">
        <x:v>5</x:v>
      </x:c>
    </x:row>
    <x:row r="7708" ht="93" customHeight="1">
      <x:c r="A7708" s="19" t="n">
        <x:v>7705</x:v>
      </x:c>
      <x:c r="B7708" s="22" t="e">
        <x:f>HYPERLINK("https://cdn.shopify.com/s/files/1/0918/6066/4603/files/O1CN01CDw0GW1HlX0eQ8XNO__2545140798-0-cib.jpg?v=1774068383","Open")</x:f>
        <x:v>HYPERLINK is not implemented. linkLocation=https://cdn.shopify.com/s/files/1/0918/6066/4603/files/O1CN01CDw0GW1HlX0eQ8XNO__2545140798-0-cib.jpg?v=1774068383, friendlyName=Open</x:v>
      </x:c>
      <x:c r="C7708" s="24" t="e">
        <x:f>HYPERLINK("https://365nails.com/products/strawberry-bear-dessert-nail-sticker-set-strawberry-bear-dessert-party","Strawberry Bear &amp; Dessert Nail Sticker Set – ""Strawberry Bear Dessert Party""")</x:f>
        <x:v>HYPERLINK is not implemented. linkLocation=https://365nails.com/products/strawberry-bear-dessert-nail-sticker-set-strawberry-bear-dessert-party, friendlyName=Strawberry Bear &amp; Dessert Nail Sticker Set – "Strawberry Bear Dessert Party"</x:v>
      </x:c>
      <x:c r="D7708" s="18" t="str">
        <x:v>Specification type: Mc 12 / Mc 17</x:v>
      </x:c>
      <x:c r="E7708" s="25" t="str">
        <x:v>$1.16</x:v>
      </x:c>
      <x:c r="F7708" s="19" t="str">
        <x:v>5</x:v>
      </x:c>
    </x:row>
    <x:row r="7709" ht="93" customHeight="1">
      <x:c r="A7709" s="19" t="n">
        <x:v>7706</x:v>
      </x:c>
      <x:c r="B7709" s="22" t="e">
        <x:f>HYPERLINK("https://cdn.shopify.com/s/files/1/0918/6066/4603/files/O1CN01csYgXm1HlX6qBA5S5__2545140798-0-cib.jpg?v=1774070624","Open")</x:f>
        <x:v>HYPERLINK is not implemented. linkLocation=https://cdn.shopify.com/s/files/1/0918/6066/4603/files/O1CN01csYgXm1HlX6qBA5S5__2545140798-0-cib.jpg?v=1774070624, friendlyName=Open</x:v>
      </x:c>
      <x:c r="C7709" s="24" t="e">
        <x:f>HYPERLINK("https://365nails.com/products/disney-mickey-friends-dance-party-nail-sticker-set-disney-dance-all-night","Disney Mickey &amp; Friends Dance Party Nail Sticker Set – ""Disney Dance All Night""")</x:f>
        <x:v>HYPERLINK is not implemented. linkLocation=https://365nails.com/products/disney-mickey-friends-dance-party-nail-sticker-set-disney-dance-all-night, friendlyName=Disney Mickey &amp; Friends Dance Party Nail Sticker Set – "Disney Dance All Night"</x:v>
      </x:c>
      <x:c r="D7709" s="18" t="str">
        <x:v>Specification type: Td012m-relief</x:v>
      </x:c>
      <x:c r="E7709" s="25" t="str">
        <x:v>$1.23</x:v>
      </x:c>
      <x:c r="F7709" s="19" t="str">
        <x:v>5</x:v>
      </x:c>
    </x:row>
    <x:row r="7710" ht="93" customHeight="1">
      <x:c r="A7710" s="19" t="n">
        <x:v>7707</x:v>
      </x:c>
      <x:c r="B7710" s="22" t="e">
        <x:f>HYPERLINK("https://cdn.shopify.com/s/files/1/0918/6066/4603/files/O1CN01oT6poA1HlX6JSkgp3__2545140798-0-cib.jpg?v=1773843191","Open")</x:f>
        <x:v>HYPERLINK is not implemented. linkLocation=https://cdn.shopify.com/s/files/1/0918/6066/4603/files/O1CN01oT6poA1HlX6JSkgp3__2545140798-0-cib.jpg?v=1773843191, friendlyName=Open</x:v>
      </x:c>
      <x:c r="C7710" s="24" t="e">
        <x:f>HYPERLINK("https://365nails.com/products/oriental-magpie-peach-blossom-serene-oriental-love-5d-embossed-nail-sticker","Oriental Magpie &amp; Peach Blossom: ""Serene Oriental Love"" – 5D Embossed Nail Sticker")</x:f>
        <x:v>HYPERLINK is not implemented. linkLocation=https://365nails.com/products/oriental-magpie-peach-blossom-serene-oriental-love-5d-embossed-nail-sticker, friendlyName=Oriental Magpie &amp; Peach Blossom: "Serene Oriental Love" – 5D Embossed Nail Sticker</x:v>
      </x:c>
      <x:c r="D7710" s="18" t="str">
        <x:v>Specification type: To4976-shell light / To4978-relief</x:v>
      </x:c>
      <x:c r="E7710" s="25" t="str">
        <x:v>$1.23</x:v>
      </x:c>
      <x:c r="F7710" s="19" t="str">
        <x:v>5</x:v>
      </x:c>
    </x:row>
    <x:row r="7711" ht="93" customHeight="1">
      <x:c r="A7711" s="19" t="n">
        <x:v>7708</x:v>
      </x:c>
      <x:c r="B7711" s="22" t="e">
        <x:f>HYPERLINK("https://cdn.shopify.com/s/files/1/0918/6066/4603/files/O1CN01wlL3lv1HlX1IVRjV1__2545140798-0-cib.jpg?v=1774013076","Open")</x:f>
        <x:v>HYPERLINK is not implemented. linkLocation=https://cdn.shopify.com/s/files/1/0918/6066/4603/files/O1CN01wlL3lv1HlX1IVRjV1__2545140798-0-cib.jpg?v=1774013076, friendlyName=Open</x:v>
      </x:c>
      <x:c r="C7711" s="24" t="e">
        <x:f>HYPERLINK("https://365nails.com/products/peter-rabbit-vintage-garden-nail-sticker-set-peter-rabbit-s-country-garden","Peter Rabbit Vintage Garden Nail Sticker Set – ""Peter Rabbit’s Country Garden""")</x:f>
        <x:v>HYPERLINK is not implemented. linkLocation=https://365nails.com/products/peter-rabbit-vintage-garden-nail-sticker-set-peter-rabbit-s-country-garden, friendlyName=Peter Rabbit Vintage Garden Nail Sticker Set – "Peter Rabbit’s Country Garden"</x:v>
      </x:c>
      <x:c r="D7711" s="18" t="str">
        <x:v>Specification type: To4066 / To4068</x:v>
      </x:c>
      <x:c r="E7711" s="25" t="str">
        <x:v>$1.09</x:v>
      </x:c>
      <x:c r="F7711" s="19" t="str">
        <x:v>5</x:v>
      </x:c>
    </x:row>
    <x:row r="7712" ht="93" customHeight="1">
      <x:c r="A7712" s="19" t="n">
        <x:v>7709</x:v>
      </x:c>
      <x:c r="B7712" s="22" t="e">
        <x:f>HYPERLINK("https://cdn.shopify.com/s/files/1/0918/6066/4603/files/O1CN01q6mmwa1HlX2E8xuXT__2545140798-0-cib.jpg?v=1773652725","Open")</x:f>
        <x:v>HYPERLINK is not implemented. linkLocation=https://cdn.shopify.com/s/files/1/0918/6066/4603/files/O1CN01q6mmwa1HlX2E8xuXT__2545140798-0-cib.jpg?v=1773652725, friendlyName=Open</x:v>
      </x:c>
      <x:c r="C7712" s="24" t="e">
        <x:f>HYPERLINK("https://365nails.com/products/kawaii-puppy-fruit-sweet-puppy-picnic-5d-embossed-nail-sticker","Kawaii Puppy &amp; Fruit: ""Sweet Puppy Picnic"" – 5D Embossed Nail Sticker")</x:f>
        <x:v>HYPERLINK is not implemented. linkLocation=https://365nails.com/products/kawaii-puppy-fruit-sweet-puppy-picnic-5d-embossed-nail-sticker, friendlyName=Kawaii Puppy &amp; Fruit: "Sweet Puppy Picnic" – 5D Embossed Nail Sticker</x:v>
      </x:c>
      <x:c r="D7712" s="18" t="str">
        <x:v>Specification type: To4247-jelly / To4248-jelly</x:v>
      </x:c>
      <x:c r="E7712" s="25" t="str">
        <x:v>$1.23</x:v>
      </x:c>
      <x:c r="F7712" s="19" t="str">
        <x:v>5</x:v>
      </x:c>
    </x:row>
    <x:row r="7713" ht="93" customHeight="1">
      <x:c r="A7713" s="19" t="n">
        <x:v>7710</x:v>
      </x:c>
      <x:c r="B7713" s="22" t="e">
        <x:f>HYPERLINK("https://cdn.shopify.com/s/files/1/0918/6066/4603/files/O1CN01qFzOCL1HlX8FoJud6__2545140798-0-cib.jpg?v=1773059764","Open")</x:f>
        <x:v>HYPERLINK is not implemented. linkLocation=https://cdn.shopify.com/s/files/1/0918/6066/4603/files/O1CN01qFzOCL1HlX8FoJud6__2545140798-0-cib.jpg?v=1773059764, friendlyName=Open</x:v>
      </x:c>
      <x:c r="C7713" s="24" t="e">
        <x:f>HYPERLINK("https://365nails.com/products/toy-story-alien-skate-crew-retro-street-nail-art-set","Toy Story Alien Skate Crew – Retro Street Nail Art Set")</x:f>
        <x:v>HYPERLINK is not implemented. linkLocation=https://365nails.com/products/toy-story-alien-skate-crew-retro-street-nail-art-set, friendlyName=Toy Story Alien Skate Crew – Retro Street Nail Art Set</x:v>
      </x:c>
      <x:c r="D7713" s="18" t="str">
        <x:v>Specification type: Td018t-relief</x:v>
      </x:c>
      <x:c r="E7713" s="25" t="str">
        <x:v>$1.23</x:v>
      </x:c>
      <x:c r="F7713" s="19" t="str">
        <x:v>5</x:v>
      </x:c>
    </x:row>
    <x:row r="7714" ht="93" customHeight="1">
      <x:c r="A7714" s="19" t="n">
        <x:v>7711</x:v>
      </x:c>
      <x:c r="B7714" s="22" t="e">
        <x:f>HYPERLINK("https://cdn.shopify.com/s/files/1/0918/6066/4603/files/O1CN010gNz161HlX4736EVT__2545140798-0-cib_d87b7e2e-55eb-4f3f-b060-82b18ef86f02.jpg?v=1774067952","Open")</x:f>
        <x:v>HYPERLINK is not implemented. linkLocation=https://cdn.shopify.com/s/files/1/0918/6066/4603/files/O1CN010gNz161HlX4736EVT__2545140798-0-cib_d87b7e2e-55eb-4f3f-b060-82b18ef86f02.jpg?v=1774067952, friendlyName=Open</x:v>
      </x:c>
      <x:c r="C7714" s="24" t="e">
        <x:f>HYPERLINK("https://365nails.com/products/red-peony-oriental-calligraphy-nail-sticker-set-crimson-peony-elegance-1","Red Peony &amp; Oriental Calligraphy Nail Sticker Set – ""Crimson Peony Elegance""")</x:f>
        <x:v>HYPERLINK is not implemented. linkLocation=https://365nails.com/products/red-peony-oriental-calligraphy-nail-sticker-set-crimson-peony-elegance-1, friendlyName=Red Peony &amp; Oriental Calligraphy Nail Sticker Set – "Crimson Peony Elegance"</x:v>
      </x:c>
      <x:c r="D7714" s="18" t="str">
        <x:v>Specification type: To4602 / To4629</x:v>
      </x:c>
      <x:c r="E7714" s="25" t="str">
        <x:v>$1.09</x:v>
      </x:c>
      <x:c r="F7714" s="19" t="str">
        <x:v>5</x:v>
      </x:c>
    </x:row>
    <x:row r="7715" ht="93" customHeight="1">
      <x:c r="A7715" s="19" t="n">
        <x:v>7712</x:v>
      </x:c>
      <x:c r="B7715" s="22" t="e">
        <x:f>HYPERLINK("https://cdn.shopify.com/s/files/1/0918/6066/4603/files/O1CN01u8ChnJ1HlX2d1Gx2g__2545140798-0-cib_1ca83f36-f7d1-4a70-a182-6caac2d6fbdd.jpg?v=1775454313","Open")</x:f>
        <x:v>HYPERLINK is not implemented. linkLocation=https://cdn.shopify.com/s/files/1/0918/6066/4603/files/O1CN01u8ChnJ1HlX2d1Gx2g__2545140798-0-cib_1ca83f36-f7d1-4a70-a182-6caac2d6fbdd.jpg?v=1775454313, friendlyName=Open</x:v>
      </x:c>
      <x:c r="C7715" s="24" t="e">
        <x:f>HYPERLINK("https://365nails.com/products/365nails-golden-ginkgo-handmade-press-on-nails","365nails: ""Golden Ginkgo"" – Nail Art Stickers")</x:f>
        <x:v>HYPERLINK is not implemented. linkLocation=https://365nails.com/products/365nails-golden-ginkgo-handmade-press-on-nails, friendlyName=365nails: "Golden Ginkgo" – Nail Art Stickers</x:v>
      </x:c>
      <x:c r="D7715" s="18" t="str">
        <x:v>Specification type: To4274-relief / To4278-relief</x:v>
      </x:c>
      <x:c r="E7715" s="25" t="str">
        <x:v>$1.23</x:v>
      </x:c>
      <x:c r="F7715" s="19" t="str">
        <x:v>5</x:v>
      </x:c>
    </x:row>
    <x:row r="7716" ht="93" customHeight="1">
      <x:c r="A7716" s="19" t="n">
        <x:v>7713</x:v>
      </x:c>
      <x:c r="B7716" s="22" t="e">
        <x:f>HYPERLINK("https://cdn.shopify.com/s/files/1/0918/6066/4603/files/O1CN01rfkseT1HlX8IoVEA2__2545140798-0-cib.jpg?v=1776573881","Open")</x:f>
        <x:v>HYPERLINK is not implemented. linkLocation=https://cdn.shopify.com/s/files/1/0918/6066/4603/files/O1CN01rfkseT1HlX8IoVEA2__2545140798-0-cib.jpg?v=1776573881, friendlyName=Open</x:v>
      </x:c>
      <x:c r="C7716" s="24" t="e">
        <x:f>HYPERLINK("https://365nails.com/products/365nails-metallic-gold-rose-nail-art-stickers","365nails: ""Metallic Gold Rose"" – nail art stickers")</x:f>
        <x:v>HYPERLINK is not implemented. linkLocation=https://365nails.com/products/365nails-metallic-gold-rose-nail-art-stickers, friendlyName=365nails: "Metallic Gold Rose" – nail art stickers</x:v>
      </x:c>
      <x:c r="D7716" s="18" t="str">
        <x:v>Color: Pro113-hot stamping / Pro114-hot stamping / Pro118-hot stamping / Pro119-hot stamping / Pro132-hot stamping / Pro135-hot stamping / Pro137-hot stamping / Pro138-hot stamping / Pro146-hot stamping / Pro160-silver / To239-new hot stamping / To239-rose gold / To239-laser / To239-silver / To241-new hot stamping / To255-new hot stamping / To255-rose gold / To296-silver / To296-new hot stamping / To296-laser / To296-rose gold / To300-rose gold / To300-silver / To300-new hot stamping / To300-laser / To301-rose gold / To301-silver / To301-new hot stamping / To301-laser / To200-hot stamping / To201-hot stamping / To276-new hot stamping / To319-new hot stamping / To321-new hot stamping / To405-new hot stamping / To410-new hot stamping / To440-new hot stamping / To442-new hot stamping / To445-new hot stamping / To445-silver / To447-new hot stamping / To447-silver / To637-new hot stamping / To1000-laser silver / 1000-new hot stamping</x:v>
      </x:c>
      <x:c r="E7716" s="25" t="str">
        <x:v>$1.01</x:v>
      </x:c>
      <x:c r="F7716" s="19" t="str">
        <x:v>5</x:v>
      </x:c>
    </x:row>
    <x:row r="7717" ht="93" customHeight="1">
      <x:c r="A7717" s="19" t="n">
        <x:v>7714</x:v>
      </x:c>
      <x:c r="B7717" s="22" t="e">
        <x:f>HYPERLINK("https://cdn.shopify.com/s/files/1/0918/6066/4603/files/O1CN01foudlN1HlWp4IWW6M__2545140798-0-cib.jpg?v=1773638710","Open")</x:f>
        <x:v>HYPERLINK is not implemented. linkLocation=https://cdn.shopify.com/s/files/1/0918/6066/4603/files/O1CN01foudlN1HlWp4IWW6M__2545140798-0-cib.jpg?v=1773638710, friendlyName=Open</x:v>
      </x:c>
      <x:c r="C7717" s="24" t="e">
        <x:f>HYPERLINK("https://365nails.com/products/demon-slayer-chibi-slayer-corps-5d-embossed-nail-sticker","Demon Slayer Chibi: ""Slayer Corps"" – 5D Embossed Nail Sticker")</x:f>
        <x:v>HYPERLINK is not implemented. linkLocation=https://365nails.com/products/demon-slayer-chibi-slayer-corps-5d-embossed-nail-sticker, friendlyName=Demon Slayer Chibi: "Slayer Corps" – 5D Embossed Nail Sticker</x:v>
      </x:c>
      <x:c r="D7717" s="18" t="str">
        <x:v>Specification type: To1905 / To1908</x:v>
      </x:c>
      <x:c r="E7717" s="25" t="str">
        <x:v>$1.23</x:v>
      </x:c>
      <x:c r="F7717" s="19" t="str">
        <x:v>5</x:v>
      </x:c>
    </x:row>
    <x:row r="7718" ht="93" customHeight="1">
      <x:c r="A7718" s="19" t="n">
        <x:v>7715</x:v>
      </x:c>
      <x:c r="B7718" s="22" t="e">
        <x:f>HYPERLINK("https://cdn.shopify.com/s/files/1/0918/6066/4603/files/O1CN01C0EpWy1HlX6a1EphP__2545140798-0-cib.jpg?v=1774068850","Open")</x:f>
        <x:v>HYPERLINK is not implemented. linkLocation=https://cdn.shopify.com/s/files/1/0918/6066/4603/files/O1CN01C0EpWy1HlX6a1EphP__2545140798-0-cib.jpg?v=1774068850, friendlyName=Open</x:v>
      </x:c>
      <x:c r="C7718" s="24" t="e">
        <x:f>HYPERLINK("https://365nails.com/products/disney-mickey-friends-picnic-nail-sticker-set-disney-picnic-fun","Disney Mickey &amp; Friends Picnic Nail Sticker Set – ""Disney Picnic Fun""")</x:f>
        <x:v>HYPERLINK is not implemented. linkLocation=https://365nails.com/products/disney-mickey-friends-picnic-nail-sticker-set-disney-picnic-fun, friendlyName=Disney Mickey &amp; Friends Picnic Nail Sticker Set – "Disney Picnic Fun"</x:v>
      </x:c>
      <x:c r="D7718" s="18" t="str">
        <x:v>Specification type: Td009m-1-shell light / Td009m-2-shell light</x:v>
      </x:c>
      <x:c r="E7718" s="25" t="str">
        <x:v>$1.23</x:v>
      </x:c>
      <x:c r="F7718" s="19" t="str">
        <x:v>5</x:v>
      </x:c>
    </x:row>
    <x:row r="7719" ht="93" customHeight="1">
      <x:c r="A7719" s="19" t="n">
        <x:v>7716</x:v>
      </x:c>
      <x:c r="B7719" s="22" t="e">
        <x:f>HYPERLINK("https://cdn.shopify.com/s/files/1/0918/6066/4603/files/O1CN010HRWPG2MQzfdK9j3n__2219089449823-0-cib.jpg?v=1774520903","Open")</x:f>
        <x:v>HYPERLINK is not implemented. linkLocation=https://cdn.shopify.com/s/files/1/0918/6066/4603/files/O1CN010HRWPG2MQzfdK9j3n__2219089449823-0-cib.jpg?v=1774520903, friendlyName=Open</x:v>
      </x:c>
      <x:c r="C7719" s="24" t="e">
        <x:f>HYPERLINK("https://365nails.com/products/pink-bow-dream-floral-rhinestone-square-press-on-nails","Pink Bow Dream: ""Floral &amp; Rhinestone"" – Square Press-On Nails")</x:f>
        <x:v>HYPERLINK is not implemented. linkLocation=https://365nails.com/products/pink-bow-dream-floral-rhinestone-square-press-on-nails, friendlyName=Pink Bow Dream: "Floral &amp; Rhinestone" – Square Press-On Nails</x:v>
      </x:c>
      <x:c r="D7719" s="18" t="str">
        <x:v>Color: L294; Color classification: Xs / S / M / L</x:v>
      </x:c>
      <x:c r="E7719" s="25" t="str">
        <x:v>$4.99</x:v>
      </x:c>
      <x:c r="F7719" s="19" t="str">
        <x:v>1</x:v>
      </x:c>
    </x:row>
    <x:row r="7720" ht="93" customHeight="1">
      <x:c r="A7720" s="19" t="n">
        <x:v>7717</x:v>
      </x:c>
      <x:c r="B7720" s="22" t="e">
        <x:f>HYPERLINK("https://cdn.shopify.com/s/files/1/0918/6066/4603/files/O1CN01fwNQnv1HlWwoARbX6__2545140798-0-cib.jpg?v=1772972325","Open")</x:f>
        <x:v>HYPERLINK is not implemented. linkLocation=https://cdn.shopify.com/s/files/1/0918/6066/4603/files/O1CN01fwNQnv1HlWwoARbX6__2545140798-0-cib.jpg?v=1772972325, friendlyName=Open</x:v>
      </x:c>
      <x:c r="C7720" s="24" t="e">
        <x:f>HYPERLINK("https://365nails.com/products/leos-bohemian-collection-ethnic-embossed-nail-art-set","Leo's Bohemian Collection – Ethnic Embossed Nail Art Set")</x:f>
        <x:v>HYPERLINK is not implemented. linkLocation=https://365nails.com/products/leos-bohemian-collection-ethnic-embossed-nail-art-set, friendlyName=Leo's Bohemian Collection – Ethnic Embossed Nail Art Set</x:v>
      </x:c>
      <x:c r="D7720" s="18" t="str">
        <x:v>Specification type: L21st / L23</x:v>
      </x:c>
      <x:c r="E7720" s="25" t="str">
        <x:v>$1.23</x:v>
      </x:c>
      <x:c r="F7720" s="19" t="str">
        <x:v>5</x:v>
      </x:c>
    </x:row>
    <x:row r="7721" ht="93" customHeight="1">
      <x:c r="A7721" s="19" t="n">
        <x:v>7718</x:v>
      </x:c>
      <x:c r="B7721" s="22" t="e">
        <x:f>HYPERLINK("https://cdn.shopify.com/s/files/1/0918/6066/4603/files/O1CN01VEW4xl1HlX67NrWUj__2545140798-0-cib.jpg?v=1773756918","Open")</x:f>
        <x:v>HYPERLINK is not implemented. linkLocation=https://cdn.shopify.com/s/files/1/0918/6066/4603/files/O1CN01VEW4xl1HlX67NrWUj__2545140798-0-cib.jpg?v=1773756918, friendlyName=Open</x:v>
      </x:c>
      <x:c r="C7721" s="24" t="e">
        <x:f>HYPERLINK("https://365nails.com/products/cute-cartoon-cat-town-meow-town-diary-5d-embossed-nail-sticker","Cute Cartoon Cat &amp; Town: ""Meow Town Diary"" – 5D Embossed Nail Sticker")</x:f>
        <x:v>HYPERLINK is not implemented. linkLocation=https://365nails.com/products/cute-cartoon-cat-town-meow-town-diary-5d-embossed-nail-sticker, friendlyName=Cute Cartoon Cat &amp; Town: "Meow Town Diary" – 5D Embossed Nail Sticker</x:v>
      </x:c>
      <x:c r="D7721" s="18" t="str">
        <x:v>Specification type: To4862-relief / To4969-relief</x:v>
      </x:c>
      <x:c r="E7721" s="25" t="str">
        <x:v>$1.23</x:v>
      </x:c>
      <x:c r="F7721" s="19" t="str">
        <x:v>5</x:v>
      </x:c>
    </x:row>
    <x:row r="7722" ht="93" customHeight="1">
      <x:c r="A7722" s="19" t="n">
        <x:v>7719</x:v>
      </x:c>
      <x:c r="B7722" s="22" t="e">
        <x:f>HYPERLINK("https://cdn.shopify.com/s/files/1/0918/6066/4603/files/O1CN01B2Bopd2MQzeosis3m__2219089449823-0-cib.jpg?v=1774520977","Open")</x:f>
        <x:v>HYPERLINK is not implemented. linkLocation=https://cdn.shopify.com/s/files/1/0918/6066/4603/files/O1CN01B2Bopd2MQzeosis3m__2219089449823-0-cib.jpg?v=1774520977, friendlyName=Open</x:v>
      </x:c>
      <x:c r="C7722" s="24" t="e">
        <x:f>HYPERLINK("https://365nails.com/products/sakura-pearl-french-pink-floral-almond-press-on-nails","Sakura Pearl French: ""Pink Floral"" – Almond Press-On Nails")</x:f>
        <x:v>HYPERLINK is not implemented. linkLocation=https://365nails.com/products/sakura-pearl-french-pink-floral-almond-press-on-nails, friendlyName=Sakura Pearl French: "Pink Floral" – Almond Press-On Nails</x:v>
      </x:c>
      <x:c r="D7722" s="18" t="str">
        <x:v>Color: D579; Color classification: Xs / S / M / L</x:v>
      </x:c>
      <x:c r="E7722" s="25" t="str">
        <x:v>$3.49</x:v>
      </x:c>
      <x:c r="F7722" s="19" t="str">
        <x:v>1</x:v>
      </x:c>
    </x:row>
    <x:row r="7723" ht="93" customHeight="1">
      <x:c r="A7723" s="19" t="n">
        <x:v>7720</x:v>
      </x:c>
      <x:c r="B7723" s="22" t="e">
        <x:f>HYPERLINK("https://cdn.shopify.com/s/files/1/0918/6066/4603/files/O1CN01OleDZ52MQzfe7i2na__2219089449823-0-cib.jpg?v=1774520911","Open")</x:f>
        <x:v>HYPERLINK is not implemented. linkLocation=https://cdn.shopify.com/s/files/1/0918/6066/4603/files/O1CN01OleDZ52MQzfe7i2na__2219089449823-0-cib.jpg?v=1774520911, friendlyName=Open</x:v>
      </x:c>
      <x:c r="C7723" s="24" t="e">
        <x:f>HYPERLINK("https://365nails.com/products/crystal-floral-luxury-rhinestone-flower-square-press-on-nails","Crystal Floral Luxury: ""Rhinestone &amp; Flower"" – Square Press-On Nails")</x:f>
        <x:v>HYPERLINK is not implemented. linkLocation=https://365nails.com/products/crystal-floral-luxury-rhinestone-flower-square-press-on-nails, friendlyName=Crystal Floral Luxury: "Rhinestone &amp; Flower" – Square Press-On Nails</x:v>
      </x:c>
      <x:c r="D7723" s="18" t="str">
        <x:v>Color: L296; Color classification: S / M / L</x:v>
      </x:c>
      <x:c r="E7723" s="25" t="str">
        <x:v>$4.99</x:v>
      </x:c>
      <x:c r="F7723" s="19" t="str">
        <x:v>1</x:v>
      </x:c>
    </x:row>
    <x:row r="7724" ht="93" customHeight="1">
      <x:c r="A7724" s="19" t="n">
        <x:v>7721</x:v>
      </x:c>
      <x:c r="B7724" s="22" t="e">
        <x:f>HYPERLINK("https://cdn.shopify.com/s/files/1/0918/6066/4603/files/66685dc23c3e3080614fbdb94975d166.jpg?v=1781018255","Open")</x:f>
        <x:v>HYPERLINK is not implemented. linkLocation=https://cdn.shopify.com/s/files/1/0918/6066/4603/files/66685dc23c3e3080614fbdb94975d166.jpg?v=1781018255, friendlyName=Open</x:v>
      </x:c>
      <x:c r="C7724" s="24" t="e">
        <x:f>HYPERLINK("https://365nails.com/products/365nails-sheer-pink-silver-glitter-gradient-tip-minimal-gloss-handmade-long-stiletto-nails","365nails: ""Sheer Pink Silver Glitter Gradient Tip"" – Minimal Gloss Handmade Long Stiletto Nails")</x:f>
        <x:v>HYPERLINK is not implemented. linkLocation=https://365nails.com/products/365nails-sheer-pink-silver-glitter-gradient-tip-minimal-gloss-handmade-long-stiletto-nails, friendlyName=365nails: "Sheer Pink Silver Glitter Gradient Tip" – Minimal Gloss Handmade Long Stiletto Nails</x:v>
      </x:c>
      <x:c r="D7724" s="18" t="str">
        <x:v>Size: XS / S / M / L</x:v>
      </x:c>
      <x:c r="E7724" s="25" t="str">
        <x:v>$4.99</x:v>
      </x:c>
      <x:c r="F7724" s="19" t="str">
        <x:v>3</x:v>
      </x:c>
    </x:row>
    <x:row r="7725" ht="93" customHeight="1">
      <x:c r="A7725" s="19" t="n">
        <x:v>7722</x:v>
      </x:c>
      <x:c r="B7725" s="22" t="e">
        <x:f>HYPERLINK("https://cdn.shopify.com/s/files/1/0918/6066/4603/files/O1CN019VTZdc2MQze3a967q__2219089449823-0-cib.jpg?v=1774520955","Open")</x:f>
        <x:v>HYPERLINK is not implemented. linkLocation=https://cdn.shopify.com/s/files/1/0918/6066/4603/files/O1CN019VTZdc2MQze3a967q__2219089449823-0-cib.jpg?v=1774520955, friendlyName=Open</x:v>
      </x:c>
      <x:c r="C7725" s="24" t="e">
        <x:f>HYPERLINK("https://365nails.com/products/sakura-lemon-pink-floral-almond-press-on-nails","Sakura Lemon: ""Pink Floral"" – Almond Press-On Nails")</x:f>
        <x:v>HYPERLINK is not implemented. linkLocation=https://365nails.com/products/sakura-lemon-pink-floral-almond-press-on-nails, friendlyName=Sakura Lemon: "Pink Floral" – Almond Press-On Nails</x:v>
      </x:c>
      <x:c r="D7725" s="18" t="str">
        <x:v>Color: D525; Color classification: Xs / S / M / L</x:v>
      </x:c>
      <x:c r="E7725" s="25" t="str">
        <x:v>$3.49</x:v>
      </x:c>
      <x:c r="F7725" s="19" t="str">
        <x:v>1</x:v>
      </x:c>
    </x:row>
    <x:row r="7726" ht="93" customHeight="1">
      <x:c r="A7726" s="19" t="n">
        <x:v>7723</x:v>
      </x:c>
      <x:c r="B7726" s="22" t="e">
        <x:f>HYPERLINK("https://cdn.shopify.com/s/files/1/0918/6066/4603/files/O1CN01vLxn7A2MQzg0ISuJd__2219089449823-0-cib.jpg?v=1774520929","Open")</x:f>
        <x:v>HYPERLINK is not implemented. linkLocation=https://cdn.shopify.com/s/files/1/0918/6066/4603/files/O1CN01vLxn7A2MQzg0ISuJd__2219089449823-0-cib.jpg?v=1774520929, friendlyName=Open</x:v>
      </x:c>
      <x:c r="C7726" s="24" t="e">
        <x:f>HYPERLINK("https://365nails.com/products/forest-star-green-gradient-floral-almond-press-on-nails","Forest Star: ""Green Gradient &amp; Floral"" – Almond Press-On Nails")</x:f>
        <x:v>HYPERLINK is not implemented. linkLocation=https://365nails.com/products/forest-star-green-gradient-floral-almond-press-on-nails, friendlyName=Forest Star: "Green Gradient &amp; Floral" – Almond Press-On Nails</x:v>
      </x:c>
      <x:c r="D7726" s="18" t="str">
        <x:v>Color: D267; Color classification: Xs / S / M / L</x:v>
      </x:c>
      <x:c r="E7726" s="25" t="str">
        <x:v>$3.49</x:v>
      </x:c>
      <x:c r="F7726" s="19" t="str">
        <x:v>1</x:v>
      </x:c>
    </x:row>
    <x:row r="7727" ht="93" customHeight="1">
      <x:c r="A7727" s="19" t="n">
        <x:v>7724</x:v>
      </x:c>
      <x:c r="B7727" s="22" t="e">
        <x:f>HYPERLINK("https://cdn.shopify.com/s/files/1/0918/6066/4603/files/d9f5d5abe6a983c12b833319a0a589c6.jpg?v=1776418802","Open")</x:f>
        <x:v>HYPERLINK is not implemented. linkLocation=https://cdn.shopify.com/s/files/1/0918/6066/4603/files/d9f5d5abe6a983c12b833319a0a589c6.jpg?v=1776418802, friendlyName=Open</x:v>
      </x:c>
      <x:c r="C7727" s="24" t="e">
        <x:f>HYPERLINK("https://365nails.com/products/365nails-demon-slayer-muzan-kibutsuji-inspired-handmade-medium-trapezoid-press-on-nails","365nails: ""Demon Slayer Muzan Kibutsuji Inspired"" – Handmade Medium Trapezoid Press-On Nails")</x:f>
        <x:v>HYPERLINK is not implemented. linkLocation=https://365nails.com/products/365nails-demon-slayer-muzan-kibutsuji-inspired-handmade-medium-trapezoid-press-on-nails, friendlyName=365nails: "Demon Slayer Muzan Kibutsuji Inspired" – Handmade Medium Trapezoid Press-On Nails</x:v>
      </x:c>
      <x:c r="D7727" s="18" t="str">
        <x:v>Size: XS / S / M</x:v>
      </x:c>
      <x:c r="E7727" s="25" t="str">
        <x:v>$3.49</x:v>
      </x:c>
      <x:c r="F7727" s="19" t="str">
        <x:v>5</x:v>
      </x:c>
    </x:row>
    <x:row r="7728" ht="93" customHeight="1">
      <x:c r="A7728" s="19" t="n">
        <x:v>7725</x:v>
      </x:c>
      <x:c r="B7728" s="22" t="e">
        <x:f>HYPERLINK("https://cdn.shopify.com/s/files/1/0918/6066/4603/files/O1CN01hCWhOs2MQzelWdoSM__2219089449823-0-cib.jpg?v=1774520863","Open")</x:f>
        <x:v>HYPERLINK is not implemented. linkLocation=https://cdn.shopify.com/s/files/1/0918/6066/4603/files/O1CN01hCWhOs2MQzelWdoSM__2219089449823-0-cib.jpg?v=1774520863, friendlyName=Open</x:v>
      </x:c>
      <x:c r="C7728" s="24" t="e">
        <x:f>HYPERLINK("https://365nails.com/products/plum-blossom-elegance-red-floral-almond-press-on-nails","Plum Blossom Elegance: ""Red Floral"" – Almond Press-On Nails")</x:f>
        <x:v>HYPERLINK is not implemented. linkLocation=https://365nails.com/products/plum-blossom-elegance-red-floral-almond-press-on-nails, friendlyName=Plum Blossom Elegance: "Red Floral" – Almond Press-On Nails</x:v>
      </x:c>
      <x:c r="D7728" s="18" t="str">
        <x:v>Color: D577; Color classification: Xs / S / M / L</x:v>
      </x:c>
      <x:c r="E7728" s="25" t="str">
        <x:v>$3.99</x:v>
      </x:c>
      <x:c r="F7728" s="19" t="str">
        <x:v>1</x:v>
      </x:c>
    </x:row>
    <x:row r="7729" ht="93" customHeight="1">
      <x:c r="A7729" s="19" t="n">
        <x:v>7726</x:v>
      </x:c>
      <x:c r="B7729" s="22" t="e">
        <x:f>HYPERLINK("https://cdn.shopify.com/s/files/1/0918/6066/4603/files/O1CN01cGBNcs1HlWqlUtDru__2545140798-0-cib.jpg?v=1772971813","Open")</x:f>
        <x:v>HYPERLINK is not implemented. linkLocation=https://cdn.shopify.com/s/files/1/0918/6066/4603/files/O1CN01cGBNcs1HlWqlUtDru__2545140798-0-cib.jpg?v=1772971813, friendlyName=Open</x:v>
      </x:c>
      <x:c r="C7729" s="24" t="e">
        <x:f>HYPERLINK("https://365nails.com/products/embossed-holographic-butterflies-iridescent-3d-nail-art-set","Embossed Holographic Butterflies – Iridescent 3D Nail Art Set")</x:f>
        <x:v>HYPERLINK is not implemented. linkLocation=https://365nails.com/products/embossed-holographic-butterflies-iridescent-3d-nail-art-set, friendlyName=Embossed Holographic Butterflies – Iridescent 3D Nail Art Set</x:v>
      </x:c>
      <x:c r="D7729" s="18" t="str">
        <x:v>Specification type: To2435</x:v>
      </x:c>
      <x:c r="E7729" s="25" t="str">
        <x:v>$1.23</x:v>
      </x:c>
      <x:c r="F7729" s="19" t="str">
        <x:v>5</x:v>
      </x:c>
    </x:row>
    <x:row r="7730" ht="93" customHeight="1">
      <x:c r="A7730" s="19" t="n">
        <x:v>7727</x:v>
      </x:c>
      <x:c r="B7730" s="22" t="e">
        <x:f>HYPERLINK("https://cdn.shopify.com/s/files/1/0918/6066/4603/files/2f8b0ea4da88f02282ebc6e6c2476c9e.jpg?v=1772974641","Open")</x:f>
        <x:v>HYPERLINK is not implemented. linkLocation=https://cdn.shopify.com/s/files/1/0918/6066/4603/files/2f8b0ea4da88f02282ebc6e6c2476c9e.jpg?v=1772974641, friendlyName=Open</x:v>
      </x:c>
      <x:c r="C7730" s="24" t="e">
        <x:f>HYPERLINK("https://365nails.com/products/embossed-butterfly-collection-vintage-enamel-nail-art-set","Embossed Butterfly Collection – Vintage Enamel Nail Art Set")</x:f>
        <x:v>HYPERLINK is not implemented. linkLocation=https://365nails.com/products/embossed-butterfly-collection-vintage-enamel-nail-art-set, friendlyName=Embossed Butterfly Collection – Vintage Enamel Nail Art Set</x:v>
      </x:c>
      <x:c r="D7730" s="18" t="str">
        <x:v>Specification type: To3422-relief / To3423-shell light</x:v>
      </x:c>
      <x:c r="E7730" s="25" t="str">
        <x:v>$1.23</x:v>
      </x:c>
      <x:c r="F7730" s="19" t="str">
        <x:v>5</x:v>
      </x:c>
    </x:row>
    <x:row r="7731" ht="93" customHeight="1">
      <x:c r="A7731" s="19" t="n">
        <x:v>7728</x:v>
      </x:c>
      <x:c r="B7731" s="22" t="e">
        <x:f>HYPERLINK("https://cdn.shopify.com/s/files/1/0918/6066/4603/files/O1CN01vUEZgc1HlX8nnJxFF__2545140798-0-cib.jpg?v=1773667146","Open")</x:f>
        <x:v>HYPERLINK is not implemented. linkLocation=https://cdn.shopify.com/s/files/1/0918/6066/4603/files/O1CN01vUEZgc1HlX8nnJxFF__2545140798-0-cib.jpg?v=1773667146, friendlyName=Open</x:v>
      </x:c>
      <x:c r="C7731" s="24" t="e">
        <x:f>HYPERLINK("https://365nails.com/products/white-christmas-snowflake-script-winter-frost-wonderland-5d-embossed-nail-sticker","White Christmas Snowflake &amp; Script: ""Winter Frost Wonderland"" – 5D Embossed Nail Sticker")</x:f>
        <x:v>HYPERLINK is not implemented. linkLocation=https://365nails.com/products/white-christmas-snowflake-script-winter-frost-wonderland-5d-embossed-nail-sticker, friendlyName=White Christmas Snowflake &amp; Script: "Winter Frost Wonderland" – 5D Embossed Nail Sticker</x:v>
      </x:c>
      <x:c r="D7731" s="18" t="str">
        <x:v>Specification type: To5273 / To5274</x:v>
      </x:c>
      <x:c r="E7731" s="25" t="str">
        <x:v>$1.09</x:v>
      </x:c>
      <x:c r="F7731" s="19" t="str">
        <x:v>5</x:v>
      </x:c>
    </x:row>
    <x:row r="7732" ht="93" customHeight="1">
      <x:c r="A7732" s="19" t="n">
        <x:v>7729</x:v>
      </x:c>
      <x:c r="B7732" s="22" t="e">
        <x:f>HYPERLINK("https://cdn.shopify.com/s/files/1/0918/6066/4603/files/O1CN01KgPSV12MQzewbSq4Z__2219089449823-0-cib.jpg?v=1774520925","Open")</x:f>
        <x:v>HYPERLINK is not implemented. linkLocation=https://cdn.shopify.com/s/files/1/0918/6066/4603/files/O1CN01KgPSV12MQzewbSq4Z__2219089449823-0-cib.jpg?v=1774520925, friendlyName=Open</x:v>
      </x:c>
      <x:c r="C7732" s="24" t="e">
        <x:f>HYPERLINK("https://365nails.com/products/whimsical-mix-floral-animal-print-almond-press-on-nails","Whimsical Mix: ""Floral &amp; Animal Print"" – Almond Press-On Nails")</x:f>
        <x:v>HYPERLINK is not implemented. linkLocation=https://365nails.com/products/whimsical-mix-floral-animal-print-almond-press-on-nails, friendlyName=Whimsical Mix: "Floral &amp; Animal Print" – Almond Press-On Nails</x:v>
      </x:c>
      <x:c r="D7732" s="18" t="str">
        <x:v>Color: D590; Color classification: Xs / S / M / L</x:v>
      </x:c>
      <x:c r="E7732" s="25" t="str">
        <x:v>$3.99</x:v>
      </x:c>
      <x:c r="F7732" s="19" t="str">
        <x:v>1</x:v>
      </x:c>
    </x:row>
    <x:row r="7733" ht="93" customHeight="1">
      <x:c r="A7733" s="19" t="n">
        <x:v>7730</x:v>
      </x:c>
      <x:c r="B7733" s="22" t="e">
        <x:f>HYPERLINK("https://cdn.shopify.com/s/files/1/0918/6066/4603/files/O1CN01x1gFJ31HlWxG8At56__2545140798-0-cib.jpg?v=1773748849","Open")</x:f>
        <x:v>HYPERLINK is not implemented. linkLocation=https://cdn.shopify.com/s/files/1/0918/6066/4603/files/O1CN01x1gFJ31HlWxG8At56__2545140798-0-cib.jpg?v=1773748849, friendlyName=Open</x:v>
      </x:c>
      <x:c r="C7733" s="24" t="e">
        <x:f>HYPERLINK("https://365nails.com/products/gothic-spider-crystal-cross-noir-spider-web-5d-crystal-diamond-nail-sticker","Gothic Spider &amp; Crystal Cross: ""Noir Spider Web"" – 5D Crystal-Diamond Nail Sticker")</x:f>
        <x:v>HYPERLINK is not implemented. linkLocation=https://365nails.com/products/gothic-spider-crystal-cross-noir-spider-web-5d-crystal-diamond-nail-sticker, friendlyName=Gothic Spider &amp; Crystal Cross: "Noir Spider Web" – 5D Crystal-Diamond Nail Sticker</x:v>
      </x:c>
      <x:c r="D7733" s="18" t="str">
        <x:v>Specification type: Ms470-crystal diamond / Ms471-crystal diamond / Ms478-crystal diamond</x:v>
      </x:c>
      <x:c r="E7733" s="25" t="str">
        <x:v>$1.30</x:v>
      </x:c>
      <x:c r="F7733" s="19" t="str">
        <x:v>5</x:v>
      </x:c>
    </x:row>
    <x:row r="7734" ht="93" customHeight="1">
      <x:c r="A7734" s="19" t="n">
        <x:v>7731</x:v>
      </x:c>
      <x:c r="B7734" s="22" t="e">
        <x:f>HYPERLINK("https://cdn.shopify.com/s/files/1/0918/6066/4603/files/O1CN01XQJW9p1HlX7SxI6Nc__2545140798-0-cib.jpg?v=1773747155","Open")</x:f>
        <x:v>HYPERLINK is not implemented. linkLocation=https://cdn.shopify.com/s/files/1/0918/6066/4603/files/O1CN01XQJW9p1HlX7SxI6Nc__2545140798-0-cib.jpg?v=1773747155, friendlyName=Open</x:v>
      </x:c>
      <x:c r="C7734" s="24" t="e">
        <x:f>HYPERLINK("https://365nails.com/products/holographic-mermaid-tail-ocean-wave-mystic-mermaid-tide-5d-embossed-nail-sticker","Holographic Mermaid Tail &amp; Ocean Wave: ""Mystic Mermaid Tide"" – 5D Embossed Nail Sticker")</x:f>
        <x:v>HYPERLINK is not implemented. linkLocation=https://365nails.com/products/holographic-mermaid-tail-ocean-wave-mystic-mermaid-tide-5d-embossed-nail-sticker, friendlyName=Holographic Mermaid Tail &amp; Ocean Wave: "Mystic Mermaid Tide" – 5D Embossed Nail Sticker</x:v>
      </x:c>
      <x:c r="D7734" s="18" t="str">
        <x:v>Specification type: Ms818-jelly</x:v>
      </x:c>
      <x:c r="E7734" s="25" t="str">
        <x:v>$1.23</x:v>
      </x:c>
      <x:c r="F7734" s="19" t="str">
        <x:v>5</x:v>
      </x:c>
    </x:row>
    <x:row r="7735" ht="93" customHeight="1">
      <x:c r="A7735" s="19" t="n">
        <x:v>7732</x:v>
      </x:c>
      <x:c r="B7735" s="22" t="e">
        <x:f>HYPERLINK("https://cdn.shopify.com/s/files/1/0918/6066/4603/files/O1CN01oirjbh1HlWxCof9Kd__2545140798-0-cib.jpg?v=1772973091","Open")</x:f>
        <x:v>HYPERLINK is not implemented. linkLocation=https://cdn.shopify.com/s/files/1/0918/6066/4603/files/O1CN01oirjbh1HlWxCof9Kd__2545140798-0-cib.jpg?v=1772973091, friendlyName=Open</x:v>
      </x:c>
      <x:c r="C7735" s="24" t="e">
        <x:f>HYPERLINK("https://365nails.com/products/embossed-christmas-carnival-3d-festive-nail-art-set","Embossed Christmas Carnival – 3D Festive Nail Art Set")</x:f>
        <x:v>HYPERLINK is not implemented. linkLocation=https://365nails.com/products/embossed-christmas-carnival-3d-festive-nail-art-set, friendlyName=Embossed Christmas Carnival – 3D Festive Nail Art Set</x:v>
      </x:c>
      <x:c r="D7735" s="18" t="str">
        <x:v>Specification type: To3497 / To3501 / To3503-silver</x:v>
      </x:c>
      <x:c r="E7735" s="25" t="str">
        <x:v>$1.23</x:v>
      </x:c>
      <x:c r="F7735" s="19" t="str">
        <x:v>5</x:v>
      </x:c>
    </x:row>
    <x:row r="7736" ht="93" customHeight="1">
      <x:c r="A7736" s="19" t="n">
        <x:v>7733</x:v>
      </x:c>
      <x:c r="B7736" s="22" t="e">
        <x:f>HYPERLINK("https://cdn.shopify.com/s/files/1/0918/6066/4603/files/O1CN019LIVQX2MQzfZLH0LQ__2219089449823-0-cib.jpg?v=1774521007","Open")</x:f>
        <x:v>HYPERLINK is not implemented. linkLocation=https://cdn.shopify.com/s/files/1/0918/6066/4603/files/O1CN019LIVQX2MQzfZLH0LQ__2219089449823-0-cib.jpg?v=1774521007, friendlyName=Open</x:v>
      </x:c>
      <x:c r="C7736" s="24" t="e">
        <x:f>HYPERLINK("https://365nails.com/products/gilded-star-golden-conch-short-almond-press-on-nails","Gilded Star: ""Golden Conch"" – Short Almond Press-On Nails")</x:f>
        <x:v>HYPERLINK is not implemented. linkLocation=https://365nails.com/products/gilded-star-golden-conch-short-almond-press-on-nails, friendlyName=Gilded Star: "Golden Conch" – Short Almond Press-On Nails</x:v>
      </x:c>
      <x:c r="D7736" s="18" t="str">
        <x:v>Color: C398; Color classification: Xs / S / M / L</x:v>
      </x:c>
      <x:c r="E7736" s="25" t="str">
        <x:v>$3.49</x:v>
      </x:c>
      <x:c r="F7736" s="19" t="str">
        <x:v>1</x:v>
      </x:c>
    </x:row>
    <x:row r="7737" ht="93" customHeight="1">
      <x:c r="A7737" s="19" t="n">
        <x:v>7734</x:v>
      </x:c>
      <x:c r="B7737" s="22" t="e">
        <x:f>HYPERLINK("https://cdn.shopify.com/s/files/1/0918/6066/4603/files/O1CN01rfXzjn1HlX9if8lrV__2545140798-0-cib.jpg?v=1773580049","Open")</x:f>
        <x:v>HYPERLINK is not implemented. linkLocation=https://cdn.shopify.com/s/files/1/0918/6066/4603/files/O1CN01rfXzjn1HlX9if8lrV__2545140798-0-cib.jpg?v=1773580049, friendlyName=Open</x:v>
      </x:c>
      <x:c r="C7737" s="24" t="e">
        <x:f>HYPERLINK("https://365nails.com/products/white-lace-up-bow-bridal-ballet-3d-nail-sticker","White Lace-Up &amp; Bow: ""Bridal Ballet"" – 3D Nail Sticker")</x:f>
        <x:v>HYPERLINK is not implemented. linkLocation=https://365nails.com/products/white-lace-up-bow-bridal-ballet-3d-nail-sticker, friendlyName=White Lace-Up &amp; Bow: "Bridal Ballet" – 3D Nail Sticker</x:v>
      </x:c>
      <x:c r="D7737" s="18" t="str">
        <x:v>Specification type: To5396-relief</x:v>
      </x:c>
      <x:c r="E7737" s="25" t="str">
        <x:v>$1.23</x:v>
      </x:c>
      <x:c r="F7737" s="19" t="str">
        <x:v>5</x:v>
      </x:c>
    </x:row>
    <x:row r="7738" ht="93" customHeight="1">
      <x:c r="A7738" s="19" t="n">
        <x:v>7735</x:v>
      </x:c>
      <x:c r="B7738" s="22" t="e">
        <x:f>HYPERLINK("https://cdn.shopify.com/s/files/1/0918/6066/4603/files/O1CN01XwWB251HlWyqP9dzh__2545140798-0-cib.jpg?v=1773651475","Open")</x:f>
        <x:v>HYPERLINK is not implemented. linkLocation=https://cdn.shopify.com/s/files/1/0918/6066/4603/files/O1CN01XwWB251HlWyqP9dzh__2545140798-0-cib.jpg?v=1773651475, friendlyName=Open</x:v>
      </x:c>
      <x:c r="C7738" s="24" t="e">
        <x:f>HYPERLINK("https://365nails.com/products/miiichan-puppy-friends-cozy-movie-night-5d-embossed-nail-sticker","Miiichan &amp; Puppy Friends: ""Cozy Movie Night"" – 5D Embossed Nail Sticker")</x:f>
        <x:v>HYPERLINK is not implemented. linkLocation=https://365nails.com/products/miiichan-puppy-friends-cozy-movie-night-5d-embossed-nail-sticker, friendlyName=Miiichan &amp; Puppy Friends: "Cozy Movie Night" – 5D Embossed Nail Sticker</x:v>
      </x:c>
      <x:c r="D7738" s="18" t="str">
        <x:v>Specification type: Mc02 / Mc04</x:v>
      </x:c>
      <x:c r="E7738" s="25" t="str">
        <x:v>$1.16</x:v>
      </x:c>
      <x:c r="F7738" s="19" t="str">
        <x:v>5</x:v>
      </x:c>
    </x:row>
    <x:row r="7739" ht="93" customHeight="1">
      <x:c r="A7739" s="19" t="n">
        <x:v>7736</x:v>
      </x:c>
      <x:c r="B7739" s="22" t="e">
        <x:f>HYPERLINK("https://cdn.shopify.com/s/files/1/0918/6066/4603/files/O1CN019JGbvs2MQzfpp9vnu__2219089449823-0-cib.jpg?v=1774521041","Open")</x:f>
        <x:v>HYPERLINK is not implemented. linkLocation=https://cdn.shopify.com/s/files/1/0918/6066/4603/files/O1CN019JGbvs2MQzfpp9vnu__2219089449823-0-cib.jpg?v=1774521041, friendlyName=Open</x:v>
      </x:c>
      <x:c r="C7739" s="24" t="e">
        <x:f>HYPERLINK("https://365nails.com/products/pink-wild-blush-leopard-almond-shape-press-on-nails","Pink Wild: ""Blush Leopard"" – Almond Shape Press-On Nails")</x:f>
        <x:v>HYPERLINK is not implemented. linkLocation=https://365nails.com/products/pink-wild-blush-leopard-almond-shape-press-on-nails, friendlyName=Pink Wild: "Blush Leopard" – Almond Shape Press-On Nails</x:v>
      </x:c>
      <x:c r="D7739" s="18" t="str">
        <x:v>Color: C454; Color classification: Xs / S / M / L</x:v>
      </x:c>
      <x:c r="E7739" s="25" t="str">
        <x:v>$3.49</x:v>
      </x:c>
      <x:c r="F7739" s="19" t="str">
        <x:v>1</x:v>
      </x:c>
    </x:row>
    <x:row r="7740" ht="93" customHeight="1">
      <x:c r="A7740" s="19" t="n">
        <x:v>7737</x:v>
      </x:c>
      <x:c r="B7740" s="22" t="e">
        <x:f>HYPERLINK("https://cdn.shopify.com/s/files/1/0918/6066/4603/files/39b44aa25e8843f2d97fa77f93793984.jpg?v=1779203812","Open")</x:f>
        <x:v>HYPERLINK is not implemented. linkLocation=https://cdn.shopify.com/s/files/1/0918/6066/4603/files/39b44aa25e8843f2d97fa77f93793984.jpg?v=1779203812, friendlyName=Open</x:v>
      </x:c>
      <x:c r="C7740" s="24" t="e">
        <x:f>HYPERLINK("https://365nails.com/products/365nails-coral-pink-sparkle-handmade-medium-square-press-on-nails","365nails: ""Coral Pink Sparkle"" – Handmade Medium Square Press-On Nails")</x:f>
        <x:v>HYPERLINK is not implemented. linkLocation=https://365nails.com/products/365nails-coral-pink-sparkle-handmade-medium-square-press-on-nails, friendlyName=365nails: "Coral Pink Sparkle" – Handmade Medium Square Press-On Nails</x:v>
      </x:c>
      <x:c r="D7740" s="18" t="str">
        <x:v>Size: XS / S / M / L</x:v>
      </x:c>
      <x:c r="E7740" s="25" t="str">
        <x:v>$3.99</x:v>
      </x:c>
      <x:c r="F7740" s="19" t="str">
        <x:v>5</x:v>
      </x:c>
    </x:row>
    <x:row r="7741" ht="93" customHeight="1">
      <x:c r="A7741" s="19" t="n">
        <x:v>7738</x:v>
      </x:c>
      <x:c r="B7741" s="22" t="e">
        <x:f>HYPERLINK("https://cdn.shopify.com/s/files/1/0918/6066/4603/files/O1CN01wLUoAI1HlWzw913wS__2545140798-0-cib.jpg?v=1776580900","Open")</x:f>
        <x:v>HYPERLINK is not implemented. linkLocation=https://cdn.shopify.com/s/files/1/0918/6066/4603/files/O1CN01wLUoAI1HlWzw913wS__2545140798-0-cib.jpg?v=1776580900, friendlyName=Open</x:v>
      </x:c>
      <x:c r="C7741" s="24" t="e">
        <x:f>HYPERLINK("https://365nails.com/products/365nails-cute-bear-bunny-nail-art-stickers","365nails: ""Cute Bear &amp; Bunny"" – nail art stickers")</x:f>
        <x:v>HYPERLINK is not implemented. linkLocation=https://365nails.com/products/365nails-cute-bear-bunny-nail-art-stickers, friendlyName=365nails: "Cute Bear &amp; Bunny" – nail art stickers</x:v>
      </x:c>
      <x:c r="D7741" s="18" t="str">
        <x:v>Specification type: To3791-relief</x:v>
      </x:c>
      <x:c r="E7741" s="25" t="str">
        <x:v>$1.23</x:v>
      </x:c>
      <x:c r="F7741" s="19" t="str">
        <x:v>5</x:v>
      </x:c>
    </x:row>
    <x:row r="7742" ht="93" customHeight="1">
      <x:c r="A7742" s="19" t="n">
        <x:v>7739</x:v>
      </x:c>
      <x:c r="B7742" s="22" t="e">
        <x:f>HYPERLINK("https://cdn.shopify.com/s/files/1/0918/6066/4603/files/O1CN01lH4olM1HlX5FdSiUr__2545140798-0-cib_61e3d250-cc58-4d6e-a1fa-c4c87b307a65.jpg?v=1775460837","Open")</x:f>
        <x:v>HYPERLINK is not implemented. linkLocation=https://cdn.shopify.com/s/files/1/0918/6066/4603/files/O1CN01lH4olM1HlX5FdSiUr__2545140798-0-cib_61e3d250-cc58-4d6e-a1fa-c4c87b307a65.jpg?v=1775460837, friendlyName=Open</x:v>
      </x:c>
      <x:c r="C7742" s="24" t="e">
        <x:f>HYPERLINK("https://365nails.com/products/365nails-crystal-snow-dream-handmade-press-on-nails","365nails: ""Crystal Snow Dream"" –Nail Art Stickers")</x:f>
        <x:v>HYPERLINK is not implemented. linkLocation=https://365nails.com/products/365nails-crystal-snow-dream-handmade-press-on-nails, friendlyName=365nails: "Crystal Snow Dream" –Nail Art Stickers</x:v>
      </x:c>
      <x:c r="D7742" s="18" t="str">
        <x:v>Specification type: To4793-crystal diamond / To4794-crystal diamond</x:v>
      </x:c>
      <x:c r="E7742" s="25" t="str">
        <x:v>$1.30</x:v>
      </x:c>
      <x:c r="F7742" s="19" t="str">
        <x:v>5</x:v>
      </x:c>
    </x:row>
    <x:row r="7743" ht="93" customHeight="1">
      <x:c r="A7743" s="19" t="n">
        <x:v>7740</x:v>
      </x:c>
      <x:c r="B7743" s="22" t="e">
        <x:f>HYPERLINK("https://cdn.shopify.com/s/files/1/0918/6066/4603/files/O1CN01LTMnqX2MQzfimmB6y__2219089449823-0-cib.jpg?v=1774521020","Open")</x:f>
        <x:v>HYPERLINK is not implemented. linkLocation=https://cdn.shopify.com/s/files/1/0918/6066/4603/files/O1CN01LTMnqX2MQzfimmB6y__2219089449823-0-cib.jpg?v=1774521020, friendlyName=Open</x:v>
      </x:c>
      <x:c r="C7743" s="24" t="e">
        <x:f>HYPERLINK("https://365nails.com/products/crimson-whisper-burgundy-bloom-almond-shape-press-on-nails","Crimson Whisper: ""Burgundy Bloom"" – Almond Shape Press-On Nails")</x:f>
        <x:v>HYPERLINK is not implemented. linkLocation=https://365nails.com/products/crimson-whisper-burgundy-bloom-almond-shape-press-on-nails, friendlyName=Crimson Whisper: "Burgundy Bloom" – Almond Shape Press-On Nails</x:v>
      </x:c>
      <x:c r="D7743" s="18" t="str">
        <x:v>Color: C381–c381; Color classification: Xs / S / M / L</x:v>
      </x:c>
      <x:c r="E7743" s="25" t="str">
        <x:v>$3.49</x:v>
      </x:c>
      <x:c r="F7743" s="19" t="str">
        <x:v>1</x:v>
      </x:c>
    </x:row>
    <x:row r="7744" ht="93" customHeight="1">
      <x:c r="A7744" s="19" t="n">
        <x:v>7741</x:v>
      </x:c>
      <x:c r="B7744" s="22" t="e">
        <x:f>HYPERLINK("https://cdn.shopify.com/s/files/1/0918/6066/4603/files/O1CN01VYzPuH2MQzfyZzDb8__2219089449823-0-cib.jpg?v=1774521049","Open")</x:f>
        <x:v>HYPERLINK is not implemented. linkLocation=https://cdn.shopify.com/s/files/1/0918/6066/4603/files/O1CN01VYzPuH2MQzfyZzDb8__2219089449823-0-cib.jpg?v=1774521049, friendlyName=Open</x:v>
      </x:c>
      <x:c r="C7744" s="24" t="e">
        <x:f>HYPERLINK("https://365nails.com/products/ocean-bloom-blue-lily-almond-shape-press-on-nails","Ocean Bloom: ""Blue Lily"" – Almond Shape Press-On Nails")</x:f>
        <x:v>HYPERLINK is not implemented. linkLocation=https://365nails.com/products/ocean-bloom-blue-lily-almond-shape-press-on-nails, friendlyName=Ocean Bloom: "Blue Lily" – Almond Shape Press-On Nails</x:v>
      </x:c>
      <x:c r="D7744" s="18" t="str">
        <x:v>Color: D636; Color classification: Xs / S / M / L</x:v>
      </x:c>
      <x:c r="E7744" s="25" t="str">
        <x:v>$3.49</x:v>
      </x:c>
      <x:c r="F7744" s="19" t="str">
        <x:v>1</x:v>
      </x:c>
    </x:row>
    <x:row r="7745" ht="93" customHeight="1">
      <x:c r="A7745" s="19" t="n">
        <x:v>7742</x:v>
      </x:c>
      <x:c r="B7745" s="22" t="e">
        <x:f>HYPERLINK("https://cdn.shopify.com/s/files/1/0918/6066/4603/files/960abc06d08100f5629257e19d37cd98.jpg?v=1774080509","Open")</x:f>
        <x:v>HYPERLINK is not implemented. linkLocation=https://cdn.shopify.com/s/files/1/0918/6066/4603/files/960abc06d08100f5629257e19d37cd98.jpg?v=1774080509, friendlyName=Open</x:v>
      </x:c>
      <x:c r="C7745" s="24" t="e">
        <x:f>HYPERLINK("https://365nails.com/products/cosmic-fatale-crimson-smoke-marble-long-sharp-stiletto-handmade-press-on-nails","Cosmic Fatale: ""Crimson Smoke Marble"" – Long Sharp Stiletto Handmade Press On Nails")</x:f>
        <x:v>HYPERLINK is not implemented. linkLocation=https://365nails.com/products/cosmic-fatale-crimson-smoke-marble-long-sharp-stiletto-handmade-press-on-nails, friendlyName=Cosmic Fatale: "Crimson Smoke Marble" – Long Sharp Stiletto Handmade Press On Nails</x:v>
      </x:c>
      <x:c r="D7745" s="18" t="str">
        <x:v>Size: XS / S / M / L</x:v>
      </x:c>
      <x:c r="E7745" s="25" t="str">
        <x:v>$3.99</x:v>
      </x:c>
      <x:c r="F7745" s="19" t="str">
        <x:v>5</x:v>
      </x:c>
    </x:row>
    <x:row r="7746" ht="93" customHeight="1">
      <x:c r="A7746" s="19" t="n">
        <x:v>7743</x:v>
      </x:c>
      <x:c r="B7746" s="22" t="e">
        <x:f>HYPERLINK("https://cdn.shopify.com/s/files/1/0918/6066/4603/files/d9b0a2fac7e6e46ea7a29e66d94c3e98.jpg?v=1775221252","Open")</x:f>
        <x:v>HYPERLINK is not implemented. linkLocation=https://cdn.shopify.com/s/files/1/0918/6066/4603/files/d9b0a2fac7e6e46ea7a29e66d94c3e98.jpg?v=1775221252, friendlyName=Open</x:v>
      </x:c>
      <x:c r="C7746" s="24" t="e">
        <x:f>HYPERLINK("https://365nails.com/products/azure-frost-sky-glow-long-almond-press-on-nails","Azure Frost: ""Sky Glow"" – Long Almond Press-on Nails")</x:f>
        <x:v>HYPERLINK is not implemented. linkLocation=https://365nails.com/products/azure-frost-sky-glow-long-almond-press-on-nails, friendlyName=Azure Frost: "Sky Glow" – Long Almond Press-on Nails</x:v>
      </x:c>
      <x:c r="D7746" s="18" t="str">
        <x:v>Size: XS / S / M / L</x:v>
      </x:c>
      <x:c r="E7746" s="25" t="str">
        <x:v>$3.99</x:v>
      </x:c>
      <x:c r="F7746" s="19" t="str">
        <x:v>3</x:v>
      </x:c>
    </x:row>
    <x:row r="7747" ht="93" customHeight="1">
      <x:c r="A7747" s="19" t="n">
        <x:v>7744</x:v>
      </x:c>
      <x:c r="B7747" s="22" t="e">
        <x:f>HYPERLINK("https://cdn.shopify.com/s/files/1/0918/6066/4603/files/46f19572b477806315275d10d18cad54.jpg?v=1774080404","Open")</x:f>
        <x:v>HYPERLINK is not implemented. linkLocation=https://cdn.shopify.com/s/files/1/0918/6066/4603/files/46f19572b477806315275d10d18cad54.jpg?v=1774080404, friendlyName=Open</x:v>
      </x:c>
      <x:c r="C7747" s="24" t="e">
        <x:f>HYPERLINK("https://365nails.com/products/cosmic-fatale-onyx-gold-ombre-long-sharp-stiletto-handmade-press-on-nails","Cosmic Fatale: ""Onyx Gold Ombre"" – Long Sharp Stiletto Handmade Press On Nails")</x:f>
        <x:v>HYPERLINK is not implemented. linkLocation=https://365nails.com/products/cosmic-fatale-onyx-gold-ombre-long-sharp-stiletto-handmade-press-on-nails, friendlyName=Cosmic Fatale: "Onyx Gold Ombre" – Long Sharp Stiletto Handmade Press On Nails</x:v>
      </x:c>
      <x:c r="D7747" s="18" t="str">
        <x:v>Size: XS / S / M / L</x:v>
      </x:c>
      <x:c r="E7747" s="25" t="str">
        <x:v>$3.99</x:v>
      </x:c>
      <x:c r="F7747" s="19" t="str">
        <x:v>5</x:v>
      </x:c>
    </x:row>
    <x:row r="7748" ht="93" customHeight="1">
      <x:c r="A7748" s="19" t="n">
        <x:v>7745</x:v>
      </x:c>
      <x:c r="B7748" s="22" t="e">
        <x:f>HYPERLINK("https://cdn.shopify.com/s/files/1/0918/6066/4603/files/O1CN01AiC78J2MQzfX0VRo4__2219089449823-0-cib.jpg?v=1774520998","Open")</x:f>
        <x:v>HYPERLINK is not implemented. linkLocation=https://cdn.shopify.com/s/files/1/0918/6066/4603/files/O1CN01AiC78J2MQzfX0VRo4__2219089449823-0-cib.jpg?v=1774520998, friendlyName=Open</x:v>
      </x:c>
      <x:c r="C7748" s="24" t="e">
        <x:f>HYPERLINK("https://365nails.com/products/pastel-garden-blossom-whisper-oval-shape-press-on-nails","Pastel Garden: ""Blossom Whisper"" – Oval Shape Press-On Nails")</x:f>
        <x:v>HYPERLINK is not implemented. linkLocation=https://365nails.com/products/pastel-garden-blossom-whisper-oval-shape-press-on-nails, friendlyName=Pastel Garden: "Blossom Whisper" – Oval Shape Press-On Nails</x:v>
      </x:c>
      <x:c r="D7748" s="18" t="str">
        <x:v>Color: C423; Color classification: Xs / S / M / L</x:v>
      </x:c>
      <x:c r="E7748" s="25" t="str">
        <x:v>$3.49</x:v>
      </x:c>
      <x:c r="F7748" s="19" t="str">
        <x:v>1</x:v>
      </x:c>
    </x:row>
    <x:row r="7749" ht="93" customHeight="1">
      <x:c r="A7749" s="19" t="n">
        <x:v>7746</x:v>
      </x:c>
      <x:c r="B7749" s="22" t="e">
        <x:f>HYPERLINK("https://cdn.shopify.com/s/files/1/0918/6066/4603/files/O1CN01WvUIti1HlX6k0Id0j__2545140798-0-cib.jpg?v=1773843438","Open")</x:f>
        <x:v>HYPERLINK is not implemented. linkLocation=https://cdn.shopify.com/s/files/1/0918/6066/4603/files/O1CN01WvUIti1HlX6k0Id0j__2545140798-0-cib.jpg?v=1773843438, friendlyName=Open</x:v>
      </x:c>
      <x:c r="C7749" s="24" t="e">
        <x:f>HYPERLINK("https://365nails.com/products/disney-stitch-angel-beach-tropical-lilo-stitch-5d-embossed-nail-sticker","Disney Stitch &amp; Angel Beach: ""Tropical Lilo &amp; Stitch"" – 5D Embossed Nail Sticker")</x:f>
        <x:v>HYPERLINK is not implemented. linkLocation=https://365nails.com/products/disney-stitch-angel-beach-tropical-lilo-stitch-5d-embossed-nail-sticker, friendlyName=Disney Stitch &amp; Angel Beach: "Tropical Lilo &amp; Stitch" – 5D Embossed Nail Sticker</x:v>
      </x:c>
      <x:c r="D7749" s="18" t="str">
        <x:v>Specification type: Tdsn004-relief / Tdsn007-relief / Td007s-relief</x:v>
      </x:c>
      <x:c r="E7749" s="25" t="str">
        <x:v>$1.23</x:v>
      </x:c>
      <x:c r="F7749" s="19" t="str">
        <x:v>5</x:v>
      </x:c>
    </x:row>
    <x:row r="7750" ht="93" customHeight="1">
      <x:c r="A7750" s="19" t="n">
        <x:v>7747</x:v>
      </x:c>
      <x:c r="B7750" s="22" t="e">
        <x:f>HYPERLINK("https://cdn.shopify.com/s/files/1/0918/6066/4603/files/O1CN01JzvWDO1HlX5yWxk1i__2545140798-0-cib.jpg?v=1773756848","Open")</x:f>
        <x:v>HYPERLINK is not implemented. linkLocation=https://cdn.shopify.com/s/files/1/0918/6066/4603/files/O1CN01JzvWDO1HlX5yWxk1i__2545140798-0-cib.jpg?v=1773756848, friendlyName=Open</x:v>
      </x:c>
      <x:c r="C7750" s="24" t="e">
        <x:f>HYPERLINK("https://365nails.com/products/pastel-tulip-love-phrase-romantic-tulip-garden-5d-embossed-nail-sticker","Pastel Tulip &amp; Love Phrase: ""Romantic Tulip Garden"" – 5D Embossed Nail Sticker")</x:f>
        <x:v>HYPERLINK is not implemented. linkLocation=https://365nails.com/products/pastel-tulip-love-phrase-romantic-tulip-garden-5d-embossed-nail-sticker, friendlyName=Pastel Tulip &amp; Love Phrase: "Romantic Tulip Garden" – 5D Embossed Nail Sticker</x:v>
      </x:c>
      <x:c r="D7750" s="18" t="str">
        <x:v>Specification type: Ms777-new hot stamping / Ms777-silver / Ms778-metal / Ms779-metal</x:v>
      </x:c>
      <x:c r="E7750" s="25" t="str">
        <x:v>$1.23</x:v>
      </x:c>
      <x:c r="F7750" s="19" t="str">
        <x:v>5</x:v>
      </x:c>
    </x:row>
    <x:row r="7751" ht="93" customHeight="1">
      <x:c r="A7751" s="19" t="n">
        <x:v>7748</x:v>
      </x:c>
      <x:c r="B7751" s="22" t="e">
        <x:f>HYPERLINK("https://cdn.shopify.com/s/files/1/0918/6066/4603/files/O1CN01pQyoYj1HlXA2kf2GB__2545140798-0-cib.jpg?v=1774018996","Open")</x:f>
        <x:v>HYPERLINK is not implemented. linkLocation=https://cdn.shopify.com/s/files/1/0918/6066/4603/files/O1CN01pQyoYj1HlXA2kf2GB__2545140798-0-cib.jpg?v=1774018996, friendlyName=Open</x:v>
      </x:c>
      <x:c r="C7751" s="24" t="e">
        <x:f>HYPERLINK("https://365nails.com/products/christmas-snow-globe-festive-santa-nail-sticker-set-festive-christmas-snow-globe","Christmas Snow Globe &amp; Festive Santa Nail Sticker Set – ""Festive Christmas Snow Globe""")</x:f>
        <x:v>HYPERLINK is not implemented. linkLocation=https://365nails.com/products/christmas-snow-globe-festive-santa-nail-sticker-set-festive-christmas-snow-globe, friendlyName=Christmas Snow Globe &amp; Festive Santa Nail Sticker Set – "Festive Christmas Snow Globe"</x:v>
      </x:c>
      <x:c r="D7751" s="18" t="str">
        <x:v>Specification type: To5404-relief / To5405-relief</x:v>
      </x:c>
      <x:c r="E7751" s="25" t="str">
        <x:v>$1.23</x:v>
      </x:c>
      <x:c r="F7751" s="19" t="str">
        <x:v>5</x:v>
      </x:c>
    </x:row>
    <x:row r="7752" ht="93" customHeight="1">
      <x:c r="A7752" s="19" t="n">
        <x:v>7749</x:v>
      </x:c>
      <x:c r="B7752" s="22" t="e">
        <x:f>HYPERLINK("https://cdn.shopify.com/s/files/1/0918/6066/4603/files/663b07055ba44c60d6e539f1b08d705a.jpg?v=1775308914","Open")</x:f>
        <x:v>HYPERLINK is not implemented. linkLocation=https://cdn.shopify.com/s/files/1/0918/6066/4603/files/663b07055ba44c60d6e539f1b08d705a.jpg?v=1775308914, friendlyName=Open</x:v>
      </x:c>
      <x:c r="C7752" s="24" t="e">
        <x:f>HYPERLINK("https://365nails.com/products/sweet-summer-3d-cherry-chain-long-stiletto-press-on-nails","Sweet Summer: ""3D Cherry Chain"" – Long Stiletto Press-on Nails")</x:f>
        <x:v>HYPERLINK is not implemented. linkLocation=https://365nails.com/products/sweet-summer-3d-cherry-chain-long-stiletto-press-on-nails, friendlyName=Sweet Summer: "3D Cherry Chain" – Long Stiletto Press-on Nails</x:v>
      </x:c>
      <x:c r="D7752" s="18" t="str">
        <x:v>Size: XS / S / M / L</x:v>
      </x:c>
      <x:c r="E7752" s="25" t="str">
        <x:v>$3.99</x:v>
      </x:c>
      <x:c r="F7752" s="19" t="str">
        <x:v>5</x:v>
      </x:c>
    </x:row>
    <x:row r="7753" ht="93" customHeight="1">
      <x:c r="A7753" s="19" t="n">
        <x:v>7750</x:v>
      </x:c>
      <x:c r="B7753" s="22" t="e">
        <x:f>HYPERLINK("https://cdn.shopify.com/s/files/1/0918/6066/4603/files/O1CN01oXFFfy1HlX9GeBZf6__2545140798-0-cib.jpg?v=1773757104","Open")</x:f>
        <x:v>HYPERLINK is not implemented. linkLocation=https://cdn.shopify.com/s/files/1/0918/6066/4603/files/O1CN01oXFFfy1HlX9GeBZf6__2545140798-0-cib.jpg?v=1773757104, friendlyName=Open</x:v>
      </x:c>
      <x:c r="C7753" s="24" t="e">
        <x:f>HYPERLINK("https://365nails.com/products/white-lace-bow-love-phrase-romantic-bridal-lace-5d-embossed-nail-sticker","White Lace Bow &amp; Love Phrase: ""Romantic Bridal Lace"" – 5D Embossed Nail Sticker")</x:f>
        <x:v>HYPERLINK is not implemented. linkLocation=https://365nails.com/products/white-lace-bow-love-phrase-romantic-bridal-lace-5d-embossed-nail-sticker, friendlyName=White Lace Bow &amp; Love Phrase: "Romantic Bridal Lace" – 5D Embossed Nail Sticker</x:v>
      </x:c>
      <x:c r="D7753" s="18" t="str">
        <x:v>Specification type: To5317-relief / To5318-relief / To5319-metal</x:v>
      </x:c>
      <x:c r="E7753" s="25" t="str">
        <x:v>$1.23</x:v>
      </x:c>
      <x:c r="F7753" s="19" t="str">
        <x:v>5</x:v>
      </x:c>
    </x:row>
    <x:row r="7754" ht="93" customHeight="1">
      <x:c r="A7754" s="19" t="n">
        <x:v>7751</x:v>
      </x:c>
      <x:c r="B7754" s="22" t="e">
        <x:f>HYPERLINK("https://cdn.shopify.com/s/files/1/0918/6066/4603/files/14e54ece6c8a55985cdfa6bae2e97970.jpg?v=1777542510","Open")</x:f>
        <x:v>HYPERLINK is not implemented. linkLocation=https://cdn.shopify.com/s/files/1/0918/6066/4603/files/14e54ece6c8a55985cdfa6bae2e97970.jpg?v=1777542510, friendlyName=Open</x:v>
      </x:c>
      <x:c r="C7754" s="24" t="e">
        <x:f>HYPERLINK("https://365nails.com/products/365nails-y2k-water-drop-gem-handmade-medium-square-press-on-nails","365nails: ""Y2K Water Drop &amp; Gem"" – Handmade Medium Square Press-On Nails")</x:f>
        <x:v>HYPERLINK is not implemented. linkLocation=https://365nails.com/products/365nails-y2k-water-drop-gem-handmade-medium-square-press-on-nails, friendlyName=365nails: "Y2K Water Drop &amp; Gem" – Handmade Medium Square Press-On Nails</x:v>
      </x:c>
      <x:c r="D7754" s="18" t="str">
        <x:v>Size: XS / S / M / L</x:v>
      </x:c>
      <x:c r="E7754" s="25" t="str">
        <x:v>$2.99</x:v>
      </x:c>
      <x:c r="F7754" s="19" t="str">
        <x:v>5</x:v>
      </x:c>
    </x:row>
    <x:row r="7755" ht="93" customHeight="1">
      <x:c r="A7755" s="19" t="n">
        <x:v>7752</x:v>
      </x:c>
      <x:c r="B7755" s="22" t="e">
        <x:f>HYPERLINK("https://cdn.shopify.com/s/files/1/0918/6066/4603/files/O1CN01DT4ERL1HlX4Mverqx__2545140798-0-cib.jpg?v=1773666465","Open")</x:f>
        <x:v>HYPERLINK is not implemented. linkLocation=https://cdn.shopify.com/s/files/1/0918/6066/4603/files/O1CN01DT4ERL1HlX4Mverqx__2545140798-0-cib.jpg?v=1773666465, friendlyName=Open</x:v>
      </x:c>
      <x:c r="C7755" s="24" t="e">
        <x:f>HYPERLINK("https://365nails.com/products/soot-sprite-star-ghibli-magical-dust-5d-embossed-nail-sticker","Soot Sprite &amp; Star: ""Ghibli Magical Dust"" – 5D Embossed Nail Sticker")</x:f>
        <x:v>HYPERLINK is not implemented. linkLocation=https://365nails.com/products/soot-sprite-star-ghibli-magical-dust-5d-embossed-nail-sticker, friendlyName=Soot Sprite &amp; Star: "Ghibli Magical Dust" – 5D Embossed Nail Sticker</x:v>
      </x:c>
      <x:c r="D7755" s="18" t="str">
        <x:v>Specification type: To4668 / To4696</x:v>
      </x:c>
      <x:c r="E7755" s="25" t="str">
        <x:v>$1.09</x:v>
      </x:c>
      <x:c r="F7755" s="19" t="str">
        <x:v>5</x:v>
      </x:c>
    </x:row>
    <x:row r="7756" ht="93" customHeight="1">
      <x:c r="A7756" s="19" t="n">
        <x:v>7753</x:v>
      </x:c>
      <x:c r="B7756" s="22" t="e">
        <x:f>HYPERLINK("https://cdn.shopify.com/s/files/1/0918/6066/4603/files/O1CN01wyQqvY1HlX7NFVQy9__2545140798-0-cib.jpg?v=1773756984","Open")</x:f>
        <x:v>HYPERLINK is not implemented. linkLocation=https://cdn.shopify.com/s/files/1/0918/6066/4603/files/O1CN01wyQqvY1HlX7NFVQy9__2545140798-0-cib.jpg?v=1773756984, friendlyName=Open</x:v>
      </x:c>
      <x:c r="C7756" s="24" t="e">
        <x:f>HYPERLINK("https://365nails.com/products/colorful-ribbon-sweet-heart-y2k-ribbon-candy-5d-embossed-nail-sticker","Colorful Ribbon &amp; Sweet Heart: ""Y2K Ribbon Candy"" – 5D Embossed Nail Sticker")</x:f>
        <x:v>HYPERLINK is not implemented. linkLocation=https://365nails.com/products/colorful-ribbon-sweet-heart-y2k-ribbon-candy-5d-embossed-nail-sticker, friendlyName=Colorful Ribbon &amp; Sweet Heart: "Y2K Ribbon Candy" – 5D Embossed Nail Sticker</x:v>
      </x:c>
      <x:c r="D7756" s="18" t="str">
        <x:v>Specification type: To5037-relief</x:v>
      </x:c>
      <x:c r="E7756" s="25" t="str">
        <x:v>$1.23</x:v>
      </x:c>
      <x:c r="F7756" s="19" t="str">
        <x:v>5</x:v>
      </x:c>
    </x:row>
    <x:row r="7757" ht="93" customHeight="1">
      <x:c r="A7757" s="19" t="n">
        <x:v>7754</x:v>
      </x:c>
      <x:c r="B7757" s="22" t="e">
        <x:f>HYPERLINK("https://cdn.shopify.com/s/files/1/0918/6066/4603/files/O1CN01qQQX441HlX2xktLjr__2545140798-0-cib.jpg?v=1773756446","Open")</x:f>
        <x:v>HYPERLINK is not implemented. linkLocation=https://cdn.shopify.com/s/files/1/0918/6066/4603/files/O1CN01qQQX441HlX2xktLjr__2545140798-0-cib.jpg?v=1773756446, friendlyName=Open</x:v>
      </x:c>
      <x:c r="C7757" s="24" t="e">
        <x:f>HYPERLINK("https://365nails.com/products/cute-teddy-bear-fruit-cozy-sweet-toy-box-5d-embossed-nail-sticker","Cute Teddy Bear &amp; Fruit: ""Cozy Sweet Toy Box"" – 5D Embossed Nail Sticker")</x:f>
        <x:v>HYPERLINK is not implemented. linkLocation=https://365nails.com/products/cute-teddy-bear-fruit-cozy-sweet-toy-box-5d-embossed-nail-sticker, friendlyName=Cute Teddy Bear &amp; Fruit: "Cozy Sweet Toy Box" – 5D Embossed Nail Sticker</x:v>
      </x:c>
      <x:c r="D7757" s="18" t="str">
        <x:v>Specification type: To4351</x:v>
      </x:c>
      <x:c r="E7757" s="25" t="str">
        <x:v>$1.09</x:v>
      </x:c>
      <x:c r="F7757" s="19" t="str">
        <x:v>5</x:v>
      </x:c>
    </x:row>
    <x:row r="7758" ht="93" customHeight="1">
      <x:c r="A7758" s="19" t="n">
        <x:v>7755</x:v>
      </x:c>
      <x:c r="B7758" s="22" t="e">
        <x:f>HYPERLINK("https://cdn.shopify.com/s/files/1/0918/6066/4603/files/O1CN0140FrSu1HlX3RIaniC__2545140798-0-cib.jpg?v=1773756611","Open")</x:f>
        <x:v>HYPERLINK is not implemented. linkLocation=https://cdn.shopify.com/s/files/1/0918/6066/4603/files/O1CN0140FrSu1HlX3RIaniC__2545140798-0-cib.jpg?v=1773756611, friendlyName=Open</x:v>
      </x:c>
      <x:c r="C7758" s="24" t="e">
        <x:f>HYPERLINK("https://365nails.com/products/jelly-dessert-sundae-summer-sweet-parlor-5d-embossed-nail-sticker","Jelly Dessert &amp; Sundae: ""Summer Sweet Parlor"" – 5D Embossed Nail Sticker")</x:f>
        <x:v>HYPERLINK is not implemented. linkLocation=https://365nails.com/products/jelly-dessert-sundae-summer-sweet-parlor-5d-embossed-nail-sticker, friendlyName=Jelly Dessert &amp; Sundae: "Summer Sweet Parlor" – 5D Embossed Nail Sticker</x:v>
      </x:c>
      <x:c r="D7758" s="18" t="str">
        <x:v>Specification type: To4405-jelly / To4406-shell light</x:v>
      </x:c>
      <x:c r="E7758" s="25" t="str">
        <x:v>$1.23</x:v>
      </x:c>
      <x:c r="F7758" s="19" t="str">
        <x:v>5</x:v>
      </x:c>
    </x:row>
    <x:row r="7759" ht="93" customHeight="1">
      <x:c r="A7759" s="19" t="n">
        <x:v>7756</x:v>
      </x:c>
      <x:c r="B7759" s="22" t="e">
        <x:f>HYPERLINK("https://cdn.shopify.com/s/files/1/0918/6066/4603/files/O1CN01OtWS5p1HlX8753PNl__2545140798-0-cib.jpg?v=1773747333","Open")</x:f>
        <x:v>HYPERLINK is not implemented. linkLocation=https://cdn.shopify.com/s/files/1/0918/6066/4603/files/O1CN01OtWS5p1HlX8753PNl__2545140798-0-cib.jpg?v=1773747333, friendlyName=Open</x:v>
      </x:c>
      <x:c r="C7759" s="24" t="e">
        <x:f>HYPERLINK("https://365nails.com/products/denim-kitten-embroidery-patch-vintage-denim-cat-crew-5d-embossed-nail-sticker","Denim Kitten &amp; Embroidery Patch: ""Vintage Denim Cat Crew"" – 5D Embossed Nail Sticker")</x:f>
        <x:v>HYPERLINK is not implemented. linkLocation=https://365nails.com/products/denim-kitten-embroidery-patch-vintage-denim-cat-crew-5d-embossed-nail-sticker, friendlyName=Denim Kitten &amp; Embroidery Patch: "Vintage Denim Cat Crew" – 5D Embossed Nail Sticker</x:v>
      </x:c>
      <x:c r="D7759" s="18" t="str">
        <x:v>Specification type: To5185-relief</x:v>
      </x:c>
      <x:c r="E7759" s="25" t="str">
        <x:v>$1.23</x:v>
      </x:c>
      <x:c r="F7759" s="19" t="str">
        <x:v>5</x:v>
      </x:c>
    </x:row>
    <x:row r="7760" ht="93" customHeight="1">
      <x:c r="A7760" s="19" t="n">
        <x:v>7757</x:v>
      </x:c>
      <x:c r="B7760" s="22" t="e">
        <x:f>HYPERLINK("https://cdn.shopify.com/s/files/1/0918/6066/4603/files/O1CN019zm8WQ1HlWvkpRvNG__2545140798-0-cib.jpg?v=1776494386","Open")</x:f>
        <x:v>HYPERLINK is not implemented. linkLocation=https://cdn.shopify.com/s/files/1/0918/6066/4603/files/O1CN019zm8WQ1HlWvkpRvNG__2545140798-0-cib.jpg?v=1776494386, friendlyName=Open</x:v>
      </x:c>
      <x:c r="C7760" s="24" t="e">
        <x:f>HYPERLINK("https://365nails.com/products/365nails-metallic-gold-abstract-dot-nail-art-stickers","365nails: ""Metallic Gold Abstract Dot"" – nail art stickers")</x:f>
        <x:v>HYPERLINK is not implemented. linkLocation=https://365nails.com/products/365nails-metallic-gold-abstract-dot-nail-art-stickers, friendlyName=365nails: "Metallic Gold Abstract Dot" – nail art stickers</x:v>
      </x:c>
      <x:c r="D7760" s="18" t="str">
        <x:v>Specification type: Ms449-new hot stamping / Ms449-silver</x:v>
      </x:c>
      <x:c r="E7760" s="25" t="str">
        <x:v>$1.23</x:v>
      </x:c>
      <x:c r="F7760" s="19" t="str">
        <x:v>5</x:v>
      </x:c>
    </x:row>
    <x:row r="7761" ht="93" customHeight="1">
      <x:c r="A7761" s="19" t="n">
        <x:v>7758</x:v>
      </x:c>
      <x:c r="B7761" s="22" t="e">
        <x:f>HYPERLINK("https://cdn.shopify.com/s/files/1/0918/6066/4603/files/O1CN01gY5VLJ1HlWtC6sndN__2545140798-0-cib.jpg?v=1776492789","Open")</x:f>
        <x:v>HYPERLINK is not implemented. linkLocation=https://cdn.shopify.com/s/files/1/0918/6066/4603/files/O1CN01gY5VLJ1HlWtC6sndN__2545140798-0-cib.jpg?v=1776492789, friendlyName=Open</x:v>
      </x:c>
      <x:c r="C7761" s="24" t="e">
        <x:f>HYPERLINK("https://365nails.com/products/365nails-pastel-rainbow-star-nail-art-stickers","365nails: ""Pastel Rainbow Star"" – nail art stickers")</x:f>
        <x:v>HYPERLINK is not implemented. linkLocation=https://365nails.com/products/365nails-pastel-rainbow-star-nail-art-stickers, friendlyName=365nails: "Pastel Rainbow Star" – nail art stickers</x:v>
      </x:c>
      <x:c r="D7761" s="18" t="str">
        <x:v>Specification type: To2889 / To2897-relief / To2898 / To2904 / To2906 / To2921</x:v>
      </x:c>
      <x:c r="E7761" s="25" t="str">
        <x:v>$1.09</x:v>
      </x:c>
      <x:c r="F7761" s="19" t="str">
        <x:v>5</x:v>
      </x:c>
    </x:row>
    <x:row r="7762" ht="93" customHeight="1">
      <x:c r="A7762" s="19" t="n">
        <x:v>7759</x:v>
      </x:c>
      <x:c r="B7762" s="22" t="e">
        <x:f>HYPERLINK("https://cdn.shopify.com/s/files/1/0918/6066/4603/files/dda2b7e8f2c2b7fe1019f561ae4ef310.jpg?v=1773464278","Open")</x:f>
        <x:v>HYPERLINK is not implemented. linkLocation=https://cdn.shopify.com/s/files/1/0918/6066/4603/files/dda2b7e8f2c2b7fe1019f561ae4ef310.jpg?v=1773464278, friendlyName=Open</x:v>
      </x:c>
      <x:c r="C7762" s="24" t="e">
        <x:f>HYPERLINK("https://365nails.com/products/vintage-gold-collection-antique-gold-charm-3d-embossed-nail-sticker-1","Vintage Gold Collection: ""Antique Gold Charm"" – 3D Embossed Nail Sticker")</x:f>
        <x:v>HYPERLINK is not implemented. linkLocation=https://365nails.com/products/vintage-gold-collection-antique-gold-charm-3d-embossed-nail-sticker-1, friendlyName=Vintage Gold Collection: "Antique Gold Charm" – 3D Embossed Nail Sticker</x:v>
      </x:c>
      <x:c r="D7762" s="18" t="str">
        <x:v>Specification type: To4029-crystal diamond / To4030-crystal diamond</x:v>
      </x:c>
      <x:c r="E7762" s="25" t="str">
        <x:v>$1.30</x:v>
      </x:c>
      <x:c r="F7762" s="19" t="str">
        <x:v>5</x:v>
      </x:c>
    </x:row>
    <x:row r="7763" ht="93" customHeight="1">
      <x:c r="A7763" s="19" t="n">
        <x:v>7760</x:v>
      </x:c>
      <x:c r="B7763" s="22" t="e">
        <x:f>HYPERLINK("https://cdn.shopify.com/s/files/1/0918/6066/4603/files/O1CN014m0PmC1HlX659ARw9__2545140798-0-cib.jpg?v=1773666591","Open")</x:f>
        <x:v>HYPERLINK is not implemented. linkLocation=https://cdn.shopify.com/s/files/1/0918/6066/4603/files/O1CN014m0PmC1HlX659ARw9__2545140798-0-cib.jpg?v=1773666591, friendlyName=Open</x:v>
      </x:c>
      <x:c r="C7763" s="24" t="e">
        <x:f>HYPERLINK("https://365nails.com/products/vintage-tulip-frame-bow-botanical-antique-frame-5d-embossed-nail-sticker","Vintage Tulip Frame &amp; Bow: ""Botanical Antique Frame"" – 5D Embossed Nail Sticker")</x:f>
        <x:v>HYPERLINK is not implemented. linkLocation=https://365nails.com/products/vintage-tulip-frame-bow-botanical-antique-frame-5d-embossed-nail-sticker, friendlyName=Vintage Tulip Frame &amp; Bow: "Botanical Antique Frame" – 5D Embossed Nail Sticker</x:v>
      </x:c>
      <x:c r="D7763" s="18" t="str">
        <x:v>Specification type: To4974-jelly / To4990-metal</x:v>
      </x:c>
      <x:c r="E7763" s="25" t="str">
        <x:v>$1.23</x:v>
      </x:c>
      <x:c r="F7763" s="19" t="str">
        <x:v>5</x:v>
      </x:c>
    </x:row>
    <x:row r="7764" ht="93" customHeight="1">
      <x:c r="A7764" s="19" t="n">
        <x:v>7761</x:v>
      </x:c>
      <x:c r="B7764" s="22" t="e">
        <x:f>HYPERLINK("https://cdn.shopify.com/s/files/1/0918/6066/4603/files/O1CN01EsdnIm1HlX0xALQ5B__2545140798-0-cib.jpg?v=1776498185","Open")</x:f>
        <x:v>HYPERLINK is not implemented. linkLocation=https://cdn.shopify.com/s/files/1/0918/6066/4603/files/O1CN01EsdnIm1HlX0xALQ5B__2545140798-0-cib.jpg?v=1776498185, friendlyName=Open</x:v>
      </x:c>
      <x:c r="C7764" s="24" t="e">
        <x:f>HYPERLINK("https://365nails.com/products/365nails-pastel-daisy-confetti-nail-art-stickers","365nails: ""Pastel Daisy Confetti"" – nail art stickers")</x:f>
        <x:v>HYPERLINK is not implemented. linkLocation=https://365nails.com/products/365nails-pastel-daisy-confetti-nail-art-stickers, friendlyName=365nails: "Pastel Daisy Confetti" – nail art stickers</x:v>
      </x:c>
      <x:c r="D7764" s="18" t="str">
        <x:v>Specification type: To3974-jelly</x:v>
      </x:c>
      <x:c r="E7764" s="25" t="str">
        <x:v>$1.23</x:v>
      </x:c>
      <x:c r="F7764" s="19" t="str">
        <x:v>5</x:v>
      </x:c>
    </x:row>
    <x:row r="7765" ht="93" customHeight="1">
      <x:c r="A7765" s="19" t="n">
        <x:v>7762</x:v>
      </x:c>
      <x:c r="B7765" s="22" t="e">
        <x:f>HYPERLINK("https://cdn.shopify.com/s/files/1/0918/6066/4603/files/O1CN0141i65Q1HlX4ZKF9R0__2545140798-0-cib_d81aed0d-29ca-4f4c-882a-447a7ae4b672.jpg?v=1775459642","Open")</x:f>
        <x:v>HYPERLINK is not implemented. linkLocation=https://cdn.shopify.com/s/files/1/0918/6066/4603/files/O1CN0141i65Q1HlX4ZKF9R0__2545140798-0-cib_d81aed0d-29ca-4f4c-882a-447a7ae4b672.jpg?v=1775459642, friendlyName=Open</x:v>
      </x:c>
      <x:c r="C7765" s="24" t="e">
        <x:f>HYPERLINK("https://365nails.com/products/365nails-pink-christmas-wonderland-handmade-press-on-nails","365nails: ""Pink Christmas Wonderland"" –Nail Art Stickers")</x:f>
        <x:v>HYPERLINK is not implemented. linkLocation=https://365nails.com/products/365nails-pink-christmas-wonderland-handmade-press-on-nails, friendlyName=365nails: "Pink Christmas Wonderland" –Nail Art Stickers</x:v>
      </x:c>
      <x:c r="D7765" s="18" t="str">
        <x:v>Specification type: To4578-relief / To4579-shell light</x:v>
      </x:c>
      <x:c r="E7765" s="25" t="str">
        <x:v>$1.23</x:v>
      </x:c>
      <x:c r="F7765" s="19" t="str">
        <x:v>5</x:v>
      </x:c>
    </x:row>
    <x:row r="7766" ht="93" customHeight="1">
      <x:c r="A7766" s="19" t="n">
        <x:v>7763</x:v>
      </x:c>
      <x:c r="B7766" s="22" t="e">
        <x:f>HYPERLINK("https://cdn.shopify.com/s/files/1/0918/6066/4603/files/O1CN01zZCCnq1HlX1zMQciB__2545140798-0-cib.jpg?v=1773753848","Open")</x:f>
        <x:v>HYPERLINK is not implemented. linkLocation=https://cdn.shopify.com/s/files/1/0918/6066/4603/files/O1CN01zZCCnq1HlX1zMQciB__2545140798-0-cib.jpg?v=1773753848, friendlyName=Open</x:v>
      </x:c>
      <x:c r="C7766" s="24" t="e">
        <x:f>HYPERLINK("https://365nails.com/products/cute-black-cat-cherry-paw-sitive-sweet-day-5d-embossed-nail-sticker","Cute Black Cat &amp; Cherry: ""Paw-sitive Sweet Day"" – 5D Embossed Nail Sticker")</x:f>
        <x:v>HYPERLINK is not implemented. linkLocation=https://365nails.com/products/cute-black-cat-cherry-paw-sitive-sweet-day-5d-embossed-nail-sticker, friendlyName=Cute Black Cat &amp; Cherry: "Paw-sitive Sweet Day" – 5D Embossed Nail Sticker</x:v>
      </x:c>
      <x:c r="D7766" s="18" t="str">
        <x:v>Specification type: To4224-relief / To4230-laser</x:v>
      </x:c>
      <x:c r="E7766" s="25" t="str">
        <x:v>$1.23</x:v>
      </x:c>
      <x:c r="F7766" s="19" t="str">
        <x:v>5</x:v>
      </x:c>
    </x:row>
    <x:row r="7767" ht="93" customHeight="1">
      <x:c r="A7767" s="19" t="n">
        <x:v>7764</x:v>
      </x:c>
      <x:c r="B7767" s="22" t="e">
        <x:f>HYPERLINK("https://cdn.shopify.com/s/files/1/0918/6066/4603/files/O1CN01cyn6pd1HlX0zCKvbn__2545140798-0-cib.jpg?v=1776498419","Open")</x:f>
        <x:v>HYPERLINK is not implemented. linkLocation=https://cdn.shopify.com/s/files/1/0918/6066/4603/files/O1CN01cyn6pd1HlX0zCKvbn__2545140798-0-cib.jpg?v=1776498419, friendlyName=Open</x:v>
      </x:c>
      <x:c r="C7767" s="24" t="e">
        <x:f>HYPERLINK("https://365nails.com/products/365nails-rabbit-and-fruit-paradise-nail-art-stickers","365nails: ""Rabbit and Fruit Paradise"" – nail art stickers")</x:f>
        <x:v>HYPERLINK is not implemented. linkLocation=https://365nails.com/products/365nails-rabbit-and-fruit-paradise-nail-art-stickers, friendlyName=365nails: "Rabbit and Fruit Paradise" – nail art stickers</x:v>
      </x:c>
      <x:c r="D7767" s="18" t="str">
        <x:v>Specification type: To3987-relief</x:v>
      </x:c>
      <x:c r="E7767" s="25" t="str">
        <x:v>$1.23</x:v>
      </x:c>
      <x:c r="F7767" s="19" t="str">
        <x:v>5</x:v>
      </x:c>
    </x:row>
    <x:row r="7768" ht="93" customHeight="1">
      <x:c r="A7768" s="19" t="n">
        <x:v>7765</x:v>
      </x:c>
      <x:c r="B7768" s="22" t="e">
        <x:f>HYPERLINK("https://cdn.shopify.com/s/files/1/0918/6066/4603/files/O1CN01ksWp6G1HlWzGFpbkM__2545140798-0-cib.jpg?v=1776495157","Open")</x:f>
        <x:v>HYPERLINK is not implemented. linkLocation=https://cdn.shopify.com/s/files/1/0918/6066/4603/files/O1CN01ksWp6G1HlWzGFpbkM__2545140798-0-cib.jpg?v=1776495157, friendlyName=Open</x:v>
      </x:c>
      <x:c r="C7768" s="24" t="e">
        <x:f>HYPERLINK("https://365nails.com/products/365nails-red-berry-branch-nail-art-stickers","365nails: ""Red Berry Branch"" – nail art stickers")</x:f>
        <x:v>HYPERLINK is not implemented. linkLocation=https://365nails.com/products/365nails-red-berry-branch-nail-art-stickers, friendlyName=365nails: "Red Berry Branch" – nail art stickers</x:v>
      </x:c>
      <x:c r="D7768" s="18" t="str">
        <x:v>Specification type: Ta 285</x:v>
      </x:c>
      <x:c r="E7768" s="25" t="str">
        <x:v>$1.99</x:v>
      </x:c>
      <x:c r="F7768" s="19" t="str">
        <x:v>5</x:v>
      </x:c>
    </x:row>
    <x:row r="7769" ht="93" customHeight="1">
      <x:c r="A7769" s="19" t="n">
        <x:v>7766</x:v>
      </x:c>
      <x:c r="B7769" s="22" t="e">
        <x:f>HYPERLINK("https://cdn.shopify.com/s/files/1/0918/6066/4603/files/O1CN01XBn8KN1HlWt8dYdmu__2545140798-0-cib.jpg?v=1776492435","Open")</x:f>
        <x:v>HYPERLINK is not implemented. linkLocation=https://cdn.shopify.com/s/files/1/0918/6066/4603/files/O1CN01XBn8KN1HlWt8dYdmu__2545140798-0-cib.jpg?v=1776492435, friendlyName=Open</x:v>
      </x:c>
      <x:c r="C7769" s="24" t="e">
        <x:f>HYPERLINK("https://365nails.com/products/365nails-white-lace-flower-crystal-diamond-nail-art-stickers","365nails: ""White Lace Flower Crystal Diamond"" – nail art stickers")</x:f>
        <x:v>HYPERLINK is not implemented. linkLocation=https://365nails.com/products/365nails-white-lace-flower-crystal-diamond-nail-art-stickers, friendlyName=365nails: "White Lace Flower Crystal Diamond" – nail art stickers</x:v>
      </x:c>
      <x:c r="D7769" s="18" t="str">
        <x:v>Specification type: Ms 306 / To232</x:v>
      </x:c>
      <x:c r="E7769" s="25" t="str">
        <x:v>$1.30</x:v>
      </x:c>
      <x:c r="F7769" s="19" t="str">
        <x:v>5</x:v>
      </x:c>
    </x:row>
    <x:row r="7770" ht="93" customHeight="1">
      <x:c r="A7770" s="19" t="n">
        <x:v>7767</x:v>
      </x:c>
      <x:c r="B7770" s="22" t="e">
        <x:f>HYPERLINK("https://cdn.shopify.com/s/files/1/0918/6066/4603/files/daf4639e3d7e2c4a19d2b32b9f179617.jpg?v=1776418712","Open")</x:f>
        <x:v>HYPERLINK is not implemented. linkLocation=https://cdn.shopify.com/s/files/1/0918/6066/4603/files/daf4639e3d7e2c4a19d2b32b9f179617.jpg?v=1776418712, friendlyName=Open</x:v>
      </x:c>
      <x:c r="C7770" s="24" t="e">
        <x:f>HYPERLINK("https://365nails.com/products/365nails-nana-osaki-komatsu-inspired-handmade-medium-trapezoid-press-on-nails","365nails: ""NANA Osaki &amp; Komatsu Inspired"" – Handmade Medium Trapezoid Press-On Nails")</x:f>
        <x:v>HYPERLINK is not implemented. linkLocation=https://365nails.com/products/365nails-nana-osaki-komatsu-inspired-handmade-medium-trapezoid-press-on-nails, friendlyName=365nails: "NANA Osaki &amp; Komatsu Inspired" – Handmade Medium Trapezoid Press-On Nails</x:v>
      </x:c>
      <x:c r="D7770" s="18" t="str">
        <x:v>Size: XS / S / M</x:v>
      </x:c>
      <x:c r="E7770" s="25" t="str">
        <x:v>$3.49</x:v>
      </x:c>
      <x:c r="F7770" s="19" t="str">
        <x:v>5</x:v>
      </x:c>
    </x:row>
    <x:row r="7771" ht="93" customHeight="1">
      <x:c r="A7771" s="19" t="n">
        <x:v>7768</x:v>
      </x:c>
      <x:c r="B7771" s="22" t="e">
        <x:f>HYPERLINK("https://cdn.shopify.com/s/files/1/0918/6066/4603/files/O1CN01nnXzWu1HlX0aRefxm__2545140798-0-cib.jpg?v=1776498341","Open")</x:f>
        <x:v>HYPERLINK is not implemented. linkLocation=https://cdn.shopify.com/s/files/1/0918/6066/4603/files/O1CN01nnXzWu1HlX0aRefxm__2545140798-0-cib.jpg?v=1776498341, friendlyName=Open</x:v>
      </x:c>
      <x:c r="C7771" s="24" t="e">
        <x:f>HYPERLINK("https://365nails.com/products/365nails-gold-trimmed-tulip-nail-art-stickers","365nails: ""Gold-Trimmed Tulip"" – nail art stickers")</x:f>
        <x:v>HYPERLINK is not implemented. linkLocation=https://365nails.com/products/365nails-gold-trimmed-tulip-nail-art-stickers, friendlyName=365nails: "Gold-Trimmed Tulip" – nail art stickers</x:v>
      </x:c>
      <x:c r="D7771" s="18" t="str">
        <x:v>Specification type: Ms564-new hot stamping</x:v>
      </x:c>
      <x:c r="E7771" s="25" t="str">
        <x:v>$1.23</x:v>
      </x:c>
      <x:c r="F7771" s="19" t="str">
        <x:v>5</x:v>
      </x:c>
    </x:row>
    <x:row r="7772" ht="93" customHeight="1">
      <x:c r="A7772" s="19" t="n">
        <x:v>7769</x:v>
      </x:c>
      <x:c r="B7772" s="22" t="e">
        <x:f>HYPERLINK("https://cdn.shopify.com/s/files/1/0918/6066/4603/files/O1CN010LnI5v1HlWtSSK9M2__2545140798-0-cib.jpg?v=1776492892","Open")</x:f>
        <x:v>HYPERLINK is not implemented. linkLocation=https://cdn.shopify.com/s/files/1/0918/6066/4603/files/O1CN010LnI5v1HlWtSSK9M2__2545140798-0-cib.jpg?v=1776492892, friendlyName=Open</x:v>
      </x:c>
      <x:c r="C7772" s="24" t="e">
        <x:f>HYPERLINK("https://365nails.com/products/365nails-white-rose-with-crystal-pearl-nail-art-stickers","365nails: ""White Rose with Crystal Pearl"" – nail art stickers")</x:f>
        <x:v>HYPERLINK is not implemented. linkLocation=https://365nails.com/products/365nails-white-rose-with-crystal-pearl-nail-art-stickers, friendlyName=365nails: "White Rose with Crystal Pearl" – nail art stickers</x:v>
      </x:c>
      <x:c r="D7772" s="18" t="str">
        <x:v>Specification type: Ms 300 / Ms 302 / Ms 351 / Ms 352</x:v>
      </x:c>
      <x:c r="E7772" s="25" t="str">
        <x:v>$1.30</x:v>
      </x:c>
      <x:c r="F7772" s="19" t="str">
        <x:v>5</x:v>
      </x:c>
    </x:row>
    <x:row r="7773" ht="93" customHeight="1">
      <x:c r="A7773" s="19" t="n">
        <x:v>7770</x:v>
      </x:c>
      <x:c r="B7773" s="22" t="e">
        <x:f>HYPERLINK("https://cdn.shopify.com/s/files/1/0918/6066/4603/files/O1CN01tt7P191HlXBW3tXM6__2545140798-0-cib.jpg?v=1773744914","Open")</x:f>
        <x:v>HYPERLINK is not implemented. linkLocation=https://cdn.shopify.com/s/files/1/0918/6066/4603/files/O1CN01tt7P191HlXBW3tXM6__2545140798-0-cib.jpg?v=1773744914, friendlyName=Open</x:v>
      </x:c>
      <x:c r="C7773" s="24" t="e">
        <x:f>HYPERLINK("https://365nails.com/products/denim-western-pony-star-rustic-denim-cowgirl-5d-embossed-nail-sticker","Denim Western Pony &amp; Star: ""Rustic Denim Cowgirl"" – 5D Embossed Nail Sticker")</x:f>
        <x:v>HYPERLINK is not implemented. linkLocation=https://365nails.com/products/denim-western-pony-star-rustic-denim-cowgirl-5d-embossed-nail-sticker, friendlyName=Denim Western Pony &amp; Star: "Rustic Denim Cowgirl" – 5D Embossed Nail Sticker</x:v>
      </x:c>
      <x:c r="D7773" s="18" t="str">
        <x:v>Specification type: To5637-relief / To5655-relief / To5656-relief</x:v>
      </x:c>
      <x:c r="E7773" s="25" t="str">
        <x:v>$1.23</x:v>
      </x:c>
      <x:c r="F7773" s="19" t="str">
        <x:v>5</x:v>
      </x:c>
    </x:row>
    <x:row r="7774" ht="93" customHeight="1">
      <x:c r="A7774" s="19" t="n">
        <x:v>7771</x:v>
      </x:c>
      <x:c r="B7774" s="22" t="e">
        <x:f>HYPERLINK("https://cdn.shopify.com/s/files/1/0918/6066/4603/files/O1CN01Bb2hRw1HlWuNR1rWd__2545140798-0-cib.jpg?v=1776493672","Open")</x:f>
        <x:v>HYPERLINK is not implemented. linkLocation=https://cdn.shopify.com/s/files/1/0918/6066/4603/files/O1CN01Bb2hRw1HlWuNR1rWd__2545140798-0-cib.jpg?v=1776493672, friendlyName=Open</x:v>
      </x:c>
      <x:c r="C7774" s="24" t="e">
        <x:f>HYPERLINK("https://365nails.com/products/365nails-white-cross-and-butterfly-crystal-nail-art-stickers","365nails: ""White Cross and Butterfly Crystal"" – nail art stickers")</x:f>
        <x:v>HYPERLINK is not implemented. linkLocation=https://365nails.com/products/365nails-white-cross-and-butterfly-crystal-nail-art-stickers, friendlyName=365nails: "White Cross and Butterfly Crystal" – nail art stickers</x:v>
      </x:c>
      <x:c r="D7774" s="18" t="str">
        <x:v>Specification type: Ms 356 / Ms 357</x:v>
      </x:c>
      <x:c r="E7774" s="25" t="str">
        <x:v>$1.23</x:v>
      </x:c>
      <x:c r="F7774" s="19" t="str">
        <x:v>5</x:v>
      </x:c>
    </x:row>
    <x:row r="7775" ht="93" customHeight="1">
      <x:c r="A7775" s="19" t="n">
        <x:v>7772</x:v>
      </x:c>
      <x:c r="B7775" s="22" t="e">
        <x:f>HYPERLINK("https://cdn.shopify.com/s/files/1/0918/6066/4603/files/O1CN01wIhiy01HlX0xNzVk6__2545140798-0-cib.jpg?v=1776498100","Open")</x:f>
        <x:v>HYPERLINK is not implemented. linkLocation=https://cdn.shopify.com/s/files/1/0918/6066/4603/files/O1CN01wIhiy01HlX0xNzVk6__2545140798-0-cib.jpg?v=1776498100, friendlyName=Open</x:v>
      </x:c>
      <x:c r="C7775" s="24" t="e">
        <x:f>HYPERLINK("https://365nails.com/products/365nails-moonlight-lotus-pond-nail-art-stickers","365nails: ""Moonlight Lotus Pond"" – nail art stickers")</x:f>
        <x:v>HYPERLINK is not implemented. linkLocation=https://365nails.com/products/365nails-moonlight-lotus-pond-nail-art-stickers, friendlyName=365nails: "Moonlight Lotus Pond" – nail art stickers</x:v>
      </x:c>
      <x:c r="D7775" s="18" t="str">
        <x:v>Specification type: To3719 / To3990</x:v>
      </x:c>
      <x:c r="E7775" s="25" t="str">
        <x:v>$1.09</x:v>
      </x:c>
      <x:c r="F7775" s="19" t="str">
        <x:v>5</x:v>
      </x:c>
    </x:row>
    <x:row r="7776" ht="93" customHeight="1">
      <x:c r="A7776" s="19" t="n">
        <x:v>7773</x:v>
      </x:c>
      <x:c r="B7776" s="22" t="e">
        <x:f>HYPERLINK("https://cdn.shopify.com/s/files/1/0918/6066/4603/files/O1CN01Vbq0Ey1HlWwe9Zm8W__2545140798-0-cib.jpg?v=1776494851","Open")</x:f>
        <x:v>HYPERLINK is not implemented. linkLocation=https://cdn.shopify.com/s/files/1/0918/6066/4603/files/O1CN01Vbq0Ey1HlWwe9Zm8W__2545140798-0-cib.jpg?v=1776494851, friendlyName=Open</x:v>
      </x:c>
      <x:c r="C7776" s="24" t="e">
        <x:f>HYPERLINK("https://365nails.com/products/365nails-holographic-mini-heart-nail-art-stickers","365nails: ""Holographic Mini Heart"" – nail art stickers")</x:f>
        <x:v>HYPERLINK is not implemented. linkLocation=https://365nails.com/products/365nails-holographic-mini-heart-nail-art-stickers, friendlyName=365nails: "Holographic Mini Heart" – nail art stickers</x:v>
      </x:c>
      <x:c r="D7776" s="18" t="str">
        <x:v>Specification type: To3240-diandian laser</x:v>
      </x:c>
      <x:c r="E7776" s="25" t="str">
        <x:v>$1.23</x:v>
      </x:c>
      <x:c r="F7776" s="19" t="str">
        <x:v>5</x:v>
      </x:c>
    </x:row>
    <x:row r="7777" ht="93" customHeight="1">
      <x:c r="A7777" s="19" t="n">
        <x:v>7774</x:v>
      </x:c>
      <x:c r="B7777" s="22" t="e">
        <x:f>HYPERLINK("https://cdn.shopify.com/s/files/1/0918/6066/4603/files/O1CN01IzUqJG2MQzerLJ9q3__2219089449823-0-cib.jpg?v=1774520775","Open")</x:f>
        <x:v>HYPERLINK is not implemented. linkLocation=https://cdn.shopify.com/s/files/1/0918/6066/4603/files/O1CN01IzUqJG2MQzerLJ9q3__2219089449823-0-cib.jpg?v=1774520775, friendlyName=Open</x:v>
      </x:c>
      <x:c r="C7777" s="24" t="e">
        <x:f>HYPERLINK("https://365nails.com/products/rich-bling-golden-bow-dollar-square-press-on-nails","Rich Bling: ""Golden Bow &amp; Dollar"" – Square Press-On Nails")</x:f>
        <x:v>HYPERLINK is not implemented. linkLocation=https://365nails.com/products/rich-bling-golden-bow-dollar-square-press-on-nails, friendlyName=Rich Bling: "Golden Bow &amp; Dollar" – Square Press-On Nails</x:v>
      </x:c>
      <x:c r="D7777" s="18" t="str">
        <x:v>Color: L 234; Color classification: Xs / S / M / L</x:v>
      </x:c>
      <x:c r="E7777" s="25" t="str">
        <x:v>$4.99</x:v>
      </x:c>
      <x:c r="F7777" s="19" t="str">
        <x:v>1</x:v>
      </x:c>
    </x:row>
    <x:row r="7778" ht="93" customHeight="1">
      <x:c r="A7778" s="19" t="n">
        <x:v>7775</x:v>
      </x:c>
      <x:c r="B7778" s="22" t="e">
        <x:f>HYPERLINK("https://cdn.shopify.com/s/files/1/0918/6066/4603/files/O1CN01ZHN55Y1HlWvzfleRd__2545140798-0-cib.jpg?v=1776494673","Open")</x:f>
        <x:v>HYPERLINK is not implemented. linkLocation=https://cdn.shopify.com/s/files/1/0918/6066/4603/files/O1CN01ZHN55Y1HlWvzfleRd__2545140798-0-cib.jpg?v=1776494673, friendlyName=Open</x:v>
      </x:c>
      <x:c r="C7778" s="24" t="e">
        <x:f>HYPERLINK("https://365nails.com/products/365nails-metallic-butterfly-and-tulip-nail-art-stickers","365nails: ""Metallic Butterfly and Tulip"" – nail art stickers")</x:f>
        <x:v>HYPERLINK is not implemented. linkLocation=https://365nails.com/products/365nails-metallic-butterfly-and-tulip-nail-art-stickers, friendlyName=365nails: "Metallic Butterfly and Tulip" – nail art stickers</x:v>
      </x:c>
      <x:c r="D7778" s="18" t="str">
        <x:v>Specification type: Ms439-new hot stamping / Ms440-laser / To3252-laser powder / Ms439-laser powder</x:v>
      </x:c>
      <x:c r="E7778" s="25" t="str">
        <x:v>$1.23</x:v>
      </x:c>
      <x:c r="F7778" s="19" t="str">
        <x:v>5</x:v>
      </x:c>
    </x:row>
    <x:row r="7779" ht="93" customHeight="1">
      <x:c r="A7779" s="19" t="n">
        <x:v>7776</x:v>
      </x:c>
      <x:c r="B7779" s="22" t="e">
        <x:f>HYPERLINK("https://cdn.shopify.com/s/files/1/0918/6066/4603/files/O1CN01hAjQe41HlX0aKdRmI__2545140798-0-cib.jpg?v=1776497741","Open")</x:f>
        <x:v>HYPERLINK is not implemented. linkLocation=https://cdn.shopify.com/s/files/1/0918/6066/4603/files/O1CN01hAjQe41HlX0aKdRmI__2545140798-0-cib.jpg?v=1776497741, friendlyName=Open</x:v>
      </x:c>
      <x:c r="C7779" s="24" t="e">
        <x:f>HYPERLINK("https://365nails.com/products/365nails-vintage-red-flower-with-calligraphy-nail-art-stickers","365nails: ""Vintage Red Flower with Calligraphy"" – nail art stickers")</x:f>
        <x:v>HYPERLINK is not implemented. linkLocation=https://365nails.com/products/365nails-vintage-red-flower-with-calligraphy-nail-art-stickers, friendlyName=365nails: "Vintage Red Flower with Calligraphy" – nail art stickers</x:v>
      </x:c>
      <x:c r="D7779" s="18" t="str">
        <x:v>Specification type: To3765-relief</x:v>
      </x:c>
      <x:c r="E7779" s="25" t="str">
        <x:v>$1.23</x:v>
      </x:c>
      <x:c r="F7779" s="19" t="str">
        <x:v>5</x:v>
      </x:c>
    </x:row>
    <x:row r="7780" ht="93" customHeight="1">
      <x:c r="A7780" s="19" t="n">
        <x:v>7777</x:v>
      </x:c>
      <x:c r="B7780" s="22" t="e">
        <x:f>HYPERLINK("https://cdn.shopify.com/s/files/1/0918/6066/4603/files/O1CN01DAQx771HlWtl7XgfB__2545140798-0-cib.jpg?v=1776492976","Open")</x:f>
        <x:v>HYPERLINK is not implemented. linkLocation=https://cdn.shopify.com/s/files/1/0918/6066/4603/files/O1CN01DAQx771HlWtl7XgfB__2545140798-0-cib.jpg?v=1776492976, friendlyName=Open</x:v>
      </x:c>
      <x:c r="C7780" s="24" t="e">
        <x:f>HYPERLINK("https://365nails.com/products/365nails-colorful-daisy-tulip-happy-life-nail-art-stickers","365nails: ""Colorful Daisy Tulip Happy Life"" – nail art stickers")</x:f>
        <x:v>HYPERLINK is not implemented. linkLocation=https://365nails.com/products/365nails-colorful-daisy-tulip-happy-life-nail-art-stickers, friendlyName=365nails: "Colorful Daisy Tulip Happy Life" – nail art stickers</x:v>
      </x:c>
      <x:c r="D7780" s="18" t="str">
        <x:v>Specification type: To2926-relief / To2927-thin tough / To2950-relief / To3011-thin tough</x:v>
      </x:c>
      <x:c r="E7780" s="25" t="str">
        <x:v>$1.23</x:v>
      </x:c>
      <x:c r="F7780" s="19" t="str">
        <x:v>5</x:v>
      </x:c>
    </x:row>
    <x:row r="7781" ht="93" customHeight="1">
      <x:c r="A7781" s="19" t="n">
        <x:v>7778</x:v>
      </x:c>
      <x:c r="B7781" s="22" t="e">
        <x:f>HYPERLINK("https://cdn.shopify.com/s/files/1/0918/6066/4603/files/O1CN01BAySc11HlWzQG9TgZ__2545140798-0-cib.jpg?v=1776496475","Open")</x:f>
        <x:v>HYPERLINK is not implemented. linkLocation=https://cdn.shopify.com/s/files/1/0918/6066/4603/files/O1CN01BAySc11HlWzQG9TgZ__2545140798-0-cib.jpg?v=1776496475, friendlyName=Open</x:v>
      </x:c>
      <x:c r="C7781" s="24" t="e">
        <x:f>HYPERLINK("https://365nails.com/products/365nails-blue-and-white-porcelain-shard-nail-art-stickers","365nails: ""Blue and White Porcelain Shard"" – nail art stickers")</x:f>
        <x:v>HYPERLINK is not implemented. linkLocation=https://365nails.com/products/365nails-blue-and-white-porcelain-shard-nail-art-stickers, friendlyName=365nails: "Blue and White Porcelain Shard" – nail art stickers</x:v>
      </x:c>
      <x:c r="D7781" s="18" t="str">
        <x:v>Specification type: Ms536-new hot stamping / Ms532-relief / To3747-new hot stamping</x:v>
      </x:c>
      <x:c r="E7781" s="25" t="str">
        <x:v>$1.23</x:v>
      </x:c>
      <x:c r="F7781" s="19" t="str">
        <x:v>5</x:v>
      </x:c>
    </x:row>
    <x:row r="7782" ht="93" customHeight="1">
      <x:c r="A7782" s="19" t="n">
        <x:v>7779</x:v>
      </x:c>
      <x:c r="B7782" s="22" t="e">
        <x:f>HYPERLINK("https://cdn.shopify.com/s/files/1/0918/6066/4603/files/O1CN01KfMLH81HlX0Ts2ZSq__2545140798-0-cib.jpg?v=1776497186","Open")</x:f>
        <x:v>HYPERLINK is not implemented. linkLocation=https://cdn.shopify.com/s/files/1/0918/6066/4603/files/O1CN01KfMLH81HlX0Ts2ZSq__2545140798-0-cib.jpg?v=1776497186, friendlyName=Open</x:v>
      </x:c>
      <x:c r="C7782" s="24" t="e">
        <x:f>HYPERLINK("https://365nails.com/products/365nails-holographic-lace-and-butterfly-nail-art-stickers","365nails: ""Holographic Lace and Butterfly"" – nail art stickers")</x:f>
        <x:v>HYPERLINK is not implemented. linkLocation=https://365nails.com/products/365nails-holographic-lace-and-butterfly-nail-art-stickers, friendlyName=365nails: "Holographic Lace and Butterfly" – nail art stickers</x:v>
      </x:c>
      <x:c r="D7782" s="18" t="str">
        <x:v>Specification type: Ms576-shell light / Ms577-shell light</x:v>
      </x:c>
      <x:c r="E7782" s="25" t="str">
        <x:v>$1.23</x:v>
      </x:c>
      <x:c r="F7782" s="19" t="str">
        <x:v>5</x:v>
      </x:c>
    </x:row>
    <x:row r="7783" ht="93" customHeight="1">
      <x:c r="A7783" s="19" t="n">
        <x:v>7780</x:v>
      </x:c>
      <x:c r="B7783" s="22" t="e">
        <x:f>HYPERLINK("https://cdn.shopify.com/s/files/1/0918/6066/4603/files/O1CN01XxK1gB1HlX0QuL0Gn__2545140798-0-cib.jpg?v=1776497441","Open")</x:f>
        <x:v>HYPERLINK is not implemented. linkLocation=https://cdn.shopify.com/s/files/1/0918/6066/4603/files/O1CN01XxK1gB1HlX0QuL0Gn__2545140798-0-cib.jpg?v=1776497441, friendlyName=Open</x:v>
      </x:c>
      <x:c r="C7783" s="24" t="e">
        <x:f>HYPERLINK("https://365nails.com/products/65nails-ink-bamboo-and-butterfly-nail-art-stickers","65nails: ""Ink Bamboo and Butterfly"" – nail art stickers")</x:f>
        <x:v>HYPERLINK is not implemented. linkLocation=https://365nails.com/products/65nails-ink-bamboo-and-butterfly-nail-art-stickers, friendlyName=65nails: "Ink Bamboo and Butterfly" – nail art stickers</x:v>
      </x:c>
      <x:c r="D7783" s="18" t="str">
        <x:v>Specification type: To3966 / To3967</x:v>
      </x:c>
      <x:c r="E7783" s="25" t="str">
        <x:v>$1.09</x:v>
      </x:c>
      <x:c r="F7783" s="19" t="str">
        <x:v>5</x:v>
      </x:c>
    </x:row>
    <x:row r="7784" ht="93" customHeight="1">
      <x:c r="A7784" s="19" t="n">
        <x:v>7781</x:v>
      </x:c>
      <x:c r="B7784" s="22" t="e">
        <x:f>HYPERLINK("https://cdn.shopify.com/s/files/1/0918/6066/4603/files/e02d50267661d9b6d63828296f6db78d.jpg?v=1775309035","Open")</x:f>
        <x:v>HYPERLINK is not implemented. linkLocation=https://cdn.shopify.com/s/files/1/0918/6066/4603/files/e02d50267661d9b6d63828296f6db78d.jpg?v=1775309035, friendlyName=Open</x:v>
      </x:c>
      <x:c r="C7784" s="24" t="e">
        <x:f>HYPERLINK("https://365nails.com/products/scarlet-bloom-ruby-flower-bow-long-coffin-press-on-nails","Scarlet Bloom: ""Ruby Flower Bow"" – Long Coffin Press-on Nails")</x:f>
        <x:v>HYPERLINK is not implemented. linkLocation=https://365nails.com/products/scarlet-bloom-ruby-flower-bow-long-coffin-press-on-nails, friendlyName=Scarlet Bloom: "Ruby Flower Bow" – Long Coffin Press-on Nails</x:v>
      </x:c>
      <x:c r="D7784" s="18" t="str">
        <x:v>Size: XS / S / M / L</x:v>
      </x:c>
      <x:c r="E7784" s="25" t="str">
        <x:v>$3.99</x:v>
      </x:c>
      <x:c r="F7784" s="19" t="str">
        <x:v>5</x:v>
      </x:c>
    </x:row>
    <x:row r="7785" ht="93" customHeight="1">
      <x:c r="A7785" s="19" t="n">
        <x:v>7782</x:v>
      </x:c>
      <x:c r="B7785" s="22" t="e">
        <x:f>HYPERLINK("https://cdn.shopify.com/s/files/1/0918/6066/4603/files/O1CN01EIEtHN1HlWtH1TO5B__2545140798-0-cib.jpg?v=1776492675","Open")</x:f>
        <x:v>HYPERLINK is not implemented. linkLocation=https://cdn.shopify.com/s/files/1/0918/6066/4603/files/O1CN01EIEtHN1HlWtH1TO5B__2545140798-0-cib.jpg?v=1776492675, friendlyName=Open</x:v>
      </x:c>
      <x:c r="C7785" s="24" t="e">
        <x:f>HYPERLINK("https://365nails.com/products/365nails-cute-purple-panda-flower-moon-nail-art-stickers","365nails: ""Cute Purple Panda Flower Moon"" – nail art stickers")</x:f>
        <x:v>HYPERLINK is not implemented. linkLocation=https://365nails.com/products/365nails-cute-purple-panda-flower-moon-nail-art-stickers, friendlyName=365nails: "Cute Purple Panda Flower Moon" – nail art stickers</x:v>
      </x:c>
      <x:c r="D7785" s="18" t="str">
        <x:v>Specification type: To2902 / To2908 / To2910</x:v>
      </x:c>
      <x:c r="E7785" s="25" t="str">
        <x:v>$1.09</x:v>
      </x:c>
      <x:c r="F7785" s="19" t="str">
        <x:v>5</x:v>
      </x:c>
    </x:row>
    <x:row r="7786" ht="93" customHeight="1">
      <x:c r="A7786" s="19" t="n">
        <x:v>7783</x:v>
      </x:c>
      <x:c r="B7786" s="22" t="e">
        <x:f>HYPERLINK("https://cdn.shopify.com/s/files/1/0918/6066/4603/files/O1CN01aewhO21HlX5mTuWBF__2545140798-0-cib.jpg?v=1776583363","Open")</x:f>
        <x:v>HYPERLINK is not implemented. linkLocation=https://cdn.shopify.com/s/files/1/0918/6066/4603/files/O1CN01aewhO21HlX5mTuWBF__2545140798-0-cib.jpg?v=1776583363, friendlyName=Open</x:v>
      </x:c>
      <x:c r="C7786" s="24" t="e">
        <x:f>HYPERLINK("https://365nails.com/products/365nails-cute-pink-bunny-bow-nail-art-stickers","365nails: ""Cute Pink Bunny &amp; Bow"" – nail art stickers")</x:f>
        <x:v>HYPERLINK is not implemented. linkLocation=https://365nails.com/products/365nails-cute-pink-bunny-bow-nail-art-stickers, friendlyName=365nails: "Cute Pink Bunny &amp; Bow" – nail art stickers</x:v>
      </x:c>
      <x:c r="D7786" s="18" t="str">
        <x:v>Specification type: To4914-relief</x:v>
      </x:c>
      <x:c r="E7786" s="25" t="str">
        <x:v>$1.23</x:v>
      </x:c>
      <x:c r="F7786" s="19" t="str">
        <x:v>5</x:v>
      </x:c>
    </x:row>
    <x:row r="7787" ht="93" customHeight="1">
      <x:c r="A7787" s="19" t="n">
        <x:v>7784</x:v>
      </x:c>
      <x:c r="B7787" s="22" t="e">
        <x:f>HYPERLINK("https://cdn.shopify.com/s/files/1/0918/6066/4603/files/O1CN01qdJovx1HlWs4zJ9rL__2545140798-0-cib.jpg?v=1776492166","Open")</x:f>
        <x:v>HYPERLINK is not implemented. linkLocation=https://cdn.shopify.com/s/files/1/0918/6066/4603/files/O1CN01qdJovx1HlWs4zJ9rL__2545140798-0-cib.jpg?v=1776492166, friendlyName=Open</x:v>
      </x:c>
      <x:c r="C7787" s="24" t="e">
        <x:f>HYPERLINK("https://365nails.com/products/365nails-cute-bunny-with-bow-tie-dye-gold-nail-art-stickers","365nails: ""Cute Bunny with Bow Tie-Dye Gold"" – nail art stickers")</x:f>
        <x:v>HYPERLINK is not implemented. linkLocation=https://365nails.com/products/365nails-cute-bunny-with-bow-tie-dye-gold-nail-art-stickers, friendlyName=365nails: "Cute Bunny with Bow Tie-Dye Gold" – nail art stickers</x:v>
      </x:c>
      <x:c r="D7787" s="18" t="str">
        <x:v>Specification type: To2722 / To2723 new hot stamping</x:v>
      </x:c>
      <x:c r="E7787" s="25" t="str">
        <x:v>$1.23</x:v>
      </x:c>
      <x:c r="F7787" s="19" t="str">
        <x:v>5</x:v>
      </x:c>
    </x:row>
    <x:row r="7788" ht="93" customHeight="1">
      <x:c r="A7788" s="19" t="n">
        <x:v>7785</x:v>
      </x:c>
      <x:c r="B7788" s="22" t="e">
        <x:f>HYPERLINK("https://cdn.shopify.com/s/files/1/0918/6066/4603/files/O1CN01UtPAnU1HlWz9pu9SQ__2545140798-0-cib.jpg?v=1773757459","Open")</x:f>
        <x:v>HYPERLINK is not implemented. linkLocation=https://cdn.shopify.com/s/files/1/0918/6066/4603/files/O1CN01UtPAnU1HlWz9pu9SQ__2545140798-0-cib.jpg?v=1773757459, friendlyName=Open</x:v>
      </x:c>
      <x:c r="C7788" s="24" t="e">
        <x:f>HYPERLINK("https://365nails.com/products/red-gradient-butterfly-crimson-dream-butterfly-5d-embossed-nail-sticker","Red Gradient Butterfly: ""Crimson Dream Butterfly"" – 5D Embossed Nail Sticker")</x:f>
        <x:v>HYPERLINK is not implemented. linkLocation=https://365nails.com/products/red-gradient-butterfly-crimson-dream-butterfly-5d-embossed-nail-sticker, friendlyName=Red Gradient Butterfly: "Crimson Dream Butterfly" – 5D Embossed Nail Sticker</x:v>
      </x:c>
      <x:c r="D7788" s="18" t="str">
        <x:v>Specification type: To3710-shell light / To3711-relief</x:v>
      </x:c>
      <x:c r="E7788" s="25" t="str">
        <x:v>$1.23</x:v>
      </x:c>
      <x:c r="F7788" s="19" t="str">
        <x:v>5</x:v>
      </x:c>
    </x:row>
    <x:row r="7789" ht="93" customHeight="1">
      <x:c r="A7789" s="19" t="n">
        <x:v>7786</x:v>
      </x:c>
      <x:c r="B7789" s="22" t="e">
        <x:f>HYPERLINK("https://cdn.shopify.com/s/files/1/0918/6066/4603/files/O1CN015csOqU1HlX29rJ7w1__2545140798-0-cib.jpg?v=1776581406","Open")</x:f>
        <x:v>HYPERLINK is not implemented. linkLocation=https://cdn.shopify.com/s/files/1/0918/6066/4603/files/O1CN015csOqU1HlX29rJ7w1__2545140798-0-cib.jpg?v=1776581406, friendlyName=Open</x:v>
      </x:c>
      <x:c r="C7789" s="24" t="e">
        <x:f>HYPERLINK("https://365nails.com/products/365nails-hello-kitty-pink-cute-nail-art-stickers","365nails: ""Hello Kitty Pink Cute"" – nail art stickers")</x:f>
        <x:v>HYPERLINK is not implemented. linkLocation=https://365nails.com/products/365nails-hello-kitty-pink-cute-nail-art-stickers, friendlyName=365nails: "Hello Kitty Pink Cute" – nail art stickers</x:v>
      </x:c>
      <x:c r="D7789" s="18" t="str">
        <x:v>Specification type: San064 / San070</x:v>
      </x:c>
      <x:c r="E7789" s="25" t="str">
        <x:v>$1.16</x:v>
      </x:c>
      <x:c r="F7789" s="19" t="str">
        <x:v>5</x:v>
      </x:c>
    </x:row>
    <x:row r="7790" ht="93" customHeight="1">
      <x:c r="A7790" s="19" t="n">
        <x:v>7787</x:v>
      </x:c>
      <x:c r="B7790" s="22" t="e">
        <x:f>HYPERLINK("https://cdn.shopify.com/s/files/1/0918/6066/4603/files/b948fc7ccad83185fd366cbca71f18f2.jpg?v=1768893600","Open")</x:f>
        <x:v>HYPERLINK is not implemented. linkLocation=https://cdn.shopify.com/s/files/1/0918/6066/4603/files/b948fc7ccad83185fd366cbca71f18f2.jpg?v=1768893600, friendlyName=Open</x:v>
      </x:c>
      <x:c r="C7790" s="24" t="e">
        <x:f>HYPERLINK("https://365nails.com/products/handmade-smudge-series-amber-nebula-electric-blue-fluid-art-nails","Amber Nebula &amp; Electric Blue Fluid Art Nails｜ Handmade Smudge Series(moq=30)")</x:f>
        <x:v>HYPERLINK is not implemented. linkLocation=https://365nails.com/products/handmade-smudge-series-amber-nebula-electric-blue-fluid-art-nails, friendlyName=Amber Nebula &amp; Electric Blue Fluid Art Nails｜ Handmade Smudge Series(moq=30)</x:v>
      </x:c>
      <x:c r="D7790" s="18" t="str">
        <x:v>Size: XS / S / M / L</x:v>
      </x:c>
      <x:c r="E7790" s="25" t="str">
        <x:v>$2.99</x:v>
      </x:c>
      <x:c r="F7790" s="19" t="str">
        <x:v>30</x:v>
      </x:c>
    </x:row>
    <x:row r="7791" ht="93" customHeight="1">
      <x:c r="A7791" s="19" t="n">
        <x:v>7788</x:v>
      </x:c>
      <x:c r="B7791" s="22" t="e">
        <x:f>HYPERLINK("https://cdn.shopify.com/s/files/1/0918/6066/4603/files/d43ee41dc6ddeb73241753d8120ccbbc.jpg?v=1776413809","Open")</x:f>
        <x:v>HYPERLINK is not implemented. linkLocation=https://cdn.shopify.com/s/files/1/0918/6066/4603/files/d43ee41dc6ddeb73241753d8120ccbbc.jpg?v=1776413809, friendlyName=Open</x:v>
      </x:c>
      <x:c r="C7791" s="24" t="e">
        <x:f>HYPERLINK("https://365nails.com/products/365nails-demon-slayer-nezuko-handmade-medium-trapezoid-press-on-nails","365nails: ""Demon Slayer Nezuko"" – Handmade Medium Trapezoid Press-On Nails")</x:f>
        <x:v>HYPERLINK is not implemented. linkLocation=https://365nails.com/products/365nails-demon-slayer-nezuko-handmade-medium-trapezoid-press-on-nails, friendlyName=365nails: "Demon Slayer Nezuko" – Handmade Medium Trapezoid Press-On Nails</x:v>
      </x:c>
      <x:c r="D7791" s="18" t="str">
        <x:v>Size: XS / S / M</x:v>
      </x:c>
      <x:c r="E7791" s="25" t="str">
        <x:v>$3.49</x:v>
      </x:c>
      <x:c r="F7791" s="19" t="str">
        <x:v>5</x:v>
      </x:c>
    </x:row>
    <x:row r="7792" ht="93" customHeight="1">
      <x:c r="A7792" s="19" t="n">
        <x:v>7789</x:v>
      </x:c>
      <x:c r="B7792" s="22" t="e">
        <x:f>HYPERLINK("https://cdn.shopify.com/s/files/1/0918/6066/4603/files/O1CN0120gbuH1HlX9YmdwOk__2545140798-0-cib.jpg?v=1776583265","Open")</x:f>
        <x:v>HYPERLINK is not implemented. linkLocation=https://cdn.shopify.com/s/files/1/0918/6066/4603/files/O1CN0120gbuH1HlX9YmdwOk__2545140798-0-cib.jpg?v=1776583265, friendlyName=Open</x:v>
      </x:c>
      <x:c r="C7792" s="24" t="e">
        <x:f>HYPERLINK("https://365nails.com/products/365nails-soft-purple-butterfly-greenery-nail-art-stickers","365nails: ""Soft Purple Butterfly &amp; Greenery"" – nail art stickers")</x:f>
        <x:v>HYPERLINK is not implemented. linkLocation=https://365nails.com/products/365nails-soft-purple-butterfly-greenery-nail-art-stickers, friendlyName=365nails: "Soft Purple Butterfly &amp; Greenery" – nail art stickers</x:v>
      </x:c>
      <x:c r="D7792" s="18" t="str">
        <x:v>Specification type: To5127 / To5366</x:v>
      </x:c>
      <x:c r="E7792" s="25" t="str">
        <x:v>$1.00</x:v>
      </x:c>
      <x:c r="F7792" s="19" t="str">
        <x:v>5</x:v>
      </x:c>
    </x:row>
    <x:row r="7793" ht="93" customHeight="1">
      <x:c r="A7793" s="19" t="n">
        <x:v>7790</x:v>
      </x:c>
      <x:c r="B7793" s="22" t="e">
        <x:f>HYPERLINK("https://cdn.shopify.com/s/files/1/0918/6066/4603/files/O1CN01mvDHFT1HlX6aQqCNa__2545140798-0-cib.jpg?v=1776582196","Open")</x:f>
        <x:v>HYPERLINK is not implemented. linkLocation=https://cdn.shopify.com/s/files/1/0918/6066/4603/files/O1CN01mvDHFT1HlX6aQqCNa__2545140798-0-cib.jpg?v=1776582196, friendlyName=Open</x:v>
      </x:c>
      <x:c r="C7793" s="24" t="e">
        <x:f>HYPERLINK("https://365nails.com/products/365nails-white-lace-floral-nail-art-stickers","365nails: ""White Lace Floral"" – nail art stickers")</x:f>
        <x:v>HYPERLINK is not implemented. linkLocation=https://365nails.com/products/365nails-white-lace-floral-nail-art-stickers, friendlyName=365nails: "White Lace Floral" – nail art stickers</x:v>
      </x:c>
      <x:c r="D7793" s="18" t="str">
        <x:v>Specification type: Pro046 / Pro070 / Pro071 / Pro075 / Pro083 / Pro091 / Pro099 / Pro 109 / Pro 125 / Pro 128 / Pro 140 / Pro 142 / Pro 145 / Pro177 / To170 / To216 / To176 / To215 / To306 / To514 / To515 / To516 / To528 / To610 / To611 / To612 / To992</x:v>
      </x:c>
      <x:c r="E7793" s="25" t="str">
        <x:v>$1.01</x:v>
      </x:c>
      <x:c r="F7793" s="19" t="str">
        <x:v>5</x:v>
      </x:c>
    </x:row>
    <x:row r="7794" ht="93" customHeight="1">
      <x:c r="A7794" s="19" t="n">
        <x:v>7791</x:v>
      </x:c>
      <x:c r="B7794" s="22" t="e">
        <x:f>HYPERLINK("https://cdn.shopify.com/s/files/1/0918/6066/4603/files/O1CN01fjLBDB1HlX1UXVBEP__2545140798-0-cib.jpg?v=1776581480","Open")</x:f>
        <x:v>HYPERLINK is not implemented. linkLocation=https://cdn.shopify.com/s/files/1/0918/6066/4603/files/O1CN01fjLBDB1HlX1UXVBEP__2545140798-0-cib.jpg?v=1776581480, friendlyName=Open</x:v>
      </x:c>
      <x:c r="C7794" s="24" t="e">
        <x:f>HYPERLINK("https://365nails.com/products/365nails-good-night-bunny-nail-art-stickers","365nails: ""Good Night Bunny"" – nail art stickers")</x:f>
        <x:v>HYPERLINK is not implemented. linkLocation=https://365nails.com/products/365nails-good-night-bunny-nail-art-stickers, friendlyName=365nails: "Good Night Bunny" – nail art stickers</x:v>
      </x:c>
      <x:c r="D7794" s="18" t="str">
        <x:v>Specification type: To4095 / To4128</x:v>
      </x:c>
      <x:c r="E7794" s="25" t="str">
        <x:v>$1.23</x:v>
      </x:c>
      <x:c r="F7794" s="19" t="str">
        <x:v>5</x:v>
      </x:c>
    </x:row>
    <x:row r="7795" ht="93" customHeight="1">
      <x:c r="A7795" s="19" t="n">
        <x:v>7792</x:v>
      </x:c>
      <x:c r="B7795" s="22" t="e">
        <x:f>HYPERLINK("https://cdn.shopify.com/s/files/1/0918/6066/4603/files/O1CN01aLDecZ1HlWyE42FXq__2545140798-0-cib.jpg?v=1776580571","Open")</x:f>
        <x:v>HYPERLINK is not implemented. linkLocation=https://cdn.shopify.com/s/files/1/0918/6066/4603/files/O1CN01aLDecZ1HlWyE42FXq__2545140798-0-cib.jpg?v=1776580571, friendlyName=Open</x:v>
      </x:c>
      <x:c r="C7795" s="24" t="e">
        <x:f>HYPERLINK("https://365nails.com/products/365nails-iridescent-pink-dragon-nail-art-stickers","365nails: ""Iridescent Pink Dragon"" – nail art stickers")</x:f>
        <x:v>HYPERLINK is not implemented. linkLocation=https://365nails.com/products/365nails-iridescent-pink-dragon-nail-art-stickers, friendlyName=365nails: "Iridescent Pink Dragon" – nail art stickers</x:v>
      </x:c>
      <x:c r="D7795" s="18" t="str">
        <x:v>Specification type: To3639 / To3640</x:v>
      </x:c>
      <x:c r="E7795" s="25" t="str">
        <x:v>$1.23</x:v>
      </x:c>
      <x:c r="F7795" s="19" t="str">
        <x:v>5</x:v>
      </x:c>
    </x:row>
    <x:row r="7796" ht="93" customHeight="1">
      <x:c r="A7796" s="19" t="n">
        <x:v>7793</x:v>
      </x:c>
      <x:c r="B7796" s="22" t="e">
        <x:f>HYPERLINK("https://cdn.shopify.com/s/files/1/0918/6066/4603/files/O1CN01NBNurQ1HlX7tJdsgS__2545140798-0-cib.jpg?v=1776580313","Open")</x:f>
        <x:v>HYPERLINK is not implemented. linkLocation=https://cdn.shopify.com/s/files/1/0918/6066/4603/files/O1CN01NBNurQ1HlX7tJdsgS__2545140798-0-cib.jpg?v=1776580313, friendlyName=Open</x:v>
      </x:c>
      <x:c r="C7796" s="24" t="e">
        <x:f>HYPERLINK("https://365nails.com/products/365nails-pearl-pink-crystal-butterfly-nail-art-stickers","365nails: ""Pearl Pink Crystal Butterfly"" – nail art stickers")</x:f>
        <x:v>HYPERLINK is not implemented. linkLocation=https://365nails.com/products/365nails-pearl-pink-crystal-butterfly-nail-art-stickers, friendlyName=365nails: "Pearl Pink Crystal Butterfly" – nail art stickers</x:v>
      </x:c>
      <x:c r="D7796" s="18" t="str">
        <x:v>Specification type: To5002-crystal diamond</x:v>
      </x:c>
      <x:c r="E7796" s="25" t="str">
        <x:v>$1.30</x:v>
      </x:c>
      <x:c r="F7796" s="19" t="str">
        <x:v>5</x:v>
      </x:c>
    </x:row>
    <x:row r="7797" ht="93" customHeight="1">
      <x:c r="A7797" s="19" t="n">
        <x:v>7794</x:v>
      </x:c>
      <x:c r="B7797" s="22" t="e">
        <x:f>HYPERLINK("https://cdn.shopify.com/s/files/1/0918/6066/4603/files/O1CN010t2soB1HlX0BR0XqA__2545140798-0-cib.jpg?v=1773758629","Open")</x:f>
        <x:v>HYPERLINK is not implemented. linkLocation=https://cdn.shopify.com/s/files/1/0918/6066/4603/files/O1CN010t2soB1HlX0BR0XqA__2545140798-0-cib.jpg?v=1773758629, friendlyName=Open</x:v>
      </x:c>
      <x:c r="C7797" s="24" t="e">
        <x:f>HYPERLINK("https://365nails.com/products/pastel-tulip-cherry-blossom-spring-is-coming-5d-embossed-nail-sticker","Pastel Tulip &amp; Cherry Blossom: ""Spring is Coming"" – 5D Embossed Nail Sticker")</x:f>
        <x:v>HYPERLINK is not implemented. linkLocation=https://365nails.com/products/pastel-tulip-cherry-blossom-spring-is-coming-5d-embossed-nail-sticker, friendlyName=Pastel Tulip &amp; Cherry Blossom: "Spring is Coming" – 5D Embossed Nail Sticker</x:v>
      </x:c>
      <x:c r="D7797" s="18" t="str">
        <x:v>Specification type: To3840-jelly / To3841-relief</x:v>
      </x:c>
      <x:c r="E7797" s="25" t="str">
        <x:v>$1.23</x:v>
      </x:c>
      <x:c r="F7797" s="19" t="str">
        <x:v>5</x:v>
      </x:c>
    </x:row>
    <x:row r="7798" ht="93" customHeight="1">
      <x:c r="A7798" s="19" t="n">
        <x:v>7795</x:v>
      </x:c>
      <x:c r="B7798" s="22" t="e">
        <x:f>HYPERLINK("https://cdn.shopify.com/s/files/1/0918/6066/4603/files/O1CN01Fur3Kq1HlX270kMpW__2545140798-0-cib.jpg?v=1776580232","Open")</x:f>
        <x:v>HYPERLINK is not implemented. linkLocation=https://cdn.shopify.com/s/files/1/0918/6066/4603/files/O1CN01Fur3Kq1HlX270kMpW__2545140798-0-cib.jpg?v=1776580232, friendlyName=Open</x:v>
      </x:c>
      <x:c r="C7798" s="24" t="e">
        <x:f>HYPERLINK("https://365nails.com/products/365nails-hello-kitty-metallic-outline-nail-art-stickers","365nails: ""Hello Kitty Metallic Outline"" – nail art stickers")</x:f>
        <x:v>HYPERLINK is not implemented. linkLocation=https://365nails.com/products/365nails-hello-kitty-metallic-outline-nail-art-stickers, friendlyName=365nails: "Hello Kitty Metallic Outline" – nail art stickers</x:v>
      </x:c>
      <x:c r="D7798" s="18" t="str">
        <x:v>Specification type: San071-laser powder / San071-mingjin / San071-pink gold / San071-purple gold</x:v>
      </x:c>
      <x:c r="E7798" s="25" t="str">
        <x:v>$1.30</x:v>
      </x:c>
      <x:c r="F7798" s="19" t="str">
        <x:v>5</x:v>
      </x:c>
    </x:row>
    <x:row r="7799" ht="93" customHeight="1">
      <x:c r="A7799" s="19" t="n">
        <x:v>7796</x:v>
      </x:c>
      <x:c r="B7799" s="22" t="e">
        <x:f>HYPERLINK("https://cdn.shopify.com/s/files/1/0918/6066/4603/files/O1CN01ogITNM1HlWqAkwizF__2545140798-0-cib.jpg?v=1776579346","Open")</x:f>
        <x:v>HYPERLINK is not implemented. linkLocation=https://cdn.shopify.com/s/files/1/0918/6066/4603/files/O1CN01ogITNM1HlWqAkwizF__2545140798-0-cib.jpg?v=1776579346, friendlyName=Open</x:v>
      </x:c>
      <x:c r="C7799" s="24" t="e">
        <x:f>HYPERLINK("https://365nails.com/products/365nails-purple-sweet-love-nail-art-stickers","365nails: ""Purple Sweet Love"" – nail art stickers")</x:f>
        <x:v>HYPERLINK is not implemented. linkLocation=https://365nails.com/products/365nails-purple-sweet-love-nail-art-stickers, friendlyName=365nails: "Purple Sweet Love" – nail art stickers</x:v>
      </x:c>
      <x:c r="D7799" s="18" t="str">
        <x:v>Specification type: To2206</x:v>
      </x:c>
      <x:c r="E7799" s="25" t="str">
        <x:v>$1.23</x:v>
      </x:c>
      <x:c r="F7799" s="19" t="str">
        <x:v>5</x:v>
      </x:c>
    </x:row>
    <x:row r="7800" ht="93" customHeight="1">
      <x:c r="A7800" s="19" t="n">
        <x:v>7797</x:v>
      </x:c>
      <x:c r="B7800" s="22" t="e">
        <x:f>HYPERLINK("https://cdn.shopify.com/s/files/1/0918/6066/4603/files/O1CN01ZxhoK81HlWqOEak0d__2545140798-0-cib.jpg?v=1776583697","Open")</x:f>
        <x:v>HYPERLINK is not implemented. linkLocation=https://cdn.shopify.com/s/files/1/0918/6066/4603/files/O1CN01ZxhoK81HlWqOEak0d__2545140798-0-cib.jpg?v=1776583697, friendlyName=Open</x:v>
      </x:c>
      <x:c r="C7800" s="24" t="e">
        <x:f>HYPERLINK("https://365nails.com/products/365nails-black-white-anime-girl-nail-art-stickers","365nails: ""Black &amp; White Anime Girl"" – nail art stickers")</x:f>
        <x:v>HYPERLINK is not implemented. linkLocation=https://365nails.com/products/365nails-black-white-anime-girl-nail-art-stickers, friendlyName=365nails: "Black &amp; White Anime Girl" – nail art stickers</x:v>
      </x:c>
      <x:c r="D7800" s="18" t="str">
        <x:v>Specification type: To2284</x:v>
      </x:c>
      <x:c r="E7800" s="25" t="str">
        <x:v>$1.23</x:v>
      </x:c>
      <x:c r="F7800" s="19" t="str">
        <x:v>5</x:v>
      </x:c>
    </x:row>
    <x:row r="7801" ht="93" customHeight="1">
      <x:c r="A7801" s="19" t="n">
        <x:v>7798</x:v>
      </x:c>
      <x:c r="B7801" s="22" t="e">
        <x:f>HYPERLINK("https://cdn.shopify.com/s/files/1/0918/6066/4603/files/O1CN018pQY4m1HlX19w4SFA__2545140798-0-cib.jpg?v=1776585600","Open")</x:f>
        <x:v>HYPERLINK is not implemented. linkLocation=https://cdn.shopify.com/s/files/1/0918/6066/4603/files/O1CN018pQY4m1HlX19w4SFA__2545140798-0-cib.jpg?v=1776585600, friendlyName=Open</x:v>
      </x:c>
      <x:c r="C7801" s="24" t="e">
        <x:f>HYPERLINK("https://365nails.com/products/365nails-chinese-calligraphy-seal-nail-art-stickers","365nails: ""Chinese Calligraphy &amp; Seal"" – nail art stickers")</x:f>
        <x:v>HYPERLINK is not implemented. linkLocation=https://365nails.com/products/365nails-chinese-calligraphy-seal-nail-art-stickers, friendlyName=365nails: "Chinese Calligraphy &amp; Seal" – nail art stickers</x:v>
      </x:c>
      <x:c r="D7801" s="18" t="str">
        <x:v>Specification type: Ms 620</x:v>
      </x:c>
      <x:c r="E7801" s="25" t="str">
        <x:v>$1.09</x:v>
      </x:c>
      <x:c r="F7801" s="19" t="str">
        <x:v>5</x:v>
      </x:c>
    </x:row>
    <x:row r="7802" ht="93" customHeight="1">
      <x:c r="A7802" s="19" t="n">
        <x:v>7799</x:v>
      </x:c>
      <x:c r="B7802" s="22" t="e">
        <x:f>HYPERLINK("https://cdn.shopify.com/s/files/1/0918/6066/4603/files/O1CN01xD0pef1HlX34k7x4E__2545140798-0-cib.jpg?v=1776581597","Open")</x:f>
        <x:v>HYPERLINK is not implemented. linkLocation=https://cdn.shopify.com/s/files/1/0918/6066/4603/files/O1CN01xD0pef1HlX34k7x4E__2545140798-0-cib.jpg?v=1776581597, friendlyName=Open</x:v>
      </x:c>
      <x:c r="C7802" s="24" t="e">
        <x:f>HYPERLINK("https://365nails.com/products/365nails-autumn-orange-bow-nail-art-stickers","365nails: ""Autumn Orange Bow"" – nail art stickers")</x:f>
        <x:v>HYPERLINK is not implemented. linkLocation=https://365nails.com/products/365nails-autumn-orange-bow-nail-art-stickers, friendlyName=365nails: "Autumn Orange Bow" – nail art stickers</x:v>
      </x:c>
      <x:c r="D7802" s="18" t="str">
        <x:v>Specification type: To4447-jelly</x:v>
      </x:c>
      <x:c r="E7802" s="25" t="str">
        <x:v>$1.23</x:v>
      </x:c>
      <x:c r="F7802" s="19" t="str">
        <x:v>5</x:v>
      </x:c>
    </x:row>
    <x:row r="7803" ht="93" customHeight="1">
      <x:c r="A7803" s="19" t="n">
        <x:v>7800</x:v>
      </x:c>
      <x:c r="B7803" s="22" t="e">
        <x:f>HYPERLINK("https://cdn.shopify.com/s/files/1/0918/6066/4603/files/O1CN01nzTImD1HlWw2vFu0t__2545140798-0-cib.jpg?v=1776580138","Open")</x:f>
        <x:v>HYPERLINK is not implemented. linkLocation=https://cdn.shopify.com/s/files/1/0918/6066/4603/files/O1CN01nzTImD1HlWw2vFu0t__2545140798-0-cib.jpg?v=1776580138, friendlyName=Open</x:v>
      </x:c>
      <x:c r="C7803" s="24" t="e">
        <x:f>HYPERLINK("https://365nails.com/products/365nails-cute-playful-penguin-nail-art-stickers","365nails: ""Cute Playful Penguin"" – nail art stickers")</x:f>
        <x:v>HYPERLINK is not implemented. linkLocation=https://365nails.com/products/365nails-cute-playful-penguin-nail-art-stickers, friendlyName=365nails: "Cute Playful Penguin" – nail art stickers</x:v>
      </x:c>
      <x:c r="D7803" s="18" t="str">
        <x:v>Specification type: To3284</x:v>
      </x:c>
      <x:c r="E7803" s="25" t="str">
        <x:v>$1.23</x:v>
      </x:c>
      <x:c r="F7803" s="19" t="str">
        <x:v>5</x:v>
      </x:c>
    </x:row>
    <x:row r="7804" ht="93" customHeight="1">
      <x:c r="A7804" s="19" t="n">
        <x:v>7801</x:v>
      </x:c>
      <x:c r="B7804" s="22" t="e">
        <x:f>HYPERLINK("https://cdn.shopify.com/s/files/1/0918/6066/4603/files/O1CN01EzXBWs1HlWowVNQQX__2545140798-0-cib.jpg?v=1776579760","Open")</x:f>
        <x:v>HYPERLINK is not implemented. linkLocation=https://cdn.shopify.com/s/files/1/0918/6066/4603/files/O1CN01EzXBWs1HlWowVNQQX__2545140798-0-cib.jpg?v=1776579760, friendlyName=Open</x:v>
      </x:c>
      <x:c r="C7804" s="24" t="e">
        <x:f>HYPERLINK("https://365nails.com/products/365nails-vintage-dried-rose-nail-art-stickers","365nails: ""Vintage Dried Rose"" – nail art stickers")</x:f>
        <x:v>HYPERLINK is not implemented. linkLocation=https://365nails.com/products/365nails-vintage-dried-rose-nail-art-stickers, friendlyName=365nails: "Vintage Dried Rose" – nail art stickers</x:v>
      </x:c>
      <x:c r="D7804" s="18" t="str">
        <x:v>Specification type: To1773</x:v>
      </x:c>
      <x:c r="E7804" s="25" t="str">
        <x:v>$1.09</x:v>
      </x:c>
      <x:c r="F7804" s="19" t="str">
        <x:v>5</x:v>
      </x:c>
    </x:row>
    <x:row r="7805" ht="93" customHeight="1">
      <x:c r="A7805" s="19" t="n">
        <x:v>7802</x:v>
      </x:c>
      <x:c r="B7805" s="22" t="e">
        <x:f>HYPERLINK("https://cdn.shopify.com/s/files/1/0918/6066/4603/files/O1CN01PaQybl1HlX6pfUxPh__2545140798-0-cib.jpg?v=1776583523","Open")</x:f>
        <x:v>HYPERLINK is not implemented. linkLocation=https://cdn.shopify.com/s/files/1/0918/6066/4603/files/O1CN01PaQybl1HlX6pfUxPh__2545140798-0-cib.jpg?v=1776583523, friendlyName=Open</x:v>
      </x:c>
      <x:c r="C7805" s="24" t="e">
        <x:f>HYPERLINK("https://365nails.com/products/365nails-disney-villain-evil-queen-nail-art-stickers","365nails: ""Disney Villain Evil Queen"" – nail art stickers")</x:f>
        <x:v>HYPERLINK is not implemented. linkLocation=https://365nails.com/products/365nails-disney-villain-evil-queen-nail-art-stickers, friendlyName=365nails: "Disney Villain Evil Queen" – nail art stickers</x:v>
      </x:c>
      <x:c r="D7805" s="18" t="str">
        <x:v>Specification type: Td010w-shell light</x:v>
      </x:c>
      <x:c r="E7805" s="25" t="str">
        <x:v>$1.23</x:v>
      </x:c>
      <x:c r="F7805" s="19" t="str">
        <x:v>5</x:v>
      </x:c>
    </x:row>
    <x:row r="7806" ht="93" customHeight="1">
      <x:c r="A7806" s="19" t="n">
        <x:v>7803</x:v>
      </x:c>
      <x:c r="B7806" s="22" t="e">
        <x:f>HYPERLINK("https://cdn.shopify.com/s/files/1/0918/6066/4603/files/O1CN01ilsMHk1HlWwO5TB5m__2545140798-0-cib.jpg?v=1776585786","Open")</x:f>
        <x:v>HYPERLINK is not implemented. linkLocation=https://cdn.shopify.com/s/files/1/0918/6066/4603/files/O1CN01ilsMHk1HlWwO5TB5m__2545140798-0-cib.jpg?v=1776585786, friendlyName=Open</x:v>
      </x:c>
      <x:c r="C7806" s="24" t="e">
        <x:f>HYPERLINK("https://365nails.com/products/365nails-gold-leopard-print-nail-art-stickers","365nails: ""Gold Leopard Print"" – nail art stickers")</x:f>
        <x:v>HYPERLINK is not implemented. linkLocation=https://365nails.com/products/365nails-gold-leopard-print-nail-art-stickers, friendlyName=365nails: "Gold Leopard Print" – nail art stickers</x:v>
      </x:c>
      <x:c r="D7806" s="18" t="str">
        <x:v>Specification type: Ms457-embossed gold / Ms457-embossed silver / Ms458-tin foil gold / Ms458-tin foil silver</x:v>
      </x:c>
      <x:c r="E7806" s="25" t="str">
        <x:v>$1.23</x:v>
      </x:c>
      <x:c r="F7806" s="19" t="str">
        <x:v>5</x:v>
      </x:c>
    </x:row>
    <x:row r="7807" ht="93" customHeight="1">
      <x:c r="A7807" s="19" t="n">
        <x:v>7804</x:v>
      </x:c>
      <x:c r="B7807" s="22" t="e">
        <x:f>HYPERLINK("https://cdn.shopify.com/s/files/1/0918/6066/4603/files/O1CN01O272lW1HlX3Lr1rFi__2545140798-0-cib.jpg?v=1776581674","Open")</x:f>
        <x:v>HYPERLINK is not implemented. linkLocation=https://cdn.shopify.com/s/files/1/0918/6066/4603/files/O1CN01O272lW1HlX3Lr1rFi__2545140798-0-cib.jpg?v=1776581674, friendlyName=Open</x:v>
      </x:c>
      <x:c r="C7807" s="24" t="e">
        <x:f>HYPERLINK("https://365nails.com/products/365nails-iridescent-blue-snowflake-butterfly-nail-art-stickers","365nails: ""Iridescent Blue Snowflake &amp; Butterfly"" – nail art stickers")</x:f>
        <x:v>HYPERLINK is not implemented. linkLocation=https://365nails.com/products/365nails-iridescent-blue-snowflake-butterfly-nail-art-stickers, friendlyName=365nails: "Iridescent Blue Snowflake &amp; Butterfly" – nail art stickers</x:v>
      </x:c>
      <x:c r="D7807" s="18" t="str">
        <x:v>Specification type: To4472-crystal diamond / To4473-crystal diamond / To4474-crystal diamond</x:v>
      </x:c>
      <x:c r="E7807" s="25" t="str">
        <x:v>$1.30</x:v>
      </x:c>
      <x:c r="F7807" s="19" t="str">
        <x:v>5</x:v>
      </x:c>
    </x:row>
    <x:row r="7808" ht="93" customHeight="1">
      <x:c r="A7808" s="19" t="n">
        <x:v>7805</x:v>
      </x:c>
      <x:c r="B7808" s="22" t="e">
        <x:f>HYPERLINK("https://cdn.shopify.com/s/files/1/0918/6066/4603/files/O1CN01Y2vuGd1HlXB69hRgR__2545140798-0-cib.jpg?v=1773668039","Open")</x:f>
        <x:v>HYPERLINK is not implemented. linkLocation=https://cdn.shopify.com/s/files/1/0918/6066/4603/files/O1CN01Y2vuGd1HlXB69hRgR__2545140798-0-cib.jpg?v=1773668039, friendlyName=Open</x:v>
      </x:c>
      <x:c r="C7808" s="24" t="e">
        <x:f>HYPERLINK("https://365nails.com/products/red-white-festive-doodle-sweet-holiday-doodle-5d-embossed-nail-sticker","Red &amp; White Festive Doodle: ""Sweet Holiday Doodle"" – 5D Embossed Nail Sticker")</x:f>
        <x:v>HYPERLINK is not implemented. linkLocation=https://365nails.com/products/red-white-festive-doodle-sweet-holiday-doodle-5d-embossed-nail-sticker, friendlyName=Red &amp; White Festive Doodle: "Sweet Holiday Doodle" – 5D Embossed Nail Sticker</x:v>
      </x:c>
      <x:c r="D7808" s="18" t="str">
        <x:v>Specification type: To5603-1 / To5604-1</x:v>
      </x:c>
      <x:c r="E7808" s="25" t="str">
        <x:v>$1.00</x:v>
      </x:c>
      <x:c r="F7808" s="19" t="str">
        <x:v>5</x:v>
      </x:c>
    </x:row>
    <x:row r="7809" ht="93" customHeight="1">
      <x:c r="A7809" s="19" t="n">
        <x:v>7806</x:v>
      </x:c>
      <x:c r="B7809" s="22" t="e">
        <x:f>HYPERLINK("https://cdn.shopify.com/s/files/1/0918/6066/4603/files/O1CN01vI6eTZ1HlXBMZUFK8__2545140798-0-cib.jpg?v=1776586051","Open")</x:f>
        <x:v>HYPERLINK is not implemented. linkLocation=https://cdn.shopify.com/s/files/1/0918/6066/4603/files/O1CN01vI6eTZ1HlXBMZUFK8__2545140798-0-cib.jpg?v=1776586051, friendlyName=Open</x:v>
      </x:c>
      <x:c r="C7809" s="24" t="e">
        <x:f>HYPERLINK("https://365nails.com/products/365nails-cherry-bunny-sweet-shop-nail-art-stickers","365nails: ""Cherry Bunny Sweet Shop"" – nail art stickers")</x:f>
        <x:v>HYPERLINK is not implemented. linkLocation=https://365nails.com/products/365nails-cherry-bunny-sweet-shop-nail-art-stickers, friendlyName=365nails: "Cherry Bunny Sweet Shop" – nail art stickers</x:v>
      </x:c>
      <x:c r="D7809" s="18" t="str">
        <x:v>Specification type: To5631-shell light / To5648-shell light</x:v>
      </x:c>
      <x:c r="E7809" s="25" t="str">
        <x:v>$1.23</x:v>
      </x:c>
      <x:c r="F7809" s="19" t="str">
        <x:v>5</x:v>
      </x:c>
    </x:row>
    <x:row r="7810" ht="93" customHeight="1">
      <x:c r="A7810" s="19" t="n">
        <x:v>7807</x:v>
      </x:c>
      <x:c r="B7810" s="22" t="e">
        <x:f>HYPERLINK("https://cdn.shopify.com/s/files/1/0918/6066/4603/files/O1CN01QVSb1A1HlX4Ea2lui__2545140798-0-cib.jpg?v=1776582027","Open")</x:f>
        <x:v>HYPERLINK is not implemented. linkLocation=https://cdn.shopify.com/s/files/1/0918/6066/4603/files/O1CN01QVSb1A1HlX4Ea2lui__2545140798-0-cib.jpg?v=1776582027, friendlyName=Open</x:v>
      </x:c>
      <x:c r="C7810" s="24" t="e">
        <x:f>HYPERLINK("https://365nails.com/products/365nails-denim-varsity-patch-nail-art-stickers","365nails: ""Denim &amp; Varsity Patch"" – nail art stickers")</x:f>
        <x:v>HYPERLINK is not implemented. linkLocation=https://365nails.com/products/365nails-denim-varsity-patch-nail-art-stickers, friendlyName=365nails: "Denim &amp; Varsity Patch" – nail art stickers</x:v>
      </x:c>
      <x:c r="D7810" s="18" t="str">
        <x:v>Specification type: To4676-new hot stamping</x:v>
      </x:c>
      <x:c r="E7810" s="25" t="str">
        <x:v>$1.23</x:v>
      </x:c>
      <x:c r="F7810" s="19" t="str">
        <x:v>5</x:v>
      </x:c>
    </x:row>
    <x:row r="7811" ht="93" customHeight="1">
      <x:c r="A7811" s="19" t="n">
        <x:v>7808</x:v>
      </x:c>
      <x:c r="B7811" s="22" t="e">
        <x:f>HYPERLINK("https://cdn.shopify.com/s/files/1/0918/6066/4603/files/O1CN019Jtb4O1HlWsZhNlHH__2545140798-0-cib.jpg?v=1776579847","Open")</x:f>
        <x:v>HYPERLINK is not implemented. linkLocation=https://cdn.shopify.com/s/files/1/0918/6066/4603/files/O1CN019Jtb4O1HlWsZhNlHH__2545140798-0-cib.jpg?v=1776579847, friendlyName=Open</x:v>
      </x:c>
      <x:c r="C7811" s="24" t="e">
        <x:f>HYPERLINK("https://365nails.com/products/365nails-sweet-red-bow-bunny-nail-art-stickers","365nails: ""Sweet Red Bow Bunny"" – nail art stickers")</x:f>
        <x:v>HYPERLINK is not implemented. linkLocation=https://365nails.com/products/365nails-sweet-red-bow-bunny-nail-art-stickers, friendlyName=365nails: "Sweet Red Bow Bunny" – nail art stickers</x:v>
      </x:c>
      <x:c r="D7811" s="18" t="str">
        <x:v>Specification type: To2821</x:v>
      </x:c>
      <x:c r="E7811" s="25" t="str">
        <x:v>$1.23</x:v>
      </x:c>
      <x:c r="F7811" s="19" t="str">
        <x:v>5</x:v>
      </x:c>
    </x:row>
    <x:row r="7812" ht="93" customHeight="1">
      <x:c r="A7812" s="19" t="n">
        <x:v>7809</x:v>
      </x:c>
      <x:c r="B7812" s="22" t="e">
        <x:f>HYPERLINK("https://cdn.shopify.com/s/files/1/0918/6066/4603/files/O1CN01NAH6Ej1HlX1v48SY0__2545140798-0-cib.jpg?v=1776579263","Open")</x:f>
        <x:v>HYPERLINK is not implemented. linkLocation=https://cdn.shopify.com/s/files/1/0918/6066/4603/files/O1CN01NAH6Ej1HlX1v48SY0__2545140798-0-cib.jpg?v=1776579263, friendlyName=Open</x:v>
      </x:c>
      <x:c r="C7812" s="24" t="e">
        <x:f>HYPERLINK("https://365nails.com/products/365nails-cute-sea-otter-face-nail-art-stickers","365nails: ""Cute Sea Otter Face"" – nail art stickers")</x:f>
        <x:v>HYPERLINK is not implemented. linkLocation=https://365nails.com/products/365nails-cute-sea-otter-face-nail-art-stickers, friendlyName=365nails: "Cute Sea Otter Face" – nail art stickers</x:v>
      </x:c>
      <x:c r="D7812" s="18" t="str">
        <x:v>Specification type: To4203 / To4211</x:v>
      </x:c>
      <x:c r="E7812" s="25" t="str">
        <x:v>$1.09</x:v>
      </x:c>
      <x:c r="F7812" s="19" t="str">
        <x:v>5</x:v>
      </x:c>
    </x:row>
    <x:row r="7813" ht="93" customHeight="1">
      <x:c r="A7813" s="19" t="n">
        <x:v>7810</x:v>
      </x:c>
      <x:c r="B7813" s="22" t="e">
        <x:f>HYPERLINK("https://cdn.shopify.com/s/files/1/0918/6066/4603/files/O1CN01a1URTV1HlWtjVeb54__2545140798-0-cib.jpg?v=1776579609","Open")</x:f>
        <x:v>HYPERLINK is not implemented. linkLocation=https://cdn.shopify.com/s/files/1/0918/6066/4603/files/O1CN01a1URTV1HlWtjVeb54__2545140798-0-cib.jpg?v=1776579609, friendlyName=Open</x:v>
      </x:c>
      <x:c r="C7813" s="24" t="e">
        <x:f>HYPERLINK("https://365nails.com/products/365nails-watercolor-lotus-pond-nail-art-stickers","365nails: ""Watercolor Lotus Pond"" – nail art stickers")</x:f>
        <x:v>HYPERLINK is not implemented. linkLocation=https://365nails.com/products/365nails-watercolor-lotus-pond-nail-art-stickers, friendlyName=365nails: "Watercolor Lotus Pond" – nail art stickers</x:v>
      </x:c>
      <x:c r="D7813" s="18" t="str">
        <x:v>Specification type: To2881 / To2915 / To2922</x:v>
      </x:c>
      <x:c r="E7813" s="25" t="str">
        <x:v>$1.09</x:v>
      </x:c>
      <x:c r="F7813" s="19" t="str">
        <x:v>5</x:v>
      </x:c>
    </x:row>
    <x:row r="7814" ht="93" customHeight="1">
      <x:c r="A7814" s="19" t="n">
        <x:v>7811</x:v>
      </x:c>
      <x:c r="B7814" s="22" t="e">
        <x:f>HYPERLINK("https://cdn.shopify.com/s/files/1/0918/6066/4603/files/O1CN01sprAxW1HlX0MO0iIV__2545140798-0-cib.jpg?v=1776581848","Open")</x:f>
        <x:v>HYPERLINK is not implemented. linkLocation=https://cdn.shopify.com/s/files/1/0918/6066/4603/files/O1CN01sprAxW1HlX0MO0iIV__2545140798-0-cib.jpg?v=1776581848, friendlyName=Open</x:v>
      </x:c>
      <x:c r="C7814" s="24" t="e">
        <x:f>HYPERLINK("https://365nails.com/products/365nails-pink-magnolia-flower-nail-art-stickers","365nails: ""Pink Magnolia Flower"" – nail art stickers")</x:f>
        <x:v>HYPERLINK is not implemented. linkLocation=https://365nails.com/products/365nails-pink-magnolia-flower-nail-art-stickers, friendlyName=365nails: "Pink Magnolia Flower" – nail art stickers</x:v>
      </x:c>
      <x:c r="D7814" s="18" t="str">
        <x:v>Specification type: To3878-relief / To3879-relief</x:v>
      </x:c>
      <x:c r="E7814" s="25" t="str">
        <x:v>$1.23</x:v>
      </x:c>
      <x:c r="F7814" s="19" t="str">
        <x:v>5</x:v>
      </x:c>
    </x:row>
    <x:row r="7815" ht="93" customHeight="1">
      <x:c r="A7815" s="19" t="n">
        <x:v>7812</x:v>
      </x:c>
      <x:c r="B7815" s="22" t="e">
        <x:f>HYPERLINK("https://cdn.shopify.com/s/files/1/0918/6066/4603/files/O1CN019jGeJN1HlWqiVX9NC__2545140798-0-cib.jpg?v=1776579686","Open")</x:f>
        <x:v>HYPERLINK is not implemented. linkLocation=https://cdn.shopify.com/s/files/1/0918/6066/4603/files/O1CN019jGeJN1HlWqiVX9NC__2545140798-0-cib.jpg?v=1776579686, friendlyName=Open</x:v>
      </x:c>
      <x:c r="C7815" s="24" t="e">
        <x:f>HYPERLINK("https://365nails.com/products/365nails-vintage-pink-rose-nail-art-stickers","365nails: ""Vintage Pink Rose"" – nail art stickers")</x:f>
        <x:v>HYPERLINK is not implemented. linkLocation=https://365nails.com/products/365nails-vintage-pink-rose-nail-art-stickers, friendlyName=365nails: "Vintage Pink Rose" – nail art stickers</x:v>
      </x:c>
      <x:c r="D7815" s="18" t="str">
        <x:v>Specification type: Ms 222 / Ms 223 / Ms 224 / Ms 289 / Ms 225</x:v>
      </x:c>
      <x:c r="E7815" s="25" t="str">
        <x:v>$1.09</x:v>
      </x:c>
      <x:c r="F7815" s="19" t="str">
        <x:v>5</x:v>
      </x:c>
    </x:row>
    <x:row r="7816" ht="93" customHeight="1">
      <x:c r="A7816" s="19" t="n">
        <x:v>7813</x:v>
      </x:c>
      <x:c r="B7816" s="22" t="e">
        <x:f>HYPERLINK("https://cdn.shopify.com/s/files/1/0918/6066/4603/files/O1CN01pQI3Cj1HlWqw4eOkb__2545140798-0-cib.jpg?v=1776579526","Open")</x:f>
        <x:v>HYPERLINK is not implemented. linkLocation=https://cdn.shopify.com/s/files/1/0918/6066/4603/files/O1CN01pQI3Cj1HlWqw4eOkb__2545140798-0-cib.jpg?v=1776579526, friendlyName=Open</x:v>
      </x:c>
      <x:c r="C7816" s="24" t="e">
        <x:f>HYPERLINK("https://365nails.com/products/365nails-pastel-iridescent-butterfly-nail-art-stickers","365nails: ""Pastel Iridescent Butterfly"" – nail art stickers")</x:f>
        <x:v>HYPERLINK is not implemented. linkLocation=https://365nails.com/products/365nails-pastel-iridescent-butterfly-nail-art-stickers, friendlyName=365nails: "Pastel Iridescent Butterfly" – nail art stickers</x:v>
      </x:c>
      <x:c r="D7816" s="18" t="str">
        <x:v>Specification type: To2523</x:v>
      </x:c>
      <x:c r="E7816" s="25" t="str">
        <x:v>$1.23</x:v>
      </x:c>
      <x:c r="F7816" s="19" t="str">
        <x:v>5</x:v>
      </x:c>
    </x:row>
    <x:row r="7817" ht="93" customHeight="1">
      <x:c r="A7817" s="19" t="n">
        <x:v>7814</x:v>
      </x:c>
      <x:c r="B7817" s="22" t="e">
        <x:f>HYPERLINK("https://cdn.shopify.com/s/files/1/0918/6066/4603/files/O1CN01dAbHPZ1HlX4itiYOC__2545140798-0-cib.jpg?v=1776581940","Open")</x:f>
        <x:v>HYPERLINK is not implemented. linkLocation=https://cdn.shopify.com/s/files/1/0918/6066/4603/files/O1CN01dAbHPZ1HlX4itiYOC__2545140798-0-cib.jpg?v=1776581940, friendlyName=Open</x:v>
      </x:c>
      <x:c r="C7817" s="24" t="e">
        <x:f>HYPERLINK("https://365nails.com/products/365nails-elegant-chinese-bamboo-calligraphy-nail-art-stickers","365nails: ""Elegant Chinese Bamboo &amp; Calligraphy"" – nail art stickers")</x:f>
        <x:v>HYPERLINK is not implemented. linkLocation=https://365nails.com/products/365nails-elegant-chinese-bamboo-calligraphy-nail-art-stickers, friendlyName=365nails: "Elegant Chinese Bamboo &amp; Calligraphy" – nail art stickers</x:v>
      </x:c>
      <x:c r="D7817" s="18" t="str">
        <x:v>Specification type: To4752-relief</x:v>
      </x:c>
      <x:c r="E7817" s="25" t="str">
        <x:v>$1.23</x:v>
      </x:c>
      <x:c r="F7817" s="19" t="str">
        <x:v>5</x:v>
      </x:c>
    </x:row>
    <x:row r="7818" ht="93" customHeight="1">
      <x:c r="A7818" s="19" t="n">
        <x:v>7815</x:v>
      </x:c>
      <x:c r="B7818" s="22" t="e">
        <x:f>HYPERLINK("https://cdn.shopify.com/s/files/1/0918/6066/4603/files/O1CN019DRgm82MQzffAQczS__2219089449823-0-cib.jpg?v=1774520830","Open")</x:f>
        <x:v>HYPERLINK is not implemented. linkLocation=https://cdn.shopify.com/s/files/1/0918/6066/4603/files/O1CN019DRgm82MQzffAQczS__2219089449823-0-cib.jpg?v=1774520830, friendlyName=Open</x:v>
      </x:c>
      <x:c r="C7818" s="24" t="e">
        <x:f>HYPERLINK("https://365nails.com/products/mocha-blossom-leopard-floral-almond-press-on-nails","Mocha Blossom: ""Leopard &amp; Floral"" – Almond Press-On Nails")</x:f>
        <x:v>HYPERLINK is not implemented. linkLocation=https://365nails.com/products/mocha-blossom-leopard-floral-almond-press-on-nails, friendlyName=Mocha Blossom: "Leopard &amp; Floral" – Almond Press-On Nails</x:v>
      </x:c>
      <x:c r="D7818" s="18" t="str">
        <x:v>Color: D618; Color classification: Xs / S / M / L</x:v>
      </x:c>
      <x:c r="E7818" s="25" t="str">
        <x:v>$3.99</x:v>
      </x:c>
      <x:c r="F7818" s="19" t="str">
        <x:v>1</x:v>
      </x:c>
    </x:row>
    <x:row r="7819" ht="93" customHeight="1">
      <x:c r="A7819" s="19" t="n">
        <x:v>7816</x:v>
      </x:c>
      <x:c r="B7819" s="22" t="e">
        <x:f>HYPERLINK("https://cdn.shopify.com/s/files/1/0918/6066/4603/files/O1CN01OCupuM1HlWzJSIor2__2545140798-0-cib.jpg?v=1776580650","Open")</x:f>
        <x:v>HYPERLINK is not implemented. linkLocation=https://cdn.shopify.com/s/files/1/0918/6066/4603/files/O1CN01OCupuM1HlWzJSIor2__2545140798-0-cib.jpg?v=1776580650, friendlyName=Open</x:v>
      </x:c>
      <x:c r="C7819" s="24" t="e">
        <x:f>HYPERLINK("https://365nails.com/products/365nails-oriental-red-bean-butterfly-nail-art-stickers","365nails: ""Oriental Red Bean &amp; Butterfly"" – nail art stickers")</x:f>
        <x:v>HYPERLINK is not implemented. linkLocation=https://365nails.com/products/365nails-oriental-red-bean-butterfly-nail-art-stickers, friendlyName=365nails: "Oriental Red Bean &amp; Butterfly" – nail art stickers</x:v>
      </x:c>
      <x:c r="D7819" s="18" t="str">
        <x:v>Specification type: To3795-new hot stamping</x:v>
      </x:c>
      <x:c r="E7819" s="25" t="str">
        <x:v>$1.23</x:v>
      </x:c>
      <x:c r="F7819" s="19" t="str">
        <x:v>5</x:v>
      </x:c>
    </x:row>
    <x:row r="7820" ht="93" customHeight="1">
      <x:c r="A7820" s="19" t="n">
        <x:v>7817</x:v>
      </x:c>
      <x:c r="B7820" s="22" t="e">
        <x:f>HYPERLINK("https://cdn.shopify.com/s/files/1/0918/6066/4603/files/O1CN017NGoXP1HlWztG7DAo__2545140798-0-cib.jpg?v=1776580756","Open")</x:f>
        <x:v>HYPERLINK is not implemented. linkLocation=https://cdn.shopify.com/s/files/1/0918/6066/4603/files/O1CN017NGoXP1HlWztG7DAo__2545140798-0-cib.jpg?v=1776580756, friendlyName=Open</x:v>
      </x:c>
      <x:c r="C7820" s="24" t="e">
        <x:f>HYPERLINK("https://365nails.com/products/365nails-bohemian-colorful-flower-nail-art-stickers","365nails: ""Bohemian Colorful Flower"" – nail art stickers")</x:f>
        <x:v>HYPERLINK is not implemented. linkLocation=https://365nails.com/products/365nails-bohemian-colorful-flower-nail-art-stickers, friendlyName=365nails: "Bohemian Colorful Flower" – nail art stickers</x:v>
      </x:c>
      <x:c r="D7820" s="18" t="str">
        <x:v>Specification type: L26-micro engraving / L27-micro engraving</x:v>
      </x:c>
      <x:c r="E7820" s="25" t="str">
        <x:v>$1.23</x:v>
      </x:c>
      <x:c r="F7820" s="19" t="str">
        <x:v>5</x:v>
      </x:c>
    </x:row>
    <x:row r="7821" ht="93" customHeight="1">
      <x:c r="A7821" s="19" t="n">
        <x:v>7818</x:v>
      </x:c>
      <x:c r="B7821" s="22" t="e">
        <x:f>HYPERLINK("https://cdn.shopify.com/s/files/1/0918/6066/4603/files/O1CN01gPi42P1UBtKBBgnSO__6000000002480-0-cib.jpg?v=1774579083","Open")</x:f>
        <x:v>HYPERLINK is not implemented. linkLocation=https://cdn.shopify.com/s/files/1/0918/6066/4603/files/O1CN01gPi42P1UBtKBBgnSO__6000000002480-0-cib.jpg?v=1774579083, friendlyName=Open</x:v>
      </x:c>
      <x:c r="C7821" s="24" t="e">
        <x:f>HYPERLINK("https://365nails.com/products/sweet-rebel-pink-kitty-punk-square-press-on-nails","Sweet Rebel: ""Pink Kitty Punk"" – Square Press-On Nails")</x:f>
        <x:v>HYPERLINK is not implemented. linkLocation=https://365nails.com/products/sweet-rebel-pink-kitty-punk-square-press-on-nails, friendlyName=Sweet Rebel: "Pink Kitty Punk" – Square Press-On Nails</x:v>
      </x:c>
      <x:c r="D7821" s="18" t="str">
        <x:v>Color: Q268; Color classification: Xs / S / M / L</x:v>
      </x:c>
      <x:c r="E7821" s="25" t="str">
        <x:v>$3.49</x:v>
      </x:c>
      <x:c r="F7821" s="19" t="str">
        <x:v>1</x:v>
      </x:c>
    </x:row>
    <x:row r="7822" ht="93" customHeight="1">
      <x:c r="A7822" s="19" t="n">
        <x:v>7819</x:v>
      </x:c>
      <x:c r="B7822" s="22" t="e">
        <x:f>HYPERLINK("https://cdn.shopify.com/s/files/1/0918/6066/4603/files/O1CN01ASILU32MQze4RoAAd__2219089449823-0-cib.jpg?v=1774520880","Open")</x:f>
        <x:v>HYPERLINK is not implemented. linkLocation=https://cdn.shopify.com/s/files/1/0918/6066/4603/files/O1CN01ASILU32MQze4RoAAd__2219089449823-0-cib.jpg?v=1774520880, friendlyName=Open</x:v>
      </x:c>
      <x:c r="C7822" s="24" t="e">
        <x:f>HYPERLINK("https://365nails.com/products/mermaid-dream-purple-seashell-almond-press-on-nails","Mermaid Dream: ""Purple Seashell"" – Almond Press-On Nails")</x:f>
        <x:v>HYPERLINK is not implemented. linkLocation=https://365nails.com/products/mermaid-dream-purple-seashell-almond-press-on-nails, friendlyName=Mermaid Dream: "Purple Seashell" – Almond Press-On Nails</x:v>
      </x:c>
      <x:c r="D7822" s="18" t="str">
        <x:v>Color: D530; Color classification: Xs / S / M / L</x:v>
      </x:c>
      <x:c r="E7822" s="25" t="str">
        <x:v>$3.99</x:v>
      </x:c>
      <x:c r="F7822" s="19" t="str">
        <x:v>1</x:v>
      </x:c>
    </x:row>
    <x:row r="7823" ht="93" customHeight="1">
      <x:c r="A7823" s="19" t="n">
        <x:v>7820</x:v>
      </x:c>
      <x:c r="B7823" s="22" t="e">
        <x:f>HYPERLINK("https://cdn.shopify.com/s/files/1/0918/6066/4603/files/3c736fdd752987809ca325b13ea2e445.jpg?v=1775310191","Open")</x:f>
        <x:v>HYPERLINK is not implemented. linkLocation=https://cdn.shopify.com/s/files/1/0918/6066/4603/files/3c736fdd752987809ca325b13ea2e445.jpg?v=1775310191, friendlyName=Open</x:v>
      </x:c>
      <x:c r="C7823" s="24" t="e">
        <x:f>HYPERLINK("https://365nails.com/products/gothic-bloom-turquoise-orchid-long-coffin-press-on-nails","Gothic Bloom: ""Turquoise Orchid"" – Long Coffin Press-on Nails")</x:f>
        <x:v>HYPERLINK is not implemented. linkLocation=https://365nails.com/products/gothic-bloom-turquoise-orchid-long-coffin-press-on-nails, friendlyName=Gothic Bloom: "Turquoise Orchid" – Long Coffin Press-on Nails</x:v>
      </x:c>
      <x:c r="D7823" s="18" t="str">
        <x:v>Size: XS / S / M / L</x:v>
      </x:c>
      <x:c r="E7823" s="25" t="str">
        <x:v>$3.99</x:v>
      </x:c>
      <x:c r="F7823" s="19" t="str">
        <x:v>5</x:v>
      </x:c>
    </x:row>
    <x:row r="7824" ht="93" customHeight="1">
      <x:c r="A7824" s="19" t="n">
        <x:v>7821</x:v>
      </x:c>
      <x:c r="B7824" s="22" t="e">
        <x:f>HYPERLINK("https://cdn.shopify.com/s/files/1/0918/6066/4603/files/O1CN01IyzX851HlX4GoLntj__2545140798-0-cib.jpg?v=1776583443","Open")</x:f>
        <x:v>HYPERLINK is not implemented. linkLocation=https://cdn.shopify.com/s/files/1/0918/6066/4603/files/O1CN01IyzX851HlX4GoLntj__2545140798-0-cib.jpg?v=1776583443, friendlyName=Open</x:v>
      </x:c>
      <x:c r="C7824" s="24" t="e">
        <x:f>HYPERLINK("https://365nails.com/products/365nails-miiichan-christmas-friends-nail-art-stickers","365nails: ""Miiichan Christmas Friends"" – nail art stickers")</x:f>
        <x:v>HYPERLINK is not implemented. linkLocation=https://365nails.com/products/365nails-miiichan-christmas-friends-nail-art-stickers, friendlyName=365nails: "Miiichan Christmas Friends" – nail art stickers</x:v>
      </x:c>
      <x:c r="D7824" s="18" t="str">
        <x:v>Specification type: Mc 48</x:v>
      </x:c>
      <x:c r="E7824" s="25" t="str">
        <x:v>$1.16</x:v>
      </x:c>
      <x:c r="F7824" s="19" t="str">
        <x:v>5</x:v>
      </x:c>
    </x:row>
    <x:row r="7825" ht="93" customHeight="1">
      <x:c r="A7825" s="19" t="n">
        <x:v>7822</x:v>
      </x:c>
      <x:c r="B7825" s="22" t="e">
        <x:f>HYPERLINK("https://cdn.shopify.com/s/files/1/0918/6066/4603/files/O1CN013zVG1B1HlX9p900gL__2545140798-0-cib.jpg?v=1776583607","Open")</x:f>
        <x:v>HYPERLINK is not implemented. linkLocation=https://cdn.shopify.com/s/files/1/0918/6066/4603/files/O1CN013zVG1B1HlX9p900gL__2545140798-0-cib.jpg?v=1776583607, friendlyName=Open</x:v>
      </x:c>
      <x:c r="C7825" s="24" t="e">
        <x:f>HYPERLINK("https://365nails.com/products/365nails-christmas-bunny-friends-nail-art-stickers","365nails: ""Christmas Bunny &amp; Friends"" – nail art stickers")</x:f>
        <x:v>HYPERLINK is not implemented. linkLocation=https://365nails.com/products/365nails-christmas-bunny-friends-nail-art-stickers, friendlyName=365nails: "Christmas Bunny &amp; Friends" – nail art stickers</x:v>
      </x:c>
      <x:c r="D7825" s="18" t="str">
        <x:v>Specification type: To5342-relief / To5343-relief</x:v>
      </x:c>
      <x:c r="E7825" s="25" t="str">
        <x:v>$1.23</x:v>
      </x:c>
      <x:c r="F7825" s="19" t="str">
        <x:v>5</x:v>
      </x:c>
    </x:row>
    <x:row r="7826" ht="93" customHeight="1">
      <x:c r="A7826" s="19" t="n">
        <x:v>7823</x:v>
      </x:c>
      <x:c r="B7826" s="22" t="e">
        <x:f>HYPERLINK("https://cdn.shopify.com/s/files/1/0918/6066/4603/files/O1CN01D4mO6q2MQzdr4GWiM__2219089449823-0-cib.jpg?v=1774579112","Open")</x:f>
        <x:v>HYPERLINK is not implemented. linkLocation=https://cdn.shopify.com/s/files/1/0918/6066/4603/files/O1CN01D4mO6q2MQzdr4GWiM__2219089449823-0-cib.jpg?v=1774579112, friendlyName=Open</x:v>
      </x:c>
      <x:c r="C7826" s="24" t="e">
        <x:f>HYPERLINK("https://365nails.com/products/meadow-whimsy-ladybug-garden-almond-press-on-nails","Meadow Whimsy: ""Ladybug Garden"" – Almond Press-On Nails")</x:f>
        <x:v>HYPERLINK is not implemented. linkLocation=https://365nails.com/products/meadow-whimsy-ladybug-garden-almond-press-on-nails, friendlyName=Meadow Whimsy: "Ladybug Garden" – Almond Press-On Nails</x:v>
      </x:c>
      <x:c r="D7826" s="18" t="str">
        <x:v>Color: D522; Color classification: Xs / S / M / L</x:v>
      </x:c>
      <x:c r="E7826" s="25" t="str">
        <x:v>$3.49</x:v>
      </x:c>
      <x:c r="F7826" s="19" t="str">
        <x:v>1</x:v>
      </x:c>
    </x:row>
    <x:row r="7827" ht="93" customHeight="1">
      <x:c r="A7827" s="19" t="n">
        <x:v>7824</x:v>
      </x:c>
      <x:c r="B7827" s="22" t="e">
        <x:f>HYPERLINK("https://cdn.shopify.com/s/files/1/0918/6066/4603/files/O1CN014h7OAl2MQzesS3y2u__2219089449823-0-cib.jpg?v=1774520779","Open")</x:f>
        <x:v>HYPERLINK is not implemented. linkLocation=https://cdn.shopify.com/s/files/1/0918/6066/4603/files/O1CN014h7OAl2MQzesS3y2u__2219089449823-0-cib.jpg?v=1774520779, friendlyName=Open</x:v>
      </x:c>
      <x:c r="C7827" s="24" t="e">
        <x:f>HYPERLINK("https://365nails.com/products/celestial-fantasy-starry-butterfly-dream-square-press-on-nails","Celestial Fantasy: ""Starry Butterfly Dream"" – Square Press-On Nails")</x:f>
        <x:v>HYPERLINK is not implemented. linkLocation=https://365nails.com/products/celestial-fantasy-starry-butterfly-dream-square-press-on-nails, friendlyName=Celestial Fantasy: "Starry Butterfly Dream" – Square Press-On Nails</x:v>
      </x:c>
      <x:c r="D7827" s="18" t="str">
        <x:v>Color: L 243; Color classification: Xs / S / M / L</x:v>
      </x:c>
      <x:c r="E7827" s="25" t="str">
        <x:v>$4.99</x:v>
      </x:c>
      <x:c r="F7827" s="19" t="str">
        <x:v>1</x:v>
      </x:c>
    </x:row>
    <x:row r="7828" ht="93" customHeight="1">
      <x:c r="A7828" s="19" t="n">
        <x:v>7825</x:v>
      </x:c>
      <x:c r="B7828" s="22" t="e">
        <x:f>HYPERLINK("https://cdn.shopify.com/s/files/1/0918/6066/4603/files/O1CN017xIFr82MQzdqnVeA1__2219089449823-0-cib.jpg?v=1774520859","Open")</x:f>
        <x:v>HYPERLINK is not implemented. linkLocation=https://cdn.shopify.com/s/files/1/0918/6066/4603/files/O1CN017xIFr82MQzdqnVeA1__2219089449823-0-cib.jpg?v=1774520859, friendlyName=Open</x:v>
      </x:c>
      <x:c r="C7828" s="24" t="e">
        <x:f>HYPERLINK("https://365nails.com/products/tropical-bloom-gradient-floral-almond-press-on-nails","Tropical Bloom: ""Gradient Floral"" – Almond Press-On Nails")</x:f>
        <x:v>HYPERLINK is not implemented. linkLocation=https://365nails.com/products/tropical-bloom-gradient-floral-almond-press-on-nails, friendlyName=Tropical Bloom: "Gradient Floral" – Almond Press-On Nails</x:v>
      </x:c>
      <x:c r="D7828" s="18" t="str">
        <x:v>Color: K 037; 颜色分类: Xs / S / M / L</x:v>
      </x:c>
      <x:c r="E7828" s="25" t="str">
        <x:v>$3.99</x:v>
      </x:c>
      <x:c r="F7828" s="19" t="str">
        <x:v>1</x:v>
      </x:c>
    </x:row>
    <x:row r="7829" ht="93" customHeight="1">
      <x:c r="A7829" s="19" t="n">
        <x:v>7826</x:v>
      </x:c>
      <x:c r="B7829" s="22" t="e">
        <x:f>HYPERLINK("https://cdn.shopify.com/s/files/1/0918/6066/4603/files/O1CN01rjbuKU2MQzfUEbkmg__2219089449823-0-cib.jpg?v=1774520813","Open")</x:f>
        <x:v>HYPERLINK is not implemented. linkLocation=https://cdn.shopify.com/s/files/1/0918/6066/4603/files/O1CN01rjbuKU2MQzfUEbkmg__2219089449823-0-cib.jpg?v=1774520813, friendlyName=Open</x:v>
      </x:c>
      <x:c r="C7829" s="24" t="e">
        <x:f>HYPERLINK("https://365nails.com/products/sakura-french-pink-flower-magnetic-cat-eye-short-square-press-on-nails","Sakura French: ""Pink Flower &amp; Magnetic Cat Eye"" – Short Square Press-On Nails")</x:f>
        <x:v>HYPERLINK is not implemented. linkLocation=https://365nails.com/products/sakura-french-pink-flower-magnetic-cat-eye-short-square-press-on-nails, friendlyName=Sakura French: "Pink Flower &amp; Magnetic Cat Eye" – Short Square Press-On Nails</x:v>
      </x:c>
      <x:c r="D7829" s="18" t="str">
        <x:v>Color: C425; Color classification: Xs / S / M / L</x:v>
      </x:c>
      <x:c r="E7829" s="25" t="str">
        <x:v>$3.99</x:v>
      </x:c>
      <x:c r="F7829" s="19" t="str">
        <x:v>1</x:v>
      </x:c>
    </x:row>
    <x:row r="7830" ht="93" customHeight="1">
      <x:c r="A7830" s="19" t="n">
        <x:v>7827</x:v>
      </x:c>
      <x:c r="B7830" s="22" t="e">
        <x:f>HYPERLINK("https://cdn.shopify.com/s/files/1/0918/6066/4603/files/O1CN01Q7ZYTC1HlWxmsG07W__2545140798-0-cib.jpg?v=1776585946","Open")</x:f>
        <x:v>HYPERLINK is not implemented. linkLocation=https://cdn.shopify.com/s/files/1/0918/6066/4603/files/O1CN01Q7ZYTC1HlWxmsG07W__2545140798-0-cib.jpg?v=1776585946, friendlyName=Open</x:v>
      </x:c>
      <x:c r="C7830" s="24" t="e">
        <x:f>HYPERLINK("https://365nails.com/products/365nails-white-lace-pearl-bow-nail-art-stickers","365nails: ""White Lace &amp; Pearl Bow"" – nail art stickers")</x:f>
        <x:v>HYPERLINK is not implemented. linkLocation=https://365nails.com/products/365nails-white-lace-pearl-bow-nail-art-stickers, friendlyName=365nails: "White Lace &amp; Pearl Bow" – nail art stickers</x:v>
      </x:c>
      <x:c r="D7830" s="18" t="str">
        <x:v>Specification type: Ms495-crystal diamond / Ms495-crystal diamond (pearl)</x:v>
      </x:c>
      <x:c r="E7830" s="25" t="str">
        <x:v>$1.30</x:v>
      </x:c>
      <x:c r="F7830" s="19" t="str">
        <x:v>5</x:v>
      </x:c>
    </x:row>
    <x:row r="7831" ht="93" customHeight="1">
      <x:c r="A7831" s="19" t="n">
        <x:v>7828</x:v>
      </x:c>
      <x:c r="B7831" s="22" t="e">
        <x:f>HYPERLINK("https://cdn.shopify.com/s/files/1/0918/6066/4603/files/O1CN01lUMuHR1HlWvUyvBCY__2545140798-0-cib.jpg?v=1776579959","Open")</x:f>
        <x:v>HYPERLINK is not implemented. linkLocation=https://cdn.shopify.com/s/files/1/0918/6066/4603/files/O1CN01lUMuHR1HlWvUyvBCY__2545140798-0-cib.jpg?v=1776579959, friendlyName=Open</x:v>
      </x:c>
      <x:c r="C7831" s="24" t="e">
        <x:f>HYPERLINK("https://365nails.com/products/365nails-jelly-pink-cross-heart-nail-art-stickers","365nails: ""Jelly Pink Cross Heart"" – nail art stickers")</x:f>
        <x:v>HYPERLINK is not implemented. linkLocation=https://365nails.com/products/365nails-jelly-pink-cross-heart-nail-art-stickers, friendlyName=365nails: "Jelly Pink Cross Heart" – nail art stickers</x:v>
      </x:c>
      <x:c r="D7831" s="18" t="str">
        <x:v>Specification type: To3202 / To3203 / To3223</x:v>
      </x:c>
      <x:c r="E7831" s="25" t="str">
        <x:v>$1.23</x:v>
      </x:c>
      <x:c r="F7831" s="19" t="str">
        <x:v>5</x:v>
      </x:c>
    </x:row>
    <x:row r="7832" ht="93" customHeight="1">
      <x:c r="A7832" s="19" t="n">
        <x:v>7829</x:v>
      </x:c>
      <x:c r="B7832" s="22" t="e">
        <x:f>HYPERLINK("https://cdn.shopify.com/s/files/1/0918/6066/4603/files/O1CN01UiGgIC2MQzekNLiAW__2219089449823-0-cib.jpg?v=1774579146","Open")</x:f>
        <x:v>HYPERLINK is not implemented. linkLocation=https://cdn.shopify.com/s/files/1/0918/6066/4603/files/O1CN01UiGgIC2MQzekNLiAW__2219089449823-0-cib.jpg?v=1774579146, friendlyName=Open</x:v>
      </x:c>
      <x:c r="C7832" s="24" t="e">
        <x:f>HYPERLINK("https://365nails.com/products/citrus-breeze-orange-blossom-summer-almond-press-on-nails","Citrus Breeze: ""Orange Blossom Summer"" – Almond Press-On Nails")</x:f>
        <x:v>HYPERLINK is not implemented. linkLocation=https://365nails.com/products/citrus-breeze-orange-blossom-summer-almond-press-on-nails, friendlyName=Citrus Breeze: "Orange Blossom Summer" – Almond Press-On Nails</x:v>
      </x:c>
      <x:c r="D7832" s="18" t="str">
        <x:v>Color: D398; Color classification: Xs / S / M / L</x:v>
      </x:c>
      <x:c r="E7832" s="25" t="str">
        <x:v>$3.49</x:v>
      </x:c>
      <x:c r="F7832" s="19" t="str">
        <x:v>1</x:v>
      </x:c>
    </x:row>
    <x:row r="7833" ht="93" customHeight="1">
      <x:c r="A7833" s="19" t="n">
        <x:v>7830</x:v>
      </x:c>
      <x:c r="B7833" s="22" t="e">
        <x:f>HYPERLINK("https://cdn.shopify.com/s/files/1/0918/6066/4603/files/O1CN01yqHRnh2MQzfe46IIv__2219089449823-0-cib.jpg?v=1774520825","Open")</x:f>
        <x:v>HYPERLINK is not implemented. linkLocation=https://cdn.shopify.com/s/files/1/0918/6066/4603/files/O1CN01yqHRnh2MQzfe46IIv__2219089449823-0-cib.jpg?v=1774520825, friendlyName=Open</x:v>
      </x:c>
      <x:c r="C7833" s="24" t="e">
        <x:f>HYPERLINK("https://365nails.com/products/seashell-sakura-starfish-floral-almond-press-on-nails","Seashell Sakura: ""Starfish &amp; Floral"" – Almond Press-On Nails")</x:f>
        <x:v>HYPERLINK is not implemented. linkLocation=https://365nails.com/products/seashell-sakura-starfish-floral-almond-press-on-nails, friendlyName=Seashell Sakura: "Starfish &amp; Floral" – Almond Press-On Nails</x:v>
      </x:c>
      <x:c r="D7833" s="18" t="str">
        <x:v>Color: D619; Color classification: Xs / S / M / L</x:v>
      </x:c>
      <x:c r="E7833" s="25" t="str">
        <x:v>$3.99</x:v>
      </x:c>
      <x:c r="F7833" s="19" t="str">
        <x:v>1</x:v>
      </x:c>
    </x:row>
    <x:row r="7834" ht="93" customHeight="1">
      <x:c r="A7834" s="19" t="n">
        <x:v>7831</x:v>
      </x:c>
      <x:c r="B7834" s="22" t="e">
        <x:f>HYPERLINK("https://cdn.shopify.com/s/files/1/0918/6066/4603/files/O1CN01bRZMh42MQzdC6EKWW__2219089449823-0-cib.jpg?v=1774521112","Open")</x:f>
        <x:v>HYPERLINK is not implemented. linkLocation=https://cdn.shopify.com/s/files/1/0918/6066/4603/files/O1CN01bRZMh42MQzdC6EKWW__2219089449823-0-cib.jpg?v=1774521112, friendlyName=Open</x:v>
      </x:c>
      <x:c r="C7834" s="24" t="e">
        <x:f>HYPERLINK("https://365nails.com/products/dark-rebel-gothic-skull-rebel-square-press-on-nails","Dark Rebel: ""Gothic Skull Rebel"" – Square Press-On Nails")</x:f>
        <x:v>HYPERLINK is not implemented. linkLocation=https://365nails.com/products/dark-rebel-gothic-skull-rebel-square-press-on-nails, friendlyName=Dark Rebel: "Gothic Skull Rebel" – Square Press-On Nails</x:v>
      </x:c>
      <x:c r="D7834" s="18" t="str">
        <x:v>Color: L274; Color classification: Xs / S / M / L</x:v>
      </x:c>
      <x:c r="E7834" s="25" t="str">
        <x:v>$3.49</x:v>
      </x:c>
      <x:c r="F7834" s="19" t="str">
        <x:v>1</x:v>
      </x:c>
    </x:row>
    <x:row r="7835" ht="93" customHeight="1">
      <x:c r="A7835" s="19" t="n">
        <x:v>7832</x:v>
      </x:c>
      <x:c r="B7835" s="22" t="e">
        <x:f>HYPERLINK("https://cdn.shopify.com/s/files/1/0918/6066/4603/files/O1CN01h9FWXM2MQzeiyMiiS__2219089449823-0-cib.jpg?v=1774520894","Open")</x:f>
        <x:v>HYPERLINK is not implemented. linkLocation=https://cdn.shopify.com/s/files/1/0918/6066/4603/files/O1CN01h9FWXM2MQzeiyMiiS__2219089449823-0-cib.jpg?v=1774520894, friendlyName=Open</x:v>
      </x:c>
      <x:c r="C7835" s="24" t="e">
        <x:f>HYPERLINK("https://365nails.com/products/spring-blossom-mixed-floral-almond-press-on-nails","Spring Blossom: ""Mixed Floral"" – Almond Press-On Nails")</x:f>
        <x:v>HYPERLINK is not implemented. linkLocation=https://365nails.com/products/spring-blossom-mixed-floral-almond-press-on-nails, friendlyName=Spring Blossom: "Mixed Floral" – Almond Press-On Nails</x:v>
      </x:c>
      <x:c r="D7835" s="18" t="str">
        <x:v>Color: D400; Color classification: Xs / S / M / L</x:v>
      </x:c>
      <x:c r="E7835" s="25" t="str">
        <x:v>$3.99</x:v>
      </x:c>
      <x:c r="F7835" s="19" t="str">
        <x:v>1</x:v>
      </x:c>
    </x:row>
    <x:row r="7836" ht="93" customHeight="1">
      <x:c r="A7836" s="19" t="n">
        <x:v>7833</x:v>
      </x:c>
      <x:c r="B7836" s="22" t="e">
        <x:f>HYPERLINK("https://cdn.shopify.com/s/files/1/0918/6066/4603/files/O1CN016ORz7M1HlX7CAlS2h__2545140798-0-cib.jpg?v=1773672743","Open")</x:f>
        <x:v>HYPERLINK is not implemented. linkLocation=https://cdn.shopify.com/s/files/1/0918/6066/4603/files/O1CN016ORz7M1HlX7CAlS2h__2545140798-0-cib.jpg?v=1773672743, friendlyName=Open</x:v>
      </x:c>
      <x:c r="C7836" s="24" t="e">
        <x:f>HYPERLINK("https://365nails.com/products/kawaii-cat-dessert-cafe-kitty-cafe-treats-5d-embossed-nail-sticker","Kawaii Cat &amp; Dessert Café: ""Kitty Café Treats"" – 5D Embossed Nail Sticker")</x:f>
        <x:v>HYPERLINK is not implemented. linkLocation=https://365nails.com/products/kawaii-cat-dessert-cafe-kitty-cafe-treats-5d-embossed-nail-sticker, friendlyName=Kawaii Cat &amp; Dessert Café: "Kitty Café Treats" – 5D Embossed Nail Sticker</x:v>
      </x:c>
      <x:c r="D7836" s="18" t="str">
        <x:v>Specification type: To5104-relief</x:v>
      </x:c>
      <x:c r="E7836" s="25" t="str">
        <x:v>$1.23</x:v>
      </x:c>
      <x:c r="F7836" s="19" t="str">
        <x:v>5</x:v>
      </x:c>
    </x:row>
    <x:row r="7837" ht="93" customHeight="1">
      <x:c r="A7837" s="19" t="n">
        <x:v>7834</x:v>
      </x:c>
      <x:c r="B7837" s="22" t="e">
        <x:f>HYPERLINK("https://cdn.shopify.com/s/files/1/0918/6066/4603/files/O1CN01Fhvu0n2MQzeOxqz1P__2219089449823-0-cib.jpg?v=1774520890","Open")</x:f>
        <x:v>HYPERLINK is not implemented. linkLocation=https://cdn.shopify.com/s/files/1/0918/6066/4603/files/O1CN01Fhvu0n2MQzeOxqz1P__2219089449823-0-cib.jpg?v=1774520890, friendlyName=Open</x:v>
      </x:c>
      <x:c r="C7837" s="24" t="e">
        <x:f>HYPERLINK("https://365nails.com/products/gothic-y2k-leopard-charm-square-press-on-nails","Gothic Y2K: ""Leopard &amp; Charm"" – Square Press-On Nails")</x:f>
        <x:v>HYPERLINK is not implemented. linkLocation=https://365nails.com/products/gothic-y2k-leopard-charm-square-press-on-nails, friendlyName=Gothic Y2K: "Leopard &amp; Charm" – Square Press-On Nails</x:v>
      </x:c>
      <x:c r="D7837" s="18" t="str">
        <x:v>Color: F246; Color classification: Xs / S / M / L</x:v>
      </x:c>
      <x:c r="E7837" s="25" t="str">
        <x:v>$4.99</x:v>
      </x:c>
      <x:c r="F7837" s="19" t="str">
        <x:v>1</x:v>
      </x:c>
    </x:row>
    <x:row r="7838" ht="93" customHeight="1">
      <x:c r="A7838" s="19" t="n">
        <x:v>7835</x:v>
      </x:c>
      <x:c r="B7838" s="22" t="e">
        <x:f>HYPERLINK("https://cdn.shopify.com/s/files/1/0918/6066/4603/files/4b94efb3f29d84a328387cb18191ba4b.jpg?v=1775221477","Open")</x:f>
        <x:v>HYPERLINK is not implemented. linkLocation=https://cdn.shopify.com/s/files/1/0918/6066/4603/files/4b94efb3f29d84a328387cb18191ba4b.jpg?v=1775221477, friendlyName=Open</x:v>
      </x:c>
      <x:c r="C7838" s="24" t="e">
        <x:f>HYPERLINK("https://365nails.com/products/pink-gothic-blush-devotion-long-stiletto-press-on-nails","Pink Gothic: ""Blush Devotion"" – Long Stiletto Press-on Nails")</x:f>
        <x:v>HYPERLINK is not implemented. linkLocation=https://365nails.com/products/pink-gothic-blush-devotion-long-stiletto-press-on-nails, friendlyName=Pink Gothic: "Blush Devotion" – Long Stiletto Press-on Nails</x:v>
      </x:c>
      <x:c r="D7838" s="18" t="str">
        <x:v>Size: XS / S / M / L</x:v>
      </x:c>
      <x:c r="E7838" s="25" t="str">
        <x:v>$3.99</x:v>
      </x:c>
      <x:c r="F7838" s="19" t="str">
        <x:v>3</x:v>
      </x:c>
    </x:row>
    <x:row r="7839" ht="93" customHeight="1">
      <x:c r="A7839" s="19" t="n">
        <x:v>7836</x:v>
      </x:c>
      <x:c r="B7839" s="22" t="e">
        <x:f>HYPERLINK("https://cdn.shopify.com/s/files/1/0918/6066/4603/files/O1CN01IwrOrn2MQzdK63M1w__2219089449823-0-cib.jpg?v=1774521116","Open")</x:f>
        <x:v>HYPERLINK is not implemented. linkLocation=https://cdn.shopify.com/s/files/1/0918/6066/4603/files/O1CN01IwrOrn2MQzdK63M1w__2219089449823-0-cib.jpg?v=1774521116, friendlyName=Open</x:v>
      </x:c>
      <x:c r="C7839" s="24" t="e">
        <x:f>HYPERLINK("https://365nails.com/products/whimsical-bloom-enchanted-floral-fantasy-square-press-on-nails","Whimsical Bloom: ""Enchanted Floral Fantasy"" – Square Press-On Nails")</x:f>
        <x:v>HYPERLINK is not implemented. linkLocation=https://365nails.com/products/whimsical-bloom-enchanted-floral-fantasy-square-press-on-nails, friendlyName=Whimsical Bloom: "Enchanted Floral Fantasy" – Square Press-On Nails</x:v>
      </x:c>
      <x:c r="D7839" s="18" t="str">
        <x:v>Color: L269; Color classification: Xs / S / M / L</x:v>
      </x:c>
      <x:c r="E7839" s="25" t="str">
        <x:v>$3.49</x:v>
      </x:c>
      <x:c r="F7839" s="19" t="str">
        <x:v>1</x:v>
      </x:c>
    </x:row>
    <x:row r="7840" ht="93" customHeight="1">
      <x:c r="A7840" s="19" t="n">
        <x:v>7837</x:v>
      </x:c>
      <x:c r="B7840" s="22" t="e">
        <x:f>HYPERLINK("https://cdn.shopify.com/s/files/1/0918/6066/4603/files/O1CN01mJST6d2MQzeMG4k75__2219089449823-0-cib.jpg?v=1774579128","Open")</x:f>
        <x:v>HYPERLINK is not implemented. linkLocation=https://cdn.shopify.com/s/files/1/0918/6066/4603/files/O1CN01mJST6d2MQzeMG4k75__2219089449823-0-cib.jpg?v=1774579128, friendlyName=Open</x:v>
      </x:c>
      <x:c r="C7840" s="24" t="e">
        <x:f>HYPERLINK("https://365nails.com/products/amber-bloom-tropical-pineapple-grace-almond-press-on-nails","Amber Bloom: ""Tropical Pineapple Grace"" – Almond Press-On Nails")</x:f>
        <x:v>HYPERLINK is not implemented. linkLocation=https://365nails.com/products/amber-bloom-tropical-pineapple-grace-almond-press-on-nails, friendlyName=Amber Bloom: "Tropical Pineapple Grace" – Almond Press-On Nails</x:v>
      </x:c>
      <x:c r="D7840" s="18" t="str">
        <x:v>Color: D551; Color classification: Xs / S / M / L</x:v>
      </x:c>
      <x:c r="E7840" s="25" t="str">
        <x:v>$3.49</x:v>
      </x:c>
      <x:c r="F7840" s="19" t="str">
        <x:v>1</x:v>
      </x:c>
    </x:row>
    <x:row r="7841" ht="93" customHeight="1">
      <x:c r="A7841" s="19" t="n">
        <x:v>7838</x:v>
      </x:c>
      <x:c r="B7841" s="22" t="e">
        <x:f>HYPERLINK("https://cdn.shopify.com/s/files/1/0918/6066/4603/files/O1CN01zNfiXr2MQzeDw1vWf__2219089449823-0-cib.jpg?v=1774579124","Open")</x:f>
        <x:v>HYPERLINK is not implemented. linkLocation=https://cdn.shopify.com/s/files/1/0918/6066/4603/files/O1CN01zNfiXr2MQzeDw1vWf__2219089449823-0-cib.jpg?v=1774579124, friendlyName=Open</x:v>
      </x:c>
      <x:c r="C7841" s="24" t="e">
        <x:f>HYPERLINK("https://365nails.com/products/sweet-safari-chocolate-floral-dream-almond-press-on-nails","Sweet Safari: ""Chocolate Floral Dream"" – Almond Press-On Nails")</x:f>
        <x:v>HYPERLINK is not implemented. linkLocation=https://365nails.com/products/sweet-safari-chocolate-floral-dream-almond-press-on-nails, friendlyName=Sweet Safari: "Chocolate Floral Dream" – Almond Press-On Nails</x:v>
      </x:c>
      <x:c r="D7841" s="18" t="str">
        <x:v>Color: D544; Color classification: Xs / S / M / L</x:v>
      </x:c>
      <x:c r="E7841" s="25" t="str">
        <x:v>$3.49</x:v>
      </x:c>
      <x:c r="F7841" s="19" t="str">
        <x:v>1</x:v>
      </x:c>
    </x:row>
    <x:row r="7842" ht="93" customHeight="1">
      <x:c r="A7842" s="19" t="n">
        <x:v>7839</x:v>
      </x:c>
      <x:c r="B7842" s="22" t="e">
        <x:f>HYPERLINK("https://cdn.shopify.com/s/files/1/0918/6066/4603/files/O1CN014sh5SP2MQzf2XJgnY__2219089449823-0-cib.jpg?v=1774520787","Open")</x:f>
        <x:v>HYPERLINK is not implemented. linkLocation=https://cdn.shopify.com/s/files/1/0918/6066/4603/files/O1CN014sh5SP2MQzf2XJgnY__2219089449823-0-cib.jpg?v=1774520787, friendlyName=Open</x:v>
      </x:c>
      <x:c r="C7842" s="24" t="e">
        <x:f>HYPERLINK("https://365nails.com/products/wild-blossom-tiger-flower-fantasy-square-press-on-nails","Wild Blossom: ""Tiger &amp; Flower Fantasy"" – Square Press-On Nails")</x:f>
        <x:v>HYPERLINK is not implemented. linkLocation=https://365nails.com/products/wild-blossom-tiger-flower-fantasy-square-press-on-nails, friendlyName=Wild Blossom: "Tiger &amp; Flower Fantasy" – Square Press-On Nails</x:v>
      </x:c>
      <x:c r="D7842" s="18" t="str">
        <x:v>Color: L 232; Color classification: Xs / S / M / L</x:v>
      </x:c>
      <x:c r="E7842" s="25" t="str">
        <x:v>$4.99</x:v>
      </x:c>
      <x:c r="F7842" s="19" t="str">
        <x:v>1</x:v>
      </x:c>
    </x:row>
    <x:row r="7843" ht="93" customHeight="1">
      <x:c r="A7843" s="19" t="n">
        <x:v>7840</x:v>
      </x:c>
      <x:c r="B7843" s="22" t="e">
        <x:f>HYPERLINK("https://cdn.shopify.com/s/files/1/0918/6066/4603/files/O1CN01lWU3SA1HlWyBvOwWi__2545140798-0-cib.jpg?v=1776580485","Open")</x:f>
        <x:v>HYPERLINK is not implemented. linkLocation=https://cdn.shopify.com/s/files/1/0918/6066/4603/files/O1CN01lWU3SA1HlWyBvOwWi__2545140798-0-cib.jpg?v=1776580485, friendlyName=Open</x:v>
      </x:c>
      <x:c r="C7843" s="24" t="e">
        <x:f>HYPERLINK("https://365nails.com/products/365nails-elegant-white-magnolia-nail-art-stickers","365nails: ""Elegant White Magnolia"" – nail art stickers")</x:f>
        <x:v>HYPERLINK is not implemented. linkLocation=https://365nails.com/products/365nails-elegant-white-magnolia-nail-art-stickers, friendlyName=365nails: "Elegant White Magnolia" – nail art stickers</x:v>
      </x:c>
      <x:c r="D7843" s="18" t="str">
        <x:v>Specification type: To3619</x:v>
      </x:c>
      <x:c r="E7843" s="25" t="str">
        <x:v>$1.23</x:v>
      </x:c>
      <x:c r="F7843" s="19" t="str">
        <x:v>5</x:v>
      </x:c>
    </x:row>
    <x:row r="7844" ht="93" customHeight="1">
      <x:c r="A7844" s="19" t="n">
        <x:v>7841</x:v>
      </x:c>
      <x:c r="B7844" s="22" t="e">
        <x:f>HYPERLINK("https://cdn.shopify.com/s/files/1/0918/6066/4603/files/O1CN01YpZTny2MQzcPMvacn__2219089449823-0-cib.jpg?v=1774521085","Open")</x:f>
        <x:v>HYPERLINK is not implemented. linkLocation=https://cdn.shopify.com/s/files/1/0918/6066/4603/files/O1CN01YpZTny2MQzcPMvacn__2219089449823-0-cib.jpg?v=1774521085, friendlyName=Open</x:v>
      </x:c>
      <x:c r="C7844" s="24" t="e">
        <x:f>HYPERLINK("https://365nails.com/products/wild-bloom-amber-leopard-lily-almond-press-on-nails","Wild Bloom: ""Amber Leopard Lily"" – Almond Press-On Nails")</x:f>
        <x:v>HYPERLINK is not implemented. linkLocation=https://365nails.com/products/wild-bloom-amber-leopard-lily-almond-press-on-nails, friendlyName=Wild Bloom: "Amber Leopard Lily" – Almond Press-On Nails</x:v>
      </x:c>
      <x:c r="D7844" s="18" t="str">
        <x:v>Color: D309; Color classification: Xs / S / M / L</x:v>
      </x:c>
      <x:c r="E7844" s="25" t="str">
        <x:v>$3.49</x:v>
      </x:c>
      <x:c r="F7844" s="19" t="str">
        <x:v>1</x:v>
      </x:c>
    </x:row>
    <x:row r="7845" ht="93" customHeight="1">
      <x:c r="A7845" s="19" t="n">
        <x:v>7842</x:v>
      </x:c>
      <x:c r="B7845" s="22" t="e">
        <x:f>HYPERLINK("https://cdn.shopify.com/s/files/1/0918/6066/4603/files/O1CN013SaWKd2MQzdCT4qQJ__2219089449823-0-cib.jpg?v=1774520876","Open")</x:f>
        <x:v>HYPERLINK is not implemented. linkLocation=https://cdn.shopify.com/s/files/1/0918/6066/4603/files/O1CN013SaWKd2MQzdCT4qQJ__2219089449823-0-cib.jpg?v=1774520876, friendlyName=Open</x:v>
      </x:c>
      <x:c r="C7845" s="24" t="e">
        <x:f>HYPERLINK("https://365nails.com/products/rainbow-garden-mixed-floral-almond-press-on-nails","Rainbow Garden: ""Mixed Floral"" – Almond Press-On Nails")</x:f>
        <x:v>HYPERLINK is not implemented. linkLocation=https://365nails.com/products/rainbow-garden-mixed-floral-almond-press-on-nails, friendlyName=Rainbow Garden: "Mixed Floral" – Almond Press-On Nails</x:v>
      </x:c>
      <x:c r="D7845" s="18" t="str">
        <x:v>Color: M114; Color classification: Xs / S / M / L</x:v>
      </x:c>
      <x:c r="E7845" s="25" t="str">
        <x:v>$4.99</x:v>
      </x:c>
      <x:c r="F7845" s="19" t="str">
        <x:v>1</x:v>
      </x:c>
    </x:row>
    <x:row r="7846" ht="93" customHeight="1">
      <x:c r="A7846" s="19" t="n">
        <x:v>7843</x:v>
      </x:c>
      <x:c r="B7846" s="22" t="e">
        <x:f>HYPERLINK("https://cdn.shopify.com/s/files/1/0918/6066/4603/files/519ff1a22d7c3b8d13e26333dee29ebc.jpg?v=1768895618","Open")</x:f>
        <x:v>HYPERLINK is not implemented. linkLocation=https://cdn.shopify.com/s/files/1/0918/6066/4603/files/519ff1a22d7c3b8d13e26333dee29ebc.jpg?v=1768895618, friendlyName=Open</x:v>
      </x:c>
      <x:c r="C7846" s="24" t="e">
        <x:f>HYPERLINK("https://365nails.com/products/handmade-smudge-series-jade-landscape-ethereal-clouds-marble-art-nails","Jade Landscape &amp; Ethereal Clouds Marble Art Nails｜Handmade Smudge Series(moq=30)")</x:f>
        <x:v>HYPERLINK is not implemented. linkLocation=https://365nails.com/products/handmade-smudge-series-jade-landscape-ethereal-clouds-marble-art-nails, friendlyName=Jade Landscape &amp; Ethereal Clouds Marble Art Nails｜Handmade Smudge Series(moq=30)</x:v>
      </x:c>
      <x:c r="D7846" s="18" t="str">
        <x:v>Size: XS / S / M / L</x:v>
      </x:c>
      <x:c r="E7846" s="25" t="str">
        <x:v>$2.99</x:v>
      </x:c>
      <x:c r="F7846" s="19" t="str">
        <x:v>30</x:v>
      </x:c>
    </x:row>
    <x:row r="7847" ht="93" customHeight="1">
      <x:c r="A7847" s="19" t="n">
        <x:v>7844</x:v>
      </x:c>
      <x:c r="B7847" s="22" t="e">
        <x:f>HYPERLINK("https://cdn.shopify.com/s/files/1/0918/6066/4603/files/O1CN01cMskEY1HlX4ks2BzD__2545140798-0-cib_2a03ccf2-c902-4bd8-85af-11b63fe28de3.jpg?v=1773652793","Open")</x:f>
        <x:v>HYPERLINK is not implemented. linkLocation=https://cdn.shopify.com/s/files/1/0918/6066/4603/files/O1CN01cMskEY1HlX4ks2BzD__2545140798-0-cib_2a03ccf2-c902-4bd8-85af-11b63fe28de3.jpg?v=1773652793, friendlyName=Open</x:v>
      </x:c>
      <x:c r="C7847" s="24" t="e">
        <x:f>HYPERLINK("https://365nails.com/products/gold-foil-lucky-calligraphy-prosperity-good-fortune-5d-embossed-nail-sticker","Gold Foil Lucky Calligraphy: ""Prosperity &amp; Good Fortune"" – 5D Embossed Nail Sticker")</x:f>
        <x:v>HYPERLINK is not implemented. linkLocation=https://365nails.com/products/gold-foil-lucky-calligraphy-prosperity-good-fortune-5d-embossed-nail-sticker, friendlyName=Gold Foil Lucky Calligraphy: "Prosperity &amp; Good Fortune" – 5D Embossed Nail Sticker</x:v>
      </x:c>
      <x:c r="D7847" s="18" t="str">
        <x:v>Specification type: To4741-new hot stamping / To4741 red gold / To4741-glitter / To4741-flash gold / To4741-flash silver</x:v>
      </x:c>
      <x:c r="E7847" s="25" t="str">
        <x:v>$1.23</x:v>
      </x:c>
      <x:c r="F7847" s="19" t="str">
        <x:v>5</x:v>
      </x:c>
    </x:row>
    <x:row r="7848" ht="93" customHeight="1">
      <x:c r="A7848" s="19" t="n">
        <x:v>7845</x:v>
      </x:c>
      <x:c r="B7848" s="22" t="e">
        <x:f>HYPERLINK("https://cdn.shopify.com/s/files/1/0918/6066/4603/files/O1CN016y3q0h1HlX6fvGPLV__2545140798-0-cib.jpg?v=1773666647","Open")</x:f>
        <x:v>HYPERLINK is not implemented. linkLocation=https://cdn.shopify.com/s/files/1/0918/6066/4603/files/O1CN016y3q0h1HlX6fvGPLV__2545140798-0-cib.jpg?v=1773666647, friendlyName=Open</x:v>
      </x:c>
      <x:c r="C7848" s="24" t="e">
        <x:f>HYPERLINK("https://365nails.com/products/white-lace-bow-embellishment-bridal-white-lace-5d-embossed-nail-sticker","White Lace &amp; Bow Embellishment: ""Bridal White Lace"" – 5D Embossed Nail Sticker")</x:f>
        <x:v>HYPERLINK is not implemented. linkLocation=https://365nails.com/products/white-lace-bow-embellishment-bridal-white-lace-5d-embossed-nail-sticker, friendlyName=White Lace &amp; Bow Embellishment: "Bridal White Lace" – 5D Embossed Nail Sticker</x:v>
      </x:c>
      <x:c r="D7848" s="18" t="str">
        <x:v>Specification type: To5032-relief / To5033-relief</x:v>
      </x:c>
      <x:c r="E7848" s="25" t="str">
        <x:v>$1.23</x:v>
      </x:c>
      <x:c r="F7848" s="19" t="str">
        <x:v>5</x:v>
      </x:c>
    </x:row>
    <x:row r="7849" ht="93" customHeight="1">
      <x:c r="A7849" s="19" t="n">
        <x:v>7846</x:v>
      </x:c>
      <x:c r="B7849" s="22" t="e">
        <x:f>HYPERLINK("https://cdn.shopify.com/s/files/1/0918/6066/4603/files/O1CN01PgYh9b1HlX8nKkCMm__2545140798-0-cib.jpg?v=1773672877","Open")</x:f>
        <x:v>HYPERLINK is not implemented. linkLocation=https://cdn.shopify.com/s/files/1/0918/6066/4603/files/O1CN01PgYh9b1HlX8nKkCMm__2545140798-0-cib.jpg?v=1773672877, friendlyName=Open</x:v>
      </x:c>
      <x:c r="C7849" s="24" t="e">
        <x:f>HYPERLINK("https://365nails.com/products/cute-christmas-bear-festive-doodle-merry-beary-christmas-5d-embossed-nail-sticker","Cute Christmas Bear &amp; Festive Doodle: ""Merry Beary Christmas"" – 5D Embossed Nail Sticker")</x:f>
        <x:v>HYPERLINK is not implemented. linkLocation=https://365nails.com/products/cute-christmas-bear-festive-doodle-merry-beary-christmas-5d-embossed-nail-sticker, friendlyName=Cute Christmas Bear &amp; Festive Doodle: "Merry Beary Christmas" – 5D Embossed Nail Sticker</x:v>
      </x:c>
      <x:c r="D7849" s="18" t="str">
        <x:v>Specification type: To5266-crystal diamond / To5267-crystal diamond / To5275-new hot stamping crystal diamond / To5275-silver crystal diamond</x:v>
      </x:c>
      <x:c r="E7849" s="25" t="str">
        <x:v>$1.30</x:v>
      </x:c>
      <x:c r="F7849" s="19" t="str">
        <x:v>5</x:v>
      </x:c>
    </x:row>
    <x:row r="7850" ht="93" customHeight="1">
      <x:c r="A7850" s="19" t="n">
        <x:v>7847</x:v>
      </x:c>
      <x:c r="B7850" s="22" t="e">
        <x:f>HYPERLINK("https://cdn.shopify.com/s/files/1/0918/6066/4603/files/O1CN01iRcrVd1HlX26yAnKX__2545140798-0-cib_409dd9b6-5105-4a3a-b0ab-ab1c0a824056.jpg?v=1775453568","Open")</x:f>
        <x:v>HYPERLINK is not implemented. linkLocation=https://cdn.shopify.com/s/files/1/0918/6066/4603/files/O1CN01iRcrVd1HlX26yAnKX__2545140798-0-cib_409dd9b6-5105-4a3a-b0ab-ab1c0a824056.jpg?v=1775453568, friendlyName=Open</x:v>
      </x:c>
      <x:c r="C7850" s="24" t="e">
        <x:f>HYPERLINK("https://365nails.com/products/365nails-ink-bamboo-handmade-press-on-nails","365nails: ""Ink Bamboo"" – Nail Art Stickers")</x:f>
        <x:v>HYPERLINK is not implemented. linkLocation=https://365nails.com/products/365nails-ink-bamboo-handmade-press-on-nails, friendlyName=365nails: "Ink Bamboo" – Nail Art Stickers</x:v>
      </x:c>
      <x:c r="D7850" s="18" t="str">
        <x:v>Specification type: To4241-jelly</x:v>
      </x:c>
      <x:c r="E7850" s="25" t="str">
        <x:v>$1.23</x:v>
      </x:c>
      <x:c r="F7850" s="19" t="str">
        <x:v>5</x:v>
      </x:c>
    </x:row>
    <x:row r="7851" ht="93" customHeight="1">
      <x:c r="A7851" s="19" t="n">
        <x:v>7848</x:v>
      </x:c>
      <x:c r="B7851" s="22" t="e">
        <x:f>HYPERLINK("https://cdn.shopify.com/s/files/1/0918/6066/4603/files/O1CN01njZori2MQzf5DXJi7__2219089449823-0-cib.jpg?v=1774520796","Open")</x:f>
        <x:v>HYPERLINK is not implemented. linkLocation=https://cdn.shopify.com/s/files/1/0918/6066/4603/files/O1CN01njZori2MQzf5DXJi7__2219089449823-0-cib.jpg?v=1774520796, friendlyName=Open</x:v>
      </x:c>
      <x:c r="C7851" s="24" t="e">
        <x:f>HYPERLINK("https://365nails.com/products/blush-butterfly-peach-blossom-grace-almond-press-on-nails","Blush Butterfly: ""Peach Blossom Grace"" – Almond Press-On Nails")</x:f>
        <x:v>HYPERLINK is not implemented. linkLocation=https://365nails.com/products/blush-butterfly-peach-blossom-grace-almond-press-on-nails, friendlyName=Blush Butterfly: "Peach Blossom Grace" – Almond Press-On Nails</x:v>
      </x:c>
      <x:c r="D7851" s="18" t="str">
        <x:v>Color: D389; Color classification: Xs / S / M / L</x:v>
      </x:c>
      <x:c r="E7851" s="25" t="str">
        <x:v>$3.99</x:v>
      </x:c>
      <x:c r="F7851" s="19" t="str">
        <x:v>1</x:v>
      </x:c>
    </x:row>
    <x:row r="7852" ht="93" customHeight="1">
      <x:c r="A7852" s="19" t="n">
        <x:v>7849</x:v>
      </x:c>
      <x:c r="B7852" s="22" t="e">
        <x:f>HYPERLINK("https://cdn.shopify.com/s/files/1/0918/6066/4603/files/O1CN01etOKPF2MQzecLZg7c__2219089449823-0-cib.jpg?v=1774579137","Open")</x:f>
        <x:v>HYPERLINK is not implemented. linkLocation=https://cdn.shopify.com/s/files/1/0918/6066/4603/files/O1CN01etOKPF2MQzecLZg7c__2219089449823-0-cib.jpg?v=1774579137, friendlyName=Open</x:v>
      </x:c>
      <x:c r="C7852" s="24" t="e">
        <x:f>HYPERLINK("https://365nails.com/products/sakura-whisper-cherry-blossom-grace-almond-press-on-nails",": Sakura Whisper: ""Cherry Blossom Grace"" – Almond Press-On Nails")</x:f>
        <x:v>HYPERLINK is not implemented. linkLocation=https://365nails.com/products/sakura-whisper-cherry-blossom-grace-almond-press-on-nails, friendlyName=: Sakura Whisper: "Cherry Blossom Grace" – Almond Press-On Nails</x:v>
      </x:c>
      <x:c r="D7852" s="18" t="str">
        <x:v>Color: D565; Color classification: Xs / S / M / L</x:v>
      </x:c>
      <x:c r="E7852" s="25" t="str">
        <x:v>$3.49</x:v>
      </x:c>
      <x:c r="F7852" s="19" t="str">
        <x:v>1</x:v>
      </x:c>
    </x:row>
    <x:row r="7853" ht="93" customHeight="1">
      <x:c r="A7853" s="19" t="n">
        <x:v>7850</x:v>
      </x:c>
      <x:c r="B7853" s="22" t="e">
        <x:f>HYPERLINK("https://cdn.shopify.com/s/files/1/0918/6066/4603/files/O1CN01Cv3G3f2MQzdwawDjl__2219089449823-0-cib.jpg?v=1774579108","Open")</x:f>
        <x:v>HYPERLINK is not implemented. linkLocation=https://cdn.shopify.com/s/files/1/0918/6066/4603/files/O1CN01Cv3G3f2MQzdwawDjl__2219089449823-0-cib.jpg?v=1774579108, friendlyName=Open</x:v>
      </x:c>
      <x:c r="C7853" s="24" t="e">
        <x:f>HYPERLINK("https://365nails.com/products/crimson-bloom-scarlet-lily-grace-almond-press-on-nails","Crimson Bloom: ""Scarlet Lily Grace"" – Almond Press-On Nails")</x:f>
        <x:v>HYPERLINK is not implemented. linkLocation=https://365nails.com/products/crimson-bloom-scarlet-lily-grace-almond-press-on-nails, friendlyName=Crimson Bloom: "Scarlet Lily Grace" – Almond Press-On Nails</x:v>
      </x:c>
      <x:c r="D7853" s="18" t="str">
        <x:v>Color: D515; Color classification: Xs / S / M / L</x:v>
      </x:c>
      <x:c r="E7853" s="25" t="str">
        <x:v>$3.49</x:v>
      </x:c>
      <x:c r="F7853" s="19" t="str">
        <x:v>1</x:v>
      </x:c>
    </x:row>
    <x:row r="7854" ht="93" customHeight="1">
      <x:c r="A7854" s="19" t="n">
        <x:v>7851</x:v>
      </x:c>
      <x:c r="B7854" s="22" t="e">
        <x:f>HYPERLINK("https://cdn.shopify.com/s/files/1/0918/6066/4603/files/O1CN01Xrm7aQ2MQzdsdzovJ__2219089449823-0-cib.jpg?v=1774579099","Open")</x:f>
        <x:v>HYPERLINK is not implemented. linkLocation=https://cdn.shopify.com/s/files/1/0918/6066/4603/files/O1CN01Xrm7aQ2MQzdsdzovJ__2219089449823-0-cib.jpg?v=1774579099, friendlyName=Open</x:v>
      </x:c>
      <x:c r="C7854" s="24" t="e">
        <x:f>HYPERLINK("https://365nails.com/products/monochrome-bloom-daisy-noir-almond-press-on-nails","Monochrome Bloom: ""Daisy Noir"" – Almond Press-On Nails")</x:f>
        <x:v>HYPERLINK is not implemented. linkLocation=https://365nails.com/products/monochrome-bloom-daisy-noir-almond-press-on-nails, friendlyName=Monochrome Bloom: "Daisy Noir" – Almond Press-On Nails</x:v>
      </x:c>
      <x:c r="D7854" s="18" t="str">
        <x:v>Color: D423; Color classification: Xs / S / M / L</x:v>
      </x:c>
      <x:c r="E7854" s="25" t="str">
        <x:v>$3.49</x:v>
      </x:c>
      <x:c r="F7854" s="19" t="str">
        <x:v>1</x:v>
      </x:c>
    </x:row>
    <x:row r="7855" ht="93" customHeight="1">
      <x:c r="A7855" s="19" t="n">
        <x:v>7852</x:v>
      </x:c>
      <x:c r="B7855" s="22" t="e">
        <x:f>HYPERLINK("https://cdn.shopify.com/s/files/1/0918/6066/4603/files/O1CN01NHxtvM2MQzcUrnVx3__2219089449823-0-cib.jpg?v=1774521081","Open")</x:f>
        <x:v>HYPERLINK is not implemented. linkLocation=https://cdn.shopify.com/s/files/1/0918/6066/4603/files/O1CN01NHxtvM2MQzcUrnVx3__2219089449823-0-cib.jpg?v=1774521081, friendlyName=Open</x:v>
      </x:c>
      <x:c r="C7855" s="24" t="e">
        <x:f>HYPERLINK("https://365nails.com/products/petal-whisper-blossom-breeze-almond-press-on-nails","Petal Whisper: ""Blossom Breeze"" – Almond Press-On Nails")</x:f>
        <x:v>HYPERLINK is not implemented. linkLocation=https://365nails.com/products/petal-whisper-blossom-breeze-almond-press-on-nails, friendlyName=Petal Whisper: "Blossom Breeze" – Almond Press-On Nails</x:v>
      </x:c>
      <x:c r="D7855" s="18" t="str">
        <x:v>Color: D310; Color classification: Xs / S / M / L</x:v>
      </x:c>
      <x:c r="E7855" s="25" t="str">
        <x:v>$3.49</x:v>
      </x:c>
      <x:c r="F7855" s="19" t="str">
        <x:v>1</x:v>
      </x:c>
    </x:row>
    <x:row r="7856" ht="93" customHeight="1">
      <x:c r="A7856" s="19" t="n">
        <x:v>7853</x:v>
      </x:c>
      <x:c r="B7856" s="22" t="e">
        <x:f>HYPERLINK("https://cdn.shopify.com/s/files/1/0918/6066/4603/files/O1CN01zM17uD1HlX6WDrNSM__2545140798-0-cib.jpg?v=1773745630","Open")</x:f>
        <x:v>HYPERLINK is not implemented. linkLocation=https://cdn.shopify.com/s/files/1/0918/6066/4603/files/O1CN01zM17uD1HlX6WDrNSM__2545140798-0-cib.jpg?v=1773745630, friendlyName=Open</x:v>
      </x:c>
      <x:c r="C7856" s="24" t="e">
        <x:f>HYPERLINK("https://365nails.com/products/iridescent-tulip-amor-script-romantic-pink-tulip-5d-embossed-nail-sticker","Iridescent Tulip &amp; Amor Script: ""Romantic Pink Tulip"" – 5D Embossed Nail Sticker")</x:f>
        <x:v>HYPERLINK is not implemented. linkLocation=https://365nails.com/products/iridescent-tulip-amor-script-romantic-pink-tulip-5d-embossed-nail-sticker, friendlyName=Iridescent Tulip &amp; Amor Script: "Romantic Pink Tulip" – 5D Embossed Nail Sticker</x:v>
      </x:c>
      <x:c r="D7856" s="18" t="str">
        <x:v>Specification type: To4995-metal</x:v>
      </x:c>
      <x:c r="E7856" s="25" t="str">
        <x:v>$1.23</x:v>
      </x:c>
      <x:c r="F7856" s="19" t="str">
        <x:v>5</x:v>
      </x:c>
    </x:row>
    <x:row r="7857" ht="93" customHeight="1">
      <x:c r="A7857" s="19" t="n">
        <x:v>7854</x:v>
      </x:c>
      <x:c r="B7857" s="22" t="e">
        <x:f>HYPERLINK("https://cdn.shopify.com/s/files/1/0918/6066/4603/files/O1CN01NeVGvK1HlX50DJbZp__2545140798-0-cib_41b838c0-0fd8-4096-b6e7-fe4875a3c880.jpg?v=1775459987","Open")</x:f>
        <x:v>HYPERLINK is not implemented. linkLocation=https://cdn.shopify.com/s/files/1/0918/6066/4603/files/O1CN01NeVGvK1HlX50DJbZp__2545140798-0-cib_41b838c0-0fd8-4096-b6e7-fe4875a3c880.jpg?v=1775459987, friendlyName=Open</x:v>
      </x:c>
      <x:c r="C7857" s="24" t="e">
        <x:f>HYPERLINK("https://365nails.com/products/365nails-lucky-pink-bunny-wealth-charm-handmade-press-on-nails","365nails: ""Lucky Pink Bunny &amp; Wealth Charm"" –Nail Art Stickers")</x:f>
        <x:v>HYPERLINK is not implemented. linkLocation=https://365nails.com/products/365nails-lucky-pink-bunny-wealth-charm-handmade-press-on-nails, friendlyName=365nails: "Lucky Pink Bunny &amp; Wealth Charm" –Nail Art Stickers</x:v>
      </x:c>
      <x:c r="D7857" s="18" t="str">
        <x:v>Specification type: To4734-1 shell light / To4734-shell light</x:v>
      </x:c>
      <x:c r="E7857" s="25" t="str">
        <x:v>$1.23</x:v>
      </x:c>
      <x:c r="F7857" s="19" t="str">
        <x:v>5</x:v>
      </x:c>
    </x:row>
    <x:row r="7858" ht="93" customHeight="1">
      <x:c r="A7858" s="19" t="n">
        <x:v>7855</x:v>
      </x:c>
      <x:c r="B7858" s="22" t="e">
        <x:f>HYPERLINK("https://cdn.shopify.com/s/files/1/0918/6066/4603/files/O1CN01n62CJi2MQzd4RKOCy__2219089449823-0-cib.jpg?v=1774521094","Open")</x:f>
        <x:v>HYPERLINK is not implemented. linkLocation=https://cdn.shopify.com/s/files/1/0918/6066/4603/files/O1CN01n62CJi2MQzd4RKOCy__2219089449823-0-cib.jpg?v=1774521094, friendlyName=Open</x:v>
      </x:c>
      <x:c r="C7858" s="24" t="e">
        <x:f>HYPERLINK("https://365nails.com/products/coastal-breeze-tropical-tide-almond-press-on-nails","Coastal Breeze: ""Tropical Tide"" – Almond Press-On Nails")</x:f>
        <x:v>HYPERLINK is not implemented. linkLocation=https://365nails.com/products/coastal-breeze-tropical-tide-almond-press-on-nails, friendlyName=Coastal Breeze: "Tropical Tide" – Almond Press-On Nails</x:v>
      </x:c>
      <x:c r="D7858" s="18" t="str">
        <x:v>Color: D453; Color classification: Xs / S / M / L</x:v>
      </x:c>
      <x:c r="E7858" s="25" t="str">
        <x:v>$3.49</x:v>
      </x:c>
      <x:c r="F7858" s="19" t="str">
        <x:v>1</x:v>
      </x:c>
    </x:row>
    <x:row r="7859" ht="93" customHeight="1">
      <x:c r="A7859" s="19" t="n">
        <x:v>7856</x:v>
      </x:c>
      <x:c r="B7859" s="22" t="e">
        <x:f>HYPERLINK("https://cdn.shopify.com/s/files/1/0918/6066/4603/files/719b690b12e13eff52bb340d4972baab.jpg?v=1779283023","Open")</x:f>
        <x:v>HYPERLINK is not implemented. linkLocation=https://cdn.shopify.com/s/files/1/0918/6066/4603/files/719b690b12e13eff52bb340d4972baab.jpg?v=1779283023, friendlyName=Open</x:v>
      </x:c>
      <x:c r="C7859" s="24" t="e">
        <x:f>HYPERLINK("https://365nails.com/products/365nails-blush-petal-french-handmade-medium-square-press-on-nails","365nails: ""Blush Petal French"" – Handmade Medium Square Press-On Nails")</x:f>
        <x:v>HYPERLINK is not implemented. linkLocation=https://365nails.com/products/365nails-blush-petal-french-handmade-medium-square-press-on-nails, friendlyName=365nails: "Blush Petal French" – Handmade Medium Square Press-On Nails</x:v>
      </x:c>
      <x:c r="D7859" s="18" t="str">
        <x:v>Size: XS / S / M / L</x:v>
      </x:c>
      <x:c r="E7859" s="25" t="str">
        <x:v>$3.99</x:v>
      </x:c>
      <x:c r="F7859" s="19" t="str">
        <x:v>5</x:v>
      </x:c>
    </x:row>
    <x:row r="7860" ht="93" customHeight="1">
      <x:c r="A7860" s="19" t="n">
        <x:v>7857</x:v>
      </x:c>
      <x:c r="B7860" s="22" t="e">
        <x:f>HYPERLINK("https://cdn.shopify.com/s/files/1/0918/6066/4603/files/O1CN01z9lqOB1HlX2vk8mEe__2545140798-0-cib.jpg?v=1773746501","Open")</x:f>
        <x:v>HYPERLINK is not implemented. linkLocation=https://cdn.shopify.com/s/files/1/0918/6066/4603/files/O1CN01z9lqOB1HlX2vk8mEe__2545140798-0-cib.jpg?v=1773746501, friendlyName=Open</x:v>
      </x:c>
      <x:c r="C7860" s="24" t="e">
        <x:f>HYPERLINK("https://365nails.com/products/lolita-doll-antique-frame-pink-lolita-doll-portrait-5d-embossed-nail-sticker","Lolita Doll &amp; Antique Frame: ""Pink Lolita Doll Portrait"" – 5D Embossed Nail Sticker")</x:f>
        <x:v>HYPERLINK is not implemented. linkLocation=https://365nails.com/products/lolita-doll-antique-frame-pink-lolita-doll-portrait-5d-embossed-nail-sticker, friendlyName=Lolita Doll &amp; Antique Frame: "Pink Lolita Doll Portrait" – 5D Embossed Nail Sticker</x:v>
      </x:c>
      <x:c r="D7860" s="18" t="str">
        <x:v>Specification type: To3958-relief / To3959-relief</x:v>
      </x:c>
      <x:c r="E7860" s="25" t="str">
        <x:v>$1.23</x:v>
      </x:c>
      <x:c r="F7860" s="19" t="str">
        <x:v>5</x:v>
      </x:c>
    </x:row>
    <x:row r="7861" ht="93" customHeight="1">
      <x:c r="A7861" s="19" t="n">
        <x:v>7858</x:v>
      </x:c>
      <x:c r="B7861" s="22" t="e">
        <x:f>HYPERLINK("https://cdn.shopify.com/s/files/1/0918/6066/4603/files/5060cd79627d6fa8e84f2e692b67641f.jpg?v=1774080718","Open")</x:f>
        <x:v>HYPERLINK is not implemented. linkLocation=https://cdn.shopify.com/s/files/1/0918/6066/4603/files/5060cd79627d6fa8e84f2e692b67641f.jpg?v=1774080718, friendlyName=Open</x:v>
      </x:c>
      <x:c r="C7861" s="24" t="e">
        <x:f>HYPERLINK("https://365nails.com/products/cosmic-fatale-nude-watercolor-blush-long-sharp-stiletto-handmade-press-on-nails","Cosmic Fatale: ""Nude Watercolor Blush"" – Long Sharp Stiletto Handmade Press On Nails")</x:f>
        <x:v>HYPERLINK is not implemented. linkLocation=https://365nails.com/products/cosmic-fatale-nude-watercolor-blush-long-sharp-stiletto-handmade-press-on-nails, friendlyName=Cosmic Fatale: "Nude Watercolor Blush" – Long Sharp Stiletto Handmade Press On Nails</x:v>
      </x:c>
      <x:c r="D7861" s="18" t="str">
        <x:v>Size: XS / S / M / L</x:v>
      </x:c>
      <x:c r="E7861" s="25" t="str">
        <x:v>$3.99</x:v>
      </x:c>
      <x:c r="F7861" s="19" t="str">
        <x:v>5</x:v>
      </x:c>
    </x:row>
    <x:row r="7862" ht="93" customHeight="1">
      <x:c r="A7862" s="19" t="n">
        <x:v>7859</x:v>
      </x:c>
      <x:c r="B7862" s="22" t="e">
        <x:f>HYPERLINK("https://cdn.shopify.com/s/files/1/0918/6066/4603/files/fc6eab930b8eb5cfc806430a0a0e1434.jpg?v=1779204269","Open")</x:f>
        <x:v>HYPERLINK is not implemented. linkLocation=https://cdn.shopify.com/s/files/1/0918/6066/4603/files/fc6eab930b8eb5cfc806430a0a0e1434.jpg?v=1779204269, friendlyName=Open</x:v>
      </x:c>
      <x:c r="C7862" s="24" t="e">
        <x:f>HYPERLINK("https://365nails.com/products/365nails-spring-orchid-garden-handmade-medium-square-press-on-nails","365nails: ""Spring Orchid Garden"" – Handmade Medium Square Press-On Nails")</x:f>
        <x:v>HYPERLINK is not implemented. linkLocation=https://365nails.com/products/365nails-spring-orchid-garden-handmade-medium-square-press-on-nails, friendlyName=365nails: "Spring Orchid Garden" – Handmade Medium Square Press-On Nails</x:v>
      </x:c>
      <x:c r="D7862" s="18" t="str">
        <x:v>Size: XS / S / M / L</x:v>
      </x:c>
      <x:c r="E7862" s="25" t="str">
        <x:v>$3.99</x:v>
      </x:c>
      <x:c r="F7862" s="19" t="str">
        <x:v>5</x:v>
      </x:c>
    </x:row>
    <x:row r="7863" ht="93" customHeight="1">
      <x:c r="A7863" s="19" t="n">
        <x:v>7860</x:v>
      </x:c>
      <x:c r="B7863" s="22" t="e">
        <x:f>HYPERLINK("https://cdn.shopify.com/s/files/1/0918/6066/4603/files/a3af9d1436c899b8cc81607820583336.jpg?v=1779204107","Open")</x:f>
        <x:v>HYPERLINK is not implemented. linkLocation=https://cdn.shopify.com/s/files/1/0918/6066/4603/files/a3af9d1436c899b8cc81607820583336.jpg?v=1779204107, friendlyName=Open</x:v>
      </x:c>
      <x:c r="C7863" s="24" t="e">
        <x:f>HYPERLINK("https://365nails.com/products/365nails-blush-petal-bow-handmade-medium-square-press-on-nails","365nails: ""Blush Petal &amp; Bow"" – Handmade Medium Square Press-On Nails")</x:f>
        <x:v>HYPERLINK is not implemented. linkLocation=https://365nails.com/products/365nails-blush-petal-bow-handmade-medium-square-press-on-nails, friendlyName=365nails: "Blush Petal &amp; Bow" – Handmade Medium Square Press-On Nails</x:v>
      </x:c>
      <x:c r="D7863" s="18" t="str">
        <x:v>Size: XS / S / M / L</x:v>
      </x:c>
      <x:c r="E7863" s="25" t="str">
        <x:v>$3.99</x:v>
      </x:c>
      <x:c r="F7863" s="19" t="str">
        <x:v>5</x:v>
      </x:c>
    </x:row>
    <x:row r="7864" ht="93" customHeight="1">
      <x:c r="A7864" s="19" t="n">
        <x:v>7861</x:v>
      </x:c>
      <x:c r="B7864" s="22" t="e">
        <x:f>HYPERLINK("https://cdn.shopify.com/s/files/1/0918/6066/4603/files/3c900b48c2117c8e05dd315c4daa2411_4a1a30dc-8b94-44e9-a762-924e5639a542.jpg?v=1777645044","Open")</x:f>
        <x:v>HYPERLINK is not implemented. linkLocation=https://cdn.shopify.com/s/files/1/0918/6066/4603/files/3c900b48c2117c8e05dd315c4daa2411_4a1a30dc-8b94-44e9-a762-924e5639a542.jpg?v=1777645044, friendlyName=Open</x:v>
      </x:c>
      <x:c r="C7864" s="24" t="e">
        <x:f>HYPERLINK("https://365nails.com/products/365nails-fruit-basket-3d-foodie-handmade-medium-square-press-on-nails","365nails: ""Fruit Basket"" – 3D Foodie Handmade Medium Square Press On Nails")</x:f>
        <x:v>HYPERLINK is not implemented. linkLocation=https://365nails.com/products/365nails-fruit-basket-3d-foodie-handmade-medium-square-press-on-nails, friendlyName=365nails: "Fruit Basket" – 3D Foodie Handmade Medium Square Press On Nails</x:v>
      </x:c>
      <x:c r="D7864" s="18" t="str">
        <x:v>Size: XS / S / M / L</x:v>
      </x:c>
      <x:c r="E7864" s="25" t="str">
        <x:v>$4.99</x:v>
      </x:c>
      <x:c r="F7864" s="19" t="str">
        <x:v>5</x:v>
      </x:c>
    </x:row>
    <x:row r="7865" ht="93" customHeight="1">
      <x:c r="A7865" s="19" t="n">
        <x:v>7862</x:v>
      </x:c>
      <x:c r="B7865" s="22" t="e">
        <x:f>HYPERLINK("https://cdn.shopify.com/s/files/1/0918/6066/4603/files/O1CN014FXZjD1HlX2cJdMjd__2545140798-0-cib_db7a93c1-b9ee-46d4-b97e-c36d6b402f33.jpg?v=1775454099","Open")</x:f>
        <x:v>HYPERLINK is not implemented. linkLocation=https://cdn.shopify.com/s/files/1/0918/6066/4603/files/O1CN014FXZjD1HlX2cJdMjd__2545140798-0-cib_db7a93c1-b9ee-46d4-b97e-c36d6b402f33.jpg?v=1775454099, friendlyName=Open</x:v>
      </x:c>
      <x:c r="C7865" s="24" t="e">
        <x:f>HYPERLINK("https://365nails.com/products/365nails-crystal-blue-butterfly-handmade-press-on-nails","365nails: ""Crystal Blue Butterfly"" – Nail Art Stickers")</x:f>
        <x:v>HYPERLINK is not implemented. linkLocation=https://365nails.com/products/365nails-crystal-blue-butterfly-handmade-press-on-nails, friendlyName=365nails: "Crystal Blue Butterfly" – Nail Art Stickers</x:v>
      </x:c>
      <x:c r="D7865" s="18" t="str">
        <x:v>Specification type: Ms599-1-jelly</x:v>
      </x:c>
      <x:c r="E7865" s="25" t="str">
        <x:v>$1.23</x:v>
      </x:c>
      <x:c r="F7865" s="19" t="str">
        <x:v>5</x:v>
      </x:c>
    </x:row>
    <x:row r="7866" ht="93" customHeight="1">
      <x:c r="A7866" s="19" t="n">
        <x:v>7863</x:v>
      </x:c>
      <x:c r="B7866" s="22" t="e">
        <x:f>HYPERLINK("https://cdn.shopify.com/s/files/1/0918/6066/4603/files/353a0907ad723fa1f78a3c4012236e1e.jpg?v=1775307768","Open")</x:f>
        <x:v>HYPERLINK is not implemented. linkLocation=https://cdn.shopify.com/s/files/1/0918/6066/4603/files/353a0907ad723fa1f78a3c4012236e1e.jpg?v=1775307768, friendlyName=Open</x:v>
      </x:c>
      <x:c r="C7866" s="24" t="e">
        <x:f>HYPERLINK("https://365nails.com/products/summer-bloom-rainbow-orchid-long-coffin-press-on-nails","Summer Bloom: ""Rainbow Orchid"" – Long Coffin Press-on Nails")</x:f>
        <x:v>HYPERLINK is not implemented. linkLocation=https://365nails.com/products/summer-bloom-rainbow-orchid-long-coffin-press-on-nails, friendlyName=Summer Bloom: "Rainbow Orchid" – Long Coffin Press-on Nails</x:v>
      </x:c>
      <x:c r="D7866" s="18" t="str">
        <x:v>Size: XS / S / M / L</x:v>
      </x:c>
      <x:c r="E7866" s="25" t="str">
        <x:v>$3.99</x:v>
      </x:c>
      <x:c r="F7866" s="19" t="str">
        <x:v>5</x:v>
      </x:c>
    </x:row>
    <x:row r="7867" ht="93" customHeight="1">
      <x:c r="A7867" s="19" t="n">
        <x:v>7864</x:v>
      </x:c>
      <x:c r="B7867" s="22" t="e">
        <x:f>HYPERLINK("https://cdn.shopify.com/s/files/1/0918/6066/4603/files/O1CN01MUslYg2MQzfV7eD9P__2219089449823-0-cib.jpg?v=1774521003","Open")</x:f>
        <x:v>HYPERLINK is not implemented. linkLocation=https://cdn.shopify.com/s/files/1/0918/6066/4603/files/O1CN01MUslYg2MQzfV7eD9P__2219089449823-0-cib.jpg?v=1774521003, friendlyName=Open</x:v>
      </x:c>
      <x:c r="C7867" s="24" t="e">
        <x:f>HYPERLINK("https://365nails.com/products/bold-bloom-scarlet-fantasy-almond-shape-press-on-nails","Bold Bloom: ""Scarlet Fantasy"" – Almond Shape Press-On Nails")</x:f>
        <x:v>HYPERLINK is not implemented. linkLocation=https://365nails.com/products/bold-bloom-scarlet-fantasy-almond-shape-press-on-nails, friendlyName=Bold Bloom: "Scarlet Fantasy" – Almond Shape Press-On Nails</x:v>
      </x:c>
      <x:c r="D7867" s="18" t="str">
        <x:v>Color: D627; Color classification: Xs / S / M / L</x:v>
      </x:c>
      <x:c r="E7867" s="25" t="str">
        <x:v>$3.49</x:v>
      </x:c>
      <x:c r="F7867" s="19" t="str">
        <x:v>1</x:v>
      </x:c>
    </x:row>
    <x:row r="7868" ht="93" customHeight="1">
      <x:c r="A7868" s="19" t="n">
        <x:v>7865</x:v>
      </x:c>
      <x:c r="B7868" s="22" t="e">
        <x:f>HYPERLINK("https://cdn.shopify.com/s/files/1/0918/6066/4603/files/c67001350adf5898952d2e91dbe11705.jpg?v=1777644931","Open")</x:f>
        <x:v>HYPERLINK is not implemented. linkLocation=https://cdn.shopify.com/s/files/1/0918/6066/4603/files/c67001350adf5898952d2e91dbe11705.jpg?v=1777644931, friendlyName=Open</x:v>
      </x:c>
      <x:c r="C7868" s="24" t="e">
        <x:f>HYPERLINK("https://365nails.com/products/365nails-citrus-splash-3d-sculpted-handmade-medium-almond-press-on-nails-1","365nails: ""Citrus Splash"" – 3D Sculpted Handmade Medium Almond Press On Nails")</x:f>
        <x:v>HYPERLINK is not implemented. linkLocation=https://365nails.com/products/365nails-citrus-splash-3d-sculpted-handmade-medium-almond-press-on-nails-1, friendlyName=365nails: "Citrus Splash" – 3D Sculpted Handmade Medium Almond Press On Nails</x:v>
      </x:c>
      <x:c r="D7868" s="18" t="str">
        <x:v>Size: XS / S / M / L</x:v>
      </x:c>
      <x:c r="E7868" s="25" t="str">
        <x:v>$4.99</x:v>
      </x:c>
      <x:c r="F7868" s="19" t="str">
        <x:v>5</x:v>
      </x:c>
    </x:row>
    <x:row r="7869" ht="93" customHeight="1">
      <x:c r="A7869" s="19" t="n">
        <x:v>7866</x:v>
      </x:c>
      <x:c r="B7869" s="22" t="e">
        <x:f>HYPERLINK("https://cdn.shopify.com/s/files/1/0918/6066/4603/files/9c9b8e938afbf96126b374929ff072aa_78d027d4-1d70-4c73-982f-65a4fee92ebf.jpg?v=1777644958","Open")</x:f>
        <x:v>HYPERLINK is not implemented. linkLocation=https://cdn.shopify.com/s/files/1/0918/6066/4603/files/9c9b8e938afbf96126b374929ff072aa_78d027d4-1d70-4c73-982f-65a4fee92ebf.jpg?v=1777644958, friendlyName=Open</x:v>
      </x:c>
      <x:c r="C7869" s="24" t="e">
        <x:f>HYPERLINK("https://365nails.com/products/365nails-mediterranean-lemon-handmade-medium-almond-press-on-nails","365nails: ""Mediterranean Lemon"" – Handmade Medium Almond Press On Nails")</x:f>
        <x:v>HYPERLINK is not implemented. linkLocation=https://365nails.com/products/365nails-mediterranean-lemon-handmade-medium-almond-press-on-nails, friendlyName=365nails: "Mediterranean Lemon" – Handmade Medium Almond Press On Nails</x:v>
      </x:c>
      <x:c r="D7869" s="18" t="str">
        <x:v>Size: XS / S / M / L</x:v>
      </x:c>
      <x:c r="E7869" s="25" t="str">
        <x:v>$4.99</x:v>
      </x:c>
      <x:c r="F7869" s="19" t="str">
        <x:v>5</x:v>
      </x:c>
    </x:row>
    <x:row r="7870" ht="93" customHeight="1">
      <x:c r="A7870" s="19" t="n">
        <x:v>7867</x:v>
      </x:c>
      <x:c r="B7870" s="22" t="e">
        <x:f>HYPERLINK("https://cdn.shopify.com/s/files/1/0918/6066/4603/files/30440bc6a7b05de37ce48a820b149077.jpg?v=1777642665","Open")</x:f>
        <x:v>HYPERLINK is not implemented. linkLocation=https://cdn.shopify.com/s/files/1/0918/6066/4603/files/30440bc6a7b05de37ce48a820b149077.jpg?v=1777642665, friendlyName=Open</x:v>
      </x:c>
      <x:c r="C7870" s="24" t="e">
        <x:f>HYPERLINK("https://365nails.com/products/365nails-blush-kiss-3d-crystal-handmade-long-stiletto-press-on-nails","365nails: ""Blush Kiss"" – 3D Crystal Handmade Long Stiletto Press On Nails")</x:f>
        <x:v>HYPERLINK is not implemented. linkLocation=https://365nails.com/products/365nails-blush-kiss-3d-crystal-handmade-long-stiletto-press-on-nails, friendlyName=365nails: "Blush Kiss" – 3D Crystal Handmade Long Stiletto Press On Nails</x:v>
      </x:c>
      <x:c r="D7870" s="18" t="str">
        <x:v>Size: XS / S / M / L</x:v>
      </x:c>
      <x:c r="E7870" s="25" t="str">
        <x:v>$4.99</x:v>
      </x:c>
      <x:c r="F7870" s="19" t="str">
        <x:v>5</x:v>
      </x:c>
    </x:row>
    <x:row r="7871" ht="93" customHeight="1">
      <x:c r="A7871" s="19" t="n">
        <x:v>7868</x:v>
      </x:c>
      <x:c r="B7871" s="22" t="e">
        <x:f>HYPERLINK("https://cdn.shopify.com/s/files/1/0918/6066/4603/files/6abc80a1b1dea99f33542ff1b9c85a03.jpg?v=1779204332","Open")</x:f>
        <x:v>HYPERLINK is not implemented. linkLocation=https://cdn.shopify.com/s/files/1/0918/6066/4603/files/6abc80a1b1dea99f33542ff1b9c85a03.jpg?v=1779204332, friendlyName=Open</x:v>
      </x:c>
      <x:c r="C7871" s="24" t="e">
        <x:f>HYPERLINK("https://365nails.com/products/365nails-pink-orchid-pearl-handmade-medium-square-press-on-nails","365nails: ""Pink Orchid &amp; Pearl"" – Handmade Medium Square Press-On Nails")</x:f>
        <x:v>HYPERLINK is not implemented. linkLocation=https://365nails.com/products/365nails-pink-orchid-pearl-handmade-medium-square-press-on-nails, friendlyName=365nails: "Pink Orchid &amp; Pearl" – Handmade Medium Square Press-On Nails</x:v>
      </x:c>
      <x:c r="D7871" s="18" t="str">
        <x:v>Size: XS / S / M / L</x:v>
      </x:c>
      <x:c r="E7871" s="25" t="str">
        <x:v>$3.99</x:v>
      </x:c>
      <x:c r="F7871" s="19" t="str">
        <x:v>5</x:v>
      </x:c>
    </x:row>
    <x:row r="7872" ht="93" customHeight="1">
      <x:c r="A7872" s="19" t="n">
        <x:v>7869</x:v>
      </x:c>
      <x:c r="B7872" s="22" t="e">
        <x:f>HYPERLINK("https://cdn.shopify.com/s/files/1/0918/6066/4603/files/907936b8fcfd3c573f8c6a78eb9b0fed.jpg?v=1777645026","Open")</x:f>
        <x:v>HYPERLINK is not implemented. linkLocation=https://cdn.shopify.com/s/files/1/0918/6066/4603/files/907936b8fcfd3c573f8c6a78eb9b0fed.jpg?v=1777645026, friendlyName=Open</x:v>
      </x:c>
      <x:c r="C7872" s="24" t="e">
        <x:f>HYPERLINK("https://365nails.com/products/365nails-lush-garden-cherry-3d-floral-fruit-handmade-long-stiletto-press-on-nails","365nails: ""Lush Garden Cherry"" – 3D Floral &amp; Fruit Handmade Long Stiletto Press On Nails")</x:f>
        <x:v>HYPERLINK is not implemented. linkLocation=https://365nails.com/products/365nails-lush-garden-cherry-3d-floral-fruit-handmade-long-stiletto-press-on-nails, friendlyName=365nails: "Lush Garden Cherry" – 3D Floral &amp; Fruit Handmade Long Stiletto Press On Nails</x:v>
      </x:c>
      <x:c r="D7872" s="18" t="str">
        <x:v>Size: XS / S / M / L</x:v>
      </x:c>
      <x:c r="E7872" s="25" t="str">
        <x:v>$4.99</x:v>
      </x:c>
      <x:c r="F7872" s="19" t="str">
        <x:v>5</x:v>
      </x:c>
    </x:row>
    <x:row r="7873" ht="93" customHeight="1">
      <x:c r="A7873" s="19" t="n">
        <x:v>7870</x:v>
      </x:c>
      <x:c r="B7873" s="22" t="e">
        <x:f>HYPERLINK("https://cdn.shopify.com/s/files/1/0918/6066/4603/files/O1CN015N50fh1HlX57mfAbe__2545140798-0-cib.jpg?v=1773652850","Open")</x:f>
        <x:v>HYPERLINK is not implemented. linkLocation=https://cdn.shopify.com/s/files/1/0918/6066/4603/files/O1CN015N50fh1HlX57mfAbe__2545140798-0-cib.jpg?v=1773652850, friendlyName=Open</x:v>
      </x:c>
      <x:c r="C7873" s="24" t="e">
        <x:f>HYPERLINK("https://365nails.com/products/gothic-rose-mirror-frame-grimm-s-fairy-tale-mirror-5d-embossed-nail-sticker","Gothic Rose Mirror Frame: ""Grimm’s Fairy Tale Mirror"" – 5D Embossed Nail Sticker")</x:f>
        <x:v>HYPERLINK is not implemented. linkLocation=https://365nails.com/products/gothic-rose-mirror-frame-grimm-s-fairy-tale-mirror-5d-embossed-nail-sticker, friendlyName=Gothic Rose Mirror Frame: "Grimm’s Fairy Tale Mirror" – 5D Embossed Nail Sticker</x:v>
      </x:c>
      <x:c r="D7873" s="18" t="str">
        <x:v>Specification type: Ms746-metal / Ms747-metal / Ms748-metal</x:v>
      </x:c>
      <x:c r="E7873" s="25" t="str">
        <x:v>$1.23</x:v>
      </x:c>
      <x:c r="F7873" s="19" t="str">
        <x:v>5</x:v>
      </x:c>
    </x:row>
    <x:row r="7874" ht="93" customHeight="1">
      <x:c r="A7874" s="19" t="n">
        <x:v>7871</x:v>
      </x:c>
      <x:c r="B7874" s="22" t="e">
        <x:f>HYPERLINK("https://cdn.shopify.com/s/files/1/0918/6066/4603/files/01cead7be3e7b530896a19603da6f6e1.jpg?v=1777644982","Open")</x:f>
        <x:v>HYPERLINK is not implemented. linkLocation=https://cdn.shopify.com/s/files/1/0918/6066/4603/files/01cead7be3e7b530896a19603da6f6e1.jpg?v=1777644982, friendlyName=Open</x:v>
      </x:c>
      <x:c r="C7874" s="24" t="e">
        <x:f>HYPERLINK("https://365nails.com/products/365nails-fruit-picnic-3d-handmade-long-square-press-on-nails","365nails: ""Fruit Picnic"" – 3D Handmade Long Square Press On Nails")</x:f>
        <x:v>HYPERLINK is not implemented. linkLocation=https://365nails.com/products/365nails-fruit-picnic-3d-handmade-long-square-press-on-nails, friendlyName=365nails: "Fruit Picnic" – 3D Handmade Long Square Press On Nails</x:v>
      </x:c>
      <x:c r="D7874" s="18" t="str">
        <x:v>Size: XS / S / M / L</x:v>
      </x:c>
      <x:c r="E7874" s="25" t="str">
        <x:v>$4.99</x:v>
      </x:c>
      <x:c r="F7874" s="19" t="str">
        <x:v>5</x:v>
      </x:c>
    </x:row>
    <x:row r="7875" ht="93" customHeight="1">
      <x:c r="A7875" s="19" t="n">
        <x:v>7872</x:v>
      </x:c>
      <x:c r="B7875" s="22" t="e">
        <x:f>HYPERLINK("https://cdn.shopify.com/s/files/1/0918/6066/4603/files/fabeee9b9ffcefa2360a5dd512ffc104.jpg?v=1777645070","Open")</x:f>
        <x:v>HYPERLINK is not implemented. linkLocation=https://cdn.shopify.com/s/files/1/0918/6066/4603/files/fabeee9b9ffcefa2360a5dd512ffc104.jpg?v=1777645070, friendlyName=Open</x:v>
      </x:c>
      <x:c r="C7875" s="24" t="e">
        <x:f>HYPERLINK("https://365nails.com/products/365nails-orchard-bloom-3d-floral-fruit-handmade-medium-almond-press-on-nails","365nails: ""Orchard Bloom"" – 3D Floral &amp; Fruit Handmade Medium Almond Press On Nails")</x:f>
        <x:v>HYPERLINK is not implemented. linkLocation=https://365nails.com/products/365nails-orchard-bloom-3d-floral-fruit-handmade-medium-almond-press-on-nails, friendlyName=365nails: "Orchard Bloom" – 3D Floral &amp; Fruit Handmade Medium Almond Press On Nails</x:v>
      </x:c>
      <x:c r="D7875" s="18" t="str">
        <x:v>Size: XS / S / M / L</x:v>
      </x:c>
      <x:c r="E7875" s="25" t="str">
        <x:v>$4.99</x:v>
      </x:c>
      <x:c r="F7875" s="19" t="str">
        <x:v>5</x:v>
      </x:c>
    </x:row>
    <x:row r="7876" ht="93" customHeight="1">
      <x:c r="A7876" s="19" t="n">
        <x:v>7873</x:v>
      </x:c>
      <x:c r="B7876" s="22" t="e">
        <x:f>HYPERLINK("https://cdn.shopify.com/s/files/1/0918/6066/4603/files/3975afd355080eff8a3597919f020a8b.jpg?v=1777643108","Open")</x:f>
        <x:v>HYPERLINK is not implemented. linkLocation=https://cdn.shopify.com/s/files/1/0918/6066/4603/files/3975afd355080eff8a3597919f020a8b.jpg?v=1777643108, friendlyName=Open</x:v>
      </x:c>
      <x:c r="C7876" s="24" t="e">
        <x:f>HYPERLINK("https://365nails.com/products/365nails-y2k-pop-party-3d-gem-handmade-medium-almond-press-on-nails","365nails: ""Y2K Pop Party"" – 3D Gem Handmade Medium Almond Press On Nails")</x:f>
        <x:v>HYPERLINK is not implemented. linkLocation=https://365nails.com/products/365nails-y2k-pop-party-3d-gem-handmade-medium-almond-press-on-nails, friendlyName=365nails: "Y2K Pop Party" – 3D Gem Handmade Medium Almond Press On Nails</x:v>
      </x:c>
      <x:c r="D7876" s="18" t="str">
        <x:v>Size: XS / S / M / L</x:v>
      </x:c>
      <x:c r="E7876" s="25" t="str">
        <x:v>$4.99</x:v>
      </x:c>
      <x:c r="F7876" s="19" t="str">
        <x:v>5</x:v>
      </x:c>
    </x:row>
    <x:row r="7877" ht="93" customHeight="1">
      <x:c r="A7877" s="19" t="n">
        <x:v>7874</x:v>
      </x:c>
      <x:c r="B7877" s="22" t="e">
        <x:f>HYPERLINK("https://cdn.shopify.com/s/files/1/0918/6066/4603/files/dae82418f72f224765f17fa7c999c291.jpg?v=1779283096","Open")</x:f>
        <x:v>HYPERLINK is not implemented. linkLocation=https://cdn.shopify.com/s/files/1/0918/6066/4603/files/dae82418f72f224765f17fa7c999c291.jpg?v=1779283096, friendlyName=Open</x:v>
      </x:c>
      <x:c r="C7877" s="24" t="e">
        <x:f>HYPERLINK("https://365nails.com/products/365nails-fruity-garden-picnic-handmade-medium-square-press-on-nails","365nails: ""Fruity Garden Picnic"" – Handmade Medium Square Press-On Nails")</x:f>
        <x:v>HYPERLINK is not implemented. linkLocation=https://365nails.com/products/365nails-fruity-garden-picnic-handmade-medium-square-press-on-nails, friendlyName=365nails: "Fruity Garden Picnic" – Handmade Medium Square Press-On Nails</x:v>
      </x:c>
      <x:c r="D7877" s="18" t="str">
        <x:v>Size: XS / S / M / L</x:v>
      </x:c>
      <x:c r="E7877" s="25" t="str">
        <x:v>$3.99</x:v>
      </x:c>
      <x:c r="F7877" s="19" t="str">
        <x:v>5</x:v>
      </x:c>
    </x:row>
    <x:row r="7878" ht="93" customHeight="1">
      <x:c r="A7878" s="19" t="n">
        <x:v>7875</x:v>
      </x:c>
      <x:c r="B7878" s="22" t="e">
        <x:f>HYPERLINK("https://cdn.shopify.com/s/files/1/0918/6066/4603/files/a736506f1d146a63e5035b18e864fcec_d93be3e8-ad5c-430f-aa77-c86a3230dede.jpg?v=1777645059","Open")</x:f>
        <x:v>HYPERLINK is not implemented. linkLocation=https://cdn.shopify.com/s/files/1/0918/6066/4603/files/a736506f1d146a63e5035b18e864fcec_d93be3e8-ad5c-430f-aa77-c86a3230dede.jpg?v=1777645059, friendlyName=Open</x:v>
      </x:c>
      <x:c r="C7878" s="24" t="e">
        <x:f>HYPERLINK("https://365nails.com/products/365nails-retro-cherry-bloom-3d-floral-fruit-handmade-medium-almond-press-on-nails","365nails: ""Retro Cherry Bloom"" – 3D Floral &amp; Fruit Handmade Medium Almond Press On Nails")</x:f>
        <x:v>HYPERLINK is not implemented. linkLocation=https://365nails.com/products/365nails-retro-cherry-bloom-3d-floral-fruit-handmade-medium-almond-press-on-nails, friendlyName=365nails: "Retro Cherry Bloom" – 3D Floral &amp; Fruit Handmade Medium Almond Press On Nails</x:v>
      </x:c>
      <x:c r="D7878" s="18" t="str">
        <x:v>Size: XS / S / M / L</x:v>
      </x:c>
      <x:c r="E7878" s="25" t="str">
        <x:v>$4.99</x:v>
      </x:c>
      <x:c r="F7878" s="19" t="str">
        <x:v>5</x:v>
      </x:c>
    </x:row>
    <x:row r="7879" ht="93" customHeight="1">
      <x:c r="A7879" s="19" t="n">
        <x:v>7876</x:v>
      </x:c>
      <x:c r="B7879" s="22" t="e">
        <x:f>HYPERLINK("https://cdn.shopify.com/s/files/1/0918/6066/4603/files/da6319c0af92027da23f1ebd2cbc89c4.jpg?v=1768892625","Open")</x:f>
        <x:v>HYPERLINK is not implemented. linkLocation=https://cdn.shopify.com/s/files/1/0918/6066/4603/files/da6319c0af92027da23f1ebd2cbc89c4.jpg?v=1768892625, friendlyName=Open</x:v>
      </x:c>
      <x:c r="C7879" s="24" t="e">
        <x:f>HYPERLINK("https://365nails.com/products/phantom-purple-dragon-nails-void-magic-dark-mysticism","Phantom Purple Dragon Nails｜Void Magic &amp; Dark Mysticism")</x:f>
        <x:v>HYPERLINK is not implemented. linkLocation=https://365nails.com/products/phantom-purple-dragon-nails-void-magic-dark-mysticism, friendlyName=Phantom Purple Dragon Nails｜Void Magic &amp; Dark Mysticism</x:v>
      </x:c>
      <x:c r="D7879" s="18" t="str">
        <x:v>Size: XS / S / M / L; length: 25mm / 40mm</x:v>
      </x:c>
      <x:c r="E7879" s="25" t="str">
        <x:v>$6.99</x:v>
      </x:c>
      <x:c r="F7879" s="19" t="str">
        <x:v>1</x:v>
      </x:c>
    </x:row>
    <x:row r="7880" ht="93" customHeight="1">
      <x:c r="A7880" s="19" t="n">
        <x:v>7877</x:v>
      </x:c>
      <x:c r="B7880" s="22" t="e">
        <x:f>HYPERLINK("https://cdn.shopify.com/s/files/1/0918/6066/4603/files/821145af3cf8dad74381f47313cdce8c.jpg?v=1777642528","Open")</x:f>
        <x:v>HYPERLINK is not implemented. linkLocation=https://cdn.shopify.com/s/files/1/0918/6066/4603/files/821145af3cf8dad74381f47313cdce8c.jpg?v=1777642528, friendlyName=Open</x:v>
      </x:c>
      <x:c r="C7880" s="24" t="e">
        <x:f>HYPERLINK("https://365nails.com/products/365nails-fruit-splash-3d-sculpted-handmade-long-square-press-on-nails","365nails: ""Fruit Splash"" – 3D Sculpted Handmade Long Square Press On Nails")</x:f>
        <x:v>HYPERLINK is not implemented. linkLocation=https://365nails.com/products/365nails-fruit-splash-3d-sculpted-handmade-long-square-press-on-nails, friendlyName=365nails: "Fruit Splash" – 3D Sculpted Handmade Long Square Press On Nails</x:v>
      </x:c>
      <x:c r="D7880" s="18" t="str">
        <x:v>Size: XS / S / M / L</x:v>
      </x:c>
      <x:c r="E7880" s="25" t="str">
        <x:v>$4.99</x:v>
      </x:c>
      <x:c r="F7880" s="19" t="str">
        <x:v>5</x:v>
      </x:c>
    </x:row>
    <x:row r="7881" ht="93" customHeight="1">
      <x:c r="A7881" s="19" t="n">
        <x:v>7878</x:v>
      </x:c>
      <x:c r="B7881" s="22" t="e">
        <x:f>HYPERLINK("https://cdn.shopify.com/s/files/1/0918/6066/4603/files/f17c84e6ea9b9485203c783a2afbd28c.jpg?v=1768891848","Open")</x:f>
        <x:v>HYPERLINK is not implemented. linkLocation=https://cdn.shopify.com/s/files/1/0918/6066/4603/files/f17c84e6ea9b9485203c783a2afbd28c.jpg?v=1768891848, friendlyName=Open</x:v>
      </x:c>
      <x:c r="C7881" s="24" t="e">
        <x:f>HYPERLINK("https://365nails.com/products/pink-crystal-dragon-cat-eye-stiletto-press-on-nails-fairy-dragon-magnetic-shimmer","Pink Crystal Dragon Cat Eye Stiletto Press On Nails｜Fairy Dragon Magnetic Shimmer")</x:f>
        <x:v>HYPERLINK is not implemented. linkLocation=https://365nails.com/products/pink-crystal-dragon-cat-eye-stiletto-press-on-nails-fairy-dragon-magnetic-shimmer, friendlyName=Pink Crystal Dragon Cat Eye Stiletto Press On Nails｜Fairy Dragon Magnetic Shimmer</x:v>
      </x:c>
      <x:c r="D7881" s="18" t="str">
        <x:v>Size: XS / S / M / L; length: 25mm / 40mm</x:v>
      </x:c>
      <x:c r="E7881" s="25" t="str">
        <x:v>$9.99</x:v>
      </x:c>
      <x:c r="F7881" s="19" t="str">
        <x:v>1</x:v>
      </x:c>
    </x:row>
    <x:row r="7882" ht="93" customHeight="1">
      <x:c r="A7882" s="19" t="n">
        <x:v>7879</x:v>
      </x:c>
      <x:c r="B7882" s="22" t="e">
        <x:f>HYPERLINK("https://cdn.shopify.com/s/files/1/0918/6066/4603/files/132f315581f975e6409505df85e91cdb.jpg?v=1768893722","Open")</x:f>
        <x:v>HYPERLINK is not implemented. linkLocation=https://cdn.shopify.com/s/files/1/0918/6066/4603/files/132f315581f975e6409505df85e91cdb.jpg?v=1768893722, friendlyName=Open</x:v>
      </x:c>
      <x:c r="C7882" s="24" t="e">
        <x:f>HYPERLINK("https://365nails.com/products/handmade-smudge-series-golden-amber-caramel-latte-fluid-art-nails","Golden Amber &amp; Caramel Latte Fluid Art Nails｜Handmade Smudge Series(moq=30)")</x:f>
        <x:v>HYPERLINK is not implemented. linkLocation=https://365nails.com/products/handmade-smudge-series-golden-amber-caramel-latte-fluid-art-nails, friendlyName=Golden Amber &amp; Caramel Latte Fluid Art Nails｜Handmade Smudge Series(moq=30)</x:v>
      </x:c>
      <x:c r="D7882" s="18" t="str">
        <x:v>Size: XS / S / M / L</x:v>
      </x:c>
      <x:c r="E7882" s="25" t="str">
        <x:v>$2.99</x:v>
      </x:c>
      <x:c r="F7882" s="19" t="str">
        <x:v>30</x:v>
      </x:c>
    </x:row>
    <x:row r="7883" ht="93" customHeight="1">
      <x:c r="A7883" s="19" t="n">
        <x:v>7880</x:v>
      </x:c>
      <x:c r="B7883" s="22" t="e">
        <x:f>HYPERLINK("https://cdn.shopify.com/s/files/1/0918/6066/4603/files/d58b07f7b823d6fd646e6a0ecc3decbf.jpg?v=1775221585","Open")</x:f>
        <x:v>HYPERLINK is not implemented. linkLocation=https://cdn.shopify.com/s/files/1/0918/6066/4603/files/d58b07f7b823d6fd646e6a0ecc3decbf.jpg?v=1775221585, friendlyName=Open</x:v>
      </x:c>
      <x:c r="C7883" s="24" t="e">
        <x:f>HYPERLINK("https://365nails.com/products/nude-elegance-blush-cross-long-stiletto-press-on-nails","Nude Elegance: ""Blush Cross"" – Long Stiletto Press-on Nails")</x:f>
        <x:v>HYPERLINK is not implemented. linkLocation=https://365nails.com/products/nude-elegance-blush-cross-long-stiletto-press-on-nails, friendlyName=Nude Elegance: "Blush Cross" – Long Stiletto Press-on Nails</x:v>
      </x:c>
      <x:c r="D7883" s="18" t="str">
        <x:v>Size: XS / S / M / L</x:v>
      </x:c>
      <x:c r="E7883" s="25" t="str">
        <x:v>$3.99</x:v>
      </x:c>
      <x:c r="F7883" s="19" t="str">
        <x:v>3</x:v>
      </x:c>
    </x:row>
    <x:row r="7884" ht="93" customHeight="1">
      <x:c r="A7884" s="19" t="n">
        <x:v>7881</x:v>
      </x:c>
      <x:c r="B7884" s="22" t="e">
        <x:f>HYPERLINK("https://cdn.shopify.com/s/files/1/0918/6066/4603/files/f37d5ef7b043590dc3c687e95a18c88f.jpg?v=1775307598","Open")</x:f>
        <x:v>HYPERLINK is not implemented. linkLocation=https://cdn.shopify.com/s/files/1/0918/6066/4603/files/f37d5ef7b043590dc3c687e95a18c88f.jpg?v=1775307598, friendlyName=Open</x:v>
      </x:c>
      <x:c r="C7884" s="24" t="e">
        <x:f>HYPERLINK("https://365nails.com/products/chic-bloom-dalmatian-lily-long-coffin-press-on-nails","Chic Bloom: ""Dalmatian Lily"" – Long Coffin Press-on Nails")</x:f>
        <x:v>HYPERLINK is not implemented. linkLocation=https://365nails.com/products/chic-bloom-dalmatian-lily-long-coffin-press-on-nails, friendlyName=Chic Bloom: "Dalmatian Lily" – Long Coffin Press-on Nails</x:v>
      </x:c>
      <x:c r="D7884" s="18" t="str">
        <x:v>Size: XS / S / M / L</x:v>
      </x:c>
      <x:c r="E7884" s="25" t="str">
        <x:v>$3.99</x:v>
      </x:c>
      <x:c r="F7884" s="19" t="str">
        <x:v>5</x:v>
      </x:c>
    </x:row>
    <x:row r="7885" ht="93" customHeight="1">
      <x:c r="A7885" s="19" t="n">
        <x:v>7882</x:v>
      </x:c>
      <x:c r="B7885" s="22" t="e">
        <x:f>HYPERLINK("https://cdn.shopify.com/s/files/1/0918/6066/4603/files/e75fe2620335733056f2ffee7095900f.jpg?v=1768895751","Open")</x:f>
        <x:v>HYPERLINK is not implemented. linkLocation=https://cdn.shopify.com/s/files/1/0918/6066/4603/files/e75fe2620335733056f2ffee7095900f.jpg?v=1768895751, friendlyName=Open</x:v>
      </x:c>
      <x:c r="C7885" s="24" t="e">
        <x:f>HYPERLINK("https://365nails.com/products/handmade-smudge-series-golden-years-dusty-rose-amber-nails","Golden Years &amp; Dusty Rose Amber Nails｜Handmade Smudge Series(moq=30)")</x:f>
        <x:v>HYPERLINK is not implemented. linkLocation=https://365nails.com/products/handmade-smudge-series-golden-years-dusty-rose-amber-nails, friendlyName=Golden Years &amp; Dusty Rose Amber Nails｜Handmade Smudge Series(moq=30)</x:v>
      </x:c>
      <x:c r="D7885" s="18" t="str">
        <x:v>Size: XS / S / M / L</x:v>
      </x:c>
      <x:c r="E7885" s="25" t="str">
        <x:v>$2.99</x:v>
      </x:c>
      <x:c r="F7885" s="19" t="str">
        <x:v>30</x:v>
      </x:c>
    </x:row>
    <x:row r="7886" ht="93" customHeight="1">
      <x:c r="A7886" s="19" t="n">
        <x:v>7883</x:v>
      </x:c>
      <x:c r="B7886" s="22" t="e">
        <x:f>HYPERLINK("https://cdn.shopify.com/s/files/1/0918/6066/4603/files/1a6c65c34db1eed44a167549c19425c0.jpg?v=1779282937","Open")</x:f>
        <x:v>HYPERLINK is not implemented. linkLocation=https://cdn.shopify.com/s/files/1/0918/6066/4603/files/1a6c65c34db1eed44a167549c19425c0.jpg?v=1779282937, friendlyName=Open</x:v>
      </x:c>
      <x:c r="C7886" s="24" t="e">
        <x:f>HYPERLINK("https://365nails.com/products/365nails-tropical-pink-orchid-handmade-medium-square-press-on-nails","365nails: ""Tropical Pink Orchid"" – Handmade Medium Square Press-On Nails")</x:f>
        <x:v>HYPERLINK is not implemented. linkLocation=https://365nails.com/products/365nails-tropical-pink-orchid-handmade-medium-square-press-on-nails, friendlyName=365nails: "Tropical Pink Orchid" – Handmade Medium Square Press-On Nails</x:v>
      </x:c>
      <x:c r="D7886" s="18" t="str">
        <x:v>Size: XS / S / M / L</x:v>
      </x:c>
      <x:c r="E7886" s="25" t="str">
        <x:v>$3.99</x:v>
      </x:c>
      <x:c r="F7886" s="19" t="str">
        <x:v>5</x:v>
      </x:c>
    </x:row>
    <x:row r="7887" ht="93" customHeight="1">
      <x:c r="A7887" s="19" t="n">
        <x:v>7884</x:v>
      </x:c>
      <x:c r="B7887" s="22" t="e">
        <x:f>HYPERLINK("https://cdn.shopify.com/s/files/1/0918/6066/4603/files/d65c1a691adddf1ad536d6ff48019a36.jpg?v=1779281734","Open")</x:f>
        <x:v>HYPERLINK is not implemented. linkLocation=https://cdn.shopify.com/s/files/1/0918/6066/4603/files/d65c1a691adddf1ad536d6ff48019a36.jpg?v=1779281734, friendlyName=Open</x:v>
      </x:c>
      <x:c r="C7887" s="24" t="e">
        <x:f>HYPERLINK("https://365nails.com/products/365nails-scarlet-sunflower-handmade-medium-square-press-on-nails","365nails: ""Scarlet Sunflower"" – Handmade Medium Square Press-On Nails")</x:f>
        <x:v>HYPERLINK is not implemented. linkLocation=https://365nails.com/products/365nails-scarlet-sunflower-handmade-medium-square-press-on-nails, friendlyName=365nails: "Scarlet Sunflower" – Handmade Medium Square Press-On Nails</x:v>
      </x:c>
      <x:c r="D7887" s="18" t="str">
        <x:v>Size: XS / S / M / L</x:v>
      </x:c>
      <x:c r="E7887" s="25" t="str">
        <x:v>$3.99</x:v>
      </x:c>
      <x:c r="F7887" s="19" t="str">
        <x:v>5</x:v>
      </x:c>
    </x:row>
    <x:row r="7888" ht="93" customHeight="1">
      <x:c r="A7888" s="19" t="n">
        <x:v>7885</x:v>
      </x:c>
      <x:c r="B7888" s="22" t="e">
        <x:f>HYPERLINK("https://cdn.shopify.com/s/files/1/0918/6066/4603/files/68b42d01ea64783af1c3f2bdec194375_15189bfb-5c47-42df-bd0a-073293b6c614.jpg?v=1775220776","Open")</x:f>
        <x:v>HYPERLINK is not implemented. linkLocation=https://cdn.shopify.com/s/files/1/0918/6066/4603/files/68b42d01ea64783af1c3f2bdec194375_15189bfb-5c47-42df-bd0a-073293b6c614.jpg?v=1775220776, friendlyName=Open</x:v>
      </x:c>
      <x:c r="C7888" s="24" t="e">
        <x:f>HYPERLINK("https://365nails.com/products/blood-gothic-crimson-heresy-long-stiletto-press-on-nails","Blood Gothic: ""Crimson Heresy"" – Long Stiletto Press-on Nails")</x:f>
        <x:v>HYPERLINK is not implemented. linkLocation=https://365nails.com/products/blood-gothic-crimson-heresy-long-stiletto-press-on-nails, friendlyName=Blood Gothic: "Crimson Heresy" – Long Stiletto Press-on Nails</x:v>
      </x:c>
      <x:c r="D7888" s="18" t="str">
        <x:v>Size: XS / S / M / L</x:v>
      </x:c>
      <x:c r="E7888" s="25" t="str">
        <x:v>$3.99</x:v>
      </x:c>
      <x:c r="F7888" s="19" t="str">
        <x:v>3</x:v>
      </x:c>
    </x:row>
    <x:row r="7889" ht="93" customHeight="1">
      <x:c r="A7889" s="19" t="n">
        <x:v>7886</x:v>
      </x:c>
      <x:c r="B7889" s="22" t="e">
        <x:f>HYPERLINK("https://cdn.shopify.com/s/files/1/0918/6066/4603/files/5b5ae16409db5fcd7bcd3cc83fb60d5b.jpg?v=1779284474","Open")</x:f>
        <x:v>HYPERLINK is not implemented. linkLocation=https://cdn.shopify.com/s/files/1/0918/6066/4603/files/5b5ae16409db5fcd7bcd3cc83fb60d5b.jpg?v=1779284474, friendlyName=Open</x:v>
      </x:c>
      <x:c r="C7889" s="24" t="e">
        <x:f>HYPERLINK("https://365nails.com/products/365nails-peach-tropical-bloom-handmade-medium-square-press-on-nails","365nails: ""Peach Tropical Bloom"" – Handmade Medium Square Press-On Nails")</x:f>
        <x:v>HYPERLINK is not implemented. linkLocation=https://365nails.com/products/365nails-peach-tropical-bloom-handmade-medium-square-press-on-nails, friendlyName=365nails: "Peach Tropical Bloom" – Handmade Medium Square Press-On Nails</x:v>
      </x:c>
      <x:c r="D7889" s="18" t="str">
        <x:v>Size: XS / S / M / L</x:v>
      </x:c>
      <x:c r="E7889" s="25" t="str">
        <x:v>$3.99</x:v>
      </x:c>
      <x:c r="F7889" s="19" t="str">
        <x:v>5</x:v>
      </x:c>
    </x:row>
    <x:row r="7890" ht="93" customHeight="1">
      <x:c r="A7890" s="19" t="n">
        <x:v>7887</x:v>
      </x:c>
      <x:c r="B7890" s="22" t="e">
        <x:f>HYPERLINK("https://cdn.shopify.com/s/files/1/0918/6066/4603/files/08e040fad24a2c1892497bfb51195e3a.jpg?v=1779204436","Open")</x:f>
        <x:v>HYPERLINK is not implemented. linkLocation=https://cdn.shopify.com/s/files/1/0918/6066/4603/files/08e040fad24a2c1892497bfb51195e3a.jpg?v=1779204436, friendlyName=Open</x:v>
      </x:c>
      <x:c r="C7890" s="24" t="e">
        <x:f>HYPERLINK("https://365nails.com/products/365nails-blush-french-sparkle-handmade-medium-square-press-on-nails","365nails: ""Blush French Sparkle"" – Handmade Medium Square Press-On Nails")</x:f>
        <x:v>HYPERLINK is not implemented. linkLocation=https://365nails.com/products/365nails-blush-french-sparkle-handmade-medium-square-press-on-nails, friendlyName=365nails: "Blush French Sparkle" – Handmade Medium Square Press-On Nails</x:v>
      </x:c>
      <x:c r="D7890" s="18" t="str">
        <x:v>Size: XS / S / M / L</x:v>
      </x:c>
      <x:c r="E7890" s="25" t="str">
        <x:v>$3.99</x:v>
      </x:c>
      <x:c r="F7890" s="19" t="str">
        <x:v>5</x:v>
      </x:c>
    </x:row>
    <x:row r="7891" ht="93" customHeight="1">
      <x:c r="A7891" s="19" t="n">
        <x:v>7888</x:v>
      </x:c>
      <x:c r="B7891" s="22" t="e">
        <x:f>HYPERLINK("https://cdn.shopify.com/s/files/1/0918/6066/4603/files/fc348131a12985a3362be8168d605053_0f816553-3194-47dc-9ae9-b4d18244e617.jpg?v=1779433346","Open")</x:f>
        <x:v>HYPERLINK is not implemented. linkLocation=https://cdn.shopify.com/s/files/1/0918/6066/4603/files/fc348131a12985a3362be8168d605053_0f816553-3194-47dc-9ae9-b4d18244e617.jpg?v=1779433346, friendlyName=Open</x:v>
      </x:c>
      <x:c r="C7891" s="24" t="e">
        <x:f>HYPERLINK("https://365nails.com/products/365nails-sunset-garden-french-handmade-medium-coffin-press-on-nails","365nails: ""Sunset Garden French"" – Handmade Medium Coffin Press-On Nails")</x:f>
        <x:v>HYPERLINK is not implemented. linkLocation=https://365nails.com/products/365nails-sunset-garden-french-handmade-medium-coffin-press-on-nails, friendlyName=365nails: "Sunset Garden French" – Handmade Medium Coffin Press-On Nails</x:v>
      </x:c>
      <x:c r="D7891" s="18" t="str">
        <x:v>Size: XS / S / M / L</x:v>
      </x:c>
      <x:c r="E7891" s="25" t="str">
        <x:v>$3.99</x:v>
      </x:c>
      <x:c r="F7891" s="19" t="str">
        <x:v>5</x:v>
      </x:c>
    </x:row>
    <x:row r="7892" ht="93" customHeight="1">
      <x:c r="A7892" s="19" t="n">
        <x:v>7889</x:v>
      </x:c>
      <x:c r="B7892" s="22" t="e">
        <x:f>HYPERLINK("https://cdn.shopify.com/s/files/1/0918/6066/4603/files/289fc652159a94704dd322de0a6ef15c.jpg?v=1779282706","Open")</x:f>
        <x:v>HYPERLINK is not implemented. linkLocation=https://cdn.shopify.com/s/files/1/0918/6066/4603/files/289fc652159a94704dd322de0a6ef15c.jpg?v=1779282706, friendlyName=Open</x:v>
      </x:c>
      <x:c r="C7892" s="24" t="e">
        <x:f>HYPERLINK("https://365nails.com/products/365nails-blush-pink-heart-petal-handmade-medium-square-press-on-nails","365nails: ""Blush Pink Heart Petal"" – Handmade Medium Square Press-On Nails")</x:f>
        <x:v>HYPERLINK is not implemented. linkLocation=https://365nails.com/products/365nails-blush-pink-heart-petal-handmade-medium-square-press-on-nails, friendlyName=365nails: "Blush Pink Heart Petal" – Handmade Medium Square Press-On Nails</x:v>
      </x:c>
      <x:c r="D7892" s="18" t="str">
        <x:v>Size: XS / S / M / L</x:v>
      </x:c>
      <x:c r="E7892" s="25" t="str">
        <x:v>$3.99</x:v>
      </x:c>
      <x:c r="F7892" s="19" t="str">
        <x:v>5</x:v>
      </x:c>
    </x:row>
    <x:row r="7893" ht="93" customHeight="1">
      <x:c r="A7893" s="19" t="n">
        <x:v>7890</x:v>
      </x:c>
      <x:c r="B7893" s="22" t="e">
        <x:f>HYPERLINK("https://cdn.shopify.com/s/files/1/0918/6066/4603/files/fb187253a653881649228735d1209b36.jpg?v=1779237359","Open")</x:f>
        <x:v>HYPERLINK is not implemented. linkLocation=https://cdn.shopify.com/s/files/1/0918/6066/4603/files/fb187253a653881649228735d1209b36.jpg?v=1779237359, friendlyName=Open</x:v>
      </x:c>
      <x:c r="C7893" s="24" t="e">
        <x:f>HYPERLINK("https://365nails.com/products/365nails-neon-pink-heart-bloom-handmade-medium-square-press-on-nails","365nails: ""Neon Pink Heart Bloom"" – Handmade Medium Square Press-On Nails")</x:f>
        <x:v>HYPERLINK is not implemented. linkLocation=https://365nails.com/products/365nails-neon-pink-heart-bloom-handmade-medium-square-press-on-nails, friendlyName=365nails: "Neon Pink Heart Bloom" – Handmade Medium Square Press-On Nails</x:v>
      </x:c>
      <x:c r="D7893" s="18" t="str">
        <x:v>Size: XS / S / M / L</x:v>
      </x:c>
      <x:c r="E7893" s="25" t="str">
        <x:v>$3.99</x:v>
      </x:c>
      <x:c r="F7893" s="19" t="str">
        <x:v>5</x:v>
      </x:c>
    </x:row>
    <x:row r="7894" ht="93" customHeight="1">
      <x:c r="A7894" s="19" t="n">
        <x:v>7891</x:v>
      </x:c>
      <x:c r="B7894" s="22" t="e">
        <x:f>HYPERLINK("https://cdn.shopify.com/s/files/1/0918/6066/4603/files/66b948cea6deab574113e78e33ed479e.jpg?v=1775220268","Open")</x:f>
        <x:v>HYPERLINK is not implemented. linkLocation=https://cdn.shopify.com/s/files/1/0918/6066/4603/files/66b948cea6deab574113e78e33ed479e.jpg?v=1775220268, friendlyName=Open</x:v>
      </x:c>
      <x:c r="C7894" s="24" t="e">
        <x:f>HYPERLINK("https://365nails.com/products/gothic-lace-crimson-devotion-long-stiletto-press-on-nails","Gothic Lace: ""Crimson Devotion"" – Long Stiletto Press-on Nails")</x:f>
        <x:v>HYPERLINK is not implemented. linkLocation=https://365nails.com/products/gothic-lace-crimson-devotion-long-stiletto-press-on-nails, friendlyName=Gothic Lace: "Crimson Devotion" – Long Stiletto Press-on Nails</x:v>
      </x:c>
      <x:c r="D7894" s="18" t="str">
        <x:v>Size: XS / S / M / L</x:v>
      </x:c>
      <x:c r="E7894" s="25" t="str">
        <x:v>$3.99</x:v>
      </x:c>
      <x:c r="F7894" s="19" t="str">
        <x:v>3</x:v>
      </x:c>
    </x:row>
    <x:row r="7895" ht="93" customHeight="1">
      <x:c r="A7895" s="19" t="n">
        <x:v>7892</x:v>
      </x:c>
      <x:c r="B7895" s="22" t="e">
        <x:f>HYPERLINK("https://cdn.shopify.com/s/files/1/0918/6066/4603/files/fc348131a12985a3362be8168d605053.jpg?v=1779284102","Open")</x:f>
        <x:v>HYPERLINK is not implemented. linkLocation=https://cdn.shopify.com/s/files/1/0918/6066/4603/files/fc348131a12985a3362be8168d605053.jpg?v=1779284102, friendlyName=Open</x:v>
      </x:c>
      <x:c r="C7895" s="24" t="e">
        <x:f>HYPERLINK("https://365nails.com/products/365nails-sunset-garden-french-handmade-medium-square-press-on-nails","365nails: ""Sunset Garden French"" – Handmade Medium Square Press-On Nails")</x:f>
        <x:v>HYPERLINK is not implemented. linkLocation=https://365nails.com/products/365nails-sunset-garden-french-handmade-medium-square-press-on-nails, friendlyName=365nails: "Sunset Garden French" – Handmade Medium Square Press-On Nails</x:v>
      </x:c>
      <x:c r="D7895" s="18" t="str">
        <x:v>Size: XS / S / M / L</x:v>
      </x:c>
      <x:c r="E7895" s="25" t="str">
        <x:v>$3.99</x:v>
      </x:c>
      <x:c r="F7895" s="19" t="str">
        <x:v>5</x:v>
      </x:c>
    </x:row>
    <x:row r="7896" ht="93" customHeight="1">
      <x:c r="A7896" s="19" t="n">
        <x:v>7893</x:v>
      </x:c>
      <x:c r="B7896" s="22" t="e">
        <x:f>HYPERLINK("https://cdn.shopify.com/s/files/1/0918/6066/4603/files/572b65b64249b3a0475dc0b3c163a297.jpg?v=1779283391","Open")</x:f>
        <x:v>HYPERLINK is not implemented. linkLocation=https://cdn.shopify.com/s/files/1/0918/6066/4603/files/572b65b64249b3a0475dc0b3c163a297.jpg?v=1779283391, friendlyName=Open</x:v>
      </x:c>
      <x:c r="C7896" s="24" t="e">
        <x:f>HYPERLINK("https://365nails.com/products/365nails-pink-renaissance-glam-handmade-medium-square-press-on-nails","365nails: ""Pink Renaissance Glam"" – Handmade Medium Square Press-On Nails")</x:f>
        <x:v>HYPERLINK is not implemented. linkLocation=https://365nails.com/products/365nails-pink-renaissance-glam-handmade-medium-square-press-on-nails, friendlyName=365nails: "Pink Renaissance Glam" – Handmade Medium Square Press-On Nails</x:v>
      </x:c>
      <x:c r="D7896" s="18" t="str">
        <x:v>Size: XS / S / M / L</x:v>
      </x:c>
      <x:c r="E7896" s="25" t="str">
        <x:v>$3.99</x:v>
      </x:c>
      <x:c r="F7896" s="19" t="str">
        <x:v>5</x:v>
      </x:c>
    </x:row>
    <x:row r="7897" ht="93" customHeight="1">
      <x:c r="A7897" s="19" t="n">
        <x:v>7894</x:v>
      </x:c>
      <x:c r="B7897" s="22" t="e">
        <x:f>HYPERLINK("https://cdn.shopify.com/s/files/1/0918/6066/4603/files/c8f41734d6b39f838abe3d0380c6dc53.jpg?v=1779282966","Open")</x:f>
        <x:v>HYPERLINK is not implemented. linkLocation=https://cdn.shopify.com/s/files/1/0918/6066/4603/files/c8f41734d6b39f838abe3d0380c6dc53.jpg?v=1779282966, friendlyName=Open</x:v>
      </x:c>
      <x:c r="C7897" s="24" t="e">
        <x:f>HYPERLINK("https://365nails.com/products/365nails-citrus-glow-orchid-handmade-medium-square-press-on-nails","365nails: ""Citrus Glow Orchid"" – Handmade Medium Square Press-On Nails")</x:f>
        <x:v>HYPERLINK is not implemented. linkLocation=https://365nails.com/products/365nails-citrus-glow-orchid-handmade-medium-square-press-on-nails, friendlyName=365nails: "Citrus Glow Orchid" – Handmade Medium Square Press-On Nails</x:v>
      </x:c>
      <x:c r="D7897" s="18" t="str">
        <x:v>Size: XS / S / M / L</x:v>
      </x:c>
      <x:c r="E7897" s="25" t="str">
        <x:v>$3.99</x:v>
      </x:c>
      <x:c r="F7897" s="19" t="str">
        <x:v>5</x:v>
      </x:c>
    </x:row>
    <x:row r="7898" ht="93" customHeight="1">
      <x:c r="A7898" s="19" t="n">
        <x:v>7895</x:v>
      </x:c>
      <x:c r="B7898" s="22" t="e">
        <x:f>HYPERLINK("https://cdn.shopify.com/s/files/1/0918/6066/4603/files/12dc5f23efc4ef0dae2438afd7fba3d2.jpg?v=1781051492","Open")</x:f>
        <x:v>HYPERLINK is not implemented. linkLocation=https://cdn.shopify.com/s/files/1/0918/6066/4603/files/12dc5f23efc4ef0dae2438afd7fba3d2.jpg?v=1781051492, friendlyName=Open</x:v>
      </x:c>
      <x:c r="C7898" s="24" t="e">
        <x:f>HYPERLINK("https://365nails.com/products/365nails-rainbow-gradient-butterfly-heart-rhinestone-floral-bubble-colorful-kawaii-handmade-medium-square-nails","365nails: ""Rainbow Gradient Butterfly Heart Rhinestone Floral Bubble"" – Colorful Kawaii Handmade Medium Square Nails")</x:f>
        <x:v>HYPERLINK is not implemented. linkLocation=https://365nails.com/products/365nails-rainbow-gradient-butterfly-heart-rhinestone-floral-bubble-colorful-kawaii-handmade-medium-square-nails, friendlyName=365nails: "Rainbow Gradient Butterfly Heart Rhinestone Floral Bubble" – Colorful Kawaii Handmade Medium Square Nails</x:v>
      </x:c>
      <x:c r="D7898" s="18" t="str">
        <x:v>Size: XS / S / M / L</x:v>
      </x:c>
      <x:c r="E7898" s="25" t="str">
        <x:v>$4.99</x:v>
      </x:c>
      <x:c r="F7898" s="19" t="str">
        <x:v>3</x:v>
      </x:c>
    </x:row>
    <x:row r="7899" ht="93" customHeight="1">
      <x:c r="A7899" s="19" t="n">
        <x:v>7896</x:v>
      </x:c>
      <x:c r="B7899" s="22" t="e">
        <x:f>HYPERLINK("https://cdn.shopify.com/s/files/1/0918/6066/4603/files/3a2df9901e6ec153301d6240f35d66af.jpg?v=1779282886","Open")</x:f>
        <x:v>HYPERLINK is not implemented. linkLocation=https://cdn.shopify.com/s/files/1/0918/6066/4603/files/3a2df9901e6ec153301d6240f35d66af.jpg?v=1779282886, friendlyName=Open</x:v>
      </x:c>
      <x:c r="C7899" s="24" t="e">
        <x:f>HYPERLINK("https://365nails.com/products/365nails-sunset-tiger-bloom-handmade-medium-square-press-on-nails","365nails: ""Sunset Tiger Bloom"" – Handmade Medium Square Press-On Nails")</x:f>
        <x:v>HYPERLINK is not implemented. linkLocation=https://365nails.com/products/365nails-sunset-tiger-bloom-handmade-medium-square-press-on-nails, friendlyName=365nails: "Sunset Tiger Bloom" – Handmade Medium Square Press-On Nails</x:v>
      </x:c>
      <x:c r="D7899" s="18" t="str">
        <x:v>Size: XS / S / M / L</x:v>
      </x:c>
      <x:c r="E7899" s="25" t="str">
        <x:v>$3.99</x:v>
      </x:c>
      <x:c r="F7899" s="19" t="str">
        <x:v>5</x:v>
      </x:c>
    </x:row>
    <x:row r="7900" ht="93" customHeight="1">
      <x:c r="A7900" s="19" t="n">
        <x:v>7897</x:v>
      </x:c>
      <x:c r="B7900" s="22" t="e">
        <x:f>HYPERLINK("https://cdn.shopify.com/s/files/1/0918/6066/4603/files/1028bcb9ac67dc06b8b2a2829a15da7b.jpg?v=1779281761","Open")</x:f>
        <x:v>HYPERLINK is not implemented. linkLocation=https://cdn.shopify.com/s/files/1/0918/6066/4603/files/1028bcb9ac67dc06b8b2a2829a15da7b.jpg?v=1779281761, friendlyName=Open</x:v>
      </x:c>
      <x:c r="C7900" s="24" t="e">
        <x:f>HYPERLINK("https://365nails.com/products/365nails-peach-french-orchid-handmade-medium-square-press-on-nails","365nails: ""Peach French Orchid"" – Handmade Medium Square Press-On Nails")</x:f>
        <x:v>HYPERLINK is not implemented. linkLocation=https://365nails.com/products/365nails-peach-french-orchid-handmade-medium-square-press-on-nails, friendlyName=365nails: "Peach French Orchid" – Handmade Medium Square Press-On Nails</x:v>
      </x:c>
      <x:c r="D7900" s="18" t="str">
        <x:v>Size: XS / S / M / L</x:v>
      </x:c>
      <x:c r="E7900" s="25" t="str">
        <x:v>$3.99</x:v>
      </x:c>
      <x:c r="F7900" s="19" t="str">
        <x:v>5</x:v>
      </x:c>
    </x:row>
    <x:row r="7901" ht="93" customHeight="1">
      <x:c r="A7901" s="19" t="n">
        <x:v>7898</x:v>
      </x:c>
      <x:c r="B7901" s="22" t="e">
        <x:f>HYPERLINK("https://cdn.shopify.com/s/files/1/0918/6066/4603/files/d6f26ee40e7c5751bd6c58e443e12993.jpg?v=1779281509","Open")</x:f>
        <x:v>HYPERLINK is not implemented. linkLocation=https://cdn.shopify.com/s/files/1/0918/6066/4603/files/d6f26ee40e7c5751bd6c58e443e12993.jpg?v=1779281509, friendlyName=Open</x:v>
      </x:c>
      <x:c r="C7901" s="24" t="e">
        <x:f>HYPERLINK("https://365nails.com/products/365nails-cherry-blossom-french-handmade-medium-square-press-on-nails","365nails: ""Cherry Blossom French"" – Handmade Medium Square Press-On Nails")</x:f>
        <x:v>HYPERLINK is not implemented. linkLocation=https://365nails.com/products/365nails-cherry-blossom-french-handmade-medium-square-press-on-nails, friendlyName=365nails: "Cherry Blossom French" – Handmade Medium Square Press-On Nails</x:v>
      </x:c>
      <x:c r="D7901" s="18" t="str">
        <x:v>Size: XS / S / M / L</x:v>
      </x:c>
      <x:c r="E7901" s="25" t="str">
        <x:v>$3.99</x:v>
      </x:c>
      <x:c r="F7901" s="19" t="str">
        <x:v>5</x:v>
      </x:c>
    </x:row>
    <x:row r="7902" ht="93" customHeight="1">
      <x:c r="A7902" s="19" t="n">
        <x:v>7899</x:v>
      </x:c>
      <x:c r="B7902" s="22" t="e">
        <x:f>HYPERLINK("https://cdn.shopify.com/s/files/1/0918/6066/4603/files/59f7c444d63ac97e65033fd87fa7a264.jpg?v=1775310572","Open")</x:f>
        <x:v>HYPERLINK is not implemented. linkLocation=https://cdn.shopify.com/s/files/1/0918/6066/4603/files/59f7c444d63ac97e65033fd87fa7a264.jpg?v=1775310572, friendlyName=Open</x:v>
      </x:c>
      <x:c r="C7902" s="24" t="e">
        <x:f>HYPERLINK("https://365nails.com/products/sweet-bloom-pink-flower-pearl-long-coffin-press-on-nails","Sweet Bloom: ""Pink Flower Pearl"" – Long Coffin Press-on Nails")</x:f>
        <x:v>HYPERLINK is not implemented. linkLocation=https://365nails.com/products/sweet-bloom-pink-flower-pearl-long-coffin-press-on-nails, friendlyName=Sweet Bloom: "Pink Flower Pearl" – Long Coffin Press-on Nails</x:v>
      </x:c>
      <x:c r="D7902" s="18" t="str">
        <x:v>Size: XS / S / M / L</x:v>
      </x:c>
      <x:c r="E7902" s="25" t="str">
        <x:v>$3.99</x:v>
      </x:c>
      <x:c r="F7902" s="19" t="str">
        <x:v>5</x:v>
      </x:c>
    </x:row>
    <x:row r="7903" ht="93" customHeight="1">
      <x:c r="A7903" s="19" t="n">
        <x:v>7900</x:v>
      </x:c>
      <x:c r="B7903" s="22" t="e">
        <x:f>HYPERLINK("https://cdn.shopify.com/s/files/1/0918/6066/4603/files/e3b13924864153185dd6f461603d4360.jpg?v=1779284378","Open")</x:f>
        <x:v>HYPERLINK is not implemented. linkLocation=https://cdn.shopify.com/s/files/1/0918/6066/4603/files/e3b13924864153185dd6f461603d4360.jpg?v=1779284378, friendlyName=Open</x:v>
      </x:c>
      <x:c r="C7903" s="24" t="e">
        <x:f>HYPERLINK("https://365nails.com/products/365nails-blush-french-royalty-handmade-medium-square-press-on-nails","365nails: ""Blush French Royalty"" – Handmade Medium Square Press-On Nails")</x:f>
        <x:v>HYPERLINK is not implemented. linkLocation=https://365nails.com/products/365nails-blush-french-royalty-handmade-medium-square-press-on-nails, friendlyName=365nails: "Blush French Royalty" – Handmade Medium Square Press-On Nails</x:v>
      </x:c>
      <x:c r="D7903" s="18" t="str">
        <x:v>Size: XS / S / M / L</x:v>
      </x:c>
      <x:c r="E7903" s="25" t="str">
        <x:v>$3.99</x:v>
      </x:c>
      <x:c r="F7903" s="19" t="str">
        <x:v>5</x:v>
      </x:c>
    </x:row>
    <x:row r="7904" ht="93" customHeight="1">
      <x:c r="A7904" s="19" t="n">
        <x:v>7901</x:v>
      </x:c>
      <x:c r="B7904" s="22" t="e">
        <x:f>HYPERLINK("https://cdn.shopify.com/s/files/1/0918/6066/4603/files/bc4adc451b08e32eb19e6f17117d6823.jpg?v=1774080607","Open")</x:f>
        <x:v>HYPERLINK is not implemented. linkLocation=https://cdn.shopify.com/s/files/1/0918/6066/4603/files/bc4adc451b08e32eb19e6f17117d6823.jpg?v=1774080607, friendlyName=Open</x:v>
      </x:c>
      <x:c r="C7904" s="24" t="e">
        <x:f>HYPERLINK("https://365nails.com/products/cosmic-fatale-yin-yang-thorn-vein-long-sharp-stiletto-handmade-press-on-nails","Cosmic Fatale: ""Yin-Yang Thorn Vein"" – Long Sharp Stiletto Handmade Press On Nails")</x:f>
        <x:v>HYPERLINK is not implemented. linkLocation=https://365nails.com/products/cosmic-fatale-yin-yang-thorn-vein-long-sharp-stiletto-handmade-press-on-nails, friendlyName=Cosmic Fatale: "Yin-Yang Thorn Vein" – Long Sharp Stiletto Handmade Press On Nails</x:v>
      </x:c>
      <x:c r="D7904" s="18" t="str">
        <x:v>Size: XS / S / M / L</x:v>
      </x:c>
      <x:c r="E7904" s="25" t="str">
        <x:v>$3.99</x:v>
      </x:c>
      <x:c r="F7904" s="19" t="str">
        <x:v>5</x:v>
      </x:c>
    </x:row>
    <x:row r="7905" ht="93" customHeight="1">
      <x:c r="A7905" s="19" t="n">
        <x:v>7902</x:v>
      </x:c>
      <x:c r="B7905" s="22" t="e">
        <x:f>HYPERLINK("https://cdn.shopify.com/s/files/1/0918/6066/4603/files/667add07c83f1279a0146d1925f1a26d.jpg?v=1779289583","Open")</x:f>
        <x:v>HYPERLINK is not implemented. linkLocation=https://cdn.shopify.com/s/files/1/0918/6066/4603/files/667add07c83f1279a0146d1925f1a26d.jpg?v=1779289583, friendlyName=Open</x:v>
      </x:c>
      <x:c r="C7905" s="24" t="e">
        <x:f>HYPERLINK("https://365nails.com/products/365nails-summer-picnic-garden-handmade-medium-square-press-on-nails","365nails: ""Summer Picnic Garden"" – Handmade Medium Square Press-On Nails")</x:f>
        <x:v>HYPERLINK is not implemented. linkLocation=https://365nails.com/products/365nails-summer-picnic-garden-handmade-medium-square-press-on-nails, friendlyName=365nails: "Summer Picnic Garden" – Handmade Medium Square Press-On Nails</x:v>
      </x:c>
      <x:c r="D7905" s="18" t="str">
        <x:v>Size: XS / S / M / L</x:v>
      </x:c>
      <x:c r="E7905" s="25" t="str">
        <x:v>$3.99</x:v>
      </x:c>
      <x:c r="F7905" s="19" t="str">
        <x:v>5</x:v>
      </x:c>
    </x:row>
    <x:row r="7906" ht="93" customHeight="1">
      <x:c r="A7906" s="19" t="n">
        <x:v>7903</x:v>
      </x:c>
      <x:c r="B7906" s="22" t="e">
        <x:f>HYPERLINK("https://cdn.shopify.com/s/files/1/0918/6066/4603/files/4fa08c0f8aa983155007fb997f71112a.jpg?v=1779289647","Open")</x:f>
        <x:v>HYPERLINK is not implemented. linkLocation=https://cdn.shopify.com/s/files/1/0918/6066/4603/files/4fa08c0f8aa983155007fb997f71112a.jpg?v=1779289647, friendlyName=Open</x:v>
      </x:c>
      <x:c r="C7906" s="24" t="e">
        <x:f>HYPERLINK("https://365nails.com/products/365nails-blush-bunny-garden-handmade-medium-square-press-on-nails","365nails: ""Blush Bunny Garden"" – Handmade Medium Square Press-On Nails")</x:f>
        <x:v>HYPERLINK is not implemented. linkLocation=https://365nails.com/products/365nails-blush-bunny-garden-handmade-medium-square-press-on-nails, friendlyName=365nails: "Blush Bunny Garden" – Handmade Medium Square Press-On Nails</x:v>
      </x:c>
      <x:c r="D7906" s="18" t="str">
        <x:v>Size: XS / S / M / L</x:v>
      </x:c>
      <x:c r="E7906" s="25" t="str">
        <x:v>$3.99</x:v>
      </x:c>
      <x:c r="F7906" s="19" t="str">
        <x:v>5</x:v>
      </x:c>
    </x:row>
    <x:row r="7907" ht="93" customHeight="1">
      <x:c r="A7907" s="19" t="n">
        <x:v>7904</x:v>
      </x:c>
      <x:c r="B7907" s="22" t="e">
        <x:f>HYPERLINK("https://cdn.shopify.com/s/files/1/0918/6066/4603/files/4e24b170ff28ae1ef1bbd748b0954d99.jpg?v=1779285075","Open")</x:f>
        <x:v>HYPERLINK is not implemented. linkLocation=https://cdn.shopify.com/s/files/1/0918/6066/4603/files/4e24b170ff28ae1ef1bbd748b0954d99.jpg?v=1779285075, friendlyName=Open</x:v>
      </x:c>
      <x:c r="C7907" s="24" t="e">
        <x:f>HYPERLINK("https://365nails.com/products/365nails-sapphire-french-bloom-handmade-medium-square-press-on-nails","365nails: ""Sapphire French Bloom"" – Handmade Medium Square Press-On Nails")</x:f>
        <x:v>HYPERLINK is not implemented. linkLocation=https://365nails.com/products/365nails-sapphire-french-bloom-handmade-medium-square-press-on-nails, friendlyName=365nails: "Sapphire French Bloom" – Handmade Medium Square Press-On Nails</x:v>
      </x:c>
      <x:c r="D7907" s="18" t="str">
        <x:v>Size: XS / S / M / L</x:v>
      </x:c>
      <x:c r="E7907" s="25" t="str">
        <x:v>$3.99</x:v>
      </x:c>
      <x:c r="F7907" s="19" t="str">
        <x:v>5</x:v>
      </x:c>
    </x:row>
    <x:row r="7908" ht="93" customHeight="1">
      <x:c r="A7908" s="19" t="n">
        <x:v>7905</x:v>
      </x:c>
      <x:c r="B7908" s="22" t="e">
        <x:f>HYPERLINK("https://cdn.shopify.com/s/files/1/0918/6066/4603/files/42b0bc0c4a0d6e43eaa5d84377a9da58.jpg?v=1779285857","Open")</x:f>
        <x:v>HYPERLINK is not implemented. linkLocation=https://cdn.shopify.com/s/files/1/0918/6066/4603/files/42b0bc0c4a0d6e43eaa5d84377a9da58.jpg?v=1779285857, friendlyName=Open</x:v>
      </x:c>
      <x:c r="C7908" s="24" t="e">
        <x:f>HYPERLINK("https://365nails.com/products/365nails-peach-crystal-french-bloom-handmade-medium-square-press-on-nails","365nails: ""Peach Crystal French Bloom"" – Handmade Medium Square Press-On Nails")</x:f>
        <x:v>HYPERLINK is not implemented. linkLocation=https://365nails.com/products/365nails-peach-crystal-french-bloom-handmade-medium-square-press-on-nails, friendlyName=365nails: "Peach Crystal French Bloom" – Handmade Medium Square Press-On Nails</x:v>
      </x:c>
      <x:c r="D7908" s="18" t="str">
        <x:v>Size: XS / S / M / L</x:v>
      </x:c>
      <x:c r="E7908" s="25" t="str">
        <x:v>$3.99</x:v>
      </x:c>
      <x:c r="F7908" s="19" t="str">
        <x:v>5</x:v>
      </x:c>
    </x:row>
    <x:row r="7909" ht="93" customHeight="1">
      <x:c r="A7909" s="19" t="n">
        <x:v>7906</x:v>
      </x:c>
      <x:c r="B7909" s="22" t="e">
        <x:f>HYPERLINK("https://cdn.shopify.com/s/files/1/0918/6066/4603/files/e1760d4042781918ab11b33cdfd61f66.jpg?v=1775309452","Open")</x:f>
        <x:v>HYPERLINK is not implemented. linkLocation=https://cdn.shopify.com/s/files/1/0918/6066/4603/files/e1760d4042781918ab11b33cdfd61f66.jpg?v=1775309452, friendlyName=Open</x:v>
      </x:c>
      <x:c r="C7909" s="24" t="e">
        <x:f>HYPERLINK("https://365nails.com/products/gothic-bloom-midnight-orchid-long-stiletto-press-on-nails","Gothic Bloom: ""Midnight Orchid"" – Long Stiletto Press-on Nails")</x:f>
        <x:v>HYPERLINK is not implemented. linkLocation=https://365nails.com/products/gothic-bloom-midnight-orchid-long-stiletto-press-on-nails, friendlyName=Gothic Bloom: "Midnight Orchid" – Long Stiletto Press-on Nails</x:v>
      </x:c>
      <x:c r="D7909" s="18" t="str">
        <x:v>Size: XS / S / M / L</x:v>
      </x:c>
      <x:c r="E7909" s="25" t="str">
        <x:v>$3.99</x:v>
      </x:c>
      <x:c r="F7909" s="19" t="str">
        <x:v>5</x:v>
      </x:c>
    </x:row>
    <x:row r="7910" ht="93" customHeight="1">
      <x:c r="A7910" s="19" t="n">
        <x:v>7907</x:v>
      </x:c>
      <x:c r="B7910" s="22" t="e">
        <x:f>HYPERLINK("https://cdn.shopify.com/s/files/1/0918/6066/4603/files/040ccb067adcd4d3c4a30162ef0734d4.jpg?v=1779284529","Open")</x:f>
        <x:v>HYPERLINK is not implemented. linkLocation=https://cdn.shopify.com/s/files/1/0918/6066/4603/files/040ccb067adcd4d3c4a30162ef0734d4.jpg?v=1779284529, friendlyName=Open</x:v>
      </x:c>
      <x:c r="C7910" s="24" t="e">
        <x:f>HYPERLINK("https://365nails.com/products/365nails-red-french-floral-glam-handmade-medium-square-press-on-nails","365nails: ""Red French Floral Glam"" – Handmade Medium Square Press-On Nails")</x:f>
        <x:v>HYPERLINK is not implemented. linkLocation=https://365nails.com/products/365nails-red-french-floral-glam-handmade-medium-square-press-on-nails, friendlyName=365nails: "Red French Floral Glam" – Handmade Medium Square Press-On Nails</x:v>
      </x:c>
      <x:c r="D7910" s="18" t="str">
        <x:v>Size: XS / S / M / L</x:v>
      </x:c>
      <x:c r="E7910" s="25" t="str">
        <x:v>$3.99</x:v>
      </x:c>
      <x:c r="F7910" s="19" t="str">
        <x:v>5</x:v>
      </x:c>
    </x:row>
    <x:row r="7911" ht="93" customHeight="1">
      <x:c r="A7911" s="19" t="n">
        <x:v>7908</x:v>
      </x:c>
      <x:c r="B7911" s="22" t="e">
        <x:f>HYPERLINK("https://cdn.shopify.com/s/files/1/0918/6066/4603/files/d9f3b9274fd2a61c4b590917b6bb3517.jpg?v=1779285736","Open")</x:f>
        <x:v>HYPERLINK is not implemented. linkLocation=https://cdn.shopify.com/s/files/1/0918/6066/4603/files/d9f3b9274fd2a61c4b590917b6bb3517.jpg?v=1779285736, friendlyName=Open</x:v>
      </x:c>
      <x:c r="C7911" s="24" t="e">
        <x:f>HYPERLINK("https://365nails.com/products/365nails-pastel-tropical-bloom-handmade-medium-square-press-on-nails","365nails: ""Pastel Tropical Bloom"" – Handmade Medium Square Press-On Nails")</x:f>
        <x:v>HYPERLINK is not implemented. linkLocation=https://365nails.com/products/365nails-pastel-tropical-bloom-handmade-medium-square-press-on-nails, friendlyName=365nails: "Pastel Tropical Bloom" – Handmade Medium Square Press-On Nails</x:v>
      </x:c>
      <x:c r="D7911" s="18" t="str">
        <x:v>Size: XS / S / M / L</x:v>
      </x:c>
      <x:c r="E7911" s="25" t="str">
        <x:v>$3.99</x:v>
      </x:c>
      <x:c r="F7911" s="19" t="str">
        <x:v>5</x:v>
      </x:c>
    </x:row>
    <x:row r="7912" ht="93" customHeight="1">
      <x:c r="A7912" s="19" t="n">
        <x:v>7909</x:v>
      </x:c>
      <x:c r="B7912" s="22" t="e">
        <x:f>HYPERLINK("https://cdn.shopify.com/s/files/1/0918/6066/4603/files/92f106e267b9464e0adbf8b378e97e42.jpg?v=1779289709","Open")</x:f>
        <x:v>HYPERLINK is not implemented. linkLocation=https://cdn.shopify.com/s/files/1/0918/6066/4603/files/92f106e267b9464e0adbf8b378e97e42.jpg?v=1779289709, friendlyName=Open</x:v>
      </x:c>
      <x:c r="C7912" s="24" t="e">
        <x:f>HYPERLINK("https://365nails.com/products/365nails-sunset-tropical-bloom-handmade-medium-square-press-on-nails","365nails: ""Sunset Tropical Bloom"" – Handmade Medium Square Press-On Nails")</x:f>
        <x:v>HYPERLINK is not implemented. linkLocation=https://365nails.com/products/365nails-sunset-tropical-bloom-handmade-medium-square-press-on-nails, friendlyName=365nails: "Sunset Tropical Bloom" – Handmade Medium Square Press-On Nails</x:v>
      </x:c>
      <x:c r="D7912" s="18" t="str">
        <x:v>Size: XS / S / M / L</x:v>
      </x:c>
      <x:c r="E7912" s="25" t="str">
        <x:v>$3.99</x:v>
      </x:c>
      <x:c r="F7912" s="19" t="str">
        <x:v>5</x:v>
      </x:c>
    </x:row>
    <x:row r="7913" ht="93" customHeight="1">
      <x:c r="A7913" s="19" t="n">
        <x:v>7910</x:v>
      </x:c>
      <x:c r="B7913" s="22" t="e">
        <x:f>HYPERLINK("https://cdn.shopify.com/s/files/1/0918/6066/4603/files/d92a64e8257a6bbf1629541391717ea8.jpg?v=1779289412","Open")</x:f>
        <x:v>HYPERLINK is not implemented. linkLocation=https://cdn.shopify.com/s/files/1/0918/6066/4603/files/d92a64e8257a6bbf1629541391717ea8.jpg?v=1779289412, friendlyName=Open</x:v>
      </x:c>
      <x:c r="C7913" s="24" t="e">
        <x:f>HYPERLINK("https://365nails.com/products/365nails-bold-colorblock-floral-glam-handmade-medium-square-press-on-nails","365nails: ""Bold Colorblock Floral Glam"" – Handmade Medium Square Press-On Nails")</x:f>
        <x:v>HYPERLINK is not implemented. linkLocation=https://365nails.com/products/365nails-bold-colorblock-floral-glam-handmade-medium-square-press-on-nails, friendlyName=365nails: "Bold Colorblock Floral Glam" – Handmade Medium Square Press-On Nails</x:v>
      </x:c>
      <x:c r="D7913" s="18" t="str">
        <x:v>Size: XS / S / M / L</x:v>
      </x:c>
      <x:c r="E7913" s="25" t="str">
        <x:v>$3.99</x:v>
      </x:c>
      <x:c r="F7913" s="19" t="str">
        <x:v>5</x:v>
      </x:c>
    </x:row>
    <x:row r="7914" ht="93" customHeight="1">
      <x:c r="A7914" s="19" t="n">
        <x:v>7911</x:v>
      </x:c>
      <x:c r="B7914" s="22" t="e">
        <x:f>HYPERLINK("https://cdn.shopify.com/s/files/1/0918/6066/4603/files/7af70f1a5b0afeecec1929f62d2b11fc.jpg?v=1779285892","Open")</x:f>
        <x:v>HYPERLINK is not implemented. linkLocation=https://cdn.shopify.com/s/files/1/0918/6066/4603/files/7af70f1a5b0afeecec1929f62d2b11fc.jpg?v=1779285892, friendlyName=Open</x:v>
      </x:c>
      <x:c r="C7914" s="24" t="e">
        <x:f>HYPERLINK("https://365nails.com/products/365nails-coral-french-bloom-handmade-medium-square-press-on-nails","365nails: ""Coral French Bloom"" – Handmade Medium Square Press-On Nails")</x:f>
        <x:v>HYPERLINK is not implemented. linkLocation=https://365nails.com/products/365nails-coral-french-bloom-handmade-medium-square-press-on-nails, friendlyName=365nails: "Coral French Bloom" – Handmade Medium Square Press-On Nails</x:v>
      </x:c>
      <x:c r="D7914" s="18" t="str">
        <x:v>Size: XS / S / M / L</x:v>
      </x:c>
      <x:c r="E7914" s="25" t="str">
        <x:v>$3.99</x:v>
      </x:c>
      <x:c r="F7914" s="19" t="str">
        <x:v>5</x:v>
      </x:c>
    </x:row>
    <x:row r="7915" ht="93" customHeight="1">
      <x:c r="A7915" s="19" t="n">
        <x:v>7912</x:v>
      </x:c>
      <x:c r="B7915" s="22" t="e">
        <x:f>HYPERLINK("https://cdn.shopify.com/s/files/1/0918/6066/4603/files/7088b4cb747e493b4557a383d6317e21.jpg?v=1775292343","Open")</x:f>
        <x:v>HYPERLINK is not implemented. linkLocation=https://cdn.shopify.com/s/files/1/0918/6066/4603/files/7088b4cb747e493b4557a383d6317e21.jpg?v=1775292343, friendlyName=Open</x:v>
      </x:c>
      <x:c r="C7915" s="24" t="e">
        <x:f>HYPERLINK("https://365nails.com/products/neon-bloom-vivid-lily-long-stiletto-press-on-nails","Neon Bloom: ""Vivid Lily"" – Long Stiletto Press-on Nails")</x:f>
        <x:v>HYPERLINK is not implemented. linkLocation=https://365nails.com/products/neon-bloom-vivid-lily-long-stiletto-press-on-nails, friendlyName=Neon Bloom: "Vivid Lily" – Long Stiletto Press-on Nails</x:v>
      </x:c>
      <x:c r="D7915" s="18" t="str">
        <x:v>Size: XS / S / M / L</x:v>
      </x:c>
      <x:c r="E7915" s="25" t="str">
        <x:v>$3.99</x:v>
      </x:c>
      <x:c r="F7915" s="19" t="str">
        <x:v>5</x:v>
      </x:c>
    </x:row>
    <x:row r="7916" ht="93" customHeight="1">
      <x:c r="A7916" s="19" t="n">
        <x:v>7913</x:v>
      </x:c>
      <x:c r="B7916" s="22" t="e">
        <x:f>HYPERLINK("https://cdn.shopify.com/s/files/1/0918/6066/4603/files/071db9a3b38d3c9e2d1b14c94f0b88d6.jpg?v=1779284314","Open")</x:f>
        <x:v>HYPERLINK is not implemented. linkLocation=https://cdn.shopify.com/s/files/1/0918/6066/4603/files/071db9a3b38d3c9e2d1b14c94f0b88d6.jpg?v=1779284314, friendlyName=Open</x:v>
      </x:c>
      <x:c r="C7916" s="24" t="e">
        <x:f>HYPERLINK("https://365nails.com/products/365nails-tropical-ocean-bloom-handmade-medium-square-press-on-nails","365nails: ""Tropical Ocean Bloom"" – Handmade Medium Square Press-On Nails")</x:f>
        <x:v>HYPERLINK is not implemented. linkLocation=https://365nails.com/products/365nails-tropical-ocean-bloom-handmade-medium-square-press-on-nails, friendlyName=365nails: "Tropical Ocean Bloom" – Handmade Medium Square Press-On Nails</x:v>
      </x:c>
      <x:c r="D7916" s="18" t="str">
        <x:v>Size: XS / S / M / L</x:v>
      </x:c>
      <x:c r="E7916" s="25" t="str">
        <x:v>$3.99</x:v>
      </x:c>
      <x:c r="F7916" s="19" t="str">
        <x:v>5</x:v>
      </x:c>
    </x:row>
    <x:row r="7917" ht="93" customHeight="1">
      <x:c r="A7917" s="19" t="n">
        <x:v>7914</x:v>
      </x:c>
      <x:c r="B7917" s="22" t="e">
        <x:f>HYPERLINK("https://cdn.shopify.com/s/files/1/0918/6066/4603/files/b84013ae647585828cef5ff952c382b6.jpg?v=1779289837","Open")</x:f>
        <x:v>HYPERLINK is not implemented. linkLocation=https://cdn.shopify.com/s/files/1/0918/6066/4603/files/b84013ae647585828cef5ff952c382b6.jpg?v=1779289837, friendlyName=Open</x:v>
      </x:c>
      <x:c r="C7917" s="24" t="e">
        <x:f>HYPERLINK("https://365nails.com/products/365nails-tropical-french-floral-glam-handmade-medium-square-press-on-nails","365nails: ""Tropical French Floral Glam"" – Handmade Medium Square Press-On Nails")</x:f>
        <x:v>HYPERLINK is not implemented. linkLocation=https://365nails.com/products/365nails-tropical-french-floral-glam-handmade-medium-square-press-on-nails, friendlyName=365nails: "Tropical French Floral Glam" – Handmade Medium Square Press-On Nails</x:v>
      </x:c>
      <x:c r="D7917" s="18" t="str">
        <x:v>Size: XS / S / M / L</x:v>
      </x:c>
      <x:c r="E7917" s="25" t="str">
        <x:v>$3.99</x:v>
      </x:c>
      <x:c r="F7917" s="19" t="str">
        <x:v>5</x:v>
      </x:c>
    </x:row>
    <x:row r="7918" ht="93" customHeight="1">
      <x:c r="A7918" s="19" t="n">
        <x:v>7915</x:v>
      </x:c>
      <x:c r="B7918" s="22" t="e">
        <x:f>HYPERLINK("https://cdn.shopify.com/s/files/1/0918/6066/4603/files/O1CN01tKKNCm1HlX5GeU1Cl__2545140798-0-cib_0aa941d8-5324-4f25-a124-d67e7125b916.jpg?v=1775463609","Open")</x:f>
        <x:v>HYPERLINK is not implemented. linkLocation=https://cdn.shopify.com/s/files/1/0918/6066/4603/files/O1CN01tKKNCm1HlX5GeU1Cl__2545140798-0-cib_0aa941d8-5324-4f25-a124-d67e7125b916.jpg?v=1775463609, friendlyName=Open</x:v>
      </x:c>
      <x:c r="C7918" s="24" t="e">
        <x:f>HYPERLINK("https://365nails.com/products/365nails-vintage-cherry-bow-handmade-press-on-nails","365nails: ""Vintage Cherry Bow"" –Nail Art Stickers")</x:f>
        <x:v>HYPERLINK is not implemented. linkLocation=https://365nails.com/products/365nails-vintage-cherry-bow-handmade-press-on-nails, friendlyName=365nails: "Vintage Cherry Bow" –Nail Art Stickers</x:v>
      </x:c>
      <x:c r="D7918" s="18" t="str">
        <x:v>Specification type: Ta383-new hot stamping / Ta384-silver / Ta385-glitter powder</x:v>
      </x:c>
      <x:c r="E7918" s="25" t="str">
        <x:v>$1.23</x:v>
      </x:c>
      <x:c r="F7918" s="19" t="str">
        <x:v>5</x:v>
      </x:c>
    </x:row>
    <x:row r="7919" ht="93" customHeight="1">
      <x:c r="A7919" s="19" t="n">
        <x:v>7916</x:v>
      </x:c>
      <x:c r="B7919" s="22" t="e">
        <x:f>HYPERLINK("https://cdn.shopify.com/s/files/1/0918/6066/4603/files/e022e38fdad7fc7c33cdd59e28469f3c.jpg?v=1778166592","Open")</x:f>
        <x:v>HYPERLINK is not implemented. linkLocation=https://cdn.shopify.com/s/files/1/0918/6066/4603/files/e022e38fdad7fc7c33cdd59e28469f3c.jpg?v=1778166592, friendlyName=Open</x:v>
      </x:c>
      <x:c r="C7919" s="24" t="e">
        <x:f>HYPERLINK("https://365nails.com/products/365nails-pink-holographic-bunny-handmade-floral-liquid-motion-press-on-long-pipe-nails","365nails: ""Pink Holographic Bunny"" – Handmade Floral Liquid Motion Press-On Long Pipe Nails-5.5cm")</x:f>
        <x:v>HYPERLINK is not implemented. linkLocation=https://365nails.com/products/365nails-pink-holographic-bunny-handmade-floral-liquid-motion-press-on-long-pipe-nails, friendlyName=365nails: "Pink Holographic Bunny" – Handmade Floral Liquid Motion Press-On Long Pipe Nails-5.5cm</x:v>
      </x:c>
      <x:c r="D7919" s="18" t="str">
        <x:v>Size: XS / S / M / L</x:v>
      </x:c>
      <x:c r="E7919" s="25" t="str">
        <x:v>$7.99</x:v>
      </x:c>
      <x:c r="F7919" s="19" t="str">
        <x:v>10</x:v>
      </x:c>
    </x:row>
    <x:row r="7920" ht="93" customHeight="1">
      <x:c r="A7920" s="19" t="n">
        <x:v>7917</x:v>
      </x:c>
      <x:c r="B7920" s="22" t="e">
        <x:f>HYPERLINK("https://cdn.shopify.com/s/files/1/0918/6066/4603/files/c0e562806ff1c9b3ad824902b34b8aeb.jpg?v=1778165965","Open")</x:f>
        <x:v>HYPERLINK is not implemented. linkLocation=https://cdn.shopify.com/s/files/1/0918/6066/4603/files/c0e562806ff1c9b3ad824902b34b8aeb.jpg?v=1778165965, friendlyName=Open</x:v>
      </x:c>
      <x:c r="C7920" s="24" t="e">
        <x:f>HYPERLINK("https://365nails.com/products/365nails-silver-sweet-gothic-handmade-cartoon-liquid-motion-press-on-long-pipe-nails","365nails: ""Silver Sweet Gothic"" – Handmade Cartoon Liquid Motion Press-On Long Pipe Nails-5.5cm")</x:f>
        <x:v>HYPERLINK is not implemented. linkLocation=https://365nails.com/products/365nails-silver-sweet-gothic-handmade-cartoon-liquid-motion-press-on-long-pipe-nails, friendlyName=365nails: "Silver Sweet Gothic" – Handmade Cartoon Liquid Motion Press-On Long Pipe Nails-5.5cm</x:v>
      </x:c>
      <x:c r="D7920" s="18" t="str">
        <x:v>Size: XS / S / M / L</x:v>
      </x:c>
      <x:c r="E7920" s="25" t="str">
        <x:v>$7.99</x:v>
      </x:c>
      <x:c r="F7920" s="19" t="str">
        <x:v>10</x:v>
      </x:c>
    </x:row>
    <x:row r="7921" ht="93" customHeight="1">
      <x:c r="A7921" s="19" t="n">
        <x:v>7918</x:v>
      </x:c>
      <x:c r="B7921" s="22" t="e">
        <x:f>HYPERLINK("https://cdn.shopify.com/s/files/1/0918/6066/4603/files/c2540d6e0583700f485f3cff731092c1.jpg?v=1768975072","Open")</x:f>
        <x:v>HYPERLINK is not implemented. linkLocation=https://cdn.shopify.com/s/files/1/0918/6066/4603/files/c2540d6e0583700f485f3cff731092c1.jpg?v=1768975072, friendlyName=Open</x:v>
      </x:c>
      <x:c r="C7921" s="24" t="e">
        <x:f>HYPERLINK("https://365nails.com/products/azure-ocean-crashing-waves-ice-blue-white-marble-shimmer-nails-handmade-smudge-series","Azure Ocean &amp; Crashing Waves Ice Blue White Marble Shimmer Nails ｜ Handmade Smudge Series(moq=30)")</x:f>
        <x:v>HYPERLINK is not implemented. linkLocation=https://365nails.com/products/azure-ocean-crashing-waves-ice-blue-white-marble-shimmer-nails-handmade-smudge-series, friendlyName=Azure Ocean &amp; Crashing Waves Ice Blue White Marble Shimmer Nails ｜ Handmade Smudge Series(moq=30)</x:v>
      </x:c>
      <x:c r="D7921" s="18" t="str">
        <x:v>Size: XS / S / M / L</x:v>
      </x:c>
      <x:c r="E7921" s="25" t="str">
        <x:v>$2.99</x:v>
      </x:c>
      <x:c r="F7921" s="19" t="str">
        <x:v>30</x:v>
      </x:c>
    </x:row>
    <x:row r="7922" ht="93" customHeight="1">
      <x:c r="A7922" s="19" t="n">
        <x:v>7919</x:v>
      </x:c>
      <x:c r="B7922" s="22" t="e">
        <x:f>HYPERLINK("https://cdn.shopify.com/s/files/1/0918/6066/4603/files/594dd66ddc245b6b70a1830033b10839.jpg?v=1778165524","Open")</x:f>
        <x:v>HYPERLINK is not implemented. linkLocation=https://cdn.shopify.com/s/files/1/0918/6066/4603/files/594dd66ddc245b6b70a1830033b10839.jpg?v=1778165524, friendlyName=Open</x:v>
      </x:c>
      <x:c r="C7922" s="24" t="e">
        <x:f>HYPERLINK("https://365nails.com/products/365nails-scarlet-geisha-skull-handmade-gothic-liquid-motion-press-on-long-pipe-nails","365nails: ""Scarlet Geisha Skull"" – Handmade Gothic Liquid Motion Press-On Long Pipe Nails-5.5cm")</x:f>
        <x:v>HYPERLINK is not implemented. linkLocation=https://365nails.com/products/365nails-scarlet-geisha-skull-handmade-gothic-liquid-motion-press-on-long-pipe-nails, friendlyName=365nails: "Scarlet Geisha Skull" – Handmade Gothic Liquid Motion Press-On Long Pipe Nails-5.5cm</x:v>
      </x:c>
      <x:c r="D7922" s="18" t="str">
        <x:v>Size: XS / S / M / L</x:v>
      </x:c>
      <x:c r="E7922" s="25" t="str">
        <x:v>$7.99</x:v>
      </x:c>
      <x:c r="F7922" s="19" t="str">
        <x:v>10</x:v>
      </x:c>
    </x:row>
    <x:row r="7923" ht="93" customHeight="1">
      <x:c r="A7923" s="19" t="n">
        <x:v>7920</x:v>
      </x:c>
      <x:c r="B7923" s="22" t="e">
        <x:f>HYPERLINK("https://cdn.shopify.com/s/files/1/0918/6066/4603/files/73be90d84c0038fc329f09b2984cdfe9.jpg?v=1775480001","Open")</x:f>
        <x:v>HYPERLINK is not implemented. linkLocation=https://cdn.shopify.com/s/files/1/0918/6066/4603/files/73be90d84c0038fc329f09b2984cdfe9.jpg?v=1775480001, friendlyName=Open</x:v>
      </x:c>
      <x:c r="C7923" s="24" t="e">
        <x:f>HYPERLINK("https://365nails.com/products/edgy-cow-print-cow-print-double-ring-long-coffin-press-on-nails","Edgy Cow Print: ""Cow Print Double Ring"" – Long Coffin Press-on Nails")</x:f>
        <x:v>HYPERLINK is not implemented. linkLocation=https://365nails.com/products/edgy-cow-print-cow-print-double-ring-long-coffin-press-on-nails, friendlyName=Edgy Cow Print: "Cow Print Double Ring" – Long Coffin Press-on Nails</x:v>
      </x:c>
      <x:c r="D7923" s="18" t="str">
        <x:v>Size: XS / S / M / L</x:v>
      </x:c>
      <x:c r="E7923" s="25" t="str">
        <x:v>$3.99</x:v>
      </x:c>
      <x:c r="F7923" s="19" t="str">
        <x:v>5</x:v>
      </x:c>
    </x:row>
    <x:row r="7924" ht="93" customHeight="1">
      <x:c r="A7924" s="19" t="n">
        <x:v>7921</x:v>
      </x:c>
      <x:c r="B7924" s="22" t="e">
        <x:f>HYPERLINK("https://cdn.shopify.com/s/files/1/0918/6066/4603/files/O1CN015m82Ol1HlX5GkeRLt__2545140798-0-cib_f52de35e-cafd-4cf3-bdde-1069dc0e4760.jpg?v=1775463689","Open")</x:f>
        <x:v>HYPERLINK is not implemented. linkLocation=https://cdn.shopify.com/s/files/1/0918/6066/4603/files/O1CN015m82Ol1HlX5GkeRLt__2545140798-0-cib_f52de35e-cafd-4cf3-bdde-1069dc0e4760.jpg?v=1775463689, friendlyName=Open</x:v>
      </x:c>
      <x:c r="C7924" s="24" t="e">
        <x:f>HYPERLINK("https://365nails.com/products/365nails-vintage-floral-butterfly-charm-handmade-press-on-nails","365nails: ""Vintage Floral Butterfly Charm"" –Nail Art Stickers")</x:f>
        <x:v>HYPERLINK is not implemented. linkLocation=https://365nails.com/products/365nails-vintage-floral-butterfly-charm-handmade-press-on-nails, friendlyName=365nails: "Vintage Floral Butterfly Charm" –Nail Art Stickers</x:v>
      </x:c>
      <x:c r="D7924" s="18" t="str">
        <x:v>Specification type: To4508 / To4509 / To4769 / To4770</x:v>
      </x:c>
      <x:c r="E7924" s="25" t="str">
        <x:v>$1.09</x:v>
      </x:c>
      <x:c r="F7924" s="19" t="str">
        <x:v>5</x:v>
      </x:c>
    </x:row>
    <x:row r="7925" ht="93" customHeight="1">
      <x:c r="A7925" s="19" t="n">
        <x:v>7922</x:v>
      </x:c>
      <x:c r="B7925" s="22" t="e">
        <x:f>HYPERLINK("https://cdn.shopify.com/s/files/1/0918/6066/4603/files/a89f1ac456ff31921100f0ecba761dc4.jpg?v=1775309628","Open")</x:f>
        <x:v>HYPERLINK is not implemented. linkLocation=https://cdn.shopify.com/s/files/1/0918/6066/4603/files/a89f1ac456ff31921100f0ecba761dc4.jpg?v=1775309628, friendlyName=Open</x:v>
      </x:c>
      <x:c r="C7925" s="24" t="e">
        <x:f>HYPERLINK("https://365nails.com/products/sweet-bloom-white-flower-rainbow-long-coffin-press-on-nails","Sweet Bloom: ""White Flower Rainbow"" – Long Coffin Press-on Nails")</x:f>
        <x:v>HYPERLINK is not implemented. linkLocation=https://365nails.com/products/sweet-bloom-white-flower-rainbow-long-coffin-press-on-nails, friendlyName=Sweet Bloom: "White Flower Rainbow" – Long Coffin Press-on Nails</x:v>
      </x:c>
      <x:c r="D7925" s="18" t="str">
        <x:v>Size: XS / S / M / L</x:v>
      </x:c>
      <x:c r="E7925" s="25" t="str">
        <x:v>$3.99</x:v>
      </x:c>
      <x:c r="F7925" s="19" t="str">
        <x:v>5</x:v>
      </x:c>
    </x:row>
    <x:row r="7926" ht="93" customHeight="1">
      <x:c r="A7926" s="19" t="n">
        <x:v>7923</x:v>
      </x:c>
      <x:c r="B7926" s="22" t="e">
        <x:f>HYPERLINK("https://cdn.shopify.com/s/files/1/0918/6066/4603/files/802a5375eaa4e8a591b5afcc7b4f9cb5.jpg?v=1777517473","Open")</x:f>
        <x:v>HYPERLINK is not implemented. linkLocation=https://cdn.shopify.com/s/files/1/0918/6066/4603/files/802a5375eaa4e8a591b5afcc7b4f9cb5.jpg?v=1777517473, friendlyName=Open</x:v>
      </x:c>
      <x:c r="C7926" s="24" t="e">
        <x:f>HYPERLINK("https://365nails.com/products/365nails-gothic-magic-eye-press-on-nails-dark-gothic-style","365nails Gothic Magic-Eye Press-On Nails - Dark Gothic Style")</x:f>
        <x:v>HYPERLINK is not implemented. linkLocation=https://365nails.com/products/365nails-gothic-magic-eye-press-on-nails-dark-gothic-style, friendlyName=365nails Gothic Magic-Eye Press-On Nails - Dark Gothic Style</x:v>
      </x:c>
      <x:c r="D7926" s="18" t="str">
        <x:v>Size: XS / S / M / L</x:v>
      </x:c>
      <x:c r="E7926" s="25" t="str">
        <x:v>$4.99</x:v>
      </x:c>
      <x:c r="F7926" s="19" t="str">
        <x:v>3</x:v>
      </x:c>
    </x:row>
    <x:row r="7927" ht="93" customHeight="1">
      <x:c r="A7927" s="19" t="n">
        <x:v>7924</x:v>
      </x:c>
      <x:c r="B7927" s="22" t="e">
        <x:f>HYPERLINK("https://cdn.shopify.com/s/files/1/0918/6066/4603/files/b5a14b23eade8c4797e0546c985ae8e8.jpg?v=1778166381","Open")</x:f>
        <x:v>HYPERLINK is not implemented. linkLocation=https://cdn.shopify.com/s/files/1/0918/6066/4603/files/b5a14b23eade8c4797e0546c985ae8e8.jpg?v=1778166381, friendlyName=Open</x:v>
      </x:c>
      <x:c r="C7927" s="24" t="e">
        <x:f>HYPERLINK("https://365nails.com/products/365nails-charcoal-iconic-glam-handmade-portrait-liquid-motion-press-on-long-pipe-nails","365nails: ""Charcoal Iconic Glam"" – Handmade Portrait Liquid Motion Press-On Long Pipe Nails-5.5cm")</x:f>
        <x:v>HYPERLINK is not implemented. linkLocation=https://365nails.com/products/365nails-charcoal-iconic-glam-handmade-portrait-liquid-motion-press-on-long-pipe-nails, friendlyName=365nails: "Charcoal Iconic Glam" – Handmade Portrait Liquid Motion Press-On Long Pipe Nails-5.5cm</x:v>
      </x:c>
      <x:c r="D7927" s="18" t="str">
        <x:v>Size: XS / S / M / L</x:v>
      </x:c>
      <x:c r="E7927" s="25" t="str">
        <x:v>$7.99</x:v>
      </x:c>
      <x:c r="F7927" s="19" t="str">
        <x:v>10</x:v>
      </x:c>
    </x:row>
    <x:row r="7928" ht="93" customHeight="1">
      <x:c r="A7928" s="19" t="n">
        <x:v>7925</x:v>
      </x:c>
      <x:c r="B7928" s="22" t="e">
        <x:f>HYPERLINK("https://cdn.shopify.com/s/files/1/0918/6066/4603/files/44827ffa2928c3e81db1e64dd217ec7f.jpg?v=1768975015","Open")</x:f>
        <x:v>HYPERLINK is not implemented. linkLocation=https://cdn.shopify.com/s/files/1/0918/6066/4603/files/44827ffa2928c3e81db1e64dd217ec7f.jpg?v=1768975015, friendlyName=Open</x:v>
      </x:c>
      <x:c r="C7928" s="24" t="e">
        <x:f>HYPERLINK("https://365nails.com/products/wizard-of-oz-vintage-moss-forest-monet-oil-painting-nails-handmade-smudge-series","Wizard of Oz &amp; Vintage Moss Forest Monet Oil Painting Nails ｜ Handmade Smudge Series(moq=30)")</x:f>
        <x:v>HYPERLINK is not implemented. linkLocation=https://365nails.com/products/wizard-of-oz-vintage-moss-forest-monet-oil-painting-nails-handmade-smudge-series, friendlyName=Wizard of Oz &amp; Vintage Moss Forest Monet Oil Painting Nails ｜ Handmade Smudge Series(moq=30)</x:v>
      </x:c>
      <x:c r="D7928" s="18" t="str">
        <x:v>Size: XS / S / M / L</x:v>
      </x:c>
      <x:c r="E7928" s="25" t="str">
        <x:v>$2.99</x:v>
      </x:c>
      <x:c r="F7928" s="19" t="str">
        <x:v>30</x:v>
      </x:c>
    </x:row>
    <x:row r="7929" ht="93" customHeight="1">
      <x:c r="A7929" s="19" t="n">
        <x:v>7926</x:v>
      </x:c>
      <x:c r="B7929" s="22" t="e">
        <x:f>HYPERLINK("https://cdn.shopify.com/s/files/1/0918/6066/4603/files/8dbc745fcfc9e6493029a74d3c2cec47_ca3c62cc-b19e-4564-9563-0234262f8ba5.jpg?v=1768895309","Open")</x:f>
        <x:v>HYPERLINK is not implemented. linkLocation=https://cdn.shopify.com/s/files/1/0918/6066/4603/files/8dbc745fcfc9e6493029a74d3c2cec47_ca3c62cc-b19e-4564-9563-0234262f8ba5.jpg?v=1768895309, friendlyName=Open</x:v>
      </x:c>
      <x:c r="C7929" s="24" t="e">
        <x:f>HYPERLINK("https://365nails.com/products/nude-pink-crystal-dragon-nails-sacred-light-soft-shimmer","Nude Pink Crystal Dragon Nails｜Sacred Light &amp; Soft Shimmer")</x:f>
        <x:v>HYPERLINK is not implemented. linkLocation=https://365nails.com/products/nude-pink-crystal-dragon-nails-sacred-light-soft-shimmer, friendlyName=Nude Pink Crystal Dragon Nails｜Sacred Light &amp; Soft Shimmer</x:v>
      </x:c>
      <x:c r="D7929" s="18" t="str">
        <x:v>Size: XS / S / M / L; length: 25mm / 40mm</x:v>
      </x:c>
      <x:c r="E7929" s="25" t="str">
        <x:v>$9.99</x:v>
      </x:c>
      <x:c r="F7929" s="19" t="str">
        <x:v>1</x:v>
      </x:c>
    </x:row>
    <x:row r="7930" ht="93" customHeight="1">
      <x:c r="A7930" s="19" t="n">
        <x:v>7927</x:v>
      </x:c>
      <x:c r="B7930" s="22" t="e">
        <x:f>HYPERLINK("https://cdn.shopify.com/s/files/1/0918/6066/4603/files/164eb4f12a6d7ef08baaefc4f57dfaa3.jpg?v=1778236485","Open")</x:f>
        <x:v>HYPERLINK is not implemented. linkLocation=https://cdn.shopify.com/s/files/1/0918/6066/4603/files/164eb4f12a6d7ef08baaefc4f57dfaa3.jpg?v=1778236485, friendlyName=Open</x:v>
      </x:c>
      <x:c r="C7930" s="24" t="e">
        <x:f>HYPERLINK("https://365nails.com/products/365nails-dark-wonderland-alice-handmade-gothic-liquid-motion-press-on-long-pipe-nails","365nails: ""Dark Wonderland Alice"" – Handmade Gothic Liquid Motion Press-On Long Pipe Nails-5.5cm")</x:f>
        <x:v>HYPERLINK is not implemented. linkLocation=https://365nails.com/products/365nails-dark-wonderland-alice-handmade-gothic-liquid-motion-press-on-long-pipe-nails, friendlyName=365nails: "Dark Wonderland Alice" – Handmade Gothic Liquid Motion Press-On Long Pipe Nails-5.5cm</x:v>
      </x:c>
      <x:c r="D7930" s="18" t="str">
        <x:v>Size: XS / S / M / L</x:v>
      </x:c>
      <x:c r="E7930" s="25" t="str">
        <x:v>$7.99</x:v>
      </x:c>
      <x:c r="F7930" s="19" t="str">
        <x:v>10</x:v>
      </x:c>
    </x:row>
    <x:row r="7931" ht="93" customHeight="1">
      <x:c r="A7931" s="19" t="n">
        <x:v>7928</x:v>
      </x:c>
      <x:c r="B7931" s="22" t="e">
        <x:f>HYPERLINK("https://cdn.shopify.com/s/files/1/0918/6066/4603/files/16deb8af1bad76aad30c99e5afc5433d.jpg?v=1778166656","Open")</x:f>
        <x:v>HYPERLINK is not implemented. linkLocation=https://cdn.shopify.com/s/files/1/0918/6066/4603/files/16deb8af1bad76aad30c99e5afc5433d.jpg?v=1778166656, friendlyName=Open</x:v>
      </x:c>
      <x:c r="C7931" s="24" t="e">
        <x:f>HYPERLINK("https://365nails.com/products/365nails-regal-lavender-princess-handmade-liquid-motion-press-on-long-pipe-nails","365nails: ""Regal Lavender Princess"" – Handmade Liquid Motion Press-On Long Pipe Nails-5.5cm")</x:f>
        <x:v>HYPERLINK is not implemented. linkLocation=https://365nails.com/products/365nails-regal-lavender-princess-handmade-liquid-motion-press-on-long-pipe-nails, friendlyName=365nails: "Regal Lavender Princess" – Handmade Liquid Motion Press-On Long Pipe Nails-5.5cm</x:v>
      </x:c>
      <x:c r="D7931" s="18" t="str">
        <x:v>Size: XS / S / M / L</x:v>
      </x:c>
      <x:c r="E7931" s="25" t="str">
        <x:v>$7.99</x:v>
      </x:c>
      <x:c r="F7931" s="19" t="str">
        <x:v>10</x:v>
      </x:c>
    </x:row>
    <x:row r="7932" ht="93" customHeight="1">
      <x:c r="A7932" s="19" t="n">
        <x:v>7929</x:v>
      </x:c>
      <x:c r="B7932" s="22" t="e">
        <x:f>HYPERLINK("https://cdn.shopify.com/s/files/1/0918/6066/4603/files/775f98ce3af51e1db2042dcb00c0f681.jpg?v=1775479677","Open")</x:f>
        <x:v>HYPERLINK is not implemented. linkLocation=https://cdn.shopify.com/s/files/1/0918/6066/4603/files/775f98ce3af51e1db2042dcb00c0f681.jpg?v=1775479677, friendlyName=Open</x:v>
      </x:c>
      <x:c r="C7932" s="24" t="e">
        <x:f>HYPERLINK("https://365nails.com/products/y2k-star-girl-star-girl-leopard-long-coffin-press-on-nails","Y2K Star Girl: ""Star Girl Leopard"" – Long Coffin Press-on Nails")</x:f>
        <x:v>HYPERLINK is not implemented. linkLocation=https://365nails.com/products/y2k-star-girl-star-girl-leopard-long-coffin-press-on-nails, friendlyName=Y2K Star Girl: "Star Girl Leopard" – Long Coffin Press-on Nails</x:v>
      </x:c>
      <x:c r="D7932" s="18" t="str">
        <x:v>Size: XS / S / M / L</x:v>
      </x:c>
      <x:c r="E7932" s="25" t="str">
        <x:v>$3.99</x:v>
      </x:c>
      <x:c r="F7932" s="19" t="str">
        <x:v>5</x:v>
      </x:c>
    </x:row>
    <x:row r="7933" ht="93" customHeight="1">
      <x:c r="A7933" s="19" t="n">
        <x:v>7930</x:v>
      </x:c>
      <x:c r="B7933" s="22" t="e">
        <x:f>HYPERLINK("https://cdn.shopify.com/s/files/1/0918/6066/4603/files/093cb64525ddc69e8c1ad4e62bfdf164.jpg?v=1778166153","Open")</x:f>
        <x:v>HYPERLINK is not implemented. linkLocation=https://cdn.shopify.com/s/files/1/0918/6066/4603/files/093cb64525ddc69e8c1ad4e62bfdf164.jpg?v=1778166153, friendlyName=Open</x:v>
      </x:c>
      <x:c r="C7933" s="24" t="e">
        <x:f>HYPERLINK("https://365nails.com/products/365nails-purple-kawaii-doll-handmade-kuromi-liquid-motion-press-on-long-pipe-nails","365nails: ""Purple Kawaii Doll"" – Handmade Kuromi Liquid Motion Press-On Long Pipe Nails-5.5cm")</x:f>
        <x:v>HYPERLINK is not implemented. linkLocation=https://365nails.com/products/365nails-purple-kawaii-doll-handmade-kuromi-liquid-motion-press-on-long-pipe-nails, friendlyName=365nails: "Purple Kawaii Doll" – Handmade Kuromi Liquid Motion Press-On Long Pipe Nails-5.5cm</x:v>
      </x:c>
      <x:c r="D7933" s="18" t="str">
        <x:v>Size: XS / S / M / L</x:v>
      </x:c>
      <x:c r="E7933" s="25" t="str">
        <x:v>$7.99</x:v>
      </x:c>
      <x:c r="F7933" s="19" t="str">
        <x:v>10</x:v>
      </x:c>
    </x:row>
    <x:row r="7934" ht="93" customHeight="1">
      <x:c r="A7934" s="19" t="n">
        <x:v>7931</x:v>
      </x:c>
      <x:c r="B7934" s="22" t="e">
        <x:f>HYPERLINK("https://cdn.shopify.com/s/files/1/0918/6066/4603/files/O1CN01jvv1CU2MQzf4CbMzI__2219089449823-0-cib.jpg?v=1774520791","Open")</x:f>
        <x:v>HYPERLINK is not implemented. linkLocation=https://cdn.shopify.com/s/files/1/0918/6066/4603/files/O1CN01jvv1CU2MQzf4CbMzI__2219089449823-0-cib.jpg?v=1774520791, friendlyName=Open</x:v>
      </x:c>
      <x:c r="C7934" s="24" t="e">
        <x:f>HYPERLINK("https://365nails.com/products/cherry-sweet-sparkle-cherry-cloud-square-press-on-nails","Cherry Sweet: ""Sparkle Cherry Cloud"" – Square Press-On Nails")</x:f>
        <x:v>HYPERLINK is not implemented. linkLocation=https://365nails.com/products/cherry-sweet-sparkle-cherry-cloud-square-press-on-nails, friendlyName=Cherry Sweet: "Sparkle Cherry Cloud" – Square Press-On Nails</x:v>
      </x:c>
      <x:c r="D7934" s="18" t="str">
        <x:v>Color: L–227; Color classification: Xs / S / M / L</x:v>
      </x:c>
      <x:c r="E7934" s="25" t="str">
        <x:v>$4.99</x:v>
      </x:c>
      <x:c r="F7934" s="19" t="str">
        <x:v>1</x:v>
      </x:c>
    </x:row>
    <x:row r="7935" ht="93" customHeight="1">
      <x:c r="A7935" s="19" t="n">
        <x:v>7932</x:v>
      </x:c>
      <x:c r="B7935" s="22" t="e">
        <x:f>HYPERLINK("https://cdn.shopify.com/s/files/1/0918/6066/4603/files/e711b941d2a9185c90e46015271b2c81.jpg?v=1778165723","Open")</x:f>
        <x:v>HYPERLINK is not implemented. linkLocation=https://cdn.shopify.com/s/files/1/0918/6066/4603/files/e711b941d2a9185c90e46015271b2c81.jpg?v=1778165723, friendlyName=Open</x:v>
      </x:c>
      <x:c r="C7935" s="24" t="e">
        <x:f>HYPERLINK("https://365nails.com/products/365nails-pink-fairy-princess-handmade-floral-liquid-motion-press-on-long-pipe-nails","365nails: ""Pink Fairy Princess"" – Handmade Floral Liquid Motion Press-On Long Pipe Nails-5.5cm")</x:f>
        <x:v>HYPERLINK is not implemented. linkLocation=https://365nails.com/products/365nails-pink-fairy-princess-handmade-floral-liquid-motion-press-on-long-pipe-nails, friendlyName=365nails: "Pink Fairy Princess" – Handmade Floral Liquid Motion Press-On Long Pipe Nails-5.5cm</x:v>
      </x:c>
      <x:c r="D7935" s="18" t="str">
        <x:v>Size: XS / S / M / L</x:v>
      </x:c>
      <x:c r="E7935" s="25" t="str">
        <x:v>$7.99</x:v>
      </x:c>
      <x:c r="F7935" s="19" t="str">
        <x:v>10</x:v>
      </x:c>
    </x:row>
    <x:row r="7936" ht="93" customHeight="1">
      <x:c r="A7936" s="19" t="n">
        <x:v>7933</x:v>
      </x:c>
      <x:c r="B7936" s="22" t="e">
        <x:f>HYPERLINK("https://cdn.shopify.com/s/files/1/0918/6066/4603/files/12ba7b3de306211c697c1efc5e65db4f.jpg?v=1777809517","Open")</x:f>
        <x:v>HYPERLINK is not implemented. linkLocation=https://cdn.shopify.com/s/files/1/0918/6066/4603/files/12ba7b3de306211c697c1efc5e65db4f.jpg?v=1777809517, friendlyName=Open</x:v>
      </x:c>
      <x:c r="C7936" s="24" t="e">
        <x:f>HYPERLINK("https://365nails.com/products/365nails-strawberry-bow-plaid-3d-bow-handmade-medium-stiletto-press-on-nails","365nails: ""Strawberry Bow Plaid"" – 3D Bow Handmade Medium Stiletto Press-On Nails")</x:f>
        <x:v>HYPERLINK is not implemented. linkLocation=https://365nails.com/products/365nails-strawberry-bow-plaid-3d-bow-handmade-medium-stiletto-press-on-nails, friendlyName=365nails: "Strawberry Bow Plaid" – 3D Bow Handmade Medium Stiletto Press-On Nails</x:v>
      </x:c>
      <x:c r="D7936" s="18" t="str">
        <x:v>Size: XS / S / M / L</x:v>
      </x:c>
      <x:c r="E7936" s="25" t="str">
        <x:v>$2.99</x:v>
      </x:c>
      <x:c r="F7936" s="19" t="str">
        <x:v>5</x:v>
      </x:c>
    </x:row>
    <x:row r="7937" ht="93" customHeight="1">
      <x:c r="A7937" s="19" t="n">
        <x:v>7934</x:v>
      </x:c>
      <x:c r="B7937" s="22" t="e">
        <x:f>HYPERLINK("https://cdn.shopify.com/s/files/1/0918/6066/4603/files/521c4f5379f128b95955b73af7069cd5.jpg?v=1778165652","Open")</x:f>
        <x:v>HYPERLINK is not implemented. linkLocation=https://cdn.shopify.com/s/files/1/0918/6066/4603/files/521c4f5379f128b95955b73af7069cd5.jpg?v=1778165652, friendlyName=Open</x:v>
      </x:c>
      <x:c r="C7937" s="24" t="e">
        <x:f>HYPERLINK("https://365nails.com/products/365nails-purple-pop-doll-handmade-cartoon-liquid-motion-press-on-long-pipe-nails","365nails: ""Purple Pop Doll"" – Handmade Cartoon Liquid Motion Press-On Long Pipe Nails-5.5cm")</x:f>
        <x:v>HYPERLINK is not implemented. linkLocation=https://365nails.com/products/365nails-purple-pop-doll-handmade-cartoon-liquid-motion-press-on-long-pipe-nails, friendlyName=365nails: "Purple Pop Doll" – Handmade Cartoon Liquid Motion Press-On Long Pipe Nails-5.5cm</x:v>
      </x:c>
      <x:c r="D7937" s="18" t="str">
        <x:v>Size: XS / S / M / L</x:v>
      </x:c>
      <x:c r="E7937" s="25" t="str">
        <x:v>$7.99</x:v>
      </x:c>
      <x:c r="F7937" s="19" t="str">
        <x:v>10</x:v>
      </x:c>
    </x:row>
    <x:row r="7938" ht="93" customHeight="1">
      <x:c r="A7938" s="19" t="n">
        <x:v>7935</x:v>
      </x:c>
      <x:c r="B7938" s="22" t="e">
        <x:f>HYPERLINK("https://cdn.shopify.com/s/files/1/0918/6066/4603/files/ab51480414e672a3b16d92decee14f44.jpg?v=1777809038","Open")</x:f>
        <x:v>HYPERLINK is not implemented. linkLocation=https://cdn.shopify.com/s/files/1/0918/6066/4603/files/ab51480414e672a3b16d92decee14f44.jpg?v=1777809038, friendlyName=Open</x:v>
      </x:c>
      <x:c r="C7938" s="24" t="e">
        <x:f>HYPERLINK("https://365nails.com/products/365nails-ruby-sparkle-v-tip-handmade-medium-stiletto-press-on-nails","365nails: ""Ruby Sparkle V-Tip"" – Handmade Medium Stiletto Press-On Nails")</x:f>
        <x:v>HYPERLINK is not implemented. linkLocation=https://365nails.com/products/365nails-ruby-sparkle-v-tip-handmade-medium-stiletto-press-on-nails, friendlyName=365nails: "Ruby Sparkle V-Tip" – Handmade Medium Stiletto Press-On Nails</x:v>
      </x:c>
      <x:c r="D7938" s="18" t="str">
        <x:v>Size: XS / S / M / L</x:v>
      </x:c>
      <x:c r="E7938" s="25" t="str">
        <x:v>$2.99</x:v>
      </x:c>
      <x:c r="F7938" s="19" t="str">
        <x:v>5</x:v>
      </x:c>
    </x:row>
    <x:row r="7939" ht="93" customHeight="1">
      <x:c r="A7939" s="19" t="n">
        <x:v>7936</x:v>
      </x:c>
      <x:c r="B7939" s="22" t="e">
        <x:f>HYPERLINK("https://cdn.shopify.com/s/files/1/0918/6066/4603/files/969e30a3106249ba5fe6a8db0b7af12f.jpg?v=1778236596","Open")</x:f>
        <x:v>HYPERLINK is not implemented. linkLocation=https://cdn.shopify.com/s/files/1/0918/6066/4603/files/969e30a3106249ba5fe6a8db0b7af12f.jpg?v=1778236596, friendlyName=Open</x:v>
      </x:c>
      <x:c r="C7939" s="24" t="e">
        <x:f>HYPERLINK("https://365nails.com/products/365nails-pink-fairy-masquerade-handmade-floral-liquid-motion-press-on-long-pipe-nails","365nails: ""Pink Fairy Masquerade"" – Handmade Floral Liquid Motion Press-On Long Pipe Nails-5.5cm")</x:f>
        <x:v>HYPERLINK is not implemented. linkLocation=https://365nails.com/products/365nails-pink-fairy-masquerade-handmade-floral-liquid-motion-press-on-long-pipe-nails, friendlyName=365nails: "Pink Fairy Masquerade" – Handmade Floral Liquid Motion Press-On Long Pipe Nails-5.5cm</x:v>
      </x:c>
      <x:c r="D7939" s="18" t="str">
        <x:v>Size: XS / S / M / L</x:v>
      </x:c>
      <x:c r="E7939" s="25" t="str">
        <x:v>$7.99</x:v>
      </x:c>
      <x:c r="F7939" s="19" t="str">
        <x:v>10</x:v>
      </x:c>
    </x:row>
    <x:row r="7940" ht="93" customHeight="1">
      <x:c r="A7940" s="19" t="n">
        <x:v>7937</x:v>
      </x:c>
      <x:c r="B7940" s="22" t="e">
        <x:f>HYPERLINK("https://cdn.shopify.com/s/files/1/0918/6066/4603/files/bb2f2a9421fa8c8f21ee688aef2e8449.jpg?v=1777808923","Open")</x:f>
        <x:v>HYPERLINK is not implemented. linkLocation=https://cdn.shopify.com/s/files/1/0918/6066/4603/files/bb2f2a9421fa8c8f21ee688aef2e8449.jpg?v=1777808923, friendlyName=Open</x:v>
      </x:c>
      <x:c r="C7940" s="24" t="e">
        <x:f>HYPERLINK("https://365nails.com/products/365nails-sky-bloom-glitter-3d-flower-handmade-short-oval-press-on-nails","365nails: ""Sky Bloom Glitter"" – 3D Flower Handmade Short Oval Press-On Nails")</x:f>
        <x:v>HYPERLINK is not implemented. linkLocation=https://365nails.com/products/365nails-sky-bloom-glitter-3d-flower-handmade-short-oval-press-on-nails, friendlyName=365nails: "Sky Bloom Glitter" – 3D Flower Handmade Short Oval Press-On Nails</x:v>
      </x:c>
      <x:c r="D7940" s="18" t="str">
        <x:v>Size: XS / S / M / L</x:v>
      </x:c>
      <x:c r="E7940" s="25" t="str">
        <x:v>$2.99</x:v>
      </x:c>
      <x:c r="F7940" s="19" t="str">
        <x:v>5</x:v>
      </x:c>
    </x:row>
    <x:row r="7941" ht="93" customHeight="1">
      <x:c r="A7941" s="19" t="n">
        <x:v>7938</x:v>
      </x:c>
      <x:c r="B7941" s="22" t="e">
        <x:f>HYPERLINK("https://cdn.shopify.com/s/files/1/0918/6066/4603/files/O1CN01OiHJia1HlX1DVSemf__2545140798-0-cib.jpg?v=1776499315","Open")</x:f>
        <x:v>HYPERLINK is not implemented. linkLocation=https://cdn.shopify.com/s/files/1/0918/6066/4603/files/O1CN01OiHJia1HlX1DVSemf__2545140798-0-cib.jpg?v=1776499315, friendlyName=Open</x:v>
      </x:c>
      <x:c r="C7941" s="24" t="e">
        <x:f>HYPERLINK("https://365nails.com/products/365nails-floral-bunny-with-pink-bows-nail-art-stickers-1","365nails: ""Floral Bunny with Pink Bows"" – nail art stickers")</x:f>
        <x:v>HYPERLINK is not implemented. linkLocation=https://365nails.com/products/365nails-floral-bunny-with-pink-bows-nail-art-stickers-1, friendlyName=365nails: "Floral Bunny with Pink Bows" – nail art stickers</x:v>
      </x:c>
      <x:c r="D7941" s="18" t="str">
        <x:v>Specification type: To4041 / To4072</x:v>
      </x:c>
      <x:c r="E7941" s="25" t="str">
        <x:v>$1.09</x:v>
      </x:c>
      <x:c r="F7941" s="19" t="str">
        <x:v>5</x:v>
      </x:c>
    </x:row>
    <x:row r="7942" ht="93" customHeight="1">
      <x:c r="A7942" s="19" t="n">
        <x:v>7939</x:v>
      </x:c>
      <x:c r="B7942" s="22" t="e">
        <x:f>HYPERLINK("https://cdn.shopify.com/s/files/1/0918/6066/4603/files/29bd695d43e05e52573ae53c3df2cd6e.jpg?v=1777809297","Open")</x:f>
        <x:v>HYPERLINK is not implemented. linkLocation=https://cdn.shopify.com/s/files/1/0918/6066/4603/files/29bd695d43e05e52573ae53c3df2cd6e.jpg?v=1777809297, friendlyName=Open</x:v>
      </x:c>
      <x:c r="C7942" s="24" t="e">
        <x:f>HYPERLINK("https://365nails.com/products/365nails-pink-leopard-french-handmade-medium-stiletto-press-on-nails","365nails: ""Pink Leopard French"" – Handmade Medium Stiletto Press-On Nails")</x:f>
        <x:v>HYPERLINK is not implemented. linkLocation=https://365nails.com/products/365nails-pink-leopard-french-handmade-medium-stiletto-press-on-nails, friendlyName=365nails: "Pink Leopard French" – Handmade Medium Stiletto Press-On Nails</x:v>
      </x:c>
      <x:c r="D7942" s="18" t="str">
        <x:v>Size: XS / S / M / L</x:v>
      </x:c>
      <x:c r="E7942" s="25" t="str">
        <x:v>$2.99</x:v>
      </x:c>
      <x:c r="F7942" s="19" t="str">
        <x:v>5</x:v>
      </x:c>
    </x:row>
    <x:row r="7943" ht="93" customHeight="1">
      <x:c r="A7943" s="19" t="n">
        <x:v>7940</x:v>
      </x:c>
      <x:c r="B7943" s="22" t="e">
        <x:f>HYPERLINK("https://cdn.shopify.com/s/files/1/0918/6066/4603/files/909ae3c79da60e5ed522992dbb3574cb.jpg?v=1774080811","Open")</x:f>
        <x:v>HYPERLINK is not implemented. linkLocation=https://cdn.shopify.com/s/files/1/0918/6066/4603/files/909ae3c79da60e5ed522992dbb3574cb.jpg?v=1774080811, friendlyName=Open</x:v>
      </x:c>
      <x:c r="C7943" s="24" t="e">
        <x:f>HYPERLINK("https://365nails.com/products/cosmic-fatale-plum-lace-veil-long-sharp-stiletto-handmade-press-on-nails","Cosmic Fatale: ""Plum Lace Veil"" – Long Sharp Stiletto Handmade Press On Nails")</x:f>
        <x:v>HYPERLINK is not implemented. linkLocation=https://365nails.com/products/cosmic-fatale-plum-lace-veil-long-sharp-stiletto-handmade-press-on-nails, friendlyName=Cosmic Fatale: "Plum Lace Veil" – Long Sharp Stiletto Handmade Press On Nails</x:v>
      </x:c>
      <x:c r="D7943" s="18" t="str">
        <x:v>Size: XS / S / M / L</x:v>
      </x:c>
      <x:c r="E7943" s="25" t="str">
        <x:v>$3.99</x:v>
      </x:c>
      <x:c r="F7943" s="19" t="str">
        <x:v>5</x:v>
      </x:c>
    </x:row>
    <x:row r="7944" ht="93" customHeight="1">
      <x:c r="A7944" s="19" t="n">
        <x:v>7941</x:v>
      </x:c>
      <x:c r="B7944" s="22" t="e">
        <x:f>HYPERLINK("https://cdn.shopify.com/s/files/1/0918/6066/4603/files/O1CN01CVwmgz1HlX43MmFBA__2545140798-0-cib_7f3d8b9c-c41b-48f6-8f46-7b88380ffa27.jpg?v=1775458726","Open")</x:f>
        <x:v>HYPERLINK is not implemented. linkLocation=https://cdn.shopify.com/s/files/1/0918/6066/4603/files/O1CN01CVwmgz1HlX43MmFBA__2545140798-0-cib_7f3d8b9c-c41b-48f6-8f46-7b88380ffa27.jpg?v=1775458726, friendlyName=Open</x:v>
      </x:c>
      <x:c r="C7944" s="24" t="e">
        <x:f>HYPERLINK("https://365nails.com/products/365nails-cute-mini-cat-face-handmade-press-on-nails","365nails: ""Cute Mini Cat Face"" –Nail Art Stickers")</x:f>
        <x:v>HYPERLINK is not implemented. linkLocation=https://365nails.com/products/365nails-cute-mini-cat-face-handmade-press-on-nails, friendlyName=365nails: "Cute Mini Cat Face" –Nail Art Stickers</x:v>
      </x:c>
      <x:c r="D7944" s="18" t="str">
        <x:v>Specification type: To4663</x:v>
      </x:c>
      <x:c r="E7944" s="25" t="str">
        <x:v>$1.09</x:v>
      </x:c>
      <x:c r="F7944" s="19" t="str">
        <x:v>5</x:v>
      </x:c>
    </x:row>
    <x:row r="7945" ht="93" customHeight="1">
      <x:c r="A7945" s="19" t="n">
        <x:v>7942</x:v>
      </x:c>
      <x:c r="B7945" s="22" t="e">
        <x:f>HYPERLINK("https://cdn.shopify.com/s/files/1/0918/6066/4603/files/O1CN01O2DJcj2MQzdnWfxQB__2219089449823-0-cib.jpg?v=1774579095","Open")</x:f>
        <x:v>HYPERLINK is not implemented. linkLocation=https://cdn.shopify.com/s/files/1/0918/6066/4603/files/O1CN01O2DJcj2MQzdnWfxQB__2219089449823-0-cib.jpg?v=1774579095, friendlyName=Open</x:v>
      </x:c>
      <x:c r="C7945" s="24" t="e">
        <x:f>HYPERLINK("https://365nails.com/products/pastel-petal-rainbow-floral-whisper-almond-press-on-nails","Pastel Petal: ""Rainbow Floral Whisper"" – Almond Press-On Nails")</x:f>
        <x:v>HYPERLINK is not implemented. linkLocation=https://365nails.com/products/pastel-petal-rainbow-floral-whisper-almond-press-on-nails, friendlyName=Pastel Petal: "Rainbow Floral Whisper" – Almond Press-On Nails</x:v>
      </x:c>
      <x:c r="D7945" s="18" t="str">
        <x:v>Color: D511; Color classification: Xs / S / M / L</x:v>
      </x:c>
      <x:c r="E7945" s="25" t="str">
        <x:v>$3.49</x:v>
      </x:c>
      <x:c r="F7945" s="19" t="str">
        <x:v>1</x:v>
      </x:c>
    </x:row>
    <x:row r="7946" ht="93" customHeight="1">
      <x:c r="A7946" s="19" t="n">
        <x:v>7943</x:v>
      </x:c>
      <x:c r="B7946" s="22" t="e">
        <x:f>HYPERLINK("https://cdn.shopify.com/s/files/1/0918/6066/4603/files/O1CN01P7uOsc1HlX3djuEu6__2545140798-0-cib_a68338d6-d4ee-4175-97da-f0f7426e1602.jpg?v=1775458042","Open")</x:f>
        <x:v>HYPERLINK is not implemented. linkLocation=https://cdn.shopify.com/s/files/1/0918/6066/4603/files/O1CN01P7uOsc1HlX3djuEu6__2545140798-0-cib_a68338d6-d4ee-4175-97da-f0f7426e1602.jpg?v=1775458042, friendlyName=Open</x:v>
      </x:c>
      <x:c r="C7946" s="24" t="e">
        <x:f>HYPERLINK("https://365nails.com/products/365nails-glowing-white-gold-heart-handmade-press-on-nails","365nails: ""Glowing White &amp; Gold Heart"" –Nail Art Stickers")</x:f>
        <x:v>HYPERLINK is not implemented. linkLocation=https://365nails.com/products/365nails-glowing-white-gold-heart-handmade-press-on-nails, friendlyName=365nails: "Glowing White &amp; Gold Heart" –Nail Art Stickers</x:v>
      </x:c>
      <x:c r="D7946" s="18" t="str">
        <x:v>Specification type: To4536-new hot stamping / To4537-new hot stamping / To4537-silver</x:v>
      </x:c>
      <x:c r="E7946" s="25" t="str">
        <x:v>$1.23</x:v>
      </x:c>
      <x:c r="F7946" s="19" t="str">
        <x:v>5</x:v>
      </x:c>
    </x:row>
    <x:row r="7947" ht="93" customHeight="1">
      <x:c r="A7947" s="19" t="n">
        <x:v>7944</x:v>
      </x:c>
      <x:c r="B7947" s="22" t="e">
        <x:f>HYPERLINK("https://cdn.shopify.com/s/files/1/0918/6066/4603/files/O1CN014lKJRp1HlX3LsabEs__2545140798-0-cib_53d7434f-997a-40d5-937a-fc04b0cbb5e9.jpg?v=1775457739","Open")</x:f>
        <x:v>HYPERLINK is not implemented. linkLocation=https://cdn.shopify.com/s/files/1/0918/6066/4603/files/O1CN014lKJRp1HlX3LsabEs__2545140798-0-cib_53d7434f-997a-40d5-937a-fc04b0cbb5e9.jpg?v=1775457739, friendlyName=Open</x:v>
      </x:c>
      <x:c r="C7947" s="24" t="e">
        <x:f>HYPERLINK("https://365nails.com/products/365nails-cute-winter-reindeer-handmade-press-on-nails","365nails: ""Cute Winter Reindeer"" –Nail Art Stickers")</x:f>
        <x:v>HYPERLINK is not implemented. linkLocation=https://365nails.com/products/365nails-cute-winter-reindeer-handmade-press-on-nails, friendlyName=365nails: "Cute Winter Reindeer" –Nail Art Stickers</x:v>
      </x:c>
      <x:c r="D7947" s="18" t="str">
        <x:v>Specification type: To4476-crystal diamond / To4477-crystal diamond</x:v>
      </x:c>
      <x:c r="E7947" s="25" t="str">
        <x:v>$1.30</x:v>
      </x:c>
      <x:c r="F7947" s="19" t="str">
        <x:v>5</x:v>
      </x:c>
    </x:row>
    <x:row r="7948" ht="93" customHeight="1">
      <x:c r="A7948" s="19" t="n">
        <x:v>7945</x:v>
      </x:c>
      <x:c r="B7948" s="22" t="e">
        <x:f>HYPERLINK("https://cdn.shopify.com/s/files/1/0918/6066/4603/files/O1CN01DlPaxm1HlX3V8s6Uw__2545140798-0-cib_b2aa2678-6e7f-47cc-a569-1d6257de3bae.jpg?v=1775457633","Open")</x:f>
        <x:v>HYPERLINK is not implemented. linkLocation=https://cdn.shopify.com/s/files/1/0918/6066/4603/files/O1CN01DlPaxm1HlX3V8s6Uw__2545140798-0-cib_b2aa2678-6e7f-47cc-a569-1d6257de3bae.jpg?v=1775457633, friendlyName=Open</x:v>
      </x:c>
      <x:c r="C7948" s="24" t="e">
        <x:f>HYPERLINK("https://365nails.com/products/365nails-dusty-pink-heart-print-handmade-press-on-nails","365nails: ""Dusty Pink Heart Print"" –Nail Art Stickers")</x:f>
        <x:v>HYPERLINK is not implemented. linkLocation=https://365nails.com/products/365nails-dusty-pink-heart-print-handmade-press-on-nails, friendlyName=365nails: "Dusty Pink Heart Print" –Nail Art Stickers</x:v>
      </x:c>
      <x:c r="D7948" s="18" t="str">
        <x:v>Specification type: To4516 / To4517</x:v>
      </x:c>
      <x:c r="E7948" s="25" t="str">
        <x:v>$1.09</x:v>
      </x:c>
      <x:c r="F7948" s="19" t="str">
        <x:v>5</x:v>
      </x:c>
    </x:row>
    <x:row r="7949" ht="93" customHeight="1">
      <x:c r="A7949" s="19" t="n">
        <x:v>7946</x:v>
      </x:c>
      <x:c r="B7949" s="22" t="e">
        <x:f>HYPERLINK("https://cdn.shopify.com/s/files/1/0918/6066/4603/files/6ed0856f49fddc36da73299b48d12083.jpg?v=1775479792","Open")</x:f>
        <x:v>HYPERLINK is not implemented. linkLocation=https://cdn.shopify.com/s/files/1/0918/6066/4603/files/6ed0856f49fddc36da73299b48d12083.jpg?v=1775479792, friendlyName=Open</x:v>
      </x:c>
      <x:c r="C7949" s="24" t="e">
        <x:f>HYPERLINK("https://365nails.com/products/chic-leopard-mint-cow-print-bow-long-coffin-press-on-nails","Chic Leopard: ""Mint Cow Print Bow"" – Long Coffin Press-on Nails")</x:f>
        <x:v>HYPERLINK is not implemented. linkLocation=https://365nails.com/products/chic-leopard-mint-cow-print-bow-long-coffin-press-on-nails, friendlyName=Chic Leopard: "Mint Cow Print Bow" – Long Coffin Press-on Nails</x:v>
      </x:c>
      <x:c r="D7949" s="18" t="str">
        <x:v>Size: XS / S / M / L</x:v>
      </x:c>
      <x:c r="E7949" s="25" t="str">
        <x:v>$3.99</x:v>
      </x:c>
      <x:c r="F7949" s="19" t="str">
        <x:v>5</x:v>
      </x:c>
    </x:row>
    <x:row r="7950" ht="93" customHeight="1">
      <x:c r="A7950" s="19" t="n">
        <x:v>7947</x:v>
      </x:c>
      <x:c r="B7950" s="22" t="e">
        <x:f>HYPERLINK("https://cdn.shopify.com/s/files/1/0918/6066/4603/files/O1CN01RTrXO81HlX3dmhRnW__2545140798-0-cib_b673dbb7-f855-430b-a97b-5616760bae93.jpg?v=1775458335","Open")</x:f>
        <x:v>HYPERLINK is not implemented. linkLocation=https://cdn.shopify.com/s/files/1/0918/6066/4603/files/O1CN01RTrXO81HlX3dmhRnW__2545140798-0-cib_b673dbb7-f855-430b-a97b-5616760bae93.jpg?v=1775458335, friendlyName=Open</x:v>
      </x:c>
      <x:c r="C7950" s="24" t="e">
        <x:f>HYPERLINK("https://365nails.com/products/365nails-vintage-chinese-floral-butterfly-handmade-press-on-nails-1","365nails: ""Vintage Chinese Floral &amp; Butterfly"" –Nail Art Stickers")</x:f>
        <x:v>HYPERLINK is not implemented. linkLocation=https://365nails.com/products/365nails-vintage-chinese-floral-butterfly-handmade-press-on-nails-1, friendlyName=365nails: "Vintage Chinese Floral &amp; Butterfly" –Nail Art Stickers</x:v>
      </x:c>
      <x:c r="D7950" s="18" t="str">
        <x:v>Specification type: To4531 / To4557</x:v>
      </x:c>
      <x:c r="E7950" s="25" t="str">
        <x:v>$1.09</x:v>
      </x:c>
      <x:c r="F7950" s="19" t="str">
        <x:v>5</x:v>
      </x:c>
    </x:row>
    <x:row r="7951" ht="93" customHeight="1">
      <x:c r="A7951" s="19" t="n">
        <x:v>7948</x:v>
      </x:c>
      <x:c r="B7951" s="22" t="e">
        <x:f>HYPERLINK("https://cdn.shopify.com/s/files/1/0918/6066/4603/files/O1CN01bDoaE11HlX5E7XCO3__2545140798-0-cib_50b5e053-9c67-4e26-b8d8-cd200d1e8578.jpg?v=1775464195","Open")</x:f>
        <x:v>HYPERLINK is not implemented. linkLocation=https://cdn.shopify.com/s/files/1/0918/6066/4603/files/O1CN01bDoaE11HlX5E7XCO3__2545140798-0-cib_50b5e053-9c67-4e26-b8d8-cd200d1e8578.jpg?v=1775464195, friendlyName=Open</x:v>
      </x:c>
      <x:c r="C7951" s="24" t="e">
        <x:f>HYPERLINK("https://365nails.com/products/365nails-holographic-white-butterfly-handmade-press-on-nails","365nails: ""Holographic White Butterfly"" –Nail Art Stickers")</x:f>
        <x:v>HYPERLINK is not implemented. linkLocation=https://365nails.com/products/365nails-holographic-white-butterfly-handmade-press-on-nails, friendlyName=365nails: "Holographic White Butterfly" –Nail Art Stickers</x:v>
      </x:c>
      <x:c r="D7951" s="18" t="str">
        <x:v>Specification type: To4620-shell light</x:v>
      </x:c>
      <x:c r="E7951" s="25" t="str">
        <x:v>$1.23</x:v>
      </x:c>
      <x:c r="F7951" s="19" t="str">
        <x:v>5</x:v>
      </x:c>
    </x:row>
    <x:row r="7952" ht="93" customHeight="1">
      <x:c r="A7952" s="19" t="n">
        <x:v>7949</x:v>
      </x:c>
      <x:c r="B7952" s="22" t="e">
        <x:f>HYPERLINK("https://cdn.shopify.com/s/files/1/0918/6066/4603/files/O1CN01cfNXa91HlX3vYoCOg__2545140798-0-cib_bb6ca622-ddc7-4bd2-99bf-b66b09082a98.jpg?v=1775458446","Open")</x:f>
        <x:v>HYPERLINK is not implemented. linkLocation=https://cdn.shopify.com/s/files/1/0918/6066/4603/files/O1CN01cfNXa91HlX3vYoCOg__2545140798-0-cib_bb6ca622-ddc7-4bd2-99bf-b66b09082a98.jpg?v=1775458446, friendlyName=Open</x:v>
      </x:c>
      <x:c r="C7952" s="24" t="e">
        <x:f>HYPERLINK("https://365nails.com/products/365nails-cute-embossed-christmas-characters-handmade-press-on-nails","365nails: ""Cute Embossed Christmas Characters"" –Nail Art Stickers")</x:f>
        <x:v>HYPERLINK is not implemented. linkLocation=https://365nails.com/products/365nails-cute-embossed-christmas-characters-handmade-press-on-nails, friendlyName=365nails: "Cute Embossed Christmas Characters" –Nail Art Stickers</x:v>
      </x:c>
      <x:c r="D7952" s="18" t="str">
        <x:v>Specification type: To4588-relief / To4589-relief</x:v>
      </x:c>
      <x:c r="E7952" s="25" t="str">
        <x:v>$1.23</x:v>
      </x:c>
      <x:c r="F7952" s="19" t="str">
        <x:v>5</x:v>
      </x:c>
    </x:row>
    <x:row r="7953" ht="93" customHeight="1">
      <x:c r="A7953" s="19" t="n">
        <x:v>7950</x:v>
      </x:c>
      <x:c r="B7953" s="22" t="e">
        <x:f>HYPERLINK("https://cdn.shopify.com/s/files/1/0918/6066/4603/files/O1CN01c3L8A71HlX3LbtxJl__2545140798-0-cib_bd05cd7b-9ec1-454e-b360-8300814045fd.jpg?v=1775457519","Open")</x:f>
        <x:v>HYPERLINK is not implemented. linkLocation=https://cdn.shopify.com/s/files/1/0918/6066/4603/files/O1CN01c3L8A71HlX3LbtxJl__2545140798-0-cib_bd05cd7b-9ec1-454e-b360-8300814045fd.jpg?v=1775457519, friendlyName=Open</x:v>
      </x:c>
      <x:c r="C7953" s="24" t="e">
        <x:f>HYPERLINK("https://365nails.com/products/365nails-festive-christmas-ornament-handmade-press-on-nails","365nails: ""Festive Christmas Ornament"" –Nail Art Stickers")</x:f>
        <x:v>HYPERLINK is not implemented. linkLocation=https://365nails.com/products/365nails-festive-christmas-ornament-handmade-press-on-nails, friendlyName=365nails: "Festive Christmas Ornament" –Nail Art Stickers</x:v>
      </x:c>
      <x:c r="D7953" s="18" t="str">
        <x:v>Specification type: To4464-new hot stamping / To4465-jelly</x:v>
      </x:c>
      <x:c r="E7953" s="25" t="str">
        <x:v>$1.23</x:v>
      </x:c>
      <x:c r="F7953" s="19" t="str">
        <x:v>5</x:v>
      </x:c>
    </x:row>
    <x:row r="7954" ht="93" customHeight="1">
      <x:c r="A7954" s="19" t="n">
        <x:v>7951</x:v>
      </x:c>
      <x:c r="B7954" s="22" t="e">
        <x:f>HYPERLINK("https://cdn.shopify.com/s/files/1/0918/6066/4603/files/O1CN01To69Va1HlX475aVnj__2545140798-0-cib_24f977e8-aba2-4758-9c23-9f9e17419158.jpg?v=1775458942","Open")</x:f>
        <x:v>HYPERLINK is not implemented. linkLocation=https://cdn.shopify.com/s/files/1/0918/6066/4603/files/O1CN01To69Va1HlX475aVnj__2545140798-0-cib_24f977e8-aba2-4758-9c23-9f9e17419158.jpg?v=1775458942, friendlyName=Open</x:v>
      </x:c>
      <x:c r="C7954" s="24" t="e">
        <x:f>HYPERLINK("https://365nails.com/products/365nails-circus-bear-carnival-handmade-press-on-nails","365nails: ""Circus Bear Carnival"" –Nail Art Stickers")</x:f>
        <x:v>HYPERLINK is not implemented. linkLocation=https://365nails.com/products/365nails-circus-bear-carnival-handmade-press-on-nails, friendlyName=365nails: "Circus Bear Carnival" –Nail Art Stickers</x:v>
      </x:c>
      <x:c r="D7954" s="18" t="str">
        <x:v>Specification type: To4653-relief</x:v>
      </x:c>
      <x:c r="E7954" s="25" t="str">
        <x:v>$1.23</x:v>
      </x:c>
      <x:c r="F7954" s="19" t="str">
        <x:v>5</x:v>
      </x:c>
    </x:row>
    <x:row r="7955" ht="93" customHeight="1">
      <x:c r="A7955" s="19" t="n">
        <x:v>7952</x:v>
      </x:c>
      <x:c r="B7955" s="22" t="e">
        <x:f>HYPERLINK("https://cdn.shopify.com/s/files/1/0918/6066/4603/files/c0d1ed55e859757e4e43a4cce44cb8fe.jpg?v=1777795184","Open")</x:f>
        <x:v>HYPERLINK is not implemented. linkLocation=https://cdn.shopify.com/s/files/1/0918/6066/4603/files/c0d1ed55e859757e4e43a4cce44cb8fe.jpg?v=1777795184, friendlyName=Open</x:v>
      </x:c>
      <x:c r="C7955" s="24" t="e">
        <x:f>HYPERLINK("https://365nails.com/products/365nails-colorful-flower-pearl-wave-3d-handmade-medium-stiletto-press-on-nails","365nails: ""Colorful Flower Pearl Wave 3D"" – Handmade Medium Stiletto Press-On Nails")</x:f>
        <x:v>HYPERLINK is not implemented. linkLocation=https://365nails.com/products/365nails-colorful-flower-pearl-wave-3d-handmade-medium-stiletto-press-on-nails, friendlyName=365nails: "Colorful Flower Pearl Wave 3D" – Handmade Medium Stiletto Press-On Nails</x:v>
      </x:c>
      <x:c r="D7955" s="18" t="str">
        <x:v>Size: XS / S / M / L</x:v>
      </x:c>
      <x:c r="E7955" s="25" t="str">
        <x:v>$3.49</x:v>
      </x:c>
      <x:c r="F7955" s="19" t="str">
        <x:v>5</x:v>
      </x:c>
    </x:row>
    <x:row r="7956" ht="93" customHeight="1">
      <x:c r="A7956" s="19" t="n">
        <x:v>7953</x:v>
      </x:c>
      <x:c r="B7956" s="22" t="e">
        <x:f>HYPERLINK("https://cdn.shopify.com/s/files/1/0918/6066/4603/files/O1CN01EXp4wy1HlX4444odu__2545140798-0-cib_3b05eb32-12d9-4275-974e-9489ac3428a4.jpg?v=1775458639","Open")</x:f>
        <x:v>HYPERLINK is not implemented. linkLocation=https://cdn.shopify.com/s/files/1/0918/6066/4603/files/O1CN01EXp4wy1HlX4444odu__2545140798-0-cib_3b05eb32-12d9-4275-974e-9489ac3428a4.jpg?v=1775458639, friendlyName=Open</x:v>
      </x:c>
      <x:c r="C7956" s="24" t="e">
        <x:f>HYPERLINK("https://365nails.com/products/365nails-soft-beige-gold-butterfly-handmade-press-on-nails","365nails: ""Soft Beige Gold Butterfly"" –Nail Art Stickers")</x:f>
        <x:v>HYPERLINK is not implemented. linkLocation=https://365nails.com/products/365nails-soft-beige-gold-butterfly-handmade-press-on-nails, friendlyName=365nails: "Soft Beige Gold Butterfly" –Nail Art Stickers</x:v>
      </x:c>
      <x:c r="D7956" s="18" t="str">
        <x:v>Specification type: To4624-jelly</x:v>
      </x:c>
      <x:c r="E7956" s="25" t="str">
        <x:v>$1.23</x:v>
      </x:c>
      <x:c r="F7956" s="19" t="str">
        <x:v>5</x:v>
      </x:c>
    </x:row>
    <x:row r="7957" ht="93" customHeight="1">
      <x:c r="A7957" s="19" t="n">
        <x:v>7954</x:v>
      </x:c>
      <x:c r="B7957" s="22" t="e">
        <x:f>HYPERLINK("https://cdn.shopify.com/s/files/1/0918/6066/4603/files/46b6a4015845fe5a568fa748d859c933.jpg?v=1775223036","Open")</x:f>
        <x:v>HYPERLINK is not implemented. linkLocation=https://cdn.shopify.com/s/files/1/0918/6066/4603/files/46b6a4015845fe5a568fa748d859c933.jpg?v=1775223036, friendlyName=Open</x:v>
      </x:c>
      <x:c r="C7957" s="24" t="e">
        <x:f>HYPERLINK("https://365nails.com/products/noir-edge-silver-shadow-long-stiletto-press-on-nails","Noir Edge: ""Silver Shadow"" – Long Stiletto Press-on Nails")</x:f>
        <x:v>HYPERLINK is not implemented. linkLocation=https://365nails.com/products/noir-edge-silver-shadow-long-stiletto-press-on-nails, friendlyName=Noir Edge: "Silver Shadow" – Long Stiletto Press-on Nails</x:v>
      </x:c>
      <x:c r="D7957" s="18" t="str">
        <x:v>Size: XS / S / M / L</x:v>
      </x:c>
      <x:c r="E7957" s="25" t="str">
        <x:v>$3.99</x:v>
      </x:c>
      <x:c r="F7957" s="19" t="str">
        <x:v>3</x:v>
      </x:c>
    </x:row>
    <x:row r="7958" ht="93" customHeight="1">
      <x:c r="A7958" s="19" t="n">
        <x:v>7955</x:v>
      </x:c>
      <x:c r="B7958" s="22" t="e">
        <x:f>HYPERLINK("https://cdn.shopify.com/s/files/1/0918/6066/4603/files/ea312f42468f6a4059cb7cbec383e4a9.jpg?v=1777808846","Open")</x:f>
        <x:v>HYPERLINK is not implemented. linkLocation=https://cdn.shopify.com/s/files/1/0918/6066/4603/files/ea312f42468f6a4059cb7cbec383e4a9.jpg?v=1777808846, friendlyName=Open</x:v>
      </x:c>
      <x:c r="C7958" s="24" t="e">
        <x:f>HYPERLINK("https://365nails.com/products/365nails-butterflake-pearl-handmade-medium-coffin-press-on-nails","365nails: ""Butterflake Pearl"" – Handmade Medium Coffin Press-On Nails")</x:f>
        <x:v>HYPERLINK is not implemented. linkLocation=https://365nails.com/products/365nails-butterflake-pearl-handmade-medium-coffin-press-on-nails, friendlyName=365nails: "Butterflake Pearl" – Handmade Medium Coffin Press-On Nails</x:v>
      </x:c>
      <x:c r="D7958" s="18" t="str">
        <x:v>Size: XS / S / M / L</x:v>
      </x:c>
      <x:c r="E7958" s="25" t="str">
        <x:v>$2.99</x:v>
      </x:c>
      <x:c r="F7958" s="19" t="str">
        <x:v>5</x:v>
      </x:c>
    </x:row>
    <x:row r="7959" ht="93" customHeight="1">
      <x:c r="A7959" s="19" t="n">
        <x:v>7956</x:v>
      </x:c>
      <x:c r="B7959" s="22" t="e">
        <x:f>HYPERLINK("https://cdn.shopify.com/s/files/1/0918/6066/4603/files/e4f3500def19824908565b46b3f130c5.jpg?v=1775309931","Open")</x:f>
        <x:v>HYPERLINK is not implemented. linkLocation=https://cdn.shopify.com/s/files/1/0918/6066/4603/files/e4f3500def19824908565b46b3f130c5.jpg?v=1775309931, friendlyName=Open</x:v>
      </x:c>
      <x:c r="C7959" s="24" t="e">
        <x:f>HYPERLINK("https://365nails.com/products/sweet-summer-strawberry-flower-heart-long-coffin-press-on-nails","Sweet Summer: ""Strawberry Flower Heart"" – Long Coffin Press-on Nails")</x:f>
        <x:v>HYPERLINK is not implemented. linkLocation=https://365nails.com/products/sweet-summer-strawberry-flower-heart-long-coffin-press-on-nails, friendlyName=Sweet Summer: "Strawberry Flower Heart" – Long Coffin Press-on Nails</x:v>
      </x:c>
      <x:c r="D7959" s="18" t="str">
        <x:v>Size: XS / S / M / L</x:v>
      </x:c>
      <x:c r="E7959" s="25" t="str">
        <x:v>$3.99</x:v>
      </x:c>
      <x:c r="F7959" s="19" t="str">
        <x:v>5</x:v>
      </x:c>
    </x:row>
    <x:row r="7960" ht="93" customHeight="1">
      <x:c r="A7960" s="19" t="n">
        <x:v>7957</x:v>
      </x:c>
      <x:c r="B7960" s="22" t="e">
        <x:f>HYPERLINK("https://cdn.shopify.com/s/files/1/0918/6066/4603/files/2372d3614259633f7235939c539ca1a2.jpg?v=1775308372","Open")</x:f>
        <x:v>HYPERLINK is not implemented. linkLocation=https://cdn.shopify.com/s/files/1/0918/6066/4603/files/2372d3614259633f7235939c539ca1a2.jpg?v=1775308372, friendlyName=Open</x:v>
      </x:c>
      <x:c r="C7960" s="24" t="e">
        <x:f>HYPERLINK("https://365nails.com/products/dreamy-bloom-aurora-orchid-long-stiletto-press-on-nails","Dreamy Bloom: ""Aurora Orchid"" – Long Stiletto Press-on Nails")</x:f>
        <x:v>HYPERLINK is not implemented. linkLocation=https://365nails.com/products/dreamy-bloom-aurora-orchid-long-stiletto-press-on-nails, friendlyName=Dreamy Bloom: "Aurora Orchid" – Long Stiletto Press-on Nails</x:v>
      </x:c>
      <x:c r="D7960" s="18" t="str">
        <x:v>Size: XS / S / M / L</x:v>
      </x:c>
      <x:c r="E7960" s="25" t="str">
        <x:v>$3.99</x:v>
      </x:c>
      <x:c r="F7960" s="19" t="str">
        <x:v>5</x:v>
      </x:c>
    </x:row>
    <x:row r="7961" ht="93" customHeight="1">
      <x:c r="A7961" s="19" t="n">
        <x:v>7958</x:v>
      </x:c>
      <x:c r="B7961" s="22" t="e">
        <x:f>HYPERLINK("https://cdn.shopify.com/s/files/1/0918/6066/4603/files/O1CN0127tXiH1HlX40kBCSe__2545140798-0-cib_bc88e8b1-ffdb-4f8e-9f85-1813afe24e7b.jpg?v=1775458546","Open")</x:f>
        <x:v>HYPERLINK is not implemented. linkLocation=https://cdn.shopify.com/s/files/1/0918/6066/4603/files/O1CN0127tXiH1HlX40kBCSe__2545140798-0-cib_bc88e8b1-ffdb-4f8e-9f85-1813afe24e7b.jpg?v=1775458546, friendlyName=Open</x:v>
      </x:c>
      <x:c r="C7961" s="24" t="e">
        <x:f>HYPERLINK("https://365nails.com/products/365nails-golden-baroque-butterfly-handmade-press-on-nails","365nails: ""Golden Baroque Butterfly"" –Nail Art Stickers")</x:f>
        <x:v>HYPERLINK is not implemented. linkLocation=https://365nails.com/products/365nails-golden-baroque-butterfly-handmade-press-on-nails, friendlyName=365nails: "Golden Baroque Butterfly" –Nail Art Stickers</x:v>
      </x:c>
      <x:c r="D7961" s="18" t="str">
        <x:v>Specification type: Ms717 laser-jelly / Ms717 new hot stamping-jelly</x:v>
      </x:c>
      <x:c r="E7961" s="25" t="str">
        <x:v>$1.23</x:v>
      </x:c>
      <x:c r="F7961" s="19" t="str">
        <x:v>5</x:v>
      </x:c>
    </x:row>
    <x:row r="7962" ht="93" customHeight="1">
      <x:c r="A7962" s="19" t="n">
        <x:v>7959</x:v>
      </x:c>
      <x:c r="B7962" s="22" t="e">
        <x:f>HYPERLINK("https://cdn.shopify.com/s/files/1/0918/6066/4603/files/e16959621a190aba1d500796b6cb8c59_ed6928f1-87db-4acf-aa88-f44eeb0a0e46.jpg?v=1768898771","Open")</x:f>
        <x:v>HYPERLINK is not implemented. linkLocation=https://cdn.shopify.com/s/files/1/0918/6066/4603/files/e16959621a190aba1d500796b6cb8c59_ed6928f1-87db-4acf-aa88-f44eeb0a0e46.jpg?v=1768898771, friendlyName=Open</x:v>
      </x:c>
      <x:c r="C7962" s="24" t="e">
        <x:f>HYPERLINK("https://365nails.com/products/handmade-smudge-series-dreamy-aurora-unicorn-tears-pink-purple-moonlight-chrome-nails","Dreamy Aurora &amp; Unicorn Tears Pink-Purple Moonlight Chrome Nails｜Handmade Smudge Series(moq=30)")</x:f>
        <x:v>HYPERLINK is not implemented. linkLocation=https://365nails.com/products/handmade-smudge-series-dreamy-aurora-unicorn-tears-pink-purple-moonlight-chrome-nails, friendlyName=Dreamy Aurora &amp; Unicorn Tears Pink-Purple Moonlight Chrome Nails｜Handmade Smudge Series(moq=30)</x:v>
      </x:c>
      <x:c r="D7962" s="18" t="str">
        <x:v>Size: XS / S / M / L</x:v>
      </x:c>
      <x:c r="E7962" s="25" t="str">
        <x:v>$2.99</x:v>
      </x:c>
      <x:c r="F7962" s="19" t="str">
        <x:v>30</x:v>
      </x:c>
    </x:row>
    <x:row r="7963" ht="93" customHeight="1">
      <x:c r="A7963" s="19" t="n">
        <x:v>7960</x:v>
      </x:c>
      <x:c r="B7963" s="22" t="e">
        <x:f>HYPERLINK("https://cdn.shopify.com/s/files/1/0918/6066/4603/files/614572850c2a822905bc6642bba8b959.jpg?v=1778236670","Open")</x:f>
        <x:v>HYPERLINK is not implemented. linkLocation=https://cdn.shopify.com/s/files/1/0918/6066/4603/files/614572850c2a822905bc6642bba8b959.jpg?v=1778236670, friendlyName=Open</x:v>
      </x:c>
      <x:c r="C7963" s="24" t="e">
        <x:f>HYPERLINK("https://365nails.com/products/365nails-holographic-rose-maiden-handmade-floral-liquid-motion-press-on-long-pipe-nails","365nails: ""Holographic Rose Maiden"" – Handmade Floral Liquid Motion Press-On Long Pipe Nails-5.5cm")</x:f>
        <x:v>HYPERLINK is not implemented. linkLocation=https://365nails.com/products/365nails-holographic-rose-maiden-handmade-floral-liquid-motion-press-on-long-pipe-nails, friendlyName=365nails: "Holographic Rose Maiden" – Handmade Floral Liquid Motion Press-On Long Pipe Nails-5.5cm</x:v>
      </x:c>
      <x:c r="D7963" s="18" t="str">
        <x:v>Size: XS / S / M / L</x:v>
      </x:c>
      <x:c r="E7963" s="25" t="str">
        <x:v>$7.99</x:v>
      </x:c>
      <x:c r="F7963" s="19" t="str">
        <x:v>10</x:v>
      </x:c>
    </x:row>
    <x:row r="7964" ht="93" customHeight="1">
      <x:c r="A7964" s="19" t="n">
        <x:v>7961</x:v>
      </x:c>
      <x:c r="B7964" s="22" t="e">
        <x:f>HYPERLINK("https://cdn.shopify.com/s/files/1/0918/6066/4603/files/8c8dcb109199a377dd0b0493f2455a86.jpg?v=1768894575","Open")</x:f>
        <x:v>HYPERLINK is not implemented. linkLocation=https://cdn.shopify.com/s/files/1/0918/6066/4603/files/8c8dcb109199a377dd0b0493f2455a86.jpg?v=1768894575, friendlyName=Open</x:v>
      </x:c>
      <x:c r="C7964" s="24" t="e">
        <x:f>HYPERLINK("https://365nails.com/products/handmade-smudge-series-midnight-amethyst-nebula-smoke-ink-wash-nails","Midnight Amethyst &amp; Nebula Smoke Ink-Wash Nails｜Handmade Smudge Series(moq=30)")</x:f>
        <x:v>HYPERLINK is not implemented. linkLocation=https://365nails.com/products/handmade-smudge-series-midnight-amethyst-nebula-smoke-ink-wash-nails, friendlyName=Midnight Amethyst &amp; Nebula Smoke Ink-Wash Nails｜Handmade Smudge Series(moq=30)</x:v>
      </x:c>
      <x:c r="D7964" s="18" t="str">
        <x:v>Size: XS / S / M / L</x:v>
      </x:c>
      <x:c r="E7964" s="25" t="str">
        <x:v>$2.99</x:v>
      </x:c>
      <x:c r="F7964" s="19" t="str">
        <x:v>30</x:v>
      </x:c>
    </x:row>
    <x:row r="7965" ht="93" customHeight="1">
      <x:c r="A7965" s="19" t="n">
        <x:v>7962</x:v>
      </x:c>
      <x:c r="B7965" s="22" t="e">
        <x:f>HYPERLINK("https://cdn.shopify.com/s/files/1/0918/6066/4603/files/O1CN01RbXEI31HlWjKx4EFW__2545140798-0-cib.jpg?v=1772951479","Open")</x:f>
        <x:v>HYPERLINK is not implemented. linkLocation=https://cdn.shopify.com/s/files/1/0918/6066/4603/files/O1CN01RbXEI31HlWjKx4EFW__2545140798-0-cib.jpg?v=1772951479, friendlyName=Open</x:v>
      </x:c>
      <x:c r="C7965" s="24" t="e">
        <x:f>HYPERLINK("https://365nails.com/products/floral-summer-nail-art-accent-set-collection","Floral Summer – Nail Art Accent Set Collection")</x:f>
        <x:v>HYPERLINK is not implemented. linkLocation=https://365nails.com/products/floral-summer-nail-art-accent-set-collection, friendlyName=Floral Summer – Nail Art Accent Set Collection</x:v>
      </x:c>
      <x:c r="D7965" s="18" t="str">
        <x:v>Specification type: To 355 / To 295 / To 005 / To 76 / Pro 35</x:v>
      </x:c>
      <x:c r="E7965" s="25" t="str">
        <x:v>$1.09</x:v>
      </x:c>
      <x:c r="F7965" s="19" t="str">
        <x:v>5</x:v>
      </x:c>
    </x:row>
    <x:row r="7966" ht="93" customHeight="1">
      <x:c r="A7966" s="19" t="n">
        <x:v>7963</x:v>
      </x:c>
      <x:c r="B7966" s="22" t="e">
        <x:f>HYPERLINK("https://cdn.shopify.com/s/files/1/0918/6066/4603/files/b85826ccc8c09206a812ac14614f5b3d_f1f5af52-4544-4b15-9349-65e0a8051a2f.jpg?v=1768974917","Open")</x:f>
        <x:v>HYPERLINK is not implemented. linkLocation=https://cdn.shopify.com/s/files/1/0918/6066/4603/files/b85826ccc8c09206a812ac14614f5b3d_f1f5af52-4544-4b15-9349-65e0a8051a2f.jpg?v=1768974917, friendlyName=Open</x:v>
      </x:c>
      <x:c r="C7966" s="24" t="e">
        <x:f>HYPERLINK("https://365nails.com/products/landscape-of-green-flowing-gold-ice-jade-green-amber-brown-marble-nails-handmade-smudge-series","Landscape of Green &amp; Flowing Gold Ice Jade Green Amber Brown Marble Nails ｜ Handmade Smudge Series(moq=30)")</x:f>
        <x:v>HYPERLINK is not implemented. linkLocation=https://365nails.com/products/landscape-of-green-flowing-gold-ice-jade-green-amber-brown-marble-nails-handmade-smudge-series, friendlyName=Landscape of Green &amp; Flowing Gold Ice Jade Green Amber Brown Marble Nails ｜ Handmade Smudge Series(moq=30)</x:v>
      </x:c>
      <x:c r="D7966" s="18" t="str">
        <x:v>Size: XS / S / M / L</x:v>
      </x:c>
      <x:c r="E7966" s="25" t="str">
        <x:v>$2.99</x:v>
      </x:c>
      <x:c r="F7966" s="19" t="str">
        <x:v>30</x:v>
      </x:c>
    </x:row>
    <x:row r="7967" ht="93" customHeight="1">
      <x:c r="A7967" s="19" t="n">
        <x:v>7964</x:v>
      </x:c>
      <x:c r="B7967" s="22" t="e">
        <x:f>HYPERLINK("https://cdn.shopify.com/s/files/1/0918/6066/4603/files/0d6f8d19e8ef13756f4d91318cb04559.jpg?v=1768893850","Open")</x:f>
        <x:v>HYPERLINK is not implemented. linkLocation=https://cdn.shopify.com/s/files/1/0918/6066/4603/files/0d6f8d19e8ef13756f4d91318cb04559.jpg?v=1768893850, friendlyName=Open</x:v>
      </x:c>
      <x:c r="C7967" s="24" t="e">
        <x:f>HYPERLINK("https://365nails.com/products/handmade-smudge-series-vintage-tulip-oil-painting-rose-amber-gold-nails","Vintage Tulip &amp; Oil Painting Rose Amber Gold Nails｜Handmade Smudge Series(moq=30)")</x:f>
        <x:v>HYPERLINK is not implemented. linkLocation=https://365nails.com/products/handmade-smudge-series-vintage-tulip-oil-painting-rose-amber-gold-nails, friendlyName=Vintage Tulip &amp; Oil Painting Rose Amber Gold Nails｜Handmade Smudge Series(moq=30)</x:v>
      </x:c>
      <x:c r="D7967" s="18" t="str">
        <x:v>Size: XS / S / M / L</x:v>
      </x:c>
      <x:c r="E7967" s="25" t="str">
        <x:v>$2.99</x:v>
      </x:c>
      <x:c r="F7967" s="19" t="str">
        <x:v>30</x:v>
      </x:c>
    </x:row>
    <x:row r="7968" ht="93" customHeight="1">
      <x:c r="A7968" s="19" t="n">
        <x:v>7965</x:v>
      </x:c>
      <x:c r="B7968" s="22" t="e">
        <x:f>HYPERLINK("https://cdn.shopify.com/s/files/1/0918/6066/4603/files/a3ee14e44420884c969f1627a1ea6255.jpg?v=1775221989","Open")</x:f>
        <x:v>HYPERLINK is not implemented. linkLocation=https://cdn.shopify.com/s/files/1/0918/6066/4603/files/a3ee14e44420884c969f1627a1ea6255.jpg?v=1775221989, friendlyName=Open</x:v>
      </x:c>
      <x:c r="C7968" s="24" t="e">
        <x:f>HYPERLINK("https://365nails.com/products/blush-cross-nude-devotion-long-stiletto-press-on-nails","Blush Cross: ""Nude Devotion"" – Long Stiletto Press-on Nails")</x:f>
        <x:v>HYPERLINK is not implemented. linkLocation=https://365nails.com/products/blush-cross-nude-devotion-long-stiletto-press-on-nails, friendlyName=Blush Cross: "Nude Devotion" – Long Stiletto Press-on Nails</x:v>
      </x:c>
      <x:c r="D7968" s="18" t="str">
        <x:v>Size: XS / S / M / L</x:v>
      </x:c>
      <x:c r="E7968" s="25" t="str">
        <x:v>$3.99</x:v>
      </x:c>
      <x:c r="F7968" s="19" t="str">
        <x:v>3</x:v>
      </x:c>
    </x:row>
    <x:row r="7969" ht="93" customHeight="1">
      <x:c r="A7969" s="19" t="n">
        <x:v>7966</x:v>
      </x:c>
      <x:c r="B7969" s="22" t="e">
        <x:f>HYPERLINK("https://cdn.shopify.com/s/files/1/0918/6066/4603/files/25377525b81345ac1525478a4f1d9bea.jpg?v=1768974930","Open")</x:f>
        <x:v>HYPERLINK is not implemented. linkLocation=https://cdn.shopify.com/s/files/1/0918/6066/4603/files/25377525b81345ac1525478a4f1d9bea.jpg?v=1768974930, friendlyName=Open</x:v>
      </x:c>
      <x:c r="C7969" s="24" t="e">
        <x:f>HYPERLINK("https://365nails.com/products/aurora-iris-violet-nebula-ice-blue-purple-contrast-cat-eye-nails-handmade-smudge-series","Aurora Iris &amp; Violet Nebula Ice Blue Purple Contrast Cat Eye Nails ｜ Handmade Smudge Series(moq=30)")</x:f>
        <x:v>HYPERLINK is not implemented. linkLocation=https://365nails.com/products/aurora-iris-violet-nebula-ice-blue-purple-contrast-cat-eye-nails-handmade-smudge-series, friendlyName=Aurora Iris &amp; Violet Nebula Ice Blue Purple Contrast Cat Eye Nails ｜ Handmade Smudge Series(moq=30)</x:v>
      </x:c>
      <x:c r="D7969" s="18" t="str">
        <x:v>Size: XS / S / M / L</x:v>
      </x:c>
      <x:c r="E7969" s="25" t="str">
        <x:v>$2.99</x:v>
      </x:c>
      <x:c r="F7969" s="19" t="str">
        <x:v>30</x:v>
      </x:c>
    </x:row>
    <x:row r="7970" ht="93" customHeight="1">
      <x:c r="A7970" s="19" t="n">
        <x:v>7967</x:v>
      </x:c>
      <x:c r="B7970" s="22" t="e">
        <x:f>HYPERLINK("https://cdn.shopify.com/s/files/1/0918/6066/4603/files/2562caae729cc14385c02c2f2dc4c0bd.jpg?v=1777806838","Open")</x:f>
        <x:v>HYPERLINK is not implemented. linkLocation=https://cdn.shopify.com/s/files/1/0918/6066/4603/files/2562caae729cc14385c02c2f2dc4c0bd.jpg?v=1777806838, friendlyName=Open</x:v>
      </x:c>
      <x:c r="C7970" s="24" t="e">
        <x:f>HYPERLINK("https://365nails.com/products/365nails-lemon-lily-french-3d-flower-handmade-short-oval-press-on-nails","365nails: ""Lemon Lily French"" – 3D Flower Handmade Short Oval Press-On Nails")</x:f>
        <x:v>HYPERLINK is not implemented. linkLocation=https://365nails.com/products/365nails-lemon-lily-french-3d-flower-handmade-short-oval-press-on-nails, friendlyName=365nails: "Lemon Lily French" – 3D Flower Handmade Short Oval Press-On Nails</x:v>
      </x:c>
      <x:c r="D7970" s="18" t="str">
        <x:v>Size: XS / S / M / L</x:v>
      </x:c>
      <x:c r="E7970" s="25" t="str">
        <x:v>$3.49</x:v>
      </x:c>
      <x:c r="F7970" s="19" t="str">
        <x:v>5</x:v>
      </x:c>
    </x:row>
    <x:row r="7971" ht="93" customHeight="1">
      <x:c r="A7971" s="19" t="n">
        <x:v>7968</x:v>
      </x:c>
      <x:c r="B7971" s="22" t="e">
        <x:f>HYPERLINK("https://cdn.shopify.com/s/files/1/0918/6066/4603/files/2ab6d56aa70eb031aa3c6a7b6a3ca20b.jpg?v=1777801787","Open")</x:f>
        <x:v>HYPERLINK is not implemented. linkLocation=https://cdn.shopify.com/s/files/1/0918/6066/4603/files/2ab6d56aa70eb031aa3c6a7b6a3ca20b.jpg?v=1777801787, friendlyName=Open</x:v>
      </x:c>
      <x:c r="C7971" s="24" t="e">
        <x:f>HYPERLINK("https://365nails.com/products/365nails-black-red-gothic-flower-3d-handmade-medium-stiletto-press-on-nails","365nails: ""Black Red Gothic Flower 3D"" – Handmade Medium Stiletto Press-On Nails")</x:f>
        <x:v>HYPERLINK is not implemented. linkLocation=https://365nails.com/products/365nails-black-red-gothic-flower-3d-handmade-medium-stiletto-press-on-nails, friendlyName=365nails: "Black Red Gothic Flower 3D" – Handmade Medium Stiletto Press-On Nails</x:v>
      </x:c>
      <x:c r="D7971" s="18" t="str">
        <x:v>Size: XS / S / M / L</x:v>
      </x:c>
      <x:c r="E7971" s="25" t="str">
        <x:v>$3.49</x:v>
      </x:c>
      <x:c r="F7971" s="19" t="str">
        <x:v>5</x:v>
      </x:c>
    </x:row>
    <x:row r="7972" ht="93" customHeight="1">
      <x:c r="A7972" s="19" t="n">
        <x:v>7969</x:v>
      </x:c>
      <x:c r="B7972" s="22" t="e">
        <x:f>HYPERLINK("https://cdn.shopify.com/s/files/1/0918/6066/4603/files/51ca68b5ee42190592f17985c5271ba3.jpg?v=1777802382","Open")</x:f>
        <x:v>HYPERLINK is not implemented. linkLocation=https://cdn.shopify.com/s/files/1/0918/6066/4603/files/51ca68b5ee42190592f17985c5271ba3.jpg?v=1777802382, friendlyName=Open</x:v>
      </x:c>
      <x:c r="C7972" s="24" t="e">
        <x:f>HYPERLINK("https://365nails.com/products/365nails-white-green-leopard-flower-mix-handmade-medium-stiletto-press-on-nails","365nails: ""White Green Leopard Flower Mix"" – Handmade Medium Stiletto Press-On Nails")</x:f>
        <x:v>HYPERLINK is not implemented. linkLocation=https://365nails.com/products/365nails-white-green-leopard-flower-mix-handmade-medium-stiletto-press-on-nails, friendlyName=365nails: "White Green Leopard Flower Mix" – Handmade Medium Stiletto Press-On Nails</x:v>
      </x:c>
      <x:c r="D7972" s="18" t="str">
        <x:v>Size: XS / S / M / L</x:v>
      </x:c>
      <x:c r="E7972" s="25" t="str">
        <x:v>$3.49</x:v>
      </x:c>
      <x:c r="F7972" s="19" t="str">
        <x:v>5</x:v>
      </x:c>
    </x:row>
    <x:row r="7973" ht="93" customHeight="1">
      <x:c r="A7973" s="19" t="n">
        <x:v>7970</x:v>
      </x:c>
      <x:c r="B7973" s="22" t="e">
        <x:f>HYPERLINK("https://cdn.shopify.com/s/files/1/0918/6066/4603/files/8e2b8c1f0cbda7cd003528ec48c15be8.jpg?v=1775910438","Open")</x:f>
        <x:v>HYPERLINK is not implemented. linkLocation=https://cdn.shopify.com/s/files/1/0918/6066/4603/files/8e2b8c1f0cbda7cd003528ec48c15be8.jpg?v=1775910438, friendlyName=Open</x:v>
      </x:c>
      <x:c r="C7973" s="24" t="e">
        <x:f>HYPERLINK("https://365nails.com/products/365nails-blush-pink-gradient-sakura-handmade-medium-stiletto-press-on-nails","365nails: ""Blush Pink Gradient Sakura"" – Handmade Medium Stiletto Press-On Nails")</x:f>
        <x:v>HYPERLINK is not implemented. linkLocation=https://365nails.com/products/365nails-blush-pink-gradient-sakura-handmade-medium-stiletto-press-on-nails, friendlyName=365nails: "Blush Pink Gradient Sakura" – Handmade Medium Stiletto Press-On Nails</x:v>
      </x:c>
      <x:c r="D7973" s="18" t="str">
        <x:v>Size: XS / S / M / L</x:v>
      </x:c>
      <x:c r="E7973" s="25" t="str">
        <x:v>$3.49</x:v>
      </x:c>
      <x:c r="F7973" s="19" t="str">
        <x:v>5</x:v>
      </x:c>
    </x:row>
    <x:row r="7974" ht="93" customHeight="1">
      <x:c r="A7974" s="19" t="n">
        <x:v>7971</x:v>
      </x:c>
      <x:c r="B7974" s="22" t="e">
        <x:f>HYPERLINK("https://cdn.shopify.com/s/files/1/0918/6066/4603/files/0398769d23a3fa2c68a88b37c387915a.jpg?v=1777800651","Open")</x:f>
        <x:v>HYPERLINK is not implemented. linkLocation=https://cdn.shopify.com/s/files/1/0918/6066/4603/files/0398769d23a3fa2c68a88b37c387915a.jpg?v=1777800651, friendlyName=Open</x:v>
      </x:c>
      <x:c r="C7974" s="24" t="e">
        <x:f>HYPERLINK("https://365nails.com/products/365nails-nude-yellow-shell-flower-mix-handmade-short-almond-press-on-nails","365nails: ""Nude Yellow Shell Flower Mix"" – Handmade Short Almond Press-On Nails")</x:f>
        <x:v>HYPERLINK is not implemented. linkLocation=https://365nails.com/products/365nails-nude-yellow-shell-flower-mix-handmade-short-almond-press-on-nails, friendlyName=365nails: "Nude Yellow Shell Flower Mix" – Handmade Short Almond Press-On Nails</x:v>
      </x:c>
      <x:c r="D7974" s="18" t="str">
        <x:v>Size: XS / S / M / L</x:v>
      </x:c>
      <x:c r="E7974" s="25" t="str">
        <x:v>$3.49</x:v>
      </x:c>
      <x:c r="F7974" s="19" t="str">
        <x:v>5</x:v>
      </x:c>
    </x:row>
    <x:row r="7975" ht="93" customHeight="1">
      <x:c r="A7975" s="19" t="n">
        <x:v>7972</x:v>
      </x:c>
      <x:c r="B7975" s="22" t="e">
        <x:f>HYPERLINK("https://cdn.shopify.com/s/files/1/0918/6066/4603/files/cb723c82f39376532df812629f136748.jpg?v=1777780325","Open")</x:f>
        <x:v>HYPERLINK is not implemented. linkLocation=https://cdn.shopify.com/s/files/1/0918/6066/4603/files/cb723c82f39376532df812629f136748.jpg?v=1777780325, friendlyName=Open</x:v>
      </x:c>
      <x:c r="C7975" s="24" t="e">
        <x:f>HYPERLINK("https://365nails.com/products/365nails-black-star-heart-short-handmade-short-trapezoid-press-on-nails","365nails: ""Black Star Heart Short"" – Handmade Short Trapezoid Press-On Nails")</x:f>
        <x:v>HYPERLINK is not implemented. linkLocation=https://365nails.com/products/365nails-black-star-heart-short-handmade-short-trapezoid-press-on-nails, friendlyName=365nails: "Black Star Heart Short" – Handmade Short Trapezoid Press-On Nails</x:v>
      </x:c>
      <x:c r="D7975" s="18" t="str">
        <x:v>Size: XS / S / M / L</x:v>
      </x:c>
      <x:c r="E7975" s="25" t="str">
        <x:v>$4.49</x:v>
      </x:c>
      <x:c r="F7975" s="19" t="str">
        <x:v>5</x:v>
      </x:c>
    </x:row>
    <x:row r="7976" ht="93" customHeight="1">
      <x:c r="A7976" s="19" t="n">
        <x:v>7973</x:v>
      </x:c>
      <x:c r="B7976" s="22" t="e">
        <x:f>HYPERLINK("https://cdn.shopify.com/s/files/1/0918/6066/4603/files/ac6ec8925d1dc1a3a61e4a9186954652.jpg?v=1777807074","Open")</x:f>
        <x:v>HYPERLINK is not implemented. linkLocation=https://cdn.shopify.com/s/files/1/0918/6066/4603/files/ac6ec8925d1dc1a3a61e4a9186954652.jpg?v=1777807074, friendlyName=Open</x:v>
      </x:c>
      <x:c r="C7976" s="24" t="e">
        <x:f>HYPERLINK("https://365nails.com/products/365nails-sweet-dessert-sakura-mix-handmade-medium-stiletto-press-on-nails","365nails: ""Sweet Dessert Sakura Mix"" – Handmade Medium Stiletto Press-On Nails")</x:f>
        <x:v>HYPERLINK is not implemented. linkLocation=https://365nails.com/products/365nails-sweet-dessert-sakura-mix-handmade-medium-stiletto-press-on-nails, friendlyName=365nails: "Sweet Dessert Sakura Mix" – Handmade Medium Stiletto Press-On Nails</x:v>
      </x:c>
      <x:c r="D7976" s="18" t="str">
        <x:v>Size: XS / S / M / L</x:v>
      </x:c>
      <x:c r="E7976" s="25" t="str">
        <x:v>$3.49</x:v>
      </x:c>
      <x:c r="F7976" s="19" t="str">
        <x:v>5</x:v>
      </x:c>
    </x:row>
    <x:row r="7977" ht="93" customHeight="1">
      <x:c r="A7977" s="19" t="n">
        <x:v>7974</x:v>
      </x:c>
      <x:c r="B7977" s="22" t="e">
        <x:f>HYPERLINK("https://cdn.shopify.com/s/files/1/0918/6066/4603/files/O1CN01rG2E9V1HlX234gVqm__2545140798-0-cib.jpg?v=1773542251","Open")</x:f>
        <x:v>HYPERLINK is not implemented. linkLocation=https://cdn.shopify.com/s/files/1/0918/6066/4603/files/O1CN01rG2E9V1HlX234gVqm__2545140798-0-cib.jpg?v=1773542251, friendlyName=Open</x:v>
      </x:c>
      <x:c r="C7977" s="24" t="e">
        <x:f>HYPERLINK("https://365nails.com/products/cute-sheep-dessert-collection-sheep-bakery-3d-embossed-nail-sticker","Cute Sheep &amp; Dessert Collection: ""Sheep Bakery"" – 3D Embossed Nail Sticker")</x:f>
        <x:v>HYPERLINK is not implemented. linkLocation=https://365nails.com/products/cute-sheep-dessert-collection-sheep-bakery-3d-embossed-nail-sticker, friendlyName=Cute Sheep &amp; Dessert Collection: "Sheep Bakery" – 3D Embossed Nail Sticker</x:v>
      </x:c>
      <x:c r="D7977" s="18" t="str">
        <x:v>Specification type: To4244-jelly / To4245-jelly</x:v>
      </x:c>
      <x:c r="E7977" s="25" t="str">
        <x:v>$1.23</x:v>
      </x:c>
      <x:c r="F7977" s="19" t="str">
        <x:v>5</x:v>
      </x:c>
    </x:row>
    <x:row r="7978" ht="93" customHeight="1">
      <x:c r="A7978" s="19" t="n">
        <x:v>7975</x:v>
      </x:c>
      <x:c r="B7978" s="22" t="e">
        <x:f>HYPERLINK("https://cdn.shopify.com/s/files/1/0918/6066/4603/files/fe8c38a0d1e02cdd1a8985a3381059f8.jpg?v=1777803241","Open")</x:f>
        <x:v>HYPERLINK is not implemented. linkLocation=https://cdn.shopify.com/s/files/1/0918/6066/4603/files/fe8c38a0d1e02cdd1a8985a3381059f8.jpg?v=1777803241, friendlyName=Open</x:v>
      </x:c>
      <x:c r="C7978" s="24" t="e">
        <x:f>HYPERLINK("https://365nails.com/products/365nails-blush-pink-gold-wave-pearl-handmade-medium-stiletto-press-on-nails","365nails: ""Blush Pink Gold Wave Pearl"" – Handmade Medium Stiletto Press-On Nails")</x:f>
        <x:v>HYPERLINK is not implemented. linkLocation=https://365nails.com/products/365nails-blush-pink-gold-wave-pearl-handmade-medium-stiletto-press-on-nails, friendlyName=365nails: "Blush Pink Gold Wave Pearl" – Handmade Medium Stiletto Press-On Nails</x:v>
      </x:c>
      <x:c r="D7978" s="18" t="str">
        <x:v>Size: XS / S / M / L</x:v>
      </x:c>
      <x:c r="E7978" s="25" t="str">
        <x:v>$3.49</x:v>
      </x:c>
      <x:c r="F7978" s="19" t="str">
        <x:v>5</x:v>
      </x:c>
    </x:row>
    <x:row r="7979" ht="93" customHeight="1">
      <x:c r="A7979" s="19" t="n">
        <x:v>7976</x:v>
      </x:c>
      <x:c r="B7979" s="22" t="e">
        <x:f>HYPERLINK("https://cdn.shopify.com/s/files/1/0918/6066/4603/files/7bb2087cd47887e5477249f711f22fc9.jpg?v=1777791757","Open")</x:f>
        <x:v>HYPERLINK is not implemented. linkLocation=https://cdn.shopify.com/s/files/1/0918/6066/4603/files/7bb2087cd47887e5477249f711f22fc9.jpg?v=1777791757, friendlyName=Open</x:v>
      </x:c>
      <x:c r="C7979" s="24" t="e">
        <x:f>HYPERLINK("https://365nails.com/products/365nails-pink-fruit-mix-3d-handmade-medium-stiletto-press-on-nails-1","365nails: ""Pink Fruit Mix 3D"" – Handmade Medium Stiletto Press-On Nails")</x:f>
        <x:v>HYPERLINK is not implemented. linkLocation=https://365nails.com/products/365nails-pink-fruit-mix-3d-handmade-medium-stiletto-press-on-nails-1, friendlyName=365nails: "Pink Fruit Mix 3D" – Handmade Medium Stiletto Press-On Nails</x:v>
      </x:c>
      <x:c r="D7979" s="18" t="str">
        <x:v>Size: XS / S / M / L</x:v>
      </x:c>
      <x:c r="E7979" s="25" t="str">
        <x:v>$3.49</x:v>
      </x:c>
      <x:c r="F7979" s="19" t="str">
        <x:v>5</x:v>
      </x:c>
    </x:row>
    <x:row r="7980" ht="93" customHeight="1">
      <x:c r="A7980" s="19" t="n">
        <x:v>7977</x:v>
      </x:c>
      <x:c r="B7980" s="22" t="e">
        <x:f>HYPERLINK("https://cdn.shopify.com/s/files/1/0918/6066/4603/files/9ce0defff755f06bdffb5c3c339c0648.jpg?v=1777803450","Open")</x:f>
        <x:v>HYPERLINK is not implemented. linkLocation=https://cdn.shopify.com/s/files/1/0918/6066/4603/files/9ce0defff755f06bdffb5c3c339c0648.jpg?v=1777803450, friendlyName=Open</x:v>
      </x:c>
      <x:c r="C7980" s="24" t="e">
        <x:f>HYPERLINK("https://365nails.com/products/365nails-ocean-mermaid-scale-shell-pearl-handmade-medium-stiletto-press-on-nails","365nails: ""Ocean Mermaid Scale Shell Pearl"" – Handmade Medium Stiletto Press-On Nails")</x:f>
        <x:v>HYPERLINK is not implemented. linkLocation=https://365nails.com/products/365nails-ocean-mermaid-scale-shell-pearl-handmade-medium-stiletto-press-on-nails, friendlyName=365nails: "Ocean Mermaid Scale Shell Pearl" – Handmade Medium Stiletto Press-On Nails</x:v>
      </x:c>
      <x:c r="D7980" s="18" t="str">
        <x:v>Size: XS / S / M / L</x:v>
      </x:c>
      <x:c r="E7980" s="25" t="str">
        <x:v>$3.49</x:v>
      </x:c>
      <x:c r="F7980" s="19" t="str">
        <x:v>5</x:v>
      </x:c>
    </x:row>
    <x:row r="7981" ht="93" customHeight="1">
      <x:c r="A7981" s="19" t="n">
        <x:v>7978</x:v>
      </x:c>
      <x:c r="B7981" s="22" t="e">
        <x:f>HYPERLINK("https://cdn.shopify.com/s/files/1/0918/6066/4603/files/fde8043c3277435ef4c188bbb32a25e3.jpg?v=1777800946","Open")</x:f>
        <x:v>HYPERLINK is not implemented. linkLocation=https://cdn.shopify.com/s/files/1/0918/6066/4603/files/fde8043c3277435ef4c188bbb32a25e3.jpg?v=1777800946, friendlyName=Open</x:v>
      </x:c>
      <x:c r="C7981" s="24" t="e">
        <x:f>HYPERLINK("https://365nails.com/products/365nails-nude-black-leopard-flower-mix-handmade-medium-stiletto-press-on-nails","365nails: ""Nude Black Leopard Flower Mix"" – Handmade Medium Stiletto Press-On Nails")</x:f>
        <x:v>HYPERLINK is not implemented. linkLocation=https://365nails.com/products/365nails-nude-black-leopard-flower-mix-handmade-medium-stiletto-press-on-nails, friendlyName=365nails: "Nude Black Leopard Flower Mix" – Handmade Medium Stiletto Press-On Nails</x:v>
      </x:c>
      <x:c r="D7981" s="18" t="str">
        <x:v>Size: XS / S / M / L</x:v>
      </x:c>
      <x:c r="E7981" s="25" t="str">
        <x:v>$3.49</x:v>
      </x:c>
      <x:c r="F7981" s="19" t="str">
        <x:v>5</x:v>
      </x:c>
    </x:row>
    <x:row r="7982" ht="93" customHeight="1">
      <x:c r="A7982" s="19" t="n">
        <x:v>7979</x:v>
      </x:c>
      <x:c r="B7982" s="22" t="e">
        <x:f>HYPERLINK("https://cdn.shopify.com/s/files/1/0918/6066/4603/files/4d282aa5ce3caf6fbdffa62cbc460f6c.jpg?v=1777802823","Open")</x:f>
        <x:v>HYPERLINK is not implemented. linkLocation=https://cdn.shopify.com/s/files/1/0918/6066/4603/files/4d282aa5ce3caf6fbdffa62cbc460f6c.jpg?v=1777802823, friendlyName=Open</x:v>
      </x:c>
      <x:c r="C7982" s="24" t="e">
        <x:f>HYPERLINK("https://365nails.com/products/365nails-burgundy-pink-polka-dot-flower-bow-handmade-medium-stiletto-press-on-nails","365nails: ""Burgundy Pink Polka Dot Flower Bow"" – Handmade Medium Stiletto Press-On Nails")</x:f>
        <x:v>HYPERLINK is not implemented. linkLocation=https://365nails.com/products/365nails-burgundy-pink-polka-dot-flower-bow-handmade-medium-stiletto-press-on-nails, friendlyName=365nails: "Burgundy Pink Polka Dot Flower Bow" – Handmade Medium Stiletto Press-On Nails</x:v>
      </x:c>
      <x:c r="D7982" s="18" t="str">
        <x:v>Size: XS / S / M / L</x:v>
      </x:c>
      <x:c r="E7982" s="25" t="str">
        <x:v>$3.49</x:v>
      </x:c>
      <x:c r="F7982" s="19" t="str">
        <x:v>5</x:v>
      </x:c>
    </x:row>
    <x:row r="7983" ht="93" customHeight="1">
      <x:c r="A7983" s="19" t="n">
        <x:v>7980</x:v>
      </x:c>
      <x:c r="B7983" s="22" t="e">
        <x:f>HYPERLINK("https://cdn.shopify.com/s/files/1/0918/6066/4603/files/aaf205f7aba6cd98d99d8aa9d78497cb.jpg?v=1777778327","Open")</x:f>
        <x:v>HYPERLINK is not implemented. linkLocation=https://cdn.shopify.com/s/files/1/0918/6066/4603/files/aaf205f7aba6cd98d99d8aa9d78497cb.jpg?v=1777778327, friendlyName=Open</x:v>
      </x:c>
      <x:c r="C7983" s="24" t="e">
        <x:f>HYPERLINK("https://365nails.com/products/365nails-blue-silver-bow-rhinestone-handmade-long-stiletto-press-on-nails","365nails: ""Blue Silver Bow Rhinestone"" – Handmade Long Stiletto Press-On Nails")</x:f>
        <x:v>HYPERLINK is not implemented. linkLocation=https://365nails.com/products/365nails-blue-silver-bow-rhinestone-handmade-long-stiletto-press-on-nails, friendlyName=365nails: "Blue Silver Bow Rhinestone" – Handmade Long Stiletto Press-On Nails</x:v>
      </x:c>
      <x:c r="D7983" s="18" t="str">
        <x:v>Size: XS / S / M / L</x:v>
      </x:c>
      <x:c r="E7983" s="25" t="str">
        <x:v>$4.49</x:v>
      </x:c>
      <x:c r="F7983" s="19" t="str">
        <x:v>5</x:v>
      </x:c>
    </x:row>
    <x:row r="7984" ht="93" customHeight="1">
      <x:c r="A7984" s="19" t="n">
        <x:v>7981</x:v>
      </x:c>
      <x:c r="B7984" s="22" t="e">
        <x:f>HYPERLINK("https://cdn.shopify.com/s/files/1/0918/6066/4603/files/919e5b82b1db09dd5561953f855715ce.jpg?v=1777808582","Open")</x:f>
        <x:v>HYPERLINK is not implemented. linkLocation=https://cdn.shopify.com/s/files/1/0918/6066/4603/files/919e5b82b1db09dd5561953f855715ce.jpg?v=1777808582, friendlyName=Open</x:v>
      </x:c>
      <x:c r="C7984" s="24" t="e">
        <x:f>HYPERLINK("https://365nails.com/products/365nails-cherry-heart-shimmer-handmade-square-press-on-nails","365nails: “Cherry Heart Shimmer” – Handmade Square Press-On Nails")</x:f>
        <x:v>HYPERLINK is not implemented. linkLocation=https://365nails.com/products/365nails-cherry-heart-shimmer-handmade-square-press-on-nails, friendlyName=365nails: “Cherry Heart Shimmer” – Handmade Square Press-On Nails</x:v>
      </x:c>
      <x:c r="D7984" s="18" t="str">
        <x:v>Size: XS / S / M / L</x:v>
      </x:c>
      <x:c r="E7984" s="25" t="str">
        <x:v>$2.99</x:v>
      </x:c>
      <x:c r="F7984" s="19" t="str">
        <x:v>5</x:v>
      </x:c>
    </x:row>
    <x:row r="7985" ht="93" customHeight="1">
      <x:c r="A7985" s="19" t="n">
        <x:v>7982</x:v>
      </x:c>
      <x:c r="B7985" s="22" t="e">
        <x:f>HYPERLINK("https://cdn.shopify.com/s/files/1/0918/6066/4603/files/c58e37e96ce9187b81d00332dcef16af.jpg?v=1777785191","Open")</x:f>
        <x:v>HYPERLINK is not implemented. linkLocation=https://cdn.shopify.com/s/files/1/0918/6066/4603/files/c58e37e96ce9187b81d00332dcef16af.jpg?v=1777785191, friendlyName=Open</x:v>
      </x:c>
      <x:c r="C7985" s="24" t="e">
        <x:f>HYPERLINK("https://365nails.com/products/365nails-pink-glitter-bear-heart-butterfly-long-handmade-long-trapezoid-press-on-nails","365nails: ""Pink Glitter Bear Heart Butterfly Long"" – Handmade Long Trapezoid Press-On Nails")</x:f>
        <x:v>HYPERLINK is not implemented. linkLocation=https://365nails.com/products/365nails-pink-glitter-bear-heart-butterfly-long-handmade-long-trapezoid-press-on-nails, friendlyName=365nails: "Pink Glitter Bear Heart Butterfly Long" – Handmade Long Trapezoid Press-On Nails</x:v>
      </x:c>
      <x:c r="D7985" s="18" t="str">
        <x:v>Size: XS / S / M / L</x:v>
      </x:c>
      <x:c r="E7985" s="25" t="str">
        <x:v>$4.49</x:v>
      </x:c>
      <x:c r="F7985" s="19" t="str">
        <x:v>5</x:v>
      </x:c>
    </x:row>
    <x:row r="7986" ht="93" customHeight="1">
      <x:c r="A7986" s="19" t="n">
        <x:v>7983</x:v>
      </x:c>
      <x:c r="B7986" s="22" t="e">
        <x:f>HYPERLINK("https://cdn.shopify.com/s/files/1/0918/6066/4603/files/150ed9ba77acf00b3e49005ab8676484.jpg?v=1777791363","Open")</x:f>
        <x:v>HYPERLINK is not implemented. linkLocation=https://cdn.shopify.com/s/files/1/0918/6066/4603/files/150ed9ba77acf00b3e49005ab8676484.jpg?v=1777791363, friendlyName=Open</x:v>
      </x:c>
      <x:c r="C7986" s="24" t="e">
        <x:f>HYPERLINK("https://365nails.com/products/365nails-pink-blue-flower-rhinestone-3d-handmade-medium-stiletto-press-on-nails","365nails: ""Pink Blue Flower Rhinestone 3D"" – Handmade Medium Stiletto Press-On Nails")</x:f>
        <x:v>HYPERLINK is not implemented. linkLocation=https://365nails.com/products/365nails-pink-blue-flower-rhinestone-3d-handmade-medium-stiletto-press-on-nails, friendlyName=365nails: "Pink Blue Flower Rhinestone 3D" – Handmade Medium Stiletto Press-On Nails</x:v>
      </x:c>
      <x:c r="D7986" s="18" t="str">
        <x:v>Size: XS / S / M / L</x:v>
      </x:c>
      <x:c r="E7986" s="25" t="str">
        <x:v>$3.49</x:v>
      </x:c>
      <x:c r="F7986" s="19" t="str">
        <x:v>5</x:v>
      </x:c>
    </x:row>
    <x:row r="7987" ht="93" customHeight="1">
      <x:c r="A7987" s="19" t="n">
        <x:v>7984</x:v>
      </x:c>
      <x:c r="B7987" s="22" t="e">
        <x:f>HYPERLINK("https://cdn.shopify.com/s/files/1/0918/6066/4603/files/39a670f10bcea54b687b174a447fb8e5.jpg?v=1777803041","Open")</x:f>
        <x:v>HYPERLINK is not implemented. linkLocation=https://cdn.shopify.com/s/files/1/0918/6066/4603/files/39a670f10bcea54b687b174a447fb8e5.jpg?v=1777803041, friendlyName=Open</x:v>
      </x:c>
      <x:c r="C7987" s="24" t="e">
        <x:f>HYPERLINK("https://365nails.com/products/365nails-rainbow-sakura-pearl-wave-3d-flower-handmade-medium-stiletto-press-on-nails","365nails: ""Rainbow Sakura Pearl Wave"" – 3D Flower Handmade Medium Stiletto Press-On Nails")</x:f>
        <x:v>HYPERLINK is not implemented. linkLocation=https://365nails.com/products/365nails-rainbow-sakura-pearl-wave-3d-flower-handmade-medium-stiletto-press-on-nails, friendlyName=365nails: "Rainbow Sakura Pearl Wave" – 3D Flower Handmade Medium Stiletto Press-On Nails</x:v>
      </x:c>
      <x:c r="D7987" s="18" t="str">
        <x:v>Size: XS / S / M / L</x:v>
      </x:c>
      <x:c r="E7987" s="25" t="str">
        <x:v>$3.49</x:v>
      </x:c>
      <x:c r="F7987" s="19" t="str">
        <x:v>5</x:v>
      </x:c>
    </x:row>
    <x:row r="7988" ht="93" customHeight="1">
      <x:c r="A7988" s="19" t="n">
        <x:v>7985</x:v>
      </x:c>
      <x:c r="B7988" s="22" t="e">
        <x:f>HYPERLINK("https://cdn.shopify.com/s/files/1/0918/6066/4603/files/d772bb7e7b0f33b2c0e29449a019fe86.jpg?v=1777778841","Open")</x:f>
        <x:v>HYPERLINK is not implemented. linkLocation=https://cdn.shopify.com/s/files/1/0918/6066/4603/files/d772bb7e7b0f33b2c0e29449a019fe86.jpg?v=1777778841, friendlyName=Open</x:v>
      </x:c>
      <x:c r="C7988" s="24" t="e">
        <x:f>HYPERLINK("https://365nails.com/products/365nails-pink-heart-pearl-handmade-long-stiletto-press-on-nails","365nails: ""Pink Heart Pearl"" – Handmade Long Stiletto Press-On Nails")</x:f>
        <x:v>HYPERLINK is not implemented. linkLocation=https://365nails.com/products/365nails-pink-heart-pearl-handmade-long-stiletto-press-on-nails, friendlyName=365nails: "Pink Heart Pearl" – Handmade Long Stiletto Press-On Nails</x:v>
      </x:c>
      <x:c r="D7988" s="18" t="str">
        <x:v>Size: XS / S / M / L</x:v>
      </x:c>
      <x:c r="E7988" s="25" t="str">
        <x:v>$4.49</x:v>
      </x:c>
      <x:c r="F7988" s="19" t="str">
        <x:v>5</x:v>
      </x:c>
    </x:row>
    <x:row r="7989" ht="93" customHeight="1">
      <x:c r="A7989" s="19" t="n">
        <x:v>7986</x:v>
      </x:c>
      <x:c r="B7989" s="22" t="e">
        <x:f>HYPERLINK("https://cdn.shopify.com/s/files/1/0918/6066/4603/files/O1CN015KTYFB1HlX7GYvWDL__2545140798-0-cib.jpg?v=1773548256","Open")</x:f>
        <x:v>HYPERLINK is not implemented. linkLocation=https://cdn.shopify.com/s/files/1/0918/6066/4603/files/O1CN015KTYFB1HlX7GYvWDL__2545140798-0-cib.jpg?v=1773548256, friendlyName=Open</x:v>
      </x:c>
      <x:c r="C7989" s="24" t="e">
        <x:f>HYPERLINK("https://365nails.com/products/disney-mickey-pj-party-collection-retro-fun-3d-embossed-nail-sticker","Disney Mickey PJ Party Collection: ""Retro Fun"" – 3D Embossed Nail Sticker")</x:f>
        <x:v>HYPERLINK is not implemented. linkLocation=https://365nails.com/products/disney-mickey-pj-party-collection-retro-fun-3d-embossed-nail-sticker, friendlyName=Disney Mickey PJ Party Collection: "Retro Fun" – 3D Embossed Nail Sticker</x:v>
      </x:c>
      <x:c r="D7989" s="18" t="str">
        <x:v>Specification type: Td006 m-1 / Td006m - 2</x:v>
      </x:c>
      <x:c r="E7989" s="25" t="str">
        <x:v>$1.23</x:v>
      </x:c>
      <x:c r="F7989" s="19" t="str">
        <x:v>5</x:v>
      </x:c>
    </x:row>
    <x:row r="7990" ht="93" customHeight="1">
      <x:c r="A7990" s="19" t="n">
        <x:v>7987</x:v>
      </x:c>
      <x:c r="B7990" s="22" t="e">
        <x:f>HYPERLINK("https://cdn.shopify.com/s/files/1/0918/6066/4603/files/bd7c9af56daa3effe59bc0fe672050f7.jpg?v=1777791614","Open")</x:f>
        <x:v>HYPERLINK is not implemented. linkLocation=https://cdn.shopify.com/s/files/1/0918/6066/4603/files/bd7c9af56daa3effe59bc0fe672050f7.jpg?v=1777791614, friendlyName=Open</x:v>
      </x:c>
      <x:c r="C7990" s="24" t="e">
        <x:f>HYPERLINK("https://365nails.com/products/365nails-light-blue-water-drop-shell-3d-handmade-medium-stiletto-press-on-nails","365nails: ""Light Blue Water Drop Shell 3D"" – Handmade Medium Stiletto Press-On Nails")</x:f>
        <x:v>HYPERLINK is not implemented. linkLocation=https://365nails.com/products/365nails-light-blue-water-drop-shell-3d-handmade-medium-stiletto-press-on-nails, friendlyName=365nails: "Light Blue Water Drop Shell 3D" – Handmade Medium Stiletto Press-On Nails</x:v>
      </x:c>
      <x:c r="D7990" s="18" t="str">
        <x:v>Size: XS / S / M / L</x:v>
      </x:c>
      <x:c r="E7990" s="25" t="str">
        <x:v>$3.49</x:v>
      </x:c>
      <x:c r="F7990" s="19" t="str">
        <x:v>5</x:v>
      </x:c>
    </x:row>
    <x:row r="7991" ht="93" customHeight="1">
      <x:c r="A7991" s="19" t="n">
        <x:v>7988</x:v>
      </x:c>
      <x:c r="B7991" s="22" t="e">
        <x:f>HYPERLINK("https://cdn.shopify.com/s/files/1/0918/6066/4603/files/5fe1ac705dbb9ebde8fa249cda8f1862.jpg?v=1777799735","Open")</x:f>
        <x:v>HYPERLINK is not implemented. linkLocation=https://cdn.shopify.com/s/files/1/0918/6066/4603/files/5fe1ac705dbb9ebde8fa249cda8f1862.jpg?v=1777799735, friendlyName=Open</x:v>
      </x:c>
      <x:c r="C7991" s="24" t="e">
        <x:f>HYPERLINK("https://365nails.com/products/365nails-blue-white-jellyfish-shell-3d-handmade-medium-stiletto-press-on-nails","365nails: ""Blue White Jellyfish Shell 3D"" – Handmade Medium Stiletto Press-On Nails")</x:f>
        <x:v>HYPERLINK is not implemented. linkLocation=https://365nails.com/products/365nails-blue-white-jellyfish-shell-3d-handmade-medium-stiletto-press-on-nails, friendlyName=365nails: "Blue White Jellyfish Shell 3D" – Handmade Medium Stiletto Press-On Nails</x:v>
      </x:c>
      <x:c r="D7991" s="18" t="str">
        <x:v>Size: XS / S / M / L</x:v>
      </x:c>
      <x:c r="E7991" s="25" t="str">
        <x:v>$3.49</x:v>
      </x:c>
      <x:c r="F7991" s="19" t="str">
        <x:v>5</x:v>
      </x:c>
    </x:row>
    <x:row r="7992" ht="93" customHeight="1">
      <x:c r="A7992" s="19" t="n">
        <x:v>7989</x:v>
      </x:c>
      <x:c r="B7992" s="22" t="e">
        <x:f>HYPERLINK("https://cdn.shopify.com/s/files/1/0918/6066/4603/files/0450e7b9aed3f0e863c7a531bd6b241d.jpg?v=1777779925","Open")</x:f>
        <x:v>HYPERLINK is not implemented. linkLocation=https://cdn.shopify.com/s/files/1/0918/6066/4603/files/0450e7b9aed3f0e863c7a531bd6b241d.jpg?v=1777779925, friendlyName=Open</x:v>
      </x:c>
      <x:c r="C7992" s="24" t="e">
        <x:f>HYPERLINK("https://365nails.com/products/365nails-black-red-heart-short-handmade-short-stiletto-press-on-nails","365nails: ""Black Red Heart Short"" – Handmade Short Stiletto Press-On Nails")</x:f>
        <x:v>HYPERLINK is not implemented. linkLocation=https://365nails.com/products/365nails-black-red-heart-short-handmade-short-stiletto-press-on-nails, friendlyName=365nails: "Black Red Heart Short" – Handmade Short Stiletto Press-On Nails</x:v>
      </x:c>
      <x:c r="D7992" s="18" t="str">
        <x:v>Size: XS / S / M / L</x:v>
      </x:c>
      <x:c r="E7992" s="25" t="str">
        <x:v>$4.49</x:v>
      </x:c>
      <x:c r="F7992" s="19" t="str">
        <x:v>5</x:v>
      </x:c>
    </x:row>
    <x:row r="7993" ht="93" customHeight="1">
      <x:c r="A7993" s="19" t="n">
        <x:v>7990</x:v>
      </x:c>
      <x:c r="B7993" s="22" t="e">
        <x:f>HYPERLINK("https://cdn.shopify.com/s/files/1/0918/6066/4603/files/c2aa6242bb86bb46ece15310270aeb10.jpg?v=1777808539","Open")</x:f>
        <x:v>HYPERLINK is not implemented. linkLocation=https://cdn.shopify.com/s/files/1/0918/6066/4603/files/c2aa6242bb86bb46ece15310270aeb10.jpg?v=1777808539, friendlyName=Open</x:v>
      </x:c>
      <x:c r="C7993" s="24" t="e">
        <x:f>HYPERLINK("https://365nails.com/products/365nails-ocean-wave-sapphire-handmade-short-oval-press-on-nails","365nails: ""Ocean Wave Sapphire"" – Handmade Short Oval Press-On Nails")</x:f>
        <x:v>HYPERLINK is not implemented. linkLocation=https://365nails.com/products/365nails-ocean-wave-sapphire-handmade-short-oval-press-on-nails, friendlyName=365nails: "Ocean Wave Sapphire" – Handmade Short Oval Press-On Nails</x:v>
      </x:c>
      <x:c r="D7993" s="18" t="str">
        <x:v>Size: XS / S / M / L</x:v>
      </x:c>
      <x:c r="E7993" s="25" t="str">
        <x:v>$2.99</x:v>
      </x:c>
      <x:c r="F7993" s="19" t="str">
        <x:v>5</x:v>
      </x:c>
    </x:row>
    <x:row r="7994" ht="93" customHeight="1">
      <x:c r="A7994" s="19" t="n">
        <x:v>7991</x:v>
      </x:c>
      <x:c r="B7994" s="22" t="e">
        <x:f>HYPERLINK("https://cdn.shopify.com/s/files/1/0918/6066/4603/files/5bd9d711786fdd194ef3a891481c3e77.jpg?v=1777798541","Open")</x:f>
        <x:v>HYPERLINK is not implemented. linkLocation=https://cdn.shopify.com/s/files/1/0918/6066/4603/files/5bd9d711786fdd194ef3a891481c3e77.jpg?v=1777798541, friendlyName=Open</x:v>
      </x:c>
      <x:c r="C7994" s="24" t="e">
        <x:f>HYPERLINK("https://365nails.com/products/365nails-rainbow-flower-bubble-3d-handmade-medium-stiletto-press-on-nails","365nails: ""Rainbow Flower Bubble 3D"" – Handmade Medium Stiletto Press-On Nails")</x:f>
        <x:v>HYPERLINK is not implemented. linkLocation=https://365nails.com/products/365nails-rainbow-flower-bubble-3d-handmade-medium-stiletto-press-on-nails, friendlyName=365nails: "Rainbow Flower Bubble 3D" – Handmade Medium Stiletto Press-On Nails</x:v>
      </x:c>
      <x:c r="D7994" s="18" t="str">
        <x:v>Size: XS / S / M / L</x:v>
      </x:c>
      <x:c r="E7994" s="25" t="str">
        <x:v>$3.49</x:v>
      </x:c>
      <x:c r="F7994" s="19" t="str">
        <x:v>5</x:v>
      </x:c>
    </x:row>
    <x:row r="7995" ht="93" customHeight="1">
      <x:c r="A7995" s="19" t="n">
        <x:v>7992</x:v>
      </x:c>
      <x:c r="B7995" s="22" t="e">
        <x:f>HYPERLINK("https://cdn.shopify.com/s/files/1/0918/6066/4603/files/32a3d5a7c7994e5b6d2b87328bf9a892.jpg?v=1777799416","Open")</x:f>
        <x:v>HYPERLINK is not implemented. linkLocation=https://cdn.shopify.com/s/files/1/0918/6066/4603/files/32a3d5a7c7994e5b6d2b87328bf9a892.jpg?v=1777799416, friendlyName=Open</x:v>
      </x:c>
      <x:c r="C7995" s="24" t="e">
        <x:f>HYPERLINK("https://365nails.com/products/365nails-nude-black-mushroom-flower-mix-handmade-medium-stiletto-press-on-nails","365nails: ""Nude Black Mushroom Flower Mix"" – Handmade Medium Stiletto Press-On Nails")</x:f>
        <x:v>HYPERLINK is not implemented. linkLocation=https://365nails.com/products/365nails-nude-black-mushroom-flower-mix-handmade-medium-stiletto-press-on-nails, friendlyName=365nails: "Nude Black Mushroom Flower Mix" – Handmade Medium Stiletto Press-On Nails</x:v>
      </x:c>
      <x:c r="D7995" s="18" t="str">
        <x:v>Size: XS / S / M / L</x:v>
      </x:c>
      <x:c r="E7995" s="25" t="str">
        <x:v>$3.49</x:v>
      </x:c>
      <x:c r="F7995" s="19" t="str">
        <x:v>5</x:v>
      </x:c>
    </x:row>
    <x:row r="7996" ht="93" customHeight="1">
      <x:c r="A7996" s="19" t="n">
        <x:v>7993</x:v>
      </x:c>
      <x:c r="B7996" s="22" t="e">
        <x:f>HYPERLINK("https://cdn.shopify.com/s/files/1/0918/6066/4603/files/6b683d5a670310abbb7c7c5f9de49619.jpg?v=1777801316","Open")</x:f>
        <x:v>HYPERLINK is not implemented. linkLocation=https://cdn.shopify.com/s/files/1/0918/6066/4603/files/6b683d5a670310abbb7c7c5f9de49619.jpg?v=1777801316, friendlyName=Open</x:v>
      </x:c>
      <x:c r="C7996" s="24" t="e">
        <x:f>HYPERLINK("https://365nails.com/products/365nails-pastel-blue-pink-3d-ocean-mix-handmade-medium-stiletto-press-on-nails","365nails: ""Pastel Blue Pink 3D Ocean Mix"" – Handmade Medium Stiletto Press-On Nails")</x:f>
        <x:v>HYPERLINK is not implemented. linkLocation=https://365nails.com/products/365nails-pastel-blue-pink-3d-ocean-mix-handmade-medium-stiletto-press-on-nails, friendlyName=365nails: "Pastel Blue Pink 3D Ocean Mix" – Handmade Medium Stiletto Press-On Nails</x:v>
      </x:c>
      <x:c r="D7996" s="18" t="str">
        <x:v>Size: XS / S / M / L</x:v>
      </x:c>
      <x:c r="E7996" s="25" t="str">
        <x:v>$3.49</x:v>
      </x:c>
      <x:c r="F7996" s="19" t="str">
        <x:v>5</x:v>
      </x:c>
    </x:row>
    <x:row r="7997" ht="93" customHeight="1">
      <x:c r="A7997" s="19" t="n">
        <x:v>7994</x:v>
      </x:c>
      <x:c r="B7997" s="22" t="e">
        <x:f>HYPERLINK("https://cdn.shopify.com/s/files/1/0918/6066/4603/files/6026fcd308bfb420b4a692e4c203aee3.jpg?v=1777783762","Open")</x:f>
        <x:v>HYPERLINK is not implemented. linkLocation=https://cdn.shopify.com/s/files/1/0918/6066/4603/files/6026fcd308bfb420b4a692e4c203aee3.jpg?v=1777783762, friendlyName=Open</x:v>
      </x:c>
      <x:c r="C7997" s="24" t="e">
        <x:f>HYPERLINK("https://365nails.com/products/365nails-pink-gradient-bow-star-snake-short-handmade-short-trapezoid-press-on-nails","365nails: ""Pink Gradient Bow Star Snake Short"" – Handmade Short Trapezoid Press-On Nails")</x:f>
        <x:v>HYPERLINK is not implemented. linkLocation=https://365nails.com/products/365nails-pink-gradient-bow-star-snake-short-handmade-short-trapezoid-press-on-nails, friendlyName=365nails: "Pink Gradient Bow Star Snake Short" – Handmade Short Trapezoid Press-On Nails</x:v>
      </x:c>
      <x:c r="D7997" s="18" t="str">
        <x:v>Size: XS / S / M / L</x:v>
      </x:c>
      <x:c r="E7997" s="25" t="str">
        <x:v>$4.49</x:v>
      </x:c>
      <x:c r="F7997" s="19" t="str">
        <x:v>5</x:v>
      </x:c>
    </x:row>
    <x:row r="7998" ht="93" customHeight="1">
      <x:c r="A7998" s="19" t="n">
        <x:v>7995</x:v>
      </x:c>
      <x:c r="B7998" s="22" t="e">
        <x:f>HYPERLINK("https://cdn.shopify.com/s/files/1/0918/6066/4603/files/b6647286210c7556f825b081032a93ff.jpg?v=1775221781","Open")</x:f>
        <x:v>HYPERLINK is not implemented. linkLocation=https://cdn.shopify.com/s/files/1/0918/6066/4603/files/b6647286210c7556f825b081032a93ff.jpg?v=1775221781, friendlyName=Open</x:v>
      </x:c>
      <x:c r="C7998" s="24" t="e">
        <x:f>HYPERLINK("https://365nails.com/products/gothic-script-noir-devotion-long-stiletto-press-on-nails","Gothic Script: ""Noir Devotion"" – Long Stiletto Press-on Nails")</x:f>
        <x:v>HYPERLINK is not implemented. linkLocation=https://365nails.com/products/gothic-script-noir-devotion-long-stiletto-press-on-nails, friendlyName=Gothic Script: "Noir Devotion" – Long Stiletto Press-on Nails</x:v>
      </x:c>
      <x:c r="D7998" s="18" t="str">
        <x:v>Size: XS / S / M / L</x:v>
      </x:c>
      <x:c r="E7998" s="25" t="str">
        <x:v>$3.99</x:v>
      </x:c>
      <x:c r="F7998" s="19" t="str">
        <x:v>3</x:v>
      </x:c>
    </x:row>
    <x:row r="7999" ht="93" customHeight="1">
      <x:c r="A7999" s="19" t="n">
        <x:v>7996</x:v>
      </x:c>
      <x:c r="B7999" s="22" t="e">
        <x:f>HYPERLINK("https://cdn.shopify.com/s/files/1/0918/6066/4603/files/b841a88bcb302d3c1e58366029cd65b2.jpg?v=1777801157","Open")</x:f>
        <x:v>HYPERLINK is not implemented. linkLocation=https://cdn.shopify.com/s/files/1/0918/6066/4603/files/b841a88bcb302d3c1e58366029cd65b2.jpg?v=1777801157, friendlyName=Open</x:v>
      </x:c>
      <x:c r="C7999" s="24" t="e">
        <x:f>HYPERLINK("https://365nails.com/products/365nails-summer-orange-blue-flower-bubble-mix-handmade-medium-stiletto-press-on-nails","365nails: ""Summer Orange Blue Flower Bubble Mix"" – Handmade Medium Stiletto Press-On Nails")</x:f>
        <x:v>HYPERLINK is not implemented. linkLocation=https://365nails.com/products/365nails-summer-orange-blue-flower-bubble-mix-handmade-medium-stiletto-press-on-nails, friendlyName=365nails: "Summer Orange Blue Flower Bubble Mix" – Handmade Medium Stiletto Press-On Nails</x:v>
      </x:c>
      <x:c r="D7999" s="18" t="str">
        <x:v>Size: XS / S / M / L</x:v>
      </x:c>
      <x:c r="E7999" s="25" t="str">
        <x:v>$3.49</x:v>
      </x:c>
      <x:c r="F7999" s="19" t="str">
        <x:v>5</x:v>
      </x:c>
    </x:row>
    <x:row r="8000" ht="93" customHeight="1">
      <x:c r="A8000" s="19" t="n">
        <x:v>7997</x:v>
      </x:c>
      <x:c r="B8000" s="22" t="e">
        <x:f>HYPERLINK("https://cdn.shopify.com/s/files/1/0918/6066/4603/files/e075f552ed68a32a7a5920dd47f0d069.jpg?v=1776412879","Open")</x:f>
        <x:v>HYPERLINK is not implemented. linkLocation=https://cdn.shopify.com/s/files/1/0918/6066/4603/files/e075f552ed68a32a7a5920dd47f0d069.jpg?v=1776412879, friendlyName=Open</x:v>
      </x:c>
      <x:c r="C8000" s="24" t="e">
        <x:f>HYPERLINK("https://365nails.com/products/365nails-nana-anime-black-white-handmade-medium-trapezoid-press-on-nails","365nails: ""NANA Anime Black White"" – Handmade Medium Trapezoid Press-On Nails")</x:f>
        <x:v>HYPERLINK is not implemented. linkLocation=https://365nails.com/products/365nails-nana-anime-black-white-handmade-medium-trapezoid-press-on-nails, friendlyName=365nails: "NANA Anime Black White" – Handmade Medium Trapezoid Press-On Nails</x:v>
      </x:c>
      <x:c r="D8000" s="18" t="str">
        <x:v>Size: XS / S / M</x:v>
      </x:c>
      <x:c r="E8000" s="25" t="str">
        <x:v>$3.49</x:v>
      </x:c>
      <x:c r="F8000" s="19" t="str">
        <x:v>5</x:v>
      </x:c>
    </x:row>
    <x:row r="8001" ht="93" customHeight="1">
      <x:c r="A8001" s="19" t="n">
        <x:v>7998</x:v>
      </x:c>
      <x:c r="B8001" s="22" t="e">
        <x:f>HYPERLINK("https://cdn.shopify.com/s/files/1/0918/6066/4603/files/0af0760d007a53a57a3ce590fdca9314.jpg?v=1777778570","Open")</x:f>
        <x:v>HYPERLINK is not implemented. linkLocation=https://cdn.shopify.com/s/files/1/0918/6066/4603/files/0af0760d007a53a57a3ce590fdca9314.jpg?v=1777778570, friendlyName=Open</x:v>
      </x:c>
      <x:c r="C8001" s="24" t="e">
        <x:f>HYPERLINK("https://365nails.com/products/365nails-pink-gradient-rhinestone-charm-handmade-short-trapezoid-press-on-nails","365nails: ""Pink Gradient Rhinestone Charm"" – Handmade Short Trapezoid Press-On Nails")</x:f>
        <x:v>HYPERLINK is not implemented. linkLocation=https://365nails.com/products/365nails-pink-gradient-rhinestone-charm-handmade-short-trapezoid-press-on-nails, friendlyName=365nails: "Pink Gradient Rhinestone Charm" – Handmade Short Trapezoid Press-On Nails</x:v>
      </x:c>
      <x:c r="D8001" s="18" t="str">
        <x:v>Size: XS / S / M / L</x:v>
      </x:c>
      <x:c r="E8001" s="25" t="str">
        <x:v>$4.49</x:v>
      </x:c>
      <x:c r="F8001" s="19" t="str">
        <x:v>5</x:v>
      </x:c>
    </x:row>
    <x:row r="8002" ht="93" customHeight="1">
      <x:c r="A8002" s="19" t="n">
        <x:v>7999</x:v>
      </x:c>
      <x:c r="B8002" s="22" t="e">
        <x:f>HYPERLINK("https://cdn.shopify.com/s/files/1/0918/6066/4603/files/ea800e8150ac1219b04f0f7448239698.jpg?v=1777792089","Open")</x:f>
        <x:v>HYPERLINK is not implemented. linkLocation=https://cdn.shopify.com/s/files/1/0918/6066/4603/files/ea800e8150ac1219b04f0f7448239698.jpg?v=1777792089, friendlyName=Open</x:v>
      </x:c>
      <x:c r="C8002" s="24" t="e">
        <x:f>HYPERLINK("https://365nails.com/products/365nails-nude-pink-flower-leopard-gold-mix-handmade-medium-stiletto-press-on-nails","365nails: ""Nude Pink Flower Leopard Gold Mix"" – Handmade Medium Stiletto Press-On Nails")</x:f>
        <x:v>HYPERLINK is not implemented. linkLocation=https://365nails.com/products/365nails-nude-pink-flower-leopard-gold-mix-handmade-medium-stiletto-press-on-nails, friendlyName=365nails: "Nude Pink Flower Leopard Gold Mix" – Handmade Medium Stiletto Press-On Nails</x:v>
      </x:c>
      <x:c r="D8002" s="18" t="str">
        <x:v>Size: XS / S / M / L</x:v>
      </x:c>
      <x:c r="E8002" s="25" t="str">
        <x:v>$3.49</x:v>
      </x:c>
      <x:c r="F8002" s="19" t="str">
        <x:v>5</x:v>
      </x:c>
    </x:row>
    <x:row r="8003" ht="93" customHeight="1">
      <x:c r="A8003" s="19" t="n">
        <x:v>8000</x:v>
      </x:c>
      <x:c r="B8003" s="22" t="e">
        <x:f>HYPERLINK("https://cdn.shopify.com/s/files/1/0918/6066/4603/files/303773479a68c42cc6e179a890d8001b.jpg?v=1777790714","Open")</x:f>
        <x:v>HYPERLINK is not implemented. linkLocation=https://cdn.shopify.com/s/files/1/0918/6066/4603/files/303773479a68c42cc6e179a890d8001b.jpg?v=1777790714, friendlyName=Open</x:v>
      </x:c>
      <x:c r="C8003" s="24" t="e">
        <x:f>HYPERLINK("https://365nails.com/products/365nails-pink-white-flower-starfish-shell-3d-handmade-medium-stiletto-press-on-nails","365nails: ""Pink White Flower Starfish Shell 3D"" – Handmade Medium Stiletto Press-On Nails")</x:f>
        <x:v>HYPERLINK is not implemented. linkLocation=https://365nails.com/products/365nails-pink-white-flower-starfish-shell-3d-handmade-medium-stiletto-press-on-nails, friendlyName=365nails: "Pink White Flower Starfish Shell 3D" – Handmade Medium Stiletto Press-On Nails</x:v>
      </x:c>
      <x:c r="D8003" s="18" t="str">
        <x:v>Size: XS / S / M / L</x:v>
      </x:c>
      <x:c r="E8003" s="25" t="str">
        <x:v>$3.49</x:v>
      </x:c>
      <x:c r="F8003" s="19" t="str">
        <x:v>5</x:v>
      </x:c>
    </x:row>
    <x:row r="8004" ht="93" customHeight="1">
      <x:c r="A8004" s="19" t="n">
        <x:v>8001</x:v>
      </x:c>
      <x:c r="B8004" s="22" t="e">
        <x:f>HYPERLINK("https://cdn.shopify.com/s/files/1/0918/6066/4603/files/45c60976c575580dc450a88f58b253e9.jpg?v=1776417336","Open")</x:f>
        <x:v>HYPERLINK is not implemented. linkLocation=https://cdn.shopify.com/s/files/1/0918/6066/4603/files/45c60976c575580dc450a88f58b253e9.jpg?v=1776417336, friendlyName=Open</x:v>
      </x:c>
      <x:c r="C8004" s="24" t="e">
        <x:f>HYPERLINK("https://365nails.com/products/365nails-demon-slayer-giyu-tomioka-handmade-short-almond-press-on-nails-1","365nails: ""Demon Slayer Giyu Tomioka"" – Handmade Short Almond Press-On Nails")</x:f>
        <x:v>HYPERLINK is not implemented. linkLocation=https://365nails.com/products/365nails-demon-slayer-giyu-tomioka-handmade-short-almond-press-on-nails-1, friendlyName=365nails: "Demon Slayer Giyu Tomioka" – Handmade Short Almond Press-On Nails</x:v>
      </x:c>
      <x:c r="D8004" s="18" t="str">
        <x:v>Size: XS / S / M</x:v>
      </x:c>
      <x:c r="E8004" s="25" t="str">
        <x:v>$3.49</x:v>
      </x:c>
      <x:c r="F8004" s="19" t="str">
        <x:v>5</x:v>
      </x:c>
    </x:row>
    <x:row r="8005" ht="93" customHeight="1">
      <x:c r="A8005" s="19" t="n">
        <x:v>8002</x:v>
      </x:c>
      <x:c r="B8005" s="22" t="e">
        <x:f>HYPERLINK("https://cdn.shopify.com/s/files/1/0918/6066/4603/files/f1ec79364bb28bc14b017fb5f17d2021.jpg?v=1776412719","Open")</x:f>
        <x:v>HYPERLINK is not implemented. linkLocation=https://cdn.shopify.com/s/files/1/0918/6066/4603/files/f1ec79364bb28bc14b017fb5f17d2021.jpg?v=1776412719, friendlyName=Open</x:v>
      </x:c>
      <x:c r="C8005" s="24" t="e">
        <x:f>HYPERLINK("https://365nails.com/products/65nails-grey-anime-shinichi-cross-handmade-medium-trapezoid-press-on-nails","365nails: ""Grey Anime Shinichi Cross"" – Handmade Medium Trapezoid Press-On Nails")</x:f>
        <x:v>HYPERLINK is not implemented. linkLocation=https://365nails.com/products/65nails-grey-anime-shinichi-cross-handmade-medium-trapezoid-press-on-nails, friendlyName=365nails: "Grey Anime Shinichi Cross" – Handmade Medium Trapezoid Press-On Nails</x:v>
      </x:c>
      <x:c r="D8005" s="18" t="str">
        <x:v>Size: XS / S / M</x:v>
      </x:c>
      <x:c r="E8005" s="25" t="str">
        <x:v>$3.49</x:v>
      </x:c>
      <x:c r="F8005" s="19" t="str">
        <x:v>5</x:v>
      </x:c>
    </x:row>
    <x:row r="8006" ht="93" customHeight="1">
      <x:c r="A8006" s="19" t="n">
        <x:v>8003</x:v>
      </x:c>
      <x:c r="B8006" s="22" t="e">
        <x:f>HYPERLINK("https://cdn.shopify.com/s/files/1/0918/6066/4603/files/08da4ae3f00f8e964038382615187893.jpg?v=1778236739","Open")</x:f>
        <x:v>HYPERLINK is not implemented. linkLocation=https://cdn.shopify.com/s/files/1/0918/6066/4603/files/08da4ae3f00f8e964038382615187893.jpg?v=1778236739, friendlyName=Open</x:v>
      </x:c>
      <x:c r="C8006" s="24" t="e">
        <x:f>HYPERLINK("https://365nails.com/products/365nails-golden-noir-royalty-handmade-liquid-motion-press-on-long-pipe-nails","365nails: ""Golden Noir Royalty"" – Handmade Liquid Motion Press-On Long Pipe Nails-5.5cm")</x:f>
        <x:v>HYPERLINK is not implemented. linkLocation=https://365nails.com/products/365nails-golden-noir-royalty-handmade-liquid-motion-press-on-long-pipe-nails, friendlyName=365nails: "Golden Noir Royalty" – Handmade Liquid Motion Press-On Long Pipe Nails-5.5cm</x:v>
      </x:c>
      <x:c r="D8006" s="18" t="str">
        <x:v>Size: XS / S / M / L</x:v>
      </x:c>
      <x:c r="E8006" s="25" t="str">
        <x:v>$7.99</x:v>
      </x:c>
      <x:c r="F8006" s="19" t="str">
        <x:v>10</x:v>
      </x:c>
    </x:row>
    <x:row r="8007" ht="93" customHeight="1">
      <x:c r="A8007" s="19" t="n">
        <x:v>8004</x:v>
      </x:c>
      <x:c r="B8007" s="22" t="e">
        <x:f>HYPERLINK("https://cdn.shopify.com/s/files/1/0918/6066/4603/files/4fe10f9d7e880829d7ea7816f308b7db.jpg?v=1776069930","Open")</x:f>
        <x:v>HYPERLINK is not implemented. linkLocation=https://cdn.shopify.com/s/files/1/0918/6066/4603/files/4fe10f9d7e880829d7ea7816f308b7db.jpg?v=1776069930, friendlyName=Open</x:v>
      </x:c>
      <x:c r="C8007" s="24" t="e">
        <x:f>HYPERLINK("https://365nails.com/products/365nails-vintage-portrait-gem-short-handmade-short-almond-press-on-nails","365nails: ""Vintage Portrait Gem Short"" – Handmade Short Almond Press-On Nails")</x:f>
        <x:v>HYPERLINK is not implemented. linkLocation=https://365nails.com/products/365nails-vintage-portrait-gem-short-handmade-short-almond-press-on-nails, friendlyName=365nails: "Vintage Portrait Gem Short" – Handmade Short Almond Press-On Nails</x:v>
      </x:c>
      <x:c r="D8007" s="18" t="str">
        <x:v>Size: XS / S / M / L</x:v>
      </x:c>
      <x:c r="E8007" s="25" t="str">
        <x:v>$4.49</x:v>
      </x:c>
      <x:c r="F8007" s="19" t="str">
        <x:v>5</x:v>
      </x:c>
    </x:row>
    <x:row r="8008" ht="93" customHeight="1">
      <x:c r="A8008" s="19" t="n">
        <x:v>8005</x:v>
      </x:c>
      <x:c r="B8008" s="22" t="e">
        <x:f>HYPERLINK("https://cdn.shopify.com/s/files/1/0918/6066/4603/files/O1CN01cqvLTi1HlX9qm6cE0__2545140798-0-cib.jpg?v=1774255304","Open")</x:f>
        <x:v>HYPERLINK is not implemented. linkLocation=https://cdn.shopify.com/s/files/1/0918/6066/4603/files/O1CN01cqvLTi1HlX9qm6cE0__2545140798-0-cib.jpg?v=1774255304, friendlyName=Open</x:v>
      </x:c>
      <x:c r="C8008" s="24" t="e">
        <x:f>HYPERLINK("https://365nails.com/products/kawaii-animal-face-whisker-nail-sticker-set-cute-pet-face","Kawaii Animal Face &amp; Whisker Nail Sticker Set – ""Cute Pet Face""")</x:f>
        <x:v>HYPERLINK is not implemented. linkLocation=https://365nails.com/products/kawaii-animal-face-whisker-nail-sticker-set-cute-pet-face, friendlyName=Kawaii Animal Face &amp; Whisker Nail Sticker Set – "Cute Pet Face"</x:v>
      </x:c>
      <x:c r="D8008" s="18" t="str">
        <x:v>Specification type: To5351 / To5407</x:v>
      </x:c>
      <x:c r="E8008" s="25" t="str">
        <x:v>$1.00</x:v>
      </x:c>
      <x:c r="F8008" s="19" t="str">
        <x:v>5</x:v>
      </x:c>
    </x:row>
    <x:row r="8009" ht="93" customHeight="1">
      <x:c r="A8009" s="19" t="n">
        <x:v>8006</x:v>
      </x:c>
      <x:c r="B8009" s="22" t="e">
        <x:f>HYPERLINK("https://cdn.shopify.com/s/files/1/0918/6066/4603/files/O1CN01DRJMop1HlXBBqEEA0__2545140798-0-cib.jpg?v=1773151457","Open")</x:f>
        <x:v>HYPERLINK is not implemented. linkLocation=https://cdn.shopify.com/s/files/1/0918/6066/4603/files/O1CN01DRJMop1HlXBBqEEA0__2545140798-0-cib.jpg?v=1773151457, friendlyName=Open</x:v>
      </x:c>
      <x:c r="C8009" s="24" t="e">
        <x:f>HYPERLINK("https://365nails.com/products/white-lace-flower-ethereal-translucent-nail-art-set","White Lace Flower – Ethereal Translucent Nail Art Stickers")</x:f>
        <x:v>HYPERLINK is not implemented. linkLocation=https://365nails.com/products/white-lace-flower-ethereal-translucent-nail-art-set, friendlyName=White Lace Flower – Ethereal Translucent Nail Art Stickers</x:v>
      </x:c>
      <x:c r="D8009" s="18" t="str">
        <x:v>Specification type: Ms933-relief / To5489-relief</x:v>
      </x:c>
      <x:c r="E8009" s="25" t="str">
        <x:v>$1.23</x:v>
      </x:c>
      <x:c r="F8009" s="19" t="str">
        <x:v>5</x:v>
      </x:c>
    </x:row>
    <x:row r="8010" ht="93" customHeight="1">
      <x:c r="A8010" s="19" t="n">
        <x:v>8007</x:v>
      </x:c>
      <x:c r="B8010" s="22" t="e">
        <x:f>HYPERLINK("https://cdn.shopify.com/s/files/1/0918/6066/4603/files/c73c940a0fa71df7b58935b973bbf5fd.jpg?v=1775612559","Open")</x:f>
        <x:v>HYPERLINK is not implemented. linkLocation=https://cdn.shopify.com/s/files/1/0918/6066/4603/files/c73c940a0fa71df7b58935b973bbf5fd.jpg?v=1775612559, friendlyName=Open</x:v>
      </x:c>
      <x:c r="C8010" s="24" t="e">
        <x:f>HYPERLINK("https://365nails.com/products/wild-leopard-lily-long-coffin-press-on-nails","Wild : ""Leopard Lily"" – Long Coffin Press-on Nails")</x:f>
        <x:v>HYPERLINK is not implemented. linkLocation=https://365nails.com/products/wild-leopard-lily-long-coffin-press-on-nails, friendlyName=Wild : "Leopard Lily" – Long Coffin Press-on Nails</x:v>
      </x:c>
      <x:c r="D8010" s="18" t="str">
        <x:v>Size: XS / S / M / L</x:v>
      </x:c>
      <x:c r="E8010" s="25" t="str">
        <x:v>$3.99</x:v>
      </x:c>
      <x:c r="F8010" s="19" t="str">
        <x:v>5</x:v>
      </x:c>
    </x:row>
    <x:row r="8011" ht="93" customHeight="1">
      <x:c r="A8011" s="19" t="n">
        <x:v>8008</x:v>
      </x:c>
      <x:c r="B8011" s="22" t="e">
        <x:f>HYPERLINK("https://cdn.shopify.com/s/files/1/0918/6066/4603/files/9ff1077d8b738b104dac113bd2f770f4_960ddd66-eb15-4f57-9e84-9ffb19ffcd3e.jpg?v=1768895264","Open")</x:f>
        <x:v>HYPERLINK is not implemented. linkLocation=https://cdn.shopify.com/s/files/1/0918/6066/4603/files/9ff1077d8b738b104dac113bd2f770f4_960ddd66-eb15-4f57-9e84-9ffb19ffcd3e.jpg?v=1768895264, friendlyName=Open</x:v>
      </x:c>
      <x:c r="C8011" s="24" t="e">
        <x:f>HYPERLINK("https://365nails.com/products/handmade-aura-series-monets-garden-purple-green-aurora-nails","Monet's Garden Purple &amp; Green Aurora Nails｜Handmade Aura Series(moq=30)")</x:f>
        <x:v>HYPERLINK is not implemented. linkLocation=https://365nails.com/products/handmade-aura-series-monets-garden-purple-green-aurora-nails, friendlyName=Monet's Garden Purple &amp; Green Aurora Nails｜Handmade Aura Series(moq=30)</x:v>
      </x:c>
      <x:c r="D8011" s="18" t="str">
        <x:v>Size: XS / S / M / L</x:v>
      </x:c>
      <x:c r="E8011" s="25" t="str">
        <x:v>$2.99</x:v>
      </x:c>
      <x:c r="F8011" s="19" t="str">
        <x:v>30</x:v>
      </x:c>
    </x:row>
    <x:row r="8012" ht="93" customHeight="1">
      <x:c r="A8012" s="19" t="n">
        <x:v>8009</x:v>
      </x:c>
      <x:c r="B8012" s="22" t="e">
        <x:f>HYPERLINK("https://cdn.shopify.com/s/files/1/0918/6066/4603/files/8496a5e523797d6f6935f2d6f1d8c3a4.jpg?v=1775292663","Open")</x:f>
        <x:v>HYPERLINK is not implemented. linkLocation=https://cdn.shopify.com/s/files/1/0918/6066/4603/files/8496a5e523797d6f6935f2d6f1d8c3a4.jpg?v=1775292663, friendlyName=Open</x:v>
      </x:c>
      <x:c r="C8012" s="24" t="e">
        <x:f>HYPERLINK("https://365nails.com/products/summer-bloom-blush-lily-long-coffin-press-on-nails","Summer Bloom: ""Blush Lily"" – Long Coffin Press-on Nails")</x:f>
        <x:v>HYPERLINK is not implemented. linkLocation=https://365nails.com/products/summer-bloom-blush-lily-long-coffin-press-on-nails, friendlyName=Summer Bloom: "Blush Lily" – Long Coffin Press-on Nails</x:v>
      </x:c>
      <x:c r="D8012" s="18" t="str">
        <x:v>Size: XS / S / M / L</x:v>
      </x:c>
      <x:c r="E8012" s="25" t="str">
        <x:v>$3.99</x:v>
      </x:c>
      <x:c r="F8012" s="19" t="str">
        <x:v>5</x:v>
      </x:c>
    </x:row>
    <x:row r="8013" ht="93" customHeight="1">
      <x:c r="A8013" s="19" t="n">
        <x:v>8010</x:v>
      </x:c>
      <x:c r="B8013" s="22" t="e">
        <x:f>HYPERLINK("https://cdn.shopify.com/s/files/1/0918/6066/4603/files/aa18ee3ffbda0ce6e72d8a957ce15a04.jpg?v=1777786175","Open")</x:f>
        <x:v>HYPERLINK is not implemented. linkLocation=https://cdn.shopify.com/s/files/1/0918/6066/4603/files/aa18ee3ffbda0ce6e72d8a957ce15a04.jpg?v=1777786175, friendlyName=Open</x:v>
      </x:c>
      <x:c r="C8013" s="24" t="e">
        <x:f>HYPERLINK("https://365nails.com/products/365nails-black-crackle-snake-rhinestone-long-handmade-long-trapezoid-press-on-nails","365nails: ""Black Crackle Snake Rhinestone Long"" – Handmade Long Trapezoid Press-On Nails")</x:f>
        <x:v>HYPERLINK is not implemented. linkLocation=https://365nails.com/products/365nails-black-crackle-snake-rhinestone-long-handmade-long-trapezoid-press-on-nails, friendlyName=365nails: "Black Crackle Snake Rhinestone Long" – Handmade Long Trapezoid Press-On Nails</x:v>
      </x:c>
      <x:c r="D8013" s="18" t="str">
        <x:v>Size: XS / S / M / L</x:v>
      </x:c>
      <x:c r="E8013" s="25" t="str">
        <x:v>$4.49</x:v>
      </x:c>
      <x:c r="F8013" s="19" t="str">
        <x:v>5</x:v>
      </x:c>
    </x:row>
    <x:row r="8014" ht="93" customHeight="1">
      <x:c r="A8014" s="19" t="n">
        <x:v>8011</x:v>
      </x:c>
      <x:c r="B8014" s="22" t="e">
        <x:f>HYPERLINK("https://cdn.shopify.com/s/files/1/0918/6066/4603/files/d26ee39bf870a1415300cfe56131d672.jpg?v=1777806449","Open")</x:f>
        <x:v>HYPERLINK is not implemented. linkLocation=https://cdn.shopify.com/s/files/1/0918/6066/4603/files/d26ee39bf870a1415300cfe56131d672.jpg?v=1777806449, friendlyName=Open</x:v>
      </x:c>
      <x:c r="C8014" s="24" t="e">
        <x:f>HYPERLINK("https://365nails.com/products/365nails-blush-pink-sakura-pearl-3d-flower-wave-handmade-medium-stiletto-press-on-nails","365nails: ""Blush Pink Sakura Pearl"" – 3D Flower &amp; Wave Handmade Medium Stiletto Press-On Nails")</x:f>
        <x:v>HYPERLINK is not implemented. linkLocation=https://365nails.com/products/365nails-blush-pink-sakura-pearl-3d-flower-wave-handmade-medium-stiletto-press-on-nails, friendlyName=365nails: "Blush Pink Sakura Pearl" – 3D Flower &amp; Wave Handmade Medium Stiletto Press-On Nails</x:v>
      </x:c>
      <x:c r="D8014" s="18" t="str">
        <x:v>Size: XS / S / M / L</x:v>
      </x:c>
      <x:c r="E8014" s="25" t="str">
        <x:v>$3.49</x:v>
      </x:c>
      <x:c r="F8014" s="19" t="str">
        <x:v>5</x:v>
      </x:c>
    </x:row>
    <x:row r="8015" ht="93" customHeight="1">
      <x:c r="A8015" s="19" t="n">
        <x:v>8012</x:v>
      </x:c>
      <x:c r="B8015" s="22" t="e">
        <x:f>HYPERLINK("https://cdn.shopify.com/s/files/1/0918/6066/4603/files/9cec24071cafc0a2b127491f314bf9e6.jpg?v=1777788295","Open")</x:f>
        <x:v>HYPERLINK is not implemented. linkLocation=https://cdn.shopify.com/s/files/1/0918/6066/4603/files/9cec24071cafc0a2b127491f314bf9e6.jpg?v=1777788295, friendlyName=Open</x:v>
      </x:c>
      <x:c r="C8015" s="24" t="e">
        <x:f>HYPERLINK("https://365nails.com/products/365nails-cute-cherry-gradient-long-handmade-long-stiletto-press-on-nails","365nails: ""Cute Cherry Gradient Long"" – Handmade Long Stiletto Press-On Nails")</x:f>
        <x:v>HYPERLINK is not implemented. linkLocation=https://365nails.com/products/365nails-cute-cherry-gradient-long-handmade-long-stiletto-press-on-nails, friendlyName=365nails: "Cute Cherry Gradient Long" – Handmade Long Stiletto Press-On Nails</x:v>
      </x:c>
      <x:c r="D8015" s="18" t="str">
        <x:v>Size: XS / S / M / L</x:v>
      </x:c>
      <x:c r="E8015" s="25" t="str">
        <x:v>$4.99</x:v>
      </x:c>
      <x:c r="F8015" s="19" t="str">
        <x:v>5</x:v>
      </x:c>
    </x:row>
    <x:row r="8016" ht="93" customHeight="1">
      <x:c r="A8016" s="19" t="n">
        <x:v>8013</x:v>
      </x:c>
      <x:c r="B8016" s="22" t="e">
        <x:f>HYPERLINK("https://cdn.shopify.com/s/files/1/0918/6066/4603/files/5e2463f62fa51ca8302002df4957316b.jpg?v=1775310048","Open")</x:f>
        <x:v>HYPERLINK is not implemented. linkLocation=https://cdn.shopify.com/s/files/1/0918/6066/4603/files/5e2463f62fa51ca8302002df4957316b.jpg?v=1775310048, friendlyName=Open</x:v>
      </x:c>
      <x:c r="C8016" s="24" t="e">
        <x:f>HYPERLINK("https://365nails.com/products/elegant-bloom-mint-orchid-long-coffin-press-on-nails","Elegant Bloom: ""Mint Orchid"" – Long Coffin Press-on Nails")</x:f>
        <x:v>HYPERLINK is not implemented. linkLocation=https://365nails.com/products/elegant-bloom-mint-orchid-long-coffin-press-on-nails, friendlyName=Elegant Bloom: "Mint Orchid" – Long Coffin Press-on Nails</x:v>
      </x:c>
      <x:c r="D8016" s="18" t="str">
        <x:v>Size: XS / S / M / L</x:v>
      </x:c>
      <x:c r="E8016" s="25" t="str">
        <x:v>$3.99</x:v>
      </x:c>
      <x:c r="F8016" s="19" t="str">
        <x:v>5</x:v>
      </x:c>
    </x:row>
    <x:row r="8017" ht="93" customHeight="1">
      <x:c r="A8017" s="19" t="n">
        <x:v>8014</x:v>
      </x:c>
      <x:c r="B8017" s="22" t="e">
        <x:f>HYPERLINK("https://cdn.shopify.com/s/files/1/0918/6066/4603/files/28fcd0637c82635aab104baa0154df19.jpg?v=1777791913","Open")</x:f>
        <x:v>HYPERLINK is not implemented. linkLocation=https://cdn.shopify.com/s/files/1/0918/6066/4603/files/28fcd0637c82635aab104baa0154df19.jpg?v=1777791913, friendlyName=Open</x:v>
      </x:c>
      <x:c r="C8017" s="24" t="e">
        <x:f>HYPERLINK("https://365nails.com/products/365nails-white-pink-cherry-rhinestone-handmade-short-square-press-on-nails","365nails: ""White Pink Cherry Rhinestone"" – Handmade Short Square Press-On Nails")</x:f>
        <x:v>HYPERLINK is not implemented. linkLocation=https://365nails.com/products/365nails-white-pink-cherry-rhinestone-handmade-short-square-press-on-nails, friendlyName=365nails: "White Pink Cherry Rhinestone" – Handmade Short Square Press-On Nails</x:v>
      </x:c>
      <x:c r="D8017" s="18" t="str">
        <x:v>Size: XS / S / M / L</x:v>
      </x:c>
      <x:c r="E8017" s="25" t="str">
        <x:v>$3.49</x:v>
      </x:c>
      <x:c r="F8017" s="19" t="str">
        <x:v>5</x:v>
      </x:c>
    </x:row>
    <x:row r="8018" ht="93" customHeight="1">
      <x:c r="A8018" s="19" t="n">
        <x:v>8015</x:v>
      </x:c>
      <x:c r="B8018" s="22" t="e">
        <x:f>HYPERLINK("https://cdn.shopify.com/s/files/1/0918/6066/4603/files/a7a4c138a2a04fadee3faae1d91bbee2.jpg?v=1777810429","Open")</x:f>
        <x:v>HYPERLINK is not implemented. linkLocation=https://cdn.shopify.com/s/files/1/0918/6066/4603/files/a7a4c138a2a04fadee3faae1d91bbee2.jpg?v=1777810429, friendlyName=Open</x:v>
      </x:c>
      <x:c r="C8018" s="24" t="e">
        <x:f>HYPERLINK("https://365nails.com/products/365nails-blue-glitter-star-heart-handmade-long-trapezoid-press-on-nails","365nails: ""Blue Glitter Star Heart"" – Handmade Long Trapezoid Press-On Nails")</x:f>
        <x:v>HYPERLINK is not implemented. linkLocation=https://365nails.com/products/365nails-blue-glitter-star-heart-handmade-long-trapezoid-press-on-nails, friendlyName=365nails: "Blue Glitter Star Heart" – Handmade Long Trapezoid Press-On Nails</x:v>
      </x:c>
      <x:c r="D8018" s="18" t="str">
        <x:v>Size: XS / S / M / L</x:v>
      </x:c>
      <x:c r="E8018" s="25" t="str">
        <x:v>$5.99</x:v>
      </x:c>
      <x:c r="F8018" s="19" t="str">
        <x:v>5</x:v>
      </x:c>
    </x:row>
    <x:row r="8019" ht="93" customHeight="1">
      <x:c r="A8019" s="19" t="n">
        <x:v>8016</x:v>
      </x:c>
      <x:c r="B8019" s="22" t="e">
        <x:f>HYPERLINK("https://cdn.shopify.com/s/files/1/0918/6066/4603/files/ba95f4cb6c2d0bc6c81102c1c25d1ae7.jpg?v=1777800250","Open")</x:f>
        <x:v>HYPERLINK is not implemented. linkLocation=https://cdn.shopify.com/s/files/1/0918/6066/4603/files/ba95f4cb6c2d0bc6c81102c1c25d1ae7.jpg?v=1777800250, friendlyName=Open</x:v>
      </x:c>
      <x:c r="C8019" s="24" t="e">
        <x:f>HYPERLINK("https://365nails.com/products/365nails-black-cow-print-gold-d-ring-handmade-short-almond-press-on-nails","365nails: ""Black Cow Print Gold D Ring"" – Handmade Short Almond Press-On Nails")</x:f>
        <x:v>HYPERLINK is not implemented. linkLocation=https://365nails.com/products/365nails-black-cow-print-gold-d-ring-handmade-short-almond-press-on-nails, friendlyName=365nails: "Black Cow Print Gold D Ring" – Handmade Short Almond Press-On Nails</x:v>
      </x:c>
      <x:c r="D8019" s="18" t="str">
        <x:v>Size: XS / S / M / L</x:v>
      </x:c>
      <x:c r="E8019" s="25" t="str">
        <x:v>$3.49</x:v>
      </x:c>
      <x:c r="F8019" s="19" t="str">
        <x:v>5</x:v>
      </x:c>
    </x:row>
    <x:row r="8020" ht="93" customHeight="1">
      <x:c r="A8020" s="19" t="n">
        <x:v>8017</x:v>
      </x:c>
      <x:c r="B8020" s="22" t="e">
        <x:f>HYPERLINK("https://cdn.shopify.com/s/files/1/0918/6066/4603/files/0eb93575eea8476ff5f9a288cf6bf1b5.jpg?v=1775293780","Open")</x:f>
        <x:v>HYPERLINK is not implemented. linkLocation=https://cdn.shopify.com/s/files/1/0918/6066/4603/files/0eb93575eea8476ff5f9a288cf6bf1b5.jpg?v=1775293780, friendlyName=Open</x:v>
      </x:c>
      <x:c r="C8020" s="24" t="e">
        <x:f>HYPERLINK("https://365nails.com/products/sakura-bloom-pink-petal-long-coffin-press-on-nails","Sakura Bloom: ""Pink Petal"" – Long Coffin Press-on Nails")</x:f>
        <x:v>HYPERLINK is not implemented. linkLocation=https://365nails.com/products/sakura-bloom-pink-petal-long-coffin-press-on-nails, friendlyName=Sakura Bloom: "Pink Petal" – Long Coffin Press-on Nails</x:v>
      </x:c>
      <x:c r="D8020" s="18" t="str">
        <x:v>Size: XS / S / M / L</x:v>
      </x:c>
      <x:c r="E8020" s="25" t="str">
        <x:v>$3.99</x:v>
      </x:c>
      <x:c r="F8020" s="19" t="str">
        <x:v>5</x:v>
      </x:c>
    </x:row>
    <x:row r="8021" ht="93" customHeight="1">
      <x:c r="A8021" s="19" t="n">
        <x:v>8018</x:v>
      </x:c>
      <x:c r="B8021" s="22" t="e">
        <x:f>HYPERLINK("https://cdn.shopify.com/s/files/1/0918/6066/4603/files/23f71842cb10d81823795ab59d2245d5.jpg?v=1781018408","Open")</x:f>
        <x:v>HYPERLINK is not implemented. linkLocation=https://cdn.shopify.com/s/files/1/0918/6066/4603/files/23f71842cb10d81823795ab59d2245d5.jpg?v=1781018408, friendlyName=Open</x:v>
      </x:c>
      <x:c r="C8021" s="24" t="e">
        <x:f>HYPERLINK("https://365nails.com/products/365nails-light-pink-swirl-marble-milky-jelly-minimal-fluid-art-handmade-long-stiletto-nails","365nails: ""Light Pink Swirl Marble Milky Jelly"" – Minimal Fluid Art Handmade Long Stiletto Nails")</x:f>
        <x:v>HYPERLINK is not implemented. linkLocation=https://365nails.com/products/365nails-light-pink-swirl-marble-milky-jelly-minimal-fluid-art-handmade-long-stiletto-nails, friendlyName=365nails: "Light Pink Swirl Marble Milky Jelly" – Minimal Fluid Art Handmade Long Stiletto Nails</x:v>
      </x:c>
      <x:c r="D8021" s="18" t="str">
        <x:v>Size: XS / S / M / L</x:v>
      </x:c>
      <x:c r="E8021" s="25" t="str">
        <x:v>$4.99</x:v>
      </x:c>
      <x:c r="F8021" s="19" t="str">
        <x:v>3</x:v>
      </x:c>
    </x:row>
    <x:row r="8022" ht="93" customHeight="1">
      <x:c r="A8022" s="19" t="n">
        <x:v>8019</x:v>
      </x:c>
      <x:c r="B8022" s="22" t="e">
        <x:f>HYPERLINK("https://cdn.shopify.com/s/files/1/0918/6066/4603/files/51ebed322d09f8e75cd7b87980583e48.jpg?v=1777786311","Open")</x:f>
        <x:v>HYPERLINK is not implemented. linkLocation=https://cdn.shopify.com/s/files/1/0918/6066/4603/files/51ebed322d09f8e75cd7b87980583e48.jpg?v=1777786311, friendlyName=Open</x:v>
      </x:c>
      <x:c r="C8022" s="24" t="e">
        <x:f>HYPERLINK("https://365nails.com/products/365nails-black-nude-flame-gradient-medium-handmade-medium-stiletto-press-on-nails","365nails: ""Black Nude Flame Gradient Medium"" – Handmade Medium Stiletto Press-On Nails")</x:f>
        <x:v>HYPERLINK is not implemented. linkLocation=https://365nails.com/products/365nails-black-nude-flame-gradient-medium-handmade-medium-stiletto-press-on-nails, friendlyName=365nails: "Black Nude Flame Gradient Medium" – Handmade Medium Stiletto Press-On Nails</x:v>
      </x:c>
      <x:c r="D8022" s="18" t="str">
        <x:v>Size: XS / S / M / L</x:v>
      </x:c>
      <x:c r="E8022" s="25" t="str">
        <x:v>$4.49</x:v>
      </x:c>
      <x:c r="F8022" s="19" t="str">
        <x:v>5</x:v>
      </x:c>
    </x:row>
    <x:row r="8023" ht="93" customHeight="1">
      <x:c r="A8023" s="19" t="n">
        <x:v>8020</x:v>
      </x:c>
      <x:c r="B8023" s="22" t="e">
        <x:f>HYPERLINK("https://cdn.shopify.com/s/files/1/0918/6066/4603/files/75754e816f9be67cbe3c56b8e6d5bb72.jpg?v=1777787810","Open")</x:f>
        <x:v>HYPERLINK is not implemented. linkLocation=https://cdn.shopify.com/s/files/1/0918/6066/4603/files/75754e816f9be67cbe3c56b8e6d5bb72.jpg?v=1777787810, friendlyName=Open</x:v>
      </x:c>
      <x:c r="C8023" s="24" t="e">
        <x:f>HYPERLINK("https://365nails.com/products/365nails-elegant-pink-white-flower-rhinestone-long-handmade-long-tapered-square-press-on-nails-1","365Nails: ""Elegant Pink White Flower Rhinestone Long"" – Handmade Long Tapered Square Press-On Nails")</x:f>
        <x:v>HYPERLINK is not implemented. linkLocation=https://365nails.com/products/365nails-elegant-pink-white-flower-rhinestone-long-handmade-long-tapered-square-press-on-nails-1, friendlyName=365Nails: "Elegant Pink White Flower Rhinestone Long" – Handmade Long Tapered Square Press-On Nails</x:v>
      </x:c>
      <x:c r="D8023" s="18" t="str">
        <x:v>Size: XS / S / M / L</x:v>
      </x:c>
      <x:c r="E8023" s="25" t="str">
        <x:v>$5.99</x:v>
      </x:c>
      <x:c r="F8023" s="19" t="str">
        <x:v>5</x:v>
      </x:c>
    </x:row>
    <x:row r="8024" ht="93" customHeight="1">
      <x:c r="A8024" s="19" t="n">
        <x:v>8021</x:v>
      </x:c>
      <x:c r="B8024" s="22" t="e">
        <x:f>HYPERLINK("https://cdn.shopify.com/s/files/1/0918/6066/4603/files/99c7f12cbd220b1fba12f8311d7ef602.jpg?v=1777807594","Open")</x:f>
        <x:v>HYPERLINK is not implemented. linkLocation=https://cdn.shopify.com/s/files/1/0918/6066/4603/files/99c7f12cbd220b1fba12f8311d7ef602.jpg?v=1777807594, friendlyName=Open</x:v>
      </x:c>
      <x:c r="C8024" s="24" t="e">
        <x:f>HYPERLINK("https://365nails.com/products/365nails-blush-tiger-floral-handmade-medium-coffin-press-on-nails","365nails: ""Blush Tiger Floral"" – Handmade Medium Coffin Press-On Nails")</x:f>
        <x:v>HYPERLINK is not implemented. linkLocation=https://365nails.com/products/365nails-blush-tiger-floral-handmade-medium-coffin-press-on-nails, friendlyName=365nails: "Blush Tiger Floral" – Handmade Medium Coffin Press-On Nails</x:v>
      </x:c>
      <x:c r="D8024" s="18" t="str">
        <x:v>Size: XS / S / M / L</x:v>
      </x:c>
      <x:c r="E8024" s="25" t="str">
        <x:v>$3.49</x:v>
      </x:c>
      <x:c r="F8024" s="19" t="str">
        <x:v>5</x:v>
      </x:c>
    </x:row>
    <x:row r="8025" ht="93" customHeight="1">
      <x:c r="A8025" s="19" t="n">
        <x:v>8022</x:v>
      </x:c>
      <x:c r="B8025" s="22" t="e">
        <x:f>HYPERLINK("https://cdn.shopify.com/s/files/1/0918/6066/4603/files/03e15843e9e8dab31bc817fc471e0509.jpg?v=1777779548","Open")</x:f>
        <x:v>HYPERLINK is not implemented. linkLocation=https://cdn.shopify.com/s/files/1/0918/6066/4603/files/03e15843e9e8dab31bc817fc471e0509.jpg?v=1777779548, friendlyName=Open</x:v>
      </x:c>
      <x:c r="C8025" s="24" t="e">
        <x:f>HYPERLINK("https://365nails.com/products/365nails-blue-angel-chain-long-handmade-long-trapezoid-press-on-nails","365nails: ""Blue Angel Chain Long"" – Handmade Long Trapezoid Press-On Nails")</x:f>
        <x:v>HYPERLINK is not implemented. linkLocation=https://365nails.com/products/365nails-blue-angel-chain-long-handmade-long-trapezoid-press-on-nails, friendlyName=365nails: "Blue Angel Chain Long" – Handmade Long Trapezoid Press-On Nails</x:v>
      </x:c>
      <x:c r="D8025" s="18" t="str">
        <x:v>Size: XS / S / M / L</x:v>
      </x:c>
      <x:c r="E8025" s="25" t="str">
        <x:v>$4.49</x:v>
      </x:c>
      <x:c r="F8025" s="19" t="str">
        <x:v>5</x:v>
      </x:c>
    </x:row>
    <x:row r="8026" ht="93" customHeight="1">
      <x:c r="A8026" s="19" t="n">
        <x:v>8023</x:v>
      </x:c>
      <x:c r="B8026" s="22" t="e">
        <x:f>HYPERLINK("https://cdn.shopify.com/s/files/1/0918/6066/4603/files/1373da6e2b3def3df418e4e5788c4b90.jpg?v=1777779080","Open")</x:f>
        <x:v>HYPERLINK is not implemented. linkLocation=https://cdn.shopify.com/s/files/1/0918/6066/4603/files/1373da6e2b3def3df418e4e5788c4b90.jpg?v=1777779080, friendlyName=Open</x:v>
      </x:c>
      <x:c r="C8026" s="24" t="e">
        <x:f>HYPERLINK("https://365nails.com/products/365nails-pink-ice-cream-drip-handmade-long-trapezoid-press-on-nails","365nails: ""Pink Ice Cream Drip"" – Handmade Long Trapezoid Press-On Nails")</x:f>
        <x:v>HYPERLINK is not implemented. linkLocation=https://365nails.com/products/365nails-pink-ice-cream-drip-handmade-long-trapezoid-press-on-nails, friendlyName=365nails: "Pink Ice Cream Drip" – Handmade Long Trapezoid Press-On Nails</x:v>
      </x:c>
      <x:c r="D8026" s="18" t="str">
        <x:v>Size: XS / S / M / L</x:v>
      </x:c>
      <x:c r="E8026" s="25" t="str">
        <x:v>$4.49</x:v>
      </x:c>
      <x:c r="F8026" s="19" t="str">
        <x:v>5</x:v>
      </x:c>
    </x:row>
    <x:row r="8027" ht="93" customHeight="1">
      <x:c r="A8027" s="19" t="n">
        <x:v>8024</x:v>
      </x:c>
      <x:c r="B8027" s="22" t="e">
        <x:f>HYPERLINK("https://cdn.shopify.com/s/files/1/0918/6066/4603/files/e3f1808d405ed01e965d9f90155dbe3c.jpg?v=1777798718","Open")</x:f>
        <x:v>HYPERLINK is not implemented. linkLocation=https://cdn.shopify.com/s/files/1/0918/6066/4603/files/e3f1808d405ed01e965d9f90155dbe3c.jpg?v=1777798718, friendlyName=Open</x:v>
      </x:c>
      <x:c r="C8027" s="24" t="e">
        <x:f>HYPERLINK("https://365nails.com/products/365nails-pink-white-flower-pearl-mix-handmade-medium-stiletto-press-on-nails","365nails: ""Pink White Flower Pearl Mix"" – Handmade Medium Stiletto Press-On Nails")</x:f>
        <x:v>HYPERLINK is not implemented. linkLocation=https://365nails.com/products/365nails-pink-white-flower-pearl-mix-handmade-medium-stiletto-press-on-nails, friendlyName=365nails: "Pink White Flower Pearl Mix" – Handmade Medium Stiletto Press-On Nails</x:v>
      </x:c>
      <x:c r="D8027" s="18" t="str">
        <x:v>Size: XS / S / M / L</x:v>
      </x:c>
      <x:c r="E8027" s="25" t="str">
        <x:v>$3.49</x:v>
      </x:c>
      <x:c r="F8027" s="19" t="str">
        <x:v>5</x:v>
      </x:c>
    </x:row>
    <x:row r="8028" ht="93" customHeight="1">
      <x:c r="A8028" s="19" t="n">
        <x:v>8025</x:v>
      </x:c>
      <x:c r="B8028" s="22" t="e">
        <x:f>HYPERLINK("https://cdn.shopify.com/s/files/1/0918/6066/4603/files/30199f1b81996e4cfacf88928aedeb29.jpg?v=1777791266","Open")</x:f>
        <x:v>HYPERLINK is not implemented. linkLocation=https://cdn.shopify.com/s/files/1/0918/6066/4603/files/30199f1b81996e4cfacf88928aedeb29.jpg?v=1777791266, friendlyName=Open</x:v>
      </x:c>
      <x:c r="C8028" s="24" t="e">
        <x:f>HYPERLINK("https://365nails.com/products/365nails-pink-yellow-flower-butterfly-3d-handmade-medium-stiletto-press-on-nails","365nails: ""Pink Yellow Flower Butterfly 3D"" – Handmade Medium Stiletto Press-On Nails")</x:f>
        <x:v>HYPERLINK is not implemented. linkLocation=https://365nails.com/products/365nails-pink-yellow-flower-butterfly-3d-handmade-medium-stiletto-press-on-nails, friendlyName=365nails: "Pink Yellow Flower Butterfly 3D" – Handmade Medium Stiletto Press-On Nails</x:v>
      </x:c>
      <x:c r="D8028" s="18" t="str">
        <x:v>Size: XS / S / M / L</x:v>
      </x:c>
      <x:c r="E8028" s="25" t="str">
        <x:v>$3.49</x:v>
      </x:c>
      <x:c r="F8028" s="19" t="str">
        <x:v>5</x:v>
      </x:c>
    </x:row>
    <x:row r="8029" ht="93" customHeight="1">
      <x:c r="A8029" s="19" t="n">
        <x:v>8026</x:v>
      </x:c>
      <x:c r="B8029" s="22" t="e">
        <x:f>HYPERLINK("https://cdn.shopify.com/s/files/1/0918/6066/4603/files/004fbe06f575d5f6dee8d5789188b3dd.jpg?v=1777791443","Open")</x:f>
        <x:v>HYPERLINK is not implemented. linkLocation=https://cdn.shopify.com/s/files/1/0918/6066/4603/files/004fbe06f575d5f6dee8d5789188b3dd.jpg?v=1777791443, friendlyName=Open</x:v>
      </x:c>
      <x:c r="C8029" s="24" t="e">
        <x:f>HYPERLINK("https://365nails.com/products/365nails-strawberry-mushroom-flower-medium-handmade-medium-almond-press-on-nails","365nails: ""Strawberry Mushroom Flower Medium"" – Handmade Medium Almond Press-On Nails")</x:f>
        <x:v>HYPERLINK is not implemented. linkLocation=https://365nails.com/products/365nails-strawberry-mushroom-flower-medium-handmade-medium-almond-press-on-nails, friendlyName=365nails: "Strawberry Mushroom Flower Medium" – Handmade Medium Almond Press-On Nails</x:v>
      </x:c>
      <x:c r="D8029" s="18" t="str">
        <x:v>Size: XS / S / M / L</x:v>
      </x:c>
      <x:c r="E8029" s="25" t="str">
        <x:v>$3.49</x:v>
      </x:c>
      <x:c r="F8029" s="19" t="str">
        <x:v>5</x:v>
      </x:c>
    </x:row>
    <x:row r="8030" ht="93" customHeight="1">
      <x:c r="A8030" s="19" t="n">
        <x:v>8027</x:v>
      </x:c>
      <x:c r="B8030" s="22" t="e">
        <x:f>HYPERLINK("https://cdn.shopify.com/s/files/1/0918/6066/4603/files/399ff6bbd343f3fba1411e20c2f89320_bcfcad1a-5323-49f8-80b5-1f310852a83c.jpg?v=1777806524","Open")</x:f>
        <x:v>HYPERLINK is not implemented. linkLocation=https://cdn.shopify.com/s/files/1/0918/6066/4603/files/399ff6bbd343f3fba1411e20c2f89320_bcfcad1a-5323-49f8-80b5-1f310852a83c.jpg?v=1777806524, friendlyName=Open</x:v>
      </x:c>
      <x:c r="C8030" s="24" t="e">
        <x:f>HYPERLINK("https://365nails.com/products/365nails-ocean-blue-hibiscus-chrome-3d-flower-shell-handmade-medium-stiletto-press-on-nails","365nails: ""Ocean Blue Hibiscus Chrome"" – 3D Flower &amp; Shell Handmade Medium Stiletto Press-On Nails")</x:f>
        <x:v>HYPERLINK is not implemented. linkLocation=https://365nails.com/products/365nails-ocean-blue-hibiscus-chrome-3d-flower-shell-handmade-medium-stiletto-press-on-nails, friendlyName=365nails: "Ocean Blue Hibiscus Chrome" – 3D Flower &amp; Shell Handmade Medium Stiletto Press-On Nails</x:v>
      </x:c>
      <x:c r="D8030" s="18" t="str">
        <x:v>Size: XS / S / M / L</x:v>
      </x:c>
      <x:c r="E8030" s="25" t="str">
        <x:v>$3.49</x:v>
      </x:c>
      <x:c r="F8030" s="19" t="str">
        <x:v>5</x:v>
      </x:c>
    </x:row>
    <x:row r="8031" ht="93" customHeight="1">
      <x:c r="A8031" s="19" t="n">
        <x:v>8028</x:v>
      </x:c>
      <x:c r="B8031" s="22" t="e">
        <x:f>HYPERLINK("https://cdn.shopify.com/s/files/1/0918/6066/4603/files/bc4c976bfa13f281ddc8cf1614ea7374.jpg?v=1778239668","Open")</x:f>
        <x:v>HYPERLINK is not implemented. linkLocation=https://cdn.shopify.com/s/files/1/0918/6066/4603/files/bc4c976bfa13f281ddc8cf1614ea7374.jpg?v=1778239668, friendlyName=Open</x:v>
      </x:c>
      <x:c r="C8031" s="24" t="e">
        <x:f>HYPERLINK("https://365nails.com/products/365nails-bohemian-tribal-queen-handmade-liquid-motion-press-on-long-pipe-nails","365nails: ""Bohemian Tribal Queen"" – Handmade Liquid Motion Press-On Long Pipe Nails-5.5cm")</x:f>
        <x:v>HYPERLINK is not implemented. linkLocation=https://365nails.com/products/365nails-bohemian-tribal-queen-handmade-liquid-motion-press-on-long-pipe-nails, friendlyName=365nails: "Bohemian Tribal Queen" – Handmade Liquid Motion Press-On Long Pipe Nails-5.5cm</x:v>
      </x:c>
      <x:c r="D8031" s="18" t="str">
        <x:v>Size: XS / S / M / L</x:v>
      </x:c>
      <x:c r="E8031" s="25" t="str">
        <x:v>$7.99</x:v>
      </x:c>
      <x:c r="F8031" s="19" t="str">
        <x:v>10</x:v>
      </x:c>
    </x:row>
    <x:row r="8032" ht="93" customHeight="1">
      <x:c r="A8032" s="19" t="n">
        <x:v>8029</x:v>
      </x:c>
      <x:c r="B8032" s="22" t="e">
        <x:f>HYPERLINK("https://cdn.shopify.com/s/files/1/0918/6066/4603/files/2a5233fd842132599f6a472a46c57fff.jpg?v=1778238833","Open")</x:f>
        <x:v>HYPERLINK is not implemented. linkLocation=https://cdn.shopify.com/s/files/1/0918/6066/4603/files/2a5233fd842132599f6a472a46c57fff.jpg?v=1778238833, friendlyName=Open</x:v>
      </x:c>
      <x:c r="C8032" s="24" t="e">
        <x:f>HYPERLINK("https://365nails.com/products/365nails-baroque-floral-goddess-handmade-liquid-motion-press-on-long-pipe-nails","365nails: ""Baroque Floral Goddess"" – Handmade Liquid Motion Press-On Long Pipe Nails-5.5cm")</x:f>
        <x:v>HYPERLINK is not implemented. linkLocation=https://365nails.com/products/365nails-baroque-floral-goddess-handmade-liquid-motion-press-on-long-pipe-nails, friendlyName=365nails: "Baroque Floral Goddess" – Handmade Liquid Motion Press-On Long Pipe Nails-5.5cm</x:v>
      </x:c>
      <x:c r="D8032" s="18" t="str">
        <x:v>Size: XS / S / M / L</x:v>
      </x:c>
      <x:c r="E8032" s="25" t="str">
        <x:v>$7.99</x:v>
      </x:c>
      <x:c r="F8032" s="19" t="str">
        <x:v>10</x:v>
      </x:c>
    </x:row>
    <x:row r="8033" ht="93" customHeight="1">
      <x:c r="A8033" s="19" t="n">
        <x:v>8030</x:v>
      </x:c>
      <x:c r="B8033" s="22" t="e">
        <x:f>HYPERLINK("https://cdn.shopify.com/s/files/1/0918/6066/4603/files/2b57a9ccd0df335f8af27cf2944bee56.jpg?v=1778237714","Open")</x:f>
        <x:v>HYPERLINK is not implemented. linkLocation=https://cdn.shopify.com/s/files/1/0918/6066/4603/files/2b57a9ccd0df335f8af27cf2944bee56.jpg?v=1778237714, friendlyName=Open</x:v>
      </x:c>
      <x:c r="C8033" s="24" t="e">
        <x:f>HYPERLINK("https://365nails.com/products/365nails-preppy-grey-chic-doll-handmade-liquid-motion-press-on-long-pipe-nails","365nails: ""Preppy Grey Chic Doll"" – Handmade Liquid Motion Press-On Long Pipe Nails-5.5cm")</x:f>
        <x:v>HYPERLINK is not implemented. linkLocation=https://365nails.com/products/365nails-preppy-grey-chic-doll-handmade-liquid-motion-press-on-long-pipe-nails, friendlyName=365nails: "Preppy Grey Chic Doll" – Handmade Liquid Motion Press-On Long Pipe Nails-5.5cm</x:v>
      </x:c>
      <x:c r="D8033" s="18" t="str">
        <x:v>Size: XS / S / M / L</x:v>
      </x:c>
      <x:c r="E8033" s="25" t="str">
        <x:v>$7.99</x:v>
      </x:c>
      <x:c r="F8033" s="19" t="str">
        <x:v>10</x:v>
      </x:c>
    </x:row>
    <x:row r="8034" ht="93" customHeight="1">
      <x:c r="A8034" s="19" t="n">
        <x:v>8031</x:v>
      </x:c>
      <x:c r="B8034" s="22" t="e">
        <x:f>HYPERLINK("https://cdn.shopify.com/s/files/1/0918/6066/4603/files/fde1b84d39a74e42e56a5af6dd164ce2.jpg?v=1777786479","Open")</x:f>
        <x:v>HYPERLINK is not implemented. linkLocation=https://cdn.shopify.com/s/files/1/0918/6066/4603/files/fde1b84d39a74e42e56a5af6dd164ce2.jpg?v=1777786479, friendlyName=Open</x:v>
      </x:c>
      <x:c r="C8034" s="24" t="e">
        <x:f>HYPERLINK("https://365nails.com/products/365nails-pink-ice-cream-star-rhinestone-short-handmade-short-trapezoid-press-on-nails","365nails: ""Pink Ice Cream Star Rhinestone Short"" – Handmade Short Trapezoid Press-On Nails")</x:f>
        <x:v>HYPERLINK is not implemented. linkLocation=https://365nails.com/products/365nails-pink-ice-cream-star-rhinestone-short-handmade-short-trapezoid-press-on-nails, friendlyName=365nails: "Pink Ice Cream Star Rhinestone Short" – Handmade Short Trapezoid Press-On Nails</x:v>
      </x:c>
      <x:c r="D8034" s="18" t="str">
        <x:v>Size: XS / S / M / L</x:v>
      </x:c>
      <x:c r="E8034" s="25" t="str">
        <x:v>$4.49</x:v>
      </x:c>
      <x:c r="F8034" s="19" t="str">
        <x:v>5</x:v>
      </x:c>
    </x:row>
    <x:row r="8035" ht="93" customHeight="1">
      <x:c r="A8035" s="19" t="n">
        <x:v>8032</x:v>
      </x:c>
      <x:c r="B8035" s="22" t="e">
        <x:f>HYPERLINK("https://cdn.shopify.com/s/files/1/0918/6066/4603/files/a60a07ecf318dc0b97018303884f2ca3.jpg?v=1777787916","Open")</x:f>
        <x:v>HYPERLINK is not implemented. linkLocation=https://cdn.shopify.com/s/files/1/0918/6066/4603/files/a60a07ecf318dc0b97018303884f2ca3.jpg?v=1777787916, friendlyName=Open</x:v>
      </x:c>
      <x:c r="C8035" s="24" t="e">
        <x:f>HYPERLINK("https://365nails.com/products/365nails-elegant-pink-white-flower-rhinestone-long-handmade-long-tapered-square-press-on-nails","365nails: ""Elegant Pink White Flower Rhinestone Long"" – Handmade Long Tapered Square Press-On Nails")</x:f>
        <x:v>HYPERLINK is not implemented. linkLocation=https://365nails.com/products/365nails-elegant-pink-white-flower-rhinestone-long-handmade-long-tapered-square-press-on-nails, friendlyName=365nails: "Elegant Pink White Flower Rhinestone Long" – Handmade Long Tapered Square Press-On Nails</x:v>
      </x:c>
      <x:c r="D8035" s="18" t="str">
        <x:v>Size: XS / S / M / L</x:v>
      </x:c>
      <x:c r="E8035" s="25" t="str">
        <x:v>$5.99</x:v>
      </x:c>
      <x:c r="F8035" s="19" t="str">
        <x:v>5</x:v>
      </x:c>
    </x:row>
    <x:row r="8036" ht="93" customHeight="1">
      <x:c r="A8036" s="19" t="n">
        <x:v>8033</x:v>
      </x:c>
      <x:c r="B8036" s="22" t="e">
        <x:f>HYPERLINK("https://cdn.shopify.com/s/files/1/0918/6066/4603/files/8b170bd8f96763bc295678df2c383fd2.jpg?v=1777788118","Open")</x:f>
        <x:v>HYPERLINK is not implemented. linkLocation=https://cdn.shopify.com/s/files/1/0918/6066/4603/files/8b170bd8f96763bc295678df2c383fd2.jpg?v=1777788118, friendlyName=Open</x:v>
      </x:c>
      <x:c r="C8036" s="24" t="e">
        <x:f>HYPERLINK("https://365nails.com/products/365nails-pink-white-star-flower-leopard-rhinestone-long-handmade-long-stiletto-press-on-nails","365nails: ""Pink White Star Flower Leopard Rhinestone Long"" – Handmade Long Stiletto Press-On Nails")</x:f>
        <x:v>HYPERLINK is not implemented. linkLocation=https://365nails.com/products/365nails-pink-white-star-flower-leopard-rhinestone-long-handmade-long-stiletto-press-on-nails, friendlyName=365nails: "Pink White Star Flower Leopard Rhinestone Long" – Handmade Long Stiletto Press-On Nails</x:v>
      </x:c>
      <x:c r="D8036" s="18" t="str">
        <x:v>Size: XS / S / M / L</x:v>
      </x:c>
      <x:c r="E8036" s="25" t="str">
        <x:v>$5.99</x:v>
      </x:c>
      <x:c r="F8036" s="19" t="str">
        <x:v>5</x:v>
      </x:c>
    </x:row>
    <x:row r="8037" ht="93" customHeight="1">
      <x:c r="A8037" s="19" t="n">
        <x:v>8034</x:v>
      </x:c>
      <x:c r="B8037" s="22" t="e">
        <x:f>HYPERLINK("https://cdn.shopify.com/s/files/1/0918/6066/4603/files/29bc04a84ec31cebb0f9585c74b7291c.jpg?v=1778238137","Open")</x:f>
        <x:v>HYPERLINK is not implemented. linkLocation=https://cdn.shopify.com/s/files/1/0918/6066/4603/files/29bc04a84ec31cebb0f9585c74b7291c.jpg?v=1778238137, friendlyName=Open</x:v>
      </x:c>
      <x:c r="C8037" s="24" t="e">
        <x:f>HYPERLINK("https://365nails.com/products/365nails-coral-floral-princess-handmade-liquid-motion-press-on-long-pipe-nails","365nails: ""Coral Floral Princess"" – Handmade Liquid Motion Press-On Long Pipe Nails-5.5cm")</x:f>
        <x:v>HYPERLINK is not implemented. linkLocation=https://365nails.com/products/365nails-coral-floral-princess-handmade-liquid-motion-press-on-long-pipe-nails, friendlyName=365nails: "Coral Floral Princess" – Handmade Liquid Motion Press-On Long Pipe Nails-5.5cm</x:v>
      </x:c>
      <x:c r="D8037" s="18" t="str">
        <x:v>Size: XS / S / M / L</x:v>
      </x:c>
      <x:c r="E8037" s="25" t="str">
        <x:v>$7.99</x:v>
      </x:c>
      <x:c r="F8037" s="19" t="str">
        <x:v>10</x:v>
      </x:c>
    </x:row>
    <x:row r="8038" ht="93" customHeight="1">
      <x:c r="A8038" s="19" t="n">
        <x:v>8035</x:v>
      </x:c>
      <x:c r="B8038" s="22" t="e">
        <x:f>HYPERLINK("https://cdn.shopify.com/s/files/1/0918/6066/4603/files/O1CN01nxVEvM1HlX7cdsZIM__2545140798-0-cib_5d6106e5-c75d-438e-99d8-eb0bb3c1a8d0.jpg?v=1775740501","Open")</x:f>
        <x:v>HYPERLINK is not implemented. linkLocation=https://cdn.shopify.com/s/files/1/0918/6066/4603/files/O1CN01nxVEvM1HlX7cdsZIM__2545140798-0-cib_5d6106e5-c75d-438e-99d8-eb0bb3c1a8d0.jpg?v=1775740501, friendlyName=Open</x:v>
      </x:c>
      <x:c r="C8038" s="24" t="e">
        <x:f>HYPERLINK("https://365nails.com/products/365nails-tomoni-crystal-diamond-embossed-handmade-press-on-nails","365nails: ""Tomoni Crystal Diamond Embossed"" –Nail Art Stickers")</x:f>
        <x:v>HYPERLINK is not implemented. linkLocation=https://365nails.com/products/365nails-tomoni-crystal-diamond-embossed-handmade-press-on-nails, friendlyName=365nails: "Tomoni Crystal Diamond Embossed" –Nail Art Stickers</x:v>
      </x:c>
      <x:c r="D8038" s="18" t="str">
        <x:v>Specification type: To5149-crystal diamond</x:v>
      </x:c>
      <x:c r="E8038" s="25" t="str">
        <x:v>$1.30</x:v>
      </x:c>
      <x:c r="F8038" s="19" t="str">
        <x:v>5</x:v>
      </x:c>
    </x:row>
    <x:row r="8039" ht="93" customHeight="1">
      <x:c r="A8039" s="19" t="n">
        <x:v>8036</x:v>
      </x:c>
      <x:c r="B8039" s="22" t="e">
        <x:f>HYPERLINK("https://cdn.shopify.com/s/files/1/0918/6066/4603/files/3f806b8d9d36a66539d066d6a33f1884.jpg?v=1778239741","Open")</x:f>
        <x:v>HYPERLINK is not implemented. linkLocation=https://cdn.shopify.com/s/files/1/0918/6066/4603/files/3f806b8d9d36a66539d066d6a33f1884.jpg?v=1778239741, friendlyName=Open</x:v>
      </x:c>
      <x:c r="C8039" s="24" t="e">
        <x:f>HYPERLINK("https://365nails.com/products/365nails-gothic-vampire-maiden-handmade-liquid-motion-press-on-long-pipe-nails","365nails: ""Gothic Vampire Maiden"" – Handmade Liquid Motion Press-On Long Pipe Nails-5.5cm")</x:f>
        <x:v>HYPERLINK is not implemented. linkLocation=https://365nails.com/products/365nails-gothic-vampire-maiden-handmade-liquid-motion-press-on-long-pipe-nails, friendlyName=365nails: "Gothic Vampire Maiden" – Handmade Liquid Motion Press-On Long Pipe Nails-5.5cm</x:v>
      </x:c>
      <x:c r="D8039" s="18" t="str">
        <x:v>Size: XS / S / M / L</x:v>
      </x:c>
      <x:c r="E8039" s="25" t="str">
        <x:v>$7.99</x:v>
      </x:c>
      <x:c r="F8039" s="19" t="str">
        <x:v>10</x:v>
      </x:c>
    </x:row>
    <x:row r="8040" ht="93" customHeight="1">
      <x:c r="A8040" s="19" t="n">
        <x:v>8037</x:v>
      </x:c>
      <x:c r="B8040" s="22" t="e">
        <x:f>HYPERLINK("https://cdn.shopify.com/s/files/1/0918/6066/4603/files/b6e82e701240697fa0bff553fe584e7f.jpg?v=1777776777","Open")</x:f>
        <x:v>HYPERLINK is not implemented. linkLocation=https://cdn.shopify.com/s/files/1/0918/6066/4603/files/b6e82e701240697fa0bff553fe584e7f.jpg?v=1777776777, friendlyName=Open</x:v>
      </x:c>
      <x:c r="C8040" s="24" t="e">
        <x:f>HYPERLINK("https://365nails.com/products/365nails-y2k-pink-purple-snake-star-handmade-long-trapezoid-press-on-nails","365nails: ""Y2K Pink Purple Snake Star"" – Handmade Long Trapezoid Press-On Nails")</x:f>
        <x:v>HYPERLINK is not implemented. linkLocation=https://365nails.com/products/365nails-y2k-pink-purple-snake-star-handmade-long-trapezoid-press-on-nails, friendlyName=365nails: "Y2K Pink Purple Snake Star" – Handmade Long Trapezoid Press-On Nails</x:v>
      </x:c>
      <x:c r="D8040" s="18" t="str">
        <x:v>Size: XS / S / M / L</x:v>
      </x:c>
      <x:c r="E8040" s="25" t="str">
        <x:v>$5.99</x:v>
      </x:c>
      <x:c r="F8040" s="19" t="str">
        <x:v>5</x:v>
      </x:c>
    </x:row>
    <x:row r="8041" ht="93" customHeight="1">
      <x:c r="A8041" s="19" t="n">
        <x:v>8038</x:v>
      </x:c>
      <x:c r="B8041" s="22" t="e">
        <x:f>HYPERLINK("https://cdn.shopify.com/s/files/1/0918/6066/4603/files/9e082d5a961e8a40b4a5cf0549506597.jpg?v=1778239582","Open")</x:f>
        <x:v>HYPERLINK is not implemented. linkLocation=https://cdn.shopify.com/s/files/1/0918/6066/4603/files/9e082d5a961e8a40b4a5cf0549506597.jpg?v=1778239582, friendlyName=Open</x:v>
      </x:c>
      <x:c r="C8041" s="24" t="e">
        <x:f>HYPERLINK("https://365nails.com/products/365nails-bohemian-floral-maiden-handmade-liquid-motion-press-on-long-pipe-nails","365nails: ""Bohemian Floral Maiden"" – Handmade Liquid Motion Press-On Long Pipe Nails-5.5cm")</x:f>
        <x:v>HYPERLINK is not implemented. linkLocation=https://365nails.com/products/365nails-bohemian-floral-maiden-handmade-liquid-motion-press-on-long-pipe-nails, friendlyName=365nails: "Bohemian Floral Maiden" – Handmade Liquid Motion Press-On Long Pipe Nails-5.5cm</x:v>
      </x:c>
      <x:c r="D8041" s="18" t="str">
        <x:v>Size: XS / S / M / L</x:v>
      </x:c>
      <x:c r="E8041" s="25" t="str">
        <x:v>$7.99</x:v>
      </x:c>
      <x:c r="F8041" s="19" t="str">
        <x:v>10</x:v>
      </x:c>
    </x:row>
    <x:row r="8042" ht="93" customHeight="1">
      <x:c r="A8042" s="19" t="n">
        <x:v>8039</x:v>
      </x:c>
      <x:c r="B8042" s="22" t="e">
        <x:f>HYPERLINK("https://cdn.shopify.com/s/files/1/0918/6066/4603/files/a3e722c215e59bb8130323f03c74ab32.jpg?v=1778237639","Open")</x:f>
        <x:v>HYPERLINK is not implemented. linkLocation=https://cdn.shopify.com/s/files/1/0918/6066/4603/files/a3e722c215e59bb8130323f03c74ab32.jpg?v=1778237639, friendlyName=Open</x:v>
      </x:c>
      <x:c r="C8042" s="24" t="e">
        <x:f>HYPERLINK("https://365nails.com/products/365nails-ocean-mermaid-princess-handmade-floral-liquid-motion-press-on-long-pipe-nails","365nails: ""Ocean Mermaid Princess"" – Handmade Floral Liquid Motion Press-On Long Pipe Nails-5.5cm")</x:f>
        <x:v>HYPERLINK is not implemented. linkLocation=https://365nails.com/products/365nails-ocean-mermaid-princess-handmade-floral-liquid-motion-press-on-long-pipe-nails, friendlyName=365nails: "Ocean Mermaid Princess" – Handmade Floral Liquid Motion Press-On Long Pipe Nails-5.5cm</x:v>
      </x:c>
      <x:c r="D8042" s="18" t="str">
        <x:v>Size: XS / S / M / L</x:v>
      </x:c>
      <x:c r="E8042" s="25" t="str">
        <x:v>$7.99</x:v>
      </x:c>
      <x:c r="F8042" s="19" t="str">
        <x:v>10</x:v>
      </x:c>
    </x:row>
    <x:row r="8043" ht="93" customHeight="1">
      <x:c r="A8043" s="19" t="n">
        <x:v>8040</x:v>
      </x:c>
      <x:c r="B8043" s="22" t="e">
        <x:f>HYPERLINK("https://cdn.shopify.com/s/files/1/0918/6066/4603/files/2a940e4d4790c00cc0a778b58623475c.jpg?v=1778238365","Open")</x:f>
        <x:v>HYPERLINK is not implemented. linkLocation=https://cdn.shopify.com/s/files/1/0918/6066/4603/files/2a940e4d4790c00cc0a778b58623475c.jpg?v=1778238365, friendlyName=Open</x:v>
      </x:c>
      <x:c r="C8043" s="24" t="e">
        <x:f>HYPERLINK("https://365nails.com/products/365nails-wild-gothic-vixen-handmade-liquid-motion-press-on-long-pipe-nails","365nails: ""Wild Gothic Vixen"" – Handmade Liquid Motion Press-On Long Pipe Nails-5.5cm")</x:f>
        <x:v>HYPERLINK is not implemented. linkLocation=https://365nails.com/products/365nails-wild-gothic-vixen-handmade-liquid-motion-press-on-long-pipe-nails, friendlyName=365nails: "Wild Gothic Vixen" – Handmade Liquid Motion Press-On Long Pipe Nails-5.5cm</x:v>
      </x:c>
      <x:c r="D8043" s="18" t="str">
        <x:v>Size: XS / S / M / L</x:v>
      </x:c>
      <x:c r="E8043" s="25" t="str">
        <x:v>$7.99</x:v>
      </x:c>
      <x:c r="F8043" s="19" t="str">
        <x:v>10</x:v>
      </x:c>
    </x:row>
    <x:row r="8044" ht="93" customHeight="1">
      <x:c r="A8044" s="19" t="n">
        <x:v>8041</x:v>
      </x:c>
      <x:c r="B8044" s="22" t="e">
        <x:f>HYPERLINK("https://cdn.shopify.com/s/files/1/0918/6066/4603/files/2e5b0523abc1a08fdefa70776ae45fc9.jpg?v=1778238053","Open")</x:f>
        <x:v>HYPERLINK is not implemented. linkLocation=https://cdn.shopify.com/s/files/1/0918/6066/4603/files/2e5b0523abc1a08fdefa70776ae45fc9.jpg?v=1778238053, friendlyName=Open</x:v>
      </x:c>
      <x:c r="C8044" s="24" t="e">
        <x:f>HYPERLINK("https://365nails.com/products/365nails-pink-plaid-bunny-doll-handmade-floral-liquid-motion-press-on-long-pipe-nails","365nails: ""Pink Plaid Bunny Doll"" – Handmade Floral Liquid Motion Press-On Long Pipe Nails-5.5cm")</x:f>
        <x:v>HYPERLINK is not implemented. linkLocation=https://365nails.com/products/365nails-pink-plaid-bunny-doll-handmade-floral-liquid-motion-press-on-long-pipe-nails, friendlyName=365nails: "Pink Plaid Bunny Doll" – Handmade Floral Liquid Motion Press-On Long Pipe Nails-5.5cm</x:v>
      </x:c>
      <x:c r="D8044" s="18" t="str">
        <x:v>Size: XS / S / M / L</x:v>
      </x:c>
      <x:c r="E8044" s="25" t="str">
        <x:v>$7.99</x:v>
      </x:c>
      <x:c r="F8044" s="19" t="str">
        <x:v>10</x:v>
      </x:c>
    </x:row>
    <x:row r="8045" ht="93" customHeight="1">
      <x:c r="A8045" s="19" t="n">
        <x:v>8042</x:v>
      </x:c>
      <x:c r="B8045" s="22" t="e">
        <x:f>HYPERLINK("https://cdn.shopify.com/s/files/1/0918/6066/4603/files/889ad3c341988affe4873d18f1fa378d.jpg?v=1778238629","Open")</x:f>
        <x:v>HYPERLINK is not implemented. linkLocation=https://cdn.shopify.com/s/files/1/0918/6066/4603/files/889ad3c341988affe4873d18f1fa378d.jpg?v=1778238629, friendlyName=Open</x:v>
      </x:c>
      <x:c r="C8045" s="24" t="e">
        <x:f>HYPERLINK("https://365nails.com/products/365nails-snakeskin-crystal-diva-handmade-liquid-motion-press-on-long-pipe-nails","365nails: ""Snakeskin Crystal Diva"" – Handmade Liquid Motion Press-On Long Pipe Nails-5.5cm")</x:f>
        <x:v>HYPERLINK is not implemented. linkLocation=https://365nails.com/products/365nails-snakeskin-crystal-diva-handmade-liquid-motion-press-on-long-pipe-nails, friendlyName=365nails: "Snakeskin Crystal Diva" – Handmade Liquid Motion Press-On Long Pipe Nails-5.5cm</x:v>
      </x:c>
      <x:c r="D8045" s="18" t="str">
        <x:v>Size: XS / S / M / L</x:v>
      </x:c>
      <x:c r="E8045" s="25" t="str">
        <x:v>$7.99</x:v>
      </x:c>
      <x:c r="F8045" s="19" t="str">
        <x:v>10</x:v>
      </x:c>
    </x:row>
    <x:row r="8046" ht="93" customHeight="1">
      <x:c r="A8046" s="19" t="n">
        <x:v>8043</x:v>
      </x:c>
      <x:c r="B8046" s="22" t="e">
        <x:f>HYPERLINK("https://cdn.shopify.com/s/files/1/0918/6066/4603/files/9ceba0bdb5af166b29883748f6109a87.jpg?v=1778237960","Open")</x:f>
        <x:v>HYPERLINK is not implemented. linkLocation=https://cdn.shopify.com/s/files/1/0918/6066/4603/files/9ceba0bdb5af166b29883748f6109a87.jpg?v=1778237960, friendlyName=Open</x:v>
      </x:c>
      <x:c r="C8046" s="24" t="e">
        <x:f>HYPERLINK("https://365nails.com/products/365nails-dark-anime-rebel-handmade-liquid-motion-press-on-long-pipe-nails","365nails: ""Dark Anime Rebel"" – Handmade Liquid Motion Press-On Long Pipe Nails-5.5cm")</x:f>
        <x:v>HYPERLINK is not implemented. linkLocation=https://365nails.com/products/365nails-dark-anime-rebel-handmade-liquid-motion-press-on-long-pipe-nails, friendlyName=365nails: "Dark Anime Rebel" – Handmade Liquid Motion Press-On Long Pipe Nails-5.5cm</x:v>
      </x:c>
      <x:c r="D8046" s="18" t="str">
        <x:v>Size: XS / S / M / L</x:v>
      </x:c>
      <x:c r="E8046" s="25" t="str">
        <x:v>$7.99</x:v>
      </x:c>
      <x:c r="F8046" s="19" t="str">
        <x:v>10</x:v>
      </x:c>
    </x:row>
    <x:row r="8047" ht="93" customHeight="1">
      <x:c r="A8047" s="19" t="n">
        <x:v>8044</x:v>
      </x:c>
      <x:c r="B8047" s="22" t="e">
        <x:f>HYPERLINK("https://cdn.shopify.com/s/files/1/0918/6066/4603/files/2214d2ab9d020601e26f2423a204babf.jpg?v=1778238702","Open")</x:f>
        <x:v>HYPERLINK is not implemented. linkLocation=https://cdn.shopify.com/s/files/1/0918/6066/4603/files/2214d2ab9d020601e26f2423a204babf.jpg?v=1778238702, friendlyName=Open</x:v>
      </x:c>
      <x:c r="C8047" s="24" t="e">
        <x:f>HYPERLINK("https://365nails.com/products/365nails-traditional-opera-maiden-handmade-liquid-motion-press-on-long-pipe-nails","365nails: ""Traditional Opera Maiden"" – Handmade Liquid Motion Press-On Long Pipe Nails-5.5cm")</x:f>
        <x:v>HYPERLINK is not implemented. linkLocation=https://365nails.com/products/365nails-traditional-opera-maiden-handmade-liquid-motion-press-on-long-pipe-nails, friendlyName=365nails: "Traditional Opera Maiden" – Handmade Liquid Motion Press-On Long Pipe Nails-5.5cm</x:v>
      </x:c>
      <x:c r="D8047" s="18" t="str">
        <x:v>Size: XS / S / M / L</x:v>
      </x:c>
      <x:c r="E8047" s="25" t="str">
        <x:v>$7.99</x:v>
      </x:c>
      <x:c r="F8047" s="19" t="str">
        <x:v>10</x:v>
      </x:c>
    </x:row>
    <x:row r="8048" ht="93" customHeight="1">
      <x:c r="A8048" s="19" t="n">
        <x:v>8045</x:v>
      </x:c>
      <x:c r="B8048" s="22" t="e">
        <x:f>HYPERLINK("https://cdn.shopify.com/s/files/1/0918/6066/4603/files/8d8e878780e97477135fc2a889ea65c2.jpg?v=1778238429","Open")</x:f>
        <x:v>HYPERLINK is not implemented. linkLocation=https://cdn.shopify.com/s/files/1/0918/6066/4603/files/8d8e878780e97477135fc2a889ea65c2.jpg?v=1778238429, friendlyName=Open</x:v>
      </x:c>
      <x:c r="C8048" s="24" t="e">
        <x:f>HYPERLINK("https://365nails.com/products/365nails-lavender-cinnamoroll-doll-handmade-kawaii-liquid-motion-press-on-long-pipe-nails","365nails: ""Lavender Cinnamoroll Doll"" – Handmade Kawaii Liquid Motion Press-On Long Pipe Nails-5.5cm")</x:f>
        <x:v>HYPERLINK is not implemented. linkLocation=https://365nails.com/products/365nails-lavender-cinnamoroll-doll-handmade-kawaii-liquid-motion-press-on-long-pipe-nails, friendlyName=365nails: "Lavender Cinnamoroll Doll" – Handmade Kawaii Liquid Motion Press-On Long Pipe Nails-5.5cm</x:v>
      </x:c>
      <x:c r="D8048" s="18" t="str">
        <x:v>Size: XS / S / M / L</x:v>
      </x:c>
      <x:c r="E8048" s="25" t="str">
        <x:v>$7.99</x:v>
      </x:c>
      <x:c r="F8048" s="19" t="str">
        <x:v>10</x:v>
      </x:c>
    </x:row>
    <x:row r="8049" ht="93" customHeight="1">
      <x:c r="A8049" s="19" t="n">
        <x:v>8046</x:v>
      </x:c>
      <x:c r="B8049" s="22" t="e">
        <x:f>HYPERLINK("https://cdn.shopify.com/s/files/1/0918/6066/4603/files/7ba6ae0d371505ef47a0fcf1ae595d23.jpg?v=1778236804","Open")</x:f>
        <x:v>HYPERLINK is not implemented. linkLocation=https://cdn.shopify.com/s/files/1/0918/6066/4603/files/7ba6ae0d371505ef47a0fcf1ae595d23.jpg?v=1778236804, friendlyName=Open</x:v>
      </x:c>
      <x:c r="C8049" s="24" t="e">
        <x:f>HYPERLINK("https://365nails.com/products/365nails-pastel-unicorn-princess-handmade-floral-liquid-motion-press-on-long-pipe-nails","365nails: ""Pastel Unicorn Princess"" – Handmade Floral Liquid Motion Press-On Long Pipe Nails-5.5cm")</x:f>
        <x:v>HYPERLINK is not implemented. linkLocation=https://365nails.com/products/365nails-pastel-unicorn-princess-handmade-floral-liquid-motion-press-on-long-pipe-nails, friendlyName=365nails: "Pastel Unicorn Princess" – Handmade Floral Liquid Motion Press-On Long Pipe Nails-5.5cm</x:v>
      </x:c>
      <x:c r="D8049" s="18" t="str">
        <x:v>Size: XS / S / M / L</x:v>
      </x:c>
      <x:c r="E8049" s="25" t="str">
        <x:v>$7.99</x:v>
      </x:c>
      <x:c r="F8049" s="19" t="str">
        <x:v>10</x:v>
      </x:c>
    </x:row>
    <x:row r="8050" ht="93" customHeight="1">
      <x:c r="A8050" s="19" t="n">
        <x:v>8047</x:v>
      </x:c>
      <x:c r="B8050" s="22" t="e">
        <x:f>HYPERLINK("https://cdn.shopify.com/s/files/1/0918/6066/4603/files/e3871449435649a4cf86d4ec3a99d79c.jpg?v=1778238769","Open")</x:f>
        <x:v>HYPERLINK is not implemented. linkLocation=https://cdn.shopify.com/s/files/1/0918/6066/4603/files/e3871449435649a4cf86d4ec3a99d79c.jpg?v=1778238769, friendlyName=Open</x:v>
      </x:c>
      <x:c r="C8050" s="24" t="e">
        <x:f>HYPERLINK("https://365nails.com/products/365nails-pastel-hanfu-maiden-handmade-liquid-motion-press-on-long-pipe-nails","365nails: ""Pastel Hanfu Maiden"" – Handmade Liquid Motion Press-On Long Pipe Nails-5.5cm")</x:f>
        <x:v>HYPERLINK is not implemented. linkLocation=https://365nails.com/products/365nails-pastel-hanfu-maiden-handmade-liquid-motion-press-on-long-pipe-nails, friendlyName=365nails: "Pastel Hanfu Maiden" – Handmade Liquid Motion Press-On Long Pipe Nails-5.5cm</x:v>
      </x:c>
      <x:c r="D8050" s="18" t="str">
        <x:v>Size: XS / S / M / L</x:v>
      </x:c>
      <x:c r="E8050" s="25" t="str">
        <x:v>$7.99</x:v>
      </x:c>
      <x:c r="F8050" s="19" t="str">
        <x:v>10</x:v>
      </x:c>
    </x:row>
    <x:row r="8051" ht="93" customHeight="1">
      <x:c r="A8051" s="19" t="n">
        <x:v>8048</x:v>
      </x:c>
      <x:c r="B8051" s="22" t="e">
        <x:f>HYPERLINK("https://cdn.shopify.com/s/files/1/0918/6066/4603/files/bbdbedea3115e48c17a3b7b626726d3a.jpg?v=1778238303","Open")</x:f>
        <x:v>HYPERLINK is not implemented. linkLocation=https://cdn.shopify.com/s/files/1/0918/6066/4603/files/bbdbedea3115e48c17a3b7b626726d3a.jpg?v=1778238303, friendlyName=Open</x:v>
      </x:c>
      <x:c r="C8051" s="24" t="e">
        <x:f>HYPERLINK("https://365nails.com/products/365nails-leopard-goddess-glam-handmade-liquid-motion-press-on-long-pipe-nails","365nails: ""Leopard Goddess Glam"" – Handmade Liquid Motion Press-On Long Pipe Nails-5.5cm")</x:f>
        <x:v>HYPERLINK is not implemented. linkLocation=https://365nails.com/products/365nails-leopard-goddess-glam-handmade-liquid-motion-press-on-long-pipe-nails, friendlyName=365nails: "Leopard Goddess Glam" – Handmade Liquid Motion Press-On Long Pipe Nails-5.5cm</x:v>
      </x:c>
      <x:c r="D8051" s="18" t="str">
        <x:v>Size: XS / S / M / L</x:v>
      </x:c>
      <x:c r="E8051" s="25" t="str">
        <x:v>$7.99</x:v>
      </x:c>
      <x:c r="F8051" s="19" t="str">
        <x:v>10</x:v>
      </x:c>
    </x:row>
    <x:row r="8052" ht="93" customHeight="1">
      <x:c r="A8052" s="19" t="n">
        <x:v>8049</x:v>
      </x:c>
      <x:c r="B8052" s="22" t="e">
        <x:f>HYPERLINK("https://cdn.shopify.com/s/files/1/0918/6066/4603/files/4f28f3d9e75c9c8db98c551a4cfcf5ad.jpg?v=1778238204","Open")</x:f>
        <x:v>HYPERLINK is not implemented. linkLocation=https://cdn.shopify.com/s/files/1/0918/6066/4603/files/4f28f3d9e75c9c8db98c551a4cfcf5ad.jpg?v=1778238204, friendlyName=Open</x:v>
      </x:c>
      <x:c r="C8052" s="24" t="e">
        <x:f>HYPERLINK("https://365nails.com/products/365nails-vintage-oriental-maiden-handmade-floral-liquid-motion-press-on-long-pipe-nails","365nails: ""Vintage Oriental Maiden"" – Handmade Floral Liquid Motion Press-On Long Pipe Nails-5.5cm")</x:f>
        <x:v>HYPERLINK is not implemented. linkLocation=https://365nails.com/products/365nails-vintage-oriental-maiden-handmade-floral-liquid-motion-press-on-long-pipe-nails, friendlyName=365nails: "Vintage Oriental Maiden" – Handmade Floral Liquid Motion Press-On Long Pipe Nails-5.5cm</x:v>
      </x:c>
      <x:c r="D8052" s="18" t="str">
        <x:v>Size: XS / S / M / L</x:v>
      </x:c>
      <x:c r="E8052" s="25" t="str">
        <x:v>$7.99</x:v>
      </x:c>
      <x:c r="F8052" s="19" t="str">
        <x:v>10</x:v>
      </x:c>
    </x:row>
    <x:row r="8053" ht="93" customHeight="1">
      <x:c r="A8053" s="19" t="n">
        <x:v>8050</x:v>
      </x:c>
      <x:c r="B8053" s="22" t="e">
        <x:f>HYPERLINK("https://cdn.shopify.com/s/files/1/0918/6066/4603/files/600c7c9e6b5cdd361ec35d2401fdcc23.jpg?v=1775222172","Open")</x:f>
        <x:v>HYPERLINK is not implemented. linkLocation=https://cdn.shopify.com/s/files/1/0918/6066/4603/files/600c7c9e6b5cdd361ec35d2401fdcc23.jpg?v=1775222172, friendlyName=Open</x:v>
      </x:c>
      <x:c r="C8053" s="24" t="e">
        <x:f>HYPERLINK("https://365nails.com/products/wild-elegance-leopard-french-long-stiletto-press-on-nails","Wild Elegance: ""Leopard French"" – Long Stiletto Press-on Nails")</x:f>
        <x:v>HYPERLINK is not implemented. linkLocation=https://365nails.com/products/wild-elegance-leopard-french-long-stiletto-press-on-nails, friendlyName=Wild Elegance: "Leopard French" – Long Stiletto Press-on Nails</x:v>
      </x:c>
      <x:c r="D8053" s="18" t="str">
        <x:v>Size: XS / S / M / L</x:v>
      </x:c>
      <x:c r="E8053" s="25" t="str">
        <x:v>$3.99</x:v>
      </x:c>
      <x:c r="F8053" s="19" t="str">
        <x:v>3</x:v>
      </x:c>
    </x:row>
    <x:row r="8054" ht="93" customHeight="1">
      <x:c r="A8054" s="19" t="n">
        <x:v>8051</x:v>
      </x:c>
      <x:c r="B8054" s="22" t="e">
        <x:f>HYPERLINK("https://cdn.shopify.com/s/files/1/0918/6066/4603/files/O1CN01xoDoaa1HlXARRysLy__2545140798-0-cib.jpg?v=1773484403","Open")</x:f>
        <x:v>HYPERLINK is not implemented. linkLocation=https://cdn.shopify.com/s/files/1/0918/6066/4603/files/O1CN01xoDoaa1HlXARRysLy__2545140798-0-cib.jpg?v=1773484403, friendlyName=Open</x:v>
      </x:c>
      <x:c r="C8054" s="24" t="e">
        <x:f>HYPERLINK("https://365nails.com/products/knit-texture-collection-cozy-knit-3d-embossed-nail-sticker","Knit Texture Collection: ""Cozy Knit"" – 3D Embossed Nail Sticker")</x:f>
        <x:v>HYPERLINK is not implemented. linkLocation=https://365nails.com/products/knit-texture-collection-cozy-knit-3d-embossed-nail-sticker, friendlyName=Knit Texture Collection: "Cozy Knit" – 3D Embossed Nail Sticker</x:v>
      </x:c>
      <x:c r="D8054" s="18" t="str">
        <x:v>Specification type: To5430-relief / To5431-relief / To5432-relief / To5433-relief</x:v>
      </x:c>
      <x:c r="E8054" s="25" t="str">
        <x:v>$1.23</x:v>
      </x:c>
      <x:c r="F8054" s="19" t="str">
        <x:v>5</x:v>
      </x:c>
    </x:row>
    <x:row r="8055" ht="93" customHeight="1">
      <x:c r="A8055" s="19" t="n">
        <x:v>8052</x:v>
      </x:c>
      <x:c r="B8055" s="22" t="e">
        <x:f>HYPERLINK("https://cdn.shopify.com/s/files/1/0918/6066/4603/files/8f9cb151c6f60fa11e2310d14e70130e.jpg?v=1768892446","Open")</x:f>
        <x:v>HYPERLINK is not implemented. linkLocation=https://cdn.shopify.com/s/files/1/0918/6066/4603/files/8f9cb151c6f60fa11e2310d14e70130e.jpg?v=1768892446, friendlyName=Open</x:v>
      </x:c>
      <x:c r="C8055" s="24" t="e">
        <x:f>HYPERLINK("https://365nails.com/products/wild-pink-leopard-matte-stiletto-dragon-nails-spotted-dragon-egg-texture-y2k-style","Wild Pink Leopard Matte Stiletto Dragon Nails｜Spotted Dragon Egg Texture (Y2K Style)")</x:f>
        <x:v>HYPERLINK is not implemented. linkLocation=https://365nails.com/products/wild-pink-leopard-matte-stiletto-dragon-nails-spotted-dragon-egg-texture-y2k-style, friendlyName=Wild Pink Leopard Matte Stiletto Dragon Nails｜Spotted Dragon Egg Texture (Y2K Style)</x:v>
      </x:c>
      <x:c r="D8055" s="18" t="str">
        <x:v>Size: XS / S / M / L; length: 25mm / 40mm</x:v>
      </x:c>
      <x:c r="E8055" s="25" t="str">
        <x:v>$9.99</x:v>
      </x:c>
      <x:c r="F8055" s="19" t="str">
        <x:v>1</x:v>
      </x:c>
    </x:row>
    <x:row r="8056" ht="93" customHeight="1">
      <x:c r="A8056" s="19" t="n">
        <x:v>8053</x:v>
      </x:c>
      <x:c r="B8056" s="22" t="e">
        <x:f>HYPERLINK("https://cdn.shopify.com/s/files/1/0918/6066/4603/files/9751b538deb4aa8db9c87982a1d47fb5.jpg?v=1774081063","Open")</x:f>
        <x:v>HYPERLINK is not implemented. linkLocation=https://cdn.shopify.com/s/files/1/0918/6066/4603/files/9751b538deb4aa8db9c87982a1d47fb5.jpg?v=1774081063, friendlyName=Open</x:v>
      </x:c>
      <x:c r="C8056" s="24" t="e">
        <x:f>HYPERLINK("https://365nails.com/products/cosmic-fatale-deer-print-dusk-long-sharp-stiletto-handmade-press-on-nails","Cosmic Fatale: ""Deer Print Dusk"" – Long Sharp Stiletto Handmade Press On Nails")</x:f>
        <x:v>HYPERLINK is not implemented. linkLocation=https://365nails.com/products/cosmic-fatale-deer-print-dusk-long-sharp-stiletto-handmade-press-on-nails, friendlyName=Cosmic Fatale: "Deer Print Dusk" – Long Sharp Stiletto Handmade Press On Nails</x:v>
      </x:c>
      <x:c r="D8056" s="18" t="str">
        <x:v>Size: XS / S / M / L</x:v>
      </x:c>
      <x:c r="E8056" s="25" t="str">
        <x:v>$3.99</x:v>
      </x:c>
      <x:c r="F8056" s="19" t="str">
        <x:v>5</x:v>
      </x:c>
    </x:row>
    <x:row r="8057" ht="93" customHeight="1">
      <x:c r="A8057" s="19" t="n">
        <x:v>8054</x:v>
      </x:c>
      <x:c r="B8057" s="22" t="e">
        <x:f>HYPERLINK("https://cdn.shopify.com/s/files/1/0918/6066/4603/files/7ba1473eee32c40bd8ac7749293ec329.jpg?v=1768964551","Open")</x:f>
        <x:v>HYPERLINK is not implemented. linkLocation=https://cdn.shopify.com/s/files/1/0918/6066/4603/files/7ba1473eee32c40bd8ac7749293ec329.jpg?v=1768964551, friendlyName=Open</x:v>
      </x:c>
      <x:c r="C8057" s="24" t="e">
        <x:f>HYPERLINK("https://365nails.com/products/galactic-dream-aurora-unicorn-multi-color-pink-purple-blue-swirl-gold-line-nails-handmade-smudge-series","Galactic Dream &amp; Aurora Unicorn Multi-Color Pink Purple Blue Swirl Gold Line Nails ｜ Handmade Smudge Series(moq=30)")</x:f>
        <x:v>HYPERLINK is not implemented. linkLocation=https://365nails.com/products/galactic-dream-aurora-unicorn-multi-color-pink-purple-blue-swirl-gold-line-nails-handmade-smudge-series, friendlyName=Galactic Dream &amp; Aurora Unicorn Multi-Color Pink Purple Blue Swirl Gold Line Nails ｜ Handmade Smudge Series(moq=30)</x:v>
      </x:c>
      <x:c r="D8057" s="18" t="str">
        <x:v>Size: XS / S / M / L</x:v>
      </x:c>
      <x:c r="E8057" s="25" t="str">
        <x:v>$2.99</x:v>
      </x:c>
      <x:c r="F8057" s="19" t="str">
        <x:v>30</x:v>
      </x:c>
    </x:row>
    <x:row r="8058" ht="93" customHeight="1">
      <x:c r="A8058" s="19" t="n">
        <x:v>8055</x:v>
      </x:c>
      <x:c r="B8058" s="22" t="e">
        <x:f>HYPERLINK("https://cdn.shopify.com/s/files/1/0918/6066/4603/files/71588f6b861a71af5a1410cab1de2d10.jpg?v=1777780708","Open")</x:f>
        <x:v>HYPERLINK is not implemented. linkLocation=https://cdn.shopify.com/s/files/1/0918/6066/4603/files/71588f6b861a71af5a1410cab1de2d10.jpg?v=1777780708, friendlyName=Open</x:v>
      </x:c>
      <x:c r="C8058" s="24" t="e">
        <x:f>HYPERLINK("https://365nails.com/products/365nails-silver-red-3d-medium-handmade-medium-stiletto-press-on-nails","365nails: ""Silver Red 3D Medium"" – Handmade Medium Stiletto Press-On Nails")</x:f>
        <x:v>HYPERLINK is not implemented. linkLocation=https://365nails.com/products/365nails-silver-red-3d-medium-handmade-medium-stiletto-press-on-nails, friendlyName=365nails: "Silver Red 3D Medium" – Handmade Medium Stiletto Press-On Nails</x:v>
      </x:c>
      <x:c r="D8058" s="18" t="str">
        <x:v>Size: XS / S / M / L</x:v>
      </x:c>
      <x:c r="E8058" s="25" t="str">
        <x:v>$4.49</x:v>
      </x:c>
      <x:c r="F8058" s="19" t="str">
        <x:v>5</x:v>
      </x:c>
    </x:row>
    <x:row r="8059" ht="93" customHeight="1">
      <x:c r="A8059" s="19" t="n">
        <x:v>8056</x:v>
      </x:c>
      <x:c r="B8059" s="22" t="e">
        <x:f>HYPERLINK("https://cdn.shopify.com/s/files/1/0918/6066/4603/files/837157894f3dff073718517a587c3959.jpg?v=1768975000","Open")</x:f>
        <x:v>HYPERLINK is not implemented. linkLocation=https://cdn.shopify.com/s/files/1/0918/6066/4603/files/837157894f3dff073718517a587c3959.jpg?v=1768975000, friendlyName=Open</x:v>
      </x:c>
      <x:c r="C8059" s="24" t="e">
        <x:f>HYPERLINK("https://365nails.com/products/midnight-galaxy-abyss-magic-gothic-black-purple-gold-swirl-nails-handmade-smudge-series","Midnight Galaxy &amp; Abyss Magic Gothic Black Purple Gold Swirl Nails ｜ Handmade Smudge Series(moq=30)")</x:f>
        <x:v>HYPERLINK is not implemented. linkLocation=https://365nails.com/products/midnight-galaxy-abyss-magic-gothic-black-purple-gold-swirl-nails-handmade-smudge-series, friendlyName=Midnight Galaxy &amp; Abyss Magic Gothic Black Purple Gold Swirl Nails ｜ Handmade Smudge Series(moq=30)</x:v>
      </x:c>
      <x:c r="D8059" s="18" t="str">
        <x:v>Size: XS / S / M / L</x:v>
      </x:c>
      <x:c r="E8059" s="25" t="str">
        <x:v>$2.99</x:v>
      </x:c>
      <x:c r="F8059" s="19" t="str">
        <x:v>30</x:v>
      </x:c>
    </x:row>
    <x:row r="8060" ht="93" customHeight="1">
      <x:c r="A8060" s="19" t="n">
        <x:v>8057</x:v>
      </x:c>
      <x:c r="B8060" s="22" t="e">
        <x:f>HYPERLINK("https://cdn.shopify.com/s/files/1/0918/6066/4603/files/a81fecadf087745b55de2c5d635ea002.jpg?v=1768896158","Open")</x:f>
        <x:v>HYPERLINK is not implemented. linkLocation=https://cdn.shopify.com/s/files/1/0918/6066/4603/files/a81fecadf087745b55de2c5d635ea002.jpg?v=1768896158, friendlyName=Open</x:v>
      </x:c>
      <x:c r="C8060" s="24" t="e">
        <x:f>HYPERLINK("https://365nails.com/products/handmade-smudge-series-mint-chocolate-vintage-matcha-sage-green-cocoa-swirl-nails","Mint Chocolate &amp; Vintage Matcha / Sage Green &amp; Cocoa Swirl Nails｜Handmade Smudge Series(moq=30)")</x:f>
        <x:v>HYPERLINK is not implemented. linkLocation=https://365nails.com/products/handmade-smudge-series-mint-chocolate-vintage-matcha-sage-green-cocoa-swirl-nails, friendlyName=Mint Chocolate &amp; Vintage Matcha / Sage Green &amp; Cocoa Swirl Nails｜Handmade Smudge Series(moq=30)</x:v>
      </x:c>
      <x:c r="D8060" s="18" t="str">
        <x:v>Size: XS / S / M / L</x:v>
      </x:c>
      <x:c r="E8060" s="25" t="str">
        <x:v>$2.99</x:v>
      </x:c>
      <x:c r="F8060" s="19" t="str">
        <x:v>30</x:v>
      </x:c>
    </x:row>
    <x:row r="8061" ht="93" customHeight="1">
      <x:c r="A8061" s="19" t="n">
        <x:v>8058</x:v>
      </x:c>
      <x:c r="B8061" s="22" t="e">
        <x:f>HYPERLINK("https://cdn.shopify.com/s/files/1/0918/6066/4603/files/878bdb548cbd75532b7b13fda810f729_bedbfe2b-0bf3-4376-babe-c84d174c641c.jpg?v=1768974989","Open")</x:f>
        <x:v>HYPERLINK is not implemented. linkLocation=https://cdn.shopify.com/s/files/1/0918/6066/4603/files/878bdb548cbd75532b7b13fda810f729_bedbfe2b-0bf3-4376-babe-c84d174c641c.jpg?v=1768974989, friendlyName=Open</x:v>
      </x:c>
      <x:c r="C8061" s="24" t="e">
        <x:f>HYPERLINK("https://365nails.com/products/sea-salt-breeze-mint-cream-top-clear-blue-green-watercolor-nails-handmade-smudge-series","Sea Salt Breeze &amp; Mint Cream Top Clear Blue-Green Watercolor Nails ｜ Handmade Smudge Series(moq=30)")</x:f>
        <x:v>HYPERLINK is not implemented. linkLocation=https://365nails.com/products/sea-salt-breeze-mint-cream-top-clear-blue-green-watercolor-nails-handmade-smudge-series, friendlyName=Sea Salt Breeze &amp; Mint Cream Top Clear Blue-Green Watercolor Nails ｜ Handmade Smudge Series(moq=30)</x:v>
      </x:c>
      <x:c r="D8061" s="18" t="str">
        <x:v>Size: XS / S / M / L</x:v>
      </x:c>
      <x:c r="E8061" s="25" t="str">
        <x:v>$2.99</x:v>
      </x:c>
      <x:c r="F8061" s="19" t="str">
        <x:v>30</x:v>
      </x:c>
    </x:row>
    <x:row r="8062" ht="93" customHeight="1">
      <x:c r="A8062" s="19" t="n">
        <x:v>8059</x:v>
      </x:c>
      <x:c r="B8062" s="22" t="e">
        <x:f>HYPERLINK("https://cdn.shopify.com/s/files/1/0918/6066/4603/files/15e1990fb47e2095a4ed1213d30ef6d1.jpg?v=1768966726","Open")</x:f>
        <x:v>HYPERLINK is not implemented. linkLocation=https://cdn.shopify.com/s/files/1/0918/6066/4603/files/15e1990fb47e2095a4ed1213d30ef6d1.jpg?v=1768966726, friendlyName=Open</x:v>
      </x:c>
      <x:c r="C8062" s="24" t="e">
        <x:f>HYPERLINK("https://365nails.com/products/wizard-of-oz-matcha-vintage-olive-green-caramel-brown-marble-shimmer-nails-handmade-smudge-series","Wizard of Oz &amp; Matcha Vintage Olive Green Caramel Brown Marble Shimmer Nails ｜ Handmade Smudge Series(moq=30)")</x:f>
        <x:v>HYPERLINK is not implemented. linkLocation=https://365nails.com/products/wizard-of-oz-matcha-vintage-olive-green-caramel-brown-marble-shimmer-nails-handmade-smudge-series, friendlyName=Wizard of Oz &amp; Matcha Vintage Olive Green Caramel Brown Marble Shimmer Nails ｜ Handmade Smudge Series(moq=30)</x:v>
      </x:c>
      <x:c r="D8062" s="18" t="str">
        <x:v>Size: XS / S / M / L</x:v>
      </x:c>
      <x:c r="E8062" s="25" t="str">
        <x:v>$2.99</x:v>
      </x:c>
      <x:c r="F8062" s="19" t="str">
        <x:v>30</x:v>
      </x:c>
    </x:row>
    <x:row r="8063" ht="93" customHeight="1">
      <x:c r="A8063" s="19" t="n">
        <x:v>8060</x:v>
      </x:c>
      <x:c r="B8063" s="22" t="e">
        <x:f>HYPERLINK("https://cdn.shopify.com/s/files/1/0918/6066/4603/files/f649068e4daefb30f928478a4a19622a.jpg?v=1768965261","Open")</x:f>
        <x:v>HYPERLINK is not implemented. linkLocation=https://cdn.shopify.com/s/files/1/0918/6066/4603/files/f649068e4daefb30f928478a4a19622a.jpg?v=1768965261, friendlyName=Open</x:v>
      </x:c>
      <x:c r="C8063" s="24" t="e">
        <x:f>HYPERLINK("https://365nails.com/products/cinnabar-gilded-gold-vintage-red-amber-marble-nails-handmade-smudge-series","Cinnabar &amp; Gilded Gold Vintage Red Amber Marble Nails ｜ Handmade Smudge Series(moq=30)")</x:f>
        <x:v>HYPERLINK is not implemented. linkLocation=https://365nails.com/products/cinnabar-gilded-gold-vintage-red-amber-marble-nails-handmade-smudge-series, friendlyName=Cinnabar &amp; Gilded Gold Vintage Red Amber Marble Nails ｜ Handmade Smudge Series(moq=30)</x:v>
      </x:c>
      <x:c r="D8063" s="18" t="str">
        <x:v>Size: XS / S / M / L</x:v>
      </x:c>
      <x:c r="E8063" s="25" t="str">
        <x:v>$2.99</x:v>
      </x:c>
      <x:c r="F8063" s="19" t="str">
        <x:v>30</x:v>
      </x:c>
    </x:row>
    <x:row r="8064" ht="93" customHeight="1">
      <x:c r="A8064" s="19" t="n">
        <x:v>8061</x:v>
      </x:c>
      <x:c r="B8064" s="22" t="e">
        <x:f>HYPERLINK("https://cdn.shopify.com/s/files/1/0918/6066/4603/files/02f75f92651313343ca00699ced6e646.jpg?v=1775308737","Open")</x:f>
        <x:v>HYPERLINK is not implemented. linkLocation=https://cdn.shopify.com/s/files/1/0918/6066/4603/files/02f75f92651313343ca00699ced6e646.jpg?v=1775308737, friendlyName=Open</x:v>
      </x:c>
      <x:c r="C8064" s="24" t="e">
        <x:f>HYPERLINK("https://365nails.com/products/sweet-summer-3d-cherry-leopard-long-coffin-press-on-nails","Sweet Summer: ""3D Cherry Leopard"" – Long Coffin Press-on Nails")</x:f>
        <x:v>HYPERLINK is not implemented. linkLocation=https://365nails.com/products/sweet-summer-3d-cherry-leopard-long-coffin-press-on-nails, friendlyName=Sweet Summer: "3D Cherry Leopard" – Long Coffin Press-on Nails</x:v>
      </x:c>
      <x:c r="D8064" s="18" t="str">
        <x:v>Size: XS / S / M / L</x:v>
      </x:c>
      <x:c r="E8064" s="25" t="str">
        <x:v>$3.99</x:v>
      </x:c>
      <x:c r="F8064" s="19" t="str">
        <x:v>5</x:v>
      </x:c>
    </x:row>
    <x:row r="8065" ht="93" customHeight="1">
      <x:c r="A8065" s="19" t="n">
        <x:v>8062</x:v>
      </x:c>
      <x:c r="B8065" s="22" t="e">
        <x:f>HYPERLINK("https://cdn.shopify.com/s/files/1/0918/6066/4603/files/a97765c1bbe1453c95e77e877ef1082e.jpg?v=1777780495","Open")</x:f>
        <x:v>HYPERLINK is not implemented. linkLocation=https://cdn.shopify.com/s/files/1/0918/6066/4603/files/a97765c1bbe1453c95e77e877ef1082e.jpg?v=1777780495, friendlyName=Open</x:v>
      </x:c>
      <x:c r="C8065" s="24" t="e">
        <x:f>HYPERLINK("https://365nails.com/products/365nails-red-black-dragon-cross-long-handmade-long-stiletto-press-on-nails","365nails: ""Red Black Dragon Cross Long"" – Handmade Long Stiletto Press-On Nails")</x:f>
        <x:v>HYPERLINK is not implemented. linkLocation=https://365nails.com/products/365nails-red-black-dragon-cross-long-handmade-long-stiletto-press-on-nails, friendlyName=365nails: "Red Black Dragon Cross Long" – Handmade Long Stiletto Press-On Nails</x:v>
      </x:c>
      <x:c r="D8065" s="18" t="str">
        <x:v>Size: XS / S / M / L</x:v>
      </x:c>
      <x:c r="E8065" s="25" t="str">
        <x:v>$4.49</x:v>
      </x:c>
      <x:c r="F8065" s="19" t="str">
        <x:v>5</x:v>
      </x:c>
    </x:row>
    <x:row r="8066" ht="93" customHeight="1">
      <x:c r="A8066" s="19" t="n">
        <x:v>8063</x:v>
      </x:c>
      <x:c r="B8066" s="22" t="e">
        <x:f>HYPERLINK("https://cdn.shopify.com/s/files/1/0918/6066/4603/files/64844e2194a5e8401155f7f767df6245.jpg?v=1776416035","Open")</x:f>
        <x:v>HYPERLINK is not implemented. linkLocation=https://cdn.shopify.com/s/files/1/0918/6066/4603/files/64844e2194a5e8401155f7f767df6245.jpg?v=1776416035, friendlyName=Open</x:v>
      </x:c>
      <x:c r="C8066" s="24" t="e">
        <x:f>HYPERLINK("https://365nails.com/products/365nails-demon-slayer-hantengu-handmade-medium-trapezoid-press-on-nails","365nails: ""Demon Slayer Hantengu"" – Handmade Medium Trapezoid Press-On Nails")</x:f>
        <x:v>HYPERLINK is not implemented. linkLocation=https://365nails.com/products/365nails-demon-slayer-hantengu-handmade-medium-trapezoid-press-on-nails, friendlyName=365nails: "Demon Slayer Hantengu" – Handmade Medium Trapezoid Press-On Nails</x:v>
      </x:c>
      <x:c r="D8066" s="18" t="str">
        <x:v>Size: XS / S / M</x:v>
      </x:c>
      <x:c r="E8066" s="25" t="str">
        <x:v>$3.49</x:v>
      </x:c>
      <x:c r="F8066" s="19" t="str">
        <x:v>5</x:v>
      </x:c>
    </x:row>
    <x:row r="8067" ht="93" customHeight="1">
      <x:c r="A8067" s="19" t="n">
        <x:v>8064</x:v>
      </x:c>
      <x:c r="B8067" s="22" t="e">
        <x:f>HYPERLINK("https://cdn.shopify.com/s/files/1/0918/6066/4603/files/a552484ee2c59f8969e0ec5401c5caca.jpg?v=1777517112","Open")</x:f>
        <x:v>HYPERLINK is not implemented. linkLocation=https://cdn.shopify.com/s/files/1/0918/6066/4603/files/a552484ee2c59f8969e0ec5401c5caca.jpg?v=1777517112, friendlyName=Open</x:v>
      </x:c>
      <x:c r="C8067" s="24" t="e">
        <x:f>HYPERLINK("https://365nails.com/products/gothic-blood-romance-handmade-ultra-long-stiletto-press-on-nails","365nails: ""Gothic Blood Romance"" – Handmade Ultra-Long Stiletto Press-On Nails")</x:f>
        <x:v>HYPERLINK is not implemented. linkLocation=https://365nails.com/products/gothic-blood-romance-handmade-ultra-long-stiletto-press-on-nails, friendlyName=365nails: "Gothic Blood Romance" – Handmade Ultra-Long Stiletto Press-On Nails</x:v>
      </x:c>
      <x:c r="D8067" s="18" t="str">
        <x:v>Size: XS / S / M / L</x:v>
      </x:c>
      <x:c r="E8067" s="25" t="str">
        <x:v>$4.99</x:v>
      </x:c>
      <x:c r="F8067" s="19" t="str">
        <x:v>3</x:v>
      </x:c>
    </x:row>
    <x:row r="8068" ht="93" customHeight="1">
      <x:c r="A8068" s="19" t="n">
        <x:v>8065</x:v>
      </x:c>
      <x:c r="B8068" s="22" t="e">
        <x:f>HYPERLINK("https://cdn.shopify.com/s/files/1/0918/6066/4603/files/ffe5f0c50546ba1954da66c56b170365.jpg?v=1768896003","Open")</x:f>
        <x:v>HYPERLINK is not implemented. linkLocation=https://cdn.shopify.com/s/files/1/0918/6066/4603/files/ffe5f0c50546ba1954da66c56b170365.jpg?v=1768896003, friendlyName=Open</x:v>
      </x:c>
      <x:c r="C8068" s="24" t="e">
        <x:f>HYPERLINK("https://365nails.com/products/handmade-smudge-series-cloud-top-caramel-golden-sunrise-amber-foil-nails","Cloud Top Caramel &amp; Golden Sunrise Amber Foil Nails｜Handmade Smudge Series(moq=30)")</x:f>
        <x:v>HYPERLINK is not implemented. linkLocation=https://365nails.com/products/handmade-smudge-series-cloud-top-caramel-golden-sunrise-amber-foil-nails, friendlyName=Cloud Top Caramel &amp; Golden Sunrise Amber Foil Nails｜Handmade Smudge Series(moq=30)</x:v>
      </x:c>
      <x:c r="D8068" s="18" t="str">
        <x:v>Size: XS / S / M / L</x:v>
      </x:c>
      <x:c r="E8068" s="25" t="str">
        <x:v>$2.99</x:v>
      </x:c>
      <x:c r="F8068" s="19" t="str">
        <x:v>30</x:v>
      </x:c>
    </x:row>
    <x:row r="8069" ht="93" customHeight="1">
      <x:c r="A8069" s="19" t="n">
        <x:v>8066</x:v>
      </x:c>
      <x:c r="B8069" s="22" t="e">
        <x:f>HYPERLINK("https://cdn.shopify.com/s/files/1/0918/6066/4603/files/edfe7fb0930657e5a86ec65498020174.jpg?v=1775293088","Open")</x:f>
        <x:v>HYPERLINK is not implemented. linkLocation=https://cdn.shopify.com/s/files/1/0918/6066/4603/files/edfe7fb0930657e5a86ec65498020174.jpg?v=1775293088, friendlyName=Open</x:v>
      </x:c>
      <x:c r="C8069" s="24" t="e">
        <x:f>HYPERLINK("https://365nails.com/products/spring-orchid-jade-petal-long-coffin-press-on-nails","Spring Orchid: ""Jade Petal"" – Long Coffin Press-on Nails")</x:f>
        <x:v>HYPERLINK is not implemented. linkLocation=https://365nails.com/products/spring-orchid-jade-petal-long-coffin-press-on-nails, friendlyName=Spring Orchid: "Jade Petal" – Long Coffin Press-on Nails</x:v>
      </x:c>
      <x:c r="D8069" s="18" t="str">
        <x:v>Size: XS / S / M / L</x:v>
      </x:c>
      <x:c r="E8069" s="25" t="str">
        <x:v>$3.99</x:v>
      </x:c>
      <x:c r="F8069" s="19" t="str">
        <x:v>5</x:v>
      </x:c>
    </x:row>
    <x:row r="8070" ht="93" customHeight="1">
      <x:c r="A8070" s="19" t="n">
        <x:v>8067</x:v>
      </x:c>
      <x:c r="B8070" s="22" t="e">
        <x:f>HYPERLINK("https://cdn.shopify.com/s/files/1/0918/6066/4603/files/caf99a7430e6ef8238a0e6abd1cc604d.jpg?v=1777799072","Open")</x:f>
        <x:v>HYPERLINK is not implemented. linkLocation=https://cdn.shopify.com/s/files/1/0918/6066/4603/files/caf99a7430e6ef8238a0e6abd1cc604d.jpg?v=1777799072, friendlyName=Open</x:v>
      </x:c>
      <x:c r="C8070" s="24" t="e">
        <x:f>HYPERLINK("https://365nails.com/products/365nails-nude-brown-flower-wave-3d-handmade-short-almond-press-on-nails","365nails: ""Nude Brown Flower Wave 3D"" – Handmade Short Almond Press-On Nails")</x:f>
        <x:v>HYPERLINK is not implemented. linkLocation=https://365nails.com/products/365nails-nude-brown-flower-wave-3d-handmade-short-almond-press-on-nails, friendlyName=365nails: "Nude Brown Flower Wave 3D" – Handmade Short Almond Press-On Nails</x:v>
      </x:c>
      <x:c r="D8070" s="18" t="str">
        <x:v>Size: XS / S / M / L</x:v>
      </x:c>
      <x:c r="E8070" s="25" t="str">
        <x:v>$3.49</x:v>
      </x:c>
      <x:c r="F8070" s="19" t="str">
        <x:v>5</x:v>
      </x:c>
    </x:row>
    <x:row r="8071" ht="93" customHeight="1">
      <x:c r="A8071" s="19" t="n">
        <x:v>8068</x:v>
      </x:c>
      <x:c r="B8071" s="22" t="e">
        <x:f>HYPERLINK("https://cdn.shopify.com/s/files/1/0918/6066/4603/files/5b0d53eeff68fc79fec723a114ae03fd.jpg?v=1778239870","Open")</x:f>
        <x:v>HYPERLINK is not implemented. linkLocation=https://cdn.shopify.com/s/files/1/0918/6066/4603/files/5b0d53eeff68fc79fec723a114ae03fd.jpg?v=1778239870, friendlyName=Open</x:v>
      </x:c>
      <x:c r="C8071" s="24" t="e">
        <x:f>HYPERLINK("https://365nails.com/products/365nails-tropical-floral-maiden-handmade-liquid-motion-press-on-long-pipe-nails","365nails: ""Tropical Floral Maiden"" – Handmade Liquid Motion Press-On Long Pipe Nails-5.5cm")</x:f>
        <x:v>HYPERLINK is not implemented. linkLocation=https://365nails.com/products/365nails-tropical-floral-maiden-handmade-liquid-motion-press-on-long-pipe-nails, friendlyName=365nails: "Tropical Floral Maiden" – Handmade Liquid Motion Press-On Long Pipe Nails-5.5cm</x:v>
      </x:c>
      <x:c r="D8071" s="18" t="str">
        <x:v>Size: XS / S / M / L</x:v>
      </x:c>
      <x:c r="E8071" s="25" t="str">
        <x:v>$7.99</x:v>
      </x:c>
      <x:c r="F8071" s="19" t="str">
        <x:v>10</x:v>
      </x:c>
    </x:row>
    <x:row r="8072" ht="93" customHeight="1">
      <x:c r="A8072" s="19" t="n">
        <x:v>8069</x:v>
      </x:c>
      <x:c r="B8072" s="22" t="e">
        <x:f>HYPERLINK("https://cdn.shopify.com/s/files/1/0918/6066/4603/files/e32f83eec398cd3dd5c5a959927ed3f7.jpg?v=1777781842","Open")</x:f>
        <x:v>HYPERLINK is not implemented. linkLocation=https://cdn.shopify.com/s/files/1/0918/6066/4603/files/e32f83eec398cd3dd5c5a959927ed3f7.jpg?v=1777781842, friendlyName=Open</x:v>
      </x:c>
      <x:c r="C8072" s="24" t="e">
        <x:f>HYPERLINK("https://365nails.com/products/365nails-pink-glitter-heart-long-handmade-long-trapezoid-press-on-nails","365nails: ""Pink Glitter Heart Long"" – Handmade Long Trapezoid Press-On Nails")</x:f>
        <x:v>HYPERLINK is not implemented. linkLocation=https://365nails.com/products/365nails-pink-glitter-heart-long-handmade-long-trapezoid-press-on-nails, friendlyName=365nails: "Pink Glitter Heart Long" – Handmade Long Trapezoid Press-On Nails</x:v>
      </x:c>
      <x:c r="D8072" s="18" t="str">
        <x:v>Size: XS / S / M / L</x:v>
      </x:c>
      <x:c r="E8072" s="25" t="str">
        <x:v>$4.49</x:v>
      </x:c>
      <x:c r="F8072" s="19" t="str">
        <x:v>5</x:v>
      </x:c>
    </x:row>
    <x:row r="8073" ht="93" customHeight="1">
      <x:c r="A8073" s="19" t="n">
        <x:v>8070</x:v>
      </x:c>
      <x:c r="B8073" s="22" t="e">
        <x:f>HYPERLINK("https://cdn.shopify.com/s/files/1/0918/6066/4603/files/f5ae4a00a0e9552821906f700f7df1e3.jpg?v=1768894275","Open")</x:f>
        <x:v>HYPERLINK is not implemented. linkLocation=https://cdn.shopify.com/s/files/1/0918/6066/4603/files/f5ae4a00a0e9552821906f700f7df1e3.jpg?v=1768894275, friendlyName=Open</x:v>
      </x:c>
      <x:c r="C8073" s="24" t="e">
        <x:f>HYPERLINK("https://365nails.com/products/handmade-smudge-series-molten-gold-red-agate-sunset-canyon-nails","Molten Gold &amp; Red Agate / Sunset Canyon Nails｜Handmade Smudge Series(moq=30)")</x:f>
        <x:v>HYPERLINK is not implemented. linkLocation=https://365nails.com/products/handmade-smudge-series-molten-gold-red-agate-sunset-canyon-nails, friendlyName=Molten Gold &amp; Red Agate / Sunset Canyon Nails｜Handmade Smudge Series(moq=30)</x:v>
      </x:c>
      <x:c r="D8073" s="18" t="str">
        <x:v>Size: XS / S / M / L</x:v>
      </x:c>
      <x:c r="E8073" s="25" t="str">
        <x:v>$2.99</x:v>
      </x:c>
      <x:c r="F8073" s="19" t="str">
        <x:v>30</x:v>
      </x:c>
    </x:row>
    <x:row r="8074" ht="93" customHeight="1">
      <x:c r="A8074" s="19" t="n">
        <x:v>8071</x:v>
      </x:c>
      <x:c r="B8074" s="22" t="e">
        <x:f>HYPERLINK("https://cdn.shopify.com/s/files/1/0918/6066/4603/files/45587932643cab567bc130c260e1f7d4.jpg?v=1775292562","Open")</x:f>
        <x:v>HYPERLINK is not implemented. linkLocation=https://cdn.shopify.com/s/files/1/0918/6066/4603/files/45587932643cab567bc130c260e1f7d4.jpg?v=1775292562, friendlyName=Open</x:v>
      </x:c>
      <x:c r="C8074" s="24" t="e">
        <x:f>HYPERLINK("https://365nails.com/products/gothic-bloom-purple-lily-long-coffin-press-on-nails","Gothic Bloom: ""Purple Lily"" – Long Coffin Press-on Nails")</x:f>
        <x:v>HYPERLINK is not implemented. linkLocation=https://365nails.com/products/gothic-bloom-purple-lily-long-coffin-press-on-nails, friendlyName=Gothic Bloom: "Purple Lily" – Long Coffin Press-on Nails</x:v>
      </x:c>
      <x:c r="D8074" s="18" t="str">
        <x:v>Size: XS / S / M / L</x:v>
      </x:c>
      <x:c r="E8074" s="25" t="str">
        <x:v>$3.99</x:v>
      </x:c>
      <x:c r="F8074" s="19" t="str">
        <x:v>5</x:v>
      </x:c>
    </x:row>
    <x:row r="8075" ht="93" customHeight="1">
      <x:c r="A8075" s="19" t="n">
        <x:v>8072</x:v>
      </x:c>
      <x:c r="B8075" s="22" t="e">
        <x:f>HYPERLINK("https://cdn.shopify.com/s/files/1/0918/6066/4603/files/O1CN01WXNGJb1HlX0KXHb8Z__2545140798-0-cib.jpg?v=1773586773","Open")</x:f>
        <x:v>HYPERLINK is not implemented. linkLocation=https://cdn.shopify.com/s/files/1/0918/6066/4603/files/O1CN01WXNGJb1HlX0KXHb8Z__2545140798-0-cib.jpg?v=1773586773, friendlyName=Open</x:v>
      </x:c>
      <x:c r="C8075" s="24" t="e">
        <x:f>HYPERLINK("https://365nails.com/products/cute-cat-face-kitten-bubble-3d-embossed-nail-sticker","Cute Cat Face: ""Kitten Bubble"" – 3D Embossed Nail Sticker")</x:f>
        <x:v>HYPERLINK is not implemented. linkLocation=https://365nails.com/products/cute-cat-face-kitten-bubble-3d-embossed-nail-sticker, friendlyName=Cute Cat Face: "Kitten Bubble" – 3D Embossed Nail Sticker</x:v>
      </x:c>
      <x:c r="D8075" s="18" t="str">
        <x:v>Specification type: To3898 / To3907</x:v>
      </x:c>
      <x:c r="E8075" s="25" t="str">
        <x:v>$1.09</x:v>
      </x:c>
      <x:c r="F8075" s="19" t="str">
        <x:v>5</x:v>
      </x:c>
    </x:row>
    <x:row r="8076" ht="93" customHeight="1">
      <x:c r="A8076" s="19" t="n">
        <x:v>8073</x:v>
      </x:c>
      <x:c r="B8076" s="22" t="e">
        <x:f>HYPERLINK("https://cdn.shopify.com/s/files/1/0918/6066/4603/files/8be83d0fd2d6308d3b12a1238e0f733f.jpg?v=1775480249","Open")</x:f>
        <x:v>HYPERLINK is not implemented. linkLocation=https://cdn.shopify.com/s/files/1/0918/6066/4603/files/8be83d0fd2d6308d3b12a1238e0f733f.jpg?v=1775480249, friendlyName=Open</x:v>
      </x:c>
      <x:c r="C8076" s="24" t="e">
        <x:f>HYPERLINK("https://365nails.com/products/y2k-candy-leopard-mint-pink-leopard-chain-long-coffin-press-on-nails","Y2K Candy Leopard: ""Mint Pink Leopard Chain"" – Long Coffin Press-on Nails")</x:f>
        <x:v>HYPERLINK is not implemented. linkLocation=https://365nails.com/products/y2k-candy-leopard-mint-pink-leopard-chain-long-coffin-press-on-nails, friendlyName=Y2K Candy Leopard: "Mint Pink Leopard Chain" – Long Coffin Press-on Nails</x:v>
      </x:c>
      <x:c r="D8076" s="18" t="str">
        <x:v>Size: XS / S / M / L</x:v>
      </x:c>
      <x:c r="E8076" s="25" t="str">
        <x:v>$3.99</x:v>
      </x:c>
      <x:c r="F8076" s="19" t="str">
        <x:v>5</x:v>
      </x:c>
    </x:row>
    <x:row r="8077" ht="93" customHeight="1">
      <x:c r="A8077" s="19" t="n">
        <x:v>8074</x:v>
      </x:c>
      <x:c r="B8077" s="22" t="e">
        <x:f>HYPERLINK("https://cdn.shopify.com/s/files/1/0918/6066/4603/files/O1CN01bVOrrF1HlX2L8YRRp__2545140798-0-cib.jpg?v=1773559873","Open")</x:f>
        <x:v>HYPERLINK is not implemented. linkLocation=https://cdn.shopify.com/s/files/1/0918/6066/4603/files/O1CN01bVOrrF1HlX2L8YRRp__2545140798-0-cib.jpg?v=1773559873, friendlyName=Open</x:v>
      </x:c>
      <x:c r="C8077" s="24" t="e">
        <x:f>HYPERLINK("https://365nails.com/products/pink-bow-cherry-cherry-blossom-3d-nail-sticker","Pink Bow &amp; Cherry: ""Cherry Blossom"" – 3D Nail Sticker")</x:f>
        <x:v>HYPERLINK is not implemented. linkLocation=https://365nails.com/products/pink-bow-cherry-cherry-blossom-3d-nail-sticker, friendlyName=Pink Bow &amp; Cherry: "Cherry Blossom" – 3D Nail Sticker</x:v>
      </x:c>
      <x:c r="D8077" s="18" t="str">
        <x:v>Specification type: To4324 / To4326</x:v>
      </x:c>
      <x:c r="E8077" s="25" t="str">
        <x:v>$1.09</x:v>
      </x:c>
      <x:c r="F8077" s="19" t="str">
        <x:v>5</x:v>
      </x:c>
    </x:row>
    <x:row r="8078" ht="93" customHeight="1">
      <x:c r="A8078" s="19" t="n">
        <x:v>8075</x:v>
      </x:c>
      <x:c r="B8078" s="22" t="e">
        <x:f>HYPERLINK("https://cdn.shopify.com/s/files/1/0918/6066/4603/files/O1CN01zUw3UQ1HlX1A1HDuO__2545140798-0-cib_dacf3c45-0530-4612-a2b0-8ad99801044f.jpg?v=1775401100","Open")</x:f>
        <x:v>HYPERLINK is not implemented. linkLocation=https://cdn.shopify.com/s/files/1/0918/6066/4603/files/O1CN01zUw3UQ1HlX1A1HDuO__2545140798-0-cib_dacf3c45-0530-4612-a2b0-8ad99801044f.jpg?v=1775401100, friendlyName=Open</x:v>
      </x:c>
      <x:c r="C8078" s="24" t="e">
        <x:f>HYPERLINK("https://365nails.com/products/365nails-cute-blueberry-duck-sweet-cartoon-nail-stickers","365nails: ""Cute Blueberry Duck"" – Sweet Cartoon Nail Stickers")</x:f>
        <x:v>HYPERLINK is not implemented. linkLocation=https://365nails.com/products/365nails-cute-blueberry-duck-sweet-cartoon-nail-stickers, friendlyName=365nails: "Cute Blueberry Duck" – Sweet Cartoon Nail Stickers</x:v>
      </x:c>
      <x:c r="D8078" s="18" t="str">
        <x:v>Specification type: To3892-relief / To4034-relief</x:v>
      </x:c>
      <x:c r="E8078" s="25" t="str">
        <x:v>$1.23</x:v>
      </x:c>
      <x:c r="F8078" s="19" t="str">
        <x:v>5</x:v>
      </x:c>
    </x:row>
    <x:row r="8079" ht="93" customHeight="1">
      <x:c r="A8079" s="19" t="n">
        <x:v>8076</x:v>
      </x:c>
      <x:c r="B8079" s="22" t="e">
        <x:f>HYPERLINK("https://cdn.shopify.com/s/files/1/0918/6066/4603/files/d3151c1e1dd5593f9bb42222378752e0.jpg?v=1775223537","Open")</x:f>
        <x:v>HYPERLINK is not implemented. linkLocation=https://cdn.shopify.com/s/files/1/0918/6066/4603/files/d3151c1e1dd5593f9bb42222378752e0.jpg?v=1775223537, friendlyName=Open</x:v>
      </x:c>
      <x:c r="C8079" s="24" t="e">
        <x:f>HYPERLINK("https://365nails.com/products/gothic-christmas-crimson-noel-long-stiletto-press-on-nails","Gothic Christmas: ""Crimson Noel"" – Long Stiletto Press-on Nails")</x:f>
        <x:v>HYPERLINK is not implemented. linkLocation=https://365nails.com/products/gothic-christmas-crimson-noel-long-stiletto-press-on-nails, friendlyName=Gothic Christmas: "Crimson Noel" – Long Stiletto Press-on Nails</x:v>
      </x:c>
      <x:c r="D8079" s="18" t="str">
        <x:v>Size: XS / S / M / L</x:v>
      </x:c>
      <x:c r="E8079" s="25" t="str">
        <x:v>$3.99</x:v>
      </x:c>
      <x:c r="F8079" s="19" t="str">
        <x:v>3</x:v>
      </x:c>
    </x:row>
    <x:row r="8080" ht="93" customHeight="1">
      <x:c r="A8080" s="19" t="n">
        <x:v>8077</x:v>
      </x:c>
      <x:c r="B8080" s="22" t="e">
        <x:f>HYPERLINK("https://cdn.shopify.com/s/files/1/0918/6066/4603/files/O1CN01Qp9GFr1HlWu631tiB__2545140798-0-cib.jpg?v=1773650700","Open")</x:f>
        <x:v>HYPERLINK is not implemented. linkLocation=https://cdn.shopify.com/s/files/1/0918/6066/4603/files/O1CN01Qp9GFr1HlWu631tiB__2545140798-0-cib.jpg?v=1773650700, friendlyName=Open</x:v>
      </x:c>
      <x:c r="C8080" s="24" t="e">
        <x:f>HYPERLINK("https://365nails.com/products/pastel-ocean-jelly-mermaid-treasures-5d-embossed-nail-sticker","Pastel Ocean Jelly: ""Mermaid Treasures"" – 5D Embossed Nail Sticker")</x:f>
        <x:v>HYPERLINK is not implemented. linkLocation=https://365nails.com/products/pastel-ocean-jelly-mermaid-treasures-5d-embossed-nail-sticker, friendlyName=Pastel Ocean Jelly: "Mermaid Treasures" – 5D Embossed Nail Sticker</x:v>
      </x:c>
      <x:c r="D8080" s="18" t="str">
        <x:v>Specification type: Ms360-jelly / Ms368-crystal diamond</x:v>
      </x:c>
      <x:c r="E8080" s="25" t="str">
        <x:v>$1.23</x:v>
      </x:c>
      <x:c r="F8080" s="19" t="str">
        <x:v>5</x:v>
      </x:c>
    </x:row>
    <x:row r="8081" ht="93" customHeight="1">
      <x:c r="A8081" s="19" t="n">
        <x:v>8078</x:v>
      </x:c>
      <x:c r="B8081" s="22" t="e">
        <x:f>HYPERLINK("https://cdn.shopify.com/s/files/1/0918/6066/4603/files/O1CN01ZQzIuL1HlX0QtAYsW__2545140798-0-cib.jpg?v=1773580619","Open")</x:f>
        <x:v>HYPERLINK is not implemented. linkLocation=https://cdn.shopify.com/s/files/1/0918/6066/4603/files/O1CN01ZQzIuL1HlX0QtAYsW__2545140798-0-cib.jpg?v=1773580619, friendlyName=Open</x:v>
      </x:c>
      <x:c r="C8081" s="24" t="e">
        <x:f>HYPERLINK("https://365nails.com/products/nine-tailed-fox-cherry-blossom-oriental-myth-3d-embossed-nail-sticker","Nine-Tailed Fox &amp; Cherry Blossom: ""Oriental Myth"" – 3D Embossed Nail Sticker")</x:f>
        <x:v>HYPERLINK is not implemented. linkLocation=https://365nails.com/products/nine-tailed-fox-cherry-blossom-oriental-myth-3d-embossed-nail-sticker, friendlyName=Nine-Tailed Fox &amp; Cherry Blossom: "Oriental Myth" – 3D Embossed Nail Sticker</x:v>
      </x:c>
      <x:c r="D8081" s="18" t="str">
        <x:v>Specification type: To3917</x:v>
      </x:c>
      <x:c r="E8081" s="25" t="str">
        <x:v>$1.09</x:v>
      </x:c>
      <x:c r="F8081" s="19" t="str">
        <x:v>5</x:v>
      </x:c>
    </x:row>
    <x:row r="8082" ht="93" customHeight="1">
      <x:c r="A8082" s="19" t="n">
        <x:v>8079</x:v>
      </x:c>
      <x:c r="B8082" s="22" t="e">
        <x:f>HYPERLINK("https://cdn.shopify.com/s/files/1/0918/6066/4603/files/3c41ff37ecfe670045d88d93a78fc8dd.jpg?v=1776418225","Open")</x:f>
        <x:v>HYPERLINK is not implemented. linkLocation=https://cdn.shopify.com/s/files/1/0918/6066/4603/files/3c41ff37ecfe670045d88d93a78fc8dd.jpg?v=1776418225, friendlyName=Open</x:v>
      </x:c>
      <x:c r="C8082" s="24" t="e">
        <x:f>HYPERLINK("https://365nails.com/products/365nails-demon-slayer-upper-rank-themed-handmade-short-trapezoid-press-on-nails","365nails: ""Demon Slayer Upper Rank Themed"" – Handmade Short Trapezoid Press-On Nails")</x:f>
        <x:v>HYPERLINK is not implemented. linkLocation=https://365nails.com/products/365nails-demon-slayer-upper-rank-themed-handmade-short-trapezoid-press-on-nails, friendlyName=365nails: "Demon Slayer Upper Rank Themed" – Handmade Short Trapezoid Press-On Nails</x:v>
      </x:c>
      <x:c r="D8082" s="18" t="str">
        <x:v>Size: XS / S / M</x:v>
      </x:c>
      <x:c r="E8082" s="25" t="str">
        <x:v>$3.49</x:v>
      </x:c>
      <x:c r="F8082" s="19" t="str">
        <x:v>5</x:v>
      </x:c>
    </x:row>
    <x:row r="8083" ht="93" customHeight="1">
      <x:c r="A8083" s="19" t="n">
        <x:v>8080</x:v>
      </x:c>
      <x:c r="B8083" s="22" t="e">
        <x:f>HYPERLINK("https://cdn.shopify.com/s/files/1/0918/6066/4603/files/O1CN01JBs3H51HlX8gEEkKw__2545140798-0-cib_21d366a4-5e3b-4be5-b3be-682bc0b7096c.jpg?v=1775740853","Open")</x:f>
        <x:v>HYPERLINK is not implemented. linkLocation=https://cdn.shopify.com/s/files/1/0918/6066/4603/files/O1CN01JBs3H51HlX8gEEkKw__2545140798-0-cib_21d366a4-5e3b-4be5-b3be-682bc0b7096c.jpg?v=1775740853, friendlyName=Open</x:v>
      </x:c>
      <x:c r="C8083" s="24" t="e">
        <x:f>HYPERLINK("https://365nails.com/products/365nails-snowflake-moon-crystal-handmade-press-on-nails","365nails: ""Snowflake Moon Crystal"" –Nail Art Stickers")</x:f>
        <x:v>HYPERLINK is not implemented. linkLocation=https://365nails.com/products/365nails-snowflake-moon-crystal-handmade-press-on-nails, friendlyName=365nails: "Snowflake Moon Crystal" –Nail Art Stickers</x:v>
      </x:c>
      <x:c r="D8083" s="18" t="str">
        <x:v>Specification type: To5257-shell light / To5258-shell light / To5260-shell light</x:v>
      </x:c>
      <x:c r="E8083" s="25" t="str">
        <x:v>$1.23</x:v>
      </x:c>
      <x:c r="F8083" s="19" t="str">
        <x:v>5</x:v>
      </x:c>
    </x:row>
    <x:row r="8084" ht="93" customHeight="1">
      <x:c r="A8084" s="19" t="n">
        <x:v>8081</x:v>
      </x:c>
      <x:c r="B8084" s="22" t="e">
        <x:f>HYPERLINK("https://cdn.shopify.com/s/files/1/0918/6066/4603/files/5895badbc5818064c1432a8127fce94b.jpg?v=1778239946","Open")</x:f>
        <x:v>HYPERLINK is not implemented. linkLocation=https://cdn.shopify.com/s/files/1/0918/6066/4603/files/5895badbc5818064c1432a8127fce94b.jpg?v=1778239946, friendlyName=Open</x:v>
      </x:c>
      <x:c r="C8084" s="24" t="e">
        <x:f>HYPERLINK("https://365nails.com/products/365nails-zebra-rebel-vixen-handmade-liquid-motion-press-on-long-pipe-nails","365nails: ""Zebra Rebel Vixen"" – Handmade Liquid Motion Press-On Long Pipe Nails-5.5cm")</x:f>
        <x:v>HYPERLINK is not implemented. linkLocation=https://365nails.com/products/365nails-zebra-rebel-vixen-handmade-liquid-motion-press-on-long-pipe-nails, friendlyName=365nails: "Zebra Rebel Vixen" – Handmade Liquid Motion Press-On Long Pipe Nails-5.5cm</x:v>
      </x:c>
      <x:c r="D8084" s="18" t="str">
        <x:v>Size: XS / S / M / L</x:v>
      </x:c>
      <x:c r="E8084" s="25" t="str">
        <x:v>$7.99</x:v>
      </x:c>
      <x:c r="F8084" s="19" t="str">
        <x:v>10</x:v>
      </x:c>
    </x:row>
    <x:row r="8085" ht="93" customHeight="1">
      <x:c r="A8085" s="19" t="n">
        <x:v>8082</x:v>
      </x:c>
      <x:c r="B8085" s="22" t="e">
        <x:f>HYPERLINK("https://cdn.shopify.com/s/files/1/0918/6066/4603/files/4800e99c1327876ceac88d00f200c9e3.jpg?v=1777800008","Open")</x:f>
        <x:v>HYPERLINK is not implemented. linkLocation=https://cdn.shopify.com/s/files/1/0918/6066/4603/files/4800e99c1327876ceac88d00f200c9e3.jpg?v=1777800008, friendlyName=Open</x:v>
      </x:c>
      <x:c r="C8085" s="24" t="e">
        <x:f>HYPERLINK("https://365nails.com/products/365nails-pink-cherry-blossom-gradient-handmade-short-almond-press-on-nails","365nails: ""Pink Cherry Blossom Gradient"" – Handmade Short Almond Press-On Nails")</x:f>
        <x:v>HYPERLINK is not implemented. linkLocation=https://365nails.com/products/365nails-pink-cherry-blossom-gradient-handmade-short-almond-press-on-nails, friendlyName=365nails: "Pink Cherry Blossom Gradient" – Handmade Short Almond Press-On Nails</x:v>
      </x:c>
      <x:c r="D8085" s="18" t="str">
        <x:v>Size: XS / S / M / L</x:v>
      </x:c>
      <x:c r="E8085" s="25" t="str">
        <x:v>$3.49</x:v>
      </x:c>
      <x:c r="F8085" s="19" t="str">
        <x:v>5</x:v>
      </x:c>
    </x:row>
    <x:row r="8086" ht="93" customHeight="1">
      <x:c r="A8086" s="19" t="n">
        <x:v>8083</x:v>
      </x:c>
      <x:c r="B8086" s="22" t="e">
        <x:f>HYPERLINK("https://cdn.shopify.com/s/files/1/0918/6066/4603/files/37029b1bebdb7c8250187c91ee9f78d5.jpg?v=1776417576","Open")</x:f>
        <x:v>HYPERLINK is not implemented. linkLocation=https://cdn.shopify.com/s/files/1/0918/6066/4603/files/37029b1bebdb7c8250187c91ee9f78d5.jpg?v=1776417576, friendlyName=Open</x:v>
      </x:c>
      <x:c r="C8086" s="24" t="e">
        <x:f>HYPERLINK("https://365nails.com/products/365nails-sailor-moon-luna-artemis-handmade-short-almond-press-on-nails","365nails: ""Sailor Moon Luna &amp; Artemis"" – Handmade Short Almond Press-On Nails")</x:f>
        <x:v>HYPERLINK is not implemented. linkLocation=https://365nails.com/products/365nails-sailor-moon-luna-artemis-handmade-short-almond-press-on-nails, friendlyName=365nails: "Sailor Moon Luna &amp; Artemis" – Handmade Short Almond Press-On Nails</x:v>
      </x:c>
      <x:c r="D8086" s="18" t="str">
        <x:v>Size: XS / S / M</x:v>
      </x:c>
      <x:c r="E8086" s="25" t="str">
        <x:v>$3.49</x:v>
      </x:c>
      <x:c r="F8086" s="19" t="str">
        <x:v>5</x:v>
      </x:c>
    </x:row>
    <x:row r="8087" ht="93" customHeight="1">
      <x:c r="A8087" s="19" t="n">
        <x:v>8084</x:v>
      </x:c>
      <x:c r="B8087" s="22" t="e">
        <x:f>HYPERLINK("https://cdn.shopify.com/s/files/1/0918/6066/4603/files/O1CN01BWbF4W1HlXAjCBQan__2545140798-0-cib.jpg?v=1773931658","Open")</x:f>
        <x:v>HYPERLINK is not implemented. linkLocation=https://cdn.shopify.com/s/files/1/0918/6066/4603/files/O1CN01BWbF4W1HlXAjCBQan__2545140798-0-cib.jpg?v=1773931658, friendlyName=Open</x:v>
      </x:c>
      <x:c r="C8087" s="24" t="e">
        <x:f>HYPERLINK("https://365nails.com/products/red-plaid-rhinestone-heart-crimson-plaid-love-5d-embossed-nail-sticker","Red Plaid &amp; Rhinestone Heart: ""Crimson Plaid Love"" – 5D Embossed Nail Sticker")</x:f>
        <x:v>HYPERLINK is not implemented. linkLocation=https://365nails.com/products/red-plaid-rhinestone-heart-crimson-plaid-love-5d-embossed-nail-sticker, friendlyName=Red Plaid &amp; Rhinestone Heart: "Crimson Plaid Love" – 5D Embossed Nail Sticker</x:v>
      </x:c>
      <x:c r="D8087" s="18" t="str">
        <x:v>Specification type: Md 014 / Md 017 / Md 018</x:v>
      </x:c>
      <x:c r="E8087" s="25" t="str">
        <x:v>$3.62–$3.91</x:v>
      </x:c>
      <x:c r="F8087" s="19" t="str">
        <x:v>5</x:v>
      </x:c>
    </x:row>
    <x:row r="8088" ht="93" customHeight="1">
      <x:c r="A8088" s="19" t="n">
        <x:v>8085</x:v>
      </x:c>
      <x:c r="B8088" s="22" t="e">
        <x:f>HYPERLINK("https://cdn.shopify.com/s/files/1/0918/6066/4603/files/9b86759faac0e892a1d7bbfd693cac33.jpg?v=1779093830","Open")</x:f>
        <x:v>HYPERLINK is not implemented. linkLocation=https://cdn.shopify.com/s/files/1/0918/6066/4603/files/9b86759faac0e892a1d7bbfd693cac33.jpg?v=1779093830, friendlyName=Open</x:v>
      </x:c>
      <x:c r="C8088" s="24" t="e">
        <x:f>HYPERLINK("https://365nails.com/products/365nails-sunset-tangerine-glow-handmade-3d-floral-press-on-long-square-nails","365nails: ""Sunset Tangerine Glow"" – Handmade 3D Floral Press-On Long Square Nails-4cm")</x:f>
        <x:v>HYPERLINK is not implemented. linkLocation=https://365nails.com/products/365nails-sunset-tangerine-glow-handmade-3d-floral-press-on-long-square-nails, friendlyName=365nails: "Sunset Tangerine Glow" – Handmade 3D Floral Press-On Long Square Nails-4cm</x:v>
      </x:c>
      <x:c r="D8088" s="18" t="str">
        <x:v>Size: S-4cm / M-4cm / L-4cm</x:v>
      </x:c>
      <x:c r="E8088" s="25" t="str">
        <x:v>$6.99</x:v>
      </x:c>
      <x:c r="F8088" s="19" t="str">
        <x:v>5</x:v>
      </x:c>
    </x:row>
    <x:row r="8089" ht="93" customHeight="1">
      <x:c r="A8089" s="19" t="n">
        <x:v>8086</x:v>
      </x:c>
      <x:c r="B8089" s="22" t="e">
        <x:f>HYPERLINK("https://cdn.shopify.com/s/files/1/0918/6066/4603/files/5b7a4849f6cf10a7cb68a78bc88f645e.jpg?v=1778240028","Open")</x:f>
        <x:v>HYPERLINK is not implemented. linkLocation=https://cdn.shopify.com/s/files/1/0918/6066/4603/files/5b7a4849f6cf10a7cb68a78bc88f645e.jpg?v=1778240028, friendlyName=Open</x:v>
      </x:c>
      <x:c r="C8089" s="24" t="e">
        <x:f>HYPERLINK("https://365nails.com/products/365nails-pastel-floral-princess-handmade-liquid-motion-press-on-long-pipe-nails","365nails: ""Pastel Floral Princess"" – Handmade Liquid Motion Press-On Long Pipe Nails-5.5cm")</x:f>
        <x:v>HYPERLINK is not implemented. linkLocation=https://365nails.com/products/365nails-pastel-floral-princess-handmade-liquid-motion-press-on-long-pipe-nails, friendlyName=365nails: "Pastel Floral Princess" – Handmade Liquid Motion Press-On Long Pipe Nails-5.5cm</x:v>
      </x:c>
      <x:c r="D8089" s="18" t="str">
        <x:v>Size: XS / S / M / L</x:v>
      </x:c>
      <x:c r="E8089" s="25" t="str">
        <x:v>$7.99</x:v>
      </x:c>
      <x:c r="F8089" s="19" t="str">
        <x:v>10</x:v>
      </x:c>
    </x:row>
    <x:row r="8090" ht="93" customHeight="1">
      <x:c r="A8090" s="19" t="n">
        <x:v>8087</x:v>
      </x:c>
      <x:c r="B8090" s="22" t="e">
        <x:f>HYPERLINK("https://cdn.shopify.com/s/files/1/0918/6066/4603/files/O1CN01TjfpSZ1HlX4qlwLZV__2545140798-0-cib.jpg?v=1774018019","Open")</x:f>
        <x:v>HYPERLINK is not implemented. linkLocation=https://cdn.shopify.com/s/files/1/0918/6066/4603/files/O1CN01TjfpSZ1HlX4qlwLZV__2545140798-0-cib.jpg?v=1774018019, friendlyName=Open</x:v>
      </x:c>
      <x:c r="C8090" s="24" t="e">
        <x:f>HYPERLINK("https://365nails.com/products/burgundy-mini-flower-pearl-accent-nail-sticker-set-crimson-petal-pearl","Burgundy Mini Flower &amp; Pearl Accent Nail Sticker Set – ""Crimson Petal Pearl""")</x:f>
        <x:v>HYPERLINK is not implemented. linkLocation=https://365nails.com/products/burgundy-mini-flower-pearl-accent-nail-sticker-set-crimson-petal-pearl, friendlyName=Burgundy Mini Flower &amp; Pearl Accent Nail Sticker Set – "Crimson Petal Pearl"</x:v>
      </x:c>
      <x:c r="D8090" s="18" t="str">
        <x:v>Specification type: To4758-crystal diamond / To4759-crystal diamond / To4801-crystal diamond</x:v>
      </x:c>
      <x:c r="E8090" s="25" t="str">
        <x:v>$1.30</x:v>
      </x:c>
      <x:c r="F8090" s="19" t="str">
        <x:v>5</x:v>
      </x:c>
    </x:row>
    <x:row r="8091" ht="93" customHeight="1">
      <x:c r="A8091" s="19" t="n">
        <x:v>8088</x:v>
      </x:c>
      <x:c r="B8091" s="22" t="e">
        <x:f>HYPERLINK("https://cdn.shopify.com/s/files/1/0918/6066/4603/files/O1CN01mv2hEw1HlX28zZyja__2545140798-0-cib.jpg?v=1774013351","Open")</x:f>
        <x:v>HYPERLINK is not implemented. linkLocation=https://cdn.shopify.com/s/files/1/0918/6066/4603/files/O1CN01mv2hEw1HlX28zZyja__2545140798-0-cib.jpg?v=1774013351, friendlyName=Open</x:v>
      </x:c>
      <x:c r="C8091" s="24" t="e">
        <x:f>HYPERLINK("https://365nails.com/products/red-spider-lily-oriental-calligraphy-nail-sticker-set-elegant-higanbana","Red Spider Lily &amp; Oriental Calligraphy Nail Sticker Set – ""Elegant Higanbana""")</x:f>
        <x:v>HYPERLINK is not implemented. linkLocation=https://365nails.com/products/red-spider-lily-oriental-calligraphy-nail-sticker-set-elegant-higanbana, friendlyName=Red Spider Lily &amp; Oriental Calligraphy Nail Sticker Set – "Elegant Higanbana"</x:v>
      </x:c>
      <x:c r="D8091" s="18" t="str">
        <x:v>Specification type: To4242 / To4255</x:v>
      </x:c>
      <x:c r="E8091" s="25" t="str">
        <x:v>$1.09</x:v>
      </x:c>
      <x:c r="F8091" s="19" t="str">
        <x:v>5</x:v>
      </x:c>
    </x:row>
    <x:row r="8092" ht="93" customHeight="1">
      <x:c r="A8092" s="19" t="n">
        <x:v>8089</x:v>
      </x:c>
      <x:c r="B8092" s="22" t="e">
        <x:f>HYPERLINK("https://cdn.shopify.com/s/files/1/0918/6066/4603/files/O1CN01w7FdHl1HlX5zwUZG8__2545140798-0-cib.jpg?v=1773491496","Open")</x:f>
        <x:v>HYPERLINK is not implemented. linkLocation=https://cdn.shopify.com/s/files/1/0918/6066/4603/files/O1CN01w7FdHl1HlX5zwUZG8__2545140798-0-cib.jpg?v=1773491496, friendlyName=Open</x:v>
      </x:c>
      <x:c r="C8092" s="24" t="e">
        <x:f>HYPERLINK("https://365nails.com/products/pink-tulip-collection-vintage-tulip-3d-embossed-nail-sticker","Pink Tulip Collection: ""Vintage Tulip"" – 3D Embossed Nail Sticker")</x:f>
        <x:v>HYPERLINK is not implemented. linkLocation=https://365nails.com/products/pink-tulip-collection-vintage-tulip-3d-embossed-nail-sticker, friendlyName=Pink Tulip Collection: "Vintage Tulip" – 3D Embossed Nail Sticker</x:v>
      </x:c>
      <x:c r="D8092" s="18" t="str">
        <x:v>Specification type: To4886-relief / To4958-shell light</x:v>
      </x:c>
      <x:c r="E8092" s="25" t="str">
        <x:v>$1.23</x:v>
      </x:c>
      <x:c r="F8092" s="19" t="str">
        <x:v>5</x:v>
      </x:c>
    </x:row>
    <x:row r="8093" ht="93" customHeight="1">
      <x:c r="A8093" s="19" t="n">
        <x:v>8090</x:v>
      </x:c>
      <x:c r="B8093" s="22" t="e">
        <x:f>HYPERLINK("https://cdn.shopify.com/s/files/1/0918/6066/4603/files/7071fea1e3400439d5c8656001fff194.jpg?v=1775293217","Open")</x:f>
        <x:v>HYPERLINK is not implemented. linkLocation=https://cdn.shopify.com/s/files/1/0918/6066/4603/files/7071fea1e3400439d5c8656001fff194.jpg?v=1775293217, friendlyName=Open</x:v>
      </x:c>
      <x:c r="C8093" s="24" t="e">
        <x:f>HYPERLINK("https://365nails.com/products/summer-bloom-rainbow-orchid-long-stiletto-press-on-nails","Summer Bloom: ""Rainbow Orchid"" – Long Stiletto Press-on Nails")</x:f>
        <x:v>HYPERLINK is not implemented. linkLocation=https://365nails.com/products/summer-bloom-rainbow-orchid-long-stiletto-press-on-nails, friendlyName=Summer Bloom: "Rainbow Orchid" – Long Stiletto Press-on Nails</x:v>
      </x:c>
      <x:c r="D8093" s="18" t="str">
        <x:v>Size: XS / S / M / L</x:v>
      </x:c>
      <x:c r="E8093" s="25" t="str">
        <x:v>$3.99</x:v>
      </x:c>
      <x:c r="F8093" s="19" t="str">
        <x:v>5</x:v>
      </x:c>
    </x:row>
    <x:row r="8094" ht="93" customHeight="1">
      <x:c r="A8094" s="19" t="n">
        <x:v>8091</x:v>
      </x:c>
      <x:c r="B8094" s="22" t="e">
        <x:f>HYPERLINK("https://cdn.shopify.com/s/files/1/0918/6066/4603/files/fd129b7e6a4fdec2bc2f160f044b55e6.jpg?v=1772803864","Open")</x:f>
        <x:v>HYPERLINK is not implemented. linkLocation=https://cdn.shopify.com/s/files/1/0918/6066/4603/files/fd129b7e6a4fdec2bc2f160f044b55e6.jpg?v=1772803864, friendlyName=Open</x:v>
      </x:c>
      <x:c r="C8094" s="24" t="e">
        <x:f>HYPERLINK("https://365nails.com/products/mint-green-butterfly-nail-stickers-5d-embossed-fresh-spring-set","Mint Green Butterfly Nail Stickers – 5D Embossed Fresh Spring Set")</x:f>
        <x:v>HYPERLINK is not implemented. linkLocation=https://365nails.com/products/mint-green-butterfly-nail-stickers-5d-embossed-fresh-spring-set, friendlyName=Mint Green Butterfly Nail Stickers – 5D Embossed Fresh Spring Set</x:v>
      </x:c>
      <x:c r="D8094" s="18" t="str">
        <x:v>Specification type: To3927-relief / To3928-shell light</x:v>
      </x:c>
      <x:c r="E8094" s="25" t="str">
        <x:v>$1.23</x:v>
      </x:c>
      <x:c r="F8094" s="19" t="str">
        <x:v>5</x:v>
      </x:c>
    </x:row>
    <x:row r="8095" ht="93" customHeight="1">
      <x:c r="A8095" s="19" t="n">
        <x:v>8092</x:v>
      </x:c>
      <x:c r="B8095" s="22" t="e">
        <x:f>HYPERLINK("https://cdn.shopify.com/s/files/1/0918/6066/4603/files/f912fada28d54c66a2f988ae63620b4a.jpg?v=1775480353","Open")</x:f>
        <x:v>HYPERLINK is not implemented. linkLocation=https://cdn.shopify.com/s/files/1/0918/6066/4603/files/f912fada28d54c66a2f988ae63620b4a.jpg?v=1775480353, friendlyName=Open</x:v>
      </x:c>
      <x:c r="C8095" s="24" t="e">
        <x:f>HYPERLINK("https://365nails.com/products/sweet-love-xo-love-heart-long-coffin-press-on-nails","Sweet Love: ""XO LOVE Heart"" – Long Coffin Press-on Nails")</x:f>
        <x:v>HYPERLINK is not implemented. linkLocation=https://365nails.com/products/sweet-love-xo-love-heart-long-coffin-press-on-nails, friendlyName=Sweet Love: "XO LOVE Heart" – Long Coffin Press-on Nails</x:v>
      </x:c>
      <x:c r="D8095" s="18" t="str">
        <x:v>Size: XS / S / M / L</x:v>
      </x:c>
      <x:c r="E8095" s="25" t="str">
        <x:v>$3.99</x:v>
      </x:c>
      <x:c r="F8095" s="19" t="str">
        <x:v>5</x:v>
      </x:c>
    </x:row>
    <x:row r="8096" ht="93" customHeight="1">
      <x:c r="A8096" s="19" t="n">
        <x:v>8093</x:v>
      </x:c>
      <x:c r="B8096" s="22" t="e">
        <x:f>HYPERLINK("https://cdn.shopify.com/s/files/1/0918/6066/4603/files/e6b01e59aaf3adeb26e186b246645d8f_d4f77792-d6ad-4b8a-8a6a-a687f9e58ac2.jpg?v=1774081852","Open")</x:f>
        <x:v>HYPERLINK is not implemented. linkLocation=https://cdn.shopify.com/s/files/1/0918/6066/4603/files/e6b01e59aaf3adeb26e186b246645d8f_d4f77792-d6ad-4b8a-8a6a-a687f9e58ac2.jpg?v=1774081852, friendlyName=Open</x:v>
      </x:c>
      <x:c r="C8096" s="24" t="e">
        <x:f>HYPERLINK("https://365nails.com/products/cosmic-fatale-pink-fantasy-sword-veil-long-sharp-stiletto-handmade-press-on-nails","Cosmic Fatale: ""Pink Fantasy Sword Veil"" – Long Sharp Stiletto Handmade Press On Nails")</x:f>
        <x:v>HYPERLINK is not implemented. linkLocation=https://365nails.com/products/cosmic-fatale-pink-fantasy-sword-veil-long-sharp-stiletto-handmade-press-on-nails, friendlyName=Cosmic Fatale: "Pink Fantasy Sword Veil" – Long Sharp Stiletto Handmade Press On Nails</x:v>
      </x:c>
      <x:c r="D8096" s="18" t="str">
        <x:v>Size: XS / S / M / L</x:v>
      </x:c>
      <x:c r="E8096" s="25" t="str">
        <x:v>$3.99</x:v>
      </x:c>
      <x:c r="F8096" s="19" t="str">
        <x:v>5</x:v>
      </x:c>
    </x:row>
    <x:row r="8097" ht="93" customHeight="1">
      <x:c r="A8097" s="19" t="n">
        <x:v>8094</x:v>
      </x:c>
      <x:c r="B8097" s="22" t="e">
        <x:f>HYPERLINK("https://cdn.shopify.com/s/files/1/0918/6066/4603/files/e91e646952fe0f15c3b356829ae3e180.jpg?v=1774081696","Open")</x:f>
        <x:v>HYPERLINK is not implemented. linkLocation=https://cdn.shopify.com/s/files/1/0918/6066/4603/files/e91e646952fe0f15c3b356829ae3e180.jpg?v=1774081696, friendlyName=Open</x:v>
      </x:c>
      <x:c r="C8097" s="24" t="e">
        <x:f>HYPERLINK("https://365nails.com/products/cosmic-fatale-plum-galaxy-ombre-long-sharp-stiletto-handmade-press-on-nails","Cosmic Fatale: ""Plum Galaxy Ombre"" – Long Sharp Stiletto Handmade Press On Nails")</x:f>
        <x:v>HYPERLINK is not implemented. linkLocation=https://365nails.com/products/cosmic-fatale-plum-galaxy-ombre-long-sharp-stiletto-handmade-press-on-nails, friendlyName=Cosmic Fatale: "Plum Galaxy Ombre" – Long Sharp Stiletto Handmade Press On Nails</x:v>
      </x:c>
      <x:c r="D8097" s="18" t="str">
        <x:v>Size: XS / S / M / L</x:v>
      </x:c>
      <x:c r="E8097" s="25" t="str">
        <x:v>$3.99</x:v>
      </x:c>
      <x:c r="F8097" s="19" t="str">
        <x:v>5</x:v>
      </x:c>
    </x:row>
    <x:row r="8098" ht="93" customHeight="1">
      <x:c r="A8098" s="19" t="n">
        <x:v>8095</x:v>
      </x:c>
      <x:c r="B8098" s="22" t="e">
        <x:f>HYPERLINK("https://cdn.shopify.com/s/files/1/0918/6066/4603/files/O1CN014uvtnn1HlWuYTFZb2__2545140798-0-cib.jpg?v=1774011539","Open")</x:f>
        <x:v>HYPERLINK is not implemented. linkLocation=https://cdn.shopify.com/s/files/1/0918/6066/4603/files/O1CN014uvtnn1HlWuYTFZb2__2545140798-0-cib.jpg?v=1774011539, friendlyName=Open</x:v>
      </x:c>
      <x:c r="C8098" s="24" t="e">
        <x:f>HYPERLINK("https://365nails.com/products/pastel-beaded-flower-musical-note-little-flower-garden-melody-5d-embossed-nail-sticker","Pastel Beaded Flower &amp; Musical Note: ""Little Flower Garden Melody"" – 5D Embossed Nail Sticker")</x:f>
        <x:v>HYPERLINK is not implemented. linkLocation=https://365nails.com/products/pastel-beaded-flower-musical-note-little-flower-garden-melody-5d-embossed-nail-sticker, friendlyName=Pastel Beaded Flower &amp; Musical Note: "Little Flower Garden Melody" – 5D Embossed Nail Sticker</x:v>
      </x:c>
      <x:c r="D8098" s="18" t="str">
        <x:v>Specification type: To3085</x:v>
      </x:c>
      <x:c r="E8098" s="25" t="str">
        <x:v>$1.23</x:v>
      </x:c>
      <x:c r="F8098" s="19" t="str">
        <x:v>5</x:v>
      </x:c>
    </x:row>
    <x:row r="8099" ht="93" customHeight="1">
      <x:c r="A8099" s="19" t="n">
        <x:v>8096</x:v>
      </x:c>
      <x:c r="B8099" s="22" t="e">
        <x:f>HYPERLINK("https://cdn.shopify.com/s/files/1/0918/6066/4603/files/O1CN01wwizrp1HlWxTTXH9P__2545140798-0-cib.jpg?v=1773930643","Open")</x:f>
        <x:v>HYPERLINK is not implemented. linkLocation=https://cdn.shopify.com/s/files/1/0918/6066/4603/files/O1CN01wwizrp1HlWxTTXH9P__2545140798-0-cib.jpg?v=1773930643, friendlyName=Open</x:v>
      </x:c>
      <x:c r="C8099" s="24" t="e">
        <x:f>HYPERLINK("https://365nails.com/products/holographic-crane-crystal-aurora-crane-5d-embossed-nail-sticker","Holographic Crane &amp; Crystal: ""Aurora Crane"" – 5D Embossed Nail Sticker")</x:f>
        <x:v>HYPERLINK is not implemented. linkLocation=https://365nails.com/products/holographic-crane-crystal-aurora-crane-5d-embossed-nail-sticker, friendlyName=Holographic Crane &amp; Crystal: "Aurora Crane" – 5D Embossed Nail Sticker</x:v>
      </x:c>
      <x:c r="D8099" s="18" t="str">
        <x:v>Specification type: Ms476-crystal diamond / To3529-crystal diamond / To3530-crystal diamond</x:v>
      </x:c>
      <x:c r="E8099" s="25" t="str">
        <x:v>$1.34</x:v>
      </x:c>
      <x:c r="F8099" s="19" t="str">
        <x:v>5</x:v>
      </x:c>
    </x:row>
    <x:row r="8100" ht="93" customHeight="1">
      <x:c r="A8100" s="19" t="n">
        <x:v>8097</x:v>
      </x:c>
      <x:c r="B8100" s="22" t="e">
        <x:f>HYPERLINK("https://cdn.shopify.com/s/files/1/0918/6066/4603/files/599e721e3a22ed917ca9d62ed10a568a.jpg?v=1768974956","Open")</x:f>
        <x:v>HYPERLINK is not implemented. linkLocation=https://cdn.shopify.com/s/files/1/0918/6066/4603/files/599e721e3a22ed917ca9d62ed10a568a.jpg?v=1768974956, friendlyName=Open</x:v>
      </x:c>
      <x:c r="C8100" s="24" t="e">
        <x:f>HYPERLINK("https://365nails.com/products/snow-top-red-velvet-tipsy-mulled-wine-vintage-burgundy-white-marble-nails-handmade-smudge-series","Snow Top Red Velvet &amp; Tipsy Mulled Wine Vintage Burgundy White Marble Nails ｜ Handmade Smudge Series(moq=30)")</x:f>
        <x:v>HYPERLINK is not implemented. linkLocation=https://365nails.com/products/snow-top-red-velvet-tipsy-mulled-wine-vintage-burgundy-white-marble-nails-handmade-smudge-series, friendlyName=Snow Top Red Velvet &amp; Tipsy Mulled Wine Vintage Burgundy White Marble Nails ｜ Handmade Smudge Series(moq=30)</x:v>
      </x:c>
      <x:c r="D8100" s="18" t="str">
        <x:v>Size: XS / S / M / L</x:v>
      </x:c>
      <x:c r="E8100" s="25" t="str">
        <x:v>$2.99</x:v>
      </x:c>
      <x:c r="F8100" s="19" t="str">
        <x:v>30</x:v>
      </x:c>
    </x:row>
    <x:row r="8101" ht="93" customHeight="1">
      <x:c r="A8101" s="19" t="n">
        <x:v>8098</x:v>
      </x:c>
      <x:c r="B8101" s="22" t="e">
        <x:f>HYPERLINK("https://cdn.shopify.com/s/files/1/0918/6066/4603/files/cae4e69f3f55dd3ad24eccc0ec2b32bd.jpg?v=1768895879","Open")</x:f>
        <x:v>HYPERLINK is not implemented. linkLocation=https://cdn.shopify.com/s/files/1/0918/6066/4603/files/cae4e69f3f55dd3ad24eccc0ec2b32bd.jpg?v=1768895879, friendlyName=Open</x:v>
      </x:c>
      <x:c r="C8101" s="24" t="e">
        <x:f>HYPERLINK("https://365nails.com/products/handmade-smudge-series-misty-river-glacial-monet-blue-green-nails","Misty River &amp; Glacial Monet Blue-Green Nails｜Handmade Smudge Series(moq=30)")</x:f>
        <x:v>HYPERLINK is not implemented. linkLocation=https://365nails.com/products/handmade-smudge-series-misty-river-glacial-monet-blue-green-nails, friendlyName=Misty River &amp; Glacial Monet Blue-Green Nails｜Handmade Smudge Series(moq=30)</x:v>
      </x:c>
      <x:c r="D8101" s="18" t="str">
        <x:v>Size: XS / S / M / L</x:v>
      </x:c>
      <x:c r="E8101" s="25" t="str">
        <x:v>$2.99</x:v>
      </x:c>
      <x:c r="F8101" s="19" t="str">
        <x:v>30</x:v>
      </x:c>
    </x:row>
    <x:row r="8102" ht="93" customHeight="1">
      <x:c r="A8102" s="19" t="n">
        <x:v>8099</x:v>
      </x:c>
      <x:c r="B8102" s="22" t="e">
        <x:f>HYPERLINK("https://cdn.shopify.com/s/files/1/0918/6066/4603/files/b30d7d0ce281e79bdd7f61e2d07493c9.jpg?v=1768974944","Open")</x:f>
        <x:v>HYPERLINK is not implemented. linkLocation=https://cdn.shopify.com/s/files/1/0918/6066/4603/files/b30d7d0ce281e79bdd7f61e2d07493c9.jpg?v=1768974944, friendlyName=Open</x:v>
      </x:c>
      <x:c r="C8102" s="24" t="e">
        <x:f>HYPERLINK("https://365nails.com/products/van-goghs-night-mystic-aurora-vintage-purple-green-contrast-oil-painting-nails-handmade-smudge-series","Van Gogh's Night &amp; Mystic Aurora Vintage Purple Green Contrast Oil Painting Nails ｜ Handmade Smudge Series(moq=30)")</x:f>
        <x:v>HYPERLINK is not implemented. linkLocation=https://365nails.com/products/van-goghs-night-mystic-aurora-vintage-purple-green-contrast-oil-painting-nails-handmade-smudge-series, friendlyName=Van Gogh's Night &amp; Mystic Aurora Vintage Purple Green Contrast Oil Painting Nails ｜ Handmade Smudge Series(moq=30)</x:v>
      </x:c>
      <x:c r="D8102" s="18" t="str">
        <x:v>Size: XS / S / M / L</x:v>
      </x:c>
      <x:c r="E8102" s="25" t="str">
        <x:v>$2.99</x:v>
      </x:c>
      <x:c r="F8102" s="19" t="str">
        <x:v>30</x:v>
      </x:c>
    </x:row>
    <x:row r="8103" ht="93" customHeight="1">
      <x:c r="A8103" s="19" t="n">
        <x:v>8100</x:v>
      </x:c>
      <x:c r="B8103" s="22" t="e">
        <x:f>HYPERLINK("https://cdn.shopify.com/s/files/1/0918/6066/4603/files/379cdd635c1996ad726d895a9ae7dd74_3d5916c2-b708-45a3-af7d-15d630ae3a48.jpg?v=1779161617","Open")</x:f>
        <x:v>HYPERLINK is not implemented. linkLocation=https://cdn.shopify.com/s/files/1/0918/6066/4603/files/379cdd635c1996ad726d895a9ae7dd74_3d5916c2-b708-45a3-af7d-15d630ae3a48.jpg?v=1779161617, friendlyName=Open</x:v>
      </x:c>
      <x:c r="C8103" s="24" t="e">
        <x:f>HYPERLINK("https://365nails.com/products/365nails-neon-pop-rainbow-handmade-liquid-motion-press-on-medium-square-nails","365nails: ""Neon Pop Rainbow"" – Handmade Liquid Motion Press-On Medium Square Nails-4cm")</x:f>
        <x:v>HYPERLINK is not implemented. linkLocation=https://365nails.com/products/365nails-neon-pop-rainbow-handmade-liquid-motion-press-on-medium-square-nails, friendlyName=365nails: "Neon Pop Rainbow" – Handmade Liquid Motion Press-On Medium Square Nails-4cm</x:v>
      </x:c>
      <x:c r="D8103" s="18" t="str">
        <x:v>Size: S-4cm / M-4cm / L-4cm</x:v>
      </x:c>
      <x:c r="E8103" s="25" t="str">
        <x:v>$6.99</x:v>
      </x:c>
      <x:c r="F8103" s="19" t="str">
        <x:v>5</x:v>
      </x:c>
    </x:row>
    <x:row r="8104" ht="93" customHeight="1">
      <x:c r="A8104" s="19" t="n">
        <x:v>8101</x:v>
      </x:c>
      <x:c r="B8104" s="22" t="e">
        <x:f>HYPERLINK("https://cdn.shopify.com/s/files/1/0918/6066/4603/files/f210ee3c8ac5ea8e85d779985fd74e43.jpg?v=1768974968","Open")</x:f>
        <x:v>HYPERLINK is not implemented. linkLocation=https://cdn.shopify.com/s/files/1/0918/6066/4603/files/f210ee3c8ac5ea8e85d779985fd74e43.jpg?v=1768974968, friendlyName=Open</x:v>
      </x:c>
      <x:c r="C8104" s="24" t="e">
        <x:f>HYPERLINK("https://365nails.com/products/twilight-amber-vintage-purple-gold-oil-painting-cat-eye-nails-handmade-smudge-series","Twilight Amber &amp; Vintage Purple Gold Oil Painting Cat Eye Nails ｜ Handmade Smudge Series(moq=30)")</x:f>
        <x:v>HYPERLINK is not implemented. linkLocation=https://365nails.com/products/twilight-amber-vintage-purple-gold-oil-painting-cat-eye-nails-handmade-smudge-series, friendlyName=Twilight Amber &amp; Vintage Purple Gold Oil Painting Cat Eye Nails ｜ Handmade Smudge Series(moq=30)</x:v>
      </x:c>
      <x:c r="D8104" s="18" t="str">
        <x:v>Size: XS / S / M / L</x:v>
      </x:c>
      <x:c r="E8104" s="25" t="str">
        <x:v>$2.99</x:v>
      </x:c>
      <x:c r="F8104" s="19" t="str">
        <x:v>30</x:v>
      </x:c>
    </x:row>
    <x:row r="8105" ht="93" customHeight="1">
      <x:c r="A8105" s="19" t="n">
        <x:v>8102</x:v>
      </x:c>
      <x:c r="B8105" s="22" t="e">
        <x:f>HYPERLINK("https://cdn.shopify.com/s/files/1/0918/6066/4603/files/a7c31bf3d7010642efc72912b388c259.jpg?v=1768965527","Open")</x:f>
        <x:v>HYPERLINK is not implemented. linkLocation=https://cdn.shopify.com/s/files/1/0918/6066/4603/files/a7c31bf3d7010642efc72912b388c259.jpg?v=1768965527, friendlyName=Open</x:v>
      </x:c>
      <x:c r="C8105" s="24" t="e">
        <x:f>HYPERLINK("https://365nails.com/products/ice-blue-berry-rose-ink-wash-smoke-marble-pearl-shimmer-nails-handmade-smudge-series","Ice Blue &amp; Berry Rose Ink Wash Smoke Marble Pearl Shimmer Nails ｜ Handmade Smudge Series(moq=30)")</x:f>
        <x:v>HYPERLINK is not implemented. linkLocation=https://365nails.com/products/ice-blue-berry-rose-ink-wash-smoke-marble-pearl-shimmer-nails-handmade-smudge-series, friendlyName=Ice Blue &amp; Berry Rose Ink Wash Smoke Marble Pearl Shimmer Nails ｜ Handmade Smudge Series(moq=30)</x:v>
      </x:c>
      <x:c r="D8105" s="18" t="str">
        <x:v>Size: XS / S / M / L</x:v>
      </x:c>
      <x:c r="E8105" s="25" t="str">
        <x:v>$2.99</x:v>
      </x:c>
      <x:c r="F8105" s="19" t="str">
        <x:v>30</x:v>
      </x:c>
    </x:row>
    <x:row r="8106" ht="93" customHeight="1">
      <x:c r="A8106" s="19" t="n">
        <x:v>8103</x:v>
      </x:c>
      <x:c r="B8106" s="22" t="e">
        <x:f>HYPERLINK("https://cdn.shopify.com/s/files/1/0918/6066/4603/files/4abbbd093f5d4ac3e228518484848eed.jpg?v=1779161819","Open")</x:f>
        <x:v>HYPERLINK is not implemented. linkLocation=https://cdn.shopify.com/s/files/1/0918/6066/4603/files/4abbbd093f5d4ac3e228518484848eed.jpg?v=1779161819, friendlyName=Open</x:v>
      </x:c>
      <x:c r="C8106" s="24" t="e">
        <x:f>HYPERLINK("https://365nails.com/products/365nails-sunset-orchid-glow-handmade-liquid-motion-press-on-medium-square-nails","365nails: ""Sunset Orchid Glow"" – Handmade Liquid Motion Press-On Medium Square Nails-4cm")</x:f>
        <x:v>HYPERLINK is not implemented. linkLocation=https://365nails.com/products/365nails-sunset-orchid-glow-handmade-liquid-motion-press-on-medium-square-nails, friendlyName=365nails: "Sunset Orchid Glow" – Handmade Liquid Motion Press-On Medium Square Nails-4cm</x:v>
      </x:c>
      <x:c r="D8106" s="18" t="str">
        <x:v>Size: S-4cm / M-4cm / L-4cm</x:v>
      </x:c>
      <x:c r="E8106" s="25" t="str">
        <x:v>$6.99</x:v>
      </x:c>
      <x:c r="F8106" s="19" t="str">
        <x:v>5</x:v>
      </x:c>
    </x:row>
    <x:row r="8107" ht="93" customHeight="1">
      <x:c r="A8107" s="19" t="n">
        <x:v>8104</x:v>
      </x:c>
      <x:c r="B8107" s="22" t="e">
        <x:f>HYPERLINK("https://cdn.shopify.com/s/files/1/0918/6066/4603/files/78700f3484c1b0ad6a3c45514230158f.jpg?v=1775222382","Open")</x:f>
        <x:v>HYPERLINK is not implemented. linkLocation=https://cdn.shopify.com/s/files/1/0918/6066/4603/files/78700f3484c1b0ad6a3c45514230158f.jpg?v=1775222382, friendlyName=Open</x:v>
      </x:c>
      <x:c r="C8107" s="24" t="e">
        <x:f>HYPERLINK("https://365nails.com/products/gothic-noir-viviennes-legacy-long-stiletto-press-on-nails","Gothic Noir: ""Vivienne's Legacy"" – Long Stiletto Press-on Nails")</x:f>
        <x:v>HYPERLINK is not implemented. linkLocation=https://365nails.com/products/gothic-noir-viviennes-legacy-long-stiletto-press-on-nails, friendlyName=Gothic Noir: "Vivienne's Legacy" – Long Stiletto Press-on Nails</x:v>
      </x:c>
      <x:c r="D8107" s="18" t="str">
        <x:v>Size: XS / S / M / L</x:v>
      </x:c>
      <x:c r="E8107" s="25" t="str">
        <x:v>$3.99</x:v>
      </x:c>
      <x:c r="F8107" s="19" t="str">
        <x:v>3</x:v>
      </x:c>
    </x:row>
    <x:row r="8108" ht="93" customHeight="1">
      <x:c r="A8108" s="19" t="n">
        <x:v>8105</x:v>
      </x:c>
      <x:c r="B8108" s="22" t="e">
        <x:f>HYPERLINK("https://cdn.shopify.com/s/files/1/0918/6066/4603/files/dfce7ebecb5e045a5d3f9c0c78cc8b12.jpg?v=1768987158","Open")</x:f>
        <x:v>HYPERLINK is not implemented. linkLocation=https://cdn.shopify.com/s/files/1/0918/6066/4603/files/dfce7ebecb5e045a5d3f9c0c78cc8b12.jpg?v=1768987158, friendlyName=Open</x:v>
      </x:c>
      <x:c r="C8108" s="24" t="e">
        <x:f>HYPERLINK("https://365nails.com/products/tundra-iris-twilight-forest-olive-green-violet-smudge-nails-handmade-smudge-series","Tundra Iris &amp; Twilight Forest Olive Green &amp; Violet Smudge Nails ｜ Handmade Smudge Series(moq=30)")</x:f>
        <x:v>HYPERLINK is not implemented. linkLocation=https://365nails.com/products/tundra-iris-twilight-forest-olive-green-violet-smudge-nails-handmade-smudge-series, friendlyName=Tundra Iris &amp; Twilight Forest Olive Green &amp; Violet Smudge Nails ｜ Handmade Smudge Series(moq=30)</x:v>
      </x:c>
      <x:c r="D8108" s="18" t="str">
        <x:v>Size: XS / S / M / L</x:v>
      </x:c>
      <x:c r="E8108" s="25" t="str">
        <x:v>$2.99</x:v>
      </x:c>
      <x:c r="F8108" s="19" t="str">
        <x:v>30</x:v>
      </x:c>
    </x:row>
    <x:row r="8109" ht="93" customHeight="1">
      <x:c r="A8109" s="19" t="n">
        <x:v>8106</x:v>
      </x:c>
      <x:c r="B8109" s="22" t="e">
        <x:f>HYPERLINK("https://cdn.shopify.com/s/files/1/0918/6066/4603/files/O1CN01jTpqHk1HlWjTOo0nD__2545140798-0-cib.jpg?v=1773581881","Open")</x:f>
        <x:v>HYPERLINK is not implemented. linkLocation=https://cdn.shopify.com/s/files/1/0918/6066/4603/files/O1CN01jTpqHk1HlWjTOo0nD__2545140798-0-cib.jpg?v=1773581881, friendlyName=Open</x:v>
      </x:c>
      <x:c r="C8109" s="24" t="e">
        <x:f>HYPERLINK("https://365nails.com/products/cloud-star-dreamy-night-sky-3d-embossed-nail-sticker","Cloud &amp; Star: ""Dreamy Night Sky"" – 3D Embossed Nail Sticker")</x:f>
        <x:v>HYPERLINK is not implemented. linkLocation=https://365nails.com/products/cloud-star-dreamy-night-sky-3d-embossed-nail-sticker, friendlyName=Cloud &amp; Star: "Dreamy Night Sky" – 3D Embossed Nail Sticker</x:v>
      </x:c>
      <x:c r="D8109" s="18" t="str">
        <x:v>Specification type: To468 / To652 / To436 / To437 / To438 / To618 / To619 / To620</x:v>
      </x:c>
      <x:c r="E8109" s="25" t="str">
        <x:v>$1.09</x:v>
      </x:c>
      <x:c r="F8109" s="19" t="str">
        <x:v>5</x:v>
      </x:c>
    </x:row>
    <x:row r="8110" ht="93" customHeight="1">
      <x:c r="A8110" s="19" t="n">
        <x:v>8107</x:v>
      </x:c>
      <x:c r="B8110" s="22" t="e">
        <x:f>HYPERLINK("https://cdn.shopify.com/s/files/1/0918/6066/4603/files/7d9ab7cb171ecd0ee96cb65fbb1cd2e8_ef122a3a-5302-42a8-8e04-69c8932cd2c5.jpg?v=1779157615","Open")</x:f>
        <x:v>HYPERLINK is not implemented. linkLocation=https://cdn.shopify.com/s/files/1/0918/6066/4603/files/7d9ab7cb171ecd0ee96cb65fbb1cd2e8_ef122a3a-5302-42a8-8e04-69c8932cd2c5.jpg?v=1779157615, friendlyName=Open</x:v>
      </x:c>
      <x:c r="C8110" s="24" t="e">
        <x:f>HYPERLINK("https://365nails.com/products/365nails-candy-water-lily-handmade-liquid-motion-press-on-medium-square-nails","365nails: ""Candy Water Lily"" – Handmade Liquid Motion Press-On Medium Square Nails-3.5cm")</x:f>
        <x:v>HYPERLINK is not implemented. linkLocation=https://365nails.com/products/365nails-candy-water-lily-handmade-liquid-motion-press-on-medium-square-nails, friendlyName=365nails: "Candy Water Lily" – Handmade Liquid Motion Press-On Medium Square Nails-3.5cm</x:v>
      </x:c>
      <x:c r="D8110" s="18" t="str">
        <x:v>Size: S-3.5cm / M-3.5cm / L-3.5cm</x:v>
      </x:c>
      <x:c r="E8110" s="25" t="str">
        <x:v>$6.99</x:v>
      </x:c>
      <x:c r="F8110" s="19" t="str">
        <x:v>5</x:v>
      </x:c>
    </x:row>
    <x:row r="8111" ht="93" customHeight="1">
      <x:c r="A8111" s="19" t="n">
        <x:v>8108</x:v>
      </x:c>
      <x:c r="B8111" s="22" t="e">
        <x:f>HYPERLINK("https://cdn.shopify.com/s/files/1/0918/6066/4603/files/5bac304862518df4e88d363441de467e.jpg?v=1779161399","Open")</x:f>
        <x:v>HYPERLINK is not implemented. linkLocation=https://cdn.shopify.com/s/files/1/0918/6066/4603/files/5bac304862518df4e88d363441de467e.jpg?v=1779161399, friendlyName=Open</x:v>
      </x:c>
      <x:c r="C8111" s="24" t="e">
        <x:f>HYPERLINK("https://365nails.com/products/365nails-scarlet-petal-splendor-handmade-liquid-motion-press-on-medium-square-nails","365nails: ""Scarlet Petal Splendor"" – Handmade Liquid Motion Press-On Medium Square Nails-4cm")</x:f>
        <x:v>HYPERLINK is not implemented. linkLocation=https://365nails.com/products/365nails-scarlet-petal-splendor-handmade-liquid-motion-press-on-medium-square-nails, friendlyName=365nails: "Scarlet Petal Splendor" – Handmade Liquid Motion Press-On Medium Square Nails-4cm</x:v>
      </x:c>
      <x:c r="D8111" s="18" t="str">
        <x:v>Size: S-4cm / M-4cm / L-4cm</x:v>
      </x:c>
      <x:c r="E8111" s="25" t="str">
        <x:v>$6.99</x:v>
      </x:c>
      <x:c r="F8111" s="19" t="str">
        <x:v>5</x:v>
      </x:c>
    </x:row>
    <x:row r="8112" ht="93" customHeight="1">
      <x:c r="A8112" s="19" t="n">
        <x:v>8109</x:v>
      </x:c>
      <x:c r="B8112" s="22" t="e">
        <x:f>HYPERLINK("https://cdn.shopify.com/s/files/1/0918/6066/4603/files/5c5fa3f4a8d0aad026c79781f734279d.jpg?v=1779161298","Open")</x:f>
        <x:v>HYPERLINK is not implemented. linkLocation=https://cdn.shopify.com/s/files/1/0918/6066/4603/files/5c5fa3f4a8d0aad026c79781f734279d.jpg?v=1779161298, friendlyName=Open</x:v>
      </x:c>
      <x:c r="C8112" s="24" t="e">
        <x:f>HYPERLINK("https://365nails.com/products/365nails-monster-bloom-kawaii-handmade-liquid-motion-press-on-medium-square-nails","365nails: ""Monster Bloom Kawaii"" – Handmade Liquid Motion Press-On Medium Square Nails-4cm")</x:f>
        <x:v>HYPERLINK is not implemented. linkLocation=https://365nails.com/products/365nails-monster-bloom-kawaii-handmade-liquid-motion-press-on-medium-square-nails, friendlyName=365nails: "Monster Bloom Kawaii" – Handmade Liquid Motion Press-On Medium Square Nails-4cm</x:v>
      </x:c>
      <x:c r="D8112" s="18" t="str">
        <x:v>Size: XS-4cm / S-4cm / M-4cm / L-4cm</x:v>
      </x:c>
      <x:c r="E8112" s="25" t="str">
        <x:v>$6.99</x:v>
      </x:c>
      <x:c r="F8112" s="19" t="str">
        <x:v>5</x:v>
      </x:c>
    </x:row>
    <x:row r="8113" ht="93" customHeight="1">
      <x:c r="A8113" s="19" t="n">
        <x:v>8110</x:v>
      </x:c>
      <x:c r="B8113" s="22" t="e">
        <x:f>HYPERLINK("https://cdn.shopify.com/s/files/1/0918/6066/4603/files/808571abd73db0836c96928b8fd9ba88.jpg?v=1775479511","Open")</x:f>
        <x:v>HYPERLINK is not implemented. linkLocation=https://cdn.shopify.com/s/files/1/0918/6066/4603/files/808571abd73db0836c96928b8fd9ba88.jpg?v=1775479511, friendlyName=Open</x:v>
      </x:c>
      <x:c r="C8113" s="24" t="e">
        <x:f>HYPERLINK("https://365nails.com/products/wild-bloom-yellow-leopard-heart-long-coffin-press-on-nails","Wild Bloom: ""Yellow Leopard Heart"" – Long Coffin Press-on Nails")</x:f>
        <x:v>HYPERLINK is not implemented. linkLocation=https://365nails.com/products/wild-bloom-yellow-leopard-heart-long-coffin-press-on-nails, friendlyName=Wild Bloom: "Yellow Leopard Heart" – Long Coffin Press-on Nails</x:v>
      </x:c>
      <x:c r="D8113" s="18" t="str">
        <x:v>Size: XS / S / M / L</x:v>
      </x:c>
      <x:c r="E8113" s="25" t="str">
        <x:v>$3.99</x:v>
      </x:c>
      <x:c r="F8113" s="19" t="str">
        <x:v>5</x:v>
      </x:c>
    </x:row>
    <x:row r="8114" ht="93" customHeight="1">
      <x:c r="A8114" s="19" t="n">
        <x:v>8111</x:v>
      </x:c>
      <x:c r="B8114" s="22" t="e">
        <x:f>HYPERLINK("https://cdn.shopify.com/s/files/1/0918/6066/4603/files/c7b477b71f74577f5b05f74ed5c7b096_6b3fde7a-c3b1-4146-8340-3be6f3ea602e.jpg?v=1779156768","Open")</x:f>
        <x:v>HYPERLINK is not implemented. linkLocation=https://cdn.shopify.com/s/files/1/0918/6066/4603/files/c7b477b71f74577f5b05f74ed5c7b096_6b3fde7a-c3b1-4146-8340-3be6f3ea602e.jpg?v=1779156768, friendlyName=Open</x:v>
      </x:c>
      <x:c r="C8114" s="24" t="e">
        <x:f>HYPERLINK("https://365nails.com/products/365nails-lavender-orchid-shimmer-handmade-liquid-motion-press-on-medium-square-nails","365nails: ""Lavender Orchid Shimmer"" – Handmade Liquid Motion Press-On Medium Square Nails-3cm")</x:f>
        <x:v>HYPERLINK is not implemented. linkLocation=https://365nails.com/products/365nails-lavender-orchid-shimmer-handmade-liquid-motion-press-on-medium-square-nails, friendlyName=365nails: "Lavender Orchid Shimmer" – Handmade Liquid Motion Press-On Medium Square Nails-3cm</x:v>
      </x:c>
      <x:c r="D8114" s="18" t="str">
        <x:v>Size: S-3cm / M-3cm / L-3cm</x:v>
      </x:c>
      <x:c r="E8114" s="25" t="str">
        <x:v>$6.99</x:v>
      </x:c>
      <x:c r="F8114" s="19" t="str">
        <x:v>5</x:v>
      </x:c>
    </x:row>
    <x:row r="8115" ht="93" customHeight="1">
      <x:c r="A8115" s="19" t="n">
        <x:v>8112</x:v>
      </x:c>
      <x:c r="B8115" s="22" t="e">
        <x:f>HYPERLINK("https://cdn.shopify.com/s/files/1/0918/6066/4603/files/f8981d0165397193183c322714c253b2_98a499d7-2137-410f-9b70-6d3c86458aa4.jpg?v=1779161150","Open")</x:f>
        <x:v>HYPERLINK is not implemented. linkLocation=https://cdn.shopify.com/s/files/1/0918/6066/4603/files/f8981d0165397193183c322714c253b2_98a499d7-2137-410f-9b70-6d3c86458aa4.jpg?v=1779161150, friendlyName=Open</x:v>
      </x:c>
      <x:c r="C8115" s="24" t="e">
        <x:f>HYPERLINK("https://365nails.com/products/365nails-sunset-tangerine-bloom-handmade-liquid-motion-press-on-medium-square-nails","365nails: ""Sunset Tangerine Bloom"" – Handmade Liquid Motion Press-On Medium Square Nails-4cm")</x:f>
        <x:v>HYPERLINK is not implemented. linkLocation=https://365nails.com/products/365nails-sunset-tangerine-bloom-handmade-liquid-motion-press-on-medium-square-nails, friendlyName=365nails: "Sunset Tangerine Bloom" – Handmade Liquid Motion Press-On Medium Square Nails-4cm</x:v>
      </x:c>
      <x:c r="D8115" s="18" t="str">
        <x:v>Size: S-4cm / M-4cm / L-4cm</x:v>
      </x:c>
      <x:c r="E8115" s="25" t="str">
        <x:v>$6.99</x:v>
      </x:c>
      <x:c r="F8115" s="19" t="str">
        <x:v>5</x:v>
      </x:c>
    </x:row>
    <x:row r="8116" ht="93" customHeight="1">
      <x:c r="A8116" s="19" t="n">
        <x:v>8113</x:v>
      </x:c>
      <x:c r="B8116" s="22" t="e">
        <x:f>HYPERLINK("https://cdn.shopify.com/s/files/1/0918/6066/4603/files/e1864b4add805c87af10014ec737c0e8.jpg?v=1775293345","Open")</x:f>
        <x:v>HYPERLINK is not implemented. linkLocation=https://cdn.shopify.com/s/files/1/0918/6066/4603/files/e1864b4add805c87af10014ec737c0e8.jpg?v=1775293345, friendlyName=Open</x:v>
      </x:c>
      <x:c r="C8116" s="24" t="e">
        <x:f>HYPERLINK("https://365nails.com/products/wild-bloom-leopard-lily-long-coffin-press-on-nails","Wild Bloom: ""Leopard Lily"" – Long Coffin Press-on Nails")</x:f>
        <x:v>HYPERLINK is not implemented. linkLocation=https://365nails.com/products/wild-bloom-leopard-lily-long-coffin-press-on-nails, friendlyName=Wild Bloom: "Leopard Lily" – Long Coffin Press-on Nails</x:v>
      </x:c>
      <x:c r="D8116" s="18" t="str">
        <x:v>Size: XS / S / M / L</x:v>
      </x:c>
      <x:c r="E8116" s="25" t="str">
        <x:v>$3.99</x:v>
      </x:c>
      <x:c r="F8116" s="19" t="str">
        <x:v>5</x:v>
      </x:c>
    </x:row>
    <x:row r="8117" ht="93" customHeight="1">
      <x:c r="A8117" s="19" t="n">
        <x:v>8114</x:v>
      </x:c>
      <x:c r="B8117" s="22" t="e">
        <x:f>HYPERLINK("https://cdn.shopify.com/s/files/1/0918/6066/4603/files/cd7df9a9ca94da60ac8ea6cebaed1898_e39661e3-52a9-43da-a07c-ba1640f117c6.jpg?v=1779161995","Open")</x:f>
        <x:v>HYPERLINK is not implemented. linkLocation=https://cdn.shopify.com/s/files/1/0918/6066/4603/files/cd7df9a9ca94da60ac8ea6cebaed1898_e39661e3-52a9-43da-a07c-ba1640f117c6.jpg?v=1779161995, friendlyName=Open</x:v>
      </x:c>
      <x:c r="C8117" s="24" t="e">
        <x:f>HYPERLINK("https://365nails.com/products/365nails-tropical-sunset-bloom-handmade-liquid-motion-press-on-medium-square-nails","365nails: ""Tropical Sunset Bloom"" – Handmade Liquid Motion Press-On Medium Square Nails-4.5cm")</x:f>
        <x:v>HYPERLINK is not implemented. linkLocation=https://365nails.com/products/365nails-tropical-sunset-bloom-handmade-liquid-motion-press-on-medium-square-nails, friendlyName=365nails: "Tropical Sunset Bloom" – Handmade Liquid Motion Press-On Medium Square Nails-4.5cm</x:v>
      </x:c>
      <x:c r="D8117" s="18" t="str">
        <x:v>Size: S-4.5cm / M-4.5cm / L-4.5cm</x:v>
      </x:c>
      <x:c r="E8117" s="25" t="str">
        <x:v>$6.99</x:v>
      </x:c>
      <x:c r="F8117" s="19" t="str">
        <x:v>5</x:v>
      </x:c>
    </x:row>
    <x:row r="8118" ht="93" customHeight="1">
      <x:c r="A8118" s="19" t="n">
        <x:v>8115</x:v>
      </x:c>
      <x:c r="B8118" s="22" t="e">
        <x:f>HYPERLINK("https://cdn.shopify.com/s/files/1/0918/6066/4603/files/O1CN01kS4f8N1HlXBWhyIvN__2545140798-0-cib.jpg?v=1773496648","Open")</x:f>
        <x:v>HYPERLINK is not implemented. linkLocation=https://cdn.shopify.com/s/files/1/0918/6066/4603/files/O1CN01kS4f8N1HlXBWhyIvN__2545140798-0-cib.jpg?v=1773496648, friendlyName=Open</x:v>
      </x:c>
      <x:c r="C8118" s="24" t="e">
        <x:f>HYPERLINK("https://365nails.com/products/floral-feather-collection-pastel-bloom-3d-embossed-nail-sticker","Floral Feather Collection: ""Pastel Bloom"" – 3D Embossed Nail Sticker")</x:f>
        <x:v>HYPERLINK is not implemented. linkLocation=https://365nails.com/products/floral-feather-collection-pastel-bloom-3d-embossed-nail-sticker, friendlyName=Floral Feather Collection: "Pastel Bloom" – 3D Embossed Nail Sticker</x:v>
      </x:c>
      <x:c r="D8118" s="18" t="str">
        <x:v>Specification type: To5605-gilt / To5647-relief</x:v>
      </x:c>
      <x:c r="E8118" s="25" t="str">
        <x:v>$1.23</x:v>
      </x:c>
      <x:c r="F8118" s="19" t="str">
        <x:v>5</x:v>
      </x:c>
    </x:row>
    <x:row r="8119" ht="93" customHeight="1">
      <x:c r="A8119" s="19" t="n">
        <x:v>8116</x:v>
      </x:c>
      <x:c r="B8119" s="22" t="e">
        <x:f>HYPERLINK("https://cdn.shopify.com/s/files/1/0918/6066/4603/files/1fb57c96aa6ab23fa86d21ee63d7c69a_fda8eb42-f1f5-4bb8-bd5b-537640421e10.jpg?v=1779160994","Open")</x:f>
        <x:v>HYPERLINK is not implemented. linkLocation=https://cdn.shopify.com/s/files/1/0918/6066/4603/files/1fb57c96aa6ab23fa86d21ee63d7c69a_fda8eb42-f1f5-4bb8-bd5b-537640421e10.jpg?v=1779160994, friendlyName=Open</x:v>
      </x:c>
      <x:c r="C8119" s="24" t="e">
        <x:f>HYPERLINK("https://365nails.com/products/365nails-tropical-candy-bloom-handmade-liquid-motion-press-on-medium-square-nails","365nails: ""Tropical Candy Bloom"" – Handmade Liquid Motion Press-On Medium Square Nails-4cm")</x:f>
        <x:v>HYPERLINK is not implemented. linkLocation=https://365nails.com/products/365nails-tropical-candy-bloom-handmade-liquid-motion-press-on-medium-square-nails, friendlyName=365nails: "Tropical Candy Bloom" – Handmade Liquid Motion Press-On Medium Square Nails-4cm</x:v>
      </x:c>
      <x:c r="D8119" s="18" t="str">
        <x:v>Size: S-4cm / M-4cm / L-4cm</x:v>
      </x:c>
      <x:c r="E8119" s="25" t="str">
        <x:v>$6.99</x:v>
      </x:c>
      <x:c r="F8119" s="19" t="str">
        <x:v>5</x:v>
      </x:c>
    </x:row>
    <x:row r="8120" ht="93" customHeight="1">
      <x:c r="A8120" s="19" t="n">
        <x:v>8117</x:v>
      </x:c>
      <x:c r="B8120" s="22" t="e">
        <x:f>HYPERLINK("https://cdn.shopify.com/s/files/1/0918/6066/4603/files/68b54e198a14c960f65d7359510b10b5.jpg?v=1772877975","Open")</x:f>
        <x:v>HYPERLINK is not implemented. linkLocation=https://cdn.shopify.com/s/files/1/0918/6066/4603/files/68b54e198a14c960f65d7359510b10b5.jpg?v=1772877975, friendlyName=Open</x:v>
      </x:c>
      <x:c r="C8120" s="24" t="e">
        <x:f>HYPERLINK("https://365nails.com/products/colorful-chrome-cross-chrome-5d-embossed-edgy-accent-set","Colorful Chrome Cross &amp; Chrome – 5D Embossed Edgy Accent Set")</x:f>
        <x:v>HYPERLINK is not implemented. linkLocation=https://365nails.com/products/colorful-chrome-cross-chrome-5d-embossed-edgy-accent-set, friendlyName=Colorful Chrome Cross &amp; Chrome – 5D Embossed Edgy Accent Set</x:v>
      </x:c>
      <x:c r="D8120" s="18" t="str">
        <x:v>Specification type: To5027-relief / To5028-relief</x:v>
      </x:c>
      <x:c r="E8120" s="25" t="str">
        <x:v>$1.23</x:v>
      </x:c>
      <x:c r="F8120" s="19" t="str">
        <x:v>5</x:v>
      </x:c>
    </x:row>
    <x:row r="8121" ht="93" customHeight="1">
      <x:c r="A8121" s="19" t="n">
        <x:v>8118</x:v>
      </x:c>
      <x:c r="B8121" s="22" t="e">
        <x:f>HYPERLINK("https://cdn.shopify.com/s/files/1/0918/6066/4603/files/f0cf54e3a695d819f595658a3c6d8598.jpg?v=1775310412","Open")</x:f>
        <x:v>HYPERLINK is not implemented. linkLocation=https://cdn.shopify.com/s/files/1/0918/6066/4603/files/f0cf54e3a695d819f595658a3c6d8598.jpg?v=1775310412, friendlyName=Open</x:v>
      </x:c>
      <x:c r="C8121" s="24" t="e">
        <x:f>HYPERLINK("https://365nails.com/products/chic-bloom-white-flower-bow-polka-dot-long-coffin-press-on-nails","Chic Bloom: ""White Flower Bow Polka Dot"" – Long Coffin Press-on Nails")</x:f>
        <x:v>HYPERLINK is not implemented. linkLocation=https://365nails.com/products/chic-bloom-white-flower-bow-polka-dot-long-coffin-press-on-nails, friendlyName=Chic Bloom: "White Flower Bow Polka Dot" – Long Coffin Press-on Nails</x:v>
      </x:c>
      <x:c r="D8121" s="18" t="str">
        <x:v>Size: XS / S / M / L</x:v>
      </x:c>
      <x:c r="E8121" s="25" t="str">
        <x:v>$3.99</x:v>
      </x:c>
      <x:c r="F8121" s="19" t="str">
        <x:v>5</x:v>
      </x:c>
    </x:row>
    <x:row r="8122" ht="93" customHeight="1">
      <x:c r="A8122" s="19" t="n">
        <x:v>8119</x:v>
      </x:c>
      <x:c r="B8122" s="22" t="e">
        <x:f>HYPERLINK("https://cdn.shopify.com/s/files/1/0918/6066/4603/files/c784e3135b7e9413b48fcd01c1884e53.jpg?v=1776414339","Open")</x:f>
        <x:v>HYPERLINK is not implemented. linkLocation=https://cdn.shopify.com/s/files/1/0918/6066/4603/files/c784e3135b7e9413b48fcd01c1884e53.jpg?v=1776414339, friendlyName=Open</x:v>
      </x:c>
      <x:c r="C8122" s="24" t="e">
        <x:f>HYPERLINK("https://365nails.com/products/365nails-sailor-moon-usagi-handmade-medium-trapezoid-press-on-nails","365nails: ""Sailor Moon Usagi"" – Handmade Medium Trapezoid Press-On Nails")</x:f>
        <x:v>HYPERLINK is not implemented. linkLocation=https://365nails.com/products/365nails-sailor-moon-usagi-handmade-medium-trapezoid-press-on-nails, friendlyName=365nails: "Sailor Moon Usagi" – Handmade Medium Trapezoid Press-On Nails</x:v>
      </x:c>
      <x:c r="D8122" s="18" t="str">
        <x:v>Size: XS / S / M</x:v>
      </x:c>
      <x:c r="E8122" s="25" t="str">
        <x:v>$3.49</x:v>
      </x:c>
      <x:c r="F8122" s="19" t="str">
        <x:v>5</x:v>
      </x:c>
    </x:row>
    <x:row r="8123" ht="93" customHeight="1">
      <x:c r="A8123" s="19" t="n">
        <x:v>8120</x:v>
      </x:c>
      <x:c r="B8123" s="22" t="e">
        <x:f>HYPERLINK("https://cdn.shopify.com/s/files/1/0918/6066/4603/files/O1CN01RuNLPm1HlX31TTYgZ__2545140798-0-cib.jpg?v=1776513738","Open")</x:f>
        <x:v>HYPERLINK is not implemented. linkLocation=https://cdn.shopify.com/s/files/1/0918/6066/4603/files/O1CN01RuNLPm1HlX31TTYgZ__2545140798-0-cib.jpg?v=1776513738, friendlyName=Open</x:v>
      </x:c>
      <x:c r="C8123" s="24" t="e">
        <x:f>HYPERLINK("https://365nails.com/products/365nails-dreamy-snowflake-christmas-tree-nail-art-stickers","365nails: ""Dreamy Snowflake &amp; Christmas Tree"" – nail art stickers")</x:f>
        <x:v>HYPERLINK is not implemented. linkLocation=https://365nails.com/products/365nails-dreamy-snowflake-christmas-tree-nail-art-stickers, friendlyName=365nails: "Dreamy Snowflake &amp; Christmas Tree" – nail art stickers</x:v>
      </x:c>
      <x:c r="D8123" s="18" t="str">
        <x:v>Specification type: To4440</x:v>
      </x:c>
      <x:c r="E8123" s="25" t="str">
        <x:v>$1.09</x:v>
      </x:c>
      <x:c r="F8123" s="19" t="str">
        <x:v>5</x:v>
      </x:c>
    </x:row>
    <x:row r="8124" ht="93" customHeight="1">
      <x:c r="A8124" s="19" t="n">
        <x:v>8121</x:v>
      </x:c>
      <x:c r="B8124" s="22" t="e">
        <x:f>HYPERLINK("https://cdn.shopify.com/s/files/1/0918/6066/4603/files/563cd7ca9071d8665b397392d5da80f9.jpg?v=1779159682","Open")</x:f>
        <x:v>HYPERLINK is not implemented. linkLocation=https://cdn.shopify.com/s/files/1/0918/6066/4603/files/563cd7ca9071d8665b397392d5da80f9.jpg?v=1779159682, friendlyName=Open</x:v>
      </x:c>
      <x:c r="C8124" s="24" t="e">
        <x:f>HYPERLINK("https://365nails.com/products/365nails-neon-candy-stack-handmade-liquid-motion-press-on-medium-square-nails","365nails: ""Neon Candy Stack"" – Handmade Liquid Motion Press-On Medium Square Nails-4cm")</x:f>
        <x:v>HYPERLINK is not implemented. linkLocation=https://365nails.com/products/365nails-neon-candy-stack-handmade-liquid-motion-press-on-medium-square-nails, friendlyName=365nails: "Neon Candy Stack" – Handmade Liquid Motion Press-On Medium Square Nails-4cm</x:v>
      </x:c>
      <x:c r="D8124" s="18" t="str">
        <x:v>Size: S-4cm / M-4cm / L-4cm</x:v>
      </x:c>
      <x:c r="E8124" s="25" t="str">
        <x:v>$6.99</x:v>
      </x:c>
      <x:c r="F8124" s="19" t="str">
        <x:v>5</x:v>
      </x:c>
    </x:row>
    <x:row r="8125" ht="93" customHeight="1">
      <x:c r="A8125" s="19" t="n">
        <x:v>8122</x:v>
      </x:c>
      <x:c r="B8125" s="22" t="e">
        <x:f>HYPERLINK("https://cdn.shopify.com/s/files/1/0918/6066/4603/files/94c54869450fbe5e2ce7190d2a5499c1.jpg?v=1775222278","Open")</x:f>
        <x:v>HYPERLINK is not implemented. linkLocation=https://cdn.shopify.com/s/files/1/0918/6066/4603/files/94c54869450fbe5e2ce7190d2a5499c1.jpg?v=1775222278, friendlyName=Open</x:v>
      </x:c>
      <x:c r="C8125" s="24" t="e">
        <x:f>HYPERLINK("https://365nails.com/products/gothic-veil-crimson-devotion-long-stiletto-press-on-nails","Gothic Veil: ""Crimson Devotion"" – Long Stiletto Press-on Nails")</x:f>
        <x:v>HYPERLINK is not implemented. linkLocation=https://365nails.com/products/gothic-veil-crimson-devotion-long-stiletto-press-on-nails, friendlyName=Gothic Veil: "Crimson Devotion" – Long Stiletto Press-on Nails</x:v>
      </x:c>
      <x:c r="D8125" s="18" t="str">
        <x:v>Size: XS / S / M / L</x:v>
      </x:c>
      <x:c r="E8125" s="25" t="str">
        <x:v>$3.99</x:v>
      </x:c>
      <x:c r="F8125" s="19" t="str">
        <x:v>3</x:v>
      </x:c>
    </x:row>
    <x:row r="8126" ht="93" customHeight="1">
      <x:c r="A8126" s="19" t="n">
        <x:v>8123</x:v>
      </x:c>
      <x:c r="B8126" s="22" t="e">
        <x:f>HYPERLINK("https://cdn.shopify.com/s/files/1/0918/6066/4603/files/O1CN01wnTIyq1HlWr9EA0MR__2545140798-0-cib.jpg?v=1772885106","Open")</x:f>
        <x:v>HYPERLINK is not implemented. linkLocation=https://cdn.shopify.com/s/files/1/0918/6066/4603/files/O1CN01wnTIyq1HlWr9EA0MR__2545140798-0-cib.jpg?v=1772885106, friendlyName=Open</x:v>
      </x:c>
      <x:c r="C8126" s="24" t="e">
        <x:f>HYPERLINK("https://365nails.com/products/ethnic-tile-floral-5d-embossed-artistic-accent-set","Ethnic Tile Floral – 5D Embossed Artistic Accent Set")</x:f>
        <x:v>HYPERLINK is not implemented. linkLocation=https://365nails.com/products/ethnic-tile-floral-5d-embossed-artistic-accent-set, friendlyName=Ethnic Tile Floral – 5D Embossed Artistic Accent Set</x:v>
      </x:c>
      <x:c r="D8126" s="18" t="str">
        <x:v>Specification type: L18 / L 19</x:v>
      </x:c>
      <x:c r="E8126" s="25" t="str">
        <x:v>$1.09</x:v>
      </x:c>
      <x:c r="F8126" s="19" t="str">
        <x:v>5</x:v>
      </x:c>
    </x:row>
    <x:row r="8127" ht="93" customHeight="1">
      <x:c r="A8127" s="19" t="n">
        <x:v>8124</x:v>
      </x:c>
      <x:c r="B8127" s="22" t="e">
        <x:f>HYPERLINK("https://cdn.shopify.com/s/files/1/0918/6066/4603/files/c87991cf5efc057ea7db43f559f5d7e1.png?v=1779368954","Open")</x:f>
        <x:v>HYPERLINK is not implemented. linkLocation=https://cdn.shopify.com/s/files/1/0918/6066/4603/files/c87991cf5efc057ea7db43f559f5d7e1.png?v=1779368954, friendlyName=Open</x:v>
      </x:c>
      <x:c r="C8127" s="24" t="e">
        <x:f>HYPERLINK("https://365nails.com/products/365nails-brand-incubation-hand-holding-program-d2c","365nails Brand Incubation &amp; Hand-Holding Program (D2C)")</x:f>
        <x:v>HYPERLINK is not implemented. linkLocation=https://365nails.com/products/365nails-brand-incubation-hand-holding-program-d2c, friendlyName=365nails Brand Incubation &amp; Hand-Holding Program (D2C)</x:v>
      </x:c>
      <x:c r="D8127" s="18" t="str">
        <x:v>Vision: DISCOVERY / CO-CREATION / TURNKEY LAUNCH / PRIME PARTNER</x:v>
      </x:c>
      <x:c r="E8127" s="25" t="str">
        <x:v>$499.00–$999.00</x:v>
      </x:c>
      <x:c r="F8127" s="19" t="str">
        <x:v>1</x:v>
      </x:c>
    </x:row>
    <x:row r="8128" ht="93" customHeight="1">
      <x:c r="A8128" s="19" t="n">
        <x:v>8125</x:v>
      </x:c>
      <x:c r="B8128" s="22" t="e">
        <x:f>HYPERLINK("https://cdn.shopify.com/s/files/1/0918/6066/4603/files/O1CN01OoYYHi1HlX1sf3b5p__2545140798-0-cib.jpg?v=1773559796","Open")</x:f>
        <x:v>HYPERLINK is not implemented. linkLocation=https://cdn.shopify.com/s/files/1/0918/6066/4603/files/O1CN01OoYYHi1HlX1sf3b5p__2545140798-0-cib.jpg?v=1773559796, friendlyName=Open</x:v>
      </x:c>
      <x:c r="C8128" s="24" t="e">
        <x:f>HYPERLINK("https://365nails.com/products/pastel-long-tail-bow-embossed-pastel-3d-nail-sticker","Pastel Long-Tail Bow: ""Embossed Pastel"" – 3D Nail Sticker")</x:f>
        <x:v>HYPERLINK is not implemented. linkLocation=https://365nails.com/products/pastel-long-tail-bow-embossed-pastel-3d-nail-sticker, friendlyName=Pastel Long-Tail Bow: "Embossed Pastel" – 3D Nail Sticker</x:v>
      </x:c>
      <x:c r="D8128" s="18" t="str">
        <x:v>Specification type: Ms646-relief / Ms647-shell light</x:v>
      </x:c>
      <x:c r="E8128" s="25" t="str">
        <x:v>$1.23</x:v>
      </x:c>
      <x:c r="F8128" s="19" t="str">
        <x:v>5</x:v>
      </x:c>
    </x:row>
    <x:row r="8129" ht="93" customHeight="1">
      <x:c r="A8129" s="19" t="n">
        <x:v>8126</x:v>
      </x:c>
      <x:c r="B8129" s="22" t="e">
        <x:f>HYPERLINK("https://cdn.shopify.com/s/files/1/0918/6066/4603/files/O1CN01IFYkY91HlX3X0hTs1__2545140798-0-cib.jpg?v=1773151536","Open")</x:f>
        <x:v>HYPERLINK is not implemented. linkLocation=https://cdn.shopify.com/s/files/1/0918/6066/4603/files/O1CN01IFYkY91HlX3X0hTs1__2545140798-0-cib.jpg?v=1773151536, friendlyName=Open</x:v>
      </x:c>
      <x:c r="C8129" s="24" t="e">
        <x:f>HYPERLINK("https://365nails.com/products/nail-art-stickers-chic-checkered-bow-accent-set","Nail Art Stickers – Chic Checkered &amp; Bow Accent Stickers")</x:f>
        <x:v>HYPERLINK is not implemented. linkLocation=https://365nails.com/products/nail-art-stickers-chic-checkered-bow-accent-set, friendlyName=Nail Art Stickers – Chic Checkered &amp; Bow Accent Stickers</x:v>
      </x:c>
      <x:c r="D8129" s="18" t="str">
        <x:v>Specification type: To4534-relief / To4535-relief</x:v>
      </x:c>
      <x:c r="E8129" s="25" t="str">
        <x:v>$1.23</x:v>
      </x:c>
      <x:c r="F8129" s="19" t="str">
        <x:v>1</x:v>
      </x:c>
    </x:row>
    <x:row r="8130" ht="93" customHeight="1">
      <x:c r="A8130" s="19" t="n">
        <x:v>8127</x:v>
      </x:c>
      <x:c r="B8130" s="22" t="e">
        <x:f>HYPERLINK("https://cdn.shopify.com/s/files/1/0918/6066/4603/files/O1CN0104ZcIz1HlWot9hdal__2545140798-0-cib.jpg?v=1772948053","Open")</x:f>
        <x:v>HYPERLINK is not implemented. linkLocation=https://cdn.shopify.com/s/files/1/0918/6066/4603/files/O1CN0104ZcIz1HlWot9hdal__2545140798-0-cib.jpg?v=1772948053, friendlyName=Open</x:v>
      </x:c>
      <x:c r="C8130" s="24" t="e">
        <x:f>HYPERLINK("https://365nails.com/products/zodiac-hologram-holographic-nail-art-accent-set","Zodiac Hologram – Holographic Nail Art Accent Set")</x:f>
        <x:v>HYPERLINK is not implemented. linkLocation=https://365nails.com/products/zodiac-hologram-holographic-nail-art-accent-set, friendlyName=Zodiac Hologram – Holographic Nail Art Accent Set</x:v>
      </x:c>
      <x:c r="D8130" s="18" t="str">
        <x:v>Specification type: To1725 laser silver / To1725 new hot stamping</x:v>
      </x:c>
      <x:c r="E8130" s="25" t="str">
        <x:v>$1.23</x:v>
      </x:c>
      <x:c r="F8130" s="19" t="str">
        <x:v>5</x:v>
      </x:c>
    </x:row>
    <x:row r="8131" ht="93" customHeight="1">
      <x:c r="A8131" s="19" t="n">
        <x:v>8128</x:v>
      </x:c>
      <x:c r="B8131" s="22" t="e">
        <x:f>HYPERLINK("https://cdn.shopify.com/s/files/1/0918/6066/4603/files/a40b60bbdcbfaea7a0960fd97c74c197.jpg?v=1775293464","Open")</x:f>
        <x:v>HYPERLINK is not implemented. linkLocation=https://cdn.shopify.com/s/files/1/0918/6066/4603/files/a40b60bbdcbfaea7a0960fd97c74c197.jpg?v=1775293464, friendlyName=Open</x:v>
      </x:c>
      <x:c r="C8131" s="24" t="e">
        <x:f>HYPERLINK("https://365nails.com/products/ocean-bloom-aqua-lily-long-stiletto-press-on-nails","Ocean Bloom: ""Aqua Lily"" – Long Stiletto Press-on Nails")</x:f>
        <x:v>HYPERLINK is not implemented. linkLocation=https://365nails.com/products/ocean-bloom-aqua-lily-long-stiletto-press-on-nails, friendlyName=Ocean Bloom: "Aqua Lily" – Long Stiletto Press-on Nails</x:v>
      </x:c>
      <x:c r="D8131" s="18" t="str">
        <x:v>Size: XS / S / M / L</x:v>
      </x:c>
      <x:c r="E8131" s="25" t="str">
        <x:v>$3.99</x:v>
      </x:c>
      <x:c r="F8131" s="19" t="str">
        <x:v>5</x:v>
      </x:c>
    </x:row>
    <x:row r="8132" ht="93" customHeight="1">
      <x:c r="A8132" s="19" t="n">
        <x:v>8129</x:v>
      </x:c>
      <x:c r="B8132" s="22" t="e">
        <x:f>HYPERLINK("https://cdn.shopify.com/s/files/1/0918/6066/4603/files/f748bac195de820709dc4c9a9b88dd04.jpg?v=1778163428","Open")</x:f>
        <x:v>HYPERLINK is not implemented. linkLocation=https://cdn.shopify.com/s/files/1/0918/6066/4603/files/f748bac195de820709dc4c9a9b88dd04.jpg?v=1778163428, friendlyName=Open</x:v>
      </x:c>
      <x:c r="C8132" s="24" t="e">
        <x:f>HYPERLINK("https://365nails.com/products/365nails-gothic-golden-dynasty-handmade-3d-ornate-liquid-motion-press-on-long-pipe-nails","365nails: ""Gothic Golden Dynasty"" – Handmade 3D Ornate Liquid Motion Press-On Long Pipe Nails-5.5cm")</x:f>
        <x:v>HYPERLINK is not implemented. linkLocation=https://365nails.com/products/365nails-gothic-golden-dynasty-handmade-3d-ornate-liquid-motion-press-on-long-pipe-nails, friendlyName=365nails: "Gothic Golden Dynasty" – Handmade 3D Ornate Liquid Motion Press-On Long Pipe Nails-5.5cm</x:v>
      </x:c>
      <x:c r="D8132" s="18" t="str">
        <x:v>Size: XS / S / M / L</x:v>
      </x:c>
      <x:c r="E8132" s="25" t="str">
        <x:v>$7.99</x:v>
      </x:c>
      <x:c r="F8132" s="19" t="str">
        <x:v>10</x:v>
      </x:c>
    </x:row>
    <x:row r="8133" ht="93" customHeight="1">
      <x:c r="A8133" s="19" t="n">
        <x:v>8130</x:v>
      </x:c>
      <x:c r="B8133" s="22" t="e">
        <x:f>HYPERLINK("https://cdn.shopify.com/s/files/1/0918/6066/4603/files/3ad1f6d73e0e85e997bf0f32fac47e45_ba0bdc7a-527b-4e2f-9998-6e006b777f91.jpg?v=1779156532","Open")</x:f>
        <x:v>HYPERLINK is not implemented. linkLocation=https://cdn.shopify.com/s/files/1/0918/6066/4603/files/3ad1f6d73e0e85e997bf0f32fac47e45_ba0bdc7a-527b-4e2f-9998-6e006b777f91.jpg?v=1779156532, friendlyName=Open</x:v>
      </x:c>
      <x:c r="C8133" s="24" t="e">
        <x:f>HYPERLINK("https://365nails.com/products/365nails-candy-pink-bloom-handmade-liquid-motion-press-on-medium-square-nails","365nails: ""Candy Pink Bloom"" – Handmade Liquid Motion Press-On Medium Square Nails-3cm")</x:f>
        <x:v>HYPERLINK is not implemented. linkLocation=https://365nails.com/products/365nails-candy-pink-bloom-handmade-liquid-motion-press-on-medium-square-nails, friendlyName=365nails: "Candy Pink Bloom" – Handmade Liquid Motion Press-On Medium Square Nails-3cm</x:v>
      </x:c>
      <x:c r="D8133" s="18" t="str">
        <x:v>Size: S-3cm / M-3cm / L-3cm</x:v>
      </x:c>
      <x:c r="E8133" s="25" t="str">
        <x:v>$6.99</x:v>
      </x:c>
      <x:c r="F8133" s="19" t="str">
        <x:v>5</x:v>
      </x:c>
    </x:row>
    <x:row r="8134" ht="93" customHeight="1">
      <x:c r="A8134" s="19" t="n">
        <x:v>8131</x:v>
      </x:c>
      <x:c r="B8134" s="22" t="e">
        <x:f>HYPERLINK("https://cdn.shopify.com/s/files/1/0918/6066/4603/files/cdaf9ee0a8ce2fce185afd98b559e503.jpg?v=1768974904","Open")</x:f>
        <x:v>HYPERLINK is not implemented. linkLocation=https://cdn.shopify.com/s/files/1/0918/6066/4603/files/cdaf9ee0a8ce2fce185afd98b559e503.jpg?v=1768974904, friendlyName=Open</x:v>
      </x:c>
      <x:c r="C8134" s="24" t="e">
        <x:f>HYPERLINK("https://365nails.com/products/amber-glow-caramel-maple-ice-honey-yellow-tea-brown-marble-cat-eye-nails-handmade-smudge-series","Amber Glow &amp; Caramel Maple Ice Honey Yellow Tea Brown Marble Cat Eye Nails ｜ Handmade Smudge Series(moq=30)")</x:f>
        <x:v>HYPERLINK is not implemented. linkLocation=https://365nails.com/products/amber-glow-caramel-maple-ice-honey-yellow-tea-brown-marble-cat-eye-nails-handmade-smudge-series, friendlyName=Amber Glow &amp; Caramel Maple Ice Honey Yellow Tea Brown Marble Cat Eye Nails ｜ Handmade Smudge Series(moq=30)</x:v>
      </x:c>
      <x:c r="D8134" s="18" t="str">
        <x:v>Size: XS / S / M / L</x:v>
      </x:c>
      <x:c r="E8134" s="25" t="str">
        <x:v>$2.99</x:v>
      </x:c>
      <x:c r="F8134" s="19" t="str">
        <x:v>30</x:v>
      </x:c>
    </x:row>
    <x:row r="8135" ht="93" customHeight="1">
      <x:c r="A8135" s="19" t="n">
        <x:v>8132</x:v>
      </x:c>
      <x:c r="B8135" s="22" t="e">
        <x:f>HYPERLINK("https://cdn.shopify.com/s/files/1/0918/6066/4603/files/40f10e1e49b8fa75b74dfea3ee3435b7_eda89975-1fdb-4e2e-b638-004cd578e0aa.jpg?v=1779159440","Open")</x:f>
        <x:v>HYPERLINK is not implemented. linkLocation=https://cdn.shopify.com/s/files/1/0918/6066/4603/files/40f10e1e49b8fa75b74dfea3ee3435b7_eda89975-1fdb-4e2e-b638-004cd578e0aa.jpg?v=1779159440, friendlyName=Open</x:v>
      </x:c>
      <x:c r="C8135" s="24" t="e">
        <x:f>HYPERLINK("https://365nails.com/products/365nails-tropical-orchid-bloom-handmade-liquid-motion-press-on-medium-square-nails","365nails: ""Tropical Orchid Bloom"" – Handmade Liquid Motion Press-On Medium Square Nails-4cm")</x:f>
        <x:v>HYPERLINK is not implemented. linkLocation=https://365nails.com/products/365nails-tropical-orchid-bloom-handmade-liquid-motion-press-on-medium-square-nails, friendlyName=365nails: "Tropical Orchid Bloom" – Handmade Liquid Motion Press-On Medium Square Nails-4cm</x:v>
      </x:c>
      <x:c r="D8135" s="18" t="str">
        <x:v>Size: S-4cm / M-4cm / L-4cm</x:v>
      </x:c>
      <x:c r="E8135" s="25" t="str">
        <x:v>$6.99</x:v>
      </x:c>
      <x:c r="F8135" s="19" t="str">
        <x:v>5</x:v>
      </x:c>
    </x:row>
    <x:row r="8136" ht="93" customHeight="1">
      <x:c r="A8136" s="19" t="n">
        <x:v>8133</x:v>
      </x:c>
      <x:c r="B8136" s="22" t="e">
        <x:f>HYPERLINK("https://cdn.shopify.com/s/files/1/0918/6066/4603/files/dc7f8329a835b61559b79d2a23af4bd8.jpg?v=1774082129","Open")</x:f>
        <x:v>HYPERLINK is not implemented. linkLocation=https://cdn.shopify.com/s/files/1/0918/6066/4603/files/dc7f8329a835b61559b79d2a23af4bd8.jpg?v=1774082129, friendlyName=Open</x:v>
      </x:c>
      <x:c r="C8136" s="24" t="e">
        <x:f>HYPERLINK("https://365nails.com/products/cosmic-fatale-bronze-holographic-foil-long-sharp-stiletto-handmade-press-on-nails","Cosmic Fatale: ""Bronze Holographic Foil"" – Long Sharp Stiletto Handmade Press On Nails")</x:f>
        <x:v>HYPERLINK is not implemented. linkLocation=https://365nails.com/products/cosmic-fatale-bronze-holographic-foil-long-sharp-stiletto-handmade-press-on-nails, friendlyName=Cosmic Fatale: "Bronze Holographic Foil" – Long Sharp Stiletto Handmade Press On Nails</x:v>
      </x:c>
      <x:c r="D8136" s="18" t="str">
        <x:v>Size: XS / S / M / L</x:v>
      </x:c>
      <x:c r="E8136" s="25" t="str">
        <x:v>$3.99</x:v>
      </x:c>
      <x:c r="F8136" s="19" t="str">
        <x:v>5</x:v>
      </x:c>
    </x:row>
    <x:row r="8137" ht="93" customHeight="1">
      <x:c r="A8137" s="19" t="n">
        <x:v>8134</x:v>
      </x:c>
      <x:c r="B8137" s="22" t="e">
        <x:f>HYPERLINK("https://cdn.shopify.com/s/files/1/0918/6066/4603/files/58888766918785bc147991ccb7687a96_6b0a4efb-6fb1-49d7-919d-5512ab3215b1.jpg?v=1779157345","Open")</x:f>
        <x:v>HYPERLINK is not implemented. linkLocation=https://cdn.shopify.com/s/files/1/0918/6066/4603/files/58888766918785bc147991ccb7687a96_6b0a4efb-6fb1-49d7-919d-5512ab3215b1.jpg?v=1779157345, friendlyName=Open</x:v>
      </x:c>
      <x:c r="C8137" s="24" t="e">
        <x:f>HYPERLINK("https://365nails.com/products/365nails-lavender-orchid-bloom-handmade-liquid-motion-press-on-medium-square-nails","365nails: ""Lavender Orchid Bloom"" – Handmade Liquid Motion Press-On Medium Square Nails-3.5cm")</x:f>
        <x:v>HYPERLINK is not implemented. linkLocation=https://365nails.com/products/365nails-lavender-orchid-bloom-handmade-liquid-motion-press-on-medium-square-nails, friendlyName=365nails: "Lavender Orchid Bloom" – Handmade Liquid Motion Press-On Medium Square Nails-3.5cm</x:v>
      </x:c>
      <x:c r="D8137" s="18" t="str">
        <x:v>Size: S-3.5cm / M-3.5cm / L-3.5cm</x:v>
      </x:c>
      <x:c r="E8137" s="25" t="str">
        <x:v>$6.99</x:v>
      </x:c>
      <x:c r="F8137" s="19" t="str">
        <x:v>5</x:v>
      </x:c>
    </x:row>
    <x:row r="8138" ht="93" customHeight="1">
      <x:c r="A8138" s="19" t="n">
        <x:v>8135</x:v>
      </x:c>
      <x:c r="B8138" s="22" t="e">
        <x:f>HYPERLINK("https://cdn.shopify.com/s/files/1/0918/6066/4603/files/0d35c0dab1bcc0db26db4962761e4d94_7f200e4e-cc4c-4c4d-a256-86b947cb1006.jpg?v=1779157955","Open")</x:f>
        <x:v>HYPERLINK is not implemented. linkLocation=https://cdn.shopify.com/s/files/1/0918/6066/4603/files/0d35c0dab1bcc0db26db4962761e4d94_7f200e4e-cc4c-4c4d-a256-86b947cb1006.jpg?v=1779157955, friendlyName=Open</x:v>
      </x:c>
      <x:c r="C8138" s="24" t="e">
        <x:f>HYPERLINK("https://365nails.com/products/365nails-tropical-sunset-orchid-handmade-liquid-motion-press-on-medium-square-nails","365nails: ""Tropical Sunset Orchid"" – Handmade Liquid Motion Press-On Medium Square Nails-3.5cm")</x:f>
        <x:v>HYPERLINK is not implemented. linkLocation=https://365nails.com/products/365nails-tropical-sunset-orchid-handmade-liquid-motion-press-on-medium-square-nails, friendlyName=365nails: "Tropical Sunset Orchid" – Handmade Liquid Motion Press-On Medium Square Nails-3.5cm</x:v>
      </x:c>
      <x:c r="D8138" s="18" t="str">
        <x:v>Size: S-3.5cm / M-3.5cm / L-3.5cm</x:v>
      </x:c>
      <x:c r="E8138" s="25" t="str">
        <x:v>$6.99</x:v>
      </x:c>
      <x:c r="F8138" s="19" t="str">
        <x:v>5</x:v>
      </x:c>
    </x:row>
    <x:row r="8139" ht="93" customHeight="1">
      <x:c r="A8139" s="19" t="n">
        <x:v>8136</x:v>
      </x:c>
      <x:c r="B8139" s="22" t="e">
        <x:f>HYPERLINK("https://cdn.shopify.com/s/files/1/0918/6066/4603/files/5a8b0f51e53a41414ddd2cd62a64392f_4a28a505-f35c-4d21-b5c9-434a2bdf0f33.jpg?v=1779096438","Open")</x:f>
        <x:v>HYPERLINK is not implemented. linkLocation=https://cdn.shopify.com/s/files/1/0918/6066/4603/files/5a8b0f51e53a41414ddd2cd62a64392f_4a28a505-f35c-4d21-b5c9-434a2bdf0f33.jpg?v=1779096438, friendlyName=Open</x:v>
      </x:c>
      <x:c r="C8139" s="24" t="e">
        <x:f>HYPERLINK("https://365nails.com/products/365nails-pastel-rainbow-orchid-handmade-liquid-motion-press-on-medium-square-nails","365nails: ""Pastel Rainbow Orchid"" – Handmade Liquid Motion Press-On Medium Square Nails-3.5cm")</x:f>
        <x:v>HYPERLINK is not implemented. linkLocation=https://365nails.com/products/365nails-pastel-rainbow-orchid-handmade-liquid-motion-press-on-medium-square-nails, friendlyName=365nails: "Pastel Rainbow Orchid" – Handmade Liquid Motion Press-On Medium Square Nails-3.5cm</x:v>
      </x:c>
      <x:c r="D8139" s="18" t="str">
        <x:v>Size: S-3.5cm / M-3.5cm / L-3.5cm</x:v>
      </x:c>
      <x:c r="E8139" s="25" t="str">
        <x:v>$6.99</x:v>
      </x:c>
      <x:c r="F8139" s="19" t="str">
        <x:v>5</x:v>
      </x:c>
    </x:row>
    <x:row r="8140" ht="93" customHeight="1">
      <x:c r="A8140" s="19" t="n">
        <x:v>8137</x:v>
      </x:c>
      <x:c r="B8140" s="22" t="e">
        <x:f>HYPERLINK("https://cdn.shopify.com/s/files/1/0918/6066/4603/files/7c72592c109efdabb22b0b0e83b70846.jpg?v=1779156313","Open")</x:f>
        <x:v>HYPERLINK is not implemented. linkLocation=https://cdn.shopify.com/s/files/1/0918/6066/4603/files/7c72592c109efdabb22b0b0e83b70846.jpg?v=1779156313, friendlyName=Open</x:v>
      </x:c>
      <x:c r="C8140" s="24" t="e">
        <x:f>HYPERLINK("https://365nails.com/products/365nails-sunset-bunny-charm-handmade-liquid-motion-press-on-medium-square-nails","365nails: ""Sunset Bunny Charm"" – Handmade Liquid Motion Press-On Medium Square Nails-3cm")</x:f>
        <x:v>HYPERLINK is not implemented. linkLocation=https://365nails.com/products/365nails-sunset-bunny-charm-handmade-liquid-motion-press-on-medium-square-nails, friendlyName=365nails: "Sunset Bunny Charm" – Handmade Liquid Motion Press-On Medium Square Nails-3cm</x:v>
      </x:c>
      <x:c r="D8140" s="18" t="str">
        <x:v>Size: S-3cm / M-3cm / L-3cm</x:v>
      </x:c>
      <x:c r="E8140" s="25" t="str">
        <x:v>$6.99</x:v>
      </x:c>
      <x:c r="F8140" s="19" t="str">
        <x:v>5</x:v>
      </x:c>
    </x:row>
    <x:row r="8141" ht="93" customHeight="1">
      <x:c r="A8141" s="19" t="n">
        <x:v>8138</x:v>
      </x:c>
      <x:c r="B8141" s="22" t="e">
        <x:f>HYPERLINK("https://cdn.shopify.com/s/files/1/0918/6066/4603/files/O1CN01XhjJLX1HlX8ildlAQ__2545140798-0-cib.jpg?v=1773579898","Open")</x:f>
        <x:v>HYPERLINK is not implemented. linkLocation=https://cdn.shopify.com/s/files/1/0918/6066/4603/files/O1CN01XhjJLX1HlX8ildlAQ__2545140798-0-cib.jpg?v=1773579898, friendlyName=Open</x:v>
      </x:c>
      <x:c r="C8141" s="24" t="e">
        <x:f>HYPERLINK("https://365nails.com/products/gothic-punk-eye-edgy-rebel-3d-embossed-nail-sticker","Gothic Punk Eye: ""Edgy Rebel"" – 3D Embossed Nail Sticker")</x:f>
        <x:v>HYPERLINK is not implemented. linkLocation=https://365nails.com/products/gothic-punk-eye-edgy-rebel-3d-embossed-nail-sticker, friendlyName=Gothic Punk Eye: "Edgy Rebel" – 3D Embossed Nail Sticker</x:v>
      </x:c>
      <x:c r="D8141" s="18" t="str">
        <x:v>Specification type: To5253-metal / To5254-metal</x:v>
      </x:c>
      <x:c r="E8141" s="25" t="str">
        <x:v>$1.23</x:v>
      </x:c>
      <x:c r="F8141" s="19" t="str">
        <x:v>5</x:v>
      </x:c>
    </x:row>
    <x:row r="8142" ht="93" customHeight="1">
      <x:c r="A8142" s="19" t="n">
        <x:v>8139</x:v>
      </x:c>
      <x:c r="B8142" s="22" t="e">
        <x:f>HYPERLINK("https://cdn.shopify.com/s/files/1/0918/6066/4603/files/836b005ec191ada6080174036546075f_b5b23bd3-bb26-4631-ad10-a750a8094b45.jpg?v=1779159297","Open")</x:f>
        <x:v>HYPERLINK is not implemented. linkLocation=https://cdn.shopify.com/s/files/1/0918/6066/4603/files/836b005ec191ada6080174036546075f_b5b23bd3-bb26-4631-ad10-a750a8094b45.jpg?v=1779159297, friendlyName=Open</x:v>
      </x:c>
      <x:c r="C8142" s="24" t="e">
        <x:f>HYPERLINK("https://365nails.com/products/365nails-neon-fantasy-bloom-handmade-liquid-motion-press-on-medium-square-nails","365nails: ""Neon Fantasy Bloom"" – Handmade Liquid Motion Press-On Medium Square Nails-4cm")</x:f>
        <x:v>HYPERLINK is not implemented. linkLocation=https://365nails.com/products/365nails-neon-fantasy-bloom-handmade-liquid-motion-press-on-medium-square-nails, friendlyName=365nails: "Neon Fantasy Bloom" – Handmade Liquid Motion Press-On Medium Square Nails-4cm</x:v>
      </x:c>
      <x:c r="D8142" s="18" t="str">
        <x:v>Size: S-4cm / M-4cm / L-4cm</x:v>
      </x:c>
      <x:c r="E8142" s="25" t="str">
        <x:v>$6.99</x:v>
      </x:c>
      <x:c r="F8142" s="19" t="str">
        <x:v>5</x:v>
      </x:c>
    </x:row>
    <x:row r="8143" ht="93" customHeight="1">
      <x:c r="A8143" s="19" t="n">
        <x:v>8140</x:v>
      </x:c>
      <x:c r="B8143" s="22" t="e">
        <x:f>HYPERLINK("https://cdn.shopify.com/s/files/1/0918/6066/4603/files/7005665c683443b1e77ef5c69ca00006_21e36b6d-c1af-4b1f-af7d-3bbda8e9e634.jpg?v=1779161522","Open")</x:f>
        <x:v>HYPERLINK is not implemented. linkLocation=https://cdn.shopify.com/s/files/1/0918/6066/4603/files/7005665c683443b1e77ef5c69ca00006_21e36b6d-c1af-4b1f-af7d-3bbda8e9e634.jpg?v=1779161522, friendlyName=Open</x:v>
      </x:c>
      <x:c r="C8143" s="24" t="e">
        <x:f>HYPERLINK("https://365nails.com/products/365nails-ocean-monster-bloom-handmade-liquid-motion-press-on-medium-square-nails","365nails: ""Ocean Monster Bloom"" – Handmade Liquid Motion Press-On Medium Square Nails-4cm")</x:f>
        <x:v>HYPERLINK is not implemented. linkLocation=https://365nails.com/products/365nails-ocean-monster-bloom-handmade-liquid-motion-press-on-medium-square-nails, friendlyName=365nails: "Ocean Monster Bloom" – Handmade Liquid Motion Press-On Medium Square Nails-4cm</x:v>
      </x:c>
      <x:c r="D8143" s="18" t="str">
        <x:v>Size: S-4cm / M-4cm / L-4cm</x:v>
      </x:c>
      <x:c r="E8143" s="25" t="str">
        <x:v>$6.99</x:v>
      </x:c>
      <x:c r="F8143" s="19" t="str">
        <x:v>5</x:v>
      </x:c>
    </x:row>
    <x:row r="8144" ht="93" customHeight="1">
      <x:c r="A8144" s="19" t="n">
        <x:v>8141</x:v>
      </x:c>
      <x:c r="B8144" s="22" t="e">
        <x:f>HYPERLINK("https://cdn.shopify.com/s/files/1/0918/6066/4603/files/O1CN01dyV7Fr1HlXBIGKd9Y__2545140798-0-cib.jpg?v=1773580331","Open")</x:f>
        <x:v>HYPERLINK is not implemented. linkLocation=https://cdn.shopify.com/s/files/1/0918/6066/4603/files/O1CN01dyV7Fr1HlXBIGKd9Y__2545140798-0-cib.jpg?v=1773580331, friendlyName=Open</x:v>
      </x:c>
      <x:c r="C8144" s="24" t="e">
        <x:f>HYPERLINK("https://365nails.com/products/bridal-bow-crystal-ethereal-elegance-3d-embossed-nail-sticker","Bridal Bow &amp; Crystal: ""Ethereal Elegance"" – 3D Embossed Nail Sticker")</x:f>
        <x:v>HYPERLINK is not implemented. linkLocation=https://365nails.com/products/bridal-bow-crystal-ethereal-elegance-3d-embossed-nail-sticker, friendlyName=Bridal Bow &amp; Crystal: "Ethereal Elegance" – 3D Embossed Nail Sticker</x:v>
      </x:c>
      <x:c r="D8144" s="18" t="str">
        <x:v>Specification type: Md020    1 / Md022    1</x:v>
      </x:c>
      <x:c r="E8144" s="25" t="str">
        <x:v>$2.88–$4.33</x:v>
      </x:c>
      <x:c r="F8144" s="19" t="str">
        <x:v>5</x:v>
      </x:c>
    </x:row>
    <x:row r="8145" ht="93" customHeight="1">
      <x:c r="A8145" s="19" t="n">
        <x:v>8142</x:v>
      </x:c>
      <x:c r="B8145" s="22" t="e">
        <x:f>HYPERLINK("https://cdn.shopify.com/s/files/1/0918/6066/4603/files/bc8d8121ac68ef9b93b1dfbbb8e5e1b5.jpg?v=1775306983","Open")</x:f>
        <x:v>HYPERLINK is not implemented. linkLocation=https://cdn.shopify.com/s/files/1/0918/6066/4603/files/bc8d8121ac68ef9b93b1dfbbb8e5e1b5.jpg?v=1775306983, friendlyName=Open</x:v>
      </x:c>
      <x:c r="C8145" s="24" t="e">
        <x:f>HYPERLINK("https://365nails.com/products/metallic-bloom-aqua-orchid-long-coffin-press-on-nails","Metallic Bloom: ""Aqua Orchid"" – Long Coffin Press-on Nails")</x:f>
        <x:v>HYPERLINK is not implemented. linkLocation=https://365nails.com/products/metallic-bloom-aqua-orchid-long-coffin-press-on-nails, friendlyName=Metallic Bloom: "Aqua Orchid" – Long Coffin Press-on Nails</x:v>
      </x:c>
      <x:c r="D8145" s="18" t="str">
        <x:v>Size: XS / S / M / L</x:v>
      </x:c>
      <x:c r="E8145" s="25" t="str">
        <x:v>$3.99</x:v>
      </x:c>
      <x:c r="F8145" s="19" t="str">
        <x:v>5</x:v>
      </x:c>
    </x:row>
    <x:row r="8146" ht="93" customHeight="1">
      <x:c r="A8146" s="19" t="n">
        <x:v>8143</x:v>
      </x:c>
      <x:c r="B8146" s="22" t="e">
        <x:f>HYPERLINK("https://cdn.shopify.com/s/files/1/0918/6066/4603/files/O1CN01duuGcc1HlX3CDNk66__2545140798-0-cib.jpg?v=1773586872","Open")</x:f>
        <x:v>HYPERLINK is not implemented. linkLocation=https://cdn.shopify.com/s/files/1/0918/6066/4603/files/O1CN01duuGcc1HlX3CDNk66__2545140798-0-cib.jpg?v=1773586872, friendlyName=Open</x:v>
      </x:c>
      <x:c r="C8146" s="24" t="e">
        <x:f>HYPERLINK("https://365nails.com/products/holographic-star-rainbow-sparkle-3d-embossed-nail-sticker","Holographic Star: ""Rainbow Sparkle"" – 3D Embossed Nail Sticker")</x:f>
        <x:v>HYPERLINK is not implemented. linkLocation=https://365nails.com/products/holographic-star-rainbow-sparkle-3d-embossed-nail-sticker, friendlyName=Holographic Star: "Rainbow Sparkle" – 3D Embossed Nail Sticker</x:v>
      </x:c>
      <x:c r="D8146" s="18" t="str">
        <x:v>Specification type: To4449-laser powder / To4449-laser silver / To4449-new hot stamping / To4449-silver</x:v>
      </x:c>
      <x:c r="E8146" s="25" t="str">
        <x:v>$1.23</x:v>
      </x:c>
      <x:c r="F8146" s="19" t="str">
        <x:v>5</x:v>
      </x:c>
    </x:row>
    <x:row r="8147" ht="93" customHeight="1">
      <x:c r="A8147" s="19" t="n">
        <x:v>8144</x:v>
      </x:c>
      <x:c r="B8147" s="22" t="e">
        <x:f>HYPERLINK("https://cdn.shopify.com/s/files/1/0918/6066/4603/files/94e05d300b801d76e4172f547525e34e.jpg?v=1775480665","Open")</x:f>
        <x:v>HYPERLINK is not implemented. linkLocation=https://cdn.shopify.com/s/files/1/0918/6066/4603/files/94e05d300b801d76e4172f547525e34e.jpg?v=1775480665, friendlyName=Open</x:v>
      </x:c>
      <x:c r="C8147" s="24" t="e">
        <x:f>HYPERLINK("https://365nails.com/products/sweet-barbie-hot-pink-bow-pearl-long-coffin-press-on-nails","Sweet Barbie: ""Hot Pink Bow Pearl"" – Long Coffin Press-on Nails")</x:f>
        <x:v>HYPERLINK is not implemented. linkLocation=https://365nails.com/products/sweet-barbie-hot-pink-bow-pearl-long-coffin-press-on-nails, friendlyName=Sweet Barbie: "Hot Pink Bow Pearl" – Long Coffin Press-on Nails</x:v>
      </x:c>
      <x:c r="D8147" s="18" t="str">
        <x:v>Size: XS / S / M / L</x:v>
      </x:c>
      <x:c r="E8147" s="25" t="str">
        <x:v>$3.99</x:v>
      </x:c>
      <x:c r="F8147" s="19" t="str">
        <x:v>5</x:v>
      </x:c>
    </x:row>
    <x:row r="8148" ht="93" customHeight="1">
      <x:c r="A8148" s="19" t="n">
        <x:v>8145</x:v>
      </x:c>
      <x:c r="B8148" s="22" t="e">
        <x:f>HYPERLINK("https://cdn.shopify.com/s/files/1/0918/6066/4603/files/947056b9d0dd41a59dc256edd9070df9.jpg?v=1768987060","Open")</x:f>
        <x:v>HYPERLINK is not implemented. linkLocation=https://cdn.shopify.com/s/files/1/0918/6066/4603/files/947056b9d0dd41a59dc256edd9070df9.jpg?v=1768987060, friendlyName=Open</x:v>
      </x:c>
      <x:c r="C8148" s="24" t="e">
        <x:f>HYPERLINK("https://365nails.com/products/starry-galaxy-gilded-violet-aurora-abstract-smudge-nails-handmade-smudge-series","Starry Galaxy &amp; Gilded Violet Aurora Abstract Smudge Nails ｜ Handmade Smudge Series(moq=30)")</x:f>
        <x:v>HYPERLINK is not implemented. linkLocation=https://365nails.com/products/starry-galaxy-gilded-violet-aurora-abstract-smudge-nails-handmade-smudge-series, friendlyName=Starry Galaxy &amp; Gilded Violet Aurora Abstract Smudge Nails ｜ Handmade Smudge Series(moq=30)</x:v>
      </x:c>
      <x:c r="D8148" s="18" t="str">
        <x:v>Size: XS / S / M / L</x:v>
      </x:c>
      <x:c r="E8148" s="25" t="str">
        <x:v>$2.99</x:v>
      </x:c>
      <x:c r="F8148" s="19" t="str">
        <x:v>30</x:v>
      </x:c>
    </x:row>
    <x:row r="8149" ht="93" customHeight="1">
      <x:c r="A8149" s="19" t="n">
        <x:v>8146</x:v>
      </x:c>
      <x:c r="B8149" s="22" t="e">
        <x:f>HYPERLINK("https://cdn.shopify.com/s/files/1/0918/6066/4603/files/d1c594b14d6b62963a3f2f7b4ed1fd3d.jpg?v=1774081989","Open")</x:f>
        <x:v>HYPERLINK is not implemented. linkLocation=https://cdn.shopify.com/s/files/1/0918/6066/4603/files/d1c594b14d6b62963a3f2f7b4ed1fd3d.jpg?v=1774081989, friendlyName=Open</x:v>
      </x:c>
      <x:c r="C8149" s="24" t="e">
        <x:f>HYPERLINK("https://365nails.com/products/cosmic-fatale-silver-butterfly-mist-long-sharp-stiletto-handmade-press-on-nails","Cosmic Fatale: ""Silver Butterfly Mist"" – Long Sharp Stiletto Handmade Press On Nails")</x:f>
        <x:v>HYPERLINK is not implemented. linkLocation=https://365nails.com/products/cosmic-fatale-silver-butterfly-mist-long-sharp-stiletto-handmade-press-on-nails, friendlyName=Cosmic Fatale: "Silver Butterfly Mist" – Long Sharp Stiletto Handmade Press On Nails</x:v>
      </x:c>
      <x:c r="D8149" s="18" t="str">
        <x:v>Size: XS / S / M / L</x:v>
      </x:c>
      <x:c r="E8149" s="25" t="str">
        <x:v>$3.99</x:v>
      </x:c>
      <x:c r="F8149" s="19" t="str">
        <x:v>5</x:v>
      </x:c>
    </x:row>
    <x:row r="8150" ht="93" customHeight="1">
      <x:c r="A8150" s="19" t="n">
        <x:v>8147</x:v>
      </x:c>
      <x:c r="B8150" s="22" t="e">
        <x:f>HYPERLINK("https://cdn.shopify.com/s/files/1/0918/6066/4603/files/O1CN01XVZvA81HlX9WU9KhX__2545140798-0-cib.jpg?v=1773579968","Open")</x:f>
        <x:v>HYPERLINK is not implemented. linkLocation=https://cdn.shopify.com/s/files/1/0918/6066/4603/files/O1CN01XVZvA81HlX9WU9KhX__2545140798-0-cib.jpg?v=1773579968, friendlyName=Open</x:v>
      </x:c>
      <x:c r="C8150" s="24" t="e">
        <x:f>HYPERLINK("https://365nails.com/products/cozy-sweater-weather-autumn-knit-3d-embossed-nail-sticker","Cozy Sweater Weather: ""Autumn Knit"" – 3D Embossed Nail Sticker")</x:f>
        <x:v>HYPERLINK is not implemented. linkLocation=https://365nails.com/products/cozy-sweater-weather-autumn-knit-3d-embossed-nail-sticker, friendlyName=Cozy Sweater Weather: "Autumn Knit" – 3D Embossed Nail Sticker</x:v>
      </x:c>
      <x:c r="D8150" s="18" t="str">
        <x:v>Specification type: To5305-relief / To5325-relief / To5325-1-metal</x:v>
      </x:c>
      <x:c r="E8150" s="25" t="str">
        <x:v>$1.23</x:v>
      </x:c>
      <x:c r="F8150" s="19" t="str">
        <x:v>5</x:v>
      </x:c>
    </x:row>
    <x:row r="8151" ht="93" customHeight="1">
      <x:c r="A8151" s="19" t="n">
        <x:v>8148</x:v>
      </x:c>
      <x:c r="B8151" s="22" t="e">
        <x:f>HYPERLINK("https://cdn.shopify.com/s/files/1/0918/6066/4603/files/f5ac466d2314703732c7c4b5137c92f9.jpg?v=1775479890","Open")</x:f>
        <x:v>HYPERLINK is not implemented. linkLocation=https://cdn.shopify.com/s/files/1/0918/6066/4603/files/f5ac466d2314703732c7c4b5137c92f9.jpg?v=1775479890, friendlyName=Open</x:v>
      </x:c>
      <x:c r="C8151" s="24" t="e">
        <x:f>HYPERLINK("https://365nails.com/products/elegant-red-red-stripe-pearl-long-stiletto-press-on-nails","Elegant Red: ""Red Stripe Pearl"" – Long Stiletto Press-on Nails")</x:f>
        <x:v>HYPERLINK is not implemented. linkLocation=https://365nails.com/products/elegant-red-red-stripe-pearl-long-stiletto-press-on-nails, friendlyName=Elegant Red: "Red Stripe Pearl" – Long Stiletto Press-on Nails</x:v>
      </x:c>
      <x:c r="D8151" s="18" t="str">
        <x:v>Size: XS / S / M / L</x:v>
      </x:c>
      <x:c r="E8151" s="25" t="str">
        <x:v>$3.99</x:v>
      </x:c>
      <x:c r="F8151" s="19" t="str">
        <x:v>5</x:v>
      </x:c>
    </x:row>
    <x:row r="8152" ht="93" customHeight="1">
      <x:c r="A8152" s="19" t="n">
        <x:v>8149</x:v>
      </x:c>
      <x:c r="B8152" s="22" t="e">
        <x:f>HYPERLINK("https://cdn.shopify.com/s/files/1/0918/6066/4603/files/O1CN012bhv3M1HlX2nmWNM0__2545140798-0-cib.jpg?v=1773838812","Open")</x:f>
        <x:v>HYPERLINK is not implemented. linkLocation=https://cdn.shopify.com/s/files/1/0918/6066/4603/files/O1CN012bhv3M1HlX2nmWNM0__2545140798-0-cib.jpg?v=1773838812, friendlyName=Open</x:v>
      </x:c>
      <x:c r="C8152" s="24" t="e">
        <x:f>HYPERLINK("https://365nails.com/products/ink-wash-white-lotus-eastern-zen-lotus-5d-embossed-nail-sticker","Ink Wash White Lotus: ""Eastern Zen Lotus"" – 5D Embossed Nail Sticker")</x:f>
        <x:v>HYPERLINK is not implemented. linkLocation=https://365nails.com/products/ink-wash-white-lotus-eastern-zen-lotus-5d-embossed-nail-sticker, friendlyName=Ink Wash White Lotus: "Eastern Zen Lotus" – 5D Embossed Nail Sticker</x:v>
      </x:c>
      <x:c r="D8152" s="18" t="str">
        <x:v>Specification type: To4194 / To4314 / To4360</x:v>
      </x:c>
      <x:c r="E8152" s="25" t="str">
        <x:v>$1.09</x:v>
      </x:c>
      <x:c r="F8152" s="19" t="str">
        <x:v>5</x:v>
      </x:c>
    </x:row>
    <x:row r="8153" ht="93" customHeight="1">
      <x:c r="A8153" s="19" t="n">
        <x:v>8150</x:v>
      </x:c>
      <x:c r="B8153" s="22" t="e">
        <x:f>HYPERLINK("https://cdn.shopify.com/s/files/1/0918/6066/4603/files/O1CN01uAevcg1HlWxK9U3rU__2545140798-0-cib.jpg?v=1772973845","Open")</x:f>
        <x:v>HYPERLINK is not implemented. linkLocation=https://cdn.shopify.com/s/files/1/0918/6066/4603/files/O1CN01uAevcg1HlWxK9U3rU__2545140798-0-cib.jpg?v=1772973845, friendlyName=Open</x:v>
      </x:c>
      <x:c r="C8153" s="24" t="e">
        <x:f>HYPERLINK("https://365nails.com/products/bakery-embossed-cute-dessert-nail-art-set","Bakery Embossed – Cute Dessert Nail Art Set")</x:f>
        <x:v>HYPERLINK is not implemented. linkLocation=https://365nails.com/products/bakery-embossed-cute-dessert-nail-art-set, friendlyName=Bakery Embossed – Cute Dessert Nail Art Set</x:v>
      </x:c>
      <x:c r="D8153" s="18" t="str">
        <x:v>Specification type: To3507 / To3509</x:v>
      </x:c>
      <x:c r="E8153" s="25" t="str">
        <x:v>$1.23</x:v>
      </x:c>
      <x:c r="F8153" s="19" t="str">
        <x:v>5</x:v>
      </x:c>
    </x:row>
    <x:row r="8154" ht="93" customHeight="1">
      <x:c r="A8154" s="19" t="n">
        <x:v>8151</x:v>
      </x:c>
      <x:c r="B8154" s="22" t="e">
        <x:f>HYPERLINK("https://cdn.shopify.com/s/files/1/0918/6066/4603/files/c40439cf71f85d262f3bbd563ad398f3.jpg?v=1775294395","Open")</x:f>
        <x:v>HYPERLINK is not implemented. linkLocation=https://cdn.shopify.com/s/files/1/0918/6066/4603/files/c40439cf71f85d262f3bbd563ad398f3.jpg?v=1775294395, friendlyName=Open</x:v>
      </x:c>
      <x:c r="C8154" s="24" t="e">
        <x:f>HYPERLINK("https://365nails.com/products/summer-bloom-pastel-orchid-long-coffin-press-on-nails","Summer Bloom: ""Pastel Orchid"" – Long Coffin Press-on Nails")</x:f>
        <x:v>HYPERLINK is not implemented. linkLocation=https://365nails.com/products/summer-bloom-pastel-orchid-long-coffin-press-on-nails, friendlyName=Summer Bloom: "Pastel Orchid" – Long Coffin Press-on Nails</x:v>
      </x:c>
      <x:c r="D8154" s="18" t="str">
        <x:v>Size: XS / S / M / L</x:v>
      </x:c>
      <x:c r="E8154" s="25" t="str">
        <x:v>$3.99</x:v>
      </x:c>
      <x:c r="F8154" s="19" t="str">
        <x:v>5</x:v>
      </x:c>
    </x:row>
    <x:row r="8155" ht="93" customHeight="1">
      <x:c r="A8155" s="19" t="n">
        <x:v>8152</x:v>
      </x:c>
      <x:c r="B8155" s="22" t="e">
        <x:f>HYPERLINK("https://cdn.shopify.com/s/files/1/0918/6066/4603/files/44ce41e6a128d24b21866efa606f3b84.jpg?v=1775294270","Open")</x:f>
        <x:v>HYPERLINK is not implemented. linkLocation=https://cdn.shopify.com/s/files/1/0918/6066/4603/files/44ce41e6a128d24b21866efa606f3b84.jpg?v=1775294270, friendlyName=Open</x:v>
      </x:c>
      <x:c r="C8155" s="24" t="e">
        <x:f>HYPERLINK("https://365nails.com/products/ocean-bloom-aqua-orchid-long-coffin-press-on-nails","Ocean Bloom: ""Aqua Orchid"" – Long Coffin Press-on Nails")</x:f>
        <x:v>HYPERLINK is not implemented. linkLocation=https://365nails.com/products/ocean-bloom-aqua-orchid-long-coffin-press-on-nails, friendlyName=Ocean Bloom: "Aqua Orchid" – Long Coffin Press-on Nails</x:v>
      </x:c>
      <x:c r="D8155" s="18" t="str">
        <x:v>Size: XS / S / M / L</x:v>
      </x:c>
      <x:c r="E8155" s="25" t="str">
        <x:v>$3.99</x:v>
      </x:c>
      <x:c r="F8155" s="19" t="str">
        <x:v>5</x:v>
      </x:c>
    </x:row>
    <x:row r="8156" ht="93" customHeight="1">
      <x:c r="A8156" s="19" t="n">
        <x:v>8153</x:v>
      </x:c>
      <x:c r="B8156" s="22" t="e">
        <x:f>HYPERLINK("https://cdn.shopify.com/s/files/1/0918/6066/4603/files/O1CN01Rb4eJf1HlX2OJ6yJe__2545140798-0-cib.jpg?v=1773746374","Open")</x:f>
        <x:v>HYPERLINK is not implemented. linkLocation=https://cdn.shopify.com/s/files/1/0918/6066/4603/files/O1CN01Rb4eJf1HlX2OJ6yJe__2545140798-0-cib.jpg?v=1773746374, friendlyName=Open</x:v>
      </x:c>
      <x:c r="C8156" s="24" t="e">
        <x:f>HYPERLINK("https://365nails.com/products/kawaii-animal-party-mix-cute-critter-crew-5d-embossed-nail-sticker","Kawaii Animal Party Mix: ""Cute Critter Crew"" – 5D Embossed Nail Sticker")</x:f>
        <x:v>HYPERLINK is not implemented. linkLocation=https://365nails.com/products/kawaii-animal-party-mix-cute-critter-crew-5d-embossed-nail-sticker, friendlyName=Kawaii Animal Party Mix: "Cute Critter Crew" – 5D Embossed Nail Sticker</x:v>
      </x:c>
      <x:c r="D8156" s="18" t="str">
        <x:v>Specification type: To4318-relief / To4319-jelly / To4320-relief / To4321-jelly / To4322-relief</x:v>
      </x:c>
      <x:c r="E8156" s="25" t="str">
        <x:v>$1.23</x:v>
      </x:c>
      <x:c r="F8156" s="19" t="str">
        <x:v>5</x:v>
      </x:c>
    </x:row>
    <x:row r="8157" ht="93" customHeight="1">
      <x:c r="A8157" s="19" t="n">
        <x:v>8154</x:v>
      </x:c>
      <x:c r="B8157" s="22" t="e">
        <x:f>HYPERLINK("https://cdn.shopify.com/s/files/1/0918/6066/4603/files/O1CN01hmujeh1HlX76OeRjU__2545140798-0-cib.jpg?v=1773844063","Open")</x:f>
        <x:v>HYPERLINK is not implemented. linkLocation=https://cdn.shopify.com/s/files/1/0918/6066/4603/files/O1CN01hmujeh1HlX76OeRjU__2545140798-0-cib.jpg?v=1773844063, friendlyName=Open</x:v>
      </x:c>
      <x:c r="C8157" s="24" t="e">
        <x:f>HYPERLINK("https://365nails.com/products/pastel-wildflower-bouquet-ethereal-spring-blossom-5d-embossed-nail-sticker","Pastel Wildflower Bouquet: ""Ethereal Spring Blossom"" – 5D Embossed Nail Sticker")</x:f>
        <x:v>HYPERLINK is not implemented. linkLocation=https://365nails.com/products/pastel-wildflower-bouquet-ethereal-spring-blossom-5d-embossed-nail-sticker, friendlyName=Pastel Wildflower Bouquet: "Ethereal Spring Blossom" – 5D Embossed Nail Sticker</x:v>
      </x:c>
      <x:c r="D8157" s="18" t="str">
        <x:v>Specification type: To5091-crystal diamond</x:v>
      </x:c>
      <x:c r="E8157" s="25" t="str">
        <x:v>$1.30</x:v>
      </x:c>
      <x:c r="F8157" s="19" t="str">
        <x:v>5</x:v>
      </x:c>
    </x:row>
    <x:row r="8158" ht="93" customHeight="1">
      <x:c r="A8158" s="19" t="n">
        <x:v>8155</x:v>
      </x:c>
      <x:c r="B8158" s="22" t="e">
        <x:f>HYPERLINK("https://cdn.shopify.com/s/files/1/0918/6066/4603/files/O1CN01R6oxQ61HlWqLxG74N__2545140798-0-cib.jpg?v=1774009096","Open")</x:f>
        <x:v>HYPERLINK is not implemented. linkLocation=https://cdn.shopify.com/s/files/1/0918/6066/4603/files/O1CN01R6oxQ61HlWqLxG74N__2545140798-0-cib.jpg?v=1774009096, friendlyName=Open</x:v>
      </x:c>
      <x:c r="C8158" s="24" t="e">
        <x:f>HYPERLINK("https://365nails.com/products/oriental-phoenix-cloud-celestial-phoenix-scroll-5d-embossed-nail-sticker","Oriental Phoenix &amp; Cloud: ""Celestial Phoenix Scroll"" – 5D Embossed Nail Sticker")</x:f>
        <x:v>HYPERLINK is not implemented. linkLocation=https://365nails.com/products/oriental-phoenix-cloud-celestial-phoenix-scroll-5d-embossed-nail-sticker, friendlyName=Oriental Phoenix &amp; Cloud: "Celestial Phoenix Scroll" – 5D Embossed Nail Sticker</x:v>
      </x:c>
      <x:c r="D8158" s="18" t="str">
        <x:v>Specification type: To2299-laser silver / To2299-new hot stamping / To2299-silver / To2305-laser silver / To2305-new hot stamping / To2305-silver / To2310-laser silver / To2310-new hot stamping / To2310-silver</x:v>
      </x:c>
      <x:c r="E8158" s="25" t="str">
        <x:v>$1.23</x:v>
      </x:c>
      <x:c r="F8158" s="19" t="str">
        <x:v>5</x:v>
      </x:c>
    </x:row>
    <x:row r="8159" ht="93" customHeight="1">
      <x:c r="A8159" s="19" t="n">
        <x:v>8156</x:v>
      </x:c>
      <x:c r="B8159" s="22" t="e">
        <x:f>HYPERLINK("https://cdn.shopify.com/s/files/1/0918/6066/4603/files/O1CN01ZDmkTG1HlX26e39YK__2545140798-0-cib.jpg?v=1773838471","Open")</x:f>
        <x:v>HYPERLINK is not implemented. linkLocation=https://cdn.shopify.com/s/files/1/0918/6066/4603/files/O1CN01ZDmkTG1HlX26e39YK__2545140798-0-cib.jpg?v=1773838471, friendlyName=Open</x:v>
      </x:c>
      <x:c r="C8159" s="24" t="e">
        <x:f>HYPERLINK("https://365nails.com/products/miiichan-daily-life-cozy-cute-character-5d-embossed-nail-sticker","Miiichan Daily Life: ""Cozy Cute Character"" – 5D Embossed Nail Sticker")</x:f>
        <x:v>HYPERLINK is not implemented. linkLocation=https://365nails.com/products/miiichan-daily-life-cozy-cute-character-5d-embossed-nail-sticker, friendlyName=Miiichan Daily Life: "Cozy Cute Character" – 5D Embossed Nail Sticker</x:v>
      </x:c>
      <x:c r="D8159" s="18" t="str">
        <x:v>Specification type: Mc 21</x:v>
      </x:c>
      <x:c r="E8159" s="25" t="str">
        <x:v>$1.16</x:v>
      </x:c>
      <x:c r="F8159" s="19" t="str">
        <x:v>5</x:v>
      </x:c>
    </x:row>
    <x:row r="8160" ht="93" customHeight="1">
      <x:c r="A8160" s="19" t="n">
        <x:v>8157</x:v>
      </x:c>
      <x:c r="B8160" s="22" t="e">
        <x:f>HYPERLINK("https://cdn.shopify.com/s/files/1/0918/6066/4603/files/00344d82a88526aa3bf76977ee65b5b8.jpg?v=1781018324","Open")</x:f>
        <x:v>HYPERLINK is not implemented. linkLocation=https://cdn.shopify.com/s/files/1/0918/6066/4603/files/00344d82a88526aa3bf76977ee65b5b8.jpg?v=1781018324, friendlyName=Open</x:v>
      </x:c>
      <x:c r="C8160" s="24" t="e">
        <x:f>HYPERLINK("https://365nails.com/products/365nails-purple-gradient-3d-bubble-lollipop-seashell-rhinestone-candy-kawaii-handmade-medium","365nails: ""Purple Gradient 3D Bubble Lollipop Seashell Rhinestone"" – Candy Kawaii Handmade Medium")</x:f>
        <x:v>HYPERLINK is not implemented. linkLocation=https://365nails.com/products/365nails-purple-gradient-3d-bubble-lollipop-seashell-rhinestone-candy-kawaii-handmade-medium, friendlyName=365nails: "Purple Gradient 3D Bubble Lollipop Seashell Rhinestone" – Candy Kawaii Handmade Medium</x:v>
      </x:c>
      <x:c r="D8160" s="18" t="str">
        <x:v>Size: XS / S / M / L</x:v>
      </x:c>
      <x:c r="E8160" s="25" t="str">
        <x:v>$4.29</x:v>
      </x:c>
      <x:c r="F8160" s="19" t="str">
        <x:v>3</x:v>
      </x:c>
    </x:row>
    <x:row r="8161" ht="93" customHeight="1">
      <x:c r="A8161" s="19" t="n">
        <x:v>8158</x:v>
      </x:c>
      <x:c r="B8161" s="22" t="e">
        <x:f>HYPERLINK("https://cdn.shopify.com/s/files/1/0918/6066/4603/files/O1CN010EewNy1HlX5z5SmUJ__2545140798-0-cib.jpg?v=1773846804","Open")</x:f>
        <x:v>HYPERLINK is not implemented. linkLocation=https://cdn.shopify.com/s/files/1/0918/6066/4603/files/O1CN010EewNy1HlX5z5SmUJ__2545140798-0-cib.jpg?v=1773846804, friendlyName=Open</x:v>
      </x:c>
      <x:c r="C8161" s="24" t="e">
        <x:f>HYPERLINK("https://365nails.com/products/enchanted-tulip-butterfly-dreamy-spring-garden-5d-embossed-nail-sticker","Enchanted Tulip &amp; Butterfly: ""Dreamy Spring Garden"" – 5D Embossed Nail Sticker")</x:f>
        <x:v>HYPERLINK is not implemented. linkLocation=https://365nails.com/products/enchanted-tulip-butterfly-dreamy-spring-garden-5d-embossed-nail-sticker, friendlyName=Enchanted Tulip &amp; Butterfly: "Dreamy Spring Garden" – 5D Embossed Nail Sticker</x:v>
      </x:c>
      <x:c r="D8161" s="18" t="str">
        <x:v>Specification type: To4961-metal / To4961-silver</x:v>
      </x:c>
      <x:c r="E8161" s="25" t="str">
        <x:v>$1.23</x:v>
      </x:c>
      <x:c r="F8161" s="19" t="str">
        <x:v>5</x:v>
      </x:c>
    </x:row>
    <x:row r="8162" ht="93" customHeight="1">
      <x:c r="A8162" s="19" t="n">
        <x:v>8159</x:v>
      </x:c>
      <x:c r="B8162" s="22" t="e">
        <x:f>HYPERLINK("https://cdn.shopify.com/s/files/1/0918/6066/4603/files/O1CN01on8UgW1HlX2t5iw0l__2545140798-0-cib.jpg?v=1773838889","Open")</x:f>
        <x:v>HYPERLINK is not implemented. linkLocation=https://cdn.shopify.com/s/files/1/0918/6066/4603/files/O1CN01on8UgW1HlX2t5iw0l__2545140798-0-cib.jpg?v=1773838889, friendlyName=Open</x:v>
      </x:c>
      <x:c r="C8162" s="24" t="e">
        <x:f>HYPERLINK("https://365nails.com/products/vintage-garden-bunny-doll-countryside-garden-tea-party-5d-embossed-nail-sticker","Vintage Garden Bunny &amp; Doll: ""Countryside Garden Tea Party"" – 5D Embossed Nail Sticker")</x:f>
        <x:v>HYPERLINK is not implemented. linkLocation=https://365nails.com/products/vintage-garden-bunny-doll-countryside-garden-tea-party-5d-embossed-nail-sticker, friendlyName=Vintage Garden Bunny &amp; Doll: "Countryside Garden Tea Party" – 5D Embossed Nail Sticker</x:v>
      </x:c>
      <x:c r="D8162" s="18" t="str">
        <x:v>Specification type: To520-1-relief / To4380-relief</x:v>
      </x:c>
      <x:c r="E8162" s="25" t="str">
        <x:v>$1.23</x:v>
      </x:c>
      <x:c r="F8162" s="19" t="str">
        <x:v>5</x:v>
      </x:c>
    </x:row>
    <x:row r="8163" ht="93" customHeight="1">
      <x:c r="A8163" s="19" t="n">
        <x:v>8160</x:v>
      </x:c>
      <x:c r="B8163" s="22" t="e">
        <x:f>HYPERLINK("https://cdn.shopify.com/s/files/1/0918/6066/4603/files/d7334909e112ea6ceea316f2f116acee_f3306440-47d0-4120-9d4a-1ca3989edd96.jpg?v=1779156143","Open")</x:f>
        <x:v>HYPERLINK is not implemented. linkLocation=https://cdn.shopify.com/s/files/1/0918/6066/4603/files/d7334909e112ea6ceea316f2f116acee_f3306440-47d0-4120-9d4a-1ca3989edd96.jpg?v=1779156143, friendlyName=Open</x:v>
      </x:c>
      <x:c r="C8163" s="24" t="e">
        <x:f>HYPERLINK("https://365nails.com/products/365nails-sky-blue-daisy-bloom-handmade-liquid-motion-press-on-medium-square-nails","365nails: ""Sky Blue Daisy Bloom"" – Handmade Liquid Motion Press-On Medium Square Nails-3cm")</x:f>
        <x:v>HYPERLINK is not implemented. linkLocation=https://365nails.com/products/365nails-sky-blue-daisy-bloom-handmade-liquid-motion-press-on-medium-square-nails, friendlyName=365nails: "Sky Blue Daisy Bloom" – Handmade Liquid Motion Press-On Medium Square Nails-3cm</x:v>
      </x:c>
      <x:c r="D8163" s="18" t="str">
        <x:v>Size: S-3cm / M-3cm / L-3cm</x:v>
      </x:c>
      <x:c r="E8163" s="25" t="str">
        <x:v>$6.99</x:v>
      </x:c>
      <x:c r="F8163" s="19" t="str">
        <x:v>5</x:v>
      </x:c>
    </x:row>
    <x:row r="8164" ht="93" customHeight="1">
      <x:c r="A8164" s="19" t="n">
        <x:v>8161</x:v>
      </x:c>
      <x:c r="B8164" s="22" t="e">
        <x:f>HYPERLINK("https://cdn.shopify.com/s/files/1/0918/6066/4603/files/319b65bf78d5c5d5e1da377cd2780020_9619f0cb-ef0d-4014-b310-e3ee9a570de8.jpg?v=1779157036","Open")</x:f>
        <x:v>HYPERLINK is not implemented. linkLocation=https://cdn.shopify.com/s/files/1/0918/6066/4603/files/319b65bf78d5c5d5e1da377cd2780020_9619f0cb-ef0d-4014-b310-e3ee9a570de8.jpg?v=1779157036, friendlyName=Open</x:v>
      </x:c>
      <x:c r="C8164" s="24" t="e">
        <x:f>HYPERLINK("https://365nails.com/products/365nails-sky-blue-orchid-bloom-handmade-liquid-motion-press-on-medium-square-nails","365nails: ""Sky Blue Orchid Bloom"" – Handmade Liquid Motion Press-On Medium Square Nails-3.5cm")</x:f>
        <x:v>HYPERLINK is not implemented. linkLocation=https://365nails.com/products/365nails-sky-blue-orchid-bloom-handmade-liquid-motion-press-on-medium-square-nails, friendlyName=365nails: "Sky Blue Orchid Bloom" – Handmade Liquid Motion Press-On Medium Square Nails-3.5cm</x:v>
      </x:c>
      <x:c r="D8164" s="18" t="str">
        <x:v>Size: S-3.5cm / M-3.5cm / L-3.5cm</x:v>
      </x:c>
      <x:c r="E8164" s="25" t="str">
        <x:v>$6.99</x:v>
      </x:c>
      <x:c r="F8164" s="19" t="str">
        <x:v>5</x:v>
      </x:c>
    </x:row>
    <x:row r="8165" ht="93" customHeight="1">
      <x:c r="A8165" s="19" t="n">
        <x:v>8162</x:v>
      </x:c>
      <x:c r="B8165" s="22" t="e">
        <x:f>HYPERLINK("https://cdn.shopify.com/s/files/1/0918/6066/4603/files/5973ca2787da4c58df4a80b4842b7da3.jpg?v=1775294527","Open")</x:f>
        <x:v>HYPERLINK is not implemented. linkLocation=https://cdn.shopify.com/s/files/1/0918/6066/4603/files/5973ca2787da4c58df4a80b4842b7da3.jpg?v=1775294527, friendlyName=Open</x:v>
      </x:c>
      <x:c r="C8165" s="24" t="e">
        <x:f>HYPERLINK("https://365nails.com/products/spring-garden-bamboo-lily-long-coffin-press-on-nails","Spring Garden: ""Bamboo Lily"" – Long Coffin Press-on Nails")</x:f>
        <x:v>HYPERLINK is not implemented. linkLocation=https://365nails.com/products/spring-garden-bamboo-lily-long-coffin-press-on-nails, friendlyName=Spring Garden: "Bamboo Lily" – Long Coffin Press-on Nails</x:v>
      </x:c>
      <x:c r="D8165" s="18" t="str">
        <x:v>Size: XS / S / M / L</x:v>
      </x:c>
      <x:c r="E8165" s="25" t="str">
        <x:v>$3.99</x:v>
      </x:c>
      <x:c r="F8165" s="19" t="str">
        <x:v>5</x:v>
      </x:c>
    </x:row>
    <x:row r="8166" ht="93" customHeight="1">
      <x:c r="A8166" s="19" t="n">
        <x:v>8163</x:v>
      </x:c>
      <x:c r="B8166" s="22" t="e">
        <x:f>HYPERLINK("https://cdn.shopify.com/s/files/1/0918/6066/4603/files/70d6b76679bb81447ba46c1e4b0d3b6f_a8fe2e8b-41d2-40dd-a560-a6d52a15567c.jpg?v=1779155943","Open")</x:f>
        <x:v>HYPERLINK is not implemented. linkLocation=https://cdn.shopify.com/s/files/1/0918/6066/4603/files/70d6b76679bb81447ba46c1e4b0d3b6f_a8fe2e8b-41d2-40dd-a560-a6d52a15567c.jpg?v=1779155943, friendlyName=Open</x:v>
      </x:c>
      <x:c r="C8166" s="24" t="e">
        <x:f>HYPERLINK("https://365nails.com/products/365nails-peach-orchid-bunny-handmade-liquid-motion-press-on-medium-square-nails","365nails: ""Peach Orchid Bunny"" – Handmade Liquid Motion Press-On Medium Square Nails-3cm")</x:f>
        <x:v>HYPERLINK is not implemented. linkLocation=https://365nails.com/products/365nails-peach-orchid-bunny-handmade-liquid-motion-press-on-medium-square-nails, friendlyName=365nails: "Peach Orchid Bunny" – Handmade Liquid Motion Press-On Medium Square Nails-3cm</x:v>
      </x:c>
      <x:c r="D8166" s="18" t="str">
        <x:v>Size: S-3cm / M-3cm / L-3cm</x:v>
      </x:c>
      <x:c r="E8166" s="25" t="str">
        <x:v>$6.99</x:v>
      </x:c>
      <x:c r="F8166" s="19" t="str">
        <x:v>5</x:v>
      </x:c>
    </x:row>
    <x:row r="8167" ht="93" customHeight="1">
      <x:c r="A8167" s="19" t="n">
        <x:v>8164</x:v>
      </x:c>
      <x:c r="B8167" s="22" t="e">
        <x:f>HYPERLINK("https://cdn.shopify.com/s/files/1/0918/6066/4603/files/O1CN01XXaV221HlX1GVStTk__2545140798-0-cib.jpg?v=1773759478","Open")</x:f>
        <x:v>HYPERLINK is not implemented. linkLocation=https://cdn.shopify.com/s/files/1/0918/6066/4603/files/O1CN01XXaV221HlX1GVStTk__2545140798-0-cib.jpg?v=1773759478, friendlyName=Open</x:v>
      </x:c>
      <x:c r="C8167" s="24" t="e">
        <x:f>HYPERLINK("https://365nails.com/products/holographic-cloud-rainbow-dreamy-sky-cloud-5d-embossed-nail-sticker","Holographic Cloud &amp; Rainbow: ""Dreamy Sky Cloud"" – 5D Embossed Nail Sticker")</x:f>
        <x:v>HYPERLINK is not implemented. linkLocation=https://365nails.com/products/holographic-cloud-rainbow-dreamy-sky-cloud-5d-embossed-nail-sticker, friendlyName=Holographic Cloud &amp; Rainbow: "Dreamy Sky Cloud" – 5D Embossed Nail Sticker</x:v>
      </x:c>
      <x:c r="D8167" s="18" t="str">
        <x:v>Specification type: To4028-shell light</x:v>
      </x:c>
      <x:c r="E8167" s="25" t="str">
        <x:v>$1.23</x:v>
      </x:c>
      <x:c r="F8167" s="19" t="str">
        <x:v>5</x:v>
      </x:c>
    </x:row>
    <x:row r="8168" ht="93" customHeight="1">
      <x:c r="A8168" s="19" t="n">
        <x:v>8165</x:v>
      </x:c>
      <x:c r="B8168" s="22" t="e">
        <x:f>HYPERLINK("https://cdn.shopify.com/s/files/1/0918/6066/4603/files/f1ca83d84822c5e6b1169e715a0f354a_9031d25e-d8ea-43a3-aab9-379aefa7123a.jpg?v=1779158871","Open")</x:f>
        <x:v>HYPERLINK is not implemented. linkLocation=https://cdn.shopify.com/s/files/1/0918/6066/4603/files/f1ca83d84822c5e6b1169e715a0f354a_9031d25e-d8ea-43a3-aab9-379aefa7123a.jpg?v=1779158871, friendlyName=Open</x:v>
      </x:c>
      <x:c r="C8168" s="24" t="e">
        <x:f>HYPERLINK("https://365nails.com/products/365nails-watermelon-bloom-handmade-liquid-motion-press-on-medium-square-nails","365nails: ""Watermelon Bloom"" – Handmade Liquid Motion Press-On Medium Square Nails-4cm")</x:f>
        <x:v>HYPERLINK is not implemented. linkLocation=https://365nails.com/products/365nails-watermelon-bloom-handmade-liquid-motion-press-on-medium-square-nails, friendlyName=365nails: "Watermelon Bloom" – Handmade Liquid Motion Press-On Medium Square Nails-4cm</x:v>
      </x:c>
      <x:c r="D8168" s="18" t="str">
        <x:v>Size: S-4cm / M-4cm / L-4cm</x:v>
      </x:c>
      <x:c r="E8168" s="25" t="str">
        <x:v>$6.99</x:v>
      </x:c>
      <x:c r="F8168" s="19" t="str">
        <x:v>5</x:v>
      </x:c>
    </x:row>
    <x:row r="8169" ht="93" customHeight="1">
      <x:c r="A8169" s="19" t="n">
        <x:v>8166</x:v>
      </x:c>
      <x:c r="B8169" s="22" t="e">
        <x:f>HYPERLINK("https://cdn.shopify.com/s/files/1/0918/6066/4603/files/78f54cf327446b6e5f508a7c73451e01.jpg?v=1779157186","Open")</x:f>
        <x:v>HYPERLINK is not implemented. linkLocation=https://cdn.shopify.com/s/files/1/0918/6066/4603/files/78f54cf327446b6e5f508a7c73451e01.jpg?v=1779157186, friendlyName=Open</x:v>
      </x:c>
      <x:c r="C8169" s="24" t="e">
        <x:f>HYPERLINK("https://365nails.com/products/365nails-tropical-orchid-glow-handmade-liquid-motion-press-on-medium-square-nails","365nails: ""Tropical Orchid Glow"" – Handmade Liquid Motion Press-On Medium Square Nails-3.5cm")</x:f>
        <x:v>HYPERLINK is not implemented. linkLocation=https://365nails.com/products/365nails-tropical-orchid-glow-handmade-liquid-motion-press-on-medium-square-nails, friendlyName=365nails: "Tropical Orchid Glow" – Handmade Liquid Motion Press-On Medium Square Nails-3.5cm</x:v>
      </x:c>
      <x:c r="D8169" s="18" t="str">
        <x:v>Size: S-3.5cm / M-3.5cm / L-3.5cm</x:v>
      </x:c>
      <x:c r="E8169" s="25" t="str">
        <x:v>$6.99</x:v>
      </x:c>
      <x:c r="F8169" s="19" t="str">
        <x:v>5</x:v>
      </x:c>
    </x:row>
    <x:row r="8170" ht="93" customHeight="1">
      <x:c r="A8170" s="19" t="n">
        <x:v>8167</x:v>
      </x:c>
      <x:c r="B8170" s="22" t="e">
        <x:f>HYPERLINK("https://cdn.shopify.com/s/files/1/0918/6066/4603/files/b3e2c2c1e4518222dd224b36c830be7f_3b5daff3-e0ea-48e8-aab0-a63c89370aab.jpg?v=1777645079","Open")</x:f>
        <x:v>HYPERLINK is not implemented. linkLocation=https://cdn.shopify.com/s/files/1/0918/6066/4603/files/b3e2c2c1e4518222dd224b36c830be7f_3b5daff3-e0ea-48e8-aab0-a63c89370aab.jpg?v=1777645079, friendlyName=Open</x:v>
      </x:c>
      <x:c r="C8170" s="24" t="e">
        <x:f>HYPERLINK("https://365nails.com/products/365nails-citrus-blueberry-picnic-handmade-medium-almond-press-on-nails","365nails: ""Citrus &amp; Blueberry Picnic"" – Handmade Medium Almond Press On Nails")</x:f>
        <x:v>HYPERLINK is not implemented. linkLocation=https://365nails.com/products/365nails-citrus-blueberry-picnic-handmade-medium-almond-press-on-nails, friendlyName=365nails: "Citrus &amp; Blueberry Picnic" – Handmade Medium Almond Press On Nails</x:v>
      </x:c>
      <x:c r="D8170" s="18" t="str">
        <x:v>Size: XS / S / M / L</x:v>
      </x:c>
      <x:c r="E8170" s="25" t="str">
        <x:v>$4.99</x:v>
      </x:c>
      <x:c r="F8170" s="19" t="str">
        <x:v>5</x:v>
      </x:c>
    </x:row>
    <x:row r="8171" ht="93" customHeight="1">
      <x:c r="A8171" s="19" t="n">
        <x:v>8168</x:v>
      </x:c>
      <x:c r="B8171" s="22" t="e">
        <x:f>HYPERLINK("https://cdn.shopify.com/s/files/1/0918/6066/4603/files/197b3268a9f8ea1663a1a90d8f9bd879.jpg?v=1774082220","Open")</x:f>
        <x:v>HYPERLINK is not implemented. linkLocation=https://cdn.shopify.com/s/files/1/0918/6066/4603/files/197b3268a9f8ea1663a1a90d8f9bd879.jpg?v=1774082220, friendlyName=Open</x:v>
      </x:c>
      <x:c r="C8171" s="24" t="e">
        <x:f>HYPERLINK("https://365nails.com/products/cosmic-fatale-scarlet-silver-vein-long-sharp-stiletto-handmade-press-on-nails","Cosmic Fatale: ""Scarlet Silver Vein"" – Long Sharp Stiletto Handmade Press On Nails")</x:f>
        <x:v>HYPERLINK is not implemented. linkLocation=https://365nails.com/products/cosmic-fatale-scarlet-silver-vein-long-sharp-stiletto-handmade-press-on-nails, friendlyName=Cosmic Fatale: "Scarlet Silver Vein" – Long Sharp Stiletto Handmade Press On Nails</x:v>
      </x:c>
      <x:c r="D8171" s="18" t="str">
        <x:v>Size: XS / S / M / L</x:v>
      </x:c>
      <x:c r="E8171" s="25" t="str">
        <x:v>$3.99</x:v>
      </x:c>
      <x:c r="F8171" s="19" t="str">
        <x:v>5</x:v>
      </x:c>
    </x:row>
    <x:row r="8172" ht="93" customHeight="1">
      <x:c r="A8172" s="19" t="n">
        <x:v>8169</x:v>
      </x:c>
      <x:c r="B8172" s="22" t="e">
        <x:f>HYPERLINK("https://cdn.shopify.com/s/files/1/0918/6066/4603/files/3ec69c264fce65639cd4703b334a53ca.jpg?v=1768966458","Open")</x:f>
        <x:v>HYPERLINK is not implemented. linkLocation=https://cdn.shopify.com/s/files/1/0918/6066/4603/files/3ec69c264fce65639cd4703b334a53ca.jpg?v=1768966458, friendlyName=Open</x:v>
      </x:c>
      <x:c r="C8172" s="24" t="e">
        <x:f>HYPERLINK("https://365nails.com/products/ink-jade-gilded-teal-vintage-dark-emerald-marble-gold-foil-nails-handmade-smudge-series","Ink Jade &amp; Gilded Teal Vintage Dark Emerald Marble Gold Foil Nails ｜ Handmade Smudge Series(moq=30)")</x:f>
        <x:v>HYPERLINK is not implemented. linkLocation=https://365nails.com/products/ink-jade-gilded-teal-vintage-dark-emerald-marble-gold-foil-nails-handmade-smudge-series, friendlyName=Ink Jade &amp; Gilded Teal Vintage Dark Emerald Marble Gold Foil Nails ｜ Handmade Smudge Series(moq=30)</x:v>
      </x:c>
      <x:c r="D8172" s="18" t="str">
        <x:v>Size: XS / S / M / L</x:v>
      </x:c>
      <x:c r="E8172" s="25" t="str">
        <x:v>$2.99</x:v>
      </x:c>
      <x:c r="F8172" s="19" t="str">
        <x:v>30</x:v>
      </x:c>
    </x:row>
    <x:row r="8173" ht="93" customHeight="1">
      <x:c r="A8173" s="19" t="n">
        <x:v>8170</x:v>
      </x:c>
      <x:c r="B8173" s="22" t="e">
        <x:f>HYPERLINK("https://cdn.shopify.com/s/files/1/0918/6066/4603/files/3171ca6bf1aa3e640fda926ae50e051a.jpg?v=1777517039","Open")</x:f>
        <x:v>HYPERLINK is not implemented. linkLocation=https://cdn.shopify.com/s/files/1/0918/6066/4603/files/3171ca6bf1aa3e640fda926ae50e051a.jpg?v=1777517039, friendlyName=Open</x:v>
      </x:c>
      <x:c r="C8173" s="24" t="e">
        <x:f>HYPERLINK("https://365nails.com/products/365nails-demon-oni-gothic-red-handmade-press-on-pedicure","365nails: ""Demon Oni Gothic Red"" – handmade press-on nails")</x:f>
        <x:v>HYPERLINK is not implemented. linkLocation=https://365nails.com/products/365nails-demon-oni-gothic-red-handmade-press-on-pedicure, friendlyName=365nails: "Demon Oni Gothic Red" – handmade press-on nails</x:v>
      </x:c>
      <x:c r="D8173" s="18" t="str">
        <x:v>Size: XS / S / M / L</x:v>
      </x:c>
      <x:c r="E8173" s="25" t="str">
        <x:v>$4.99</x:v>
      </x:c>
      <x:c r="F8173" s="19" t="str">
        <x:v>3</x:v>
      </x:c>
    </x:row>
    <x:row r="8174" ht="93" customHeight="1">
      <x:c r="A8174" s="19" t="n">
        <x:v>8171</x:v>
      </x:c>
      <x:c r="B8174" s="22" t="e">
        <x:f>HYPERLINK("https://cdn.shopify.com/s/files/1/0918/6066/4603/files/O1CN01A0AZgT1HlWjXurthk__2545140798-0-cib.jpg?v=1773060707","Open")</x:f>
        <x:v>HYPERLINK is not implemented. linkLocation=https://cdn.shopify.com/s/files/1/0918/6066/4603/files/O1CN01A0AZgT1HlWjXurthk__2545140798-0-cib.jpg?v=1773060707, friendlyName=Open</x:v>
      </x:c>
      <x:c r="C8174" s="24" t="e">
        <x:f>HYPERLINK("https://365nails.com/products/flame-icon-bold-fire-nail-art-set","Flame Icon – Bold Fire Nail Art Set")</x:f>
        <x:v>HYPERLINK is not implemented. linkLocation=https://365nails.com/products/flame-icon-bold-fire-nail-art-set, friendlyName=Flame Icon – Bold Fire Nail Art Set</x:v>
      </x:c>
      <x:c r="D8174" s="18" t="str">
        <x:v>Specification type: Tomo 454 / Tomoni 455 / Tomoni 456 / Tomoni 457 / Tomoni 458</x:v>
      </x:c>
      <x:c r="E8174" s="25" t="str">
        <x:v>$1.23</x:v>
      </x:c>
      <x:c r="F8174" s="19" t="str">
        <x:v>5</x:v>
      </x:c>
    </x:row>
    <x:row r="8175" ht="93" customHeight="1">
      <x:c r="A8175" s="19" t="n">
        <x:v>8172</x:v>
      </x:c>
      <x:c r="B8175" s="22" t="e">
        <x:f>HYPERLINK("https://cdn.shopify.com/s/files/1/0918/6066/4603/files/ad449b0fff45e35de4347482bffd32c5.jpg?v=1772974836","Open")</x:f>
        <x:v>HYPERLINK is not implemented. linkLocation=https://cdn.shopify.com/s/files/1/0918/6066/4603/files/ad449b0fff45e35de4347482bffd32c5.jpg?v=1772974836, friendlyName=Open</x:v>
      </x:c>
      <x:c r="C8175" s="24" t="e">
        <x:f>HYPERLINK("https://365nails.com/products/cherry-blossom-sprig-romantic-floral-nail-art-set","Cherry Blossom Sprig – Romantic Floral Nail Art Set")</x:f>
        <x:v>HYPERLINK is not implemented. linkLocation=https://365nails.com/products/cherry-blossom-sprig-romantic-floral-nail-art-set, friendlyName=Cherry Blossom Sprig – Romantic Floral Nail Art Set</x:v>
      </x:c>
      <x:c r="D8175" s="18" t="str">
        <x:v>Specification type: To3574 / To3585</x:v>
      </x:c>
      <x:c r="E8175" s="25" t="str">
        <x:v>$1.23</x:v>
      </x:c>
      <x:c r="F8175" s="19" t="str">
        <x:v>5</x:v>
      </x:c>
    </x:row>
    <x:row r="8176" ht="93" customHeight="1">
      <x:c r="A8176" s="19" t="n">
        <x:v>8173</x:v>
      </x:c>
      <x:c r="B8176" s="22" t="e">
        <x:f>HYPERLINK("https://cdn.shopify.com/s/files/1/0918/6066/4603/files/c1697a76dde490c20f211e1e3df9b345.jpg?v=1775480136","Open")</x:f>
        <x:v>HYPERLINK is not implemented. linkLocation=https://cdn.shopify.com/s/files/1/0918/6066/4603/files/c1697a76dde490c20f211e1e3df9b345.jpg?v=1775480136, friendlyName=Open</x:v>
      </x:c>
      <x:c r="C8176" s="24" t="e">
        <x:f>HYPERLINK("https://365nails.com/products/y2k-cow-print-double-ring-stiletto-long-stiletto-press-on-nails","Y2K Cow Print: ""Double Ring Stiletto"" – Long Stiletto Press-on Nails")</x:f>
        <x:v>HYPERLINK is not implemented. linkLocation=https://365nails.com/products/y2k-cow-print-double-ring-stiletto-long-stiletto-press-on-nails, friendlyName=Y2K Cow Print: "Double Ring Stiletto" – Long Stiletto Press-on Nails</x:v>
      </x:c>
      <x:c r="D8176" s="18" t="str">
        <x:v>Size: XS / S / M / L</x:v>
      </x:c>
      <x:c r="E8176" s="25" t="str">
        <x:v>$3.99</x:v>
      </x:c>
      <x:c r="F8176" s="19" t="str">
        <x:v>5</x:v>
      </x:c>
    </x:row>
    <x:row r="8177" ht="93" customHeight="1">
      <x:c r="A8177" s="19" t="n">
        <x:v>8174</x:v>
      </x:c>
      <x:c r="B8177" s="22" t="e">
        <x:f>HYPERLINK("https://cdn.shopify.com/s/files/1/0918/6066/4603/files/9240f06f6749ad7bfafd447043321496.jpg?v=1772970430","Open")</x:f>
        <x:v>HYPERLINK is not implemented. linkLocation=https://cdn.shopify.com/s/files/1/0918/6066/4603/files/9240f06f6749ad7bfafd447043321496.jpg?v=1772970430, friendlyName=Open</x:v>
      </x:c>
      <x:c r="C8177" s="24" t="e">
        <x:f>HYPERLINK("https://365nails.com/products/toy-story-adventure-disney-pixar-nail-art-set","Toy Story Adventure – Disney Pixar Nail Art Set")</x:f>
        <x:v>HYPERLINK is not implemented. linkLocation=https://365nails.com/products/toy-story-adventure-disney-pixar-nail-art-set, friendlyName=Toy Story Adventure – Disney Pixar Nail Art Set</x:v>
      </x:c>
      <x:c r="D8177" s="18" t="str">
        <x:v>Specification type: To2064 / To2066</x:v>
      </x:c>
      <x:c r="E8177" s="25" t="str">
        <x:v>$1.23</x:v>
      </x:c>
      <x:c r="F8177" s="19" t="str">
        <x:v>5</x:v>
      </x:c>
    </x:row>
    <x:row r="8178" ht="93" customHeight="1">
      <x:c r="A8178" s="19" t="n">
        <x:v>8175</x:v>
      </x:c>
      <x:c r="B8178" s="22" t="e">
        <x:f>HYPERLINK("https://cdn.shopify.com/s/files/1/0918/6066/4603/files/707875a4e0400cad88e6d125edc2726c.jpg?v=1777809250","Open")</x:f>
        <x:v>HYPERLINK is not implemented. linkLocation=https://cdn.shopify.com/s/files/1/0918/6066/4603/files/707875a4e0400cad88e6d125edc2726c.jpg?v=1777809250, friendlyName=Open</x:v>
      </x:c>
      <x:c r="C8178" s="24" t="e">
        <x:f>HYPERLINK("https://365nails.com/products/365nails-daffodil-bloom-3d-flower-handmade-short-almond-press-on-nails","365nails: ""Daffodil Bloom"" – 3D Flower Handmade Short Almond Press-On Nails")</x:f>
        <x:v>HYPERLINK is not implemented. linkLocation=https://365nails.com/products/365nails-daffodil-bloom-3d-flower-handmade-short-almond-press-on-nails, friendlyName=365nails: "Daffodil Bloom" – 3D Flower Handmade Short Almond Press-On Nails</x:v>
      </x:c>
      <x:c r="D8178" s="18" t="str">
        <x:v>Size: XS / S / M / L</x:v>
      </x:c>
      <x:c r="E8178" s="25" t="str">
        <x:v>$2.99</x:v>
      </x:c>
      <x:c r="F8178" s="19" t="str">
        <x:v>5</x:v>
      </x:c>
    </x:row>
    <x:row r="8179" ht="93" customHeight="1">
      <x:c r="A8179" s="19" t="n">
        <x:v>8176</x:v>
      </x:c>
      <x:c r="B8179" s="22" t="e">
        <x:f>HYPERLINK("https://cdn.shopify.com/s/files/1/0918/6066/4603/files/O1CN01qnvRFK1HlWxfeHM6c__2545140798-0-cib.jpg?v=1772974738","Open")</x:f>
        <x:v>HYPERLINK is not implemented. linkLocation=https://cdn.shopify.com/s/files/1/0918/6066/4603/files/O1CN01qnvRFK1HlWxfeHM6c__2545140798-0-cib.jpg?v=1772974738, friendlyName=Open</x:v>
      </x:c>
      <x:c r="C8179" s="24" t="e">
        <x:f>HYPERLINK("https://365nails.com/products/new-gold-foil-christmas-luxe-festive-nail-art-set","New Gold Foil Christmas – Luxe Festive Nail Art Set")</x:f>
        <x:v>HYPERLINK is not implemented. linkLocation=https://365nails.com/products/new-gold-foil-christmas-luxe-festive-nail-art-set, friendlyName=New Gold Foil Christmas – Luxe Festive Nail Art Set</x:v>
      </x:c>
      <x:c r="D8179" s="18" t="str">
        <x:v>Specification type: To3556 / To3557 / To3561 / To3562-new hot stamping / To3563 / To3562-silver</x:v>
      </x:c>
      <x:c r="E8179" s="25" t="str">
        <x:v>$1.23</x:v>
      </x:c>
      <x:c r="F8179" s="19" t="str">
        <x:v>5</x:v>
      </x:c>
    </x:row>
    <x:row r="8180" ht="93" customHeight="1">
      <x:c r="A8180" s="19" t="n">
        <x:v>8177</x:v>
      </x:c>
      <x:c r="B8180" s="22" t="e">
        <x:f>HYPERLINK("https://cdn.shopify.com/s/files/1/0918/6066/4603/files/68dab2efa3d91c439e204dfa2e70ba91.jpg?v=1777809428","Open")</x:f>
        <x:v>HYPERLINK is not implemented. linkLocation=https://cdn.shopify.com/s/files/1/0918/6066/4603/files/68dab2efa3d91c439e204dfa2e70ba91.jpg?v=1777809428, friendlyName=Open</x:v>
      </x:c>
      <x:c r="C8180" s="24" t="e">
        <x:f>HYPERLINK("https://365nails.com/products/365nails-cherry-ribbon-check-3d-bow-handmade-medium-stiletto-press-on-nails","365nails: ""Cherry Ribbon Check"" – 3D Bow Handmade Medium Stiletto Press-On Nails")</x:f>
        <x:v>HYPERLINK is not implemented. linkLocation=https://365nails.com/products/365nails-cherry-ribbon-check-3d-bow-handmade-medium-stiletto-press-on-nails, friendlyName=365nails: "Cherry Ribbon Check" – 3D Bow Handmade Medium Stiletto Press-On Nails</x:v>
      </x:c>
      <x:c r="D8180" s="18" t="str">
        <x:v>Size: XS / S / M / L</x:v>
      </x:c>
      <x:c r="E8180" s="25" t="str">
        <x:v>$2.99</x:v>
      </x:c>
      <x:c r="F8180" s="19" t="str">
        <x:v>5</x:v>
      </x:c>
    </x:row>
    <x:row r="8181" ht="93" customHeight="1">
      <x:c r="A8181" s="19" t="n">
        <x:v>8178</x:v>
      </x:c>
      <x:c r="B8181" s="22" t="e">
        <x:f>HYPERLINK("https://cdn.shopify.com/s/files/1/0918/6066/4603/files/9215cc3650a41867acb17d74d6ae46a8.jpg?v=1775297911","Open")</x:f>
        <x:v>HYPERLINK is not implemented. linkLocation=https://cdn.shopify.com/s/files/1/0918/6066/4603/files/9215cc3650a41867acb17d74d6ae46a8.jpg?v=1775297911, friendlyName=Open</x:v>
      </x:c>
      <x:c r="C8181" s="24" t="e">
        <x:f>HYPERLINK("https://365nails.com/products/tropical-bloom-dalmatian-lily-long-stiletto-press-on-nails","Tropical Bloom: ""Dalmatian Lily"" – Long Stiletto Press-on Nails")</x:f>
        <x:v>HYPERLINK is not implemented. linkLocation=https://365nails.com/products/tropical-bloom-dalmatian-lily-long-stiletto-press-on-nails, friendlyName=Tropical Bloom: "Dalmatian Lily" – Long Stiletto Press-on Nails</x:v>
      </x:c>
      <x:c r="D8181" s="18" t="str">
        <x:v>Size: XS / S / M / L</x:v>
      </x:c>
      <x:c r="E8181" s="25" t="str">
        <x:v>$3.99</x:v>
      </x:c>
      <x:c r="F8181" s="19" t="str">
        <x:v>5</x:v>
      </x:c>
    </x:row>
    <x:row r="8182" ht="93" customHeight="1">
      <x:c r="A8182" s="19" t="n">
        <x:v>8179</x:v>
      </x:c>
      <x:c r="B8182" s="22" t="e">
        <x:f>HYPERLINK("https://cdn.shopify.com/s/files/1/0918/6066/4603/files/f9aead971b3faedeca8680cb07ecb71d.jpg?v=1775275818","Open")</x:f>
        <x:v>HYPERLINK is not implemented. linkLocation=https://cdn.shopify.com/s/files/1/0918/6066/4603/files/f9aead971b3faedeca8680cb07ecb71d.jpg?v=1775275818, friendlyName=Open</x:v>
      </x:c>
      <x:c r="C8182" s="24" t="e">
        <x:f>HYPERLINK("https://365nails.com/products/crimson-gothic-blood-sigil-long-stiletto-press-on-nails","Crimson Gothic: ""Blood Sigil"" – Long Stiletto Press-on Nails")</x:f>
        <x:v>HYPERLINK is not implemented. linkLocation=https://365nails.com/products/crimson-gothic-blood-sigil-long-stiletto-press-on-nails, friendlyName=Crimson Gothic: "Blood Sigil" – Long Stiletto Press-on Nails</x:v>
      </x:c>
      <x:c r="D8182" s="18" t="str">
        <x:v>Size: XS / S / M / L</x:v>
      </x:c>
      <x:c r="E8182" s="25" t="str">
        <x:v>$3.99</x:v>
      </x:c>
      <x:c r="F8182" s="19" t="str">
        <x:v>3</x:v>
      </x:c>
    </x:row>
    <x:row r="8183" ht="93" customHeight="1">
      <x:c r="A8183" s="19" t="n">
        <x:v>8180</x:v>
      </x:c>
      <x:c r="B8183" s="22" t="e">
        <x:f>HYPERLINK("https://cdn.shopify.com/s/files/1/0918/6066/4603/files/8a6609e7869a118217421782ceb1c667.jpg?v=1775223158","Open")</x:f>
        <x:v>HYPERLINK is not implemented. linkLocation=https://cdn.shopify.com/s/files/1/0918/6066/4603/files/8a6609e7869a118217421782ceb1c667.jpg?v=1775223158, friendlyName=Open</x:v>
      </x:c>
      <x:c r="C8183" s="24" t="e">
        <x:f>HYPERLINK("https://365nails.com/products/gothic-wild-snake-veil-long-stiletto-press-on-nails","Gothic Wild: ""Snake Veil"" – Long Stiletto Press-on Nails")</x:f>
        <x:v>HYPERLINK is not implemented. linkLocation=https://365nails.com/products/gothic-wild-snake-veil-long-stiletto-press-on-nails, friendlyName=Gothic Wild: "Snake Veil" – Long Stiletto Press-on Nails</x:v>
      </x:c>
      <x:c r="D8183" s="18" t="str">
        <x:v>Size: XS / S / M / L</x:v>
      </x:c>
      <x:c r="E8183" s="25" t="str">
        <x:v>$3.99</x:v>
      </x:c>
      <x:c r="F8183" s="19" t="str">
        <x:v>3</x:v>
      </x:c>
    </x:row>
    <x:row r="8184" ht="93" customHeight="1">
      <x:c r="A8184" s="19" t="n">
        <x:v>8181</x:v>
      </x:c>
      <x:c r="B8184" s="22" t="e">
        <x:f>HYPERLINK("https://cdn.shopify.com/s/files/1/0918/6066/4603/files/f95195e6db921b8b9782eb3cf99fe2d0.jpg?v=1768987255","Open")</x:f>
        <x:v>HYPERLINK is not implemented. linkLocation=https://cdn.shopify.com/s/files/1/0918/6066/4603/files/f95195e6db921b8b9782eb3cf99fe2d0.jpg?v=1768987255, friendlyName=Open</x:v>
      </x:c>
      <x:c r="C8184" s="24" t="e">
        <x:f>HYPERLINK("https://365nails.com/products/sunset-rose-peach-amber-shimmering-pink-tea-gradient-nails-handmade-smudge-series","Sunset Rose &amp; Peach Amber Shimmering Pink &amp; Tea Gradient Nails ｜ Handmade Smudge Series(moq=30)")</x:f>
        <x:v>HYPERLINK is not implemented. linkLocation=https://365nails.com/products/sunset-rose-peach-amber-shimmering-pink-tea-gradient-nails-handmade-smudge-series, friendlyName=Sunset Rose &amp; Peach Amber Shimmering Pink &amp; Tea Gradient Nails ｜ Handmade Smudge Series(moq=30)</x:v>
      </x:c>
      <x:c r="D8184" s="18" t="str">
        <x:v>Size: XS / S / M / L</x:v>
      </x:c>
      <x:c r="E8184" s="25" t="str">
        <x:v>$2.99</x:v>
      </x:c>
      <x:c r="F8184" s="19" t="str">
        <x:v>30</x:v>
      </x:c>
    </x:row>
    <x:row r="8185" ht="93" customHeight="1">
      <x:c r="A8185" s="19" t="n">
        <x:v>8182</x:v>
      </x:c>
      <x:c r="B8185" s="22" t="e">
        <x:f>HYPERLINK("https://cdn.shopify.com/s/files/1/0918/6066/4603/files/63b06f596aca0f9cd63accb434339e7b.jpg?v=1774082318","Open")</x:f>
        <x:v>HYPERLINK is not implemented. linkLocation=https://cdn.shopify.com/s/files/1/0918/6066/4603/files/63b06f596aca0f9cd63accb434339e7b.jpg?v=1774082318, friendlyName=Open</x:v>
      </x:c>
      <x:c r="C8185" s="24" t="e">
        <x:f>HYPERLINK("https://365nails.com/products/cosmic-fatale-nude-leopard-starlight-long-sharp-stiletto-handmade-press-on-nails","Cosmic Fatale: ""Nude Leopard Starlight"" – Long Sharp Stiletto Handmade Press On Nails")</x:f>
        <x:v>HYPERLINK is not implemented. linkLocation=https://365nails.com/products/cosmic-fatale-nude-leopard-starlight-long-sharp-stiletto-handmade-press-on-nails, friendlyName=Cosmic Fatale: "Nude Leopard Starlight" – Long Sharp Stiletto Handmade Press On Nails</x:v>
      </x:c>
      <x:c r="D8185" s="18" t="str">
        <x:v>Size: XS / S / M / L</x:v>
      </x:c>
      <x:c r="E8185" s="25" t="str">
        <x:v>$3.99</x:v>
      </x:c>
      <x:c r="F8185" s="19" t="str">
        <x:v>5</x:v>
      </x:c>
    </x:row>
    <x:row r="8186" ht="93" customHeight="1">
      <x:c r="A8186" s="19" t="n">
        <x:v>8183</x:v>
      </x:c>
      <x:c r="B8186" s="22" t="e">
        <x:f>HYPERLINK("https://cdn.shopify.com/s/files/1/0918/6066/4603/files/1f2d8c7d92de7f34c86b2782ec5fa79b.jpg?v=1775223272","Open")</x:f>
        <x:v>HYPERLINK is not implemented. linkLocation=https://cdn.shopify.com/s/files/1/0918/6066/4603/files/1f2d8c7d92de7f34c86b2782ec5fa79b.jpg?v=1775223272, friendlyName=Open</x:v>
      </x:c>
      <x:c r="C8186" s="24" t="e">
        <x:f>HYPERLINK("https://365nails.com/products/lace-elegance-pearl-devotion-long-stiletto-press-on-nails","Lace Elegance: ""Pearl Devotion"" – Long Stiletto Press-on Nails")</x:f>
        <x:v>HYPERLINK is not implemented. linkLocation=https://365nails.com/products/lace-elegance-pearl-devotion-long-stiletto-press-on-nails, friendlyName=Lace Elegance: "Pearl Devotion" – Long Stiletto Press-on Nails</x:v>
      </x:c>
      <x:c r="D8186" s="18" t="str">
        <x:v>Size: XS / S / M / L</x:v>
      </x:c>
      <x:c r="E8186" s="25" t="str">
        <x:v>$3.99</x:v>
      </x:c>
      <x:c r="F8186" s="19" t="str">
        <x:v>3</x:v>
      </x:c>
    </x:row>
    <x:row r="8187" ht="93" customHeight="1">
      <x:c r="A8187" s="19" t="n">
        <x:v>8184</x:v>
      </x:c>
      <x:c r="B8187" s="22" t="e">
        <x:f>HYPERLINK("https://cdn.shopify.com/s/files/1/0918/6066/4603/files/1c2d3699ccee68af3621958076864c5d.jpg?v=1769064101","Open")</x:f>
        <x:v>HYPERLINK is not implemented. linkLocation=https://cdn.shopify.com/s/files/1/0918/6066/4603/files/1c2d3699ccee68af3621958076864c5d.jpg?v=1769064101, friendlyName=Open</x:v>
      </x:c>
      <x:c r="C8187" s="24" t="e">
        <x:f>HYPERLINK("https://365nails.com/products/rose-nebula-tipsy-wild-berry-mauve-berry-red-smudge-nails-handmade-smudge-series","Rose Nebula &amp; Tipsy Wild Berry Mauve &amp; Berry Red Smudge Nails ｜ Handmade Smudge Series(moq=30)")</x:f>
        <x:v>HYPERLINK is not implemented. linkLocation=https://365nails.com/products/rose-nebula-tipsy-wild-berry-mauve-berry-red-smudge-nails-handmade-smudge-series, friendlyName=Rose Nebula &amp; Tipsy Wild Berry Mauve &amp; Berry Red Smudge Nails ｜ Handmade Smudge Series(moq=30)</x:v>
      </x:c>
      <x:c r="D8187" s="18" t="str">
        <x:v>Size: XS / S / M / L</x:v>
      </x:c>
      <x:c r="E8187" s="25" t="str">
        <x:v>$2.99</x:v>
      </x:c>
      <x:c r="F8187" s="19" t="str">
        <x:v>30</x:v>
      </x:c>
    </x:row>
    <x:row r="8188" ht="93" customHeight="1">
      <x:c r="A8188" s="19" t="n">
        <x:v>8185</x:v>
      </x:c>
      <x:c r="B8188" s="22" t="e">
        <x:f>HYPERLINK("https://cdn.shopify.com/s/files/1/0918/6066/4603/files/5af245a5435d149ed5e515aca62f326b.jpg?v=1768986930","Open")</x:f>
        <x:v>HYPERLINK is not implemented. linkLocation=https://cdn.shopify.com/s/files/1/0918/6066/4603/files/5af245a5435d149ed5e515aca62f326b.jpg?v=1768986930, friendlyName=Open</x:v>
      </x:c>
      <x:c r="C8188" s="24" t="e">
        <x:f>HYPERLINK("https://365nails.com/products/monets-garden-watermelon-tourmaline-vintage-abstract-smudge-nails-handmade-smudge-series","Monet's Garden &amp; Watermelon Tourmaline Vintage Abstract Smudge Nails ｜ Handmade Smudge Series(moq=30)")</x:f>
        <x:v>HYPERLINK is not implemented. linkLocation=https://365nails.com/products/monets-garden-watermelon-tourmaline-vintage-abstract-smudge-nails-handmade-smudge-series, friendlyName=Monet's Garden &amp; Watermelon Tourmaline Vintage Abstract Smudge Nails ｜ Handmade Smudge Series(moq=30)</x:v>
      </x:c>
      <x:c r="D8188" s="18" t="str">
        <x:v>Size: XS / S / M / L</x:v>
      </x:c>
      <x:c r="E8188" s="25" t="str">
        <x:v>$2.99</x:v>
      </x:c>
      <x:c r="F8188" s="19" t="str">
        <x:v>30</x:v>
      </x:c>
    </x:row>
    <x:row r="8189" ht="93" customHeight="1">
      <x:c r="A8189" s="19" t="n">
        <x:v>8186</x:v>
      </x:c>
      <x:c r="B8189" s="22" t="e">
        <x:f>HYPERLINK("https://cdn.shopify.com/s/files/1/0918/6066/4603/files/2911a5fe650e42af71be0bd32ef11084.jpg?v=1775223692","Open")</x:f>
        <x:v>HYPERLINK is not implemented. linkLocation=https://cdn.shopify.com/s/files/1/0918/6066/4603/files/2911a5fe650e42af71be0bd32ef11084.jpg?v=1775223692, friendlyName=Open</x:v>
      </x:c>
      <x:c r="C8189" s="24" t="e">
        <x:f>HYPERLINK("https://365nails.com/products/black-white-gothic-cross-lace-long-stiletto-press-on-nails","Black &amp; White Gothic: Cross &amp; Lace Long Stiletto Press-on Nails")</x:f>
        <x:v>HYPERLINK is not implemented. linkLocation=https://365nails.com/products/black-white-gothic-cross-lace-long-stiletto-press-on-nails, friendlyName=Black &amp; White Gothic: Cross &amp; Lace Long Stiletto Press-on Nails</x:v>
      </x:c>
      <x:c r="D8189" s="18" t="str">
        <x:v>Size: XS / S / M / L</x:v>
      </x:c>
      <x:c r="E8189" s="25" t="str">
        <x:v>$3.99</x:v>
      </x:c>
      <x:c r="F8189" s="19" t="str">
        <x:v>3</x:v>
      </x:c>
    </x:row>
    <x:row r="8190" ht="93" customHeight="1">
      <x:c r="A8190" s="19" t="n">
        <x:v>8187</x:v>
      </x:c>
      <x:c r="B8190" s="22" t="e">
        <x:f>HYPERLINK("https://cdn.shopify.com/s/files/1/0918/6066/4603/files/798160ec65a67347303256c7f4122be7.jpg?v=1777806780","Open")</x:f>
        <x:v>HYPERLINK is not implemented. linkLocation=https://cdn.shopify.com/s/files/1/0918/6066/4603/files/798160ec65a67347303256c7f4122be7.jpg?v=1777806780, friendlyName=Open</x:v>
      </x:c>
      <x:c r="C8190" s="24" t="e">
        <x:f>HYPERLINK("https://365nails.com/products/365nails-peach-orange-citrus-flower-3d-fruit-flower-handmade-medium-stiletto-press-on-nails","365nails: ""Peach Orange Citrus Flower"" – 3D Fruit &amp; Flower Handmade Medium Stiletto Press-On Nails")</x:f>
        <x:v>HYPERLINK is not implemented. linkLocation=https://365nails.com/products/365nails-peach-orange-citrus-flower-3d-fruit-flower-handmade-medium-stiletto-press-on-nails, friendlyName=365nails: "Peach Orange Citrus Flower" – 3D Fruit &amp; Flower Handmade Medium Stiletto Press-On Nails</x:v>
      </x:c>
      <x:c r="D8190" s="18" t="str">
        <x:v>Size: XS / S / M / L</x:v>
      </x:c>
      <x:c r="E8190" s="25" t="str">
        <x:v>$3.49</x:v>
      </x:c>
      <x:c r="F8190" s="19" t="str">
        <x:v>5</x:v>
      </x:c>
    </x:row>
    <x:row r="8191" ht="93" customHeight="1">
      <x:c r="A8191" s="19" t="n">
        <x:v>8188</x:v>
      </x:c>
      <x:c r="B8191" s="22" t="e">
        <x:f>HYPERLINK("https://cdn.shopify.com/s/files/1/0918/6066/4603/files/562a439b7c6836d3a204325a9a38f387.jpg?v=1769068022","Open")</x:f>
        <x:v>HYPERLINK is not implemented. linkLocation=https://cdn.shopify.com/s/files/1/0918/6066/4603/files/562a439b7c6836d3a204325a9a38f387.jpg?v=1769068022, friendlyName=Open</x:v>
      </x:c>
      <x:c r="C8191" s="24" t="e">
        <x:f>HYPERLINK("https://365nails.com/products/gilded-caramel-amber-smoke-icy-tea-brown-marble-gold-foil-nails-handmade-smudge-series","Gilded Caramel &amp; Amber Smoke Icy Tea Brown Marble &amp; Gold Foil Nails ｜ Handmade Smudge Series(moq=30)")</x:f>
        <x:v>HYPERLINK is not implemented. linkLocation=https://365nails.com/products/gilded-caramel-amber-smoke-icy-tea-brown-marble-gold-foil-nails-handmade-smudge-series, friendlyName=Gilded Caramel &amp; Amber Smoke Icy Tea Brown Marble &amp; Gold Foil Nails ｜ Handmade Smudge Series(moq=30)</x:v>
      </x:c>
      <x:c r="D8191" s="18" t="str">
        <x:v>Size: XS / S / M / L</x:v>
      </x:c>
      <x:c r="E8191" s="25" t="str">
        <x:v>$2.99</x:v>
      </x:c>
      <x:c r="F8191" s="19" t="str">
        <x:v>30</x:v>
      </x:c>
    </x:row>
    <x:row r="8192" ht="93" customHeight="1">
      <x:c r="A8192" s="19" t="n">
        <x:v>8189</x:v>
      </x:c>
      <x:c r="B8192" s="22" t="e">
        <x:f>HYPERLINK("https://cdn.shopify.com/s/files/1/0918/6066/4603/files/6e6bbdc5db589aa803ded2c006466b78.jpg?v=1777516998","Open")</x:f>
        <x:v>HYPERLINK is not implemented. linkLocation=https://cdn.shopify.com/s/files/1/0918/6066/4603/files/6e6bbdc5db589aa803ded2c006466b78.jpg?v=1777516998, friendlyName=Open</x:v>
      </x:c>
      <x:c r="C8192" s="24" t="e">
        <x:f>HYPERLINK("https://365nails.com/products/365nails-gothic-blood-skull-charm-handmade-press-on-pedicure","365nails: ""Gothic Blood Skull Charm"" – handmade press-on nails")</x:f>
        <x:v>HYPERLINK is not implemented. linkLocation=https://365nails.com/products/365nails-gothic-blood-skull-charm-handmade-press-on-pedicure, friendlyName=365nails: "Gothic Blood Skull Charm" – handmade press-on nails</x:v>
      </x:c>
      <x:c r="D8192" s="18" t="str">
        <x:v>Size: XS / S / M / L</x:v>
      </x:c>
      <x:c r="E8192" s="25" t="str">
        <x:v>$4.99</x:v>
      </x:c>
      <x:c r="F8192" s="19" t="str">
        <x:v>3</x:v>
      </x:c>
    </x:row>
    <x:row r="8193" ht="93" customHeight="1">
      <x:c r="A8193" s="19" t="n">
        <x:v>8190</x:v>
      </x:c>
      <x:c r="B8193" s="22" t="e">
        <x:f>HYPERLINK("https://cdn.shopify.com/s/files/1/0918/6066/4603/files/d132e0b286d031b6a9214fbbbb99db69.jpg?v=1775480564","Open")</x:f>
        <x:v>HYPERLINK is not implemented. linkLocation=https://cdn.shopify.com/s/files/1/0918/6066/4603/files/d132e0b286d031b6a9214fbbbb99db69.jpg?v=1775480564, friendlyName=Open</x:v>
      </x:c>
      <x:c r="C8193" s="24" t="e">
        <x:f>HYPERLINK("https://365nails.com/products/elegant-mint-mint-pink-bow-rhinestone-long-coffin-press-on-nails","Elegant Mint: ""Mint Pink Bow Rhinestone"" – Long Coffin Press-on Nails")</x:f>
        <x:v>HYPERLINK is not implemented. linkLocation=https://365nails.com/products/elegant-mint-mint-pink-bow-rhinestone-long-coffin-press-on-nails, friendlyName=Elegant Mint: "Mint Pink Bow Rhinestone" – Long Coffin Press-on Nails</x:v>
      </x:c>
      <x:c r="D8193" s="18" t="str">
        <x:v>Size: XS / S / M / L</x:v>
      </x:c>
      <x:c r="E8193" s="25" t="str">
        <x:v>$3.99</x:v>
      </x:c>
      <x:c r="F8193" s="19" t="str">
        <x:v>5</x:v>
      </x:c>
    </x:row>
    <x:row r="8194" ht="93" customHeight="1">
      <x:c r="A8194" s="19" t="n">
        <x:v>8191</x:v>
      </x:c>
      <x:c r="B8194" s="22" t="e">
        <x:f>HYPERLINK("https://cdn.shopify.com/s/files/1/0918/6066/4603/files/1b84f16f5b60e0ad7d8fd0cf15736cab.jpg?v=1777803198","Open")</x:f>
        <x:v>HYPERLINK is not implemented. linkLocation=https://cdn.shopify.com/s/files/1/0918/6066/4603/files/1b84f16f5b60e0ad7d8fd0cf15736cab.jpg?v=1777803198, friendlyName=Open</x:v>
      </x:c>
      <x:c r="C8194" s="24" t="e">
        <x:f>HYPERLINK("https://365nails.com/products/365nails-lemon-yellow-cherry-flower-mix-3d-fruit-flower-handmade-medium-stiletto-press-on-nails","365nails: ""Lemon Yellow Cherry Flower Mix"" – 3D Fruit &amp; Flower Handmade Medium Stiletto Press-On Nails")</x:f>
        <x:v>HYPERLINK is not implemented. linkLocation=https://365nails.com/products/365nails-lemon-yellow-cherry-flower-mix-3d-fruit-flower-handmade-medium-stiletto-press-on-nails, friendlyName=365nails: "Lemon Yellow Cherry Flower Mix" – 3D Fruit &amp; Flower Handmade Medium Stiletto Press-On Nails</x:v>
      </x:c>
      <x:c r="D8194" s="18" t="str">
        <x:v>Size: XS / S / M / L</x:v>
      </x:c>
      <x:c r="E8194" s="25" t="str">
        <x:v>$3.49</x:v>
      </x:c>
      <x:c r="F8194" s="19" t="str">
        <x:v>5</x:v>
      </x:c>
    </x:row>
    <x:row r="8195" ht="93" customHeight="1">
      <x:c r="A8195" s="19" t="n">
        <x:v>8192</x:v>
      </x:c>
      <x:c r="B8195" s="22" t="e">
        <x:f>HYPERLINK("https://cdn.shopify.com/s/files/1/0918/6066/4603/files/fb691d11abeb7810d1db2549ceb4fd0a.jpg?v=1777802336","Open")</x:f>
        <x:v>HYPERLINK is not implemented. linkLocation=https://cdn.shopify.com/s/files/1/0918/6066/4603/files/fb691d11abeb7810d1db2549ceb4fd0a.jpg?v=1777802336, friendlyName=Open</x:v>
      </x:c>
      <x:c r="C8195" s="24" t="e">
        <x:f>HYPERLINK("https://365nails.com/products/365nails-orange-citrus-flower-rhinestone-handmade-medium-stiletto-press-on-nails","365nails: ""Orange Citrus Flower Rhinestone"" – Handmade Medium Stiletto Press-On Nails")</x:f>
        <x:v>HYPERLINK is not implemented. linkLocation=https://365nails.com/products/365nails-orange-citrus-flower-rhinestone-handmade-medium-stiletto-press-on-nails, friendlyName=365nails: "Orange Citrus Flower Rhinestone" – Handmade Medium Stiletto Press-On Nails</x:v>
      </x:c>
      <x:c r="D8195" s="18" t="str">
        <x:v>Size: XS / S / M / L</x:v>
      </x:c>
      <x:c r="E8195" s="25" t="str">
        <x:v>$3.49</x:v>
      </x:c>
      <x:c r="F8195" s="19" t="str">
        <x:v>5</x:v>
      </x:c>
    </x:row>
    <x:row r="8196" ht="93" customHeight="1">
      <x:c r="A8196" s="19" t="n">
        <x:v>8193</x:v>
      </x:c>
      <x:c r="B8196" s="22" t="e">
        <x:f>HYPERLINK("https://cdn.shopify.com/s/files/1/0918/6066/4603/files/4024cb3831db56c2070514166d6a5c78.jpg?v=1777516959","Open")</x:f>
        <x:v>HYPERLINK is not implemented. linkLocation=https://cdn.shopify.com/s/files/1/0918/6066/4603/files/4024cb3831db56c2070514166d6a5c78.jpg?v=1777516959, friendlyName=Open</x:v>
      </x:c>
      <x:c r="C8196" s="24" t="e">
        <x:f>HYPERLINK("https://365nails.com/products/365nails-gothic-blood-lace-skull-trapezoid-handmade-press-on-pedicure","365nails: ""Gothic Blood Lace Skull Trapezoid"" – handmade press-on nails")</x:f>
        <x:v>HYPERLINK is not implemented. linkLocation=https://365nails.com/products/365nails-gothic-blood-lace-skull-trapezoid-handmade-press-on-pedicure, friendlyName=365nails: "Gothic Blood Lace Skull Trapezoid" – handmade press-on nails</x:v>
      </x:c>
      <x:c r="D8196" s="18" t="str">
        <x:v>Size: XS / S / M / L</x:v>
      </x:c>
      <x:c r="E8196" s="25" t="str">
        <x:v>$4.99</x:v>
      </x:c>
      <x:c r="F8196" s="19" t="str">
        <x:v>3</x:v>
      </x:c>
    </x:row>
    <x:row r="8197" ht="93" customHeight="1">
      <x:c r="A8197" s="19" t="n">
        <x:v>8194</x:v>
      </x:c>
      <x:c r="B8197" s="22" t="e">
        <x:f>HYPERLINK("https://cdn.shopify.com/s/files/1/0918/6066/4603/files/9cecf7f4bdac1c3d0a187d3ecf010d6e.jpg?v=1777802738","Open")</x:f>
        <x:v>HYPERLINK is not implemented. linkLocation=https://cdn.shopify.com/s/files/1/0918/6066/4603/files/9cecf7f4bdac1c3d0a187d3ecf010d6e.jpg?v=1777802738, friendlyName=Open</x:v>
      </x:c>
      <x:c r="C8197" s="24" t="e">
        <x:f>HYPERLINK("https://365nails.com/products/365nails-blush-pink-bow-flower-rhinestone-3d-bow-flower-handmade-medium-coffin-press-on-nails","365nails: ""Blush Pink Bow Flower Rhinestone"" – 3D Bow &amp; Flower Handmade Medium Coffin Press-On Nails")</x:f>
        <x:v>HYPERLINK is not implemented. linkLocation=https://365nails.com/products/365nails-blush-pink-bow-flower-rhinestone-3d-bow-flower-handmade-medium-coffin-press-on-nails, friendlyName=365nails: "Blush Pink Bow Flower Rhinestone" – 3D Bow &amp; Flower Handmade Medium Coffin Press-On Nails</x:v>
      </x:c>
      <x:c r="D8197" s="18" t="str">
        <x:v>Size: XS / S / M / L</x:v>
      </x:c>
      <x:c r="E8197" s="25" t="str">
        <x:v>$3.49</x:v>
      </x:c>
      <x:c r="F8197" s="19" t="str">
        <x:v>5</x:v>
      </x:c>
    </x:row>
    <x:row r="8198" ht="93" customHeight="1">
      <x:c r="A8198" s="19" t="n">
        <x:v>8195</x:v>
      </x:c>
      <x:c r="B8198" s="22" t="e">
        <x:f>HYPERLINK("https://cdn.shopify.com/s/files/1/0918/6066/4603/files/834e60bbe772ce3f36dc666c7873b53c.jpg?v=1777799285","Open")</x:f>
        <x:v>HYPERLINK is not implemented. linkLocation=https://cdn.shopify.com/s/files/1/0918/6066/4603/files/834e60bbe772ce3f36dc666c7873b53c.jpg?v=1777799285, friendlyName=Open</x:v>
      </x:c>
      <x:c r="C8198" s="24" t="e">
        <x:f>HYPERLINK("https://365nails.com/products/365nails-nude-blue-shell-flower-3d-handmade-medium-stiletto-press-on-nails","365nails: ""Nude Blue Shell Flower 3D"" – Handmade Medium Stiletto Press-On Nails")</x:f>
        <x:v>HYPERLINK is not implemented. linkLocation=https://365nails.com/products/365nails-nude-blue-shell-flower-3d-handmade-medium-stiletto-press-on-nails, friendlyName=365nails: "Nude Blue Shell Flower 3D" – Handmade Medium Stiletto Press-On Nails</x:v>
      </x:c>
      <x:c r="D8198" s="18" t="str">
        <x:v>Size: XS / S / M / L</x:v>
      </x:c>
      <x:c r="E8198" s="25" t="str">
        <x:v>$3.49</x:v>
      </x:c>
      <x:c r="F8198" s="19" t="str">
        <x:v>5</x:v>
      </x:c>
    </x:row>
    <x:row r="8199" ht="93" customHeight="1">
      <x:c r="A8199" s="19" t="n">
        <x:v>8196</x:v>
      </x:c>
      <x:c r="B8199" s="22" t="e">
        <x:f>HYPERLINK("https://cdn.shopify.com/s/files/1/0918/6066/4603/files/865fb9daf95c15812031151589569473.jpg?v=1775480460","Open")</x:f>
        <x:v>HYPERLINK is not implemented. linkLocation=https://cdn.shopify.com/s/files/1/0918/6066/4603/files/865fb9daf95c15812031151589569473.jpg?v=1775480460, friendlyName=Open</x:v>
      </x:c>
      <x:c r="C8199" s="24" t="e">
        <x:f>HYPERLINK("https://365nails.com/products/y2k-pink-leopard-pink-yellow-gradient-leopard-chain-long-coffin-press-on-nails","Y2K Pink Leopard: ""Pink Yellow Gradient Leopard Chain"" – Long Coffin Press-on Nails")</x:f>
        <x:v>HYPERLINK is not implemented. linkLocation=https://365nails.com/products/y2k-pink-leopard-pink-yellow-gradient-leopard-chain-long-coffin-press-on-nails, friendlyName=Y2K Pink Leopard: "Pink Yellow Gradient Leopard Chain" – Long Coffin Press-on Nails</x:v>
      </x:c>
      <x:c r="D8199" s="18" t="str">
        <x:v>Size: XS / S / M / L</x:v>
      </x:c>
      <x:c r="E8199" s="25" t="str">
        <x:v>$3.99</x:v>
      </x:c>
      <x:c r="F8199" s="19" t="str">
        <x:v>5</x:v>
      </x:c>
    </x:row>
    <x:row r="8200" ht="93" customHeight="1">
      <x:c r="A8200" s="19" t="n">
        <x:v>8197</x:v>
      </x:c>
      <x:c r="B8200" s="22" t="e">
        <x:f>HYPERLINK("https://cdn.shopify.com/s/files/1/0918/6066/4603/files/a5c96eaec85cfc694496175ab448649a.jpg?v=1777784926","Open")</x:f>
        <x:v>HYPERLINK is not implemented. linkLocation=https://cdn.shopify.com/s/files/1/0918/6066/4603/files/a5c96eaec85cfc694496175ab448649a.jpg?v=1777784926, friendlyName=Open</x:v>
      </x:c>
      <x:c r="C8200" s="24" t="e">
        <x:f>HYPERLINK("https://365nails.com/products/365nails-red-purple-heart-short-handmade-short-trapezoid-press-on-nails","365nails: ""Red Purple Heart Short"" – Handmade Short Trapezoid Press-On Nails")</x:f>
        <x:v>HYPERLINK is not implemented. linkLocation=https://365nails.com/products/365nails-red-purple-heart-short-handmade-short-trapezoid-press-on-nails, friendlyName=365nails: "Red Purple Heart Short" – Handmade Short Trapezoid Press-On Nails</x:v>
      </x:c>
      <x:c r="D8200" s="18" t="str">
        <x:v>Size: XS / S / M / L</x:v>
      </x:c>
      <x:c r="E8200" s="25" t="str">
        <x:v>$4.49</x:v>
      </x:c>
      <x:c r="F8200" s="19" t="str">
        <x:v>5</x:v>
      </x:c>
    </x:row>
    <x:row r="8201" ht="93" customHeight="1">
      <x:c r="A8201" s="19" t="n">
        <x:v>8198</x:v>
      </x:c>
      <x:c r="B8201" s="22" t="e">
        <x:f>HYPERLINK("https://cdn.shopify.com/s/files/1/0918/6066/4603/files/eeb1faf86dd1c17b8ff9ddeaf0b335e5.jpg?v=1777516406","Open")</x:f>
        <x:v>HYPERLINK is not implemented. linkLocation=https://cdn.shopify.com/s/files/1/0918/6066/4603/files/eeb1faf86dd1c17b8ff9ddeaf0b335e5.jpg?v=1777516406, friendlyName=Open</x:v>
      </x:c>
      <x:c r="C8201" s="24" t="e">
        <x:f>HYPERLINK("https://365nails.com/products/365nails-gothic-blood-evil-eye-spider-coffin-handmade-press-on-pedicure","365nails: ""Gothic Blood Evil Eye Spider Coffin"" – handmade press-on nails")</x:f>
        <x:v>HYPERLINK is not implemented. linkLocation=https://365nails.com/products/365nails-gothic-blood-evil-eye-spider-coffin-handmade-press-on-pedicure, friendlyName=365nails: "Gothic Blood Evil Eye Spider Coffin" – handmade press-on nails</x:v>
      </x:c>
      <x:c r="D8201" s="18" t="str">
        <x:v>Size: XS / S / M / L</x:v>
      </x:c>
      <x:c r="E8201" s="25" t="str">
        <x:v>$4.99</x:v>
      </x:c>
      <x:c r="F8201" s="19" t="str">
        <x:v>3</x:v>
      </x:c>
    </x:row>
    <x:row r="8202" ht="93" customHeight="1">
      <x:c r="A8202" s="19" t="n">
        <x:v>8199</x:v>
      </x:c>
      <x:c r="B8202" s="22" t="e">
        <x:f>HYPERLINK("https://cdn.shopify.com/s/files/1/0918/6066/4603/files/9da18f5b0a7aa5e92379852071ece682.jpg?v=1777802011","Open")</x:f>
        <x:v>HYPERLINK is not implemented. linkLocation=https://cdn.shopify.com/s/files/1/0918/6066/4603/files/9da18f5b0a7aa5e92379852071ece682.jpg?v=1777802011, friendlyName=Open</x:v>
      </x:c>
      <x:c r="C8202" s="24" t="e">
        <x:f>HYPERLINK("https://365nails.com/products/365nails-pastel-pink-white-wave-rhinestone-mix-handmade-medium-stiletto-press-on-nails","365nails: ""Pastel Pink White Wave Rhinestone Mix"" – Handmade Medium Stiletto Press-On Nails")</x:f>
        <x:v>HYPERLINK is not implemented. linkLocation=https://365nails.com/products/365nails-pastel-pink-white-wave-rhinestone-mix-handmade-medium-stiletto-press-on-nails, friendlyName=365nails: "Pastel Pink White Wave Rhinestone Mix" – Handmade Medium Stiletto Press-On Nails</x:v>
      </x:c>
      <x:c r="D8202" s="18" t="str">
        <x:v>Size: XS / S / M / L</x:v>
      </x:c>
      <x:c r="E8202" s="25" t="str">
        <x:v>$3.49</x:v>
      </x:c>
      <x:c r="F8202" s="19" t="str">
        <x:v>5</x:v>
      </x:c>
    </x:row>
    <x:row r="8203" ht="93" customHeight="1">
      <x:c r="A8203" s="19" t="n">
        <x:v>8200</x:v>
      </x:c>
      <x:c r="B8203" s="22" t="e">
        <x:f>HYPERLINK("https://cdn.shopify.com/s/files/1/0918/6066/4603/files/f5f5f87d99e287dd0c1d17e50a48861d.jpg?v=1775224661","Open")</x:f>
        <x:v>HYPERLINK is not implemented. linkLocation=https://cdn.shopify.com/s/files/1/0918/6066/4603/files/f5f5f87d99e287dd0c1d17e50a48861d.jpg?v=1775224661, friendlyName=Open</x:v>
      </x:c>
      <x:c r="C8203" s="24" t="e">
        <x:f>HYPERLINK("https://365nails.com/products/blush-gothic-lace-heart-long-stiletto-press-on-nails","Blush Gothic: ""Lace &amp; Heart"" – Long Stiletto Press-on Nails")</x:f>
        <x:v>HYPERLINK is not implemented. linkLocation=https://365nails.com/products/blush-gothic-lace-heart-long-stiletto-press-on-nails, friendlyName=Blush Gothic: "Lace &amp; Heart" – Long Stiletto Press-on Nails</x:v>
      </x:c>
      <x:c r="D8203" s="18" t="str">
        <x:v>Size: XS / S / M / L</x:v>
      </x:c>
      <x:c r="E8203" s="25" t="str">
        <x:v>$3.99</x:v>
      </x:c>
      <x:c r="F8203" s="19" t="str">
        <x:v>3</x:v>
      </x:c>
    </x:row>
    <x:row r="8204" ht="93" customHeight="1">
      <x:c r="A8204" s="19" t="n">
        <x:v>8201</x:v>
      </x:c>
      <x:c r="B8204" s="22" t="e">
        <x:f>HYPERLINK("https://cdn.shopify.com/s/files/1/0918/6066/4603/files/147c6162222fe44ae924508df26f28d9.jpg?v=1775293886","Open")</x:f>
        <x:v>HYPERLINK is not implemented. linkLocation=https://cdn.shopify.com/s/files/1/0918/6066/4603/files/147c6162222fe44ae924508df26f28d9.jpg?v=1775293886, friendlyName=Open</x:v>
      </x:c>
      <x:c r="C8204" s="24" t="e">
        <x:f>HYPERLINK("https://365nails.com/products/wild-bloom-zebra-lily-long-coffin-press-on-nails","Wild Bloom: ""Zebra Lily"" – Long Coffin Press-on Nails")</x:f>
        <x:v>HYPERLINK is not implemented. linkLocation=https://365nails.com/products/wild-bloom-zebra-lily-long-coffin-press-on-nails, friendlyName=Wild Bloom: "Zebra Lily" – Long Coffin Press-on Nails</x:v>
      </x:c>
      <x:c r="D8204" s="18" t="str">
        <x:v>Size: XS / S / M / L</x:v>
      </x:c>
      <x:c r="E8204" s="25" t="str">
        <x:v>$3.99</x:v>
      </x:c>
      <x:c r="F8204" s="19" t="str">
        <x:v>5</x:v>
      </x:c>
    </x:row>
    <x:row r="8205" ht="93" customHeight="1">
      <x:c r="A8205" s="19" t="n">
        <x:v>8202</x:v>
      </x:c>
      <x:c r="B8205" s="22" t="e">
        <x:f>HYPERLINK("https://cdn.shopify.com/s/files/1/0918/6066/4603/files/53ad3f07e3f662081b1526e7df226ddb.jpg?v=1775223824","Open")</x:f>
        <x:v>HYPERLINK is not implemented. linkLocation=https://cdn.shopify.com/s/files/1/0918/6066/4603/files/53ad3f07e3f662081b1526e7df226ddb.jpg?v=1775223824, friendlyName=Open</x:v>
      </x:c>
      <x:c r="C8205" s="24" t="e">
        <x:f>HYPERLINK("https://365nails.com/products/nude-wave-aurora-ripple-long-stiletto-press-on-nails","Nude Wave: ""Aurora Ripple"" – Long Stiletto Press-on Nails")</x:f>
        <x:v>HYPERLINK is not implemented. linkLocation=https://365nails.com/products/nude-wave-aurora-ripple-long-stiletto-press-on-nails, friendlyName=Nude Wave: "Aurora Ripple" – Long Stiletto Press-on Nails</x:v>
      </x:c>
      <x:c r="D8205" s="18" t="str">
        <x:v>Size: XS / S / M / L</x:v>
      </x:c>
      <x:c r="E8205" s="25" t="str">
        <x:v>$3.99</x:v>
      </x:c>
      <x:c r="F8205" s="19" t="str">
        <x:v>3</x:v>
      </x:c>
    </x:row>
    <x:row r="8206" ht="93" customHeight="1">
      <x:c r="A8206" s="19" t="n">
        <x:v>8203</x:v>
      </x:c>
      <x:c r="B8206" s="22" t="e">
        <x:f>HYPERLINK("https://cdn.shopify.com/s/files/1/0918/6066/4603/files/bca92f4e287cc4ed8431382efcf1ae43.jpg?v=1777516671","Open")</x:f>
        <x:v>HYPERLINK is not implemented. linkLocation=https://cdn.shopify.com/s/files/1/0918/6066/4603/files/bca92f4e287cc4ed8431382efcf1ae43.jpg?v=1777516671, friendlyName=Open</x:v>
      </x:c>
      <x:c r="C8206" s="24" t="e">
        <x:f>HYPERLINK("https://365nails.com/products/365nails-gothic-teal-evil-eye-snake-handmade-press-on-pedicure","365nails: ""Gothic Teal Evil Eye Snake"" – handmade press-on nails")</x:f>
        <x:v>HYPERLINK is not implemented. linkLocation=https://365nails.com/products/365nails-gothic-teal-evil-eye-snake-handmade-press-on-pedicure, friendlyName=365nails: "Gothic Teal Evil Eye Snake" – handmade press-on nails</x:v>
      </x:c>
      <x:c r="D8206" s="18" t="str">
        <x:v>Size: XS / S / M / L</x:v>
      </x:c>
      <x:c r="E8206" s="25" t="str">
        <x:v>$4.99</x:v>
      </x:c>
      <x:c r="F8206" s="19" t="str">
        <x:v>3</x:v>
      </x:c>
    </x:row>
    <x:row r="8207" ht="93" customHeight="1">
      <x:c r="A8207" s="19" t="n">
        <x:v>8204</x:v>
      </x:c>
      <x:c r="B8207" s="22" t="e">
        <x:f>HYPERLINK("https://cdn.shopify.com/s/files/1/0918/6066/4603/files/O1CN01t1KfPd1HlX2Umt5xD__2545140798-0-cib.jpg?v=1773560108","Open")</x:f>
        <x:v>HYPERLINK is not implemented. linkLocation=https://cdn.shopify.com/s/files/1/0918/6066/4603/files/O1CN01t1KfPd1HlX2Umt5xD__2545140798-0-cib.jpg?v=1773560108, friendlyName=Open</x:v>
      </x:c>
      <x:c r="C8207" s="24" t="e">
        <x:f>HYPERLINK("https://365nails.com/products/chinese-ornament-silver-filigree-3d-nail-sticker","Chinese Ornament: ""Silver Filigree"" – 3D Nail Sticker")</x:f>
        <x:v>HYPERLINK is not implemented. linkLocation=https://365nails.com/products/chinese-ornament-silver-filigree-3d-nail-sticker, friendlyName=Chinese Ornament: "Silver Filigree" – 3D Nail Sticker</x:v>
      </x:c>
      <x:c r="D8207" s="18" t="str">
        <x:v>Specification type: To4256-relief / To4257-rose gold / To4257-new hot stamping / To4257-silver</x:v>
      </x:c>
      <x:c r="E8207" s="25" t="str">
        <x:v>$1.23</x:v>
      </x:c>
      <x:c r="F8207" s="19" t="str">
        <x:v>5</x:v>
      </x:c>
    </x:row>
    <x:row r="8208" ht="93" customHeight="1">
      <x:c r="A8208" s="19" t="n">
        <x:v>8205</x:v>
      </x:c>
      <x:c r="B8208" s="22" t="e">
        <x:f>HYPERLINK("https://cdn.shopify.com/s/files/1/0918/6066/4603/files/d7242f2cbef98f71740221a3ccd31b18.jpg?v=1775225135","Open")</x:f>
        <x:v>HYPERLINK is not implemented. linkLocation=https://cdn.shopify.com/s/files/1/0918/6066/4603/files/d7242f2cbef98f71740221a3ccd31b18.jpg?v=1775225135, friendlyName=Open</x:v>
      </x:c>
      <x:c r="C8208" s="24" t="e">
        <x:f>HYPERLINK("https://365nails.com/products/gothic-blood-vein-crimson-web-long-stiletto-press-on-nails","Gothic Blood Vein: ""Crimson Web"" – Long Stiletto Press-on Nails")</x:f>
        <x:v>HYPERLINK is not implemented. linkLocation=https://365nails.com/products/gothic-blood-vein-crimson-web-long-stiletto-press-on-nails, friendlyName=Gothic Blood Vein: "Crimson Web" – Long Stiletto Press-on Nails</x:v>
      </x:c>
      <x:c r="D8208" s="18" t="str">
        <x:v>Size: XS / S / M / L</x:v>
      </x:c>
      <x:c r="E8208" s="25" t="str">
        <x:v>$3.99</x:v>
      </x:c>
      <x:c r="F8208" s="19" t="str">
        <x:v>3</x:v>
      </x:c>
    </x:row>
    <x:row r="8209" ht="93" customHeight="1">
      <x:c r="A8209" s="19" t="n">
        <x:v>8206</x:v>
      </x:c>
      <x:c r="B8209" s="22" t="e">
        <x:f>HYPERLINK("https://cdn.shopify.com/s/files/1/0918/6066/4603/files/27d54983ed75810ab35e3cc3976a9bf7.jpg?v=1768896401","Open")</x:f>
        <x:v>HYPERLINK is not implemented. linkLocation=https://cdn.shopify.com/s/files/1/0918/6066/4603/files/27d54983ed75810ab35e3cc3976a9bf7.jpg?v=1768896401, friendlyName=Open</x:v>
      </x:c>
      <x:c r="C8209" s="24" t="e">
        <x:f>HYPERLINK("https://365nails.com/products/handmade-smudge-series-sea-salt-mist-golden-marble-dusty-blue-nails","Sea Salt Mist &amp; Golden Marble Dusty Blue Nails｜Handmade Smudge Series(moq=30)")</x:f>
        <x:v>HYPERLINK is not implemented. linkLocation=https://365nails.com/products/handmade-smudge-series-sea-salt-mist-golden-marble-dusty-blue-nails, friendlyName=Sea Salt Mist &amp; Golden Marble Dusty Blue Nails｜Handmade Smudge Series(moq=30)</x:v>
      </x:c>
      <x:c r="D8209" s="18" t="str">
        <x:v>Size: XS / S / M / L</x:v>
      </x:c>
      <x:c r="E8209" s="25" t="str">
        <x:v>$2.99</x:v>
      </x:c>
      <x:c r="F8209" s="19" t="str">
        <x:v>30</x:v>
      </x:c>
    </x:row>
    <x:row r="8210" ht="93" customHeight="1">
      <x:c r="A8210" s="19" t="n">
        <x:v>8207</x:v>
      </x:c>
      <x:c r="B8210" s="22" t="e">
        <x:f>HYPERLINK("https://cdn.shopify.com/s/files/1/0918/6066/4603/files/6af9f09cd0ac28f194c202a2f2925392.jpg?v=1775223958","Open")</x:f>
        <x:v>HYPERLINK is not implemented. linkLocation=https://cdn.shopify.com/s/files/1/0918/6066/4603/files/6af9f09cd0ac28f194c202a2f2925392.jpg?v=1775223958, friendlyName=Open</x:v>
      </x:c>
      <x:c r="C8210" s="24" t="e">
        <x:f>HYPERLINK("https://365nails.com/products/ice-grey-gothic-silver-devotion-long-stiletto-press-on-nails","Ice Grey Gothic: ""Silver Devotion"" – Long Stiletto Press-on Nails")</x:f>
        <x:v>HYPERLINK is not implemented. linkLocation=https://365nails.com/products/ice-grey-gothic-silver-devotion-long-stiletto-press-on-nails, friendlyName=Ice Grey Gothic: "Silver Devotion" – Long Stiletto Press-on Nails</x:v>
      </x:c>
      <x:c r="D8210" s="18" t="str">
        <x:v>Size: XS / S / M / L</x:v>
      </x:c>
      <x:c r="E8210" s="25" t="str">
        <x:v>$3.99</x:v>
      </x:c>
      <x:c r="F8210" s="19" t="str">
        <x:v>3</x:v>
      </x:c>
    </x:row>
    <x:row r="8211" ht="93" customHeight="1">
      <x:c r="A8211" s="19" t="n">
        <x:v>8208</x:v>
      </x:c>
      <x:c r="B8211" s="22" t="e">
        <x:f>HYPERLINK("https://cdn.shopify.com/s/files/1/0918/6066/4603/files/c57b55066c20939aee936ca2d8af404e.jpg?v=1777516609","Open")</x:f>
        <x:v>HYPERLINK is not implemented. linkLocation=https://cdn.shopify.com/s/files/1/0918/6066/4603/files/c57b55066c20939aee936ca2d8af404e.jpg?v=1777516609, friendlyName=Open</x:v>
      </x:c>
      <x:c r="C8211" s="24" t="e">
        <x:f>HYPERLINK("https://365nails.com/products/365nails-gothic-pink-silver-evil-eye-skull-handmade-press-on-pedicure","365nails: ""Gothic Pink Silver Evil Eye Skull"" – handmade press-on nails")</x:f>
        <x:v>HYPERLINK is not implemented. linkLocation=https://365nails.com/products/365nails-gothic-pink-silver-evil-eye-skull-handmade-press-on-pedicure, friendlyName=365nails: "Gothic Pink Silver Evil Eye Skull" – handmade press-on nails</x:v>
      </x:c>
      <x:c r="D8211" s="18" t="str">
        <x:v>Size: XS / S / M / L</x:v>
      </x:c>
      <x:c r="E8211" s="25" t="str">
        <x:v>$4.99</x:v>
      </x:c>
      <x:c r="F8211" s="19" t="str">
        <x:v>3</x:v>
      </x:c>
    </x:row>
    <x:row r="8212" ht="93" customHeight="1">
      <x:c r="A8212" s="19" t="n">
        <x:v>8209</x:v>
      </x:c>
      <x:c r="B8212" s="22" t="e">
        <x:f>HYPERLINK("https://cdn.shopify.com/s/files/1/0918/6066/4603/files/753ba25505b2092ceb0b9fa05b3f3fd5.jpg?v=1775294005","Open")</x:f>
        <x:v>HYPERLINK is not implemented. linkLocation=https://cdn.shopify.com/s/files/1/0918/6066/4603/files/753ba25505b2092ceb0b9fa05b3f3fd5.jpg?v=1775294005, friendlyName=Open</x:v>
      </x:c>
      <x:c r="C8212" s="24" t="e">
        <x:f>HYPERLINK("https://365nails.com/products/wild-bloom-tiger-lily-long-coffin-press-on-nails","Wild Bloom: ""Tiger Lily"" – Long Coffin Press-on Nails")</x:f>
        <x:v>HYPERLINK is not implemented. linkLocation=https://365nails.com/products/wild-bloom-tiger-lily-long-coffin-press-on-nails, friendlyName=Wild Bloom: "Tiger Lily" – Long Coffin Press-on Nails</x:v>
      </x:c>
      <x:c r="D8212" s="18" t="str">
        <x:v>Size: XS / S / M / L</x:v>
      </x:c>
      <x:c r="E8212" s="25" t="str">
        <x:v>$3.99</x:v>
      </x:c>
      <x:c r="F8212" s="19" t="str">
        <x:v>5</x:v>
      </x:c>
    </x:row>
    <x:row r="8213" ht="93" customHeight="1">
      <x:c r="A8213" s="19" t="n">
        <x:v>8210</x:v>
      </x:c>
      <x:c r="B8213" s="22" t="e">
        <x:f>HYPERLINK("https://cdn.shopify.com/s/files/1/0918/6066/4603/files/b302ba6f2c2b90afae1c46622cabe451.jpg?v=1774082441","Open")</x:f>
        <x:v>HYPERLINK is not implemented. linkLocation=https://cdn.shopify.com/s/files/1/0918/6066/4603/files/b302ba6f2c2b90afae1c46622cabe451.jpg?v=1774082441, friendlyName=Open</x:v>
      </x:c>
      <x:c r="C8213" s="24" t="e">
        <x:f>HYPERLINK("https://365nails.com/products/cosmic-fatale-indigo-thorn-vein-long-sharp-stiletto-handmade-press-on-nails","Cosmic Fatale: ""Indigo Thorn Vein"" – Long Sharp Stiletto Handmade Press On Nails")</x:f>
        <x:v>HYPERLINK is not implemented. linkLocation=https://365nails.com/products/cosmic-fatale-indigo-thorn-vein-long-sharp-stiletto-handmade-press-on-nails, friendlyName=Cosmic Fatale: "Indigo Thorn Vein" – Long Sharp Stiletto Handmade Press On Nails</x:v>
      </x:c>
      <x:c r="D8213" s="18" t="str">
        <x:v>Size: XS / S / M / L</x:v>
      </x:c>
      <x:c r="E8213" s="25" t="str">
        <x:v>$3.99</x:v>
      </x:c>
      <x:c r="F8213" s="19" t="str">
        <x:v>5</x:v>
      </x:c>
    </x:row>
    <x:row r="8214" ht="93" customHeight="1">
      <x:c r="A8214" s="19" t="n">
        <x:v>8211</x:v>
      </x:c>
      <x:c r="B8214" s="22" t="e">
        <x:f>HYPERLINK("https://cdn.shopify.com/s/files/1/0918/6066/4603/files/e91551f3c8ca29da06e2facbb25b4010.jpg?v=1777516522","Open")</x:f>
        <x:v>HYPERLINK is not implemented. linkLocation=https://cdn.shopify.com/s/files/1/0918/6066/4603/files/e91551f3c8ca29da06e2facbb25b4010.jpg?v=1777516522, friendlyName=Open</x:v>
      </x:c>
      <x:c r="C8214" s="24" t="e">
        <x:f>HYPERLINK("https://365nails.com/products/365nails-halloween-pumpkin-gothic-pearl-stiletto-handmade-press-on-pedicure","365nails: ""Halloween Pumpkin Gothic Pearl Stiletto"" – handmade press-on nails")</x:f>
        <x:v>HYPERLINK is not implemented. linkLocation=https://365nails.com/products/365nails-halloween-pumpkin-gothic-pearl-stiletto-handmade-press-on-pedicure, friendlyName=365nails: "Halloween Pumpkin Gothic Pearl Stiletto" – handmade press-on nails</x:v>
      </x:c>
      <x:c r="D8214" s="18" t="str">
        <x:v>Size: XS / S / M / L</x:v>
      </x:c>
      <x:c r="E8214" s="25" t="str">
        <x:v>$4.99</x:v>
      </x:c>
      <x:c r="F8214" s="19" t="str">
        <x:v>3</x:v>
      </x:c>
    </x:row>
    <x:row r="8215" ht="93" customHeight="1">
      <x:c r="A8215" s="19" t="n">
        <x:v>8212</x:v>
      </x:c>
      <x:c r="B8215" s="22" t="e">
        <x:f>HYPERLINK("https://cdn.shopify.com/s/files/1/0918/6066/4603/files/724d06727c6816cdd3024c1d3df0a353.jpg?v=1775224532","Open")</x:f>
        <x:v>HYPERLINK is not implemented. linkLocation=https://cdn.shopify.com/s/files/1/0918/6066/4603/files/724d06727c6816cdd3024c1d3df0a353.jpg?v=1775224532, friendlyName=Open</x:v>
      </x:c>
      <x:c r="C8215" s="24" t="e">
        <x:f>HYPERLINK("https://365nails.com/products/gothic-blood-silver-vein-long-stiletto-press-on-nails","Gothic Blood: ""Silver Vein"" – Long Stiletto Press-on Nails")</x:f>
        <x:v>HYPERLINK is not implemented. linkLocation=https://365nails.com/products/gothic-blood-silver-vein-long-stiletto-press-on-nails, friendlyName=Gothic Blood: "Silver Vein" – Long Stiletto Press-on Nails</x:v>
      </x:c>
      <x:c r="D8215" s="18" t="str">
        <x:v>Size: XS / S / M / L</x:v>
      </x:c>
      <x:c r="E8215" s="25" t="str">
        <x:v>$3.99</x:v>
      </x:c>
      <x:c r="F8215" s="19" t="str">
        <x:v>3</x:v>
      </x:c>
    </x:row>
    <x:row r="8216" ht="93" customHeight="1">
      <x:c r="A8216" s="19" t="n">
        <x:v>8213</x:v>
      </x:c>
      <x:c r="B8216" s="22" t="e">
        <x:f>HYPERLINK("https://cdn.shopify.com/s/files/1/0918/6066/4603/files/514fc27c12dd7c4b4ce2e9cc9ce2a37f.jpg?v=1777516338","Open")</x:f>
        <x:v>HYPERLINK is not implemented. linkLocation=https://cdn.shopify.com/s/files/1/0918/6066/4603/files/514fc27c12dd7c4b4ce2e9cc9ce2a37f.jpg?v=1777516338, friendlyName=Open</x:v>
      </x:c>
      <x:c r="C8216" s="24" t="e">
        <x:f>HYPERLINK("https://365nails.com/products/365nails-gothic-blue-dragon-kuromi-handmade-press-on-pedicure","365nails: ""Gothic Blue Dragon Kuromi"" – handmade press-on nails")</x:f>
        <x:v>HYPERLINK is not implemented. linkLocation=https://365nails.com/products/365nails-gothic-blue-dragon-kuromi-handmade-press-on-pedicure, friendlyName=365nails: "Gothic Blue Dragon Kuromi" – handmade press-on nails</x:v>
      </x:c>
      <x:c r="D8216" s="18" t="str">
        <x:v>Size: XS / S / M / L</x:v>
      </x:c>
      <x:c r="E8216" s="25" t="str">
        <x:v>$4.99</x:v>
      </x:c>
      <x:c r="F8216" s="19" t="str">
        <x:v>3</x:v>
      </x:c>
    </x:row>
    <x:row r="8217" ht="93" customHeight="1">
      <x:c r="A8217" s="19" t="n">
        <x:v>8214</x:v>
      </x:c>
      <x:c r="B8217" s="22" t="e">
        <x:f>HYPERLINK("https://cdn.shopify.com/s/files/1/0918/6066/4603/files/abc4d634a19be5ebcca17b1322e62c42.jpg?v=1774082549","Open")</x:f>
        <x:v>HYPERLINK is not implemented. linkLocation=https://cdn.shopify.com/s/files/1/0918/6066/4603/files/abc4d634a19be5ebcca17b1322e62c42.jpg?v=1774082549, friendlyName=Open</x:v>
      </x:c>
      <x:c r="C8217" s="24" t="e">
        <x:f>HYPERLINK("https://365nails.com/products/cosmic-fatale-silver-blood-french-long-sharp-stiletto-handmade-press-on-nails","Cosmic Fatale: ""Silver Blood French"" – Long Sharp Stiletto Handmade Press On Nails")</x:f>
        <x:v>HYPERLINK is not implemented. linkLocation=https://365nails.com/products/cosmic-fatale-silver-blood-french-long-sharp-stiletto-handmade-press-on-nails, friendlyName=Cosmic Fatale: "Silver Blood French" – Long Sharp Stiletto Handmade Press On Nails</x:v>
      </x:c>
      <x:c r="D8217" s="18" t="str">
        <x:v>Size: XS / S / M / L</x:v>
      </x:c>
      <x:c r="E8217" s="25" t="str">
        <x:v>$3.99</x:v>
      </x:c>
      <x:c r="F8217" s="19" t="str">
        <x:v>5</x:v>
      </x:c>
    </x:row>
    <x:row r="8218" ht="93" customHeight="1">
      <x:c r="A8218" s="19" t="n">
        <x:v>8215</x:v>
      </x:c>
      <x:c r="B8218" s="22" t="e">
        <x:f>HYPERLINK("https://cdn.shopify.com/s/files/1/0918/6066/4603/files/6deaa932ef86af1f3d85cce635b96c4b.jpg?v=1775885177","Open")</x:f>
        <x:v>HYPERLINK is not implemented. linkLocation=https://cdn.shopify.com/s/files/1/0918/6066/4603/files/6deaa932ef86af1f3d85cce635b96c4b.jpg?v=1775885177, friendlyName=Open</x:v>
      </x:c>
      <x:c r="C8218" s="24" t="e">
        <x:f>HYPERLINK("https://365nails.com/products/365nails-lunar-pearl-glow-handmade-long-sharp-stiletto-nails","365nails: “Lunar Pearl Glow” – Handmade Long Sharp Stiletto Nails")</x:f>
        <x:v>HYPERLINK is not implemented. linkLocation=https://365nails.com/products/365nails-lunar-pearl-glow-handmade-long-sharp-stiletto-nails, friendlyName=365nails: “Lunar Pearl Glow” – Handmade Long Sharp Stiletto Nails</x:v>
      </x:c>
      <x:c r="D8218" s="18" t="str">
        <x:v>Size: XS / S / M / L</x:v>
      </x:c>
      <x:c r="E8218" s="25" t="str">
        <x:v>$3.99</x:v>
      </x:c>
      <x:c r="F8218" s="19" t="str">
        <x:v>3</x:v>
      </x:c>
    </x:row>
    <x:row r="8219" ht="93" customHeight="1">
      <x:c r="A8219" s="19" t="n">
        <x:v>8216</x:v>
      </x:c>
      <x:c r="B8219" s="22" t="e">
        <x:f>HYPERLINK("https://cdn.shopify.com/s/files/1/0918/6066/4603/files/6d0862df0a17e5acd941b449d02b1d1f.jpg?v=1774270229","Open")</x:f>
        <x:v>HYPERLINK is not implemented. linkLocation=https://cdn.shopify.com/s/files/1/0918/6066/4603/files/6d0862df0a17e5acd941b449d02b1d1f.jpg?v=1774270229, friendlyName=Open</x:v>
      </x:c>
      <x:c r="C8219" s="24" t="e">
        <x:f>HYPERLINK("https://365nails.com/products/cosmic-fatale-mint-lily-glow-long-sharp-stiletto-handmade-press-on-nails","Cosmic Fatale: ""Mint Lily Glow"" – Long Sharp Stiletto Handmade Press On Nails")</x:f>
        <x:v>HYPERLINK is not implemented. linkLocation=https://365nails.com/products/cosmic-fatale-mint-lily-glow-long-sharp-stiletto-handmade-press-on-nails, friendlyName=Cosmic Fatale: "Mint Lily Glow" – Long Sharp Stiletto Handmade Press On Nails</x:v>
      </x:c>
      <x:c r="D8219" s="18" t="str">
        <x:v>Size: XS / S / M / L</x:v>
      </x:c>
      <x:c r="E8219" s="25" t="str">
        <x:v>$4.99</x:v>
      </x:c>
      <x:c r="F8219" s="19" t="str">
        <x:v>5</x:v>
      </x:c>
    </x:row>
    <x:row r="8220" ht="93" customHeight="1">
      <x:c r="A8220" s="19" t="n">
        <x:v>8217</x:v>
      </x:c>
      <x:c r="B8220" s="22" t="e">
        <x:f>HYPERLINK("https://cdn.shopify.com/s/files/1/0918/6066/4603/files/O1CN01V7QIA11HlX3nmXeEO__2545140798-0-cib.jpg?v=1776518529","Open")</x:f>
        <x:v>HYPERLINK is not implemented. linkLocation=https://cdn.shopify.com/s/files/1/0918/6066/4603/files/O1CN01V7QIA11HlX3nmXeEO__2545140798-0-cib.jpg?v=1776518529, friendlyName=Open</x:v>
      </x:c>
      <x:c r="C8220" s="24" t="e">
        <x:f>HYPERLINK("https://365nails.com/products/365nails-ink-wash-cat-nail-art-stickers","365nails: ""Ink Wash Cat"" – nail art stickers")</x:f>
        <x:v>HYPERLINK is not implemented. linkLocation=https://365nails.com/products/365nails-ink-wash-cat-nail-art-stickers, friendlyName=365nails: "Ink Wash Cat" – nail art stickers</x:v>
      </x:c>
      <x:c r="D8220" s="18" t="str">
        <x:v>Specification type: To3984</x:v>
      </x:c>
      <x:c r="E8220" s="25" t="str">
        <x:v>$1.09</x:v>
      </x:c>
      <x:c r="F8220" s="19" t="str">
        <x:v>5</x:v>
      </x:c>
    </x:row>
    <x:row r="8221" ht="93" customHeight="1">
      <x:c r="A8221" s="19" t="n">
        <x:v>8218</x:v>
      </x:c>
      <x:c r="B8221" s="22" t="e">
        <x:f>HYPERLINK("https://cdn.shopify.com/s/files/1/0918/6066/4603/files/146f79d8daf0de5fd136421b4b80ea3a.jpg?v=1769067672","Open")</x:f>
        <x:v>HYPERLINK is not implemented. linkLocation=https://cdn.shopify.com/s/files/1/0918/6066/4603/files/146f79d8daf0de5fd136421b4b80ea3a.jpg?v=1769067672, friendlyName=Open</x:v>
      </x:c>
      <x:c r="C8221" s="24" t="e">
        <x:f>HYPERLINK("https://365nails.com/products/neon-sweetheart-psychedelic-candy-lime-green-barbie-pink-contrast-smudge-nails-handmade-smudge-series","Neon Sweetheart &amp; Psychedelic Candy Lime Green &amp; Barbie Pink Contrast Smudge Nails ｜ Handmade Smudge Series(moq=30)")</x:f>
        <x:v>HYPERLINK is not implemented. linkLocation=https://365nails.com/products/neon-sweetheart-psychedelic-candy-lime-green-barbie-pink-contrast-smudge-nails-handmade-smudge-series, friendlyName=Neon Sweetheart &amp; Psychedelic Candy Lime Green &amp; Barbie Pink Contrast Smudge Nails ｜ Handmade Smudge Series(moq=30)</x:v>
      </x:c>
      <x:c r="D8221" s="18" t="str">
        <x:v>Size: XS / S / M / L</x:v>
      </x:c>
      <x:c r="E8221" s="25" t="str">
        <x:v>$2.99</x:v>
      </x:c>
      <x:c r="F8221" s="19" t="str">
        <x:v>30</x:v>
      </x:c>
    </x:row>
    <x:row r="8222" ht="93" customHeight="1">
      <x:c r="A8222" s="19" t="n">
        <x:v>8219</x:v>
      </x:c>
      <x:c r="B8222" s="22" t="e">
        <x:f>HYPERLINK("https://cdn.shopify.com/s/files/1/0918/6066/4603/files/83cd233ea182cf1cc41b2e6fbe63a056.jpg?v=1769067477","Open")</x:f>
        <x:v>HYPERLINK is not implemented. linkLocation=https://cdn.shopify.com/s/files/1/0918/6066/4603/files/83cd233ea182cf1cc41b2e6fbe63a056.jpg?v=1769067477, friendlyName=Open</x:v>
      </x:c>
      <x:c r="C8222" s="24" t="e">
        <x:f>HYPERLINK("https://365nails.com/products/cloud-dream-garden-watercolor-poem-icy-multi-color-smudge-silver-foil-nails-handmade-smudge-series","Cloud Dream Garden &amp; Watercolor Poem Icy Multi-Color Smudge &amp; Silver Foil Nails ｜ Handmade Smudge Series(moq=30)")</x:f>
        <x:v>HYPERLINK is not implemented. linkLocation=https://365nails.com/products/cloud-dream-garden-watercolor-poem-icy-multi-color-smudge-silver-foil-nails-handmade-smudge-series, friendlyName=Cloud Dream Garden &amp; Watercolor Poem Icy Multi-Color Smudge &amp; Silver Foil Nails ｜ Handmade Smudge Series(moq=30)</x:v>
      </x:c>
      <x:c r="D8222" s="18" t="str">
        <x:v>Size: XS / S / M / L</x:v>
      </x:c>
      <x:c r="E8222" s="25" t="str">
        <x:v>$2.99</x:v>
      </x:c>
      <x:c r="F8222" s="19" t="str">
        <x:v>30</x:v>
      </x:c>
    </x:row>
    <x:row r="8223" ht="93" customHeight="1">
      <x:c r="A8223" s="19" t="n">
        <x:v>8220</x:v>
      </x:c>
      <x:c r="B8223" s="22" t="e">
        <x:f>HYPERLINK("https://cdn.shopify.com/s/files/1/0918/6066/4603/files/7145a1dc12ab00f80def7144f18c11ac.jpg?v=1769067263","Open")</x:f>
        <x:v>HYPERLINK is not implemented. linkLocation=https://cdn.shopify.com/s/files/1/0918/6066/4603/files/7145a1dc12ab00f80def7144f18c11ac.jpg?v=1769067263, friendlyName=Open</x:v>
      </x:c>
      <x:c r="C8223" s="24" t="e">
        <x:f>HYPERLINK("https://365nails.com/products/sunset-mist-california-dream-creamy-persimmon-foggy-blue-smudge-nails-handmade-smudge-series","Sunset Mist &amp; California Dream Creamy Persimmon &amp; Foggy Blue Smudge Nails ｜ Handmade Smudge Series(moq=30)")</x:f>
        <x:v>HYPERLINK is not implemented. linkLocation=https://365nails.com/products/sunset-mist-california-dream-creamy-persimmon-foggy-blue-smudge-nails-handmade-smudge-series, friendlyName=Sunset Mist &amp; California Dream Creamy Persimmon &amp; Foggy Blue Smudge Nails ｜ Handmade Smudge Series(moq=30)</x:v>
      </x:c>
      <x:c r="D8223" s="18" t="str">
        <x:v>Size: XS / S / M / L</x:v>
      </x:c>
      <x:c r="E8223" s="25" t="str">
        <x:v>$2.99</x:v>
      </x:c>
      <x:c r="F8223" s="19" t="str">
        <x:v>30</x:v>
      </x:c>
    </x:row>
    <x:row r="8224" ht="93" customHeight="1">
      <x:c r="A8224" s="19" t="n">
        <x:v>8221</x:v>
      </x:c>
      <x:c r="B8224" s="22" t="e">
        <x:f>HYPERLINK("https://cdn.shopify.com/s/files/1/0918/6066/4603/files/61146b318fc95221adad26bb86087c64.jpg?v=1777515538","Open")</x:f>
        <x:v>HYPERLINK is not implemented. linkLocation=https://cdn.shopify.com/s/files/1/0918/6066/4603/files/61146b318fc95221adad26bb86087c64.jpg?v=1777515538, friendlyName=Open</x:v>
      </x:c>
      <x:c r="C8224" s="24" t="e">
        <x:f>HYPERLINK("https://365nails.com/products/365nails-gothic-black-cat-pearl-skull-handmade-press-on-pedicure","365nails: ""Gothic Black Cat Pearl Skull"" – handmade press-on nails")</x:f>
        <x:v>HYPERLINK is not implemented. linkLocation=https://365nails.com/products/365nails-gothic-black-cat-pearl-skull-handmade-press-on-pedicure, friendlyName=365nails: "Gothic Black Cat Pearl Skull" – handmade press-on nails</x:v>
      </x:c>
      <x:c r="D8224" s="18" t="str">
        <x:v>Size: XS / S / M / L</x:v>
      </x:c>
      <x:c r="E8224" s="25" t="str">
        <x:v>$4.99</x:v>
      </x:c>
      <x:c r="F8224" s="19" t="str">
        <x:v>3</x:v>
      </x:c>
    </x:row>
    <x:row r="8225" ht="93" customHeight="1">
      <x:c r="A8225" s="19" t="n">
        <x:v>8222</x:v>
      </x:c>
      <x:c r="B8225" s="22" t="e">
        <x:f>HYPERLINK("https://cdn.shopify.com/s/files/1/0918/6066/4603/files/b9c32dfa669ed4b840d987d1d0e400bf.jpg?v=1769062975","Open")</x:f>
        <x:v>HYPERLINK is not implemented. linkLocation=https://cdn.shopify.com/s/files/1/0918/6066/4603/files/b9c32dfa669ed4b840d987d1d0e400bf.jpg?v=1769062975, friendlyName=Open</x:v>
      </x:c>
      <x:c r="C8225" s="24" t="e">
        <x:f>HYPERLINK("https://365nails.com/products/vintage-burgundy-gilded-agate-wine-red-abstract-marble-nails-handmade-smudge-series","Vintage Burgundy &amp; Gilded Agate Wine Red Abstract Marble Nails ｜ Handmade Smudge Series(moq=30)")</x:f>
        <x:v>HYPERLINK is not implemented. linkLocation=https://365nails.com/products/vintage-burgundy-gilded-agate-wine-red-abstract-marble-nails-handmade-smudge-series, friendlyName=Vintage Burgundy &amp; Gilded Agate Wine Red Abstract Marble Nails ｜ Handmade Smudge Series(moq=30)</x:v>
      </x:c>
      <x:c r="D8225" s="18" t="str">
        <x:v>Size: XS / S / M / L</x:v>
      </x:c>
      <x:c r="E8225" s="25" t="str">
        <x:v>$2.99</x:v>
      </x:c>
      <x:c r="F8225" s="19" t="str">
        <x:v>30</x:v>
      </x:c>
    </x:row>
    <x:row r="8226" ht="93" customHeight="1">
      <x:c r="A8226" s="19" t="n">
        <x:v>8223</x:v>
      </x:c>
      <x:c r="B8226" s="22" t="e">
        <x:f>HYPERLINK("https://cdn.shopify.com/s/files/1/0918/6066/4603/files/O1CN01MTMKuj1HlX50x9U2L__2545140798-0-cib.jpg?v=1776565748","Open")</x:f>
        <x:v>HYPERLINK is not implemented. linkLocation=https://cdn.shopify.com/s/files/1/0918/6066/4603/files/O1CN01MTMKuj1HlX50x9U2L__2545140798-0-cib.jpg?v=1776565748, friendlyName=Open</x:v>
      </x:c>
      <x:c r="C8226" s="24" t="e">
        <x:f>HYPERLINK("https://365nails.com/products/365nails-cute-blush-expression-nail-art-stickers","365nails: ""Cute Blush Expression"" – nail art stickers")</x:f>
        <x:v>HYPERLINK is not implemented. linkLocation=https://365nails.com/products/365nails-cute-blush-expression-nail-art-stickers, friendlyName=365nails: "Cute Blush Expression" – nail art stickers</x:v>
      </x:c>
      <x:c r="D8226" s="18" t="str">
        <x:v>Specification type: To4763 / To4785</x:v>
      </x:c>
      <x:c r="E8226" s="25" t="str">
        <x:v>$1.09</x:v>
      </x:c>
      <x:c r="F8226" s="19" t="str">
        <x:v>5</x:v>
      </x:c>
    </x:row>
    <x:row r="8227" ht="93" customHeight="1">
      <x:c r="A8227" s="19" t="n">
        <x:v>8224</x:v>
      </x:c>
      <x:c r="B8227" s="22" t="e">
        <x:f>HYPERLINK("https://cdn.shopify.com/s/files/1/0918/6066/4603/files/31ccb500303b588a549053b5319df136.jpg?v=1777515758","Open")</x:f>
        <x:v>HYPERLINK is not implemented. linkLocation=https://cdn.shopify.com/s/files/1/0918/6066/4603/files/31ccb500303b588a549053b5319df136.jpg?v=1777515758, friendlyName=Open</x:v>
      </x:c>
      <x:c r="C8227" s="24" t="e">
        <x:f>HYPERLINK("https://365nails.com/products/365nails-gothic-burgundy-rose-skull-handmade-press-on-pedicure","365nails: ""Gothic Burgundy Rose Skull"" – handmade press-on nails")</x:f>
        <x:v>HYPERLINK is not implemented. linkLocation=https://365nails.com/products/365nails-gothic-burgundy-rose-skull-handmade-press-on-pedicure, friendlyName=365nails: "Gothic Burgundy Rose Skull" – handmade press-on nails</x:v>
      </x:c>
      <x:c r="D8227" s="18" t="str">
        <x:v>Size: XS / S / M / L</x:v>
      </x:c>
      <x:c r="E8227" s="25" t="str">
        <x:v>$4.99</x:v>
      </x:c>
      <x:c r="F8227" s="19" t="str">
        <x:v>3</x:v>
      </x:c>
    </x:row>
    <x:row r="8228" ht="93" customHeight="1">
      <x:c r="A8228" s="19" t="n">
        <x:v>8225</x:v>
      </x:c>
      <x:c r="B8228" s="22" t="e">
        <x:f>HYPERLINK("https://cdn.shopify.com/s/files/1/0918/6066/4603/files/76931d0420261f116f27ec1383d3257b.jpg?v=1774085062","Open")</x:f>
        <x:v>HYPERLINK is not implemented. linkLocation=https://cdn.shopify.com/s/files/1/0918/6066/4603/files/76931d0420261f116f27ec1383d3257b.jpg?v=1774085062, friendlyName=Open</x:v>
      </x:c>
      <x:c r="C8228" s="24" t="e">
        <x:f>HYPERLINK("https://365nails.com/products/silver-lavender-thorn-veil-long-sharp-stiletto-handmade-press-on-nails","""Silver Lavender Thorn Veil"" – Long Sharp Stiletto Handmade Press On Nails")</x:f>
        <x:v>HYPERLINK is not implemented. linkLocation=https://365nails.com/products/silver-lavender-thorn-veil-long-sharp-stiletto-handmade-press-on-nails, friendlyName="Silver Lavender Thorn Veil" – Long Sharp Stiletto Handmade Press On Nails</x:v>
      </x:c>
      <x:c r="D8228" s="18" t="str">
        <x:v>Size: XS / S / M / L</x:v>
      </x:c>
      <x:c r="E8228" s="25" t="str">
        <x:v>$3.99</x:v>
      </x:c>
      <x:c r="F8228" s="19" t="str">
        <x:v>5</x:v>
      </x:c>
    </x:row>
    <x:row r="8229" ht="93" customHeight="1">
      <x:c r="A8229" s="19" t="n">
        <x:v>8226</x:v>
      </x:c>
      <x:c r="B8229" s="22" t="e">
        <x:f>HYPERLINK("https://cdn.shopify.com/s/files/1/0918/6066/4603/files/999dc8a4a222e1a0b44b537dae3784de.jpg?v=1777643724","Open")</x:f>
        <x:v>HYPERLINK is not implemented. linkLocation=https://cdn.shopify.com/s/files/1/0918/6066/4603/files/999dc8a4a222e1a0b44b537dae3784de.jpg?v=1777643724, friendlyName=Open</x:v>
      </x:c>
      <x:c r="C8229" s="24" t="e">
        <x:f>HYPERLINK("https://365nails.com/products/365nails-lemonade-sparkle-3d-citrus-handmade-long-square-press-on-nails","365nails: ""Lemonade Sparkle"" – 3D Citrus Handmade Long Square Press On Nails")</x:f>
        <x:v>HYPERLINK is not implemented. linkLocation=https://365nails.com/products/365nails-lemonade-sparkle-3d-citrus-handmade-long-square-press-on-nails, friendlyName=365nails: "Lemonade Sparkle" – 3D Citrus Handmade Long Square Press On Nails</x:v>
      </x:c>
      <x:c r="D8229" s="18" t="str">
        <x:v>Size: XS / S / M / L</x:v>
      </x:c>
      <x:c r="E8229" s="25" t="str">
        <x:v>$4.99</x:v>
      </x:c>
      <x:c r="F8229" s="19" t="str">
        <x:v>5</x:v>
      </x:c>
    </x:row>
    <x:row r="8230" ht="93" customHeight="1">
      <x:c r="A8230" s="19" t="n">
        <x:v>8227</x:v>
      </x:c>
      <x:c r="B8230" s="22" t="e">
        <x:f>HYPERLINK("https://cdn.shopify.com/s/files/1/0918/6066/4603/files/4bc2aa012ef784b2cf137d22576e18f2.jpg?v=1777515083","Open")</x:f>
        <x:v>HYPERLINK is not implemented. linkLocation=https://cdn.shopify.com/s/files/1/0918/6066/4603/files/4bc2aa012ef784b2cf137d22576e18f2.jpg?v=1777515083, friendlyName=Open</x:v>
      </x:c>
      <x:c r="C8230" s="24" t="e">
        <x:f>HYPERLINK("https://365nails.com/products/365nails-gothic-pink-black-hello-kitty-handmade-press-on-pedicure","365nails: ""Gothic Pink Black Hello Kitty"" – handmade press-on nails")</x:f>
        <x:v>HYPERLINK is not implemented. linkLocation=https://365nails.com/products/365nails-gothic-pink-black-hello-kitty-handmade-press-on-pedicure, friendlyName=365nails: "Gothic Pink Black Hello Kitty" – handmade press-on nails</x:v>
      </x:c>
      <x:c r="D8230" s="18" t="str">
        <x:v>Size: XS / S / M / L</x:v>
      </x:c>
      <x:c r="E8230" s="25" t="str">
        <x:v>$4.99</x:v>
      </x:c>
      <x:c r="F8230" s="19" t="str">
        <x:v>3</x:v>
      </x:c>
    </x:row>
    <x:row r="8231" ht="93" customHeight="1">
      <x:c r="A8231" s="19" t="n">
        <x:v>8228</x:v>
      </x:c>
      <x:c r="B8231" s="22" t="e">
        <x:f>HYPERLINK("https://cdn.shopify.com/s/files/1/0918/6066/4603/files/8e16cda4bb1b170c4c48091cf7f41bf7.jpg?v=1775224397","Open")</x:f>
        <x:v>HYPERLINK is not implemented. linkLocation=https://cdn.shopify.com/s/files/1/0918/6066/4603/files/8e16cda4bb1b170c4c48091cf7f41bf7.jpg?v=1775224397, friendlyName=Open</x:v>
      </x:c>
      <x:c r="C8231" s="24" t="e">
        <x:f>HYPERLINK("https://365nails.com/products/gothic-purple-amethyst-cross-long-stiletto-press-on-nails","Gothic Purple: ""Amethyst Cross"" – Long Stiletto Press-on Nails")</x:f>
        <x:v>HYPERLINK is not implemented. linkLocation=https://365nails.com/products/gothic-purple-amethyst-cross-long-stiletto-press-on-nails, friendlyName=Gothic Purple: "Amethyst Cross" – Long Stiletto Press-on Nails</x:v>
      </x:c>
      <x:c r="D8231" s="18" t="str">
        <x:v>Size: XS / S / M / L</x:v>
      </x:c>
      <x:c r="E8231" s="25" t="str">
        <x:v>$3.99</x:v>
      </x:c>
      <x:c r="F8231" s="19" t="str">
        <x:v>3</x:v>
      </x:c>
    </x:row>
    <x:row r="8232" ht="93" customHeight="1">
      <x:c r="A8232" s="19" t="n">
        <x:v>8229</x:v>
      </x:c>
      <x:c r="B8232" s="22" t="e">
        <x:f>HYPERLINK("https://cdn.shopify.com/s/files/1/0918/6066/4603/files/50b1393b08f32f579b31a1ded04a3368.jpg?v=1769067140","Open")</x:f>
        <x:v>HYPERLINK is not implemented. linkLocation=https://cdn.shopify.com/s/files/1/0918/6066/4603/files/50b1393b08f32f579b31a1ded04a3368.jpg?v=1769067140, friendlyName=Open</x:v>
      </x:c>
      <x:c r="C8232" s="24" t="e">
        <x:f>HYPERLINK("https://365nails.com/products/vintage-manor-gilded-rose-crystal-red-green-oil-painting-nails-handmade-smudge-series","Vintage Manor &amp; Gilded Rose Crystal Red &amp; Green Oil Painting Nails ｜ Handmade Smudge Series(moq=30)")</x:f>
        <x:v>HYPERLINK is not implemented. linkLocation=https://365nails.com/products/vintage-manor-gilded-rose-crystal-red-green-oil-painting-nails-handmade-smudge-series, friendlyName=Vintage Manor &amp; Gilded Rose Crystal Red &amp; Green Oil Painting Nails ｜ Handmade Smudge Series(moq=30)</x:v>
      </x:c>
      <x:c r="D8232" s="18" t="str">
        <x:v>Size: XS / S / M / L</x:v>
      </x:c>
      <x:c r="E8232" s="25" t="str">
        <x:v>$2.99</x:v>
      </x:c>
      <x:c r="F8232" s="19" t="str">
        <x:v>30</x:v>
      </x:c>
    </x:row>
    <x:row r="8233" ht="93" customHeight="1">
      <x:c r="A8233" s="19" t="n">
        <x:v>8230</x:v>
      </x:c>
      <x:c r="B8233" s="22" t="e">
        <x:f>HYPERLINK("https://cdn.shopify.com/s/files/1/0918/6066/4603/files/8ae836cb0d4e132218ce011cf9022456.jpg?v=1775224787","Open")</x:f>
        <x:v>HYPERLINK is not implemented. linkLocation=https://cdn.shopify.com/s/files/1/0918/6066/4603/files/8ae836cb0d4e132218ce011cf9022456.jpg?v=1775224787, friendlyName=Open</x:v>
      </x:c>
      <x:c r="C8233" s="24" t="e">
        <x:f>HYPERLINK("https://365nails.com/products/nude-gothic-rhinestone-cross-long-stiletto-press-on-nails","Nude Gothic: ""Rhinestone Cross"" – Long Stiletto Press-on Nails")</x:f>
        <x:v>HYPERLINK is not implemented. linkLocation=https://365nails.com/products/nude-gothic-rhinestone-cross-long-stiletto-press-on-nails, friendlyName=Nude Gothic: "Rhinestone Cross" – Long Stiletto Press-on Nails</x:v>
      </x:c>
      <x:c r="D8233" s="18" t="str">
        <x:v>Size: XS / S / M / L</x:v>
      </x:c>
      <x:c r="E8233" s="25" t="str">
        <x:v>$3.99</x:v>
      </x:c>
      <x:c r="F8233" s="19" t="str">
        <x:v>3</x:v>
      </x:c>
    </x:row>
    <x:row r="8234" ht="93" customHeight="1">
      <x:c r="A8234" s="19" t="n">
        <x:v>8231</x:v>
      </x:c>
      <x:c r="B8234" s="22" t="e">
        <x:f>HYPERLINK("https://cdn.shopify.com/s/files/1/0918/6066/4603/files/5be0b34a5e5ae322970d848514d15d61.jpg?v=1774083254","Open")</x:f>
        <x:v>HYPERLINK is not implemented. linkLocation=https://cdn.shopify.com/s/files/1/0918/6066/4603/files/5be0b34a5e5ae322970d848514d15d61.jpg?v=1774083254, friendlyName=Open</x:v>
      </x:c>
      <x:c r="C8234" s="24" t="e">
        <x:f>HYPERLINK("https://365nails.com/products/cosmic-fatale-smoky-silver-glitter-ombre-long-sharp-stiletto-handmade-press-on-nails","Cosmic Fatale: ""Smoky Silver Glitter Ombre"" – Long Sharp Stiletto Handmade Press On Nails")</x:f>
        <x:v>HYPERLINK is not implemented. linkLocation=https://365nails.com/products/cosmic-fatale-smoky-silver-glitter-ombre-long-sharp-stiletto-handmade-press-on-nails, friendlyName=Cosmic Fatale: "Smoky Silver Glitter Ombre" – Long Sharp Stiletto Handmade Press On Nails</x:v>
      </x:c>
      <x:c r="D8234" s="18" t="str">
        <x:v>Size: XS / S / M / L</x:v>
      </x:c>
      <x:c r="E8234" s="25" t="str">
        <x:v>$3.99</x:v>
      </x:c>
      <x:c r="F8234" s="19" t="str">
        <x:v>5</x:v>
      </x:c>
    </x:row>
    <x:row r="8235" ht="93" customHeight="1">
      <x:c r="A8235" s="19" t="n">
        <x:v>8232</x:v>
      </x:c>
      <x:c r="B8235" s="22" t="e">
        <x:f>HYPERLINK("https://cdn.shopify.com/s/files/1/0918/6066/4603/files/9f4d9b2ba701fde46e02d50d3e8ee723.jpg?v=1774082642","Open")</x:f>
        <x:v>HYPERLINK is not implemented. linkLocation=https://cdn.shopify.com/s/files/1/0918/6066/4603/files/9f4d9b2ba701fde46e02d50d3e8ee723.jpg?v=1774082642, friendlyName=Open</x:v>
      </x:c>
      <x:c r="C8235" s="24" t="e">
        <x:f>HYPERLINK("https://365nails.com/products/cosmic-fatale-pastel-lace-watercolor-long-sharp-stiletto-handmade-press-on-nails","Cosmic Fatale: ""Pastel Lace Watercolor"" – Long Sharp Stiletto Handmade Press On Nails")</x:f>
        <x:v>HYPERLINK is not implemented. linkLocation=https://365nails.com/products/cosmic-fatale-pastel-lace-watercolor-long-sharp-stiletto-handmade-press-on-nails, friendlyName=Cosmic Fatale: "Pastel Lace Watercolor" – Long Sharp Stiletto Handmade Press On Nails</x:v>
      </x:c>
      <x:c r="D8235" s="18" t="str">
        <x:v>Size: XS / S / M / L</x:v>
      </x:c>
      <x:c r="E8235" s="25" t="str">
        <x:v>$3.99</x:v>
      </x:c>
      <x:c r="F8235" s="19" t="str">
        <x:v>5</x:v>
      </x:c>
    </x:row>
    <x:row r="8236" ht="93" customHeight="1">
      <x:c r="A8236" s="19" t="n">
        <x:v>8233</x:v>
      </x:c>
      <x:c r="B8236" s="22" t="e">
        <x:f>HYPERLINK("https://cdn.shopify.com/s/files/1/0918/6066/4603/files/5c30b439cb7d4aec424baa516eada7a6.jpg?v=1777456540","Open")</x:f>
        <x:v>HYPERLINK is not implemented. linkLocation=https://cdn.shopify.com/s/files/1/0918/6066/4603/files/5c30b439cb7d4aec424baa516eada7a6.jpg?v=1777456540, friendlyName=Open</x:v>
      </x:c>
      <x:c r="C8236" s="24" t="e">
        <x:f>HYPERLINK("https://365nails.com/products/365nails-gothic-red-skull-snake-safety-pin-handmade-press-on-pedicure","365nails: ""Gothic Red Skull Snake Safety Pin"" – handmade press-on nails")</x:f>
        <x:v>HYPERLINK is not implemented. linkLocation=https://365nails.com/products/365nails-gothic-red-skull-snake-safety-pin-handmade-press-on-pedicure, friendlyName=365nails: "Gothic Red Skull Snake Safety Pin" – handmade press-on nails</x:v>
      </x:c>
      <x:c r="D8236" s="18" t="str">
        <x:v>Size: XS / S / M / L</x:v>
      </x:c>
      <x:c r="E8236" s="25" t="str">
        <x:v>$4.99</x:v>
      </x:c>
      <x:c r="F8236" s="19" t="str">
        <x:v>3</x:v>
      </x:c>
    </x:row>
    <x:row r="8237" ht="93" customHeight="1">
      <x:c r="A8237" s="19" t="n">
        <x:v>8234</x:v>
      </x:c>
      <x:c r="B8237" s="22" t="e">
        <x:f>HYPERLINK("https://cdn.shopify.com/s/files/1/0918/6066/4603/files/ec21347c15fba7744bea2a8cc896ba94.jpg?v=1769064204","Open")</x:f>
        <x:v>HYPERLINK is not implemented. linkLocation=https://cdn.shopify.com/s/files/1/0918/6066/4603/files/ec21347c15fba7744bea2a8cc896ba94.jpg?v=1769064204, friendlyName=Open</x:v>
      </x:c>
      <x:c r="C8237" s="24" t="e">
        <x:f>HYPERLINK("https://365nails.com/products/crimson-sea-dunhuang-sky-cinnabar-red-turquoise-blue-contrast-nails-handmade-smudge-series","Crimson Sea &amp; Dunhuang Sky Cinnabar Red &amp; Turquoise Blue Contrast Nails ｜ Handmade Smudge Series(moq=30)")</x:f>
        <x:v>HYPERLINK is not implemented. linkLocation=https://365nails.com/products/crimson-sea-dunhuang-sky-cinnabar-red-turquoise-blue-contrast-nails-handmade-smudge-series, friendlyName=Crimson Sea &amp; Dunhuang Sky Cinnabar Red &amp; Turquoise Blue Contrast Nails ｜ Handmade Smudge Series(moq=30)</x:v>
      </x:c>
      <x:c r="D8237" s="18" t="str">
        <x:v>Size: XS / S / M / L</x:v>
      </x:c>
      <x:c r="E8237" s="25" t="str">
        <x:v>$2.99</x:v>
      </x:c>
      <x:c r="F8237" s="19" t="str">
        <x:v>30</x:v>
      </x:c>
    </x:row>
    <x:row r="8238" ht="93" customHeight="1">
      <x:c r="A8238" s="19" t="n">
        <x:v>8235</x:v>
      </x:c>
      <x:c r="B8238" s="22" t="e">
        <x:f>HYPERLINK("https://cdn.shopify.com/s/files/1/0918/6066/4603/files/324d5de1b3bccd3aefa28b8363803e0f.jpg?v=1769063948","Open")</x:f>
        <x:v>HYPERLINK is not implemented. linkLocation=https://cdn.shopify.com/s/files/1/0918/6066/4603/files/324d5de1b3bccd3aefa28b8363803e0f.jpg?v=1769063948, friendlyName=Open</x:v>
      </x:c>
      <x:c r="C8238" s="24" t="e">
        <x:f>HYPERLINK("https://365nails.com/products/gilded-amber-apricot-honey-caramel-orange-gradient-nails-handmade-smudge-series","Gilded Amber &amp; Apricot Honey Caramel Orange Gradient Nails ｜ Handmade Smudge Series(moq=30)")</x:f>
        <x:v>HYPERLINK is not implemented. linkLocation=https://365nails.com/products/gilded-amber-apricot-honey-caramel-orange-gradient-nails-handmade-smudge-series, friendlyName=Gilded Amber &amp; Apricot Honey Caramel Orange Gradient Nails ｜ Handmade Smudge Series(moq=30)</x:v>
      </x:c>
      <x:c r="D8238" s="18" t="str">
        <x:v>Size: XS / S / M / L</x:v>
      </x:c>
      <x:c r="E8238" s="25" t="str">
        <x:v>$2.99</x:v>
      </x:c>
      <x:c r="F8238" s="19" t="str">
        <x:v>30</x:v>
      </x:c>
    </x:row>
    <x:row r="8239" ht="93" customHeight="1">
      <x:c r="A8239" s="19" t="n">
        <x:v>8236</x:v>
      </x:c>
      <x:c r="B8239" s="22" t="e">
        <x:f>HYPERLINK("https://cdn.shopify.com/s/files/1/0918/6066/4603/files/ba08582d513b8e8b5d6ac72fa9bbb742.jpg?v=1769067024","Open")</x:f>
        <x:v>HYPERLINK is not implemented. linkLocation=https://cdn.shopify.com/s/files/1/0918/6066/4603/files/ba08582d513b8e8b5d6ac72fa9bbb742.jpg?v=1769067024, friendlyName=Open</x:v>
      </x:c>
      <x:c r="C8239" s="24" t="e">
        <x:f>HYPERLINK("https://365nails.com/products/sea-salt-caramel-azure-coast-nude-pink-blue-brown-gradient-nails-handmade-smudge-series","Sea Salt Caramel &amp; Azure Coast Nude Pink &amp; Blue-Brown Gradient Nails ｜ Handmade Smudge Series(moq=30)")</x:f>
        <x:v>HYPERLINK is not implemented. linkLocation=https://365nails.com/products/sea-salt-caramel-azure-coast-nude-pink-blue-brown-gradient-nails-handmade-smudge-series, friendlyName=Sea Salt Caramel &amp; Azure Coast Nude Pink &amp; Blue-Brown Gradient Nails ｜ Handmade Smudge Series(moq=30)</x:v>
      </x:c>
      <x:c r="D8239" s="18" t="str">
        <x:v>Size: XS / S / M / L</x:v>
      </x:c>
      <x:c r="E8239" s="25" t="str">
        <x:v>$2.99</x:v>
      </x:c>
      <x:c r="F8239" s="19" t="str">
        <x:v>30</x:v>
      </x:c>
    </x:row>
    <x:row r="8240" ht="93" customHeight="1">
      <x:c r="A8240" s="19" t="n">
        <x:v>8237</x:v>
      </x:c>
      <x:c r="B8240" s="22" t="e">
        <x:f>HYPERLINK("https://cdn.shopify.com/s/files/1/0918/6066/4603/files/bf9eccea14760faf5dfd1656bb8cbc2d.jpg?v=1769062674","Open")</x:f>
        <x:v>HYPERLINK is not implemented. linkLocation=https://cdn.shopify.com/s/files/1/0918/6066/4603/files/bf9eccea14760faf5dfd1656bb8cbc2d.jpg?v=1769062674, friendlyName=Open</x:v>
      </x:c>
      <x:c r="C8240" s="24" t="e">
        <x:f>HYPERLINK("https://365nails.com/products/frozen-iris-polar-stardust-blue-violet-ink-smudge-nails-handmade-smudge-series","Frozen Iris &amp; Polar Stardust Blue &amp; Violet Ink Smudge Nails ｜ Handmade Smudge Series(moq=30)")</x:f>
        <x:v>HYPERLINK is not implemented. linkLocation=https://365nails.com/products/frozen-iris-polar-stardust-blue-violet-ink-smudge-nails-handmade-smudge-series, friendlyName=Frozen Iris &amp; Polar Stardust Blue &amp; Violet Ink Smudge Nails ｜ Handmade Smudge Series(moq=30)</x:v>
      </x:c>
      <x:c r="D8240" s="18" t="str">
        <x:v>Size: XS / S / M / L</x:v>
      </x:c>
      <x:c r="E8240" s="25" t="str">
        <x:v>$2.99</x:v>
      </x:c>
      <x:c r="F8240" s="19" t="str">
        <x:v>30</x:v>
      </x:c>
    </x:row>
    <x:row r="8241" ht="93" customHeight="1">
      <x:c r="A8241" s="19" t="n">
        <x:v>8238</x:v>
      </x:c>
      <x:c r="B8241" s="22" t="e">
        <x:f>HYPERLINK("https://cdn.shopify.com/s/files/1/0918/6066/4603/files/O1CN01SEm00J1HlWnqRRzT6__2545140798-0-cib.jpg?v=1776579446","Open")</x:f>
        <x:v>HYPERLINK is not implemented. linkLocation=https://cdn.shopify.com/s/files/1/0918/6066/4603/files/O1CN01SEm00J1HlWnqRRzT6__2545140798-0-cib.jpg?v=1776579446, friendlyName=Open</x:v>
      </x:c>
      <x:c r="C8241" s="24" t="e">
        <x:f>HYPERLINK("https://365nails.com/products/365nails-fresh-avocado-cherry-nail-art-stickers","365nails: ""Fresh Avocado &amp; Cherry"" – nail art stickers")</x:f>
        <x:v>HYPERLINK is not implemented. linkLocation=https://365nails.com/products/365nails-fresh-avocado-cherry-nail-art-stickers, friendlyName=365nails: "Fresh Avocado &amp; Cherry" – nail art stickers</x:v>
      </x:c>
      <x:c r="D8241" s="18" t="str">
        <x:v>Specification type: To1418 / To1419 / To1422 / To1424 / To1438 / To1439</x:v>
      </x:c>
      <x:c r="E8241" s="25" t="str">
        <x:v>$1.23</x:v>
      </x:c>
      <x:c r="F8241" s="19" t="str">
        <x:v>5</x:v>
      </x:c>
    </x:row>
    <x:row r="8242" ht="93" customHeight="1">
      <x:c r="A8242" s="19" t="n">
        <x:v>8239</x:v>
      </x:c>
      <x:c r="B8242" s="22" t="e">
        <x:f>HYPERLINK("https://cdn.shopify.com/s/files/1/0918/6066/4603/files/b10544c4098cc45b964c1024d5147b7a.jpg?v=1769067860","Open")</x:f>
        <x:v>HYPERLINK is not implemented. linkLocation=https://cdn.shopify.com/s/files/1/0918/6066/4603/files/b10544c4098cc45b964c1024d5147b7a.jpg?v=1769067860, friendlyName=Open</x:v>
      </x:c>
      <x:c r="C8242" s="24" t="e">
        <x:f>HYPERLINK("https://365nails.com/products/gilded-years-caramel-amber-coffee-marble-gold-foil-smudge-nails-handmade-smudge-series","Gilded Years &amp; Caramel Amber Coffee Marble &amp; Gold Foil Smudge Nails ｜ Handmade Smudge Series(moq=30)")</x:f>
        <x:v>HYPERLINK is not implemented. linkLocation=https://365nails.com/products/gilded-years-caramel-amber-coffee-marble-gold-foil-smudge-nails-handmade-smudge-series, friendlyName=Gilded Years &amp; Caramel Amber Coffee Marble &amp; Gold Foil Smudge Nails ｜ Handmade Smudge Series(moq=30)</x:v>
      </x:c>
      <x:c r="D8242" s="18" t="str">
        <x:v>Size: XS / S / M / L</x:v>
      </x:c>
      <x:c r="E8242" s="25" t="str">
        <x:v>$2.99</x:v>
      </x:c>
      <x:c r="F8242" s="19" t="str">
        <x:v>30</x:v>
      </x:c>
    </x:row>
    <x:row r="8243" ht="93" customHeight="1">
      <x:c r="A8243" s="19" t="n">
        <x:v>8240</x:v>
      </x:c>
      <x:c r="B8243" s="22" t="e">
        <x:f>HYPERLINK("https://cdn.shopify.com/s/files/1/0918/6066/4603/files/f171807800c7e01b3db65ea57431c02d.jpg?v=1777456438","Open")</x:f>
        <x:v>HYPERLINK is not implemented. linkLocation=https://cdn.shopify.com/s/files/1/0918/6066/4603/files/f171807800c7e01b3db65ea57431c02d.jpg?v=1777456438, friendlyName=Open</x:v>
      </x:c>
      <x:c r="C8243" s="24" t="e">
        <x:f>HYPERLINK("https://365nails.com/products/365nails-gothic-black-silver-red-heart-skull-handmade-press-on-pedicure","365nails: ""Gothic Black Silver Red Heart Skull"" – handmade press-on nails")</x:f>
        <x:v>HYPERLINK is not implemented. linkLocation=https://365nails.com/products/365nails-gothic-black-silver-red-heart-skull-handmade-press-on-pedicure, friendlyName=365nails: "Gothic Black Silver Red Heart Skull" – handmade press-on nails</x:v>
      </x:c>
      <x:c r="D8243" s="18" t="str">
        <x:v>Size: XS / S / M / L</x:v>
      </x:c>
      <x:c r="E8243" s="25" t="str">
        <x:v>$4.99</x:v>
      </x:c>
      <x:c r="F8243" s="19" t="str">
        <x:v>3</x:v>
      </x:c>
    </x:row>
    <x:row r="8244" ht="93" customHeight="1">
      <x:c r="A8244" s="19" t="n">
        <x:v>8241</x:v>
      </x:c>
      <x:c r="B8244" s="22" t="e">
        <x:f>HYPERLINK("https://cdn.shopify.com/s/files/1/0918/6066/4603/files/6fac27188fb7b81309aba584e897aa3c.jpg?v=1777456494","Open")</x:f>
        <x:v>HYPERLINK is not implemented. linkLocation=https://cdn.shopify.com/s/files/1/0918/6066/4603/files/6fac27188fb7b81309aba584e897aa3c.jpg?v=1777456494, friendlyName=Open</x:v>
      </x:c>
      <x:c r="C8244" s="24" t="e">
        <x:f>HYPERLINK("https://365nails.com/products/365nails-gothic-burgundy-wing-skull-anchor-handmade-press-on-pedicure","365nails: ""Gothic Burgundy Wing Skull Anchor"" – handmade press-on nails")</x:f>
        <x:v>HYPERLINK is not implemented. linkLocation=https://365nails.com/products/365nails-gothic-burgundy-wing-skull-anchor-handmade-press-on-pedicure, friendlyName=365nails: "Gothic Burgundy Wing Skull Anchor" – handmade press-on nails</x:v>
      </x:c>
      <x:c r="D8244" s="18" t="str">
        <x:v>Size: XS / S / M / L</x:v>
      </x:c>
      <x:c r="E8244" s="25" t="str">
        <x:v>$4.99</x:v>
      </x:c>
      <x:c r="F8244" s="19" t="str">
        <x:v>3</x:v>
      </x:c>
    </x:row>
    <x:row r="8245" ht="93" customHeight="1">
      <x:c r="A8245" s="19" t="n">
        <x:v>8242</x:v>
      </x:c>
      <x:c r="B8245" s="22" t="e">
        <x:f>HYPERLINK("https://cdn.shopify.com/s/files/1/0918/6066/4603/files/6b4eb59ba7e9e78fe9bd6faaefcac1ae.jpg?v=1775275526","Open")</x:f>
        <x:v>HYPERLINK is not implemented. linkLocation=https://cdn.shopify.com/s/files/1/0918/6066/4603/files/6b4eb59ba7e9e78fe9bd6faaefcac1ae.jpg?v=1775275526, friendlyName=Open</x:v>
      </x:c>
      <x:c r="C8245" s="24" t="e">
        <x:f>HYPERLINK("https://365nails.com/products/amethyst-wave-silver-tidal-long-stiletto-press-on-nails","Amethyst Wave: ""Silver Tidal"" – Long Stiletto Press-on Nails")</x:f>
        <x:v>HYPERLINK is not implemented. linkLocation=https://365nails.com/products/amethyst-wave-silver-tidal-long-stiletto-press-on-nails, friendlyName=Amethyst Wave: "Silver Tidal" – Long Stiletto Press-on Nails</x:v>
      </x:c>
      <x:c r="D8245" s="18" t="str">
        <x:v>Size: XS / S / M / L</x:v>
      </x:c>
      <x:c r="E8245" s="25" t="str">
        <x:v>$3.99</x:v>
      </x:c>
      <x:c r="F8245" s="19" t="str">
        <x:v>3</x:v>
      </x:c>
    </x:row>
    <x:row r="8246" ht="93" customHeight="1">
      <x:c r="A8246" s="19" t="n">
        <x:v>8243</x:v>
      </x:c>
      <x:c r="B8246" s="22" t="e">
        <x:f>HYPERLINK("https://cdn.shopify.com/s/files/1/0918/6066/4603/files/7a5d99afb096f8c7afe911f7e38accab.jpg?v=1775224905","Open")</x:f>
        <x:v>HYPERLINK is not implemented. linkLocation=https://cdn.shopify.com/s/files/1/0918/6066/4603/files/7a5d99afb096f8c7afe911f7e38accab.jpg?v=1775224905, friendlyName=Open</x:v>
      </x:c>
      <x:c r="C8246" s="24" t="e">
        <x:f>HYPERLINK("https://365nails.com/products/gothic-noir-lace-veil-long-stiletto-press-on-nails","Gothic Noir: ""Lace Veil"" – Long Stiletto Press-on Nails")</x:f>
        <x:v>HYPERLINK is not implemented. linkLocation=https://365nails.com/products/gothic-noir-lace-veil-long-stiletto-press-on-nails, friendlyName=Gothic Noir: "Lace Veil" – Long Stiletto Press-on Nails</x:v>
      </x:c>
      <x:c r="D8246" s="18" t="str">
        <x:v>Size: XS / S / M / L</x:v>
      </x:c>
      <x:c r="E8246" s="25" t="str">
        <x:v>$3.99</x:v>
      </x:c>
      <x:c r="F8246" s="19" t="str">
        <x:v>3</x:v>
      </x:c>
    </x:row>
    <x:row r="8247" ht="93" customHeight="1">
      <x:c r="A8247" s="19" t="n">
        <x:v>8244</x:v>
      </x:c>
      <x:c r="B8247" s="22" t="e">
        <x:f>HYPERLINK("https://cdn.shopify.com/s/files/1/0918/6066/4603/files/O1CN01ur7eGH1HlWmxkAnmI__2545140798-0-cib.jpg?v=1776578830","Open")</x:f>
        <x:v>HYPERLINK is not implemented. linkLocation=https://cdn.shopify.com/s/files/1/0918/6066/4603/files/O1CN01ur7eGH1HlWmxkAnmI__2545140798-0-cib.jpg?v=1776578830, friendlyName=Open</x:v>
      </x:c>
      <x:c r="C8247" s="24" t="e">
        <x:f>HYPERLINK("https://365nails.com/products/365nails-black-ink-cloud-swirl-nail-art-stickers","365nails: ""Black Ink Cloud Swirl"" – nail art stickers")</x:f>
        <x:v>HYPERLINK is not implemented. linkLocation=https://365nails.com/products/365nails-black-ink-cloud-swirl-nail-art-stickers, friendlyName=365nails: "Black Ink Cloud Swirl" – nail art stickers</x:v>
      </x:c>
      <x:c r="D8247" s="18" t="str">
        <x:v>Specification type: Ms 138 / Ms 139</x:v>
      </x:c>
      <x:c r="E8247" s="25" t="str">
        <x:v>$1.09</x:v>
      </x:c>
      <x:c r="F8247" s="19" t="str">
        <x:v>5</x:v>
      </x:c>
    </x:row>
    <x:row r="8248" ht="93" customHeight="1">
      <x:c r="A8248" s="19" t="n">
        <x:v>8245</x:v>
      </x:c>
      <x:c r="B8248" s="22" t="e">
        <x:f>HYPERLINK("https://cdn.shopify.com/s/files/1/0918/6066/4603/files/O1CN01LS6nWu1HlWo34moNX__2545140798-0-cib.jpg?v=1776579185","Open")</x:f>
        <x:v>HYPERLINK is not implemented. linkLocation=https://cdn.shopify.com/s/files/1/0918/6066/4603/files/O1CN01LS6nWu1HlWo34moNX__2545140798-0-cib.jpg?v=1776579185, friendlyName=Open</x:v>
      </x:c>
      <x:c r="C8248" s="24" t="e">
        <x:f>HYPERLINK("https://365nails.com/products/365nails-pink-sweet-treat-nail-art-stickers","365nails: ""Pink Sweet Treat"" – nail art stickers")</x:f>
        <x:v>HYPERLINK is not implemented. linkLocation=https://365nails.com/products/365nails-pink-sweet-treat-nail-art-stickers, friendlyName=365nails: "Pink Sweet Treat" – nail art stickers</x:v>
      </x:c>
      <x:c r="D8248" s="18" t="str">
        <x:v>Specification type: To1297 / To1526</x:v>
      </x:c>
      <x:c r="E8248" s="25" t="str">
        <x:v>$1.23</x:v>
      </x:c>
      <x:c r="F8248" s="19" t="str">
        <x:v>5</x:v>
      </x:c>
    </x:row>
    <x:row r="8249" ht="93" customHeight="1">
      <x:c r="A8249" s="19" t="n">
        <x:v>8246</x:v>
      </x:c>
      <x:c r="B8249" s="22" t="e">
        <x:f>HYPERLINK("https://cdn.shopify.com/s/files/1/0918/6066/4603/files/d57741ad1bcd41947646da6885498757.jpg?v=1777456293","Open")</x:f>
        <x:v>HYPERLINK is not implemented. linkLocation=https://cdn.shopify.com/s/files/1/0918/6066/4603/files/d57741ad1bcd41947646da6885498757.jpg?v=1777456293, friendlyName=Open</x:v>
      </x:c>
      <x:c r="C8249" s="24" t="e">
        <x:f>HYPERLINK("https://365nails.com/products/365nails-gothic-red-snake-skull-cross-lantern-handmade-press-on-pedicure","365nails: ""Gothic Red Snake Skull Cross Lantern"" – handmade press-on nails")</x:f>
        <x:v>HYPERLINK is not implemented. linkLocation=https://365nails.com/products/365nails-gothic-red-snake-skull-cross-lantern-handmade-press-on-pedicure, friendlyName=365nails: "Gothic Red Snake Skull Cross Lantern" – handmade press-on nails</x:v>
      </x:c>
      <x:c r="D8249" s="18" t="str">
        <x:v>Size: XS / S / M / L</x:v>
      </x:c>
      <x:c r="E8249" s="25" t="str">
        <x:v>$4.99</x:v>
      </x:c>
      <x:c r="F8249" s="19" t="str">
        <x:v>3</x:v>
      </x:c>
    </x:row>
    <x:row r="8250" ht="93" customHeight="1">
      <x:c r="A8250" s="19" t="n">
        <x:v>8247</x:v>
      </x:c>
      <x:c r="B8250" s="22" t="e">
        <x:f>HYPERLINK("https://cdn.shopify.com/s/files/1/0918/6066/4603/files/1da3e233f9331a7ce53c5551839daf68.jpg?v=1777456344","Open")</x:f>
        <x:v>HYPERLINK is not implemented. linkLocation=https://cdn.shopify.com/s/files/1/0918/6066/4603/files/1da3e233f9331a7ce53c5551839daf68.jpg?v=1777456344, friendlyName=Open</x:v>
      </x:c>
      <x:c r="C8250" s="24" t="e">
        <x:f>HYPERLINK("https://365nails.com/products/365nails-gothic-red-black-skull-rose-spider-handmade-press-on-pedicure","365nails: ""Gothic Red Black Skull Rose Spider"" – handmade press-on nails")</x:f>
        <x:v>HYPERLINK is not implemented. linkLocation=https://365nails.com/products/365nails-gothic-red-black-skull-rose-spider-handmade-press-on-pedicure, friendlyName=365nails: "Gothic Red Black Skull Rose Spider" – handmade press-on nails</x:v>
      </x:c>
      <x:c r="D8250" s="18" t="str">
        <x:v>Size: XS / S / M / L</x:v>
      </x:c>
      <x:c r="E8250" s="25" t="str">
        <x:v>$4.99</x:v>
      </x:c>
      <x:c r="F8250" s="19" t="str">
        <x:v>3</x:v>
      </x:c>
    </x:row>
    <x:row r="8251" ht="93" customHeight="1">
      <x:c r="A8251" s="19" t="n">
        <x:v>8248</x:v>
      </x:c>
      <x:c r="B8251" s="22" t="e">
        <x:f>HYPERLINK("https://cdn.shopify.com/s/files/1/0918/6066/4603/files/30d3f36973ff3d14e394180398691d67.jpg?v=1777456376","Open")</x:f>
        <x:v>HYPERLINK is not implemented. linkLocation=https://cdn.shopify.com/s/files/1/0918/6066/4603/files/30d3f36973ff3d14e394180398691d67.jpg?v=1777456376, friendlyName=Open</x:v>
      </x:c>
      <x:c r="C8251" s="24" t="e">
        <x:f>HYPERLINK("https://365nails.com/products/365nails-gothic-red-skeleton-lion-dragon-handmade-press-on-pedicure","365nails: ""Gothic Red Skeleton Lion Dragon"" – handmade press-on nails")</x:f>
        <x:v>HYPERLINK is not implemented. linkLocation=https://365nails.com/products/365nails-gothic-red-skeleton-lion-dragon-handmade-press-on-pedicure, friendlyName=365nails: "Gothic Red Skeleton Lion Dragon" – handmade press-on nails</x:v>
      </x:c>
      <x:c r="D8251" s="18" t="str">
        <x:v>Size: XS / S / M / L</x:v>
      </x:c>
      <x:c r="E8251" s="25" t="str">
        <x:v>$4.99</x:v>
      </x:c>
      <x:c r="F8251" s="19" t="str">
        <x:v>3</x:v>
      </x:c>
    </x:row>
    <x:row r="8252" ht="93" customHeight="1">
      <x:c r="A8252" s="19" t="n">
        <x:v>8249</x:v>
      </x:c>
      <x:c r="B8252" s="22" t="e">
        <x:f>HYPERLINK("https://cdn.shopify.com/s/files/1/0918/6066/4603/files/ecef50e58a6b52d5ac3030ddcf51ce1f.jpg?v=1774085035","Open")</x:f>
        <x:v>HYPERLINK is not implemented. linkLocation=https://cdn.shopify.com/s/files/1/0918/6066/4603/files/ecef50e58a6b52d5ac3030ddcf51ce1f.jpg?v=1774085035, friendlyName=Open</x:v>
      </x:c>
      <x:c r="C8252" s="24" t="e">
        <x:f>HYPERLINK("https://365nails.com/products/mocha-polka-dot-long-sharp-stiletto-handmade-press-on-nails","""Mocha Polka Dot"" – Long Sharp Stiletto Handmade Press On Nails")</x:f>
        <x:v>HYPERLINK is not implemented. linkLocation=https://365nails.com/products/mocha-polka-dot-long-sharp-stiletto-handmade-press-on-nails, friendlyName="Mocha Polka Dot" – Long Sharp Stiletto Handmade Press On Nails</x:v>
      </x:c>
      <x:c r="D8252" s="18" t="str">
        <x:v>Size: XS / S / M / L</x:v>
      </x:c>
      <x:c r="E8252" s="25" t="str">
        <x:v>$3.99</x:v>
      </x:c>
      <x:c r="F8252" s="19" t="str">
        <x:v>5</x:v>
      </x:c>
    </x:row>
    <x:row r="8253" ht="93" customHeight="1">
      <x:c r="A8253" s="19" t="n">
        <x:v>8250</x:v>
      </x:c>
      <x:c r="B8253" s="22" t="e">
        <x:f>HYPERLINK("https://cdn.shopify.com/s/files/1/0918/6066/4603/files/74e430de31b97f9caba328564ced234b.jpg?v=1777802684","Open")</x:f>
        <x:v>HYPERLINK is not implemented. linkLocation=https://cdn.shopify.com/s/files/1/0918/6066/4603/files/74e430de31b97f9caba328564ced234b.jpg?v=1777802684, friendlyName=Open</x:v>
      </x:c>
      <x:c r="C8253" s="24" t="e">
        <x:f>HYPERLINK("https://365nails.com/products/365nails-blush-pink-gold-bow-flower-rhinestone-handmade-medium-squoval-press-on-nails","365nails: ""Blush Pink Gold Bow Flower Rhinestone"" – Handmade Medium Squoval Press-On Nails")</x:f>
        <x:v>HYPERLINK is not implemented. linkLocation=https://365nails.com/products/365nails-blush-pink-gold-bow-flower-rhinestone-handmade-medium-squoval-press-on-nails, friendlyName=365nails: "Blush Pink Gold Bow Flower Rhinestone" – Handmade Medium Squoval Press-On Nails</x:v>
      </x:c>
      <x:c r="D8253" s="18" t="str">
        <x:v>Size: XS / S / M / L</x:v>
      </x:c>
      <x:c r="E8253" s="25" t="str">
        <x:v>$3.49</x:v>
      </x:c>
      <x:c r="F8253" s="19" t="str">
        <x:v>5</x:v>
      </x:c>
    </x:row>
    <x:row r="8254" ht="93" customHeight="1">
      <x:c r="A8254" s="19" t="n">
        <x:v>8251</x:v>
      </x:c>
      <x:c r="B8254" s="22" t="e">
        <x:f>HYPERLINK("https://cdn.shopify.com/s/files/1/0918/6066/4603/files/621f35aac8c7ee41d5957a7ee2a23de9.jpg?v=1774270655","Open")</x:f>
        <x:v>HYPERLINK is not implemented. linkLocation=https://cdn.shopify.com/s/files/1/0918/6066/4603/files/621f35aac8c7ee41d5957a7ee2a23de9.jpg?v=1774270655, friendlyName=Open</x:v>
      </x:c>
      <x:c r="C8254" s="24" t="e">
        <x:f>HYPERLINK("https://365nails.com/products/cosmic-fatale-rose-quartz-cat-eye-long-sharp-stiletto-handmade-press-on-nails","Cosmic Fatale: ""Rose Quartz Cat-Eye"" – Long Sharp Stiletto Handmade Press On Nails")</x:f>
        <x:v>HYPERLINK is not implemented. linkLocation=https://365nails.com/products/cosmic-fatale-rose-quartz-cat-eye-long-sharp-stiletto-handmade-press-on-nails, friendlyName=Cosmic Fatale: "Rose Quartz Cat-Eye" – Long Sharp Stiletto Handmade Press On Nails</x:v>
      </x:c>
      <x:c r="D8254" s="18" t="str">
        <x:v>Size: XS / S / M / L</x:v>
      </x:c>
      <x:c r="E8254" s="25" t="str">
        <x:v>$3.99</x:v>
      </x:c>
      <x:c r="F8254" s="19" t="str">
        <x:v>5</x:v>
      </x:c>
    </x:row>
    <x:row r="8255" ht="93" customHeight="1">
      <x:c r="A8255" s="19" t="n">
        <x:v>8252</x:v>
      </x:c>
      <x:c r="B8255" s="22" t="e">
        <x:f>HYPERLINK("https://cdn.shopify.com/s/files/1/0918/6066/4603/files/dde5b80ee6e2f1541046bcaa9598bb20.jpg?v=1777456115","Open")</x:f>
        <x:v>HYPERLINK is not implemented. linkLocation=https://cdn.shopify.com/s/files/1/0918/6066/4603/files/dde5b80ee6e2f1541046bcaa9598bb20.jpg?v=1777456115, friendlyName=Open</x:v>
      </x:c>
      <x:c r="C8255" s="24" t="e">
        <x:f>HYPERLINK("https://365nails.com/products/365nails-gothic-blue-silver-skull-cross-snake-handmade-press-on-pedicure","365nails: ""Gothic Blue Silver Skull Cross Snake"" – handmade press-on nails")</x:f>
        <x:v>HYPERLINK is not implemented. linkLocation=https://365nails.com/products/365nails-gothic-blue-silver-skull-cross-snake-handmade-press-on-pedicure, friendlyName=365nails: "Gothic Blue Silver Skull Cross Snake" – handmade press-on nails</x:v>
      </x:c>
      <x:c r="D8255" s="18" t="str">
        <x:v>Size: XS / S / M / L</x:v>
      </x:c>
      <x:c r="E8255" s="25" t="str">
        <x:v>$4.99</x:v>
      </x:c>
      <x:c r="F8255" s="19" t="str">
        <x:v>3</x:v>
      </x:c>
    </x:row>
    <x:row r="8256" ht="93" customHeight="1">
      <x:c r="A8256" s="19" t="n">
        <x:v>8253</x:v>
      </x:c>
      <x:c r="B8256" s="22" t="e">
        <x:f>HYPERLINK("https://cdn.shopify.com/s/files/1/0918/6066/4603/files/55fbc071db92ea914999b124e3d0d284.jpg?v=1774270887","Open")</x:f>
        <x:v>HYPERLINK is not implemented. linkLocation=https://cdn.shopify.com/s/files/1/0918/6066/4603/files/55fbc071db92ea914999b124e3d0d284.jpg?v=1774270887, friendlyName=Open</x:v>
      </x:c>
      <x:c r="C8256" s="24" t="e">
        <x:f>HYPERLINK("https://365nails.com/products/cosmic-fatale-lavender-glitter-vibe-long-sharp-stiletto-handmade-press-on-nails","Cosmic Fatale: ""Lavender Glitter Vibe"" – Long Sharp Stiletto Handmade Press On Nails")</x:f>
        <x:v>HYPERLINK is not implemented. linkLocation=https://365nails.com/products/cosmic-fatale-lavender-glitter-vibe-long-sharp-stiletto-handmade-press-on-nails, friendlyName=Cosmic Fatale: "Lavender Glitter Vibe" – Long Sharp Stiletto Handmade Press On Nails</x:v>
      </x:c>
      <x:c r="D8256" s="18" t="str">
        <x:v>Size: XS / S / M / L</x:v>
      </x:c>
      <x:c r="E8256" s="25" t="str">
        <x:v>$3.99</x:v>
      </x:c>
      <x:c r="F8256" s="19" t="str">
        <x:v>5</x:v>
      </x:c>
    </x:row>
    <x:row r="8257" ht="93" customHeight="1">
      <x:c r="A8257" s="19" t="n">
        <x:v>8254</x:v>
      </x:c>
      <x:c r="B8257" s="22" t="e">
        <x:f>HYPERLINK("https://cdn.shopify.com/s/files/1/0918/6066/4603/files/ee8fe221a60c19ed663fbce7abd75fff.jpg?v=1774270355","Open")</x:f>
        <x:v>HYPERLINK is not implemented. linkLocation=https://cdn.shopify.com/s/files/1/0918/6066/4603/files/ee8fe221a60c19ed663fbce7abd75fff.jpg?v=1774270355, friendlyName=Open</x:v>
      </x:c>
      <x:c r="C8257" s="24" t="e">
        <x:f>HYPERLINK("https://365nails.com/products/cosmic-fatale-teal-stardust-long-sharp-stiletto-handmade-press-on-nails","Cosmic Fatale: ""Teal Stardust"" – Long Sharp Stiletto Handmade Press On Nails")</x:f>
        <x:v>HYPERLINK is not implemented. linkLocation=https://365nails.com/products/cosmic-fatale-teal-stardust-long-sharp-stiletto-handmade-press-on-nails, friendlyName=Cosmic Fatale: "Teal Stardust" – Long Sharp Stiletto Handmade Press On Nails</x:v>
      </x:c>
      <x:c r="D8257" s="18" t="str">
        <x:v>Size: XS / S / M / L</x:v>
      </x:c>
      <x:c r="E8257" s="25" t="str">
        <x:v>$3.99</x:v>
      </x:c>
      <x:c r="F8257" s="19" t="str">
        <x:v>5</x:v>
      </x:c>
    </x:row>
    <x:row r="8258" ht="93" customHeight="1">
      <x:c r="A8258" s="19" t="n">
        <x:v>8255</x:v>
      </x:c>
      <x:c r="B8258" s="22" t="e">
        <x:f>HYPERLINK("https://cdn.shopify.com/s/files/1/0918/6066/4603/files/6491d3c4f85dac99c7c11b8a26159b2f.jpg?v=1769063395","Open")</x:f>
        <x:v>HYPERLINK is not implemented. linkLocation=https://cdn.shopify.com/s/files/1/0918/6066/4603/files/6491d3c4f85dac99c7c11b8a26159b2f.jpg?v=1769063395, friendlyName=Open</x:v>
      </x:c>
      <x:c r="C8258" s="24" t="e">
        <x:f>HYPERLINK("https://365nails.com/products/oxidized-copper-molten-gold-vintage-geo-art-blue-brown-nails-handmade-smudge-series","Oxidized Copper &amp; Molten Gold Vintage Geo-Art Blue &amp; Brown Nails ｜ Handmade Smudge Series(moq=30)")</x:f>
        <x:v>HYPERLINK is not implemented. linkLocation=https://365nails.com/products/oxidized-copper-molten-gold-vintage-geo-art-blue-brown-nails-handmade-smudge-series, friendlyName=Oxidized Copper &amp; Molten Gold Vintage Geo-Art Blue &amp; Brown Nails ｜ Handmade Smudge Series(moq=30)</x:v>
      </x:c>
      <x:c r="D8258" s="18" t="str">
        <x:v>Size: XS / S / M / L</x:v>
      </x:c>
      <x:c r="E8258" s="25" t="str">
        <x:v>$2.99</x:v>
      </x:c>
      <x:c r="F8258" s="19" t="str">
        <x:v>30</x:v>
      </x:c>
    </x:row>
    <x:row r="8259" ht="93" customHeight="1">
      <x:c r="A8259" s="19" t="n">
        <x:v>8256</x:v>
      </x:c>
      <x:c r="B8259" s="22" t="e">
        <x:f>HYPERLINK("https://cdn.shopify.com/s/files/1/0918/6066/4603/files/37f6d9ff2307a49ab3d2b5848dc16028.jpg?v=1774270494","Open")</x:f>
        <x:v>HYPERLINK is not implemented. linkLocation=https://cdn.shopify.com/s/files/1/0918/6066/4603/files/37f6d9ff2307a49ab3d2b5848dc16028.jpg?v=1774270494, friendlyName=Open</x:v>
      </x:c>
      <x:c r="C8259" s="24" t="e">
        <x:f>HYPERLINK("https://365nails.com/products/cosmic-fatale-rose-stardust-long-sharp-stiletto-handmade-press-on-nails","Cosmic Fatale: ""Rose Stardust"" – Long Sharp Stiletto Handmade Press On Nails")</x:f>
        <x:v>HYPERLINK is not implemented. linkLocation=https://365nails.com/products/cosmic-fatale-rose-stardust-long-sharp-stiletto-handmade-press-on-nails, friendlyName=Cosmic Fatale: "Rose Stardust" – Long Sharp Stiletto Handmade Press On Nails</x:v>
      </x:c>
      <x:c r="D8259" s="18" t="str">
        <x:v>Size: XS / S / M / L</x:v>
      </x:c>
      <x:c r="E8259" s="25" t="str">
        <x:v>$3.99</x:v>
      </x:c>
      <x:c r="F8259" s="19" t="str">
        <x:v>5</x:v>
      </x:c>
    </x:row>
    <x:row r="8260" ht="93" customHeight="1">
      <x:c r="A8260" s="19" t="n">
        <x:v>8257</x:v>
      </x:c>
      <x:c r="B8260" s="22" t="e">
        <x:f>HYPERLINK("https://cdn.shopify.com/s/files/1/0918/6066/4603/files/e4d797826d8e5dfdd2ca349826b68ac3.jpg?v=1775225239","Open")</x:f>
        <x:v>HYPERLINK is not implemented. linkLocation=https://cdn.shopify.com/s/files/1/0918/6066/4603/files/e4d797826d8e5dfdd2ca349826b68ac3.jpg?v=1775225239, friendlyName=Open</x:v>
      </x:c>
      <x:c r="C8260" s="24" t="e">
        <x:f>HYPERLINK("https://365nails.com/products/gothic-mix-dark-fantasy-long-coffin-press-on-nails","Gothic Mix: ""Dark Fantasy"" – Long Coffin Press-on Nails")</x:f>
        <x:v>HYPERLINK is not implemented. linkLocation=https://365nails.com/products/gothic-mix-dark-fantasy-long-coffin-press-on-nails, friendlyName=Gothic Mix: "Dark Fantasy" – Long Coffin Press-on Nails</x:v>
      </x:c>
      <x:c r="D8260" s="18" t="str">
        <x:v>Size: XS / S / M / L</x:v>
      </x:c>
      <x:c r="E8260" s="25" t="str">
        <x:v>$3.99</x:v>
      </x:c>
      <x:c r="F8260" s="19" t="str">
        <x:v>3</x:v>
      </x:c>
    </x:row>
    <x:row r="8261" ht="93" customHeight="1">
      <x:c r="A8261" s="19" t="n">
        <x:v>8258</x:v>
      </x:c>
      <x:c r="B8261" s="22" t="e">
        <x:f>HYPERLINK("https://cdn.shopify.com/s/files/1/0918/6066/4603/files/de277d1f102de4d6c8767b4b7ea70475.jpg?v=1777455726","Open")</x:f>
        <x:v>HYPERLINK is not implemented. linkLocation=https://cdn.shopify.com/s/files/1/0918/6066/4603/files/de277d1f102de4d6c8767b4b7ea70475.jpg?v=1777455726, friendlyName=Open</x:v>
      </x:c>
      <x:c r="C8261" s="24" t="e">
        <x:f>HYPERLINK("https://365nails.com/products/365nails-gothic-red-spider-cross-snake-rose-handmade-press-on-pedicure","365nails: ""Gothic Red Spider Cross Snake Rose"" – handmade press-on nails")</x:f>
        <x:v>HYPERLINK is not implemented. linkLocation=https://365nails.com/products/365nails-gothic-red-spider-cross-snake-rose-handmade-press-on-pedicure, friendlyName=365nails: "Gothic Red Spider Cross Snake Rose" – handmade press-on nails</x:v>
      </x:c>
      <x:c r="D8261" s="18" t="str">
        <x:v>Size: XS / S / M / L</x:v>
      </x:c>
      <x:c r="E8261" s="25" t="str">
        <x:v>$4.99</x:v>
      </x:c>
      <x:c r="F8261" s="19" t="str">
        <x:v>3</x:v>
      </x:c>
    </x:row>
    <x:row r="8262" ht="93" customHeight="1">
      <x:c r="A8262" s="19" t="n">
        <x:v>8259</x:v>
      </x:c>
      <x:c r="B8262" s="22" t="e">
        <x:f>HYPERLINK("https://cdn.shopify.com/s/files/1/0918/6066/4603/files/6e52d995cef796a5802fd2e338712b3c.jpg?v=1774312372","Open")</x:f>
        <x:v>HYPERLINK is not implemented. linkLocation=https://cdn.shopify.com/s/files/1/0918/6066/4603/files/6e52d995cef796a5802fd2e338712b3c.jpg?v=1774312372, friendlyName=Open</x:v>
      </x:c>
      <x:c r="C8262" s="24" t="e">
        <x:f>HYPERLINK("https://365nails.com/products/cosmic-fatale-ice-queen-glow-long-sharp-stiletto-handmade-press-on-nails","Cosmic Fatale: ""Ice Queen Glow"" – Long Sharp Stiletto Handmade Press On Nails")</x:f>
        <x:v>HYPERLINK is not implemented. linkLocation=https://365nails.com/products/cosmic-fatale-ice-queen-glow-long-sharp-stiletto-handmade-press-on-nails, friendlyName=Cosmic Fatale: "Ice Queen Glow" – Long Sharp Stiletto Handmade Press On Nails</x:v>
      </x:c>
      <x:c r="D8262" s="18" t="str">
        <x:v>Size: XS / S / M / L</x:v>
      </x:c>
      <x:c r="E8262" s="25" t="str">
        <x:v>$3.99</x:v>
      </x:c>
      <x:c r="F8262" s="19" t="str">
        <x:v>5</x:v>
      </x:c>
    </x:row>
    <x:row r="8263" ht="93" customHeight="1">
      <x:c r="A8263" s="19" t="n">
        <x:v>8260</x:v>
      </x:c>
      <x:c r="B8263" s="22" t="e">
        <x:f>HYPERLINK("https://cdn.shopify.com/s/files/1/0918/6066/4603/files/66e54f91db8397f76ea0098cfb665219.jpg?v=1769067376","Open")</x:f>
        <x:v>HYPERLINK is not implemented. linkLocation=https://cdn.shopify.com/s/files/1/0918/6066/4603/files/66e54f91db8397f76ea0098cfb665219.jpg?v=1769067376, friendlyName=Open</x:v>
      </x:c>
      <x:c r="C8263" s="24" t="e">
        <x:f>HYPERLINK("https://365nails.com/products/gilded-jade-forest-trail-icy-emerald-green-gold-foil-smudge-nails-handmade-smudge-series","Gilded Jade &amp; Forest Trail Icy Emerald Green &amp; Gold Foil Smudge Nails ｜ Handmade Smudge Series(moq=30)")</x:f>
        <x:v>HYPERLINK is not implemented. linkLocation=https://365nails.com/products/gilded-jade-forest-trail-icy-emerald-green-gold-foil-smudge-nails-handmade-smudge-series, friendlyName=Gilded Jade &amp; Forest Trail Icy Emerald Green &amp; Gold Foil Smudge Nails ｜ Handmade Smudge Series(moq=30)</x:v>
      </x:c>
      <x:c r="D8263" s="18" t="str">
        <x:v>Size: XS / S / M / L</x:v>
      </x:c>
      <x:c r="E8263" s="25" t="str">
        <x:v>$2.99</x:v>
      </x:c>
      <x:c r="F8263" s="19" t="str">
        <x:v>30</x:v>
      </x:c>
    </x:row>
    <x:row r="8264" ht="93" customHeight="1">
      <x:c r="A8264" s="19" t="n">
        <x:v>8261</x:v>
      </x:c>
      <x:c r="B8264" s="22" t="e">
        <x:f>HYPERLINK("https://cdn.shopify.com/s/files/1/0918/6066/4603/files/111c9bea8dc5470e47d050db01469782.jpg?v=1775885987","Open")</x:f>
        <x:v>HYPERLINK is not implemented. linkLocation=https://cdn.shopify.com/s/files/1/0918/6066/4603/files/111c9bea8dc5470e47d050db01469782.jpg?v=1775885987, friendlyName=Open</x:v>
      </x:c>
      <x:c r="C8264" s="24" t="e">
        <x:f>HYPERLINK("https://365nails.com/products/365nails-chrome-cross-stiletto-handmade-long-sharp-stiletto-nails","365nails: ""Chrome Cross Stiletto"" – Handmade Long Sharp Stiletto Nails")</x:f>
        <x:v>HYPERLINK is not implemented. linkLocation=https://365nails.com/products/365nails-chrome-cross-stiletto-handmade-long-sharp-stiletto-nails, friendlyName=365nails: "Chrome Cross Stiletto" – Handmade Long Sharp Stiletto Nails</x:v>
      </x:c>
      <x:c r="D8264" s="18" t="str">
        <x:v>Size: XS / S / M / L</x:v>
      </x:c>
      <x:c r="E8264" s="25" t="str">
        <x:v>$3.99</x:v>
      </x:c>
      <x:c r="F8264" s="19" t="str">
        <x:v>3</x:v>
      </x:c>
    </x:row>
    <x:row r="8265" ht="93" customHeight="1">
      <x:c r="A8265" s="19" t="n">
        <x:v>8262</x:v>
      </x:c>
      <x:c r="B8265" s="22" t="e">
        <x:f>HYPERLINK("https://cdn.shopify.com/s/files/1/0918/6066/4603/files/0cd1501200900bd1789ede18a51ce014.jpg?v=1774085002","Open")</x:f>
        <x:v>HYPERLINK is not implemented. linkLocation=https://cdn.shopify.com/s/files/1/0918/6066/4603/files/0cd1501200900bd1789ede18a51ce014.jpg?v=1774085002, friendlyName=Open</x:v>
      </x:c>
      <x:c r="C8265" s="24" t="e">
        <x:f>HYPERLINK("https://365nails.com/products/blush-thorn-vein-long-sharp-stiletto-handmade-press-on-nails","""Blush Thorn Vein"" – Long Sharp Stiletto Handmade Press On Nails")</x:f>
        <x:v>HYPERLINK is not implemented. linkLocation=https://365nails.com/products/blush-thorn-vein-long-sharp-stiletto-handmade-press-on-nails, friendlyName="Blush Thorn Vein" – Long Sharp Stiletto Handmade Press On Nails</x:v>
      </x:c>
      <x:c r="D8265" s="18" t="str">
        <x:v>Size: XS / S / M / L</x:v>
      </x:c>
      <x:c r="E8265" s="25" t="str">
        <x:v>$3.99</x:v>
      </x:c>
      <x:c r="F8265" s="19" t="str">
        <x:v>5</x:v>
      </x:c>
    </x:row>
    <x:row r="8266" ht="93" customHeight="1">
      <x:c r="A8266" s="19" t="n">
        <x:v>8263</x:v>
      </x:c>
      <x:c r="B8266" s="22" t="e">
        <x:f>HYPERLINK("https://cdn.shopify.com/s/files/1/0918/6066/4603/files/62f2e7bd77fb4d46d581b1c24ae89bb8.jpg?v=1775886076","Open")</x:f>
        <x:v>HYPERLINK is not implemented. linkLocation=https://cdn.shopify.com/s/files/1/0918/6066/4603/files/62f2e7bd77fb4d46d581b1c24ae89bb8.jpg?v=1775886076, friendlyName=Open</x:v>
      </x:c>
      <x:c r="C8266" s="24" t="e">
        <x:f>HYPERLINK("https://365nails.com/products/365nails-blush-glitter-stiletto-handmade-long-sharp-stiletto-nails","365nails: ""Blush Glitter Stiletto"" – Handmade Long Sharp Stiletto Nails")</x:f>
        <x:v>HYPERLINK is not implemented. linkLocation=https://365nails.com/products/365nails-blush-glitter-stiletto-handmade-long-sharp-stiletto-nails, friendlyName=365nails: "Blush Glitter Stiletto" – Handmade Long Sharp Stiletto Nails</x:v>
      </x:c>
      <x:c r="D8266" s="18" t="str">
        <x:v>Size: XS / S / M / L</x:v>
      </x:c>
      <x:c r="E8266" s="25" t="str">
        <x:v>$3.99</x:v>
      </x:c>
      <x:c r="F8266" s="19" t="str">
        <x:v>3</x:v>
      </x:c>
    </x:row>
    <x:row r="8267" ht="93" customHeight="1">
      <x:c r="A8267" s="19" t="n">
        <x:v>8264</x:v>
      </x:c>
      <x:c r="B8267" s="22" t="e">
        <x:f>HYPERLINK("https://cdn.shopify.com/s/files/1/0918/6066/4603/files/ba251c4afd0cfd3d0b14b6c9256d34cc.jpg?v=1774271120","Open")</x:f>
        <x:v>HYPERLINK is not implemented. linkLocation=https://cdn.shopify.com/s/files/1/0918/6066/4603/files/ba251c4afd0cfd3d0b14b6c9256d34cc.jpg?v=1774271120, friendlyName=Open</x:v>
      </x:c>
      <x:c r="C8267" s="24" t="e">
        <x:f>HYPERLINK("https://365nails.com/products/cosmic-fatale-icy-blue-lily-glow-long-sharp-stiletto-handmade-press-on-nails","Cosmic Fatale: ""Icy Blue Lily Glow"" – Long Sharp Stiletto Handmade Press On Nails")</x:f>
        <x:v>HYPERLINK is not implemented. linkLocation=https://365nails.com/products/cosmic-fatale-icy-blue-lily-glow-long-sharp-stiletto-handmade-press-on-nails, friendlyName=Cosmic Fatale: "Icy Blue Lily Glow" – Long Sharp Stiletto Handmade Press On Nails</x:v>
      </x:c>
      <x:c r="D8267" s="18" t="str">
        <x:v>Size: XS / S / M / L</x:v>
      </x:c>
      <x:c r="E8267" s="25" t="str">
        <x:v>$3.99</x:v>
      </x:c>
      <x:c r="F8267" s="19" t="str">
        <x:v>5</x:v>
      </x:c>
    </x:row>
    <x:row r="8268" ht="93" customHeight="1">
      <x:c r="A8268" s="19" t="n">
        <x:v>8265</x:v>
      </x:c>
      <x:c r="B8268" s="22" t="e">
        <x:f>HYPERLINK("https://cdn.shopify.com/s/files/1/0918/6066/4603/files/c38cdc7245a0a631b334c03993218ff3.jpg?v=1774272229","Open")</x:f>
        <x:v>HYPERLINK is not implemented. linkLocation=https://cdn.shopify.com/s/files/1/0918/6066/4603/files/c38cdc7245a0a631b334c03993218ff3.jpg?v=1774272229, friendlyName=Open</x:v>
      </x:c>
      <x:c r="C8268" s="24" t="e">
        <x:f>HYPERLINK("https://365nails.com/products/cosmic-fatale-chocolate-shimmer-escape-long-sharp-stiletto-handmade-press-on-nails","Cosmic Fatale: ""Chocolate Shimmer Escape"" – Long Sharp Stiletto Handmade Press On Nails")</x:f>
        <x:v>HYPERLINK is not implemented. linkLocation=https://365nails.com/products/cosmic-fatale-chocolate-shimmer-escape-long-sharp-stiletto-handmade-press-on-nails, friendlyName=Cosmic Fatale: "Chocolate Shimmer Escape" – Long Sharp Stiletto Handmade Press On Nails</x:v>
      </x:c>
      <x:c r="D8268" s="18" t="str">
        <x:v>Size: XS / S / M / L</x:v>
      </x:c>
      <x:c r="E8268" s="25" t="str">
        <x:v>$3.99</x:v>
      </x:c>
      <x:c r="F8268" s="19" t="str">
        <x:v>5</x:v>
      </x:c>
    </x:row>
    <x:row r="8269" ht="93" customHeight="1">
      <x:c r="A8269" s="19" t="n">
        <x:v>8266</x:v>
      </x:c>
      <x:c r="B8269" s="22" t="e">
        <x:f>HYPERLINK("https://cdn.shopify.com/s/files/1/0918/6066/4603/files/a109a925aeb1a33729a50e84c6093154.jpg?v=1774271209","Open")</x:f>
        <x:v>HYPERLINK is not implemented. linkLocation=https://cdn.shopify.com/s/files/1/0918/6066/4603/files/a109a925aeb1a33729a50e84c6093154.jpg?v=1774271209, friendlyName=Open</x:v>
      </x:c>
      <x:c r="C8269" s="24" t="e">
        <x:f>HYPERLINK("https://365nails.com/products/cosmic-fatale-mocha-marble-flow-long-sharp-stiletto-handmade-press-on-nails","Cosmic Fatale: ""Mocha Marble Flow"" – Long Sharp Stiletto Handmade Press On Nails")</x:f>
        <x:v>HYPERLINK is not implemented. linkLocation=https://365nails.com/products/cosmic-fatale-mocha-marble-flow-long-sharp-stiletto-handmade-press-on-nails, friendlyName=Cosmic Fatale: "Mocha Marble Flow" – Long Sharp Stiletto Handmade Press On Nails</x:v>
      </x:c>
      <x:c r="D8269" s="18" t="str">
        <x:v>Size: XS / S / M / L</x:v>
      </x:c>
      <x:c r="E8269" s="25" t="str">
        <x:v>$3.99</x:v>
      </x:c>
      <x:c r="F8269" s="19" t="str">
        <x:v>5</x:v>
      </x:c>
    </x:row>
    <x:row r="8270" ht="93" customHeight="1">
      <x:c r="A8270" s="19" t="n">
        <x:v>8267</x:v>
      </x:c>
      <x:c r="B8270" s="22" t="e">
        <x:f>HYPERLINK("https://cdn.shopify.com/s/files/1/0918/6066/4603/files/0323d08ad45447eaaa0c1edf363eb19f.jpg?v=1775886187","Open")</x:f>
        <x:v>HYPERLINK is not implemented. linkLocation=https://cdn.shopify.com/s/files/1/0918/6066/4603/files/0323d08ad45447eaaa0c1edf363eb19f.jpg?v=1775886187, friendlyName=Open</x:v>
      </x:c>
      <x:c r="C8270" s="24" t="e">
        <x:f>HYPERLINK("https://365nails.com/products/365nails-rose-cross-stiletto-handmade-long-sharp-stiletto-nails","365nails: ""Rose Cross Stiletto"" – Handmade Long Sharp Stiletto Nails")</x:f>
        <x:v>HYPERLINK is not implemented. linkLocation=https://365nails.com/products/365nails-rose-cross-stiletto-handmade-long-sharp-stiletto-nails, friendlyName=365nails: "Rose Cross Stiletto" – Handmade Long Sharp Stiletto Nails</x:v>
      </x:c>
      <x:c r="D8270" s="18" t="str">
        <x:v>Size: XS / S / M / L</x:v>
      </x:c>
      <x:c r="E8270" s="25" t="str">
        <x:v>$3.99</x:v>
      </x:c>
      <x:c r="F8270" s="19" t="str">
        <x:v>3</x:v>
      </x:c>
    </x:row>
    <x:row r="8271" ht="93" customHeight="1">
      <x:c r="A8271" s="19" t="n">
        <x:v>8268</x:v>
      </x:c>
      <x:c r="B8271" s="22" t="e">
        <x:f>HYPERLINK("https://cdn.shopify.com/s/files/1/0918/6066/4603/files/838631c0bc55500b06b100f95f50f262.jpg?v=1777517510","Open")</x:f>
        <x:v>HYPERLINK is not implemented. linkLocation=https://cdn.shopify.com/s/files/1/0918/6066/4603/files/838631c0bc55500b06b100f95f50f262.jpg?v=1777517510, friendlyName=Open</x:v>
      </x:c>
      <x:c r="C8271" s="24" t="e">
        <x:f>HYPERLINK("https://365nails.com/products/365nails-gothic-night-bloom-handmade-press-on-nails","365nails: ""Gothic Night Bloom"" – handmade press-on nails")</x:f>
        <x:v>HYPERLINK is not implemented. linkLocation=https://365nails.com/products/365nails-gothic-night-bloom-handmade-press-on-nails, friendlyName=365nails: "Gothic Night Bloom" – handmade press-on nails</x:v>
      </x:c>
      <x:c r="D8271" s="18" t="str">
        <x:v>Size: XS / S / M / L</x:v>
      </x:c>
      <x:c r="E8271" s="25" t="str">
        <x:v>$4.99</x:v>
      </x:c>
      <x:c r="F8271" s="19" t="str">
        <x:v>3</x:v>
      </x:c>
    </x:row>
    <x:row r="8272" ht="93" customHeight="1">
      <x:c r="A8272" s="19" t="n">
        <x:v>8269</x:v>
      </x:c>
      <x:c r="B8272" s="22" t="e">
        <x:f>HYPERLINK("https://cdn.shopify.com/s/files/1/0918/6066/4603/files/939aaf6bf5c7220208e485fa3915a6b1.jpg?v=1777517554","Open")</x:f>
        <x:v>HYPERLINK is not implemented. linkLocation=https://cdn.shopify.com/s/files/1/0918/6066/4603/files/939aaf6bf5c7220208e485fa3915a6b1.jpg?v=1777517554, friendlyName=Open</x:v>
      </x:c>
      <x:c r="C8272" s="24" t="e">
        <x:f>HYPERLINK("https://365nails.com/products/365nails-gothic-dainty-pink-ribbon-bow-handmade-press-on-nails","365nails: ""Gothic Dainty Pink Ribbon Bow"" – handmade press-on nails")</x:f>
        <x:v>HYPERLINK is not implemented. linkLocation=https://365nails.com/products/365nails-gothic-dainty-pink-ribbon-bow-handmade-press-on-nails, friendlyName=365nails: "Gothic Dainty Pink Ribbon Bow" – handmade press-on nails</x:v>
      </x:c>
      <x:c r="D8272" s="18" t="str">
        <x:v>Size: XS / S / M / L</x:v>
      </x:c>
      <x:c r="E8272" s="25" t="str">
        <x:v>$4.99</x:v>
      </x:c>
      <x:c r="F8272" s="19" t="str">
        <x:v>3</x:v>
      </x:c>
    </x:row>
    <x:row r="8273" ht="93" customHeight="1">
      <x:c r="A8273" s="19" t="n">
        <x:v>8270</x:v>
      </x:c>
      <x:c r="B8273" s="22" t="e">
        <x:f>HYPERLINK("https://cdn.shopify.com/s/files/1/0918/6066/4603/files/b9cbacc46ccfe6354983d43c47753344.jpg?v=1774271432","Open")</x:f>
        <x:v>HYPERLINK is not implemented. linkLocation=https://cdn.shopify.com/s/files/1/0918/6066/4603/files/b9cbacc46ccfe6354983d43c47753344.jpg?v=1774271432, friendlyName=Open</x:v>
      </x:c>
      <x:c r="C8273" s="24" t="e">
        <x:f>HYPERLINK("https://365nails.com/products/cosmic-fatale-ice-python-edge-long-sharp-stiletto-handmade-press-on-nails","Cosmic Fatale: ""Ice Python Edge"" – Long Sharp Stiletto Handmade Press On Nails")</x:f>
        <x:v>HYPERLINK is not implemented. linkLocation=https://365nails.com/products/cosmic-fatale-ice-python-edge-long-sharp-stiletto-handmade-press-on-nails, friendlyName=Cosmic Fatale: "Ice Python Edge" – Long Sharp Stiletto Handmade Press On Nails</x:v>
      </x:c>
      <x:c r="D8273" s="18" t="str">
        <x:v>Size: XS / S / M / L</x:v>
      </x:c>
      <x:c r="E8273" s="25" t="str">
        <x:v>$3.99</x:v>
      </x:c>
      <x:c r="F8273" s="19" t="str">
        <x:v>5</x:v>
      </x:c>
    </x:row>
    <x:row r="8274" ht="93" customHeight="1">
      <x:c r="A8274" s="19" t="n">
        <x:v>8271</x:v>
      </x:c>
      <x:c r="B8274" s="22" t="e">
        <x:f>HYPERLINK("https://cdn.shopify.com/s/files/1/0918/6066/4603/files/2ee36a6edc8cb90b3fbe52f379842c57.jpg?v=1775886878","Open")</x:f>
        <x:v>HYPERLINK is not implemented. linkLocation=https://cdn.shopify.com/s/files/1/0918/6066/4603/files/2ee36a6edc8cb90b3fbe52f379842c57.jpg?v=1775886878, friendlyName=Open</x:v>
      </x:c>
      <x:c r="C8274" s="24" t="e">
        <x:f>HYPERLINK("https://365nails.com/products/365nails-blush-ombre-stiletto-handmade-long-sharp-stiletto-nails","365nails: ""Blush Ombre Stiletto"" – Handmade Long Sharp Stiletto Nails")</x:f>
        <x:v>HYPERLINK is not implemented. linkLocation=https://365nails.com/products/365nails-blush-ombre-stiletto-handmade-long-sharp-stiletto-nails, friendlyName=365nails: "Blush Ombre Stiletto" – Handmade Long Sharp Stiletto Nails</x:v>
      </x:c>
      <x:c r="D8274" s="18" t="str">
        <x:v>Size: XS / S / M / L</x:v>
      </x:c>
      <x:c r="E8274" s="25" t="str">
        <x:v>$3.99</x:v>
      </x:c>
      <x:c r="F8274" s="19" t="str">
        <x:v>3</x:v>
      </x:c>
    </x:row>
    <x:row r="8275" ht="93" customHeight="1">
      <x:c r="A8275" s="19" t="n">
        <x:v>8272</x:v>
      </x:c>
      <x:c r="B8275" s="22" t="e">
        <x:f>HYPERLINK("https://cdn.shopify.com/s/files/1/0918/6066/4603/files/37a53144fc1512a603c8311c4fe21fdf.jpg?v=1775886405","Open")</x:f>
        <x:v>HYPERLINK is not implemented. linkLocation=https://cdn.shopify.com/s/files/1/0918/6066/4603/files/37a53144fc1512a603c8311c4fe21fdf.jpg?v=1775886405, friendlyName=Open</x:v>
      </x:c>
      <x:c r="C8275" s="24" t="e">
        <x:f>HYPERLINK("https://365nails.com/products/365nails-eternal-echoes-stiletto-handmade-long-sharp-stiletto-nails","365nails: ""Eternal Echoes Stiletto"" – Handmade Long Sharp Stiletto Nails")</x:f>
        <x:v>HYPERLINK is not implemented. linkLocation=https://365nails.com/products/365nails-eternal-echoes-stiletto-handmade-long-sharp-stiletto-nails, friendlyName=365nails: "Eternal Echoes Stiletto" – Handmade Long Sharp Stiletto Nails</x:v>
      </x:c>
      <x:c r="D8275" s="18" t="str">
        <x:v>Size: XS / S / M / L</x:v>
      </x:c>
      <x:c r="E8275" s="25" t="str">
        <x:v>$3.99</x:v>
      </x:c>
      <x:c r="F8275" s="19" t="str">
        <x:v>3</x:v>
      </x:c>
    </x:row>
    <x:row r="8276" ht="93" customHeight="1">
      <x:c r="A8276" s="19" t="n">
        <x:v>8273</x:v>
      </x:c>
      <x:c r="B8276" s="22" t="e">
        <x:f>HYPERLINK("https://cdn.shopify.com/s/files/1/0918/6066/4603/files/4f56877f09f77d7d1ad5b8b197cb7b84.jpg?v=1775888057","Open")</x:f>
        <x:v>HYPERLINK is not implemented. linkLocation=https://cdn.shopify.com/s/files/1/0918/6066/4603/files/4f56877f09f77d7d1ad5b8b197cb7b84.jpg?v=1775888057, friendlyName=Open</x:v>
      </x:c>
      <x:c r="C8276" s="24" t="e">
        <x:f>HYPERLINK("https://365nails.com/products/365nails-plum-flower-stiletto-handmade-long-sharp-stiletto-nails","365nails: ""Plum Flower Stiletto"" – Handmade Long Sharp Stiletto Nails")</x:f>
        <x:v>HYPERLINK is not implemented. linkLocation=https://365nails.com/products/365nails-plum-flower-stiletto-handmade-long-sharp-stiletto-nails, friendlyName=365nails: "Plum Flower Stiletto" – Handmade Long Sharp Stiletto Nails</x:v>
      </x:c>
      <x:c r="D8276" s="18" t="str">
        <x:v>Size: XS / S / M / L</x:v>
      </x:c>
      <x:c r="E8276" s="25" t="str">
        <x:v>$3.99</x:v>
      </x:c>
      <x:c r="F8276" s="19" t="str">
        <x:v>3</x:v>
      </x:c>
    </x:row>
    <x:row r="8277" ht="93" customHeight="1">
      <x:c r="A8277" s="19" t="n">
        <x:v>8274</x:v>
      </x:c>
      <x:c r="B8277" s="22" t="e">
        <x:f>HYPERLINK("https://cdn.shopify.com/s/files/1/0918/6066/4603/files/8a3399ff9fa896dc6c1e15b1505f182c.jpg?v=1775886577","Open")</x:f>
        <x:v>HYPERLINK is not implemented. linkLocation=https://cdn.shopify.com/s/files/1/0918/6066/4603/files/8a3399ff9fa896dc6c1e15b1505f182c.jpg?v=1775886577, friendlyName=Open</x:v>
      </x:c>
      <x:c r="C8277" s="24" t="e">
        <x:f>HYPERLINK("https://365nails.com/products/365nails-gothic-chrome-cross-stiletto-handmade-long-sharp-stiletto-nails","365nails: ""Gothic Chrome Cross Stiletto"" – Handmade Long Sharp Stiletto Nails")</x:f>
        <x:v>HYPERLINK is not implemented. linkLocation=https://365nails.com/products/365nails-gothic-chrome-cross-stiletto-handmade-long-sharp-stiletto-nails, friendlyName=365nails: "Gothic Chrome Cross Stiletto" – Handmade Long Sharp Stiletto Nails</x:v>
      </x:c>
      <x:c r="D8277" s="18" t="str">
        <x:v>Size: XS / S / M / L</x:v>
      </x:c>
      <x:c r="E8277" s="25" t="str">
        <x:v>$3.99</x:v>
      </x:c>
      <x:c r="F8277" s="19" t="str">
        <x:v>3</x:v>
      </x:c>
    </x:row>
    <x:row r="8278" ht="93" customHeight="1">
      <x:c r="A8278" s="19" t="n">
        <x:v>8275</x:v>
      </x:c>
      <x:c r="B8278" s="22" t="e">
        <x:f>HYPERLINK("https://cdn.shopify.com/s/files/1/0918/6066/4603/files/d7864851f0153a92a9f0b9c6393afc11.jpg?v=1764730275","Open")</x:f>
        <x:v>HYPERLINK is not implemented. linkLocation=https://cdn.shopify.com/s/files/1/0918/6066/4603/files/d7864851f0153a92a9f0b9c6393afc11.jpg?v=1764730275, friendlyName=Open</x:v>
      </x:c>
      <x:c r="C8278" s="24" t="e">
        <x:f>HYPERLINK("https://365nails.com/products/snow-lace-dragon-claw-stiletto-press-on-nails-milky-white-with-lace-detail-365nails-premium-handmade-dragon-nail","Snow Lace Dragon Claw Stiletto Press On Nails｜Milky White with Lace Detail｜365Nails Premium Handmade Dragon Nail")</x:f>
        <x:v>HYPERLINK is not implemented. linkLocation=https://365nails.com/products/snow-lace-dragon-claw-stiletto-press-on-nails-milky-white-with-lace-detail-365nails-premium-handmade-dragon-nail, friendlyName=Snow Lace Dragon Claw Stiletto Press On Nails｜Milky White with Lace Detail｜365Nails Premium Handmade Dragon Nail</x:v>
      </x:c>
      <x:c r="D8278" s="18" t="str">
        <x:v>Size: XS / S / M / L; length: 40mm / 25mm</x:v>
      </x:c>
      <x:c r="E8278" s="25" t="str">
        <x:v>$9.99</x:v>
      </x:c>
      <x:c r="F8278" s="19" t="str">
        <x:v>1</x:v>
      </x:c>
    </x:row>
    <x:row r="8279" ht="93" customHeight="1">
      <x:c r="A8279" s="19" t="n">
        <x:v>8276</x:v>
      </x:c>
      <x:c r="B8279" s="22" t="e">
        <x:f>HYPERLINK("https://cdn.shopify.com/s/files/1/0918/6066/4603/files/e8ce9a8c6c5d63c6b468ad82304a49cd.jpg?v=1777725925","Open")</x:f>
        <x:v>HYPERLINK is not implemented. linkLocation=https://cdn.shopify.com/s/files/1/0918/6066/4603/files/e8ce9a8c6c5d63c6b468ad82304a49cd.jpg?v=1777725925, friendlyName=Open</x:v>
      </x:c>
      <x:c r="C8279" s="24" t="e">
        <x:f>HYPERLINK("https://365nails.com/products/365nails-burgundy-starlight-rhinestone-embellished-handmade-coffin-nails","365nails: ""Burgundy Starlight"" – Rhinestone-Embellished Handmade Coffin Nails")</x:f>
        <x:v>HYPERLINK is not implemented. linkLocation=https://365nails.com/products/365nails-burgundy-starlight-rhinestone-embellished-handmade-coffin-nails, friendlyName=365nails: "Burgundy Starlight" – Rhinestone-Embellished Handmade Coffin Nails</x:v>
      </x:c>
      <x:c r="D8279" s="18" t="str">
        <x:v>Size: XS / S / M / L</x:v>
      </x:c>
      <x:c r="E8279" s="25" t="str">
        <x:v>$4.49</x:v>
      </x:c>
      <x:c r="F8279" s="19" t="str">
        <x:v>5</x:v>
      </x:c>
    </x:row>
    <x:row r="8280" ht="93" customHeight="1">
      <x:c r="A8280" s="19" t="n">
        <x:v>8277</x:v>
      </x:c>
      <x:c r="B8280" s="22" t="e">
        <x:f>HYPERLINK("https://cdn.shopify.com/s/files/1/0918/6066/4603/files/7e78f0c1d98add252e77d68088c373e9.jpg?v=1777725976","Open")</x:f>
        <x:v>HYPERLINK is not implemented. linkLocation=https://cdn.shopify.com/s/files/1/0918/6066/4603/files/7e78f0c1d98add252e77d68088c373e9.jpg?v=1777725976, friendlyName=Open</x:v>
      </x:c>
      <x:c r="C8280" s="24" t="e">
        <x:f>HYPERLINK("https://365nails.com/products/365nails-cherry-leopard-french-3d-cherry-handmade-stiletto-nails","365nails: ""Cherry Leopard French"" – 3D Cherry Handmade Stiletto Nails")</x:f>
        <x:v>HYPERLINK is not implemented. linkLocation=https://365nails.com/products/365nails-cherry-leopard-french-3d-cherry-handmade-stiletto-nails, friendlyName=365nails: "Cherry Leopard French" – 3D Cherry Handmade Stiletto Nails</x:v>
      </x:c>
      <x:c r="D8280" s="18" t="str">
        <x:v>Size: XS / S / M / L</x:v>
      </x:c>
      <x:c r="E8280" s="25" t="str">
        <x:v>$5.49</x:v>
      </x:c>
      <x:c r="F8280" s="19" t="str">
        <x:v>5</x:v>
      </x:c>
    </x:row>
    <x:row r="8281" ht="93" customHeight="1">
      <x:c r="A8281" s="19" t="n">
        <x:v>8278</x:v>
      </x:c>
      <x:c r="B8281" s="22" t="e">
        <x:f>HYPERLINK("https://cdn.shopify.com/s/files/1/0918/6066/4603/files/360fc674b1112d721241d5dc0cd3fd4b.jpg?v=1777725785","Open")</x:f>
        <x:v>HYPERLINK is not implemented. linkLocation=https://cdn.shopify.com/s/files/1/0918/6066/4603/files/360fc674b1112d721241d5dc0cd3fd4b.jpg?v=1777725785, friendlyName=Open</x:v>
      </x:c>
      <x:c r="C8281" s="24" t="e">
        <x:f>HYPERLINK("https://365nails.com/products/365nails-silver-lace-noir-metallic-lace-handmade-coffin-nails","365nails: ""Silver Lace Noir"" – Metallic Lace Handmade Coffin Nails")</x:f>
        <x:v>HYPERLINK is not implemented. linkLocation=https://365nails.com/products/365nails-silver-lace-noir-metallic-lace-handmade-coffin-nails, friendlyName=365nails: "Silver Lace Noir" – Metallic Lace Handmade Coffin Nails</x:v>
      </x:c>
      <x:c r="D8281" s="18" t="str">
        <x:v>Size: XS / S / M / L</x:v>
      </x:c>
      <x:c r="E8281" s="25" t="str">
        <x:v>$4.49</x:v>
      </x:c>
      <x:c r="F8281" s="19" t="str">
        <x:v>5</x:v>
      </x:c>
    </x:row>
    <x:row r="8282" ht="93" customHeight="1">
      <x:c r="A8282" s="19" t="n">
        <x:v>8279</x:v>
      </x:c>
      <x:c r="B8282" s="22" t="e">
        <x:f>HYPERLINK("https://cdn.shopify.com/s/files/1/0918/6066/4603/files/287fa3111255001e7fcd167dc107ff65.jpg?v=1775375402","Open")</x:f>
        <x:v>HYPERLINK is not implemented. linkLocation=https://cdn.shopify.com/s/files/1/0918/6066/4603/files/287fa3111255001e7fcd167dc107ff65.jpg?v=1775375402, friendlyName=Open</x:v>
      </x:c>
      <x:c r="C8282" s="24" t="e">
        <x:f>HYPERLINK("https://365nails.com/products/365nails-red-gold-floral-3d-gold-flower-handmade-stiletto-nails","365nails: ""Red Gold Floral"" – 3D Gold Flower Handmade Stiletto Nails")</x:f>
        <x:v>HYPERLINK is not implemented. linkLocation=https://365nails.com/products/365nails-red-gold-floral-3d-gold-flower-handmade-stiletto-nails, friendlyName=365nails: "Red Gold Floral" – 3D Gold Flower Handmade Stiletto Nails</x:v>
      </x:c>
      <x:c r="D8282" s="18" t="str">
        <x:v>Size: XS / S / M / L</x:v>
      </x:c>
      <x:c r="E8282" s="25" t="str">
        <x:v>$6.49</x:v>
      </x:c>
      <x:c r="F8282" s="19" t="str">
        <x:v>5</x:v>
      </x:c>
    </x:row>
    <x:row r="8283" ht="93" customHeight="1">
      <x:c r="A8283" s="19" t="n">
        <x:v>8280</x:v>
      </x:c>
      <x:c r="B8283" s="22" t="e">
        <x:f>HYPERLINK("https://cdn.shopify.com/s/files/1/0918/6066/4603/files/7144e7b6213327bb924603fbabf495a2.jpg?v=1775394387","Open")</x:f>
        <x:v>HYPERLINK is not implemented. linkLocation=https://cdn.shopify.com/s/files/1/0918/6066/4603/files/7144e7b6213327bb924603fbabf495a2.jpg?v=1775394387, friendlyName=Open</x:v>
      </x:c>
      <x:c r="C8283" s="24" t="e">
        <x:f>HYPERLINK("https://365nails.com/products/365nails-verdant-bloom-matte-floral-handmade-stiletto-nails","365nails: ""Verdant Bloom"" – Matte Floral Handmade Stiletto Nails")</x:f>
        <x:v>HYPERLINK is not implemented. linkLocation=https://365nails.com/products/365nails-verdant-bloom-matte-floral-handmade-stiletto-nails, friendlyName=365nails: "Verdant Bloom" – Matte Floral Handmade Stiletto Nails</x:v>
      </x:c>
      <x:c r="D8283" s="18" t="str">
        <x:v>Size: XS / S / M / L</x:v>
      </x:c>
      <x:c r="E8283" s="25" t="str">
        <x:v>$5.49</x:v>
      </x:c>
      <x:c r="F8283" s="19" t="str">
        <x:v>5</x:v>
      </x:c>
    </x:row>
    <x:row r="8284" ht="93" customHeight="1">
      <x:c r="A8284" s="19" t="n">
        <x:v>8281</x:v>
      </x:c>
      <x:c r="B8284" s="22" t="e">
        <x:f>HYPERLINK("https://cdn.shopify.com/s/files/1/0918/6066/4603/files/3841b1b867517bebc44c4111e5b553e3.jpg?v=1775376636","Open")</x:f>
        <x:v>HYPERLINK is not implemented. linkLocation=https://cdn.shopify.com/s/files/1/0918/6066/4603/files/3841b1b867517bebc44c4111e5b553e3.jpg?v=1775376636, friendlyName=Open</x:v>
      </x:c>
      <x:c r="C8284" s="24" t="e">
        <x:f>HYPERLINK("https://365nails.com/products/365nails-black-amber-rose-vintage-rose-crystal-handmade-stiletto-nails","365nails: ""Black Amber Rose"" – Vintage Rose &amp; Crystal Handmade Stiletto Nails")</x:f>
        <x:v>HYPERLINK is not implemented. linkLocation=https://365nails.com/products/365nails-black-amber-rose-vintage-rose-crystal-handmade-stiletto-nails, friendlyName=365nails: "Black Amber Rose" – Vintage Rose &amp; Crystal Handmade Stiletto Nails</x:v>
      </x:c>
      <x:c r="D8284" s="18" t="str">
        <x:v>Size: XS / S / M / L</x:v>
      </x:c>
      <x:c r="E8284" s="25" t="str">
        <x:v>$4.49</x:v>
      </x:c>
      <x:c r="F8284" s="19" t="str">
        <x:v>5</x:v>
      </x:c>
    </x:row>
    <x:row r="8285" ht="93" customHeight="1">
      <x:c r="A8285" s="19" t="n">
        <x:v>8282</x:v>
      </x:c>
      <x:c r="B8285" s="22" t="e">
        <x:f>HYPERLINK("https://cdn.shopify.com/s/files/1/0918/6066/4603/files/ea3a3f2a78356f984099fec9f1fc6d1e.jpg?v=1777725849","Open")</x:f>
        <x:v>HYPERLINK is not implemented. linkLocation=https://cdn.shopify.com/s/files/1/0918/6066/4603/files/ea3a3f2a78356f984099fec9f1fc6d1e.jpg?v=1777725849, friendlyName=Open</x:v>
      </x:c>
      <x:c r="C8285" s="24" t="e">
        <x:f>HYPERLINK("https://365nails.com/products/365nails-bronze-wave-cat-eye-swirl-handmade-stiletto-nails","365nails: ""Bronze Wave"" – Cat Eye Swirl Handmade Stiletto Nails")</x:f>
        <x:v>HYPERLINK is not implemented. linkLocation=https://365nails.com/products/365nails-bronze-wave-cat-eye-swirl-handmade-stiletto-nails, friendlyName=365nails: "Bronze Wave" – Cat Eye Swirl Handmade Stiletto Nails</x:v>
      </x:c>
      <x:c r="D8285" s="18" t="str">
        <x:v>Size: XS / S / M / L</x:v>
      </x:c>
      <x:c r="E8285" s="25" t="str">
        <x:v>$6.49</x:v>
      </x:c>
      <x:c r="F8285" s="19" t="str">
        <x:v>5</x:v>
      </x:c>
    </x:row>
    <x:row r="8286" ht="93" customHeight="1">
      <x:c r="A8286" s="19" t="n">
        <x:v>8283</x:v>
      </x:c>
      <x:c r="B8286" s="22" t="e">
        <x:f>HYPERLINK("https://cdn.shopify.com/s/files/1/0918/6066/4603/files/74d65e67153654ef87730655b0205393.jpg?v=1777725754","Open")</x:f>
        <x:v>HYPERLINK is not implemented. linkLocation=https://cdn.shopify.com/s/files/1/0918/6066/4603/files/74d65e67153654ef87730655b0205393.jpg?v=1777725754, friendlyName=Open</x:v>
      </x:c>
      <x:c r="C8286" s="24" t="e">
        <x:f>HYPERLINK("https://365nails.com/products/365nails-leopard-hello-kitty-french-3d-kitty-bow-handmade-coffin-nails","365nails: ""Leopard Hello Kitty French"" – 3D Kitty &amp; Bow Handmade Coffin Nails")</x:f>
        <x:v>HYPERLINK is not implemented. linkLocation=https://365nails.com/products/365nails-leopard-hello-kitty-french-3d-kitty-bow-handmade-coffin-nails, friendlyName=365nails: "Leopard Hello Kitty French" – 3D Kitty &amp; Bow Handmade Coffin Nails</x:v>
      </x:c>
      <x:c r="D8286" s="18" t="str">
        <x:v>Size: XS / S / M / L</x:v>
      </x:c>
      <x:c r="E8286" s="25" t="str">
        <x:v>$4.49</x:v>
      </x:c>
      <x:c r="F8286" s="19" t="str">
        <x:v>5</x:v>
      </x:c>
    </x:row>
    <x:row r="8287" ht="93" customHeight="1">
      <x:c r="A8287" s="19" t="n">
        <x:v>8284</x:v>
      </x:c>
      <x:c r="B8287" s="22" t="e">
        <x:f>HYPERLINK("https://cdn.shopify.com/s/files/1/0918/6066/4603/files/845161bbde43f63148e1100cf9f1a9b9.jpg?v=1777725654","Open")</x:f>
        <x:v>HYPERLINK is not implemented. linkLocation=https://cdn.shopify.com/s/files/1/0918/6066/4603/files/845161bbde43f63148e1100cf9f1a9b9.jpg?v=1777725654, friendlyName=Open</x:v>
      </x:c>
      <x:c r="C8287" s="24" t="e">
        <x:f>HYPERLINK("https://365nails.com/products/365nails-ruby-halo-nude-accent-shimmer-rhinestone-handmade-stiletto-nails","365nails: ""Ruby Halo &amp; Nude Accent"" – Shimmer Rhinestone Handmade Stiletto Nails")</x:f>
        <x:v>HYPERLINK is not implemented. linkLocation=https://365nails.com/products/365nails-ruby-halo-nude-accent-shimmer-rhinestone-handmade-stiletto-nails, friendlyName=365nails: "Ruby Halo &amp; Nude Accent" – Shimmer Rhinestone Handmade Stiletto Nails</x:v>
      </x:c>
      <x:c r="D8287" s="18" t="str">
        <x:v>Size: XS / S / M / L</x:v>
      </x:c>
      <x:c r="E8287" s="25" t="str">
        <x:v>$3.99</x:v>
      </x:c>
      <x:c r="F8287" s="19" t="str">
        <x:v>5</x:v>
      </x:c>
    </x:row>
    <x:row r="8288" ht="93" customHeight="1">
      <x:c r="A8288" s="19" t="n">
        <x:v>8285</x:v>
      </x:c>
      <x:c r="B8288" s="22" t="e">
        <x:f>HYPERLINK("https://cdn.shopify.com/s/files/1/0918/6066/4603/files/7c0bbf21479a93446b8e2086bf8681af.jpg?v=1777725502","Open")</x:f>
        <x:v>HYPERLINK is not implemented. linkLocation=https://cdn.shopify.com/s/files/1/0918/6066/4603/files/7c0bbf21479a93446b8e2086bf8681af.jpg?v=1777725502, friendlyName=Open</x:v>
      </x:c>
      <x:c r="C8288" s="24" t="e">
        <x:f>HYPERLINK("https://365nails.com/products/365nails-venom-chrome-croc-metallic-green-croc-print-handmade-coffin-nails","365nails: ""Venom Chrome Croc"" – Metallic Green Croc Print Handmade Coffin Nails")</x:f>
        <x:v>HYPERLINK is not implemented. linkLocation=https://365nails.com/products/365nails-venom-chrome-croc-metallic-green-croc-print-handmade-coffin-nails, friendlyName=365nails: "Venom Chrome Croc" – Metallic Green Croc Print Handmade Coffin Nails</x:v>
      </x:c>
      <x:c r="D8288" s="18" t="str">
        <x:v>Size: XS / S / M / L</x:v>
      </x:c>
      <x:c r="E8288" s="25" t="str">
        <x:v>$3.99</x:v>
      </x:c>
      <x:c r="F8288" s="19" t="str">
        <x:v>5</x:v>
      </x:c>
    </x:row>
    <x:row r="8289" ht="93" customHeight="1">
      <x:c r="A8289" s="19" t="n">
        <x:v>8286</x:v>
      </x:c>
      <x:c r="B8289" s="22" t="e">
        <x:f>HYPERLINK("https://cdn.shopify.com/s/files/1/0918/6066/4603/files/b00622ec6c7e73dea24a85265e997a5a.png?v=1779367334","Open")</x:f>
        <x:v>HYPERLINK is not implemented. linkLocation=https://cdn.shopify.com/s/files/1/0918/6066/4603/files/b00622ec6c7e73dea24a85265e997a5a.png?v=1779367334, friendlyName=Open</x:v>
      </x:c>
      <x:c r="C8289" s="24" t="e">
        <x:f>HYPERLINK("https://365nails.com/products/365nails-corporate-membership","Corporate Membership Tiers (Deposit Plans) — STARTER / GROWTH / ELITE / DIAMOND")</x:f>
        <x:v>HYPERLINK is not implemented. linkLocation=https://365nails.com/products/365nails-corporate-membership, friendlyName=Corporate Membership Tiers (Deposit Plans) — STARTER / GROWTH / ELITE / DIAMOND</x:v>
      </x:c>
      <x:c r="D8289" s="18" t="str">
        <x:v>Membership Levels: STARTER / GROWTH / ELITE / DIAMOND</x:v>
      </x:c>
      <x:c r="E8289" s="25" t="str">
        <x:v>$100.00–$2500.00</x:v>
      </x:c>
      <x:c r="F8289" s="19" t="str">
        <x:v>1</x:v>
      </x:c>
    </x:row>
    <x:row r="8290" ht="93" customHeight="1">
      <x:c r="A8290" s="19" t="n">
        <x:v>8287</x:v>
      </x:c>
      <x:c r="B8290" s="22" t="e">
        <x:f>HYPERLINK("https://cdn.shopify.com/s/files/1/0918/6066/4603/files/24f6d499cfaaef170cb6bb1e3d3218a1.jpg?v=1775394405","Open")</x:f>
        <x:v>HYPERLINK is not implemented. linkLocation=https://cdn.shopify.com/s/files/1/0918/6066/4603/files/24f6d499cfaaef170cb6bb1e3d3218a1.jpg?v=1775394405, friendlyName=Open</x:v>
      </x:c>
      <x:c r="C8290" s="24" t="e">
        <x:f>HYPERLINK("https://365nails.com/products/365nails-amber-bloom-noir-3d-flower-gradient-handmade-coffin-nails","365nails: ""Amber Bloom Noir"" – 3D Flower &amp; Gradient Handmade Coffin Nails")</x:f>
        <x:v>HYPERLINK is not implemented. linkLocation=https://365nails.com/products/365nails-amber-bloom-noir-3d-flower-gradient-handmade-coffin-nails, friendlyName=365nails: "Amber Bloom Noir" – 3D Flower &amp; Gradient Handmade Coffin Nails</x:v>
      </x:c>
      <x:c r="D8290" s="18" t="str">
        <x:v>Size: XS / S / M / L</x:v>
      </x:c>
      <x:c r="E8290" s="25" t="str">
        <x:v>$6.49</x:v>
      </x:c>
      <x:c r="F8290" s="19" t="str">
        <x:v>5</x:v>
      </x:c>
    </x:row>
    <x:row r="8291" ht="93" customHeight="1">
      <x:c r="A8291" s="19" t="n">
        <x:v>8288</x:v>
      </x:c>
      <x:c r="B8291" s="22" t="e">
        <x:f>HYPERLINK("https://cdn.shopify.com/s/files/1/0918/6066/4603/files/bf3042b3bafc12fec924f3aa034f20ea_69ac722b-9645-43f2-89a7-b556b7cbb594.jpg?v=1775383044","Open")</x:f>
        <x:v>HYPERLINK is not implemented. linkLocation=https://cdn.shopify.com/s/files/1/0918/6066/4603/files/bf3042b3bafc12fec924f3aa034f20ea_69ac722b-9645-43f2-89a7-b556b7cbb594.jpg?v=1775383044, friendlyName=Open</x:v>
      </x:c>
      <x:c r="C8291" s="24" t="e">
        <x:f>HYPERLINK("https://365nails.com/products/365nails-gilded-gem-reverie-gold-frame-crystal-inlay-handmade-stiletto-nails","365nails: ""Gilded Gem Reverie"" – Gold Frame &amp; Crystal Inlay Handmade Stiletto Nails")</x:f>
        <x:v>HYPERLINK is not implemented. linkLocation=https://365nails.com/products/365nails-gilded-gem-reverie-gold-frame-crystal-inlay-handmade-stiletto-nails, friendlyName=365nails: "Gilded Gem Reverie" – Gold Frame &amp; Crystal Inlay Handmade Stiletto Nails</x:v>
      </x:c>
      <x:c r="D8291" s="18" t="str">
        <x:v>Size: XS / S / M / L</x:v>
      </x:c>
      <x:c r="E8291" s="25" t="str">
        <x:v>$6.49</x:v>
      </x:c>
      <x:c r="F8291" s="19" t="str">
        <x:v>5</x:v>
      </x:c>
    </x:row>
    <x:row r="8292" ht="93" customHeight="1">
      <x:c r="A8292" s="19" t="n">
        <x:v>8289</x:v>
      </x:c>
      <x:c r="B8292" s="22" t="e">
        <x:f>HYPERLINK("https://cdn.shopify.com/s/files/1/0918/6066/4603/files/eedf1f88ecd4cabd573e3464d6ea7bc9.jpg?v=1777725621","Open")</x:f>
        <x:v>HYPERLINK is not implemented. linkLocation=https://cdn.shopify.com/s/files/1/0918/6066/4603/files/eedf1f88ecd4cabd573e3464d6ea7bc9.jpg?v=1777725621, friendlyName=Open</x:v>
      </x:c>
      <x:c r="C8292" s="24" t="e">
        <x:f>HYPERLINK("https://365nails.com/products/365nails-giraffe-safari-silver-tip-metallic-accent-handmade-stiletto-nails","365nails: ""Giraffe Safari &amp; Silver Tip"" – Metallic Accent Handmade Stiletto Nails")</x:f>
        <x:v>HYPERLINK is not implemented. linkLocation=https://365nails.com/products/365nails-giraffe-safari-silver-tip-metallic-accent-handmade-stiletto-nails, friendlyName=365nails: "Giraffe Safari &amp; Silver Tip" – Metallic Accent Handmade Stiletto Nails</x:v>
      </x:c>
      <x:c r="D8292" s="18" t="str">
        <x:v>Size: XS / S / M / L</x:v>
      </x:c>
      <x:c r="E8292" s="25" t="str">
        <x:v>$4.49</x:v>
      </x:c>
      <x:c r="F8292" s="19" t="str">
        <x:v>5</x:v>
      </x:c>
    </x:row>
    <x:row r="8293" ht="93" customHeight="1">
      <x:c r="A8293" s="19" t="n">
        <x:v>8290</x:v>
      </x:c>
      <x:c r="B8293" s="22" t="e">
        <x:f>HYPERLINK("https://cdn.shopify.com/s/files/1/0918/6066/4603/files/19d9ea4b52f01ffe5061fce59d69cdfd.jpg?v=1777725478","Open")</x:f>
        <x:v>HYPERLINK is not implemented. linkLocation=https://cdn.shopify.com/s/files/1/0918/6066/4603/files/19d9ea4b52f01ffe5061fce59d69cdfd.jpg?v=1777725478, friendlyName=Open</x:v>
      </x:c>
      <x:c r="C8293" s="24" t="e">
        <x:f>HYPERLINK("https://365nails.com/products/365nails-scarlet-lace-romance-red-white-lace-french-handmade-almond-nails","365nails: ""Scarlet Lace Romance"" – Red &amp; White Lace French Handmade Almond Nails")</x:f>
        <x:v>HYPERLINK is not implemented. linkLocation=https://365nails.com/products/365nails-scarlet-lace-romance-red-white-lace-french-handmade-almond-nails, friendlyName=365nails: "Scarlet Lace Romance" – Red &amp; White Lace French Handmade Almond Nails</x:v>
      </x:c>
      <x:c r="D8293" s="18" t="str">
        <x:v>Size: XS / S / M / L</x:v>
      </x:c>
      <x:c r="E8293" s="25" t="str">
        <x:v>$3.99</x:v>
      </x:c>
      <x:c r="F8293" s="19" t="str">
        <x:v>5</x:v>
      </x:c>
    </x:row>
    <x:row r="8294" ht="93" customHeight="1">
      <x:c r="A8294" s="19" t="n">
        <x:v>8291</x:v>
      </x:c>
      <x:c r="B8294" s="22" t="e">
        <x:f>HYPERLINK("https://cdn.shopify.com/s/files/1/0918/6066/4603/files/fe72a88edd53d892d97c395394333455.jpg?v=1777725407","Open")</x:f>
        <x:v>HYPERLINK is not implemented. linkLocation=https://cdn.shopify.com/s/files/1/0918/6066/4603/files/fe72a88edd53d892d97c395394333455.jpg?v=1777725407, friendlyName=Open</x:v>
      </x:c>
      <x:c r="C8294" s="24" t="e">
        <x:f>HYPERLINK("https://365nails.com/products/365nails-pearl-veil-french-crystal-lined-nude-french-handmade-coffin-nails","365nails: ""Pearl Veil French"" – Crystal Lined Nude French Handmade Coffin Nails")</x:f>
        <x:v>HYPERLINK is not implemented. linkLocation=https://365nails.com/products/365nails-pearl-veil-french-crystal-lined-nude-french-handmade-coffin-nails, friendlyName=365nails: "Pearl Veil French" – Crystal Lined Nude French Handmade Coffin Nails</x:v>
      </x:c>
      <x:c r="D8294" s="18" t="str">
        <x:v>Size: XS / S / M / L</x:v>
      </x:c>
      <x:c r="E8294" s="25" t="str">
        <x:v>$4.49</x:v>
      </x:c>
      <x:c r="F8294" s="19" t="str">
        <x:v>5</x:v>
      </x:c>
    </x:row>
    <x:row r="8295" ht="93" customHeight="1">
      <x:c r="A8295" s="19" t="n">
        <x:v>8292</x:v>
      </x:c>
      <x:c r="B8295" s="22" t="e">
        <x:f>HYPERLINK("https://cdn.shopify.com/s/files/1/0918/6066/4603/files/a99e35d185f2ce124058d44eacf38e97.jpg?v=1775381876","Open")</x:f>
        <x:v>HYPERLINK is not implemented. linkLocation=https://cdn.shopify.com/s/files/1/0918/6066/4603/files/a99e35d185f2ce124058d44eacf38e97.jpg?v=1775381876, friendlyName=Open</x:v>
      </x:c>
      <x:c r="C8295" s="24" t="e">
        <x:f>HYPERLINK("https://365nails.com/products/365nails-ruby-aura-shimmer-red-crystal-studded-handmade-stiletto-nails","365nails: ""Ruby Aura"" – Shimmer Red Crystal Studded Handmade Stiletto Nails")</x:f>
        <x:v>HYPERLINK is not implemented. linkLocation=https://365nails.com/products/365nails-ruby-aura-shimmer-red-crystal-studded-handmade-stiletto-nails, friendlyName=365nails: "Ruby Aura" – Shimmer Red Crystal Studded Handmade Stiletto Nails</x:v>
      </x:c>
      <x:c r="D8295" s="18" t="str">
        <x:v>Size: XS / S / M / L</x:v>
      </x:c>
      <x:c r="E8295" s="25" t="str">
        <x:v>$3.99</x:v>
      </x:c>
      <x:c r="F8295" s="19" t="str">
        <x:v>5</x:v>
      </x:c>
    </x:row>
    <x:row r="8296" ht="93" customHeight="1">
      <x:c r="A8296" s="19" t="n">
        <x:v>8293</x:v>
      </x:c>
      <x:c r="B8296" s="22" t="e">
        <x:f>HYPERLINK("https://cdn.shopify.com/s/files/1/0918/6066/4603/files/b8f9bb60ebe99a4843afed8cd3c70029.jpg?v=1777725432","Open")</x:f>
        <x:v>HYPERLINK is not implemented. linkLocation=https://cdn.shopify.com/s/files/1/0918/6066/4603/files/b8f9bb60ebe99a4843afed8cd3c70029.jpg?v=1777725432, friendlyName=Open</x:v>
      </x:c>
      <x:c r="C8296" s="24" t="e">
        <x:f>HYPERLINK("https://365nails.com/products/365nails-cotton-candy-skies-pastel-gradient-handmade-stiletto-nails","365nails: ""Cotton Candy Skies"" – Pastel Gradient Handmade Stiletto Nails")</x:f>
        <x:v>HYPERLINK is not implemented. linkLocation=https://365nails.com/products/365nails-cotton-candy-skies-pastel-gradient-handmade-stiletto-nails, friendlyName=365nails: "Cotton Candy Skies" – Pastel Gradient Handmade Stiletto Nails</x:v>
      </x:c>
      <x:c r="D8296" s="18" t="str">
        <x:v>Size: XS / S / M / L</x:v>
      </x:c>
      <x:c r="E8296" s="25" t="str">
        <x:v>$3.99</x:v>
      </x:c>
      <x:c r="F8296" s="19" t="str">
        <x:v>5</x:v>
      </x:c>
    </x:row>
    <x:row r="8297" ht="93" customHeight="1">
      <x:c r="A8297" s="19" t="n">
        <x:v>8294</x:v>
      </x:c>
      <x:c r="B8297" s="22" t="e">
        <x:f>HYPERLINK("https://cdn.shopify.com/s/files/1/0918/6066/4603/files/7e7eb3977c77bb42eaddb39f21277303.jpg?v=1777725240","Open")</x:f>
        <x:v>HYPERLINK is not implemented. linkLocation=https://cdn.shopify.com/s/files/1/0918/6066/4603/files/7e7eb3977c77bb42eaddb39f21277303.jpg?v=1777725240, friendlyName=Open</x:v>
      </x:c>
      <x:c r="C8297" s="24" t="e">
        <x:f>HYPERLINK("https://365nails.com/products/365nails-chocolate-caramel-ombre-gold-foil-brown-gradient-handmade-stiletto-nails","365nails: ""Chocolate Caramel Ombre"" – Gold Foil Brown Gradient Handmade Stiletto Nails")</x:f>
        <x:v>HYPERLINK is not implemented. linkLocation=https://365nails.com/products/365nails-chocolate-caramel-ombre-gold-foil-brown-gradient-handmade-stiletto-nails, friendlyName=365nails: "Chocolate Caramel Ombre" – Gold Foil Brown Gradient Handmade Stiletto Nails</x:v>
      </x:c>
      <x:c r="D8297" s="18" t="str">
        <x:v>Size: XS / S / M / L</x:v>
      </x:c>
      <x:c r="E8297" s="25" t="str">
        <x:v>$3.99</x:v>
      </x:c>
      <x:c r="F8297" s="19" t="str">
        <x:v>5</x:v>
      </x:c>
    </x:row>
    <x:row r="8298" ht="93" customHeight="1">
      <x:c r="A8298" s="19" t="n">
        <x:v>8295</x:v>
      </x:c>
      <x:c r="B8298" s="22" t="e">
        <x:f>HYPERLINK("https://cdn.shopify.com/s/files/1/0918/6066/4603/files/4cdf48c613b1c23549509582bb6fb173.jpg?v=1777724614","Open")</x:f>
        <x:v>HYPERLINK is not implemented. linkLocation=https://cdn.shopify.com/s/files/1/0918/6066/4603/files/4cdf48c613b1c23549509582bb6fb173.jpg?v=1777724614, friendlyName=Open</x:v>
      </x:c>
      <x:c r="C8298" s="24" t="e">
        <x:f>HYPERLINK("https://365nails.com/products/365nails-lace-noir-sparkle-rhinestone-lace-embellished-long-stiletto-nails","365Nails ""Lace Noir Sparkle"" – Rhinestone Lace Embellished Long Stiletto Nails")</x:f>
        <x:v>HYPERLINK is not implemented. linkLocation=https://365nails.com/products/365nails-lace-noir-sparkle-rhinestone-lace-embellished-long-stiletto-nails, friendlyName=365Nails "Lace Noir Sparkle" – Rhinestone Lace Embellished Long Stiletto Nails</x:v>
      </x:c>
      <x:c r="D8298" s="18" t="str">
        <x:v>Size: XS / S / M / L</x:v>
      </x:c>
      <x:c r="E8298" s="25" t="str">
        <x:v>$4.49</x:v>
      </x:c>
      <x:c r="F8298" s="19" t="str">
        <x:v>5</x:v>
      </x:c>
    </x:row>
    <x:row r="8299" ht="93" customHeight="1">
      <x:c r="A8299" s="19" t="n">
        <x:v>8296</x:v>
      </x:c>
      <x:c r="B8299" s="22" t="e">
        <x:f>HYPERLINK("https://cdn.shopify.com/s/files/1/0918/6066/4603/files/22e206dddc4d909039004d02bea8cf5a.jpg?v=1777725125","Open")</x:f>
        <x:v>HYPERLINK is not implemented. linkLocation=https://cdn.shopify.com/s/files/1/0918/6066/4603/files/22e206dddc4d909039004d02bea8cf5a.jpg?v=1777725125, friendlyName=Open</x:v>
      </x:c>
      <x:c r="C8299" s="24" t="e">
        <x:f>HYPERLINK("https://365nails.com/products/365nails-vintage-amber-pearl-tortoise-gold-embellished-handmade-stiletto-nails","365nails: ""Vintage Amber Pearl"" – Tortoise &amp; Gold Embellished Handmade Stiletto Nails")</x:f>
        <x:v>HYPERLINK is not implemented. linkLocation=https://365nails.com/products/365nails-vintage-amber-pearl-tortoise-gold-embellished-handmade-stiletto-nails, friendlyName=365nails: "Vintage Amber Pearl" – Tortoise &amp; Gold Embellished Handmade Stiletto Nails</x:v>
      </x:c>
      <x:c r="D8299" s="18" t="str">
        <x:v>Size: XS / S / M / L</x:v>
      </x:c>
      <x:c r="E8299" s="25" t="str">
        <x:v>$6.49</x:v>
      </x:c>
      <x:c r="F8299" s="19" t="str">
        <x:v>5</x:v>
      </x:c>
    </x:row>
    <x:row r="8300" ht="93" customHeight="1">
      <x:c r="A8300" s="19" t="n">
        <x:v>8297</x:v>
      </x:c>
      <x:c r="B8300" s="22" t="e">
        <x:f>HYPERLINK("https://cdn.shopify.com/s/files/1/0918/6066/4603/files/53e7258c1b998c73e0ffd34fc0e107a4.jpg?v=1777725202","Open")</x:f>
        <x:v>HYPERLINK is not implemented. linkLocation=https://cdn.shopify.com/s/files/1/0918/6066/4603/files/53e7258c1b998c73e0ffd34fc0e107a4.jpg?v=1777725202, friendlyName=Open</x:v>
      </x:c>
      <x:c r="C8300" s="24" t="e">
        <x:f>HYPERLINK("https://365nails.com/products/365nails-sunset-starburst-nude-white-red-crystal-star-handmade-almond-nails","365nails: ""Sunset Starburst"" – Nude White Red Crystal Star Handmade Almond Nails")</x:f>
        <x:v>HYPERLINK is not implemented. linkLocation=https://365nails.com/products/365nails-sunset-starburst-nude-white-red-crystal-star-handmade-almond-nails, friendlyName=365nails: "Sunset Starburst" – Nude White Red Crystal Star Handmade Almond Nails</x:v>
      </x:c>
      <x:c r="D8300" s="18" t="str">
        <x:v>Size: XS / S / M / L</x:v>
      </x:c>
      <x:c r="E8300" s="25" t="str">
        <x:v>$3.99</x:v>
      </x:c>
      <x:c r="F8300" s="19" t="str">
        <x:v>5</x:v>
      </x:c>
    </x:row>
    <x:row r="8301" ht="93" customHeight="1">
      <x:c r="A8301" s="19" t="n">
        <x:v>8298</x:v>
      </x:c>
      <x:c r="B8301" s="22" t="e">
        <x:f>HYPERLINK("https://cdn.shopify.com/s/files/1/0918/6066/4603/files/6d48745edbe6cf88fa34be4c2d3e870e.jpg?v=1777725087","Open")</x:f>
        <x:v>HYPERLINK is not implemented. linkLocation=https://cdn.shopify.com/s/files/1/0918/6066/4603/files/6d48745edbe6cf88fa34be4c2d3e870e.jpg?v=1777725087, friendlyName=Open</x:v>
      </x:c>
      <x:c r="C8301" s="24" t="e">
        <x:f>HYPERLINK("https://365nails.com/products/365nails-tropical-safari-bloom-multicolor-3d-flower-animal-print-handmade-coffin-nails","365nails: ""Tropical Safari Bloom"" – Multicolor 3D Flower &amp; Animal Print Handmade Coffin Nails")</x:f>
        <x:v>HYPERLINK is not implemented. linkLocation=https://365nails.com/products/365nails-tropical-safari-bloom-multicolor-3d-flower-animal-print-handmade-coffin-nails, friendlyName=365nails: "Tropical Safari Bloom" – Multicolor 3D Flower &amp; Animal Print Handmade Coffin Nails</x:v>
      </x:c>
      <x:c r="D8301" s="18" t="str">
        <x:v>Size: XS / S / M / L</x:v>
      </x:c>
      <x:c r="E8301" s="25" t="str">
        <x:v>$6.49</x:v>
      </x:c>
      <x:c r="F8301" s="19" t="str">
        <x:v>5</x:v>
      </x:c>
    </x:row>
    <x:row r="8302" ht="93" customHeight="1">
      <x:c r="A8302" s="19" t="n">
        <x:v>8299</x:v>
      </x:c>
      <x:c r="B8302" s="22" t="e">
        <x:f>HYPERLINK("https://cdn.shopify.com/s/files/1/0918/6066/4603/files/02a211d6fee88c35251de566f369396e.jpg?v=1777724729","Open")</x:f>
        <x:v>HYPERLINK is not implemented. linkLocation=https://cdn.shopify.com/s/files/1/0918/6066/4603/files/02a211d6fee88c35251de566f369396e.jpg?v=1777724729, friendlyName=Open</x:v>
      </x:c>
      <x:c r="C8302" s="24" t="e">
        <x:f>HYPERLINK("https://365nails.com/products/365nails-amethyst-regal-gemstone-accent-metallic-gold-purple-handmade-stiletto-nails","365nails: ""Amethyst Regal"" – Gemstone Accent Metallic Gold &amp; Purple Handmade Stiletto Nails")</x:f>
        <x:v>HYPERLINK is not implemented. linkLocation=https://365nails.com/products/365nails-amethyst-regal-gemstone-accent-metallic-gold-purple-handmade-stiletto-nails, friendlyName=365nails: "Amethyst Regal" – Gemstone Accent Metallic Gold &amp; Purple Handmade Stiletto Nails</x:v>
      </x:c>
      <x:c r="D8302" s="18" t="str">
        <x:v>Size: XS / S / M / L</x:v>
      </x:c>
      <x:c r="E8302" s="25" t="str">
        <x:v>$5.49</x:v>
      </x:c>
      <x:c r="F8302" s="19" t="str">
        <x:v>5</x:v>
      </x:c>
    </x:row>
    <x:row r="8303" ht="93" customHeight="1">
      <x:c r="A8303" s="19" t="n">
        <x:v>8300</x:v>
      </x:c>
      <x:c r="B8303" s="22" t="e">
        <x:f>HYPERLINK("https://cdn.shopify.com/s/files/1/0918/6066/4603/files/f8ed5f54f22dc38aec167b23458f3209.jpg?v=1777724942","Open")</x:f>
        <x:v>HYPERLINK is not implemented. linkLocation=https://cdn.shopify.com/s/files/1/0918/6066/4603/files/f8ed5f54f22dc38aec167b23458f3209.jpg?v=1777724942, friendlyName=Open</x:v>
      </x:c>
      <x:c r="C8303" s="24" t="e">
        <x:f>HYPERLINK("https://365nails.com/products/365nails-pearl-petal-blush-3d-white-floral-nude-handmade-almond-nails","365nails: ""Pearl Petal Blush"" – 3D White Floral Nude Handmade Almond Nails")</x:f>
        <x:v>HYPERLINK is not implemented. linkLocation=https://365nails.com/products/365nails-pearl-petal-blush-3d-white-floral-nude-handmade-almond-nails, friendlyName=365nails: "Pearl Petal Blush" – 3D White Floral Nude Handmade Almond Nails</x:v>
      </x:c>
      <x:c r="D8303" s="18" t="str">
        <x:v>Size: XS / S / M / L</x:v>
      </x:c>
      <x:c r="E8303" s="25" t="str">
        <x:v>$4.49</x:v>
      </x:c>
      <x:c r="F8303" s="19" t="str">
        <x:v>5</x:v>
      </x:c>
    </x:row>
    <x:row r="8304" ht="93" customHeight="1">
      <x:c r="A8304" s="19" t="n">
        <x:v>8301</x:v>
      </x:c>
      <x:c r="B8304" s="22" t="e">
        <x:f>HYPERLINK("https://cdn.shopify.com/s/files/1/0918/6066/4603/files/1390f75faecd8a012cf5b1c0b8f9185e.jpg?v=1777725168","Open")</x:f>
        <x:v>HYPERLINK is not implemented. linkLocation=https://cdn.shopify.com/s/files/1/0918/6066/4603/files/1390f75faecd8a012cf5b1c0b8f9185e.jpg?v=1777725168, friendlyName=Open</x:v>
      </x:c>
      <x:c r="C8304" s="24" t="e">
        <x:f>HYPERLINK("https://365nails.com/products/365nails-olive-noir-wave-shimmer-olive-black-abstract-handmade-stiletto-nails","365nails: ""Olive Noir Wave"" – Shimmer Olive &amp; Black Abstract Handmade Stiletto Nails")</x:f>
        <x:v>HYPERLINK is not implemented. linkLocation=https://365nails.com/products/365nails-olive-noir-wave-shimmer-olive-black-abstract-handmade-stiletto-nails, friendlyName=365nails: "Olive Noir Wave" – Shimmer Olive &amp; Black Abstract Handmade Stiletto Nails</x:v>
      </x:c>
      <x:c r="D8304" s="18" t="str">
        <x:v>Size: XS / S / M / L</x:v>
      </x:c>
      <x:c r="E8304" s="25" t="str">
        <x:v>$3.99</x:v>
      </x:c>
      <x:c r="F8304" s="19" t="str">
        <x:v>5</x:v>
      </x:c>
    </x:row>
    <x:row r="8305" ht="93" customHeight="1">
      <x:c r="A8305" s="19" t="n">
        <x:v>8302</x:v>
      </x:c>
      <x:c r="B8305" s="22" t="e">
        <x:f>HYPERLINK("https://cdn.shopify.com/s/files/1/0918/6066/4603/files/3118cf95d6bbe0612568d3372e02bfc7.jpg?v=1775393614","Open")</x:f>
        <x:v>HYPERLINK is not implemented. linkLocation=https://cdn.shopify.com/s/files/1/0918/6066/4603/files/3118cf95d6bbe0612568d3372e02bfc7.jpg?v=1775393614, friendlyName=Open</x:v>
      </x:c>
      <x:c r="C8305" s="24" t="e">
        <x:f>HYPERLINK("https://365nails.com/products/365nails-golden-sunlight-brown-gold-jewel-embellished-handmade-coffin-nails","365nails: ""Golden Sunlight"" – Brown &amp; Gold Jewel Embellished Handmade Coffin Nails")</x:f>
        <x:v>HYPERLINK is not implemented. linkLocation=https://365nails.com/products/365nails-golden-sunlight-brown-gold-jewel-embellished-handmade-coffin-nails, friendlyName=365nails: "Golden Sunlight" – Brown &amp; Gold Jewel Embellished Handmade Coffin Nails</x:v>
      </x:c>
      <x:c r="D8305" s="18" t="str">
        <x:v>Size: XS / S / M / L</x:v>
      </x:c>
      <x:c r="E8305" s="25" t="str">
        <x:v>$6.49</x:v>
      </x:c>
      <x:c r="F8305" s="19" t="str">
        <x:v>5</x:v>
      </x:c>
    </x:row>
    <x:row r="8306" ht="93" customHeight="1">
      <x:c r="A8306" s="19" t="n">
        <x:v>8303</x:v>
      </x:c>
      <x:c r="B8306" s="22" t="e">
        <x:f>HYPERLINK("https://cdn.shopify.com/s/files/1/0918/6066/4603/files/507b80df893921eb25533094641667a0.jpg?v=1777724757","Open")</x:f>
        <x:v>HYPERLINK is not implemented. linkLocation=https://cdn.shopify.com/s/files/1/0918/6066/4603/files/507b80df893921eb25533094641667a0.jpg?v=1777724757, friendlyName=Open</x:v>
      </x:c>
      <x:c r="C8306" s="24" t="e">
        <x:f>HYPERLINK("https://365nails.com/products/365nails-butterfly-lace-haze-red-nude-lace-butterfly-handmade-coffin-nails","365nails: ""Butterfly Lace Haze"" – Red Nude Lace Butterfly Handmade Coffin Nails")</x:f>
        <x:v>HYPERLINK is not implemented. linkLocation=https://365nails.com/products/365nails-butterfly-lace-haze-red-nude-lace-butterfly-handmade-coffin-nails, friendlyName=365nails: "Butterfly Lace Haze" – Red Nude Lace Butterfly Handmade Coffin Nails</x:v>
      </x:c>
      <x:c r="D8306" s="18" t="str">
        <x:v>Size: XS / S / M / L</x:v>
      </x:c>
      <x:c r="E8306" s="25" t="str">
        <x:v>$5.49</x:v>
      </x:c>
      <x:c r="F8306" s="19" t="str">
        <x:v>5</x:v>
      </x:c>
    </x:row>
    <x:row r="8307" ht="93" customHeight="1">
      <x:c r="A8307" s="19" t="n">
        <x:v>8304</x:v>
      </x:c>
      <x:c r="B8307" s="22" t="e">
        <x:f>HYPERLINK("https://cdn.shopify.com/s/files/1/0918/6066/4603/files/5100e5dc1214a40af761dac1d2ec836b.jpg?v=1777725051","Open")</x:f>
        <x:v>HYPERLINK is not implemented. linkLocation=https://cdn.shopify.com/s/files/1/0918/6066/4603/files/5100e5dc1214a40af761dac1d2ec836b.jpg?v=1777725051, friendlyName=Open</x:v>
      </x:c>
      <x:c r="C8307" s="24" t="e">
        <x:f>HYPERLINK("https://365nails.com/products/365nails-caramel-cherry-dream-3d-cherry-marbled-gradient-handmade-stiletto-nails","365nails: ""Caramel Cherry Dream"" – 3D Cherry &amp; Marbled Gradient Handmade Stiletto Nails")</x:f>
        <x:v>HYPERLINK is not implemented. linkLocation=https://365nails.com/products/365nails-caramel-cherry-dream-3d-cherry-marbled-gradient-handmade-stiletto-nails, friendlyName=365nails: "Caramel Cherry Dream" – 3D Cherry &amp; Marbled Gradient Handmade Stiletto Nails</x:v>
      </x:c>
      <x:c r="D8307" s="18" t="str">
        <x:v>Size: XS / S / M / L</x:v>
      </x:c>
      <x:c r="E8307" s="25" t="str">
        <x:v>$4.49</x:v>
      </x:c>
      <x:c r="F8307" s="19" t="str">
        <x:v>5</x:v>
      </x:c>
    </x:row>
    <x:row r="8308" ht="93" customHeight="1">
      <x:c r="A8308" s="19" t="n">
        <x:v>8305</x:v>
      </x:c>
      <x:c r="B8308" s="22" t="e">
        <x:f>HYPERLINK("https://cdn.shopify.com/s/files/1/0918/6066/4603/files/b43dfaa2a959f673dc96993b653a99fa.jpg?v=1777725005","Open")</x:f>
        <x:v>HYPERLINK is not implemented. linkLocation=https://cdn.shopify.com/s/files/1/0918/6066/4603/files/b43dfaa2a959f673dc96993b653a99fa.jpg?v=1777725005, friendlyName=Open</x:v>
      </x:c>
      <x:c r="C8308" s="24" t="e">
        <x:f>HYPERLINK("https://365nails.com/products/365nails-creamy-leopard-v-nude-cream-leopard-print-handmade-stiletto-nails","365nails: ""Creamy Leopard V"" – Nude &amp; Cream Leopard Print Handmade Stiletto Nails")</x:f>
        <x:v>HYPERLINK is not implemented. linkLocation=https://365nails.com/products/365nails-creamy-leopard-v-nude-cream-leopard-print-handmade-stiletto-nails, friendlyName=365nails: "Creamy Leopard V" – Nude &amp; Cream Leopard Print Handmade Stiletto Nails</x:v>
      </x:c>
      <x:c r="D8308" s="18" t="str">
        <x:v>Size: XS / S / M / L</x:v>
      </x:c>
      <x:c r="E8308" s="25" t="str">
        <x:v>$5.49</x:v>
      </x:c>
      <x:c r="F8308" s="19" t="str">
        <x:v>5</x:v>
      </x:c>
    </x:row>
    <x:row r="8309" ht="93" customHeight="1">
      <x:c r="A8309" s="19" t="n">
        <x:v>8306</x:v>
      </x:c>
      <x:c r="B8309" s="22" t="e">
        <x:f>HYPERLINK("https://cdn.shopify.com/s/files/1/0918/6066/4603/files/14d7bb91e3098aa954c796deb4bed392.jpg?v=1777724973","Open")</x:f>
        <x:v>HYPERLINK is not implemented. linkLocation=https://cdn.shopify.com/s/files/1/0918/6066/4603/files/14d7bb91e3098aa954c796deb4bed392.jpg?v=1777724973, friendlyName=Open</x:v>
      </x:c>
      <x:c r="C8309" s="24" t="e">
        <x:f>HYPERLINK("https://365nails.com/products/365nails-noir-metallic-skeleton-matte-black-silver-bone-handmade-stiletto-nails","365nails: ""Noir Metallic Skeleton"" – Matte Black &amp; Silver Bone Handmade Stiletto Nails")</x:f>
        <x:v>HYPERLINK is not implemented. linkLocation=https://365nails.com/products/365nails-noir-metallic-skeleton-matte-black-silver-bone-handmade-stiletto-nails, friendlyName=365nails: "Noir Metallic Skeleton" – Matte Black &amp; Silver Bone Handmade Stiletto Nails</x:v>
      </x:c>
      <x:c r="D8309" s="18" t="str">
        <x:v>Size: XS / S / M / L</x:v>
      </x:c>
      <x:c r="E8309" s="25" t="str">
        <x:v>$5.49</x:v>
      </x:c>
      <x:c r="F8309" s="19" t="str">
        <x:v>5</x:v>
      </x:c>
    </x:row>
    <x:row r="8310" ht="93" customHeight="1">
      <x:c r="A8310" s="19" t="n">
        <x:v>8307</x:v>
      </x:c>
      <x:c r="B8310" s="22" t="e">
        <x:f>HYPERLINK("https://cdn.shopify.com/s/files/1/0918/6066/4603/files/3a44215f704a6ddf62948fe312d1baf9.jpg?v=1777717676","Open")</x:f>
        <x:v>HYPERLINK is not implemented. linkLocation=https://cdn.shopify.com/s/files/1/0918/6066/4603/files/3a44215f704a6ddf62948fe312d1baf9.jpg?v=1777717676, friendlyName=Open</x:v>
      </x:c>
      <x:c r="C8310" s="24" t="e">
        <x:f>HYPERLINK("https://365nails.com/products/365nails-vintage-olive-bloom-handcrafted-3d-pearl-gold-foil-press-on-nails","365Nails: ""Vintage Olive Bloom"" — Handcrafted 3D Pearl &amp; Gold Foil Press-On Nails")</x:f>
        <x:v>HYPERLINK is not implemented. linkLocation=https://365nails.com/products/365nails-vintage-olive-bloom-handcrafted-3d-pearl-gold-foil-press-on-nails, friendlyName=365Nails: "Vintage Olive Bloom" — Handcrafted 3D Pearl &amp; Gold Foil Press-On Nails</x:v>
      </x:c>
      <x:c r="D8310" s="18" t="str">
        <x:v>Size: XS / S / M / L</x:v>
      </x:c>
      <x:c r="E8310" s="25" t="str">
        <x:v>$6.49</x:v>
      </x:c>
      <x:c r="F8310" s="19" t="str">
        <x:v>5</x:v>
      </x:c>
    </x:row>
    <x:row r="8311" ht="93" customHeight="1">
      <x:c r="A8311" s="19" t="n">
        <x:v>8308</x:v>
      </x:c>
      <x:c r="B8311" s="22" t="e">
        <x:f>HYPERLINK("https://cdn.shopify.com/s/files/1/0918/6066/4603/files/baaf057c4612885221715532ac31a69e.jpg?v=1777724707","Open")</x:f>
        <x:v>HYPERLINK is not implemented. linkLocation=https://cdn.shopify.com/s/files/1/0918/6066/4603/files/baaf057c4612885221715532ac31a69e.jpg?v=1777724707, friendlyName=Open</x:v>
      </x:c>
      <x:c r="C8311" s="24" t="e">
        <x:f>HYPERLINK("https://365nails.com/products/365nails-nude-crystal-edge-rhinestone-embellished-nude-handmade-stiletto-nails",": 365nails: ""Nude Crystal Edge"" – Rhinestone Embellished Nude Handmade Stiletto Nails")</x:f>
        <x:v>HYPERLINK is not implemented. linkLocation=https://365nails.com/products/365nails-nude-crystal-edge-rhinestone-embellished-nude-handmade-stiletto-nails, friendlyName=: 365nails: "Nude Crystal Edge" – Rhinestone Embellished Nude Handmade Stiletto Nails</x:v>
      </x:c>
      <x:c r="D8311" s="18" t="str">
        <x:v>Size: XS / S / M / L</x:v>
      </x:c>
      <x:c r="E8311" s="25" t="str">
        <x:v>$4.49</x:v>
      </x:c>
      <x:c r="F8311" s="19" t="str">
        <x:v>5</x:v>
      </x:c>
    </x:row>
    <x:row r="8312" ht="93" customHeight="1">
      <x:c r="A8312" s="19" t="n">
        <x:v>8309</x:v>
      </x:c>
      <x:c r="B8312" s="22" t="e">
        <x:f>HYPERLINK("https://cdn.shopify.com/s/files/1/0918/6066/4603/files/7274be743e650fec01cd0dce605393a8.jpg?v=1777724851","Open")</x:f>
        <x:v>HYPERLINK is not implemented. linkLocation=https://cdn.shopify.com/s/files/1/0918/6066/4603/files/7274be743e650fec01cd0dce605393a8.jpg?v=1777724851, friendlyName=Open</x:v>
      </x:c>
      <x:c r="C8312" s="24" t="e">
        <x:f>HYPERLINK("https://365nails.com/products/365nails-rainbow-glitter-vibe-multicolor-glitter-tip-handmade-stiletto-nails","365nails: ""Rainbow Glitter Vibe"" – Multicolor Glitter Tip Handmade Stiletto Nails")</x:f>
        <x:v>HYPERLINK is not implemented. linkLocation=https://365nails.com/products/365nails-rainbow-glitter-vibe-multicolor-glitter-tip-handmade-stiletto-nails, friendlyName=365nails: "Rainbow Glitter Vibe" – Multicolor Glitter Tip Handmade Stiletto Nails</x:v>
      </x:c>
      <x:c r="D8312" s="18" t="str">
        <x:v>Size: XS / S / M / L</x:v>
      </x:c>
      <x:c r="E8312" s="25" t="str">
        <x:v>$3.99</x:v>
      </x:c>
      <x:c r="F8312" s="19" t="str">
        <x:v>5</x:v>
      </x:c>
    </x:row>
    <x:row r="8313" ht="93" customHeight="1">
      <x:c r="A8313" s="19" t="n">
        <x:v>8310</x:v>
      </x:c>
      <x:c r="B8313" s="22" t="e">
        <x:f>HYPERLINK("https://cdn.shopify.com/s/files/1/0918/6066/4603/files/92f0a3052308893b28c00f38b7fc1465.jpg?v=1777724912","Open")</x:f>
        <x:v>HYPERLINK is not implemented. linkLocation=https://cdn.shopify.com/s/files/1/0918/6066/4603/files/92f0a3052308893b28c00f38b7fc1465.jpg?v=1777724912, friendlyName=Open</x:v>
      </x:c>
      <x:c r="C8313" s="24" t="e">
        <x:f>HYPERLINK("https://365nails.com/products/365nails-red-lip-kiss-hand-painted-lip-print-white-stiletto-nails","365nails: ""Red Lip Kiss"" – Hand-Painted Lip Print White Stiletto Nails")</x:f>
        <x:v>HYPERLINK is not implemented. linkLocation=https://365nails.com/products/365nails-red-lip-kiss-hand-painted-lip-print-white-stiletto-nails, friendlyName=365nails: "Red Lip Kiss" – Hand-Painted Lip Print White Stiletto Nails</x:v>
      </x:c>
      <x:c r="D8313" s="18" t="str">
        <x:v>Size: XS / S / M / L</x:v>
      </x:c>
      <x:c r="E8313" s="25" t="str">
        <x:v>$3.99</x:v>
      </x:c>
      <x:c r="F8313" s="19" t="str">
        <x:v>5</x:v>
      </x:c>
    </x:row>
    <x:row r="8314" ht="93" customHeight="1">
      <x:c r="A8314" s="19" t="n">
        <x:v>8311</x:v>
      </x:c>
      <x:c r="B8314" s="22" t="e">
        <x:f>HYPERLINK("https://cdn.shopify.com/s/files/1/0918/6066/4603/files/523a9790e1888e58d25b29c33221a94e.jpg?v=1775393233","Open")</x:f>
        <x:v>HYPERLINK is not implemented. linkLocation=https://cdn.shopify.com/s/files/1/0918/6066/4603/files/523a9790e1888e58d25b29c33221a94e.jpg?v=1775393233, friendlyName=Open</x:v>
      </x:c>
      <x:c r="C8314" s="24" t="e">
        <x:f>HYPERLINK("https://365nails.com/products/365nails-blush-gold-wave-cat-eye-pink-gold-lined-handmade-stiletto-nails","365nails: ""Blush Gold Wave"" – Pink &amp; Gold Lined Handmade Stiletto Nails")</x:f>
        <x:v>HYPERLINK is not implemented. linkLocation=https://365nails.com/products/365nails-blush-gold-wave-cat-eye-pink-gold-lined-handmade-stiletto-nails, friendlyName=365nails: "Blush Gold Wave" – Pink &amp; Gold Lined Handmade Stiletto Nails</x:v>
      </x:c>
      <x:c r="D8314" s="18" t="str">
        <x:v>Size: XS / S / M / L</x:v>
      </x:c>
      <x:c r="E8314" s="25" t="str">
        <x:v>$4.49</x:v>
      </x:c>
      <x:c r="F8314" s="19" t="str">
        <x:v>5</x:v>
      </x:c>
    </x:row>
    <x:row r="8315" ht="93" customHeight="1">
      <x:c r="A8315" s="19" t="n">
        <x:v>8312</x:v>
      </x:c>
      <x:c r="B8315" s="22" t="e">
        <x:f>HYPERLINK("https://cdn.shopify.com/s/files/1/0918/6066/4603/files/e07cf91362ab09eda2741aba6fee6f68.jpg?v=1777718578","Open")</x:f>
        <x:v>HYPERLINK is not implemented. linkLocation=https://cdn.shopify.com/s/files/1/0918/6066/4603/files/e07cf91362ab09eda2741aba6fee6f68.jpg?v=1777718578, friendlyName=Open</x:v>
      </x:c>
      <x:c r="C8315" s="24" t="e">
        <x:f>HYPERLINK("https://365nails.com/products/365nails-leopard-french-bow-3d-red-bow-leopard-french-handmade-almond-nails","365nails: ""Leopard French Bow"" – 3D Red Bow Leopard French Handmade Almond Nails")</x:f>
        <x:v>HYPERLINK is not implemented. linkLocation=https://365nails.com/products/365nails-leopard-french-bow-3d-red-bow-leopard-french-handmade-almond-nails, friendlyName=365nails: "Leopard French Bow" – 3D Red Bow Leopard French Handmade Almond Nails</x:v>
      </x:c>
      <x:c r="D8315" s="18" t="str">
        <x:v>Size: XS / S / M / L</x:v>
      </x:c>
      <x:c r="E8315" s="25" t="str">
        <x:v>$5.49</x:v>
      </x:c>
      <x:c r="F8315" s="19" t="str">
        <x:v>5</x:v>
      </x:c>
    </x:row>
    <x:row r="8316" ht="93" customHeight="1">
      <x:c r="A8316" s="19" t="n">
        <x:v>8313</x:v>
      </x:c>
      <x:c r="B8316" s="22" t="e">
        <x:f>HYPERLINK("https://cdn.shopify.com/s/files/1/0918/6066/4603/files/6db06c97dd0889df9b3ad85489340a3a.jpg?v=1777724361","Open")</x:f>
        <x:v>HYPERLINK is not implemented. linkLocation=https://cdn.shopify.com/s/files/1/0918/6066/4603/files/6db06c97dd0889df9b3ad85489340a3a.jpg?v=1777724361, friendlyName=Open</x:v>
      </x:c>
      <x:c r="C8316" s="24" t="e">
        <x:f>HYPERLINK("https://365nails.com/products/365nails-cherry-blush-airbrush-hand-painted-cherry-long-coffin-nails","365nails: ""Cherry Blush Airbrush"" – Hand-Painted Cherry Long Coffin Nails")</x:f>
        <x:v>HYPERLINK is not implemented. linkLocation=https://365nails.com/products/365nails-cherry-blush-airbrush-hand-painted-cherry-long-coffin-nails, friendlyName=365nails: "Cherry Blush Airbrush" – Hand-Painted Cherry Long Coffin Nails</x:v>
      </x:c>
      <x:c r="D8316" s="18" t="str">
        <x:v>Size: XS / S / M / L</x:v>
      </x:c>
      <x:c r="E8316" s="25" t="str">
        <x:v>$3.99</x:v>
      </x:c>
      <x:c r="F8316" s="19" t="str">
        <x:v>5</x:v>
      </x:c>
    </x:row>
    <x:row r="8317" ht="93" customHeight="1">
      <x:c r="A8317" s="19" t="n">
        <x:v>8314</x:v>
      </x:c>
      <x:c r="B8317" s="22" t="e">
        <x:f>HYPERLINK("https://cdn.shopify.com/s/files/1/0918/6066/4603/files/f4b1671a53663253e6b4a79be284291b.jpg?v=1775527596","Open")</x:f>
        <x:v>HYPERLINK is not implemented. linkLocation=https://cdn.shopify.com/s/files/1/0918/6066/4603/files/f4b1671a53663253e6b4a79be284291b.jpg?v=1775527596, friendlyName=Open</x:v>
      </x:c>
      <x:c r="C8317" s="24" t="e">
        <x:f>HYPERLINK("https://365nails.com/products/365nails-watercolor-gold-vein-marble-ink-wash-glitter-stripe-handmade-stiletto-nails","365nails: ""Watercolor Gold Vein"" – Marble Ink Wash &amp; Glitter Stripe Handmade Stiletto Nails")</x:f>
        <x:v>HYPERLINK is not implemented. linkLocation=https://365nails.com/products/365nails-watercolor-gold-vein-marble-ink-wash-glitter-stripe-handmade-stiletto-nails, friendlyName=365nails: "Watercolor Gold Vein" – Marble Ink Wash &amp; Glitter Stripe Handmade Stiletto Nails</x:v>
      </x:c>
      <x:c r="D8317" s="18" t="str">
        <x:v>Size: XS / S / M / L</x:v>
      </x:c>
      <x:c r="E8317" s="25" t="str">
        <x:v>$4.99</x:v>
      </x:c>
      <x:c r="F8317" s="19" t="str">
        <x:v>5</x:v>
      </x:c>
    </x:row>
    <x:row r="8318" ht="93" customHeight="1">
      <x:c r="A8318" s="19" t="n">
        <x:v>8315</x:v>
      </x:c>
      <x:c r="B8318" s="22" t="e">
        <x:f>HYPERLINK("https://cdn.shopify.com/s/files/1/0918/6066/4603/files/e60e626a327191c623719934639f232c.jpg?v=1777717592","Open")</x:f>
        <x:v>HYPERLINK is not implemented. linkLocation=https://cdn.shopify.com/s/files/1/0918/6066/4603/files/e60e626a327191c623719934639f232c.jpg?v=1777717592, friendlyName=Open</x:v>
      </x:c>
      <x:c r="C8318" s="24" t="e">
        <x:f>HYPERLINK("https://365nails.com/products/365nails-tropical-bloom-french-hand-painted-flower-zebra-french-stiletto-nails","365nails: ""Tropical Bloom French"" — Hand-Painted Flower &amp; Zebra French Stiletto Nails")</x:f>
        <x:v>HYPERLINK is not implemented. linkLocation=https://365nails.com/products/365nails-tropical-bloom-french-hand-painted-flower-zebra-french-stiletto-nails, friendlyName=365nails: "Tropical Bloom French" — Hand-Painted Flower &amp; Zebra French Stiletto Nails</x:v>
      </x:c>
      <x:c r="D8318" s="18" t="str">
        <x:v>Size: XS / S / M / L</x:v>
      </x:c>
      <x:c r="E8318" s="25" t="str">
        <x:v>$6.49</x:v>
      </x:c>
      <x:c r="F8318" s="19" t="str">
        <x:v>5</x:v>
      </x:c>
    </x:row>
    <x:row r="8319" ht="93" customHeight="1">
      <x:c r="A8319" s="19" t="n">
        <x:v>8316</x:v>
      </x:c>
      <x:c r="B8319" s="22" t="e">
        <x:f>HYPERLINK("https://cdn.shopify.com/s/files/1/0918/6066/4603/files/473055c115846e67644e86c9bc15ec49.jpg?v=1777718204","Open")</x:f>
        <x:v>HYPERLINK is not implemented. linkLocation=https://cdn.shopify.com/s/files/1/0918/6066/4603/files/473055c115846e67644e86c9bc15ec49.jpg?v=1777718204, friendlyName=Open</x:v>
      </x:c>
      <x:c r="C8319" s="24" t="e">
        <x:f>HYPERLINK("https://365nails.com/products/365nails-nude-croc-jewel-textured-crocodile-crystal-embellished-handmade-stiletto-nails","365nails: ""Nude Croc Jewel"" – Textured Crocodile &amp; Crystal Embellished Handmade Stiletto Nails")</x:f>
        <x:v>HYPERLINK is not implemented. linkLocation=https://365nails.com/products/365nails-nude-croc-jewel-textured-crocodile-crystal-embellished-handmade-stiletto-nails, friendlyName=365nails: "Nude Croc Jewel" – Textured Crocodile &amp; Crystal Embellished Handmade Stiletto Nails</x:v>
      </x:c>
      <x:c r="D8319" s="18" t="str">
        <x:v>Size: XS / S / M / L</x:v>
      </x:c>
      <x:c r="E8319" s="25" t="str">
        <x:v>$5.49</x:v>
      </x:c>
      <x:c r="F8319" s="19" t="str">
        <x:v>5</x:v>
      </x:c>
    </x:row>
    <x:row r="8320" ht="93" customHeight="1">
      <x:c r="A8320" s="19" t="n">
        <x:v>8317</x:v>
      </x:c>
      <x:c r="B8320" s="22" t="e">
        <x:f>HYPERLINK("https://cdn.shopify.com/s/files/1/0918/6066/4603/files/7f059c92e169bac9906bd4d78bc05ad6.jpg?v=1775527832","Open")</x:f>
        <x:v>HYPERLINK is not implemented. linkLocation=https://cdn.shopify.com/s/files/1/0918/6066/4603/files/7f059c92e169bac9906bd4d78bc05ad6.jpg?v=1775527832, friendlyName=Open</x:v>
      </x:c>
      <x:c r="C8320" s="24" t="e">
        <x:f>HYPERLINK("https://365nails.com/products/365nails-sunny-petal-french-3d-floral-crystal-embellished-french-handmade-stiletto-nails","365nails: ""Sunny Petal French"" – 3D Floral &amp; Crystal Embellished French Handmade Stiletto Nails")</x:f>
        <x:v>HYPERLINK is not implemented. linkLocation=https://365nails.com/products/365nails-sunny-petal-french-3d-floral-crystal-embellished-french-handmade-stiletto-nails, friendlyName=365nails: "Sunny Petal French" – 3D Floral &amp; Crystal Embellished French Handmade Stiletto Nails</x:v>
      </x:c>
      <x:c r="D8320" s="18" t="str">
        <x:v>Size: XS / S / M / L</x:v>
      </x:c>
      <x:c r="E8320" s="25" t="str">
        <x:v>$5.49</x:v>
      </x:c>
      <x:c r="F8320" s="19" t="str">
        <x:v>5</x:v>
      </x:c>
    </x:row>
    <x:row r="8321" ht="93" customHeight="1">
      <x:c r="A8321" s="19" t="n">
        <x:v>8318</x:v>
      </x:c>
      <x:c r="B8321" s="22" t="e">
        <x:f>HYPERLINK("https://cdn.shopify.com/s/files/1/0918/6066/4603/files/7b551c422106ffde21be428f655e5424.jpg?v=1777718146","Open")</x:f>
        <x:v>HYPERLINK is not implemented. linkLocation=https://cdn.shopify.com/s/files/1/0918/6066/4603/files/7b551c422106ffde21be428f655e5424.jpg?v=1777718146, friendlyName=Open</x:v>
      </x:c>
      <x:c r="C8321" s="24" t="e">
        <x:f>HYPERLINK("https://365nails.com/products/365nails-mocha-shimmer-ombre-brown-silver-foil-ombre-handmade-stiletto-nails","365nails: ""Mocha Shimmer Ombre"" – Brown &amp; Silver Foil Ombre Handmade Stiletto Nails")</x:f>
        <x:v>HYPERLINK is not implemented. linkLocation=https://365nails.com/products/365nails-mocha-shimmer-ombre-brown-silver-foil-ombre-handmade-stiletto-nails, friendlyName=365nails: "Mocha Shimmer Ombre" – Brown &amp; Silver Foil Ombre Handmade Stiletto Nails</x:v>
      </x:c>
      <x:c r="D8321" s="18" t="str">
        <x:v>Size: XS / S / M / L</x:v>
      </x:c>
      <x:c r="E8321" s="25" t="str">
        <x:v>$3.99</x:v>
      </x:c>
      <x:c r="F8321" s="19" t="str">
        <x:v>5</x:v>
      </x:c>
    </x:row>
    <x:row r="8322" ht="93" customHeight="1">
      <x:c r="A8322" s="19" t="n">
        <x:v>8319</x:v>
      </x:c>
      <x:c r="B8322" s="22" t="e">
        <x:f>HYPERLINK("https://cdn.shopify.com/s/files/1/0918/6066/4603/files/5fe444397690698fe0ec027c82b60272.jpg?v=1777717436","Open")</x:f>
        <x:v>HYPERLINK is not implemented. linkLocation=https://cdn.shopify.com/s/files/1/0918/6066/4603/files/5fe444397690698fe0ec027c82b60272.jpg?v=1777717436, friendlyName=Open</x:v>
      </x:c>
      <x:c r="C8322" s="24" t="e">
        <x:f>HYPERLINK("https://365nails.com/products/365nails-creamy-leopard-print-classic-brown-black-spots-on-white-base-handmade-coffin-nails","365nails: ""Creamy Leopard Print"" – Classic Brown &amp; Black Spots on White Base Handmade Coffin Nails")</x:f>
        <x:v>HYPERLINK is not implemented. linkLocation=https://365nails.com/products/365nails-creamy-leopard-print-classic-brown-black-spots-on-white-base-handmade-coffin-nails, friendlyName=365nails: "Creamy Leopard Print" – Classic Brown &amp; Black Spots on White Base Handmade Coffin Nails</x:v>
      </x:c>
      <x:c r="D8322" s="18" t="str">
        <x:v>Size: XS / S / M / L</x:v>
      </x:c>
      <x:c r="E8322" s="25" t="str">
        <x:v>$4.99</x:v>
      </x:c>
      <x:c r="F8322" s="19" t="str">
        <x:v>5</x:v>
      </x:c>
    </x:row>
    <x:row r="8323" ht="93" customHeight="1">
      <x:c r="A8323" s="19" t="n">
        <x:v>8320</x:v>
      </x:c>
      <x:c r="B8323" s="22" t="e">
        <x:f>HYPERLINK("https://cdn.shopify.com/s/files/1/0918/6066/4603/files/d04736436368812f851593ced1d55774.jpg?v=1777718258","Open")</x:f>
        <x:v>HYPERLINK is not implemented. linkLocation=https://cdn.shopify.com/s/files/1/0918/6066/4603/files/d04736436368812f851593ced1d55774.jpg?v=1777718258, friendlyName=Open</x:v>
      </x:c>
      <x:c r="C8323" s="24" t="e">
        <x:f>HYPERLINK("https://365nails.com/products/365nails-lily-sunset-gradient-3d-floral-droplet-handmade-stiletto-nails","365nails: ""Lily Sunset Gradient"" – 3D Floral &amp; Droplet Handmade Stiletto Nails")</x:f>
        <x:v>HYPERLINK is not implemented. linkLocation=https://365nails.com/products/365nails-lily-sunset-gradient-3d-floral-droplet-handmade-stiletto-nails, friendlyName=365nails: "Lily Sunset Gradient" – 3D Floral &amp; Droplet Handmade Stiletto Nails</x:v>
      </x:c>
      <x:c r="D8323" s="18" t="str">
        <x:v>Size: XS / S / M / L</x:v>
      </x:c>
      <x:c r="E8323" s="25" t="str">
        <x:v>$6.49</x:v>
      </x:c>
      <x:c r="F8323" s="19" t="str">
        <x:v>5</x:v>
      </x:c>
    </x:row>
    <x:row r="8324" ht="93" customHeight="1">
      <x:c r="A8324" s="19" t="n">
        <x:v>8321</x:v>
      </x:c>
      <x:c r="B8324" s="22" t="e">
        <x:f>HYPERLINK("https://cdn.shopify.com/s/files/1/0918/6066/4603/files/cb49dcd88c83eeb5429f15ca87f940c8.jpg?v=1775528543","Open")</x:f>
        <x:v>HYPERLINK is not implemented. linkLocation=https://cdn.shopify.com/s/files/1/0918/6066/4603/files/cb49dcd88c83eeb5429f15ca87f940c8.jpg?v=1775528543, friendlyName=Open</x:v>
      </x:c>
      <x:c r="C8324" s="24" t="e">
        <x:f>HYPERLINK("https://365nails.com/products/365nails-caramel-marble-vein-textured-marble-crackle-handmade-coffin-nails","365nails: ""Caramel Marble Vein"" – Textured Marble &amp; Crackle Handmade Coffin Nails")</x:f>
        <x:v>HYPERLINK is not implemented. linkLocation=https://365nails.com/products/365nails-caramel-marble-vein-textured-marble-crackle-handmade-coffin-nails, friendlyName=365nails: "Caramel Marble Vein" – Textured Marble &amp; Crackle Handmade Coffin Nails</x:v>
      </x:c>
      <x:c r="D8324" s="18" t="str">
        <x:v>Size: XS / S / M / L</x:v>
      </x:c>
      <x:c r="E8324" s="25" t="str">
        <x:v>$3.99</x:v>
      </x:c>
      <x:c r="F8324" s="19" t="str">
        <x:v>5</x:v>
      </x:c>
    </x:row>
    <x:row r="8325" ht="93" customHeight="1">
      <x:c r="A8325" s="19" t="n">
        <x:v>8322</x:v>
      </x:c>
      <x:c r="B8325" s="22" t="e">
        <x:f>HYPERLINK("https://cdn.shopify.com/s/files/1/0918/6066/4603/files/7830e43ad400b8c731c85bcecf05318a.jpg?v=1775530187","Open")</x:f>
        <x:v>HYPERLINK is not implemented. linkLocation=https://cdn.shopify.com/s/files/1/0918/6066/4603/files/7830e43ad400b8c731c85bcecf05318a.jpg?v=1775530187, friendlyName=Open</x:v>
      </x:c>
      <x:c r="C8325" s="24" t="e">
        <x:f>HYPERLINK("https://365nails.com/products/365nails-mystic-skeleton-swirl-pink-purple-shimmer-with-white-skeleton-spine-3d-handmade-stiletto-nails-1","365nails: ""Mystic Skeleton Swirl"" – Pink-Purple Shimmer with White Skeleton Spine 3D Handmade Stiletto Nails")</x:f>
        <x:v>HYPERLINK is not implemented. linkLocation=https://365nails.com/products/365nails-mystic-skeleton-swirl-pink-purple-shimmer-with-white-skeleton-spine-3d-handmade-stiletto-nails-1, friendlyName=365nails: "Mystic Skeleton Swirl" – Pink-Purple Shimmer with White Skeleton Spine 3D Handmade Stiletto Nails</x:v>
      </x:c>
      <x:c r="D8325" s="18" t="str">
        <x:v>Size: XS / S / M / L</x:v>
      </x:c>
      <x:c r="E8325" s="25" t="str">
        <x:v>$5.49</x:v>
      </x:c>
      <x:c r="F8325" s="19" t="str">
        <x:v>5</x:v>
      </x:c>
    </x:row>
    <x:row r="8326" ht="93" customHeight="1">
      <x:c r="A8326" s="19" t="n">
        <x:v>8323</x:v>
      </x:c>
      <x:c r="B8326" s="22" t="e">
        <x:f>HYPERLINK("https://cdn.shopify.com/s/files/1/0918/6066/4603/files/8e552ffc2577eb031da241a5b780581d.jpg?v=1777717737","Open")</x:f>
        <x:v>HYPERLINK is not implemented. linkLocation=https://cdn.shopify.com/s/files/1/0918/6066/4603/files/8e552ffc2577eb031da241a5b780581d.jpg?v=1777717737, friendlyName=Open</x:v>
      </x:c>
      <x:c r="C8326" s="24" t="e">
        <x:f>HYPERLINK("https://365nails.com/products/365nails-blush-crystal-sprinkle-all-over-rhinestone-embellished-pink-press-on-nails","365nails: ""Blush Crystal Sprinkle"" – All-Over Rhinestone Embellished Pink Press-On Nails")</x:f>
        <x:v>HYPERLINK is not implemented. linkLocation=https://365nails.com/products/365nails-blush-crystal-sprinkle-all-over-rhinestone-embellished-pink-press-on-nails, friendlyName=365nails: "Blush Crystal Sprinkle" – All-Over Rhinestone Embellished Pink Press-On Nails</x:v>
      </x:c>
      <x:c r="D8326" s="18" t="str">
        <x:v>Size: XS / S / M / L</x:v>
      </x:c>
      <x:c r="E8326" s="25" t="str">
        <x:v>$4.49</x:v>
      </x:c>
      <x:c r="F8326" s="19" t="str">
        <x:v>5</x:v>
      </x:c>
    </x:row>
    <x:row r="8327" ht="93" customHeight="1">
      <x:c r="A8327" s="19" t="n">
        <x:v>8324</x:v>
      </x:c>
      <x:c r="B8327" s="22" t="e">
        <x:f>HYPERLINK("https://cdn.shopify.com/s/files/1/0918/6066/4603/files/6d800747aff68bda69557a399df785a6.jpg?v=1777717924","Open")</x:f>
        <x:v>HYPERLINK is not implemented. linkLocation=https://cdn.shopify.com/s/files/1/0918/6066/4603/files/6d800747aff68bda69557a399df785a6.jpg?v=1777717924, friendlyName=Open</x:v>
      </x:c>
      <x:c r="C8327" s="24" t="e">
        <x:f>HYPERLINK("https://365nails.com/products/365nails-smoky-crystal-rain-black-to-clear-gradient-with-rhinestone-accents-handmade-stiletto-nails","365nails: ""Smoky Crystal Rain"" – Black to Clear Gradient with Rhinestone Accents Handmade Stiletto Nails")</x:f>
        <x:v>HYPERLINK is not implemented. linkLocation=https://365nails.com/products/365nails-smoky-crystal-rain-black-to-clear-gradient-with-rhinestone-accents-handmade-stiletto-nails, friendlyName=365nails: "Smoky Crystal Rain" – Black to Clear Gradient with Rhinestone Accents Handmade Stiletto Nails</x:v>
      </x:c>
      <x:c r="D8327" s="18" t="str">
        <x:v>Size: XS / S / M / L</x:v>
      </x:c>
      <x:c r="E8327" s="25" t="str">
        <x:v>$3.99</x:v>
      </x:c>
      <x:c r="F8327" s="19" t="str">
        <x:v>5</x:v>
      </x:c>
    </x:row>
    <x:row r="8328" ht="93" customHeight="1">
      <x:c r="A8328" s="19" t="n">
        <x:v>8325</x:v>
      </x:c>
      <x:c r="B8328" s="22" t="e">
        <x:f>HYPERLINK("https://cdn.shopify.com/s/files/1/0918/6066/4603/files/e07ab7c7103edf4e27672bb0711dd06e.jpg?v=1775573585","Open")</x:f>
        <x:v>HYPERLINK is not implemented. linkLocation=https://cdn.shopify.com/s/files/1/0918/6066/4603/files/e07ab7c7103edf4e27672bb0711dd06e.jpg?v=1775573585, friendlyName=Open</x:v>
      </x:c>
      <x:c r="C8328" s="24" t="e">
        <x:f>HYPERLINK("https://365nails.com/products/365nails-champagne-pearl-crystal-accent-press-on-handmade-nails","365nails - ""Champagne Pearl &amp; Crystal Accent"" Press-On Handmade Nails")</x:f>
        <x:v>HYPERLINK is not implemented. linkLocation=https://365nails.com/products/365nails-champagne-pearl-crystal-accent-press-on-handmade-nails, friendlyName=365nails - "Champagne Pearl &amp; Crystal Accent" Press-On Handmade Nails</x:v>
      </x:c>
      <x:c r="D8328" s="18" t="str">
        <x:v>Size: XS / S / M / L</x:v>
      </x:c>
      <x:c r="E8328" s="25" t="str">
        <x:v>$5.49</x:v>
      </x:c>
      <x:c r="F8328" s="19" t="str">
        <x:v>5</x:v>
      </x:c>
    </x:row>
    <x:row r="8329" ht="93" customHeight="1">
      <x:c r="A8329" s="19" t="n">
        <x:v>8326</x:v>
      </x:c>
      <x:c r="B8329" s="22" t="e">
        <x:f>HYPERLINK("https://cdn.shopify.com/s/files/1/0918/6066/4603/files/c9590629518d072eb40586bffc1ab280.jpg?v=1777717818","Open")</x:f>
        <x:v>HYPERLINK is not implemented. linkLocation=https://cdn.shopify.com/s/files/1/0918/6066/4603/files/c9590629518d072eb40586bffc1ab280.jpg?v=1777717818, friendlyName=Open</x:v>
      </x:c>
      <x:c r="C8329" s="24" t="e">
        <x:f>HYPERLINK("https://365nails.com/products/365nails-caramel-gold-swirl-neutral-tone-metallic-wave-handmade-stiletto-nails","365nails: ""Caramel Gold Swirl"" – Neutral Tone Metallic Wave Handmade Stiletto Nails")</x:f>
        <x:v>HYPERLINK is not implemented. linkLocation=https://365nails.com/products/365nails-caramel-gold-swirl-neutral-tone-metallic-wave-handmade-stiletto-nails, friendlyName=365nails: "Caramel Gold Swirl" – Neutral Tone Metallic Wave Handmade Stiletto Nails</x:v>
      </x:c>
      <x:c r="D8329" s="18" t="str">
        <x:v>Size: XS / S / M / L</x:v>
      </x:c>
      <x:c r="E8329" s="25" t="str">
        <x:v>$3.49</x:v>
      </x:c>
      <x:c r="F8329" s="19" t="str">
        <x:v>5</x:v>
      </x:c>
    </x:row>
    <x:row r="8330" ht="93" customHeight="1">
      <x:c r="A8330" s="19" t="n">
        <x:v>8327</x:v>
      </x:c>
      <x:c r="B8330" s="22" t="e">
        <x:f>HYPERLINK("https://cdn.shopify.com/s/files/1/0918/6066/4603/files/3b08b329336aa5ceb1711bd33834276f.jpg?v=1777717493","Open")</x:f>
        <x:v>HYPERLINK is not implemented. linkLocation=https://cdn.shopify.com/s/files/1/0918/6066/4603/files/3b08b329336aa5ceb1711bd33834276f.jpg?v=1777717493, friendlyName=Open</x:v>
      </x:c>
      <x:c r="C8330" s="24" t="e">
        <x:f>HYPERLINK("https://365nails.com/products/365nails-mystic-skeleton-swirl-pink-purple-shimmer-with-white-skeleton-spine-3d-handmade-stiletto-nails","365nails: ""Mystic Skeleton Swirl"" – Pink-Purple Shimmer with White Skeleton Spine 3D Handmade Stiletto Nails")</x:f>
        <x:v>HYPERLINK is not implemented. linkLocation=https://365nails.com/products/365nails-mystic-skeleton-swirl-pink-purple-shimmer-with-white-skeleton-spine-3d-handmade-stiletto-nails, friendlyName=365nails: "Mystic Skeleton Swirl" – Pink-Purple Shimmer with White Skeleton Spine 3D Handmade Stiletto Nails</x:v>
      </x:c>
      <x:c r="D8330" s="18" t="str">
        <x:v>Size: XS / S / M / L</x:v>
      </x:c>
      <x:c r="E8330" s="25" t="str">
        <x:v>$6.49</x:v>
      </x:c>
      <x:c r="F8330" s="19" t="str">
        <x:v>5</x:v>
      </x:c>
    </x:row>
    <x:row r="8331" ht="93" customHeight="1">
      <x:c r="A8331" s="19" t="n">
        <x:v>8328</x:v>
      </x:c>
      <x:c r="B8331" s="22" t="e">
        <x:f>HYPERLINK("https://cdn.shopify.com/s/files/1/0918/6066/4603/files/3cc27b9003240c8187782d24e1114f76.jpg?v=1775608503","Open")</x:f>
        <x:v>HYPERLINK is not implemented. linkLocation=https://cdn.shopify.com/s/files/1/0918/6066/4603/files/3cc27b9003240c8187782d24e1114f76.jpg?v=1775608503, friendlyName=Open</x:v>
      </x:c>
      <x:c r="C8331" s="24" t="e">
        <x:f>HYPERLINK("https://365nails.com/products/365nails-golden-night-bloom-floral-rhinestone-handmade-stiletto-nails","365nails: ""Golden Night Bloom"" – Floral Rhinestone Handmade Stiletto Nails")</x:f>
        <x:v>HYPERLINK is not implemented. linkLocation=https://365nails.com/products/365nails-golden-night-bloom-floral-rhinestone-handmade-stiletto-nails, friendlyName=365nails: "Golden Night Bloom" – Floral Rhinestone Handmade Stiletto Nails</x:v>
      </x:c>
      <x:c r="D8331" s="18" t="str">
        <x:v>Size: XS / S / M / L</x:v>
      </x:c>
      <x:c r="E8331" s="25" t="str">
        <x:v>$4.99</x:v>
      </x:c>
      <x:c r="F8331" s="19" t="str">
        <x:v>5</x:v>
      </x:c>
    </x:row>
    <x:row r="8332" ht="93" customHeight="1">
      <x:c r="A8332" s="19" t="n">
        <x:v>8329</x:v>
      </x:c>
      <x:c r="B8332" s="22" t="e">
        <x:f>HYPERLINK("https://cdn.shopify.com/s/files/1/0918/6066/4603/files/ffc596e8324605da36ae99295c2712ab.jpg?v=1777717016","Open")</x:f>
        <x:v>HYPERLINK is not implemented. linkLocation=https://cdn.shopify.com/s/files/1/0918/6066/4603/files/ffc596e8324605da36ae99295c2712ab.jpg?v=1777717016, friendlyName=Open</x:v>
      </x:c>
      <x:c r="C8332" s="24" t="e">
        <x:f>HYPERLINK("https://365nails.com/products/365nails-silver-cross-gothic-3d-metal-cross-chrome-handmade-stiletto-nails","365nails: ""Silver Cross Gothic"" – 3D Metal Cross Chrome Handmade Stiletto Nails")</x:f>
        <x:v>HYPERLINK is not implemented. linkLocation=https://365nails.com/products/365nails-silver-cross-gothic-3d-metal-cross-chrome-handmade-stiletto-nails, friendlyName=365nails: "Silver Cross Gothic" – 3D Metal Cross Chrome Handmade Stiletto Nails</x:v>
      </x:c>
      <x:c r="D8332" s="18" t="str">
        <x:v>Size: XS / S / M / L</x:v>
      </x:c>
      <x:c r="E8332" s="25" t="str">
        <x:v>$4.49</x:v>
      </x:c>
      <x:c r="F8332" s="19" t="str">
        <x:v>5</x:v>
      </x:c>
    </x:row>
    <x:row r="8333" ht="93" customHeight="1">
      <x:c r="A8333" s="19" t="n">
        <x:v>8330</x:v>
      </x:c>
      <x:c r="B8333" s="22" t="e">
        <x:f>HYPERLINK("https://cdn.shopify.com/s/files/1/0918/6066/4603/files/44c79265e6a456006adcf55a867a04a8.jpg?v=1777717081","Open")</x:f>
        <x:v>HYPERLINK is not implemented. linkLocation=https://cdn.shopify.com/s/files/1/0918/6066/4603/files/44c79265e6a456006adcf55a867a04a8.jpg?v=1777717081, friendlyName=Open</x:v>
      </x:c>
      <x:c r="C8333" s="24" t="e">
        <x:f>HYPERLINK("https://365nails.com/products/365nails-golden-branches-hand-painted-silver-vein-gradient-press-on-long-coffin-nails","365nails: ""Golden Branches"" – Hand-Painted Silver Vein Gradient Press On Long Coffin Nails")</x:f>
        <x:v>HYPERLINK is not implemented. linkLocation=https://365nails.com/products/365nails-golden-branches-hand-painted-silver-vein-gradient-press-on-long-coffin-nails, friendlyName=365nails: "Golden Branches" – Hand-Painted Silver Vein Gradient Press On Long Coffin Nails</x:v>
      </x:c>
      <x:c r="D8333" s="18" t="str">
        <x:v>Size: XS / S / M / L</x:v>
      </x:c>
      <x:c r="E8333" s="25" t="str">
        <x:v>$4.99</x:v>
      </x:c>
      <x:c r="F8333" s="19" t="str">
        <x:v>5</x:v>
      </x:c>
    </x:row>
    <x:row r="8334" ht="93" customHeight="1">
      <x:c r="A8334" s="19" t="n">
        <x:v>8331</x:v>
      </x:c>
      <x:c r="B8334" s="22" t="e">
        <x:f>HYPERLINK("https://cdn.shopify.com/s/files/1/0918/6066/4603/files/885878897f580547c3f212d9a47fab57.jpg?v=1777716591","Open")</x:f>
        <x:v>HYPERLINK is not implemented. linkLocation=https://cdn.shopify.com/s/files/1/0918/6066/4603/files/885878897f580547c3f212d9a47fab57.jpg?v=1777716591, friendlyName=Open</x:v>
      </x:c>
      <x:c r="C8334" s="24" t="e">
        <x:f>HYPERLINK("https://365nails.com/products/365nails-silver-tassel-noir-matte-glitter-handmade-stiletto-nails","365nails: ""Silver Tassel Noir"" – Matte &amp; Glitter Handmade Stiletto Nails")</x:f>
        <x:v>HYPERLINK is not implemented. linkLocation=https://365nails.com/products/365nails-silver-tassel-noir-matte-glitter-handmade-stiletto-nails, friendlyName=365nails: "Silver Tassel Noir" – Matte &amp; Glitter Handmade Stiletto Nails</x:v>
      </x:c>
      <x:c r="D8334" s="18" t="str">
        <x:v>Size: XS / S / M / L</x:v>
      </x:c>
      <x:c r="E8334" s="25" t="str">
        <x:v>$4.99</x:v>
      </x:c>
      <x:c r="F8334" s="19" t="str">
        <x:v>5</x:v>
      </x:c>
    </x:row>
    <x:row r="8335" ht="93" customHeight="1">
      <x:c r="A8335" s="19" t="n">
        <x:v>8332</x:v>
      </x:c>
      <x:c r="B8335" s="22" t="e">
        <x:f>HYPERLINK("https://cdn.shopify.com/s/files/1/0918/6066/4603/files/8d4182780ecfa0d1f5c76d432e6ab857.jpg?v=1775573418","Open")</x:f>
        <x:v>HYPERLINK is not implemented. linkLocation=https://cdn.shopify.com/s/files/1/0918/6066/4603/files/8d4182780ecfa0d1f5c76d432e6ab857.jpg?v=1775573418, friendlyName=Open</x:v>
      </x:c>
      <x:c r="C8335" s="24" t="e">
        <x:f>HYPERLINK("https://365nails.com/products/365nails-burgundy-crystal-ombre-rich-red-to-nude-gradient-with-crystal-accents-handmade-stiletto-nails","365nails: ""Burgundy Crystal Ombre"" – Rich Red-to-Nude Gradient with Crystal Accents Handmade Stiletto Nails")</x:f>
        <x:v>HYPERLINK is not implemented. linkLocation=https://365nails.com/products/365nails-burgundy-crystal-ombre-rich-red-to-nude-gradient-with-crystal-accents-handmade-stiletto-nails, friendlyName=365nails: "Burgundy Crystal Ombre" – Rich Red-to-Nude Gradient with Crystal Accents Handmade Stiletto Nails</x:v>
      </x:c>
      <x:c r="D8335" s="18" t="str">
        <x:v>Size: XS / S / M / L</x:v>
      </x:c>
      <x:c r="E8335" s="25" t="str">
        <x:v>$4.99</x:v>
      </x:c>
      <x:c r="F8335" s="19" t="str">
        <x:v>5</x:v>
      </x:c>
    </x:row>
    <x:row r="8336" ht="93" customHeight="1">
      <x:c r="A8336" s="19" t="n">
        <x:v>8333</x:v>
      </x:c>
      <x:c r="B8336" s="22" t="e">
        <x:f>HYPERLINK("https://cdn.shopify.com/s/files/1/0918/6066/4603/files/37fdafbb2d70953541847a64d2dcf883.jpg?v=1777716537","Open")</x:f>
        <x:v>HYPERLINK is not implemented. linkLocation=https://cdn.shopify.com/s/files/1/0918/6066/4603/files/37fdafbb2d70953541847a64d2dcf883.jpg?v=1777716537, friendlyName=Open</x:v>
      </x:c>
      <x:c r="C8336" s="24" t="e">
        <x:f>HYPERLINK("https://365nails.com/products/365nails-amber-swirl-tortoiseshell-marble-handmade-coffin-nails","365nails: ""Amber Swirl"" – Tortoiseshell Marble Handmade Coffin Nails")</x:f>
        <x:v>HYPERLINK is not implemented. linkLocation=https://365nails.com/products/365nails-amber-swirl-tortoiseshell-marble-handmade-coffin-nails, friendlyName=365nails: "Amber Swirl" – Tortoiseshell Marble Handmade Coffin Nails</x:v>
      </x:c>
      <x:c r="D8336" s="18" t="str">
        <x:v>Size: XS / S / M / L</x:v>
      </x:c>
      <x:c r="E8336" s="25" t="str">
        <x:v>$4.49</x:v>
      </x:c>
      <x:c r="F8336" s="19" t="str">
        <x:v>5</x:v>
      </x:c>
    </x:row>
    <x:row r="8337" ht="93" customHeight="1">
      <x:c r="A8337" s="19" t="n">
        <x:v>8334</x:v>
      </x:c>
      <x:c r="B8337" s="22" t="e">
        <x:f>HYPERLINK("https://cdn.shopify.com/s/files/1/0918/6066/4603/files/e80aba254736a0c82c17c00c5dfe053c.jpg?v=1777716951","Open")</x:f>
        <x:v>HYPERLINK is not implemented. linkLocation=https://cdn.shopify.com/s/files/1/0918/6066/4603/files/e80aba254736a0c82c17c00c5dfe053c.jpg?v=1777716951, friendlyName=Open</x:v>
      </x:c>
      <x:c r="C8337" s="24" t="e">
        <x:f>HYPERLINK("https://365nails.com/products/365nails-frosted-ruby-silver-glitter-dipped-french-handmade-stiletto-nails","365nails: ""Frosted Ruby"" – Silver Glitter Dipped French Handmade Stiletto Nails")</x:f>
        <x:v>HYPERLINK is not implemented. linkLocation=https://365nails.com/products/365nails-frosted-ruby-silver-glitter-dipped-french-handmade-stiletto-nails, friendlyName=365nails: "Frosted Ruby" – Silver Glitter Dipped French Handmade Stiletto Nails</x:v>
      </x:c>
      <x:c r="D8337" s="18" t="str">
        <x:v>Size: XS / S / M / L</x:v>
      </x:c>
      <x:c r="E8337" s="25" t="str">
        <x:v>$4.49</x:v>
      </x:c>
      <x:c r="F8337" s="19" t="str">
        <x:v>5</x:v>
      </x:c>
    </x:row>
    <x:row r="8338" ht="93" customHeight="1">
      <x:c r="A8338" s="19" t="n">
        <x:v>8335</x:v>
      </x:c>
      <x:c r="B8338" s="22" t="e">
        <x:f>HYPERLINK("https://cdn.shopify.com/s/files/1/0918/6066/4603/files/d879b6654f533ec65071bfb8faebe39c.jpg?v=1777715668","Open")</x:f>
        <x:v>HYPERLINK is not implemented. linkLocation=https://cdn.shopify.com/s/files/1/0918/6066/4603/files/d879b6654f533ec65071bfb8faebe39c.jpg?v=1777715668, friendlyName=Open</x:v>
      </x:c>
      <x:c r="C8338" s="24" t="e">
        <x:f>HYPERLINK("https://365nails.com/products/365nails-blush-opulence-gemstone-gold-foil-handmade-short-square-nails","365nails: ""Blush Opulence"" – Gemstone &amp; Gold Foil Handmade Short Square Nails")</x:f>
        <x:v>HYPERLINK is not implemented. linkLocation=https://365nails.com/products/365nails-blush-opulence-gemstone-gold-foil-handmade-short-square-nails, friendlyName=365nails: "Blush Opulence" – Gemstone &amp; Gold Foil Handmade Short Square Nails</x:v>
      </x:c>
      <x:c r="D8338" s="18" t="str">
        <x:v>Size: XS / S / M / L</x:v>
      </x:c>
      <x:c r="E8338" s="25" t="str">
        <x:v>$4.99</x:v>
      </x:c>
      <x:c r="F8338" s="19" t="str">
        <x:v>5</x:v>
      </x:c>
    </x:row>
    <x:row r="8339" ht="93" customHeight="1">
      <x:c r="A8339" s="19" t="n">
        <x:v>8336</x:v>
      </x:c>
      <x:c r="B8339" s="22" t="e">
        <x:f>HYPERLINK("https://cdn.shopify.com/s/files/1/0918/6066/4603/files/3bc67d9e25737d9a83efa911f84e7d29.jpg?v=1777716252","Open")</x:f>
        <x:v>HYPERLINK is not implemented. linkLocation=https://cdn.shopify.com/s/files/1/0918/6066/4603/files/3bc67d9e25737d9a83efa911f84e7d29.jpg?v=1777716252, friendlyName=Open</x:v>
      </x:c>
      <x:c r="C8339" s="24" t="e">
        <x:f>HYPERLINK("https://365nails.com/products/365nails-hello-kitty-dolphin-adventure-handmade-stiletto-nails","365nails: ""Hello Kitty Dolphin Adventure"" – Handmade Stiletto Nails")</x:f>
        <x:v>HYPERLINK is not implemented. linkLocation=https://365nails.com/products/365nails-hello-kitty-dolphin-adventure-handmade-stiletto-nails, friendlyName=365nails: "Hello Kitty Dolphin Adventure" – Handmade Stiletto Nails</x:v>
      </x:c>
      <x:c r="D8339" s="18" t="str">
        <x:v>Size: XS / S / M / L</x:v>
      </x:c>
      <x:c r="E8339" s="25" t="str">
        <x:v>$4.99</x:v>
      </x:c>
      <x:c r="F8339" s="19" t="str">
        <x:v>5</x:v>
      </x:c>
    </x:row>
    <x:row r="8340" ht="93" customHeight="1">
      <x:c r="A8340" s="19" t="n">
        <x:v>8337</x:v>
      </x:c>
      <x:c r="B8340" s="22" t="e">
        <x:f>HYPERLINK("https://cdn.shopify.com/s/files/1/0918/6066/4603/files/4165cfebbd3ce368e793c9a848dbc422.jpg?v=1775610510","Open")</x:f>
        <x:v>HYPERLINK is not implemented. linkLocation=https://cdn.shopify.com/s/files/1/0918/6066/4603/files/4165cfebbd3ce368e793c9a848dbc422.jpg?v=1775610510, friendlyName=Open</x:v>
      </x:c>
      <x:c r="C8340" s="24" t="e">
        <x:f>HYPERLINK("https://365nails.com/products/365nails-crimson-web-silver-vein-line-art-crystal-handmade-stiletto-nails","365nails: ""Crimson Web &amp; Silver Vein"" – Line Art Crystal Handmade Stiletto Nails")</x:f>
        <x:v>HYPERLINK is not implemented. linkLocation=https://365nails.com/products/365nails-crimson-web-silver-vein-line-art-crystal-handmade-stiletto-nails, friendlyName=365nails: "Crimson Web &amp; Silver Vein" – Line Art Crystal Handmade Stiletto Nails</x:v>
      </x:c>
      <x:c r="D8340" s="18" t="str">
        <x:v>Size: XS / S / M / L</x:v>
      </x:c>
      <x:c r="E8340" s="25" t="str">
        <x:v>$4.99</x:v>
      </x:c>
      <x:c r="F8340" s="19" t="str">
        <x:v>5</x:v>
      </x:c>
    </x:row>
    <x:row r="8341" ht="93" customHeight="1">
      <x:c r="A8341" s="19" t="n">
        <x:v>8338</x:v>
      </x:c>
      <x:c r="B8341" s="22" t="e">
        <x:f>HYPERLINK("https://cdn.shopify.com/s/files/1/0918/6066/4603/files/ba5561e26ef01c84aa7e15d00c1a432d.jpg?v=1775610374","Open")</x:f>
        <x:v>HYPERLINK is not implemented. linkLocation=https://cdn.shopify.com/s/files/1/0918/6066/4603/files/ba5561e26ef01c84aa7e15d00c1a432d.jpg?v=1775610374, friendlyName=Open</x:v>
      </x:c>
      <x:c r="C8341" s="24" t="e">
        <x:f>HYPERLINK("https://365nails.com/products/365nails-antique-golden-relic-gem-inlay-handmade-stiletto-nails","365nails: ""Antique Golden Relic"" – Gem Inlay Handmade Stiletto Nails")</x:f>
        <x:v>HYPERLINK is not implemented. linkLocation=https://365nails.com/products/365nails-antique-golden-relic-gem-inlay-handmade-stiletto-nails, friendlyName=365nails: "Antique Golden Relic" – Gem Inlay Handmade Stiletto Nails</x:v>
      </x:c>
      <x:c r="D8341" s="18" t="str">
        <x:v>Size: XS / S / M / L</x:v>
      </x:c>
      <x:c r="E8341" s="25" t="str">
        <x:v>$4.99</x:v>
      </x:c>
      <x:c r="F8341" s="19" t="str">
        <x:v>5</x:v>
      </x:c>
    </x:row>
    <x:row r="8342" ht="93" customHeight="1">
      <x:c r="A8342" s="19" t="n">
        <x:v>8339</x:v>
      </x:c>
      <x:c r="B8342" s="22" t="e">
        <x:f>HYPERLINK("https://cdn.shopify.com/s/files/1/0918/6066/4603/files/5c10056b735811b0e2f4257a9171b879.jpg?v=1777647510","Open")</x:f>
        <x:v>HYPERLINK is not implemented. linkLocation=https://cdn.shopify.com/s/files/1/0918/6066/4603/files/5c10056b735811b0e2f4257a9171b879.jpg?v=1777647510, friendlyName=Open</x:v>
      </x:c>
      <x:c r="C8342" s="24" t="e">
        <x:f>HYPERLINK("https://365nails.com/products/365nails-silver-lava-stiletto-handmade-press-on-nails","365nails: ""Silver Lava"" – Stiletto Handmade Press-On Nails")</x:f>
        <x:v>HYPERLINK is not implemented. linkLocation=https://365nails.com/products/365nails-silver-lava-stiletto-handmade-press-on-nails, friendlyName=365nails: "Silver Lava" – Stiletto Handmade Press-On Nails</x:v>
      </x:c>
      <x:c r="D8342" s="18" t="str">
        <x:v>Size: XS / S / M / L</x:v>
      </x:c>
      <x:c r="E8342" s="25" t="str">
        <x:v>$4.49</x:v>
      </x:c>
      <x:c r="F8342" s="19" t="str">
        <x:v>5</x:v>
      </x:c>
    </x:row>
    <x:row r="8343" ht="93" customHeight="1">
      <x:c r="A8343" s="19" t="n">
        <x:v>8340</x:v>
      </x:c>
      <x:c r="B8343" s="22" t="e">
        <x:f>HYPERLINK("https://cdn.shopify.com/s/files/1/0918/6066/4603/files/31276abb20d839aa9643543a0ab3401b.jpg?v=1777646160","Open")</x:f>
        <x:v>HYPERLINK is not implemented. linkLocation=https://cdn.shopify.com/s/files/1/0918/6066/4603/files/31276abb20d839aa9643543a0ab3401b.jpg?v=1777646160, friendlyName=Open</x:v>
      </x:c>
      <x:c r="C8343" s="24" t="e">
        <x:f>HYPERLINK("https://365nails.com/products/365nails-noir-silver-edge-stiletto-handmade-press-on-nails","365nails: ""Noir Silver Edge"" – Stiletto Handmade Press-On Nails")</x:f>
        <x:v>HYPERLINK is not implemented. linkLocation=https://365nails.com/products/365nails-noir-silver-edge-stiletto-handmade-press-on-nails, friendlyName=365nails: "Noir Silver Edge" – Stiletto Handmade Press-On Nails</x:v>
      </x:c>
      <x:c r="D8343" s="18" t="str">
        <x:v>Size: XS / S / M / L</x:v>
      </x:c>
      <x:c r="E8343" s="25" t="str">
        <x:v>$3.99</x:v>
      </x:c>
      <x:c r="F8343" s="19" t="str">
        <x:v>5</x:v>
      </x:c>
    </x:row>
    <x:row r="8344" ht="93" customHeight="1">
      <x:c r="A8344" s="19" t="n">
        <x:v>8341</x:v>
      </x:c>
      <x:c r="B8344" s="22" t="e">
        <x:f>HYPERLINK("https://cdn.shopify.com/s/files/1/0918/6066/4603/files/f93846949d1048cdbe869ae6decc7d55.jpg?v=1777646295","Open")</x:f>
        <x:v>HYPERLINK is not implemented. linkLocation=https://cdn.shopify.com/s/files/1/0918/6066/4603/files/f93846949d1048cdbe869ae6decc7d55.jpg?v=1777646295, friendlyName=Open</x:v>
      </x:c>
      <x:c r="C8344" s="24" t="e">
        <x:f>HYPERLINK("https://365nails.com/products/365nails-amber-aurora-stiletto-handmade-press-on-nails","365nails: ""Amber Aurora"" – Stiletto Handmade Press-On Nails")</x:f>
        <x:v>HYPERLINK is not implemented. linkLocation=https://365nails.com/products/365nails-amber-aurora-stiletto-handmade-press-on-nails, friendlyName=365nails: "Amber Aurora" – Stiletto Handmade Press-On Nails</x:v>
      </x:c>
      <x:c r="D8344" s="18" t="str">
        <x:v>Size: XS / S / M / L</x:v>
      </x:c>
      <x:c r="E8344" s="25" t="str">
        <x:v>$4.99</x:v>
      </x:c>
      <x:c r="F8344" s="19" t="str">
        <x:v>5</x:v>
      </x:c>
    </x:row>
    <x:row r="8345" ht="93" customHeight="1">
      <x:c r="A8345" s="19" t="n">
        <x:v>8342</x:v>
      </x:c>
      <x:c r="B8345" s="22" t="e">
        <x:f>HYPERLINK("https://cdn.shopify.com/s/files/1/0918/6066/4603/files/2495ce6f90e94fc255e50d0bdc78081b.jpg?v=1777715901","Open")</x:f>
        <x:v>HYPERLINK is not implemented. linkLocation=https://cdn.shopify.com/s/files/1/0918/6066/4603/files/2495ce6f90e94fc255e50d0bdc78081b.jpg?v=1777715901, friendlyName=Open</x:v>
      </x:c>
      <x:c r="C8345" s="24" t="e">
        <x:f>HYPERLINK("https://365nails.com/products/365nails-gothic-cross-stiletto-handmade-press-on-nails","365nails: ""Gothic Cross"" – Stiletto Handmade Press-On Nails")</x:f>
        <x:v>HYPERLINK is not implemented. linkLocation=https://365nails.com/products/365nails-gothic-cross-stiletto-handmade-press-on-nails, friendlyName=365nails: "Gothic Cross" – Stiletto Handmade Press-On Nails</x:v>
      </x:c>
      <x:c r="D8345" s="18" t="str">
        <x:v>Size: XS / S / M / L</x:v>
      </x:c>
      <x:c r="E8345" s="25" t="str">
        <x:v>$5.49</x:v>
      </x:c>
      <x:c r="F8345" s="19" t="str">
        <x:v>5</x:v>
      </x:c>
    </x:row>
    <x:row r="8346" ht="93" customHeight="1">
      <x:c r="A8346" s="19" t="n">
        <x:v>8343</x:v>
      </x:c>
      <x:c r="B8346" s="22" t="e">
        <x:f>HYPERLINK("https://cdn.shopify.com/s/files/1/0918/6066/4603/files/a9edbba1c27ba32c5e7d0892ca36817d.jpg?v=1777647721","Open")</x:f>
        <x:v>HYPERLINK is not implemented. linkLocation=https://cdn.shopify.com/s/files/1/0918/6066/4603/files/a9edbba1c27ba32c5e7d0892ca36817d.jpg?v=1777647721, friendlyName=Open</x:v>
      </x:c>
      <x:c r="C8346" s="24" t="e">
        <x:f>HYPERLINK("https://365nails.com/products/365nails-tropical-orchid-leopard-coffin-handmade-press-on-nails","365nails: ""Tropical Orchid Leopard"" – Coffin Handmade Press-On Nails")</x:f>
        <x:v>HYPERLINK is not implemented. linkLocation=https://365nails.com/products/365nails-tropical-orchid-leopard-coffin-handmade-press-on-nails, friendlyName=365nails: "Tropical Orchid Leopard" – Coffin Handmade Press-On Nails</x:v>
      </x:c>
      <x:c r="D8346" s="18" t="str">
        <x:v>Size: XS / S / M / L</x:v>
      </x:c>
      <x:c r="E8346" s="25" t="str">
        <x:v>$6.49</x:v>
      </x:c>
      <x:c r="F8346" s="19" t="str">
        <x:v>5</x:v>
      </x:c>
    </x:row>
    <x:row r="8347" ht="93" customHeight="1">
      <x:c r="A8347" s="19" t="n">
        <x:v>8344</x:v>
      </x:c>
      <x:c r="B8347" s="22" t="e">
        <x:f>HYPERLINK("https://cdn.shopify.com/s/files/1/0918/6066/4603/files/f6d649c366960b76c2bc954c1c4d6d0b.jpg?v=1777646877","Open")</x:f>
        <x:v>HYPERLINK is not implemented. linkLocation=https://cdn.shopify.com/s/files/1/0918/6066/4603/files/f6d649c366960b76c2bc954c1c4d6d0b.jpg?v=1777646877, friendlyName=Open</x:v>
      </x:c>
      <x:c r="C8347" s="24" t="e">
        <x:f>HYPERLINK("https://365nails.com/products/365nails-amber-feather-french-stiletto-handmade-press-on-nails","365nails: ""Amber Feather French"" – Stiletto Handmade Press-On Nails")</x:f>
        <x:v>HYPERLINK is not implemented. linkLocation=https://365nails.com/products/365nails-amber-feather-french-stiletto-handmade-press-on-nails, friendlyName=365nails: "Amber Feather French" – Stiletto Handmade Press-On Nails</x:v>
      </x:c>
      <x:c r="D8347" s="18" t="str">
        <x:v>Size: XS / S / M / L</x:v>
      </x:c>
      <x:c r="E8347" s="25" t="str">
        <x:v>$4.49</x:v>
      </x:c>
      <x:c r="F8347" s="19" t="str">
        <x:v>5</x:v>
      </x:c>
    </x:row>
    <x:row r="8348" ht="93" customHeight="1">
      <x:c r="A8348" s="19" t="n">
        <x:v>8345</x:v>
      </x:c>
      <x:c r="B8348" s="22" t="e">
        <x:f>HYPERLINK("https://cdn.shopify.com/s/files/1/0918/6066/4603/files/4e74805979d6405ca9ff58497795bdec.jpg?v=1775611649","Open")</x:f>
        <x:v>HYPERLINK is not implemented. linkLocation=https://cdn.shopify.com/s/files/1/0918/6066/4603/files/4e74805979d6405ca9ff58497795bdec.jpg?v=1775611649, friendlyName=Open</x:v>
      </x:c>
      <x:c r="C8348" s="24" t="e">
        <x:f>HYPERLINK("https://365nails.com/products/365nails-snake-skin-french-coffin-handmade-press-on-nails","365nails: ""Snake Skin French"" – Coffin Handmade Press-On Nails")</x:f>
        <x:v>HYPERLINK is not implemented. linkLocation=https://365nails.com/products/365nails-snake-skin-french-coffin-handmade-press-on-nails, friendlyName=365nails: "Snake Skin French" – Coffin Handmade Press-On Nails</x:v>
      </x:c>
      <x:c r="D8348" s="18" t="str">
        <x:v>Size: XS / S / M / L</x:v>
      </x:c>
      <x:c r="E8348" s="25" t="str">
        <x:v>$4.99</x:v>
      </x:c>
      <x:c r="F8348" s="19" t="str">
        <x:v>5</x:v>
      </x:c>
    </x:row>
    <x:row r="8349" ht="93" customHeight="1">
      <x:c r="A8349" s="19" t="n">
        <x:v>8346</x:v>
      </x:c>
      <x:c r="B8349" s="22" t="e">
        <x:f>HYPERLINK("https://cdn.shopify.com/s/files/1/0918/6066/4603/files/2f8ecee8903e4ff8033bab84b79d58e6.jpg?v=1775611233","Open")</x:f>
        <x:v>HYPERLINK is not implemented. linkLocation=https://cdn.shopify.com/s/files/1/0918/6066/4603/files/2f8ecee8903e4ff8033bab84b79d58e6.jpg?v=1775611233, friendlyName=Open</x:v>
      </x:c>
      <x:c r="C8349" s="24" t="e">
        <x:f>HYPERLINK("https://365nails.com/products/365nails-black-serpent-stiletto-handmade-press-on-nails","365nails: ""Black Serpent"" – Stiletto Handmade Press-On Nails")</x:f>
        <x:v>HYPERLINK is not implemented. linkLocation=https://365nails.com/products/365nails-black-serpent-stiletto-handmade-press-on-nails, friendlyName=365nails: "Black Serpent" – Stiletto Handmade Press-On Nails</x:v>
      </x:c>
      <x:c r="D8349" s="18" t="str">
        <x:v>Size: XS / S / M / L</x:v>
      </x:c>
      <x:c r="E8349" s="25" t="str">
        <x:v>$4.99</x:v>
      </x:c>
      <x:c r="F8349" s="19" t="str">
        <x:v>5</x:v>
      </x:c>
    </x:row>
    <x:row r="8350" ht="93" customHeight="1">
      <x:c r="A8350" s="19" t="n">
        <x:v>8347</x:v>
      </x:c>
      <x:c r="B8350" s="22" t="e">
        <x:f>HYPERLINK("https://cdn.shopify.com/s/files/1/0918/6066/4603/files/e12768f5d4f660844eb010e2a799fbed.jpg?v=1775654060","Open")</x:f>
        <x:v>HYPERLINK is not implemented. linkLocation=https://cdn.shopify.com/s/files/1/0918/6066/4603/files/e12768f5d4f660844eb010e2a799fbed.jpg?v=1775654060, friendlyName=Open</x:v>
      </x:c>
      <x:c r="C8350" s="24" t="e">
        <x:f>HYPERLINK("https://365nails.com/products/365nails-silk-wrap-noir-coffin-handmade-press-on-nails","365nails: ""Silk Wrap Noir"" – Coffin Handmade Press-On Nails")</x:f>
        <x:v>HYPERLINK is not implemented. linkLocation=https://365nails.com/products/365nails-silk-wrap-noir-coffin-handmade-press-on-nails, friendlyName=365nails: "Silk Wrap Noir" – Coffin Handmade Press-On Nails</x:v>
      </x:c>
      <x:c r="D8350" s="18" t="str">
        <x:v>Size: XS / S / M / L</x:v>
      </x:c>
      <x:c r="E8350" s="25" t="str">
        <x:v>$3.99</x:v>
      </x:c>
      <x:c r="F8350" s="19" t="str">
        <x:v>5</x:v>
      </x:c>
    </x:row>
    <x:row r="8351" ht="93" customHeight="1">
      <x:c r="A8351" s="19" t="n">
        <x:v>8348</x:v>
      </x:c>
      <x:c r="B8351" s="22" t="e">
        <x:f>HYPERLINK("https://cdn.shopify.com/s/files/1/0918/6066/4603/files/3ecf18e3df0b0be36b2e551831262d18.jpg?v=1777647789","Open")</x:f>
        <x:v>HYPERLINK is not implemented. linkLocation=https://cdn.shopify.com/s/files/1/0918/6066/4603/files/3ecf18e3df0b0be36b2e551831262d18.jpg?v=1777647789, friendlyName=Open</x:v>
      </x:c>
      <x:c r="C8351" s="24" t="e">
        <x:f>HYPERLINK("https://365nails.com/products/365nails-vintage-bronze-chain-stiletto-handmade-press-on-nails","365nails: ""Vintage Bronze Chain"" – Stiletto Handmade Press-On Nails")</x:f>
        <x:v>HYPERLINK is not implemented. linkLocation=https://365nails.com/products/365nails-vintage-bronze-chain-stiletto-handmade-press-on-nails, friendlyName=365nails: "Vintage Bronze Chain" – Stiletto Handmade Press-On Nails</x:v>
      </x:c>
      <x:c r="D8351" s="18" t="str">
        <x:v>Size: XS / S / M / L</x:v>
      </x:c>
      <x:c r="E8351" s="25" t="str">
        <x:v>$5.49</x:v>
      </x:c>
      <x:c r="F8351" s="19" t="str">
        <x:v>5</x:v>
      </x:c>
    </x:row>
    <x:row r="8352" ht="93" customHeight="1">
      <x:c r="A8352" s="19" t="n">
        <x:v>8349</x:v>
      </x:c>
      <x:c r="B8352" s="22" t="e">
        <x:f>HYPERLINK("https://cdn.shopify.com/s/files/1/0918/6066/4603/files/fdbd2ae0e31c7565bcd95038c78fda69.jpg?v=1777646585","Open")</x:f>
        <x:v>HYPERLINK is not implemented. linkLocation=https://cdn.shopify.com/s/files/1/0918/6066/4603/files/fdbd2ae0e31c7565bcd95038c78fda69.jpg?v=1777646585, friendlyName=Open</x:v>
      </x:c>
      <x:c r="C8352" s="24" t="e">
        <x:f>HYPERLINK("https://365nails.com/products/365nails-gothic-cross-ombre-stiletto-handmade-press-on-nails","365nails: ""Gothic Cross Ombre"" – Stiletto Handmade Press-On Nails")</x:f>
        <x:v>HYPERLINK is not implemented. linkLocation=https://365nails.com/products/365nails-gothic-cross-ombre-stiletto-handmade-press-on-nails, friendlyName=365nails: "Gothic Cross Ombre" – Stiletto Handmade Press-On Nails</x:v>
      </x:c>
      <x:c r="D8352" s="18" t="str">
        <x:v>Size: XS / S / M / L</x:v>
      </x:c>
      <x:c r="E8352" s="25" t="str">
        <x:v>$4.99</x:v>
      </x:c>
      <x:c r="F8352" s="19" t="str">
        <x:v>5</x:v>
      </x:c>
    </x:row>
    <x:row r="8353" ht="93" customHeight="1">
      <x:c r="A8353" s="19" t="n">
        <x:v>8350</x:v>
      </x:c>
      <x:c r="B8353" s="22" t="e">
        <x:f>HYPERLINK("https://cdn.shopify.com/s/files/1/0918/6066/4603/files/51cb378e22f7079ed79b3281f4016be8.jpg?v=1777647546","Open")</x:f>
        <x:v>HYPERLINK is not implemented. linkLocation=https://cdn.shopify.com/s/files/1/0918/6066/4603/files/51cb378e22f7079ed79b3281f4016be8.jpg?v=1777647546, friendlyName=Open</x:v>
      </x:c>
      <x:c r="C8353" s="24" t="e">
        <x:f>HYPERLINK("https://365nails.com/products/365nails-autumn-leaf-carving-coffin-handmade-press-on-nails","365nails: ""Autumn Leaf Carving"" – Coffin Handmade Press-On Nails")</x:f>
        <x:v>HYPERLINK is not implemented. linkLocation=https://365nails.com/products/365nails-autumn-leaf-carving-coffin-handmade-press-on-nails, friendlyName=365nails: "Autumn Leaf Carving" – Coffin Handmade Press-On Nails</x:v>
      </x:c>
      <x:c r="D8353" s="18" t="str">
        <x:v>Size: XS / S / M / L</x:v>
      </x:c>
      <x:c r="E8353" s="25" t="str">
        <x:v>$4.99</x:v>
      </x:c>
      <x:c r="F8353" s="19" t="str">
        <x:v>5</x:v>
      </x:c>
    </x:row>
    <x:row r="8354" ht="93" customHeight="1">
      <x:c r="A8354" s="19" t="n">
        <x:v>8351</x:v>
      </x:c>
      <x:c r="B8354" s="22" t="e">
        <x:f>HYPERLINK("https://cdn.shopify.com/s/files/1/0918/6066/4603/files/6df47a3206bd65ef63d0c80bb09a6b72.jpg?v=1775654746","Open")</x:f>
        <x:v>HYPERLINK is not implemented. linkLocation=https://cdn.shopify.com/s/files/1/0918/6066/4603/files/6df47a3206bd65ef63d0c80bb09a6b72.jpg?v=1775654746, friendlyName=Open</x:v>
      </x:c>
      <x:c r="C8354" s="24" t="e">
        <x:f>HYPERLINK("https://365nails.com/products/365nails-ruby-serpent-coffin-handmade-press-on-nails","365nails: ""Ruby Serpent"" – Coffin Handmade Press-On Nails")</x:f>
        <x:v>HYPERLINK is not implemented. linkLocation=https://365nails.com/products/365nails-ruby-serpent-coffin-handmade-press-on-nails, friendlyName=365nails: "Ruby Serpent" – Coffin Handmade Press-On Nails</x:v>
      </x:c>
      <x:c r="D8354" s="18" t="str">
        <x:v>Size: XS / S / M / L</x:v>
      </x:c>
      <x:c r="E8354" s="25" t="str">
        <x:v>$5.49</x:v>
      </x:c>
      <x:c r="F8354" s="19" t="str">
        <x:v>5</x:v>
      </x:c>
    </x:row>
    <x:row r="8355" ht="93" customHeight="1">
      <x:c r="A8355" s="19" t="n">
        <x:v>8352</x:v>
      </x:c>
      <x:c r="B8355" s="22" t="e">
        <x:f>HYPERLINK("https://cdn.shopify.com/s/files/1/0918/6066/4603/files/3bb905ba50d975bc397aad354b062c48.jpg?v=1777646766","Open")</x:f>
        <x:v>HYPERLINK is not implemented. linkLocation=https://cdn.shopify.com/s/files/1/0918/6066/4603/files/3bb905ba50d975bc397aad354b062c48.jpg?v=1777646766, friendlyName=Open</x:v>
      </x:c>
      <x:c r="C8355" s="24" t="e">
        <x:f>HYPERLINK("https://365nails.com/products/365nails-amber-blue-blossom-stiletto-handmade-press-on-nails","365nails: ""Amber Blue Blossom"" – Stiletto Handmade Press-On Nails")</x:f>
        <x:v>HYPERLINK is not implemented. linkLocation=https://365nails.com/products/365nails-amber-blue-blossom-stiletto-handmade-press-on-nails, friendlyName=365nails: "Amber Blue Blossom" – Stiletto Handmade Press-On Nails</x:v>
      </x:c>
      <x:c r="D8355" s="18" t="str">
        <x:v>Size: XS / S / M / L</x:v>
      </x:c>
      <x:c r="E8355" s="25" t="str">
        <x:v>$5.49</x:v>
      </x:c>
      <x:c r="F8355" s="19" t="str">
        <x:v>5</x:v>
      </x:c>
    </x:row>
    <x:row r="8356" ht="93" customHeight="1">
      <x:c r="A8356" s="19" t="n">
        <x:v>8353</x:v>
      </x:c>
      <x:c r="B8356" s="22" t="e">
        <x:f>HYPERLINK("https://cdn.shopify.com/s/files/1/0918/6066/4603/files/4f1ff5d269a05163375e93653f42d822.jpg?v=1777647252","Open")</x:f>
        <x:v>HYPERLINK is not implemented. linkLocation=https://cdn.shopify.com/s/files/1/0918/6066/4603/files/4f1ff5d269a05163375e93653f42d822.jpg?v=1777647252, friendlyName=Open</x:v>
      </x:c>
      <x:c r="C8356" s="24" t="e">
        <x:f>HYPERLINK("https://365nails.com/products/365nails-desert-viper-stiletto-handmade-press-on-nails","365nails: ""Desert Viper"" – Stiletto Handmade Press-On Nails")</x:f>
        <x:v>HYPERLINK is not implemented. linkLocation=https://365nails.com/products/365nails-desert-viper-stiletto-handmade-press-on-nails, friendlyName=365nails: "Desert Viper" – Stiletto Handmade Press-On Nails</x:v>
      </x:c>
      <x:c r="D8356" s="18" t="str">
        <x:v>Size: XS / S / M / L</x:v>
      </x:c>
      <x:c r="E8356" s="25" t="str">
        <x:v>$6.49</x:v>
      </x:c>
      <x:c r="F8356" s="19" t="str">
        <x:v>5</x:v>
      </x:c>
    </x:row>
    <x:row r="8357" ht="93" customHeight="1">
      <x:c r="A8357" s="19" t="n">
        <x:v>8354</x:v>
      </x:c>
      <x:c r="B8357" s="22" t="e">
        <x:f>HYPERLINK("https://cdn.shopify.com/s/files/1/0918/6066/4603/files/4fe7e47bc7641efd46d71856cb2c2181.jpg?v=1777647345","Open")</x:f>
        <x:v>HYPERLINK is not implemented. linkLocation=https://cdn.shopify.com/s/files/1/0918/6066/4603/files/4fe7e47bc7641efd46d71856cb2c2181.jpg?v=1777647345, friendlyName=Open</x:v>
      </x:c>
      <x:c r="C8357" s="24" t="e">
        <x:f>HYPERLINK("https://365nails.com/products/365nails-amber-tortoise-coffin-handmade-press-on-nails","365nails: ""Amber Tortoise"" – Coffin Handmade Press-On Nails")</x:f>
        <x:v>HYPERLINK is not implemented. linkLocation=https://365nails.com/products/365nails-amber-tortoise-coffin-handmade-press-on-nails, friendlyName=365nails: "Amber Tortoise" – Coffin Handmade Press-On Nails</x:v>
      </x:c>
      <x:c r="D8357" s="18" t="str">
        <x:v>Size: XS / S / M / L</x:v>
      </x:c>
      <x:c r="E8357" s="25" t="str">
        <x:v>$4.99</x:v>
      </x:c>
      <x:c r="F8357" s="19" t="str">
        <x:v>5</x:v>
      </x:c>
    </x:row>
    <x:row r="8358" ht="93" customHeight="1">
      <x:c r="A8358" s="19" t="n">
        <x:v>8355</x:v>
      </x:c>
      <x:c r="B8358" s="22" t="e">
        <x:f>HYPERLINK("https://cdn.shopify.com/s/files/1/0918/6066/4603/files/a5c6ca282f9bc2733d4a37c77f52db01.jpg?v=1777646236","Open")</x:f>
        <x:v>HYPERLINK is not implemented. linkLocation=https://cdn.shopify.com/s/files/1/0918/6066/4603/files/a5c6ca282f9bc2733d4a37c77f52db01.jpg?v=1777646236, friendlyName=Open</x:v>
      </x:c>
      <x:c r="C8358" s="24" t="e">
        <x:f>HYPERLINK("https://365nails.com/products/365nails-burgundy-grey-split-stiletto-handmade-press-on-nails","365nails: ""Burgundy Grey Split"" – Stiletto Handmade Press-On Nails")</x:f>
        <x:v>HYPERLINK is not implemented. linkLocation=https://365nails.com/products/365nails-burgundy-grey-split-stiletto-handmade-press-on-nails, friendlyName=365nails: "Burgundy Grey Split" – Stiletto Handmade Press-On Nails</x:v>
      </x:c>
      <x:c r="D8358" s="18" t="str">
        <x:v>Size: XS / S / M / L</x:v>
      </x:c>
      <x:c r="E8358" s="25" t="str">
        <x:v>$3.99</x:v>
      </x:c>
      <x:c r="F8358" s="19" t="str">
        <x:v>5</x:v>
      </x:c>
    </x:row>
    <x:row r="8359" ht="93" customHeight="1">
      <x:c r="A8359" s="19" t="n">
        <x:v>8356</x:v>
      </x:c>
      <x:c r="B8359" s="22" t="e">
        <x:f>HYPERLINK("https://cdn.shopify.com/s/files/1/0918/6066/4603/files/4d491c50c8edd60bd4fc9fcaeff3da4f.jpg?v=1775653361","Open")</x:f>
        <x:v>HYPERLINK is not implemented. linkLocation=https://cdn.shopify.com/s/files/1/0918/6066/4603/files/4d491c50c8edd60bd4fc9fcaeff3da4f.jpg?v=1775653361, friendlyName=Open</x:v>
      </x:c>
      <x:c r="C8359" s="24" t="e">
        <x:f>HYPERLINK("https://365nails.com/products/365nails-noir-starlight-coffin-handmade-press-on-nails","365nails: ""Noir Starlight"" – Coffin Handmade Press-On Nails")</x:f>
        <x:v>HYPERLINK is not implemented. linkLocation=https://365nails.com/products/365nails-noir-starlight-coffin-handmade-press-on-nails, friendlyName=365nails: "Noir Starlight" – Coffin Handmade Press-On Nails</x:v>
      </x:c>
      <x:c r="D8359" s="18" t="str">
        <x:v>Size: XS / S / M / L</x:v>
      </x:c>
      <x:c r="E8359" s="25" t="str">
        <x:v>$4.99</x:v>
      </x:c>
      <x:c r="F8359" s="19" t="str">
        <x:v>5</x:v>
      </x:c>
    </x:row>
    <x:row r="8360" ht="93" customHeight="1">
      <x:c r="A8360" s="19" t="n">
        <x:v>8357</x:v>
      </x:c>
      <x:c r="B8360" s="22" t="e">
        <x:f>HYPERLINK("https://cdn.shopify.com/s/files/1/0918/6066/4603/files/50ac22426ec11fec8c71442799f2e7d6.jpg?v=1777645895","Open")</x:f>
        <x:v>HYPERLINK is not implemented. linkLocation=https://cdn.shopify.com/s/files/1/0918/6066/4603/files/50ac22426ec11fec8c71442799f2e7d6.jpg?v=1777645895, friendlyName=Open</x:v>
      </x:c>
      <x:c r="C8360" s="24" t="e">
        <x:f>HYPERLINK("https://365nails.com/products/365nails-modern-contrast-mix-coffin-handmade-press-on-nails","365nails: ""Modern Contrast Mix"" – Coffin Handmade Press-On Nails")</x:f>
        <x:v>HYPERLINK is not implemented. linkLocation=https://365nails.com/products/365nails-modern-contrast-mix-coffin-handmade-press-on-nails, friendlyName=365nails: "Modern Contrast Mix" – Coffin Handmade Press-On Nails</x:v>
      </x:c>
      <x:c r="D8360" s="18" t="str">
        <x:v>Size: XS / S / M / L</x:v>
      </x:c>
      <x:c r="E8360" s="25" t="str">
        <x:v>$5.49</x:v>
      </x:c>
      <x:c r="F8360" s="19" t="str">
        <x:v>5</x:v>
      </x:c>
    </x:row>
    <x:row r="8361" ht="93" customHeight="1">
      <x:c r="A8361" s="19" t="n">
        <x:v>8358</x:v>
      </x:c>
      <x:c r="B8361" s="22" t="e">
        <x:f>HYPERLINK("https://cdn.shopify.com/s/files/1/0918/6066/4603/files/6380b820833b39507bb92770bfa19c51.jpg?v=1777646098","Open")</x:f>
        <x:v>HYPERLINK is not implemented. linkLocation=https://cdn.shopify.com/s/files/1/0918/6066/4603/files/6380b820833b39507bb92770bfa19c51.jpg?v=1777646098, friendlyName=Open</x:v>
      </x:c>
      <x:c r="C8361" s="24" t="e">
        <x:f>HYPERLINK("https://365nails.com/products/365nails-metallic-snake-scale-stiletto-handmade-press-on-nails","365nails: ""Metallic Snake Scale"" – Stiletto Handmade Press-On Nails")</x:f>
        <x:v>HYPERLINK is not implemented. linkLocation=https://365nails.com/products/365nails-metallic-snake-scale-stiletto-handmade-press-on-nails, friendlyName=365nails: "Metallic Snake Scale" – Stiletto Handmade Press-On Nails</x:v>
      </x:c>
      <x:c r="D8361" s="18" t="str">
        <x:v>Size: XS / S / M / L</x:v>
      </x:c>
      <x:c r="E8361" s="25" t="str">
        <x:v>$4.49</x:v>
      </x:c>
      <x:c r="F8361" s="19" t="str">
        <x:v>5</x:v>
      </x:c>
    </x:row>
    <x:row r="8362" ht="93" customHeight="1">
      <x:c r="A8362" s="19" t="n">
        <x:v>8359</x:v>
      </x:c>
      <x:c r="B8362" s="22" t="e">
        <x:f>HYPERLINK("https://cdn.shopify.com/s/files/1/0918/6066/4603/files/fac7a9075f2c871df4451e2273187d88.jpg?v=1777725710","Open")</x:f>
        <x:v>HYPERLINK is not implemented. linkLocation=https://cdn.shopify.com/s/files/1/0918/6066/4603/files/fac7a9075f2c871df4451e2273187d88.jpg?v=1777725710, friendlyName=Open</x:v>
      </x:c>
      <x:c r="C8362" s="24" t="e">
        <x:f>HYPERLINK("https://365nails.com/products/365nails-crimson-gem-romance-ombre-rhinestone-handmade-coffin-nails-1","365nails: ""Crimson Gem Romance"" – Ombre Rhinestone Handmade Coffin Nails")</x:f>
        <x:v>HYPERLINK is not implemented. linkLocation=https://365nails.com/products/365nails-crimson-gem-romance-ombre-rhinestone-handmade-coffin-nails-1, friendlyName=365nails: "Crimson Gem Romance" – Ombre Rhinestone Handmade Coffin Nails</x:v>
      </x:c>
      <x:c r="D8362" s="18" t="str">
        <x:v>Size: XS / S / M / L</x:v>
      </x:c>
      <x:c r="E8362" s="25" t="str">
        <x:v>$5.49</x:v>
      </x:c>
      <x:c r="F8362" s="19" t="str">
        <x:v>5</x:v>
      </x:c>
    </x:row>
    <x:row r="8363" ht="93" customHeight="1">
      <x:c r="A8363" s="19" t="n">
        <x:v>8360</x:v>
      </x:c>
      <x:c r="B8363" s="22" t="e">
        <x:f>HYPERLINK("https://cdn.shopify.com/s/files/1/0918/6066/4603/files/8c3f7e512d419ec32d15e4e4f906351a.jpg?v=1775378464","Open")</x:f>
        <x:v>HYPERLINK is not implemented. linkLocation=https://cdn.shopify.com/s/files/1/0918/6066/4603/files/8c3f7e512d419ec32d15e4e4f906351a.jpg?v=1775378464, friendlyName=Open</x:v>
      </x:c>
      <x:c r="C8363" s="24" t="e">
        <x:f>HYPERLINK("https://365nails.com/products/365nails-crimson-gem-romance-ombre-rhinestone-handmade-coffin-nails","365nails: ""Crimson Gem Romance"" – Ombre Rhinestone Handmade Coffin Nails")</x:f>
        <x:v>HYPERLINK is not implemented. linkLocation=https://365nails.com/products/365nails-crimson-gem-romance-ombre-rhinestone-handmade-coffin-nails, friendlyName=365nails: "Crimson Gem Romance" – Ombre Rhinestone Handmade Coffin Nails</x:v>
      </x:c>
      <x:c r="D8363" s="18" t="str">
        <x:v>Size: XS / S / M / L</x:v>
      </x:c>
      <x:c r="E8363" s="25" t="str">
        <x:v>$5.49</x:v>
      </x:c>
      <x:c r="F8363" s="19" t="str">
        <x:v>5</x:v>
      </x:c>
    </x:row>
    <x:row r="8364" ht="93" customHeight="1">
      <x:c r="A8364" s="19" t="n">
        <x:v>8361</x:v>
      </x:c>
      <x:c r="B8364" s="22" t="e">
        <x:f>HYPERLINK("https://cdn.shopify.com/s/files/1/0918/6066/4603/files/O1CN01cmkdiP1EwZd6VFq7G__2209441440416-0-cib_a372ec95-1d70-4cb9-9bde-1f4f2fba8306.jpg?v=1767506726","Open")</x:f>
        <x:v>HYPERLINK is not implemented. linkLocation=https://cdn.shopify.com/s/files/1/0918/6066/4603/files/O1CN01cmkdiP1EwZd6VFq7G__2209441440416-0-cib_a372ec95-1d70-4cb9-9bde-1f4f2fba8306.jpg?v=1767506726, friendlyName=Open</x:v>
      </x:c>
      <x:c r="C8364" s="24" t="e">
        <x:f>HYPERLINK("https://365nails.com/products/minimal-hang-tab-window-press-on-nail-box","Minimal Hang Tab Window Press On Nail Box (MOQ=100)")</x:f>
        <x:v>HYPERLINK is not implemented. linkLocation=https://365nails.com/products/minimal-hang-tab-window-press-on-nail-box, friendlyName=Minimal Hang Tab Window Press On Nail Box (MOQ=100)</x:v>
      </x:c>
      <x:c r="D8364" s="18" t="str">
        <x:v>Color classification: Fat white english box 13.5*7*1.5 / Square nail blister / Water drop blister / Bl blister / Fat purple english box 13.5*7*1.5 / Slim purple english box 13.5*7*1.2; Quantity: 100pcs</x:v>
      </x:c>
      <x:c r="E8364" s="25" t="str">
        <x:v>$3.00</x:v>
      </x:c>
      <x:c r="F8364" s="19" t="str">
        <x:v>1</x:v>
      </x:c>
    </x:row>
    <x:row r="8365" ht="93" customHeight="1">
      <x:c r="A8365" s="19" t="n">
        <x:v>8362</x:v>
      </x:c>
      <x:c r="B8365" s="22" t="e">
        <x:f>HYPERLINK("https://cdn.shopify.com/s/files/1/0918/6066/4603/files/f4d6fa996b800b5dc15a4a1813cc368e.jpg?v=1775202368","Open")</x:f>
        <x:v>HYPERLINK is not implemented. linkLocation=https://cdn.shopify.com/s/files/1/0918/6066/4603/files/f4d6fa996b800b5dc15a4a1813cc368e.jpg?v=1775202368, friendlyName=Open</x:v>
      </x:c>
      <x:c r="C8365" s="24" t="e">
        <x:f>HYPERLINK("https://365nails.com/products/365nails-vintage-stained-glass-hand-painted-mosaic-ombre-handmade-oval-nails","Luxury Logo 365nails: ""Vintage Stained Glass"" – Hand-painted Mosaic &amp; Ombre Handmade Oval Nails")</x:f>
        <x:v>HYPERLINK is not implemented. linkLocation=https://365nails.com/products/365nails-vintage-stained-glass-hand-painted-mosaic-ombre-handmade-oval-nails, friendlyName=Luxury Logo 365nails: "Vintage Stained Glass" – Hand-painted Mosaic &amp; Ombre Handmade Oval Nails</x:v>
      </x:c>
      <x:c r="D8365" s="18" t="str">
        <x:v>Size: XS / S / M / L</x:v>
      </x:c>
      <x:c r="E8365" s="25" t="str">
        <x:v>$6.99</x:v>
      </x:c>
      <x:c r="F8365" s="19" t="str">
        <x:v>3</x:v>
      </x:c>
    </x:row>
    <x:row r="8366" ht="93" customHeight="1">
      <x:c r="A8366" s="19" t="n">
        <x:v>8363</x:v>
      </x:c>
      <x:c r="B8366" s="22" t="e">
        <x:f>HYPERLINK("https://cdn.shopify.com/s/files/1/0918/6066/4603/files/545e026b212c9dce20ec19a632460997.jpg?v=1772976729","Open")</x:f>
        <x:v>HYPERLINK is not implemented. linkLocation=https://cdn.shopify.com/s/files/1/0918/6066/4603/files/545e026b212c9dce20ec19a632460997.jpg?v=1772976729, friendlyName=Open</x:v>
      </x:c>
      <x:c r="C8366" s="24" t="e">
        <x:f>HYPERLINK("https://365nails.com/products/drama-collection-extended-c-arc-ballet-extended-c-arc-ballet-nail-tips","Drama Collection: ""Extended C-Arc Ballet"" – Extended C-Arc Ballet Nail Tips")</x:f>
        <x:v>HYPERLINK is not implemented. linkLocation=https://365nails.com/products/drama-collection-extended-c-arc-ballet-extended-c-arc-ballet-nail-tips, friendlyName=Drama Collection: "Extended C-Arc Ballet" – Extended C-Arc Ballet Nail Tips</x:v>
      </x:c>
      <x:c r="D8366" s="18" t="str">
        <x:v>Color: Transparent color-360 bags / Natural color-360 bags / Transparent color-300 boxes / Natural color-300 box</x:v>
      </x:c>
      <x:c r="E8366" s="25" t="str">
        <x:v>$2.02–$2.35</x:v>
      </x:c>
      <x:c r="F8366" s="19" t="str">
        <x:v>3</x:v>
      </x:c>
    </x:row>
    <x:row r="8367" ht="93" customHeight="1">
      <x:c r="A8367" s="19" t="n">
        <x:v>8364</x:v>
      </x:c>
      <x:c r="B8367" s="22" t="e">
        <x:f>HYPERLINK("https://cdn.shopify.com/s/files/1/0918/6066/4603/files/O1CN01Iqj7yk1CPwQ1cDx7O__2213196780074-0-cib_27092b78-da75-4081-879a-767ace371377.jpg?v=1777119897","Open")</x:f>
        <x:v>HYPERLINK is not implemented. linkLocation=https://cdn.shopify.com/s/files/1/0918/6066/4603/files/O1CN01Iqj7yk1CPwQ1cDx7O__2213196780074-0-cib_27092b78-da75-4081-879a-767ace371377.jpg?v=1777119897, friendlyName=Open</x:v>
      </x:c>
      <x:c r="C8367" s="24" t="e">
        <x:f>HYPERLINK("https://365nails.com/products/365nails-gilded-secret-black-gold-butterfly-handmade-press-on-nails","365nails: ""Gilded Secret"" – Black Gold Butterfly Handmade Press on Nails")</x:f>
        <x:v>HYPERLINK is not implemented. linkLocation=https://365nails.com/products/365nails-gilded-secret-black-gold-butterfly-handmade-press-on-nails, friendlyName=365nails: "Gilded Secret" – Black Gold Butterfly Handmade Press on Nails</x:v>
      </x:c>
      <x:c r="D8367" s="18" t="str">
        <x:v>Color: 2926-super short ladder / 2928-short oval; Color classification: Extra small size xs / Small s / Medium m / Large l</x:v>
      </x:c>
      <x:c r="E8367" s="25" t="str">
        <x:v>$3.49</x:v>
      </x:c>
      <x:c r="F8367" s="19" t="str">
        <x:v>1</x:v>
      </x:c>
    </x:row>
    <x:row r="8368" ht="93" customHeight="1">
      <x:c r="A8368" s="19" t="n">
        <x:v>8365</x:v>
      </x:c>
      <x:c r="B8368" s="22" t="e">
        <x:f>HYPERLINK("https://cdn.shopify.com/s/files/1/0918/6066/4603/files/O1CN01Cx0XgA2MQzf85WtMr__2219089449823-0-cib.jpg?v=1774452868","Open")</x:f>
        <x:v>HYPERLINK is not implemented. linkLocation=https://cdn.shopify.com/s/files/1/0918/6066/4603/files/O1CN01Cx0XgA2MQzf85WtMr__2219089449823-0-cib.jpg?v=1774452868, friendlyName=Open</x:v>
      </x:c>
      <x:c r="C8368" s="24" t="e">
        <x:f>HYPERLINK("https://365nails.com/products/spring-blossom-cherry-pearl-glow-almond-shape-handmade-press-ons","Spring Blossom: ""Cherry Pearl Glow"" – Almond Shape Handmade Press-Ons")</x:f>
        <x:v>HYPERLINK is not implemented. linkLocation=https://365nails.com/products/spring-blossom-cherry-pearl-glow-almond-shape-handmade-press-ons, friendlyName=Spring Blossom: "Cherry Pearl Glow" – Almond Shape Handmade Press-Ons</x:v>
      </x:c>
      <x:c r="D8368" s="18" t="str">
        <x:v>Color: D599; Color classification: X s / S / M / L</x:v>
      </x:c>
      <x:c r="E8368" s="25" t="str">
        <x:v>$3.49</x:v>
      </x:c>
      <x:c r="F8368" s="19" t="str">
        <x:v>1</x:v>
      </x:c>
    </x:row>
    <x:row r="8369" ht="93" customHeight="1">
      <x:c r="A8369" s="19" t="n">
        <x:v>8366</x:v>
      </x:c>
      <x:c r="B8369" s="22" t="e">
        <x:f>HYPERLINK("https://cdn.shopify.com/s/files/1/0918/6066/4603/files/f17692ccb0744b21960ea9be859c268b.jpg?v=1776326195","Open")</x:f>
        <x:v>HYPERLINK is not implemented. linkLocation=https://cdn.shopify.com/s/files/1/0918/6066/4603/files/f17692ccb0744b21960ea9be859c268b.jpg?v=1776326195, friendlyName=Open</x:v>
      </x:c>
      <x:c r="C8369" s="24" t="e">
        <x:f>HYPERLINK("https://365nails.com/products/365nails-bamboo-bear-bliss-3d-panda-character-handmade-short-square-nails","365nails: ""Bamboo Bear Bliss"" – 3D Panda Character Handmade Short Square Nails")</x:f>
        <x:v>HYPERLINK is not implemented. linkLocation=https://365nails.com/products/365nails-bamboo-bear-bliss-3d-panda-character-handmade-short-square-nails, friendlyName=365nails: "Bamboo Bear Bliss" – 3D Panda Character Handmade Short Square Nails</x:v>
      </x:c>
      <x:c r="D8369" s="18" t="str">
        <x:v>Size: XS / S / M / L</x:v>
      </x:c>
      <x:c r="E8369" s="25" t="str">
        <x:v>$3.99</x:v>
      </x:c>
      <x:c r="F8369" s="19" t="str">
        <x:v>5</x:v>
      </x:c>
    </x:row>
    <x:row r="8370" ht="93" customHeight="1">
      <x:c r="A8370" s="19" t="n">
        <x:v>8367</x:v>
      </x:c>
      <x:c r="B8370" s="22" t="e">
        <x:f>HYPERLINK("https://cdn.shopify.com/s/files/1/0918/6066/4603/files/O1CN01kncJsz1HlX6xLl6XR__2545140798-0-cib_100716c9-291d-481b-9917-25f5313294f9.jpg?v=1775806981","Open")</x:f>
        <x:v>HYPERLINK is not implemented. linkLocation=https://cdn.shopify.com/s/files/1/0918/6066/4603/files/O1CN01kncJsz1HlX6xLl6XR__2545140798-0-cib_100716c9-291d-481b-9917-25f5313294f9.jpg?v=1775806981, friendlyName=Open</x:v>
      </x:c>
      <x:c r="C8370" s="24" t="e">
        <x:f>HYPERLINK("https://365nails.com/products/365nails-embossed-cute-garden-handmade-press-on-nails","365nails: ""Embossed Cute Garden"" – Nail Art Stickers")</x:f>
        <x:v>HYPERLINK is not implemented. linkLocation=https://365nails.com/products/365nails-embossed-cute-garden-handmade-press-on-nails, friendlyName=365nails: "Embossed Cute Garden" – Nail Art Stickers</x:v>
      </x:c>
      <x:c r="D8370" s="18" t="str">
        <x:v>Specification type: To5040 / To5078</x:v>
      </x:c>
      <x:c r="E8370" s="25" t="str">
        <x:v>$1.09</x:v>
      </x:c>
      <x:c r="F8370" s="19" t="str">
        <x:v>5</x:v>
      </x:c>
    </x:row>
    <x:row r="8371" ht="93" customHeight="1">
      <x:c r="A8371" s="19" t="n">
        <x:v>8368</x:v>
      </x:c>
      <x:c r="B8371" s="22" t="e">
        <x:f>HYPERLINK("https://cdn.shopify.com/s/files/1/0918/6066/4603/files/O1CN01Y6Y9or1HlX8S39SvH__2545140798-0-cib.jpg?v=1773494159","Open")</x:f>
        <x:v>HYPERLINK is not implemented. linkLocation=https://cdn.shopify.com/s/files/1/0918/6066/4603/files/O1CN01Y6Y9or1HlX8S39SvH__2545140798-0-cib.jpg?v=1773494159, friendlyName=Open</x:v>
      </x:c>
      <x:c r="C8371" s="24" t="e">
        <x:f>HYPERLINK("https://365nails.com/products/gothic-purple-heart-collection-dark-romantic-3d-metallic-nail-sticker","Gothic Purple Heart Collection: ""Dark Romantic"" – 3D Metallic Nail Sticker")</x:f>
        <x:v>HYPERLINK is not implemented. linkLocation=https://365nails.com/products/gothic-purple-heart-collection-dark-romantic-3d-metallic-nail-sticker, friendlyName=Gothic Purple Heart Collection: "Dark Romantic" – 3D Metallic Nail Sticker</x:v>
      </x:c>
      <x:c r="D8371" s="18" t="str">
        <x:v>Specification type: Ms836-metal / Ms837-metal / Ms838-metal / Ms839-metal</x:v>
      </x:c>
      <x:c r="E8371" s="25" t="str">
        <x:v>$1.23</x:v>
      </x:c>
      <x:c r="F8371" s="19" t="str">
        <x:v>5</x:v>
      </x:c>
    </x:row>
    <x:row r="8372" ht="93" customHeight="1">
      <x:c r="A8372" s="19" t="n">
        <x:v>8369</x:v>
      </x:c>
      <x:c r="B8372" s="22" t="e">
        <x:f>HYPERLINK("https://cdn.shopify.com/s/files/1/0918/6066/4603/files/O1CN01mFQdY11HlX3LpP9k7__2545140798-0-cib_79b4b626-a496-4d18-976c-269dbea5d03c.jpg?v=1773931385","Open")</x:f>
        <x:v>HYPERLINK is not implemented. linkLocation=https://cdn.shopify.com/s/files/1/0918/6066/4603/files/O1CN01mFQdY11HlX3LpP9k7__2545140798-0-cib_79b4b626-a496-4d18-976c-269dbea5d03c.jpg?v=1773931385, friendlyName=Open</x:v>
      </x:c>
      <x:c r="C8372" s="24" t="e">
        <x:f>HYPERLINK("https://365nails.com/products/leopard-print-bow-retro-leopard-bow-embossed-nail-sticker","Leopard Print &amp; Bow: ""Retro Leopard Bow"" – Embossed Nail Sticker")</x:f>
        <x:v>HYPERLINK is not implemented. linkLocation=https://365nails.com/products/leopard-print-bow-retro-leopard-bow-embossed-nail-sticker, friendlyName=Leopard Print &amp; Bow: "Retro Leopard Bow" – Embossed Nail Sticker</x:v>
      </x:c>
      <x:c r="D8372" s="18" t="str">
        <x:v>Specification type: Ms 690-1 / Ms 691-1</x:v>
      </x:c>
      <x:c r="E8372" s="25" t="str">
        <x:v>$1.09</x:v>
      </x:c>
      <x:c r="F8372" s="19" t="str">
        <x:v>5</x:v>
      </x:c>
    </x:row>
    <x:row r="8373" ht="93" customHeight="1">
      <x:c r="A8373" s="19" t="n">
        <x:v>8370</x:v>
      </x:c>
      <x:c r="B8373" s="22" t="e">
        <x:f>HYPERLINK("https://cdn.shopify.com/s/files/1/0918/6066/4603/files/O1CN01dMs0bv1HlWsQsRK0S__2545140798-0-cib.jpg?v=1772885501","Open")</x:f>
        <x:v>HYPERLINK is not implemented. linkLocation=https://cdn.shopify.com/s/files/1/0918/6066/4603/files/O1CN01dMs0bv1HlWsQsRK0S__2545140798-0-cib.jpg?v=1772885501, friendlyName=Open</x:v>
      </x:c>
      <x:c r="C8373" s="24" t="e">
        <x:f>HYPERLINK("https://365nails.com/products/cherry-blossom-sky-5d-embossed-dreamy-accent-set","Cherry Blossom Sky – 5D Embossed Dreamy Accent Set")</x:f>
        <x:v>HYPERLINK is not implemented. linkLocation=https://365nails.com/products/cherry-blossom-sky-5d-embossed-dreamy-accent-set, friendlyName=Cherry Blossom Sky – 5D Embossed Dreamy Accent Set</x:v>
      </x:c>
      <x:c r="D8373" s="18" t="str">
        <x:v>Specification type: To2785</x:v>
      </x:c>
      <x:c r="E8373" s="25" t="str">
        <x:v>$1.23</x:v>
      </x:c>
      <x:c r="F8373" s="19" t="str">
        <x:v>5</x:v>
      </x:c>
    </x:row>
    <x:row r="8374" ht="93" customHeight="1">
      <x:c r="A8374" s="19" t="n">
        <x:v>8371</x:v>
      </x:c>
      <x:c r="B8374" s="22" t="e">
        <x:f>HYPERLINK("https://cdn.shopify.com/s/files/1/0918/6066/4603/files/O1CN01vfzeYQ1HlWmRZ4J5A__2545140798-0-cib.jpg?v=1772952964","Open")</x:f>
        <x:v>HYPERLINK is not implemented. linkLocation=https://cdn.shopify.com/s/files/1/0918/6066/4603/files/O1CN01vfzeYQ1HlWmRZ4J5A__2545140798-0-cib.jpg?v=1772952964, friendlyName=Open</x:v>
      </x:c>
      <x:c r="C8374" s="24" t="e">
        <x:f>HYPERLINK("https://365nails.com/products/argyle-sweater-preppy-nail-art-accent-set","Argyle Sweater – Preppy Nail Art Accent Set")</x:f>
        <x:v>HYPERLINK is not implemented. linkLocation=https://365nails.com/products/argyle-sweater-preppy-nail-art-accent-set, friendlyName=Argyle Sweater – Preppy Nail Art Accent Set</x:v>
      </x:c>
      <x:c r="D8374" s="18" t="str">
        <x:v>Specification type: To918 / To919 / To920 / To921 / To922</x:v>
      </x:c>
      <x:c r="E8374" s="25" t="str">
        <x:v>$1.09</x:v>
      </x:c>
      <x:c r="F8374" s="19" t="str">
        <x:v>5</x:v>
      </x:c>
    </x:row>
    <x:row r="8375" ht="93" customHeight="1">
      <x:c r="A8375" s="19" t="n">
        <x:v>8372</x:v>
      </x:c>
      <x:c r="B8375" s="22" t="e">
        <x:f>HYPERLINK("https://cdn.shopify.com/s/files/1/0918/6066/4603/files/O1CN01W8AEOi1HlWrx5IQKc__2545140798-0-cib.jpg?v=1772962566","Open")</x:f>
        <x:v>HYPERLINK is not implemented. linkLocation=https://cdn.shopify.com/s/files/1/0918/6066/4603/files/O1CN01W8AEOi1HlWrx5IQKc__2545140798-0-cib.jpg?v=1772962566, friendlyName=Open</x:v>
      </x:c>
      <x:c r="C8375" s="24" t="e">
        <x:f>HYPERLINK("https://365nails.com/products/strawberry-bunny-meadow-whimsical-nail-art-set","Strawberry Bunny Meadow – Whimsical Nail Art Set")</x:f>
        <x:v>HYPERLINK is not implemented. linkLocation=https://365nails.com/products/strawberry-bunny-meadow-whimsical-nail-art-set, friendlyName=Strawberry Bunny Meadow – Whimsical Nail Art Set</x:v>
      </x:c>
      <x:c r="D8375" s="18" t="str">
        <x:v>Specification type: To2676 / To2678 / To2698 / To2704 / To2710 / To2714</x:v>
      </x:c>
      <x:c r="E8375" s="25" t="str">
        <x:v>$1.09</x:v>
      </x:c>
      <x:c r="F8375" s="19" t="str">
        <x:v>5</x:v>
      </x:c>
    </x:row>
    <x:row r="8376" ht="93" customHeight="1">
      <x:c r="A8376" s="19" t="n">
        <x:v>8373</x:v>
      </x:c>
      <x:c r="B8376" s="22" t="e">
        <x:f>HYPERLINK("https://cdn.shopify.com/s/files/1/0918/6066/4603/files/O1CN01RmKAfB1HlWrBpqo8j__2545140798-0-cib.jpg?v=1773060429","Open")</x:f>
        <x:v>HYPERLINK is not implemented. linkLocation=https://cdn.shopify.com/s/files/1/0918/6066/4603/files/O1CN01RmKAfB1HlWrBpqo8j__2545140798-0-cib.jpg?v=1773060429, friendlyName=Open</x:v>
      </x:c>
      <x:c r="C8376" s="24" t="e">
        <x:f>HYPERLINK("https://365nails.com/products/world-cup-fan-gear-sporty-nail-art-set","World Cup Fan Gear – Sporty Nail Art Set")</x:f>
        <x:v>HYPERLINK is not implemented. linkLocation=https://365nails.com/products/world-cup-fan-gear-sporty-nail-art-set, friendlyName=World Cup Fan Gear – Sporty Nail Art Set</x:v>
      </x:c>
      <x:c r="D8376" s="18" t="str">
        <x:v>Specification type: To2608-relief / To2609-thin tough</x:v>
      </x:c>
      <x:c r="E8376" s="25" t="str">
        <x:v>$1.23</x:v>
      </x:c>
      <x:c r="F8376" s="19" t="str">
        <x:v>5</x:v>
      </x:c>
    </x:row>
    <x:row r="8377" ht="93" customHeight="1">
      <x:c r="A8377" s="19" t="n">
        <x:v>8374</x:v>
      </x:c>
      <x:c r="B8377" s="22" t="e">
        <x:f>HYPERLINK("https://cdn.shopify.com/s/files/1/0918/6066/4603/files/O1CN01wn6OEj1HlX3xgEvLP__2545140798-0-cib.jpg?v=1776522021","Open")</x:f>
        <x:v>HYPERLINK is not implemented. linkLocation=https://cdn.shopify.com/s/files/1/0918/6066/4603/files/O1CN01wn6OEj1HlX3xgEvLP__2545140798-0-cib.jpg?v=1776522021, friendlyName=Open</x:v>
      </x:c>
      <x:c r="C8377" s="24" t="e">
        <x:f>HYPERLINK("https://365nails.com/products/365nails-coquette-teddy-bear-nail-art-stickers","365nails: ""Coquette Teddy Bear"" – nail art stickers")</x:f>
        <x:v>HYPERLINK is not implemented. linkLocation=https://365nails.com/products/365nails-coquette-teddy-bear-nail-art-stickers, friendlyName=365nails: "Coquette Teddy Bear" – nail art stickers</x:v>
      </x:c>
      <x:c r="D8377" s="18" t="str">
        <x:v>Specification type: To4581 / To4600 / To4609</x:v>
      </x:c>
      <x:c r="E8377" s="25" t="str">
        <x:v>$1.09</x:v>
      </x:c>
      <x:c r="F8377" s="19" t="str">
        <x:v>5</x:v>
      </x:c>
    </x:row>
    <x:row r="8378" ht="93" customHeight="1">
      <x:c r="A8378" s="19" t="n">
        <x:v>8375</x:v>
      </x:c>
      <x:c r="B8378" s="22" t="e">
        <x:f>HYPERLINK("https://cdn.shopify.com/s/files/1/0918/6066/4603/files/O1CN01u3sYAE1HlX0uEwJdC__2545140798-0-cib_141caf8f-7004-492c-b696-bb7ab0f9960f.jpg?v=1773637158","Open")</x:f>
        <x:v>HYPERLINK is not implemented. linkLocation=https://cdn.shopify.com/s/files/1/0918/6066/4603/files/O1CN01u3sYAE1HlX0uEwJdC__2545140798-0-cib_141caf8f-7004-492c-b696-bb7ab0f9960f.jpg?v=1773637158, friendlyName=Open</x:v>
      </x:c>
      <x:c r="C8378" s="24" t="e">
        <x:f>HYPERLINK("https://365nails.com/products/moonlight-lotus-koi-oriental-serenity-5d-embossed-nail-sticker","Moonlight Lotus &amp; Koi: ""Oriental Serenity"" – 5D Embossed Nail Sticker")</x:f>
        <x:v>HYPERLINK is not implemented. linkLocation=https://365nails.com/products/moonlight-lotus-koi-oriental-serenity-5d-embossed-nail-sticker, friendlyName=Moonlight Lotus &amp; Koi: "Oriental Serenity" – 5D Embossed Nail Sticker</x:v>
      </x:c>
      <x:c r="D8378" s="18" t="str">
        <x:v>Specification type: To3724-relief</x:v>
      </x:c>
      <x:c r="E8378" s="25" t="str">
        <x:v>$1.23</x:v>
      </x:c>
      <x:c r="F8378" s="19" t="str">
        <x:v>5</x:v>
      </x:c>
    </x:row>
    <x:row r="8379" ht="93" customHeight="1">
      <x:c r="A8379" s="19" t="n">
        <x:v>8376</x:v>
      </x:c>
      <x:c r="B8379" s="22" t="e">
        <x:f>HYPERLINK("https://cdn.shopify.com/s/files/1/0918/6066/4603/files/09bb72f2bcb201c2a285f519e06d3da6.jpg?v=1773060364","Open")</x:f>
        <x:v>HYPERLINK is not implemented. linkLocation=https://cdn.shopify.com/s/files/1/0918/6066/4603/files/09bb72f2bcb201c2a285f519e06d3da6.jpg?v=1773060364, friendlyName=Open</x:v>
      </x:c>
      <x:c r="C8379" s="24" t="e">
        <x:f>HYPERLINK("https://365nails.com/products/peach-blossom-ink-chinese-watercolor-nail-art-set","Peach Blossom Ink – Chinese Watercolor Nail Art Set")</x:f>
        <x:v>HYPERLINK is not implemented. linkLocation=https://365nails.com/products/peach-blossom-ink-chinese-watercolor-nail-art-set, friendlyName=Peach Blossom Ink – Chinese Watercolor Nail Art Set</x:v>
      </x:c>
      <x:c r="D8379" s="18" t="str">
        <x:v>Specification type: Wy-47-relief</x:v>
      </x:c>
      <x:c r="E8379" s="25" t="str">
        <x:v>$1.23</x:v>
      </x:c>
      <x:c r="F8379" s="19" t="str">
        <x:v>5</x:v>
      </x:c>
    </x:row>
    <x:row r="8380" ht="93" customHeight="1">
      <x:c r="A8380" s="19" t="n">
        <x:v>8377</x:v>
      </x:c>
      <x:c r="B8380" s="22" t="e">
        <x:f>HYPERLINK("https://cdn.shopify.com/s/files/1/0918/6066/4603/files/O1CN01IWpICX1HlX88Zdcox__2545140798-0-cib.jpg?v=1773666892","Open")</x:f>
        <x:v>HYPERLINK is not implemented. linkLocation=https://cdn.shopify.com/s/files/1/0918/6066/4603/files/O1CN01IWpICX1HlX88Zdcox__2545140798-0-cib.jpg?v=1773666892, friendlyName=Open</x:v>
      </x:c>
      <x:c r="C8380" s="24" t="e">
        <x:f>HYPERLINK("https://365nails.com/products/colorful-cartoon-character-heads-playful-chibi-crew-5d-embossed-nail-sticker","Colorful Cartoon Character Heads: ""Playful Chibi Crew"" – 5D Embossed Nail Sticker")</x:f>
        <x:v>HYPERLINK is not implemented. linkLocation=https://365nails.com/products/colorful-cartoon-character-heads-playful-chibi-crew-5d-embossed-nail-sticker, friendlyName=Colorful Cartoon Character Heads: "Playful Chibi Crew" – 5D Embossed Nail Sticker</x:v>
      </x:c>
      <x:c r="D8380" s="18" t="str">
        <x:v>Specification type: To5190-crystal diamond</x:v>
      </x:c>
      <x:c r="E8380" s="25" t="str">
        <x:v>$1.30</x:v>
      </x:c>
      <x:c r="F8380" s="19" t="str">
        <x:v>5</x:v>
      </x:c>
    </x:row>
    <x:row r="8381" ht="93" customHeight="1">
      <x:c r="A8381" s="19" t="n">
        <x:v>8378</x:v>
      </x:c>
      <x:c r="B8381" s="22" t="e">
        <x:f>HYPERLINK("https://cdn.shopify.com/s/files/1/0918/6066/4603/files/a6db55af56914958d800bec0b9975f4a.jpg?v=1775391291","Open")</x:f>
        <x:v>HYPERLINK is not implemented. linkLocation=https://cdn.shopify.com/s/files/1/0918/6066/4603/files/a6db55af56914958d800bec0b9975f4a.jpg?v=1775391291, friendlyName=Open</x:v>
      </x:c>
      <x:c r="C8381" s="24" t="e">
        <x:f>HYPERLINK("https://365nails.com/products/365nails-vintage-garden-3d-floral-gold-charm-handmade-short-oval-nails","365nails: ""Vintage Garden"" – 3D Floral &amp; Gold Charm Handmade Short Oval Nails")</x:f>
        <x:v>HYPERLINK is not implemented. linkLocation=https://365nails.com/products/365nails-vintage-garden-3d-floral-gold-charm-handmade-short-oval-nails, friendlyName=365nails: "Vintage Garden" – 3D Floral &amp; Gold Charm Handmade Short Oval Nails</x:v>
      </x:c>
      <x:c r="D8381" s="18" t="str">
        <x:v>Size: XS / S / M</x:v>
      </x:c>
      <x:c r="E8381" s="25" t="str">
        <x:v>$1.99</x:v>
      </x:c>
      <x:c r="F8381" s="19" t="str">
        <x:v>10</x:v>
      </x:c>
    </x:row>
    <x:row r="8382" ht="93" customHeight="1">
      <x:c r="A8382" s="19" t="n">
        <x:v>8379</x:v>
      </x:c>
      <x:c r="B8382" s="22" t="e">
        <x:f>HYPERLINK("https://cdn.shopify.com/s/files/1/0918/6066/4603/files/1866ae219f70632aaeb4b672b5e1d5e8.jpg?v=1775207267","Open")</x:f>
        <x:v>HYPERLINK is not implemented. linkLocation=https://cdn.shopify.com/s/files/1/0918/6066/4603/files/1866ae219f70632aaeb4b672b5e1d5e8.jpg?v=1775207267, friendlyName=Open</x:v>
      </x:c>
      <x:c r="C8382" s="24" t="e">
        <x:f>HYPERLINK("https://365nails.com/products/365nails-nude-leopard-hand-painted-animal-print-short-square-nails","365nails: ""Nude Leopard"" – Hand-Painted Animal Print Short Square Nails")</x:f>
        <x:v>HYPERLINK is not implemented. linkLocation=https://365nails.com/products/365nails-nude-leopard-hand-painted-animal-print-short-square-nails, friendlyName=365nails: "Nude Leopard" – Hand-Painted Animal Print Short Square Nails</x:v>
      </x:c>
      <x:c r="D8382" s="18" t="str">
        <x:v>Size: XS / S / M / L</x:v>
      </x:c>
      <x:c r="E8382" s="25" t="str">
        <x:v>$3.99</x:v>
      </x:c>
      <x:c r="F8382" s="19" t="str">
        <x:v>5</x:v>
      </x:c>
    </x:row>
    <x:row r="8383" ht="93" customHeight="1">
      <x:c r="A8383" s="19" t="n">
        <x:v>8380</x:v>
      </x:c>
      <x:c r="B8383" s="22" t="e">
        <x:f>HYPERLINK("https://cdn.shopify.com/s/files/1/0918/6066/4603/files/6673010ef279c08457a18bc5a0291cee.jpg?v=1775391308","Open")</x:f>
        <x:v>HYPERLINK is not implemented. linkLocation=https://cdn.shopify.com/s/files/1/0918/6066/4603/files/6673010ef279c08457a18bc5a0291cee.jpg?v=1775391308, friendlyName=Open</x:v>
      </x:c>
      <x:c r="C8383" s="24" t="e">
        <x:f>HYPERLINK("https://365nails.com/products/365nails-peach-blossom-3d-floral-handmade-short-oval-nails","365nails: ""Peach Blossom"" – 3D Floral Handmade Short Oval Nails")</x:f>
        <x:v>HYPERLINK is not implemented. linkLocation=https://365nails.com/products/365nails-peach-blossom-3d-floral-handmade-short-oval-nails, friendlyName=365nails: "Peach Blossom" – 3D Floral Handmade Short Oval Nails</x:v>
      </x:c>
      <x:c r="D8383" s="18" t="str">
        <x:v>Size: XS / S / M</x:v>
      </x:c>
      <x:c r="E8383" s="25" t="str">
        <x:v>$1.99</x:v>
      </x:c>
      <x:c r="F8383" s="19" t="str">
        <x:v>10</x:v>
      </x:c>
    </x:row>
    <x:row r="8384" ht="93" customHeight="1">
      <x:c r="A8384" s="19" t="n">
        <x:v>8381</x:v>
      </x:c>
      <x:c r="B8384" s="22" t="e">
        <x:f>HYPERLINK("https://cdn.shopify.com/s/files/1/0918/6066/4603/files/b3f9499dcccdc9bb1c4aa2b2c54073eb.jpg?v=1775393097","Open")</x:f>
        <x:v>HYPERLINK is not implemented. linkLocation=https://cdn.shopify.com/s/files/1/0918/6066/4603/files/b3f9499dcccdc9bb1c4aa2b2c54073eb.jpg?v=1775393097, friendlyName=Open</x:v>
      </x:c>
      <x:c r="C8384" s="24" t="e">
        <x:f>HYPERLINK("https://365nails.com/products/365nails-celestial-opulence-3d-gold-floral-handmade-square-nails","365nails: ""Celestial Opulence"" – 3D Gold &amp; Floral Handmade Square Nails")</x:f>
        <x:v>HYPERLINK is not implemented. linkLocation=https://365nails.com/products/365nails-celestial-opulence-3d-gold-floral-handmade-square-nails, friendlyName=365nails: "Celestial Opulence" – 3D Gold &amp; Floral Handmade Square Nails</x:v>
      </x:c>
      <x:c r="D8384" s="18" t="str">
        <x:v>Size: XS / S / M / L</x:v>
      </x:c>
      <x:c r="E8384" s="25" t="str">
        <x:v>$3.99</x:v>
      </x:c>
      <x:c r="F8384" s="19" t="str">
        <x:v>3</x:v>
      </x:c>
    </x:row>
    <x:row r="8385" ht="93" customHeight="1">
      <x:c r="A8385" s="19" t="n">
        <x:v>8382</x:v>
      </x:c>
      <x:c r="B8385" s="22" t="e">
        <x:f>HYPERLINK("https://cdn.shopify.com/s/files/1/0918/6066/4603/files/2545b4a708594c5077cc44c5c7384f6b.jpg?v=1777454113","Open")</x:f>
        <x:v>HYPERLINK is not implemented. linkLocation=https://cdn.shopify.com/s/files/1/0918/6066/4603/files/2545b4a708594c5077cc44c5c7384f6b.jpg?v=1777454113, friendlyName=Open</x:v>
      </x:c>
      <x:c r="C8385" s="24" t="e">
        <x:f>HYPERLINK("https://365nails.com/products/handmade-independence-day-flag-gradient-press-on-holiday-custom-short-square","Handmade Independence Day Flag Gradient Press-On (Holiday/Custom/Short Square)")</x:f>
        <x:v>HYPERLINK is not implemented. linkLocation=https://365nails.com/products/handmade-independence-day-flag-gradient-press-on-holiday-custom-short-square, friendlyName=Handmade Independence Day Flag Gradient Press-On (Holiday/Custom/Short Square)</x:v>
      </x:c>
      <x:c r="D8385" s="18" t="str">
        <x:v>Size: XS / S / M / L</x:v>
      </x:c>
      <x:c r="E8385" s="25" t="str">
        <x:v>$2.99</x:v>
      </x:c>
      <x:c r="F8385" s="19" t="str">
        <x:v>5</x:v>
      </x:c>
    </x:row>
    <x:row r="8386" ht="93" customHeight="1">
      <x:c r="A8386" s="19" t="n">
        <x:v>8383</x:v>
      </x:c>
      <x:c r="B8386" s="22" t="e">
        <x:f>HYPERLINK("https://cdn.shopify.com/s/files/1/0918/6066/4603/files/ed4949397e6053501013ed651ffccbc1.jpg?v=1777454209","Open")</x:f>
        <x:v>HYPERLINK is not implemented. linkLocation=https://cdn.shopify.com/s/files/1/0918/6066/4603/files/ed4949397e6053501013ed651ffccbc1.jpg?v=1777454209, friendlyName=Open</x:v>
      </x:c>
      <x:c r="C8386" s="24" t="e">
        <x:f>HYPERLINK("https://365nails.com/products/handmade-independence-day-star-stripe-mixed-press-on-holiday-custom-short-square","Handmade Independence Day Star Stripe Mixed Press-On (Holiday/Custom/Short Square)")</x:f>
        <x:v>HYPERLINK is not implemented. linkLocation=https://365nails.com/products/handmade-independence-day-star-stripe-mixed-press-on-holiday-custom-short-square, friendlyName=Handmade Independence Day Star Stripe Mixed Press-On (Holiday/Custom/Short Square)</x:v>
      </x:c>
      <x:c r="D8386" s="18" t="str">
        <x:v>Size: XS / S / M / L</x:v>
      </x:c>
      <x:c r="E8386" s="25" t="str">
        <x:v>$2.99</x:v>
      </x:c>
      <x:c r="F8386" s="19" t="str">
        <x:v>5</x:v>
      </x:c>
    </x:row>
    <x:row r="8387" ht="93" customHeight="1">
      <x:c r="A8387" s="19" t="n">
        <x:v>8384</x:v>
      </x:c>
      <x:c r="B8387" s="22" t="e">
        <x:f>HYPERLINK("https://cdn.shopify.com/s/files/1/0918/6066/4603/files/5f34ae5cfddfdf9ec4ffb4faaab7a20d_0cca4930-bf89-4ba8-9602-e9c1562df7eb.jpg?v=1775391747","Open")</x:f>
        <x:v>HYPERLINK is not implemented. linkLocation=https://cdn.shopify.com/s/files/1/0918/6066/4603/files/5f34ae5cfddfdf9ec4ffb4faaab7a20d_0cca4930-bf89-4ba8-9602-e9c1562df7eb.jpg?v=1775391747, friendlyName=Open</x:v>
      </x:c>
      <x:c r="C8387" s="24" t="e">
        <x:f>HYPERLINK("https://365nails.com/products/365nails-crimson-whisper-classic-french-tip-handmade-short-square-nails","365nails: ""Crimson Whisper"" – Classic French Tip Handmade Short Square Nails")</x:f>
        <x:v>HYPERLINK is not implemented. linkLocation=https://365nails.com/products/365nails-crimson-whisper-classic-french-tip-handmade-short-square-nails, friendlyName=365nails: "Crimson Whisper" – Classic French Tip Handmade Short Square Nails</x:v>
      </x:c>
      <x:c r="D8387" s="18" t="str">
        <x:v>Size: XS / S / M / L</x:v>
      </x:c>
      <x:c r="E8387" s="25" t="str">
        <x:v>$3.49</x:v>
      </x:c>
      <x:c r="F8387" s="19" t="str">
        <x:v>5</x:v>
      </x:c>
    </x:row>
    <x:row r="8388" ht="93" customHeight="1">
      <x:c r="A8388" s="19" t="n">
        <x:v>8385</x:v>
      </x:c>
      <x:c r="B8388" s="22" t="e">
        <x:f>HYPERLINK("https://cdn.shopify.com/s/files/1/0918/6066/4603/files/fb70c46a6fda8de3422c2a62f56384e5.jpg?v=1775391776","Open")</x:f>
        <x:v>HYPERLINK is not implemented. linkLocation=https://cdn.shopify.com/s/files/1/0918/6066/4603/files/fb70c46a6fda8de3422c2a62f56384e5.jpg?v=1775391776, friendlyName=Open</x:v>
      </x:c>
      <x:c r="C8388" s="24" t="e">
        <x:f>HYPERLINK("https://365nails.com/products/365nails-lemon-zest-hand-painted-polka-dot-handmade-short-square-nails","365nails: ""Lemon Zest"" – Hand-Painted Polka Dot Handmade Short Square Nails")</x:f>
        <x:v>HYPERLINK is not implemented. linkLocation=https://365nails.com/products/365nails-lemon-zest-hand-painted-polka-dot-handmade-short-square-nails, friendlyName=365nails: "Lemon Zest" – Hand-Painted Polka Dot Handmade Short Square Nails</x:v>
      </x:c>
      <x:c r="D8388" s="18" t="str">
        <x:v>Size: XS / S / M / L</x:v>
      </x:c>
      <x:c r="E8388" s="25" t="str">
        <x:v>$3.49</x:v>
      </x:c>
      <x:c r="F8388" s="19" t="str">
        <x:v>5</x:v>
      </x:c>
    </x:row>
    <x:row r="8389" ht="93" customHeight="1">
      <x:c r="A8389" s="19" t="n">
        <x:v>8386</x:v>
      </x:c>
      <x:c r="B8389" s="22" t="e">
        <x:f>HYPERLINK("https://cdn.shopify.com/s/files/1/0918/6066/4603/files/79fccab5401ac98f6750e9d562b5caf9.jpg?v=1775391792","Open")</x:f>
        <x:v>HYPERLINK is not implemented. linkLocation=https://cdn.shopify.com/s/files/1/0918/6066/4603/files/79fccab5401ac98f6750e9d562b5caf9.jpg?v=1775391792, friendlyName=Open</x:v>
      </x:c>
      <x:c r="C8389" s="24" t="e">
        <x:f>HYPERLINK("https://365nails.com/products/365nails-silken-bows-3d-hand-painted-bowknot-handmade-short-square-nails","365nails: ""Silken Bows"" – 3D Hand-Painted Bowknot Handmade Short Square Nails")</x:f>
        <x:v>HYPERLINK is not implemented. linkLocation=https://365nails.com/products/365nails-silken-bows-3d-hand-painted-bowknot-handmade-short-square-nails, friendlyName=365nails: "Silken Bows" – 3D Hand-Painted Bowknot Handmade Short Square Nails</x:v>
      </x:c>
      <x:c r="D8389" s="18" t="str">
        <x:v>Size: XS / S / M / L</x:v>
      </x:c>
      <x:c r="E8389" s="25" t="str">
        <x:v>$3.49</x:v>
      </x:c>
      <x:c r="F8389" s="19" t="str">
        <x:v>5</x:v>
      </x:c>
    </x:row>
    <x:row r="8390" ht="93" customHeight="1">
      <x:c r="A8390" s="19" t="n">
        <x:v>8387</x:v>
      </x:c>
      <x:c r="B8390" s="22" t="e">
        <x:f>HYPERLINK("https://cdn.shopify.com/s/files/1/0918/6066/4603/files/26a5877938a567ed55b039a029d3aa87.jpg?v=1775391818","Open")</x:f>
        <x:v>HYPERLINK is not implemented. linkLocation=https://cdn.shopify.com/s/files/1/0918/6066/4603/files/26a5877938a567ed55b039a029d3aa87.jpg?v=1775391818, friendlyName=Open</x:v>
      </x:c>
      <x:c r="C8390" s="24" t="e">
        <x:f>HYPERLINK("https://365nails.com/products/365nails-moonlit-sparkle-3d-crystal-embellished-handmade-almond-nails","365nails: ""Moonlit Sparkle"" – 3D Crystal Embellished Handmade Almond Nails")</x:f>
        <x:v>HYPERLINK is not implemented. linkLocation=https://365nails.com/products/365nails-moonlit-sparkle-3d-crystal-embellished-handmade-almond-nails, friendlyName=365nails: "Moonlit Sparkle" – 3D Crystal Embellished Handmade Almond Nails</x:v>
      </x:c>
      <x:c r="D8390" s="18" t="str">
        <x:v>Size: XS / S / M / L</x:v>
      </x:c>
      <x:c r="E8390" s="25" t="str">
        <x:v>$3.49</x:v>
      </x:c>
      <x:c r="F8390" s="19" t="str">
        <x:v>5</x:v>
      </x:c>
    </x:row>
    <x:row r="8391" ht="93" customHeight="1">
      <x:c r="A8391" s="19" t="n">
        <x:v>8388</x:v>
      </x:c>
      <x:c r="B8391" s="22" t="e">
        <x:f>HYPERLINK("https://cdn.shopify.com/s/files/1/0918/6066/4603/files/06beef750ebc7ff1c37912b3353ce9bc.jpg?v=1775391838","Open")</x:f>
        <x:v>HYPERLINK is not implemented. linkLocation=https://cdn.shopify.com/s/files/1/0918/6066/4603/files/06beef750ebc7ff1c37912b3353ce9bc.jpg?v=1775391838, friendlyName=Open</x:v>
      </x:c>
      <x:c r="C8391" s="24" t="e">
        <x:f>HYPERLINK("https://365nails.com/products/365nails-sweet-blush-minimalist-stripe-handmade-short-square-nails","365nails: ""Sweet Blush"" – Minimalist Stripe Handmade Short Square Nails")</x:f>
        <x:v>HYPERLINK is not implemented. linkLocation=https://365nails.com/products/365nails-sweet-blush-minimalist-stripe-handmade-short-square-nails, friendlyName=365nails: "Sweet Blush" – Minimalist Stripe Handmade Short Square Nails</x:v>
      </x:c>
      <x:c r="D8391" s="18" t="str">
        <x:v>Size: XS / S / M / L</x:v>
      </x:c>
      <x:c r="E8391" s="25" t="str">
        <x:v>$3.49</x:v>
      </x:c>
      <x:c r="F8391" s="19" t="str">
        <x:v>5</x:v>
      </x:c>
    </x:row>
    <x:row r="8392" ht="93" customHeight="1">
      <x:c r="A8392" s="19" t="n">
        <x:v>8389</x:v>
      </x:c>
      <x:c r="B8392" s="22" t="e">
        <x:f>HYPERLINK("https://cdn.shopify.com/s/files/1/0918/6066/4603/files/acfd64cb761e873df751d46472de2803_5a2bd9c8-8400-449d-9e2f-bd85611512d1.jpg?v=1775205838","Open")</x:f>
        <x:v>HYPERLINK is not implemented. linkLocation=https://cdn.shopify.com/s/files/1/0918/6066/4603/files/acfd64cb761e873df751d46472de2803_5a2bd9c8-8400-449d-9e2f-bd85611512d1.jpg?v=1775205838, friendlyName=Open</x:v>
      </x:c>
      <x:c r="C8392" s="24" t="e">
        <x:f>HYPERLINK("https://365nails.com/products/365nails-ivory-whisper-3d-pearl-handmade-short-square-nails","365nails: ""Ivory Whisper"" – 3D Pearl Handmade Short Square Nails")</x:f>
        <x:v>HYPERLINK is not implemented. linkLocation=https://365nails.com/products/365nails-ivory-whisper-3d-pearl-handmade-short-square-nails, friendlyName=365nails: "Ivory Whisper" – 3D Pearl Handmade Short Square Nails</x:v>
      </x:c>
      <x:c r="D8392" s="18" t="str">
        <x:v>Size: XS / S / M / L</x:v>
      </x:c>
      <x:c r="E8392" s="25" t="str">
        <x:v>$3.49</x:v>
      </x:c>
      <x:c r="F8392" s="19" t="str">
        <x:v>5</x:v>
      </x:c>
    </x:row>
    <x:row r="8393" ht="93" customHeight="1">
      <x:c r="A8393" s="19" t="n">
        <x:v>8390</x:v>
      </x:c>
      <x:c r="B8393" s="22" t="e">
        <x:f>HYPERLINK("https://cdn.shopify.com/s/files/1/0918/6066/4603/files/cb01bf6a5a4a9f2145009f7ba50d428e.jpg?v=1775205826","Open")</x:f>
        <x:v>HYPERLINK is not implemented. linkLocation=https://cdn.shopify.com/s/files/1/0918/6066/4603/files/cb01bf6a5a4a9f2145009f7ba50d428e.jpg?v=1775205826, friendlyName=Open</x:v>
      </x:c>
      <x:c r="C8393" s="24" t="e">
        <x:f>HYPERLINK("https://365nails.com/products/365nails-gilded-lilac-metallic-french-tip-handmade-short-square-nails","365nails: ""Gilded Lilac"" – Metallic French Tip Handmade Short Square Nails")</x:f>
        <x:v>HYPERLINK is not implemented. linkLocation=https://365nails.com/products/365nails-gilded-lilac-metallic-french-tip-handmade-short-square-nails, friendlyName=365nails: "Gilded Lilac" – Metallic French Tip Handmade Short Square Nails</x:v>
      </x:c>
      <x:c r="D8393" s="18" t="str">
        <x:v>Size: XS / S / M / L</x:v>
      </x:c>
      <x:c r="E8393" s="25" t="str">
        <x:v>$3.49</x:v>
      </x:c>
      <x:c r="F8393" s="19" t="str">
        <x:v>5</x:v>
      </x:c>
    </x:row>
    <x:row r="8394" ht="93" customHeight="1">
      <x:c r="A8394" s="19" t="n">
        <x:v>8391</x:v>
      </x:c>
      <x:c r="B8394" s="22" t="e">
        <x:f>HYPERLINK("https://cdn.shopify.com/s/files/1/0918/6066/4603/files/0e870b581d49110c9382e9d2b3bdcd00_ce34c307-70d5-4f24-bf0f-5b8d6c0f64b0.jpg?v=1775205816","Open")</x:f>
        <x:v>HYPERLINK is not implemented. linkLocation=https://cdn.shopify.com/s/files/1/0918/6066/4603/files/0e870b581d49110c9382e9d2b3bdcd00_ce34c307-70d5-4f24-bf0f-5b8d6c0f64b0.jpg?v=1775205816, friendlyName=Open</x:v>
      </x:c>
      <x:c r="C8394" s="24" t="e">
        <x:f>HYPERLINK("https://365nails.com/products/365nails-nebula-drift-hand-painted-marble-handmade-short-square-nails","365nails: ""Nebula Drift"" – Hand-Painted Marble Handmade Short Square Nails")</x:f>
        <x:v>HYPERLINK is not implemented. linkLocation=https://365nails.com/products/365nails-nebula-drift-hand-painted-marble-handmade-short-square-nails, friendlyName=365nails: "Nebula Drift" – Hand-Painted Marble Handmade Short Square Nails</x:v>
      </x:c>
      <x:c r="D8394" s="18" t="str">
        <x:v>Size: XS / S / M / L</x:v>
      </x:c>
      <x:c r="E8394" s="25" t="str">
        <x:v>$3.49</x:v>
      </x:c>
      <x:c r="F8394" s="19" t="str">
        <x:v>5</x:v>
      </x:c>
    </x:row>
    <x:row r="8395" ht="93" customHeight="1">
      <x:c r="A8395" s="19" t="n">
        <x:v>8392</x:v>
      </x:c>
      <x:c r="B8395" s="22" t="e">
        <x:f>HYPERLINK("https://cdn.shopify.com/s/files/1/0918/6066/4603/files/28fe6274d78554e67bebad00f7142c39_174f38ad-e452-408b-a556-6d90635dd6e1.jpg?v=1775205803","Open")</x:f>
        <x:v>HYPERLINK is not implemented. linkLocation=https://cdn.shopify.com/s/files/1/0918/6066/4603/files/28fe6274d78554e67bebad00f7142c39_174f38ad-e452-408b-a556-6d90635dd6e1.jpg?v=1775205803, friendlyName=Open</x:v>
      </x:c>
      <x:c r="C8395" s="24" t="e">
        <x:f>HYPERLINK("https://365nails.com/products/365nails-sterling-starlight-3d-metallic-floral-handmade-short-square-nails","365nails: ""Sterling Starlight"" – 3D Metallic Floral Handmade Short Square Nails")</x:f>
        <x:v>HYPERLINK is not implemented. linkLocation=https://365nails.com/products/365nails-sterling-starlight-3d-metallic-floral-handmade-short-square-nails, friendlyName=365nails: "Sterling Starlight" – 3D Metallic Floral Handmade Short Square Nails</x:v>
      </x:c>
      <x:c r="D8395" s="18" t="str">
        <x:v>Size: XS / S / M / L</x:v>
      </x:c>
      <x:c r="E8395" s="25" t="str">
        <x:v>$3.49</x:v>
      </x:c>
      <x:c r="F8395" s="19" t="str">
        <x:v>5</x:v>
      </x:c>
    </x:row>
    <x:row r="8396" ht="93" customHeight="1">
      <x:c r="A8396" s="19" t="n">
        <x:v>8393</x:v>
      </x:c>
      <x:c r="B8396" s="22" t="e">
        <x:f>HYPERLINK("https://cdn.shopify.com/s/files/1/0918/6066/4603/files/e8486027fd1e755d41567f1cbb5fc0ea_e79bf201-1078-4e1b-8f56-e6d82e6220e2.jpg?v=1775205792","Open")</x:f>
        <x:v>HYPERLINK is not implemented. linkLocation=https://cdn.shopify.com/s/files/1/0918/6066/4603/files/e8486027fd1e755d41567f1cbb5fc0ea_e79bf201-1078-4e1b-8f56-e6d82e6220e2.jpg?v=1775205792, friendlyName=Open</x:v>
      </x:c>
      <x:c r="C8396" s="24" t="e">
        <x:f>HYPERLINK("https://365nails.com/products/365nails-nautical-rhapsody-hand-painted-stripe-handmade-short-square-nails","365nails: ""Nautical Rhapsody"" – Hand-Painted Stripe Handmade Short Square Nails")</x:f>
        <x:v>HYPERLINK is not implemented. linkLocation=https://365nails.com/products/365nails-nautical-rhapsody-hand-painted-stripe-handmade-short-square-nails, friendlyName=365nails: "Nautical Rhapsody" – Hand-Painted Stripe Handmade Short Square Nails</x:v>
      </x:c>
      <x:c r="D8396" s="18" t="str">
        <x:v>Size: XS / S / M / L</x:v>
      </x:c>
      <x:c r="E8396" s="25" t="str">
        <x:v>$3.49</x:v>
      </x:c>
      <x:c r="F8396" s="19" t="str">
        <x:v>5</x:v>
      </x:c>
    </x:row>
    <x:row r="8397" ht="93" customHeight="1">
      <x:c r="A8397" s="19" t="n">
        <x:v>8394</x:v>
      </x:c>
      <x:c r="B8397" s="22" t="e">
        <x:f>HYPERLINK("https://cdn.shopify.com/s/files/1/0918/6066/4603/files/4b90c0e52d301f2edf75be80f04938bc.jpg?v=1775391934","Open")</x:f>
        <x:v>HYPERLINK is not implemented. linkLocation=https://cdn.shopify.com/s/files/1/0918/6066/4603/files/4b90c0e52d301f2edf75be80f04938bc.jpg?v=1775391934, friendlyName=Open</x:v>
      </x:c>
      <x:c r="C8397" s="24" t="e">
        <x:f>HYPERLINK("https://365nails.com/products/365nails-minimalist-whimsy-hand-painted-dot-handmade-short-square-nails","365nails: ""Minimalist Whimsy"" – Hand-Painted Dot Handmade Short Square Nails")</x:f>
        <x:v>HYPERLINK is not implemented. linkLocation=https://365nails.com/products/365nails-minimalist-whimsy-hand-painted-dot-handmade-short-square-nails, friendlyName=365nails: "Minimalist Whimsy" – Hand-Painted Dot Handmade Short Square Nails</x:v>
      </x:c>
      <x:c r="D8397" s="18" t="str">
        <x:v>Size: XS / S / M / L</x:v>
      </x:c>
      <x:c r="E8397" s="25" t="str">
        <x:v>$3.49</x:v>
      </x:c>
      <x:c r="F8397" s="19" t="str">
        <x:v>5</x:v>
      </x:c>
    </x:row>
    <x:row r="8398" ht="93" customHeight="1">
      <x:c r="A8398" s="19" t="n">
        <x:v>8395</x:v>
      </x:c>
      <x:c r="B8398" s="22" t="e">
        <x:f>HYPERLINK("https://cdn.shopify.com/s/files/1/0918/6066/4603/files/659e9e1c87e9d3ba10ac52aed8bac5cc.jpg?v=1775391951","Open")</x:f>
        <x:v>HYPERLINK is not implemented. linkLocation=https://cdn.shopify.com/s/files/1/0918/6066/4603/files/659e9e1c87e9d3ba10ac52aed8bac5cc.jpg?v=1775391951, friendlyName=Open</x:v>
      </x:c>
      <x:c r="C8398" s="24" t="e">
        <x:f>HYPERLINK("https://365nails.com/products/365nails-champagne-mist-glass-bead-handmade-short-square-nails","365nails: ""Champagne Mist"" – Glass Bead Handmade Short Square Nails")</x:f>
        <x:v>HYPERLINK is not implemented. linkLocation=https://365nails.com/products/365nails-champagne-mist-glass-bead-handmade-short-square-nails, friendlyName=365nails: "Champagne Mist" – Glass Bead Handmade Short Square Nails</x:v>
      </x:c>
      <x:c r="D8398" s="18" t="str">
        <x:v>Size: XS / S / M / L</x:v>
      </x:c>
      <x:c r="E8398" s="25" t="str">
        <x:v>$3.49</x:v>
      </x:c>
      <x:c r="F8398" s="19" t="str">
        <x:v>5</x:v>
      </x:c>
    </x:row>
    <x:row r="8399" ht="93" customHeight="1">
      <x:c r="A8399" s="19" t="n">
        <x:v>8396</x:v>
      </x:c>
      <x:c r="B8399" s="22" t="e">
        <x:f>HYPERLINK("https://cdn.shopify.com/s/files/1/0918/6066/4603/files/be0b826e298dc77f1cc1612ae57efc3e.jpg?v=1775391971","Open")</x:f>
        <x:v>HYPERLINK is not implemented. linkLocation=https://cdn.shopify.com/s/files/1/0918/6066/4603/files/be0b826e298dc77f1cc1612ae57efc3e.jpg?v=1775391971, friendlyName=Open</x:v>
      </x:c>
      <x:c r="C8399" s="24" t="e">
        <x:f>HYPERLINK("https://365nails.com/products/365nails-minimalist-stone-hand-painted-line-handmade-short-square-nails","365nails: ""Minimalist Stone"" – Hand-Painted Line Handmade Short Square Nails")</x:f>
        <x:v>HYPERLINK is not implemented. linkLocation=https://365nails.com/products/365nails-minimalist-stone-hand-painted-line-handmade-short-square-nails, friendlyName=365nails: "Minimalist Stone" – Hand-Painted Line Handmade Short Square Nails</x:v>
      </x:c>
      <x:c r="D8399" s="18" t="str">
        <x:v>Size: XS / S / M / L</x:v>
      </x:c>
      <x:c r="E8399" s="25" t="str">
        <x:v>$3.49</x:v>
      </x:c>
      <x:c r="F8399" s="19" t="str">
        <x:v>5</x:v>
      </x:c>
    </x:row>
    <x:row r="8400" ht="93" customHeight="1">
      <x:c r="A8400" s="19" t="n">
        <x:v>8397</x:v>
      </x:c>
      <x:c r="B8400" s="22" t="e">
        <x:f>HYPERLINK("https://cdn.shopify.com/s/files/1/0918/6066/4603/files/1e52de59ff8a8462bd93ef9f70e7b9f1.jpg?v=1775391999","Open")</x:f>
        <x:v>HYPERLINK is not implemented. linkLocation=https://cdn.shopify.com/s/files/1/0918/6066/4603/files/1e52de59ff8a8462bd93ef9f70e7b9f1.jpg?v=1775391999, friendlyName=Open</x:v>
      </x:c>
      <x:c r="C8400" s="24" t="e">
        <x:f>HYPERLINK("https://365nails.com/products/365nails-champagne-dreams-mixed-metallic-glitter-handmade-short-square-nails","365nails: ""Champagne Dreams"" – Mixed Metallic Glitter Handmade Short Square Nails")</x:f>
        <x:v>HYPERLINK is not implemented. linkLocation=https://365nails.com/products/365nails-champagne-dreams-mixed-metallic-glitter-handmade-short-square-nails, friendlyName=365nails: "Champagne Dreams" – Mixed Metallic Glitter Handmade Short Square Nails</x:v>
      </x:c>
      <x:c r="D8400" s="18" t="str">
        <x:v>Size: XS / S / M / L</x:v>
      </x:c>
      <x:c r="E8400" s="25" t="str">
        <x:v>$3.49</x:v>
      </x:c>
      <x:c r="F8400" s="19" t="str">
        <x:v>5</x:v>
      </x:c>
    </x:row>
    <x:row r="8401" ht="93" customHeight="1">
      <x:c r="A8401" s="19" t="n">
        <x:v>8398</x:v>
      </x:c>
      <x:c r="B8401" s="22" t="e">
        <x:f>HYPERLINK("https://cdn.shopify.com/s/files/1/0918/6066/4603/files/db95eae5b292dc581f0a2cdb321dbedd.jpg?v=1775392020","Open")</x:f>
        <x:v>HYPERLINK is not implemented. linkLocation=https://cdn.shopify.com/s/files/1/0918/6066/4603/files/db95eae5b292dc581f0a2cdb321dbedd.jpg?v=1775392020, friendlyName=Open</x:v>
      </x:c>
      <x:c r="C8401" s="24" t="e">
        <x:f>HYPERLINK("https://365nails.com/products/365nails-amber-noir-french-tip-handmade-short-square-nails","365nails: ""Amber Noir"" – French Tip Handmade Short Square Nails")</x:f>
        <x:v>HYPERLINK is not implemented. linkLocation=https://365nails.com/products/365nails-amber-noir-french-tip-handmade-short-square-nails, friendlyName=365nails: "Amber Noir" – French Tip Handmade Short Square Nails</x:v>
      </x:c>
      <x:c r="D8401" s="18" t="str">
        <x:v>Size: XS / S / M / L</x:v>
      </x:c>
      <x:c r="E8401" s="25" t="str">
        <x:v>$3.49</x:v>
      </x:c>
      <x:c r="F8401" s="19" t="str">
        <x:v>5</x:v>
      </x:c>
    </x:row>
    <x:row r="8402" ht="93" customHeight="1">
      <x:c r="A8402" s="19" t="n">
        <x:v>8399</x:v>
      </x:c>
      <x:c r="B8402" s="22" t="e">
        <x:f>HYPERLINK("https://cdn.shopify.com/s/files/1/0918/6066/4603/files/fcea77229a3c7d8d2d8373cf8fd71be3.jpg?v=1775392038","Open")</x:f>
        <x:v>HYPERLINK is not implemented. linkLocation=https://cdn.shopify.com/s/files/1/0918/6066/4603/files/fcea77229a3c7d8d2d8373cf8fd71be3.jpg?v=1775392038, friendlyName=Open</x:v>
      </x:c>
      <x:c r="C8402" s="24" t="e">
        <x:f>HYPERLINK("https://365nails.com/products/365nails-solar-flare-rhinestone-circle-handmade-short-square-nails","365nails: ""Solar Flare"" – Rhinestone Circle Handmade Short Square Nails")</x:f>
        <x:v>HYPERLINK is not implemented. linkLocation=https://365nails.com/products/365nails-solar-flare-rhinestone-circle-handmade-short-square-nails, friendlyName=365nails: "Solar Flare" – Rhinestone Circle Handmade Short Square Nails</x:v>
      </x:c>
      <x:c r="D8402" s="18" t="str">
        <x:v>Size: XS / S / M / L</x:v>
      </x:c>
      <x:c r="E8402" s="25" t="str">
        <x:v>$3.49</x:v>
      </x:c>
      <x:c r="F8402" s="19" t="str">
        <x:v>5</x:v>
      </x:c>
    </x:row>
    <x:row r="8403" ht="93" customHeight="1">
      <x:c r="A8403" s="19" t="n">
        <x:v>8400</x:v>
      </x:c>
      <x:c r="B8403" s="22" t="e">
        <x:f>HYPERLINK("https://cdn.shopify.com/s/files/1/0918/6066/4603/files/efd0058d297904fb26289ce16fc8acf3.jpg?v=1775392065","Open")</x:f>
        <x:v>HYPERLINK is not implemented. linkLocation=https://cdn.shopify.com/s/files/1/0918/6066/4603/files/efd0058d297904fb26289ce16fc8acf3.jpg?v=1775392065, friendlyName=Open</x:v>
      </x:c>
      <x:c r="C8403" s="24" t="e">
        <x:f>HYPERLINK("https://365nails.com/products/365nails-midnight-bloom-hand-painted-floral-handmade-short-square-nails","365nails: ""Midnight Bloom"" – Hand-Painted Floral Handmade Short Square Nails")</x:f>
        <x:v>HYPERLINK is not implemented. linkLocation=https://365nails.com/products/365nails-midnight-bloom-hand-painted-floral-handmade-short-square-nails, friendlyName=365nails: "Midnight Bloom" – Hand-Painted Floral Handmade Short Square Nails</x:v>
      </x:c>
      <x:c r="D8403" s="18" t="str">
        <x:v>Size: XS / S / M / L</x:v>
      </x:c>
      <x:c r="E8403" s="25" t="str">
        <x:v>$3.49</x:v>
      </x:c>
      <x:c r="F8403" s="19" t="str">
        <x:v>5</x:v>
      </x:c>
    </x:row>
    <x:row r="8404" ht="93" customHeight="1">
      <x:c r="A8404" s="19" t="n">
        <x:v>8401</x:v>
      </x:c>
      <x:c r="B8404" s="22" t="e">
        <x:f>HYPERLINK("https://cdn.shopify.com/s/files/1/0918/6066/4603/files/9406c4c97c961af83c3d46b1e12a8ee6.jpg?v=1775392078","Open")</x:f>
        <x:v>HYPERLINK is not implemented. linkLocation=https://cdn.shopify.com/s/files/1/0918/6066/4603/files/9406c4c97c961af83c3d46b1e12a8ee6.jpg?v=1775392078, friendlyName=Open</x:v>
      </x:c>
      <x:c r="C8404" s="24" t="e">
        <x:f>HYPERLINK("https://365nails.com/products/365nails-liquid-metal-3d-sculpted-handmade-short-square-nails","365nails: ""Liquid Metal"" – 3D Sculpted Handmade Short Square Nails")</x:f>
        <x:v>HYPERLINK is not implemented. linkLocation=https://365nails.com/products/365nails-liquid-metal-3d-sculpted-handmade-short-square-nails, friendlyName=365nails: "Liquid Metal" – 3D Sculpted Handmade Short Square Nails</x:v>
      </x:c>
      <x:c r="D8404" s="18" t="str">
        <x:v>Size: XS / S / M / L</x:v>
      </x:c>
      <x:c r="E8404" s="25" t="str">
        <x:v>$3.49</x:v>
      </x:c>
      <x:c r="F8404" s="19" t="str">
        <x:v>5</x:v>
      </x:c>
    </x:row>
    <x:row r="8405" ht="93" customHeight="1">
      <x:c r="A8405" s="19" t="n">
        <x:v>8402</x:v>
      </x:c>
      <x:c r="B8405" s="22" t="e">
        <x:f>HYPERLINK("https://cdn.shopify.com/s/files/1/0918/6066/4603/files/6ef043f26c5b6ba0c71bfa12e1be6111.jpg?v=1775392131","Open")</x:f>
        <x:v>HYPERLINK is not implemented. linkLocation=https://cdn.shopify.com/s/files/1/0918/6066/4603/files/6ef043f26c5b6ba0c71bfa12e1be6111.jpg?v=1775392131, friendlyName=Open</x:v>
      </x:c>
      <x:c r="C8405" s="24" t="e">
        <x:f>HYPERLINK("https://365nails.com/products/365nails-electric-noir-french-tip-handmade-short-square-nails","365nails: ""Electric Noir"" – French Tip Handmade Short Square Nails")</x:f>
        <x:v>HYPERLINK is not implemented. linkLocation=https://365nails.com/products/365nails-electric-noir-french-tip-handmade-short-square-nails, friendlyName=365nails: "Electric Noir" – French Tip Handmade Short Square Nails</x:v>
      </x:c>
      <x:c r="D8405" s="18" t="str">
        <x:v>Size: XS / S / M / L</x:v>
      </x:c>
      <x:c r="E8405" s="25" t="str">
        <x:v>$3.49</x:v>
      </x:c>
      <x:c r="F8405" s="19" t="str">
        <x:v>5</x:v>
      </x:c>
    </x:row>
    <x:row r="8406" ht="93" customHeight="1">
      <x:c r="A8406" s="19" t="n">
        <x:v>8403</x:v>
      </x:c>
      <x:c r="B8406" s="22" t="e">
        <x:f>HYPERLINK("https://cdn.shopify.com/s/files/1/0918/6066/4603/files/23f2ba7a64472ad788b2731f3bc57f5e.jpg?v=1775461239","Open")</x:f>
        <x:v>HYPERLINK is not implemented. linkLocation=https://cdn.shopify.com/s/files/1/0918/6066/4603/files/23f2ba7a64472ad788b2731f3bc57f5e.jpg?v=1775461239, friendlyName=Open</x:v>
      </x:c>
      <x:c r="C8406" s="24" t="e">
        <x:f>HYPERLINK("https://365nails.com/products/365nails-golden-twilight-cat-eye-gradient-handmade-short-square-nails","365nails: ""Golden Twilight"" – Cat-Eye Gradient Handmade Short Square Nails")</x:f>
        <x:v>HYPERLINK is not implemented. linkLocation=https://365nails.com/products/365nails-golden-twilight-cat-eye-gradient-handmade-short-square-nails, friendlyName=365nails: "Golden Twilight" – Cat-Eye Gradient Handmade Short Square Nails</x:v>
      </x:c>
      <x:c r="D8406" s="18" t="str">
        <x:v>Size: XS / S / M / L</x:v>
      </x:c>
      <x:c r="E8406" s="25" t="str">
        <x:v>$3.49</x:v>
      </x:c>
      <x:c r="F8406" s="19" t="str">
        <x:v>5</x:v>
      </x:c>
    </x:row>
    <x:row r="8407" ht="93" customHeight="1">
      <x:c r="A8407" s="19" t="n">
        <x:v>8404</x:v>
      </x:c>
      <x:c r="B8407" s="22" t="e">
        <x:f>HYPERLINK("https://cdn.shopify.com/s/files/1/0918/6066/4603/files/6749581fd18f18d78bb1bd0bc0ace882.jpg?v=1775392167","Open")</x:f>
        <x:v>HYPERLINK is not implemented. linkLocation=https://cdn.shopify.com/s/files/1/0918/6066/4603/files/6749581fd18f18d78bb1bd0bc0ace882.jpg?v=1775392167, friendlyName=Open</x:v>
      </x:c>
      <x:c r="C8407" s="24" t="e">
        <x:f>HYPERLINK("https://365nails.com/products/365nails-cozy-chic-3d-sculpted-mixed-media-handmade-short-square-nails","365nails: ""Cozy Chic"" – 3D Sculpted Mixed Media Handmade Short Square Nails")</x:f>
        <x:v>HYPERLINK is not implemented. linkLocation=https://365nails.com/products/365nails-cozy-chic-3d-sculpted-mixed-media-handmade-short-square-nails, friendlyName=365nails: "Cozy Chic" – 3D Sculpted Mixed Media Handmade Short Square Nails</x:v>
      </x:c>
      <x:c r="D8407" s="18" t="str">
        <x:v>Size: XS / S / M / L</x:v>
      </x:c>
      <x:c r="E8407" s="25" t="str">
        <x:v>$3.99</x:v>
      </x:c>
      <x:c r="F8407" s="19" t="str">
        <x:v>5</x:v>
      </x:c>
    </x:row>
    <x:row r="8408" ht="93" customHeight="1">
      <x:c r="A8408" s="19" t="n">
        <x:v>8405</x:v>
      </x:c>
      <x:c r="B8408" s="22" t="e">
        <x:f>HYPERLINK("https://cdn.shopify.com/s/files/1/0918/6066/4603/files/07936927b6ff72183184681ad3dda2b0.jpg?v=1775392181","Open")</x:f>
        <x:v>HYPERLINK is not implemented. linkLocation=https://cdn.shopify.com/s/files/1/0918/6066/4603/files/07936927b6ff72183184681ad3dda2b0.jpg?v=1775392181, friendlyName=Open</x:v>
      </x:c>
      <x:c r="C8408" s="24" t="e">
        <x:f>HYPERLINK("https://365nails.com/products/365nails-starlight-kiss-glazed-chrome-handmade-short-square-nails","365nails: ""Starlight Kiss"" – Glazed Chrome Handmade Short Square Nails")</x:f>
        <x:v>HYPERLINK is not implemented. linkLocation=https://365nails.com/products/365nails-starlight-kiss-glazed-chrome-handmade-short-square-nails, friendlyName=365nails: "Starlight Kiss" – Glazed Chrome Handmade Short Square Nails</x:v>
      </x:c>
      <x:c r="D8408" s="18" t="str">
        <x:v>Size: XS / S / M / L</x:v>
      </x:c>
      <x:c r="E8408" s="25" t="str">
        <x:v>$3.99</x:v>
      </x:c>
      <x:c r="F8408" s="19" t="str">
        <x:v>5</x:v>
      </x:c>
    </x:row>
    <x:row r="8409" ht="93" customHeight="1">
      <x:c r="A8409" s="19" t="n">
        <x:v>8406</x:v>
      </x:c>
      <x:c r="B8409" s="22" t="e">
        <x:f>HYPERLINK("https://cdn.shopify.com/s/files/1/0918/6066/4603/files/6adbd5c92fd0d59259939d3289ce43c1.jpg?v=1775392196","Open")</x:f>
        <x:v>HYPERLINK is not implemented. linkLocation=https://cdn.shopify.com/s/files/1/0918/6066/4603/files/6adbd5c92fd0d59259939d3289ce43c1.jpg?v=1775392196, friendlyName=Open</x:v>
      </x:c>
      <x:c r="C8409" s="24" t="e">
        <x:f>HYPERLINK("https://365nails.com/products/365nails-preppy-plaid-hand-painted-checkered-short-square-nails","365nails: ""Preppy Plaid"" – Hand-Painted Checkered Short Square Nails")</x:f>
        <x:v>HYPERLINK is not implemented. linkLocation=https://365nails.com/products/365nails-preppy-plaid-hand-painted-checkered-short-square-nails, friendlyName=365nails: "Preppy Plaid" – Hand-Painted Checkered Short Square Nails</x:v>
      </x:c>
      <x:c r="D8409" s="18" t="str">
        <x:v>Size: XS / S / M / L</x:v>
      </x:c>
      <x:c r="E8409" s="25" t="str">
        <x:v>$3.99</x:v>
      </x:c>
      <x:c r="F8409" s="19" t="str">
        <x:v>5</x:v>
      </x:c>
    </x:row>
    <x:row r="8410" ht="93" customHeight="1">
      <x:c r="A8410" s="19" t="n">
        <x:v>8407</x:v>
      </x:c>
      <x:c r="B8410" s="22" t="e">
        <x:f>HYPERLINK("https://cdn.shopify.com/s/files/1/0918/6066/4603/files/4d26b11bde0d159725e6b00fb5566ac9.jpg?v=1775392217","Open")</x:f>
        <x:v>HYPERLINK is not implemented. linkLocation=https://cdn.shopify.com/s/files/1/0918/6066/4603/files/4d26b11bde0d159725e6b00fb5566ac9.jpg?v=1775392217, friendlyName=Open</x:v>
      </x:c>
      <x:c r="C8410" s="24" t="e">
        <x:f>HYPERLINK("https://365nails.com/products/365nails-ruby-velvet-bow-3d-bow-handmade-short-square-nails","365nails: ""Ruby Velvet Bow"" – 3D Bow Handmade Short Square Nails")</x:f>
        <x:v>HYPERLINK is not implemented. linkLocation=https://365nails.com/products/365nails-ruby-velvet-bow-3d-bow-handmade-short-square-nails, friendlyName=365nails: "Ruby Velvet Bow" – 3D Bow Handmade Short Square Nails</x:v>
      </x:c>
      <x:c r="D8410" s="18" t="str">
        <x:v>Size: XS / S / M / L</x:v>
      </x:c>
      <x:c r="E8410" s="25" t="str">
        <x:v>$3.99</x:v>
      </x:c>
      <x:c r="F8410" s="19" t="str">
        <x:v>5</x:v>
      </x:c>
    </x:row>
    <x:row r="8411" ht="93" customHeight="1">
      <x:c r="A8411" s="19" t="n">
        <x:v>8408</x:v>
      </x:c>
      <x:c r="B8411" s="22" t="e">
        <x:f>HYPERLINK("https://cdn.shopify.com/s/files/1/0918/6066/4603/files/46fb8bd0b0288366824bfd16fc881ab5.jpg?v=1775392231","Open")</x:f>
        <x:v>HYPERLINK is not implemented. linkLocation=https://cdn.shopify.com/s/files/1/0918/6066/4603/files/46fb8bd0b0288366824bfd16fc881ab5.jpg?v=1775392231, friendlyName=Open</x:v>
      </x:c>
      <x:c r="C8411" s="24" t="e">
        <x:f>HYPERLINK("https://365nails.com/products/365nails-sweetheart-polka-hand-painted-heart-short-square-nails","365nails: ""Sweetheart Polka"" – Hand-Painted Heart Short Square Nails")</x:f>
        <x:v>HYPERLINK is not implemented. linkLocation=https://365nails.com/products/365nails-sweetheart-polka-hand-painted-heart-short-square-nails, friendlyName=365nails: "Sweetheart Polka" – Hand-Painted Heart Short Square Nails</x:v>
      </x:c>
      <x:c r="D8411" s="18" t="str">
        <x:v>Size: XS / S / M / L</x:v>
      </x:c>
      <x:c r="E8411" s="25" t="str">
        <x:v>$3.99</x:v>
      </x:c>
      <x:c r="F8411" s="19" t="str">
        <x:v>5</x:v>
      </x:c>
    </x:row>
    <x:row r="8412" ht="93" customHeight="1">
      <x:c r="A8412" s="19" t="n">
        <x:v>8409</x:v>
      </x:c>
      <x:c r="B8412" s="22" t="e">
        <x:f>HYPERLINK("https://cdn.shopify.com/s/files/1/0918/6066/4603/files/b062a055fe6cbd438963ed3459c31630.jpg?v=1775392245","Open")</x:f>
        <x:v>HYPERLINK is not implemented. linkLocation=https://cdn.shopify.com/s/files/1/0918/6066/4603/files/b062a055fe6cbd438963ed3459c31630.jpg?v=1775392245, friendlyName=Open</x:v>
      </x:c>
      <x:c r="C8412" s="24" t="e">
        <x:f>HYPERLINK("https://365nails.com/products/365nails-crimson-halo-hand-painted-french-tip-short-square-nails","365nails: ""Crimson Halo"" – Hand-Painted French Tip Short Square Nails")</x:f>
        <x:v>HYPERLINK is not implemented. linkLocation=https://365nails.com/products/365nails-crimson-halo-hand-painted-french-tip-short-square-nails, friendlyName=365nails: "Crimson Halo" – Hand-Painted French Tip Short Square Nails</x:v>
      </x:c>
      <x:c r="D8412" s="18" t="str">
        <x:v>Size: XS / S / M / L</x:v>
      </x:c>
      <x:c r="E8412" s="25" t="str">
        <x:v>$3.99</x:v>
      </x:c>
      <x:c r="F8412" s="19" t="str">
        <x:v>5</x:v>
      </x:c>
    </x:row>
    <x:row r="8413" ht="93" customHeight="1">
      <x:c r="A8413" s="19" t="n">
        <x:v>8410</x:v>
      </x:c>
      <x:c r="B8413" s="22" t="e">
        <x:f>HYPERLINK("https://cdn.shopify.com/s/files/1/0918/6066/4603/files/fd0daa80a46084cf9058fd62274b1494.jpg?v=1775392261","Open")</x:f>
        <x:v>HYPERLINK is not implemented. linkLocation=https://cdn.shopify.com/s/files/1/0918/6066/4603/files/fd0daa80a46084cf9058fd62274b1494.jpg?v=1775392261, friendlyName=Open</x:v>
      </x:c>
      <x:c r="C8413" s="24" t="e">
        <x:f>HYPERLINK("https://365nails.com/products/365nails-knit-heart-3d-textured-handmade-short-square-nails","365nails: ""Knit Heart"" – 3D Textured Handmade Short Square Nails")</x:f>
        <x:v>HYPERLINK is not implemented. linkLocation=https://365nails.com/products/365nails-knit-heart-3d-textured-handmade-short-square-nails, friendlyName=365nails: "Knit Heart" – 3D Textured Handmade Short Square Nails</x:v>
      </x:c>
      <x:c r="D8413" s="18" t="str">
        <x:v>Size: XS / S / M / L</x:v>
      </x:c>
      <x:c r="E8413" s="25" t="str">
        <x:v>$3.99</x:v>
      </x:c>
      <x:c r="F8413" s="19" t="str">
        <x:v>5</x:v>
      </x:c>
    </x:row>
    <x:row r="8414" ht="93" customHeight="1">
      <x:c r="A8414" s="19" t="n">
        <x:v>8411</x:v>
      </x:c>
      <x:c r="B8414" s="22" t="e">
        <x:f>HYPERLINK("https://cdn.shopify.com/s/files/1/0918/6066/4603/files/a04e97f9913f58a17283a8cb01f23b17.jpg?v=1775392383","Open")</x:f>
        <x:v>HYPERLINK is not implemented. linkLocation=https://cdn.shopify.com/s/files/1/0918/6066/4603/files/a04e97f9913f58a17283a8cb01f23b17.jpg?v=1775392383, friendlyName=Open</x:v>
      </x:c>
      <x:c r="C8414" s="24" t="e">
        <x:f>HYPERLINK("https://365nails.com/products/365nails-noir-ballet-hand-painted-monochrome-short-square-nails","365nails: ""Noir Ballet"" – Hand-Painted Monochrome Short Square Nails")</x:f>
        <x:v>HYPERLINK is not implemented. linkLocation=https://365nails.com/products/365nails-noir-ballet-hand-painted-monochrome-short-square-nails, friendlyName=365nails: "Noir Ballet" – Hand-Painted Monochrome Short Square Nails</x:v>
      </x:c>
      <x:c r="D8414" s="18" t="str">
        <x:v>Size: XS / S / M / L</x:v>
      </x:c>
      <x:c r="E8414" s="25" t="str">
        <x:v>$3.99</x:v>
      </x:c>
      <x:c r="F8414" s="19" t="str">
        <x:v>5</x:v>
      </x:c>
    </x:row>
    <x:row r="8415" ht="93" customHeight="1">
      <x:c r="A8415" s="19" t="n">
        <x:v>8412</x:v>
      </x:c>
      <x:c r="B8415" s="22" t="e">
        <x:f>HYPERLINK("https://cdn.shopify.com/s/files/1/0918/6066/4603/files/29d9ae71637b720c7b4764e1757cfb3a.jpg?v=1775392419","Open")</x:f>
        <x:v>HYPERLINK is not implemented. linkLocation=https://cdn.shopify.com/s/files/1/0918/6066/4603/files/29d9ae71637b720c7b4764e1757cfb3a.jpg?v=1775392419, friendlyName=Open</x:v>
      </x:c>
      <x:c r="C8415" s="24" t="e">
        <x:f>HYPERLINK("https://365nails.com/products/365nails-pink-aura-hand-painted-french-tip-short-square-nails","365nails: ""Pink Aura"" – Hand-Painted French Tip Short Square Nails")</x:f>
        <x:v>HYPERLINK is not implemented. linkLocation=https://365nails.com/products/365nails-pink-aura-hand-painted-french-tip-short-square-nails, friendlyName=365nails: "Pink Aura" – Hand-Painted French Tip Short Square Nails</x:v>
      </x:c>
      <x:c r="D8415" s="18" t="str">
        <x:v>Size: XS / S / M / L</x:v>
      </x:c>
      <x:c r="E8415" s="25" t="str">
        <x:v>$3.99</x:v>
      </x:c>
      <x:c r="F8415" s="19" t="str">
        <x:v>5</x:v>
      </x:c>
    </x:row>
    <x:row r="8416" ht="93" customHeight="1">
      <x:c r="A8416" s="19" t="n">
        <x:v>8413</x:v>
      </x:c>
      <x:c r="B8416" s="22" t="e">
        <x:f>HYPERLINK("https://cdn.shopify.com/s/files/1/0918/6066/4603/files/0c4d66066d390b189b55efaf4bef8372.jpg?v=1775392441","Open")</x:f>
        <x:v>HYPERLINK is not implemented. linkLocation=https://cdn.shopify.com/s/files/1/0918/6066/4603/files/0c4d66066d390b189b55efaf4bef8372.jpg?v=1775392441, friendlyName=Open</x:v>
      </x:c>
      <x:c r="C8416" s="24" t="e">
        <x:f>HYPERLINK("https://365nails.com/products/365nails-pastel-bow-3d-character-handmade-short-square-nails","365nails: ""Pastel Bow"" – 3D Character Handmade Short Square Nails")</x:f>
        <x:v>HYPERLINK is not implemented. linkLocation=https://365nails.com/products/365nails-pastel-bow-3d-character-handmade-short-square-nails, friendlyName=365nails: "Pastel Bow" – 3D Character Handmade Short Square Nails</x:v>
      </x:c>
      <x:c r="D8416" s="18" t="str">
        <x:v>Size: XS / S / M / L</x:v>
      </x:c>
      <x:c r="E8416" s="25" t="str">
        <x:v>$3.99</x:v>
      </x:c>
      <x:c r="F8416" s="19" t="str">
        <x:v>5</x:v>
      </x:c>
    </x:row>
    <x:row r="8417" ht="93" customHeight="1">
      <x:c r="A8417" s="19" t="n">
        <x:v>8414</x:v>
      </x:c>
      <x:c r="B8417" s="22" t="e">
        <x:f>HYPERLINK("https://cdn.shopify.com/s/files/1/0918/6066/4603/files/90e2c2176c7f325d9db6eba3820254f4.jpg?v=1775392462","Open")</x:f>
        <x:v>HYPERLINK is not implemented. linkLocation=https://cdn.shopify.com/s/files/1/0918/6066/4603/files/90e2c2176c7f325d9db6eba3820254f4.jpg?v=1775392462, friendlyName=Open</x:v>
      </x:c>
      <x:c r="C8417" s="24" t="e">
        <x:f>HYPERLINK("https://365nails.com/products/365nails-noir-muse-hand-painted-abstract-line-art-short-square-nails","365nails: ""Noir Muse"" – Hand-Painted Abstract Line Art Short Square Nails")</x:f>
        <x:v>HYPERLINK is not implemented. linkLocation=https://365nails.com/products/365nails-noir-muse-hand-painted-abstract-line-art-short-square-nails, friendlyName=365nails: "Noir Muse" – Hand-Painted Abstract Line Art Short Square Nails</x:v>
      </x:c>
      <x:c r="D8417" s="18" t="str">
        <x:v>Size: XS / S / M / L</x:v>
      </x:c>
      <x:c r="E8417" s="25" t="str">
        <x:v>$3.99</x:v>
      </x:c>
      <x:c r="F8417" s="19" t="str">
        <x:v>5</x:v>
      </x:c>
    </x:row>
    <x:row r="8418" ht="93" customHeight="1">
      <x:c r="A8418" s="19" t="n">
        <x:v>8415</x:v>
      </x:c>
      <x:c r="B8418" s="22" t="e">
        <x:f>HYPERLINK("https://cdn.shopify.com/s/files/1/0918/6066/4603/files/762a0be84e00a345929d086f5adf5f46.jpg?v=1775392482","Open")</x:f>
        <x:v>HYPERLINK is not implemented. linkLocation=https://cdn.shopify.com/s/files/1/0918/6066/4603/files/762a0be84e00a345929d086f5adf5f46.jpg?v=1775392482, friendlyName=Open</x:v>
      </x:c>
      <x:c r="C8418" s="24" t="e">
        <x:f>HYPERLINK("https://365nails.com/products/365nails-amber-velvet-hand-painted-tortoiseshell-abstract-short-square-nails","365nails: ""Amber Velvet"" – Hand-Painted Tortoiseshell &amp; Abstract Short Square Nails")</x:f>
        <x:v>HYPERLINK is not implemented. linkLocation=https://365nails.com/products/365nails-amber-velvet-hand-painted-tortoiseshell-abstract-short-square-nails, friendlyName=365nails: "Amber Velvet" – Hand-Painted Tortoiseshell &amp; Abstract Short Square Nails</x:v>
      </x:c>
      <x:c r="D8418" s="18" t="str">
        <x:v>Size: XS / S / M / L</x:v>
      </x:c>
      <x:c r="E8418" s="25" t="str">
        <x:v>$3.99</x:v>
      </x:c>
      <x:c r="F8418" s="19" t="str">
        <x:v>5</x:v>
      </x:c>
    </x:row>
    <x:row r="8419" ht="93" customHeight="1">
      <x:c r="A8419" s="19" t="n">
        <x:v>8416</x:v>
      </x:c>
      <x:c r="B8419" s="22" t="e">
        <x:f>HYPERLINK("https://cdn.shopify.com/s/files/1/0918/6066/4603/files/41a2371fe333bf749396c6f03c362629.jpg?v=1775392525","Open")</x:f>
        <x:v>HYPERLINK is not implemented. linkLocation=https://cdn.shopify.com/s/files/1/0918/6066/4603/files/41a2371fe333bf749396c6f03c362629.jpg?v=1775392525, friendlyName=Open</x:v>
      </x:c>
      <x:c r="C8419" s="24" t="e">
        <x:f>HYPERLINK("https://365nails.com/products/365nails-bordeaux-gold-hand-painted-abstract-swirl-handmade-short-square-nails","365nails: ""Bordeaux &amp; Gold"" – Hand-Painted Abstract Swirl Handmade Short Square Nails")</x:f>
        <x:v>HYPERLINK is not implemented. linkLocation=https://365nails.com/products/365nails-bordeaux-gold-hand-painted-abstract-swirl-handmade-short-square-nails, friendlyName=365nails: "Bordeaux &amp; Gold" – Hand-Painted Abstract Swirl Handmade Short Square Nails</x:v>
      </x:c>
      <x:c r="D8419" s="18" t="str">
        <x:v>Size: XS / S / M / L</x:v>
      </x:c>
      <x:c r="E8419" s="25" t="str">
        <x:v>$3.99</x:v>
      </x:c>
      <x:c r="F8419" s="19" t="str">
        <x:v>5</x:v>
      </x:c>
    </x:row>
    <x:row r="8420" ht="93" customHeight="1">
      <x:c r="A8420" s="19" t="n">
        <x:v>8417</x:v>
      </x:c>
      <x:c r="B8420" s="22" t="e">
        <x:f>HYPERLINK("https://cdn.shopify.com/s/files/1/0918/6066/4603/files/834d6814ccae1a01d2029395db9df737.jpg?v=1775392548","Open")</x:f>
        <x:v>HYPERLINK is not implemented. linkLocation=https://cdn.shopify.com/s/files/1/0918/6066/4603/files/834d6814ccae1a01d2029395db9df737.jpg?v=1775392548, friendlyName=Open</x:v>
      </x:c>
      <x:c r="C8420" s="24" t="e">
        <x:f>HYPERLINK("https://365nails.com/products/365nails-porcelain-whispers-3d-bow-rhinestone-handmade-short-square-nails","365nails: ""Porcelain Whispers"" – 3D Bow &amp; Rhinestone Handmade Short Square Nails")</x:f>
        <x:v>HYPERLINK is not implemented. linkLocation=https://365nails.com/products/365nails-porcelain-whispers-3d-bow-rhinestone-handmade-short-square-nails, friendlyName=365nails: "Porcelain Whispers" – 3D Bow &amp; Rhinestone Handmade Short Square Nails</x:v>
      </x:c>
      <x:c r="D8420" s="18" t="str">
        <x:v>Size: XS / S / M / L</x:v>
      </x:c>
      <x:c r="E8420" s="25" t="str">
        <x:v>$3.99</x:v>
      </x:c>
      <x:c r="F8420" s="19" t="str">
        <x:v>5</x:v>
      </x:c>
    </x:row>
    <x:row r="8421" ht="93" customHeight="1">
      <x:c r="A8421" s="19" t="n">
        <x:v>8418</x:v>
      </x:c>
      <x:c r="B8421" s="22" t="e">
        <x:f>HYPERLINK("https://cdn.shopify.com/s/files/1/0918/6066/4603/files/07fffe6ff97c98a2881812ceb68b9cbd.jpg?v=1775392565","Open")</x:f>
        <x:v>HYPERLINK is not implemented. linkLocation=https://cdn.shopify.com/s/files/1/0918/6066/4603/files/07fffe6ff97c98a2881812ceb68b9cbd.jpg?v=1775392565, friendlyName=Open</x:v>
      </x:c>
      <x:c r="C8421" s="24" t="e">
        <x:f>HYPERLINK("https://365nails.com/products/365nails-chrome-horizon-metallic-stripes-handmade-short-square-nails","365nails: ""Chrome Horizon"" – Metallic Stripes Handmade Short Square Nails")</x:f>
        <x:v>HYPERLINK is not implemented. linkLocation=https://365nails.com/products/365nails-chrome-horizon-metallic-stripes-handmade-short-square-nails, friendlyName=365nails: "Chrome Horizon" – Metallic Stripes Handmade Short Square Nails</x:v>
      </x:c>
      <x:c r="D8421" s="18" t="str">
        <x:v>Size: XS / S / M / L</x:v>
      </x:c>
      <x:c r="E8421" s="25" t="str">
        <x:v>$3.99</x:v>
      </x:c>
      <x:c r="F8421" s="19" t="str">
        <x:v>5</x:v>
      </x:c>
    </x:row>
    <x:row r="8422" ht="93" customHeight="1">
      <x:c r="A8422" s="19" t="n">
        <x:v>8419</x:v>
      </x:c>
      <x:c r="B8422" s="22" t="e">
        <x:f>HYPERLINK("https://cdn.shopify.com/s/files/1/0918/6066/4603/files/c9e03a298bfb079344081adee45012c8.jpg?v=1775392579","Open")</x:f>
        <x:v>HYPERLINK is not implemented. linkLocation=https://cdn.shopify.com/s/files/1/0918/6066/4603/files/c9e03a298bfb079344081adee45012c8.jpg?v=1775392579, friendlyName=Open</x:v>
      </x:c>
      <x:c r="C8422" s="24" t="e">
        <x:f>HYPERLINK("https://365nails.com/products/365nails-celestial-bows-3d-bow-star-charm-handmade-short-square-nails","365nails: ""Celestial Bows"" – 3D Bow &amp; Star Charm Handmade Short Square Nails")</x:f>
        <x:v>HYPERLINK is not implemented. linkLocation=https://365nails.com/products/365nails-celestial-bows-3d-bow-star-charm-handmade-short-square-nails, friendlyName=365nails: "Celestial Bows" – 3D Bow &amp; Star Charm Handmade Short Square Nails</x:v>
      </x:c>
      <x:c r="D8422" s="18" t="str">
        <x:v>Size: XS / S / M / L</x:v>
      </x:c>
      <x:c r="E8422" s="25" t="str">
        <x:v>$3.99</x:v>
      </x:c>
      <x:c r="F8422" s="19" t="str">
        <x:v>5</x:v>
      </x:c>
    </x:row>
    <x:row r="8423" ht="93" customHeight="1">
      <x:c r="A8423" s="19" t="n">
        <x:v>8420</x:v>
      </x:c>
      <x:c r="B8423" s="22" t="e">
        <x:f>HYPERLINK("https://cdn.shopify.com/s/files/1/0918/6066/4603/files/5de2f993528fb1e5dc19cc6055e1c129.jpg?v=1775392595","Open")</x:f>
        <x:v>HYPERLINK is not implemented. linkLocation=https://cdn.shopify.com/s/files/1/0918/6066/4603/files/5de2f993528fb1e5dc19cc6055e1c129.jpg?v=1775392595, friendlyName=Open</x:v>
      </x:c>
      <x:c r="C8423" s="24" t="e">
        <x:f>HYPERLINK("https://365nails.com/products/365nails-liquid-silver-metallic-chrome-crystal-handmade-short-almond-nails","365nails: ""Liquid Silver"" – Metallic Chrome &amp; Crystal Handmade Short Almond Nails")</x:f>
        <x:v>HYPERLINK is not implemented. linkLocation=https://365nails.com/products/365nails-liquid-silver-metallic-chrome-crystal-handmade-short-almond-nails, friendlyName=365nails: "Liquid Silver" – Metallic Chrome &amp; Crystal Handmade Short Almond Nails</x:v>
      </x:c>
      <x:c r="D8423" s="18" t="str">
        <x:v>Size: XS / S / M / L</x:v>
      </x:c>
      <x:c r="E8423" s="25" t="str">
        <x:v>$3.99</x:v>
      </x:c>
      <x:c r="F8423" s="19" t="str">
        <x:v>5</x:v>
      </x:c>
    </x:row>
    <x:row r="8424" ht="93" customHeight="1">
      <x:c r="A8424" s="19" t="n">
        <x:v>8421</x:v>
      </x:c>
      <x:c r="B8424" s="22" t="e">
        <x:f>HYPERLINK("https://cdn.shopify.com/s/files/1/0918/6066/4603/files/ccc4d3aa2a64ae180b196d3206dcc73f.jpg?v=1775392608","Open")</x:f>
        <x:v>HYPERLINK is not implemented. linkLocation=https://cdn.shopify.com/s/files/1/0918/6066/4603/files/ccc4d3aa2a64ae180b196d3206dcc73f.jpg?v=1775392608, friendlyName=Open</x:v>
      </x:c>
      <x:c r="C8424" s="24" t="e">
        <x:f>HYPERLINK("https://365nails.com/products/365nails-sapphire-tears-iridescent-cat-eye-glass-bead-handmade-short-oval-nails","365nails: ""Sapphire Tears"" – Iridescent Cat Eye &amp; Glass Bead Handmade Short Oval Nails")</x:f>
        <x:v>HYPERLINK is not implemented. linkLocation=https://365nails.com/products/365nails-sapphire-tears-iridescent-cat-eye-glass-bead-handmade-short-oval-nails, friendlyName=365nails: "Sapphire Tears" – Iridescent Cat Eye &amp; Glass Bead Handmade Short Oval Nails</x:v>
      </x:c>
      <x:c r="D8424" s="18" t="str">
        <x:v>Size: XS / S / M / L</x:v>
      </x:c>
      <x:c r="E8424" s="25" t="str">
        <x:v>$3.99</x:v>
      </x:c>
      <x:c r="F8424" s="19" t="str">
        <x:v>5</x:v>
      </x:c>
    </x:row>
    <x:row r="8425" ht="93" customHeight="1">
      <x:c r="A8425" s="19" t="n">
        <x:v>8422</x:v>
      </x:c>
      <x:c r="B8425" s="22" t="e">
        <x:f>HYPERLINK("https://cdn.shopify.com/s/files/1/0918/6066/4603/files/bd23e0a75caa464ffd0e111be0ae8e05.jpg?v=1775392644","Open")</x:f>
        <x:v>HYPERLINK is not implemented. linkLocation=https://cdn.shopify.com/s/files/1/0918/6066/4603/files/bd23e0a75caa464ffd0e111be0ae8e05.jpg?v=1775392644, friendlyName=Open</x:v>
      </x:c>
      <x:c r="C8425" s="24" t="e">
        <x:f>HYPERLINK("https://365nails.com/products/365nails-noir-symphony-3d-floral-abstract-marble-handmade-short-square-nails","365nails: ""Noir Symphony"" – 3D Floral &amp; Abstract Marble Handmade Short Square Nails")</x:f>
        <x:v>HYPERLINK is not implemented. linkLocation=https://365nails.com/products/365nails-noir-symphony-3d-floral-abstract-marble-handmade-short-square-nails, friendlyName=365nails: "Noir Symphony" – 3D Floral &amp; Abstract Marble Handmade Short Square Nails</x:v>
      </x:c>
      <x:c r="D8425" s="18" t="str">
        <x:v>Size: XS / S / M / L</x:v>
      </x:c>
      <x:c r="E8425" s="25" t="str">
        <x:v>$3.99</x:v>
      </x:c>
      <x:c r="F8425" s="19" t="str">
        <x:v>5</x:v>
      </x:c>
    </x:row>
    <x:row r="8426" ht="93" customHeight="1">
      <x:c r="A8426" s="19" t="n">
        <x:v>8423</x:v>
      </x:c>
      <x:c r="B8426" s="22" t="e">
        <x:f>HYPERLINK("https://cdn.shopify.com/s/files/1/0918/6066/4603/files/f2a8d2c84fa016998a35cf9091699d9e.jpg?v=1775392682","Open")</x:f>
        <x:v>HYPERLINK is not implemented. linkLocation=https://cdn.shopify.com/s/files/1/0918/6066/4603/files/f2a8d2c84fa016998a35cf9091699d9e.jpg?v=1775392682, friendlyName=Open</x:v>
      </x:c>
      <x:c r="C8426" s="24" t="e">
        <x:f>HYPERLINK("https://365nails.com/products/365nails-stardust-wish-glitter-star-charm-handmade-short-square-nails","365nails: ""Stardust Wish"" – Glitter &amp; Star Charm Handmade Short Square Nails")</x:f>
        <x:v>HYPERLINK is not implemented. linkLocation=https://365nails.com/products/365nails-stardust-wish-glitter-star-charm-handmade-short-square-nails, friendlyName=365nails: "Stardust Wish" – Glitter &amp; Star Charm Handmade Short Square Nails</x:v>
      </x:c>
      <x:c r="D8426" s="18" t="str">
        <x:v>Size: XS / S / M / L</x:v>
      </x:c>
      <x:c r="E8426" s="25" t="str">
        <x:v>$3.99</x:v>
      </x:c>
      <x:c r="F8426" s="19" t="str">
        <x:v>5</x:v>
      </x:c>
    </x:row>
    <x:row r="8427" ht="93" customHeight="1">
      <x:c r="A8427" s="19" t="n">
        <x:v>8424</x:v>
      </x:c>
      <x:c r="B8427" s="22" t="e">
        <x:f>HYPERLINK("https://cdn.shopify.com/s/files/1/0918/6066/4603/files/6f1e6e489c8ea361db2743751f1f7172.jpg?v=1775392696","Open")</x:f>
        <x:v>HYPERLINK is not implemented. linkLocation=https://cdn.shopify.com/s/files/1/0918/6066/4603/files/6f1e6e489c8ea361db2743751f1f7172.jpg?v=1775392696, friendlyName=Open</x:v>
      </x:c>
      <x:c r="C8427" s="24" t="e">
        <x:f>HYPERLINK("https://365nails.com/products/365nails-liquid-metal-abstract-black-silver-chrome-handmade-short-square-nails","365nails: ""Liquid Metal"" – Abstract Black &amp; Silver Chrome Handmade Short Square Nails")</x:f>
        <x:v>HYPERLINK is not implemented. linkLocation=https://365nails.com/products/365nails-liquid-metal-abstract-black-silver-chrome-handmade-short-square-nails, friendlyName=365nails: "Liquid Metal" – Abstract Black &amp; Silver Chrome Handmade Short Square Nails</x:v>
      </x:c>
      <x:c r="D8427" s="18" t="str">
        <x:v>Size: XS / S / M / L</x:v>
      </x:c>
      <x:c r="E8427" s="25" t="str">
        <x:v>$3.99</x:v>
      </x:c>
      <x:c r="F8427" s="19" t="str">
        <x:v>5</x:v>
      </x:c>
    </x:row>
    <x:row r="8428" ht="93" customHeight="1">
      <x:c r="A8428" s="19" t="n">
        <x:v>8425</x:v>
      </x:c>
      <x:c r="B8428" s="22" t="e">
        <x:f>HYPERLINK("https://cdn.shopify.com/s/files/1/0918/6066/4603/files/d76d95223ead9d1dca35e7549883b023.jpg?v=1775392711","Open")</x:f>
        <x:v>HYPERLINK is not implemented. linkLocation=https://cdn.shopify.com/s/files/1/0918/6066/4603/files/d76d95223ead9d1dca35e7549883b023.jpg?v=1775392711, friendlyName=Open</x:v>
      </x:c>
      <x:c r="C8428" s="24" t="e">
        <x:f>HYPERLINK("https://365nails.com/products/365nails-gilded-oasis-3d-jewelry-textured-metallic-handmade-short-square-nails","365nails: ""Gilded Oasis"" – 3D Jewelry &amp; Textured Metallic Handmade Short Square Nails")</x:f>
        <x:v>HYPERLINK is not implemented. linkLocation=https://365nails.com/products/365nails-gilded-oasis-3d-jewelry-textured-metallic-handmade-short-square-nails, friendlyName=365nails: "Gilded Oasis" – 3D Jewelry &amp; Textured Metallic Handmade Short Square Nails</x:v>
      </x:c>
      <x:c r="D8428" s="18" t="str">
        <x:v>Size: XS / S / M / L</x:v>
      </x:c>
      <x:c r="E8428" s="25" t="str">
        <x:v>$3.99</x:v>
      </x:c>
      <x:c r="F8428" s="19" t="str">
        <x:v>5</x:v>
      </x:c>
    </x:row>
    <x:row r="8429" ht="93" customHeight="1">
      <x:c r="A8429" s="19" t="n">
        <x:v>8426</x:v>
      </x:c>
      <x:c r="B8429" s="22" t="e">
        <x:f>HYPERLINK("https://cdn.shopify.com/s/files/1/0918/6066/4603/files/4c9ca1be173fc8c33c8eb41302eac8cb.jpg?v=1775392724","Open")</x:f>
        <x:v>HYPERLINK is not implemented. linkLocation=https://cdn.shopify.com/s/files/1/0918/6066/4603/files/4c9ca1be173fc8c33c8eb41302eac8cb.jpg?v=1775392724, friendlyName=Open</x:v>
      </x:c>
      <x:c r="C8429" s="24" t="e">
        <x:f>HYPERLINK("https://365nails.com/products/365nails-golden-hour-bloom-3d-floral-metallic-chrome-handmade-short-square-nails","365nails: ""Golden Hour Bloom"" – 3D Floral &amp; Metallic Chrome Handmade Short Square Nails")</x:f>
        <x:v>HYPERLINK is not implemented. linkLocation=https://365nails.com/products/365nails-golden-hour-bloom-3d-floral-metallic-chrome-handmade-short-square-nails, friendlyName=365nails: "Golden Hour Bloom" – 3D Floral &amp; Metallic Chrome Handmade Short Square Nails</x:v>
      </x:c>
      <x:c r="D8429" s="18" t="str">
        <x:v>Size: XS / S / M / L</x:v>
      </x:c>
      <x:c r="E8429" s="25" t="str">
        <x:v>$3.99</x:v>
      </x:c>
      <x:c r="F8429" s="19" t="str">
        <x:v>5</x:v>
      </x:c>
    </x:row>
    <x:row r="8430" ht="93" customHeight="1">
      <x:c r="A8430" s="19" t="n">
        <x:v>8427</x:v>
      </x:c>
      <x:c r="B8430" s="22" t="e">
        <x:f>HYPERLINK("https://cdn.shopify.com/s/files/1/0918/6066/4603/files/2f1e06b1ecf136e3b35a12edc713532c.jpg?v=1775392738","Open")</x:f>
        <x:v>HYPERLINK is not implemented. linkLocation=https://cdn.shopify.com/s/files/1/0918/6066/4603/files/2f1e06b1ecf136e3b35a12edc713532c.jpg?v=1775392738, friendlyName=Open</x:v>
      </x:c>
      <x:c r="C8430" s="24" t="e">
        <x:f>HYPERLINK("https://365nails.com/products/365nails-sweet-treats-3d-bow-plaid-handmade-short-square-nails","365nails: ""Sweet Treats"" – 3D Bow &amp; Plaid Handmade Short Square Nails")</x:f>
        <x:v>HYPERLINK is not implemented. linkLocation=https://365nails.com/products/365nails-sweet-treats-3d-bow-plaid-handmade-short-square-nails, friendlyName=365nails: "Sweet Treats" – 3D Bow &amp; Plaid Handmade Short Square Nails</x:v>
      </x:c>
      <x:c r="D8430" s="18" t="str">
        <x:v>Size: XS / S / M / L</x:v>
      </x:c>
      <x:c r="E8430" s="25" t="str">
        <x:v>$3.99</x:v>
      </x:c>
      <x:c r="F8430" s="19" t="str">
        <x:v>5</x:v>
      </x:c>
    </x:row>
    <x:row r="8431" ht="93" customHeight="1">
      <x:c r="A8431" s="19" t="n">
        <x:v>8428</x:v>
      </x:c>
      <x:c r="B8431" s="22" t="e">
        <x:f>HYPERLINK("https://cdn.shopify.com/s/files/1/0918/6066/4603/files/d80e7b760fdf870dd842ad5a84293ca3.jpg?v=1775392755","Open")</x:f>
        <x:v>HYPERLINK is not implemented. linkLocation=https://cdn.shopify.com/s/files/1/0918/6066/4603/files/d80e7b760fdf870dd842ad5a84293ca3.jpg?v=1775392755, friendlyName=Open</x:v>
      </x:c>
      <x:c r="C8431" s="24" t="e">
        <x:f>HYPERLINK("https://365nails.com/products/365nails-festive-whimsy-3d-lip-holiday-charm-handmade-short-square-nails","365nails: ""Festive Whimsy"" – 3D Lip &amp; Holiday Charm Handmade Short Square Nails")</x:f>
        <x:v>HYPERLINK is not implemented. linkLocation=https://365nails.com/products/365nails-festive-whimsy-3d-lip-holiday-charm-handmade-short-square-nails, friendlyName=365nails: "Festive Whimsy" – 3D Lip &amp; Holiday Charm Handmade Short Square Nails</x:v>
      </x:c>
      <x:c r="D8431" s="18" t="str">
        <x:v>Size: XS / S / M / L</x:v>
      </x:c>
      <x:c r="E8431" s="25" t="str">
        <x:v>$3.99</x:v>
      </x:c>
      <x:c r="F8431" s="19" t="str">
        <x:v>5</x:v>
      </x:c>
    </x:row>
    <x:row r="8432" ht="93" customHeight="1">
      <x:c r="A8432" s="19" t="n">
        <x:v>8429</x:v>
      </x:c>
      <x:c r="B8432" s="22" t="e">
        <x:f>HYPERLINK("https://cdn.shopify.com/s/files/1/0918/6066/4603/files/361bc28f56449d270552325e9c84c57b.jpg?v=1775392767","Open")</x:f>
        <x:v>HYPERLINK is not implemented. linkLocation=https://cdn.shopify.com/s/files/1/0918/6066/4603/files/361bc28f56449d270552325e9c84c57b.jpg?v=1775392767, friendlyName=Open</x:v>
      </x:c>
      <x:c r="C8432" s="24" t="e">
        <x:f>HYPERLINK("https://365nails.com/products/365nails-autumn-plaid-hand-painted-plaid-tortoiseshell-handmade-short-square-nails","365nails: ""Autumn Plaid"" – Hand-Painted Plaid &amp; Tortoiseshell Handmade Short Square Nails")</x:f>
        <x:v>HYPERLINK is not implemented. linkLocation=https://365nails.com/products/365nails-autumn-plaid-hand-painted-plaid-tortoiseshell-handmade-short-square-nails, friendlyName=365nails: "Autumn Plaid" – Hand-Painted Plaid &amp; Tortoiseshell Handmade Short Square Nails</x:v>
      </x:c>
      <x:c r="D8432" s="18" t="str">
        <x:v>Size: XS / S / M / L</x:v>
      </x:c>
      <x:c r="E8432" s="25" t="str">
        <x:v>$3.99</x:v>
      </x:c>
      <x:c r="F8432" s="19" t="str">
        <x:v>5</x:v>
      </x:c>
    </x:row>
    <x:row r="8433" ht="93" customHeight="1">
      <x:c r="A8433" s="19" t="n">
        <x:v>8430</x:v>
      </x:c>
      <x:c r="B8433" s="22" t="e">
        <x:f>HYPERLINK("https://cdn.shopify.com/s/files/1/0918/6066/4603/files/206e90ef604d5eb9568d143e83ca7dbd.jpg?v=1775392799","Open")</x:f>
        <x:v>HYPERLINK is not implemented. linkLocation=https://cdn.shopify.com/s/files/1/0918/6066/4603/files/206e90ef604d5eb9568d143e83ca7dbd.jpg?v=1775392799, friendlyName=Open</x:v>
      </x:c>
      <x:c r="C8433" s="24" t="e">
        <x:f>HYPERLINK("https://365nails.com/products/365nails-golden-hour-glaze-3d-donut-glitter-handmade-short-square-nails","365nails: ""Golden Hour Glaze"" – 3D Donut &amp; Glitter Handmade Short Square Nails")</x:f>
        <x:v>HYPERLINK is not implemented. linkLocation=https://365nails.com/products/365nails-golden-hour-glaze-3d-donut-glitter-handmade-short-square-nails, friendlyName=365nails: "Golden Hour Glaze" – 3D Donut &amp; Glitter Handmade Short Square Nails</x:v>
      </x:c>
      <x:c r="D8433" s="18" t="str">
        <x:v>Size: XS / S / M / L</x:v>
      </x:c>
      <x:c r="E8433" s="25" t="str">
        <x:v>$3.99</x:v>
      </x:c>
      <x:c r="F8433" s="19" t="str">
        <x:v>5</x:v>
      </x:c>
    </x:row>
    <x:row r="8434" ht="93" customHeight="1">
      <x:c r="A8434" s="19" t="n">
        <x:v>8431</x:v>
      </x:c>
      <x:c r="B8434" s="22" t="e">
        <x:f>HYPERLINK("https://cdn.shopify.com/s/files/1/0918/6066/4603/files/cc60d208150198722dfcb79590c0b301.jpg?v=1775392821","Open")</x:f>
        <x:v>HYPERLINK is not implemented. linkLocation=https://cdn.shopify.com/s/files/1/0918/6066/4603/files/cc60d208150198722dfcb79590c0b301.jpg?v=1775392821, friendlyName=Open</x:v>
      </x:c>
      <x:c r="C8434" s="24" t="e">
        <x:f>HYPERLINK("https://365nails.com/products/365nails-cherry-blossom-ribbon-3d-bow-floral-handmade-short-almond-nails","365nails: ""Cherry Blossom Ribbon"" – 3D Bow &amp; Floral Handmade Short Almond Nails")</x:f>
        <x:v>HYPERLINK is not implemented. linkLocation=https://365nails.com/products/365nails-cherry-blossom-ribbon-3d-bow-floral-handmade-short-almond-nails, friendlyName=365nails: "Cherry Blossom Ribbon" – 3D Bow &amp; Floral Handmade Short Almond Nails</x:v>
      </x:c>
      <x:c r="D8434" s="18" t="str">
        <x:v>Size: XS / S / M / L</x:v>
      </x:c>
      <x:c r="E8434" s="25" t="str">
        <x:v>$3.99</x:v>
      </x:c>
      <x:c r="F8434" s="19" t="str">
        <x:v>5</x:v>
      </x:c>
    </x:row>
    <x:row r="8435" ht="93" customHeight="1">
      <x:c r="A8435" s="19" t="n">
        <x:v>8432</x:v>
      </x:c>
      <x:c r="B8435" s="22" t="e">
        <x:f>HYPERLINK("https://cdn.shopify.com/s/files/1/0918/6066/4603/files/f9fc840d584523931da1f30ec8c9449e.jpg?v=1775392840","Open")</x:f>
        <x:v>HYPERLINK is not implemented. linkLocation=https://cdn.shopify.com/s/files/1/0918/6066/4603/files/f9fc840d584523931da1f30ec8c9449e.jpg?v=1775392840, friendlyName=Open</x:v>
      </x:c>
      <x:c r="C8435" s="24" t="e">
        <x:f>HYPERLINK("https://365nails.com/products/365nails-milky-way-dreams-hand-painted-stars-stripes-handmade-short-square-nails","365nails: ""Milky Way Dreams"" – Hand-Painted Stars &amp; Stripes Handmade Short Square Nails")</x:f>
        <x:v>HYPERLINK is not implemented. linkLocation=https://365nails.com/products/365nails-milky-way-dreams-hand-painted-stars-stripes-handmade-short-square-nails, friendlyName=365nails: "Milky Way Dreams" – Hand-Painted Stars &amp; Stripes Handmade Short Square Nails</x:v>
      </x:c>
      <x:c r="D8435" s="18" t="str">
        <x:v>Size: XS / S / M / L</x:v>
      </x:c>
      <x:c r="E8435" s="25" t="str">
        <x:v>$3.99</x:v>
      </x:c>
      <x:c r="F8435" s="19" t="str">
        <x:v>5</x:v>
      </x:c>
    </x:row>
    <x:row r="8436" ht="93" customHeight="1">
      <x:c r="A8436" s="19" t="n">
        <x:v>8433</x:v>
      </x:c>
      <x:c r="B8436" s="22" t="e">
        <x:f>HYPERLINK("https://cdn.shopify.com/s/files/1/0918/6066/4603/files/9bf787a80ff9f41da9dd817a6884fef4.jpg?v=1775209516","Open")</x:f>
        <x:v>HYPERLINK is not implemented. linkLocation=https://cdn.shopify.com/s/files/1/0918/6066/4603/files/9bf787a80ff9f41da9dd817a6884fef4.jpg?v=1775209516, friendlyName=Open</x:v>
      </x:c>
      <x:c r="C8436" s="24" t="e">
        <x:f>HYPERLINK("https://365nails.com/products/365nails-woven-chic-3d-plaid-handmade-short-square-nails","365nails: ""Woven Chic"" – 3D Plaid Handmade Short Square Nails")</x:f>
        <x:v>HYPERLINK is not implemented. linkLocation=https://365nails.com/products/365nails-woven-chic-3d-plaid-handmade-short-square-nails, friendlyName=365nails: "Woven Chic" – 3D Plaid Handmade Short Square Nails</x:v>
      </x:c>
      <x:c r="D8436" s="18" t="str">
        <x:v>Size: XS / S / M / L</x:v>
      </x:c>
      <x:c r="E8436" s="25" t="str">
        <x:v>$3.99</x:v>
      </x:c>
      <x:c r="F8436" s="19" t="str">
        <x:v>5</x:v>
      </x:c>
    </x:row>
    <x:row r="8437" ht="93" customHeight="1">
      <x:c r="A8437" s="19" t="n">
        <x:v>8434</x:v>
      </x:c>
      <x:c r="B8437" s="22" t="e">
        <x:f>HYPERLINK("https://cdn.shopify.com/s/files/1/0918/6066/4603/files/fb67370d79706f7e74e6b9c099215ffb.jpg?v=1775209652","Open")</x:f>
        <x:v>HYPERLINK is not implemented. linkLocation=https://cdn.shopify.com/s/files/1/0918/6066/4603/files/fb67370d79706f7e74e6b9c099215ffb.jpg?v=1775209652, friendlyName=Open</x:v>
      </x:c>
      <x:c r="C8437" s="24" t="e">
        <x:f>HYPERLINK("https://365nails.com/products/365nails-dopamine-dots-multi-color-polka-dot-handmade-short-square-nails","365nails: ""Dopamine Dots"" – Multi-Color Polka Dot Handmade Short Square Nails")</x:f>
        <x:v>HYPERLINK is not implemented. linkLocation=https://365nails.com/products/365nails-dopamine-dots-multi-color-polka-dot-handmade-short-square-nails, friendlyName=365nails: "Dopamine Dots" – Multi-Color Polka Dot Handmade Short Square Nails</x:v>
      </x:c>
      <x:c r="D8437" s="18" t="str">
        <x:v>Size: XS / S / M / L</x:v>
      </x:c>
      <x:c r="E8437" s="25" t="str">
        <x:v>$3.99</x:v>
      </x:c>
      <x:c r="F8437" s="19" t="str">
        <x:v>5</x:v>
      </x:c>
    </x:row>
    <x:row r="8438" ht="93" customHeight="1">
      <x:c r="A8438" s="19" t="n">
        <x:v>8435</x:v>
      </x:c>
      <x:c r="B8438" s="22" t="e">
        <x:f>HYPERLINK("https://cdn.shopify.com/s/files/1/0918/6066/4603/files/937d7e36d21504111683df769a75e551.jpg?v=1775209732","Open")</x:f>
        <x:v>HYPERLINK is not implemented. linkLocation=https://cdn.shopify.com/s/files/1/0918/6066/4603/files/937d7e36d21504111683df769a75e551.jpg?v=1775209732, friendlyName=Open</x:v>
      </x:c>
      <x:c r="C8438" s="24" t="e">
        <x:f>HYPERLINK("https://365nails.com/products/365nails-liquid-metal-shimmering-striped-handmade-short-square-nails","365nails: ""Liquid Metal"" – Shimmering Striped Handmade Short Square Nails")</x:f>
        <x:v>HYPERLINK is not implemented. linkLocation=https://365nails.com/products/365nails-liquid-metal-shimmering-striped-handmade-short-square-nails, friendlyName=365nails: "Liquid Metal" – Shimmering Striped Handmade Short Square Nails</x:v>
      </x:c>
      <x:c r="D8438" s="18" t="str">
        <x:v>Size: XS / S / M / L</x:v>
      </x:c>
      <x:c r="E8438" s="25" t="str">
        <x:v>$3.99</x:v>
      </x:c>
      <x:c r="F8438" s="19" t="str">
        <x:v>5</x:v>
      </x:c>
    </x:row>
    <x:row r="8439" ht="93" customHeight="1">
      <x:c r="A8439" s="19" t="n">
        <x:v>8436</x:v>
      </x:c>
      <x:c r="B8439" s="22" t="e">
        <x:f>HYPERLINK("https://cdn.shopify.com/s/files/1/0918/6066/4603/files/22ec58453f7fd020461da0e4a373e538.jpg?v=1775209889","Open")</x:f>
        <x:v>HYPERLINK is not implemented. linkLocation=https://cdn.shopify.com/s/files/1/0918/6066/4603/files/22ec58453f7fd020461da0e4a373e538.jpg?v=1775209889, friendlyName=Open</x:v>
      </x:c>
      <x:c r="C8439" s="24" t="e">
        <x:f>HYPERLINK("https://365nails.com/products/365nails-ribbon-lace-3d-bow-hand-painted-medium-almond-nails","365nails: ""Ribbon &amp; Lace"" – 3D Bow Hand-Painted Medium Almond Nails")</x:f>
        <x:v>HYPERLINK is not implemented. linkLocation=https://365nails.com/products/365nails-ribbon-lace-3d-bow-hand-painted-medium-almond-nails, friendlyName=365nails: "Ribbon &amp; Lace" – 3D Bow Hand-Painted Medium Almond Nails</x:v>
      </x:c>
      <x:c r="D8439" s="18" t="str">
        <x:v>Size: XS / S / M / L</x:v>
      </x:c>
      <x:c r="E8439" s="25" t="str">
        <x:v>$3.99</x:v>
      </x:c>
      <x:c r="F8439" s="19" t="str">
        <x:v>5</x:v>
      </x:c>
    </x:row>
    <x:row r="8440" ht="93" customHeight="1">
      <x:c r="A8440" s="19" t="n">
        <x:v>8437</x:v>
      </x:c>
      <x:c r="B8440" s="22" t="e">
        <x:f>HYPERLINK("https://cdn.shopify.com/s/files/1/0918/6066/4603/files/74657dec8392102a32f4af8a391ec425.jpg?v=1775209947","Open")</x:f>
        <x:v>HYPERLINK is not implemented. linkLocation=https://cdn.shopify.com/s/files/1/0918/6066/4603/files/74657dec8392102a32f4af8a391ec425.jpg?v=1775209947, friendlyName=Open</x:v>
      </x:c>
      <x:c r="C8440" s="24" t="e">
        <x:f>HYPERLINK("https://365nails.com/products/365nails-tartan-vogue-mixed-media-plaid-handmade-short-square-nails","365nails: ""Tartan Vogue"" – Mixed Media Plaid Handmade Short Square Nails")</x:f>
        <x:v>HYPERLINK is not implemented. linkLocation=https://365nails.com/products/365nails-tartan-vogue-mixed-media-plaid-handmade-short-square-nails, friendlyName=365nails: "Tartan Vogue" – Mixed Media Plaid Handmade Short Square Nails</x:v>
      </x:c>
      <x:c r="D8440" s="18" t="str">
        <x:v>Size: XS / S / M / L</x:v>
      </x:c>
      <x:c r="E8440" s="25" t="str">
        <x:v>$3.99</x:v>
      </x:c>
      <x:c r="F8440" s="19" t="str">
        <x:v>5</x:v>
      </x:c>
    </x:row>
    <x:row r="8441" ht="93" customHeight="1">
      <x:c r="A8441" s="19" t="n">
        <x:v>8438</x:v>
      </x:c>
      <x:c r="B8441" s="22" t="e">
        <x:f>HYPERLINK("https://cdn.shopify.com/s/files/1/0918/6066/4603/files/01700375212973188037212b21667ed7.jpg?v=1775210018","Open")</x:f>
        <x:v>HYPERLINK is not implemented. linkLocation=https://cdn.shopify.com/s/files/1/0918/6066/4603/files/01700375212973188037212b21667ed7.jpg?v=1775210018, friendlyName=Open</x:v>
      </x:c>
      <x:c r="C8441" s="24" t="e">
        <x:f>HYPERLINK("https://365nails.com/products/365nails-frozen-heart-3d-silver-crystal-handmade-short-square-nails","365nails: ""Frozen Heart"" – 3D Silver Crystal Handmade Short Square Nails")</x:f>
        <x:v>HYPERLINK is not implemented. linkLocation=https://365nails.com/products/365nails-frozen-heart-3d-silver-crystal-handmade-short-square-nails, friendlyName=365nails: "Frozen Heart" – 3D Silver Crystal Handmade Short Square Nails</x:v>
      </x:c>
      <x:c r="D8441" s="18" t="str">
        <x:v>Size: XS / S / M / L</x:v>
      </x:c>
      <x:c r="E8441" s="25" t="str">
        <x:v>$3.99</x:v>
      </x:c>
      <x:c r="F8441" s="19" t="str">
        <x:v>5</x:v>
      </x:c>
    </x:row>
    <x:row r="8442" ht="93" customHeight="1">
      <x:c r="A8442" s="19" t="n">
        <x:v>8439</x:v>
      </x:c>
      <x:c r="B8442" s="22" t="e">
        <x:f>HYPERLINK("https://cdn.shopify.com/s/files/1/0918/6066/4603/files/496d0717da89050d8f8b4562bbe0f6c7.jpg?v=1775461211","Open")</x:f>
        <x:v>HYPERLINK is not implemented. linkLocation=https://cdn.shopify.com/s/files/1/0918/6066/4603/files/496d0717da89050d8f8b4562bbe0f6c7.jpg?v=1775461211, friendlyName=Open</x:v>
      </x:c>
      <x:c r="C8442" s="24" t="e">
        <x:f>HYPERLINK("https://365nails.com/products/365nails-gilded-tides-3d-water-ripple-handmade-short-square-nails","365nails: ""Gilded Tides"" – 3D Water Ripple Handmade Short Square Nails")</x:f>
        <x:v>HYPERLINK is not implemented. linkLocation=https://365nails.com/products/365nails-gilded-tides-3d-water-ripple-handmade-short-square-nails, friendlyName=365nails: "Gilded Tides" – 3D Water Ripple Handmade Short Square Nails</x:v>
      </x:c>
      <x:c r="D8442" s="18" t="str">
        <x:v>Size: XS / S / M / L</x:v>
      </x:c>
      <x:c r="E8442" s="25" t="str">
        <x:v>$3.99</x:v>
      </x:c>
      <x:c r="F8442" s="19" t="str">
        <x:v>5</x:v>
      </x:c>
    </x:row>
    <x:row r="8443" ht="93" customHeight="1">
      <x:c r="A8443" s="19" t="n">
        <x:v>8440</x:v>
      </x:c>
      <x:c r="B8443" s="22" t="e">
        <x:f>HYPERLINK("https://cdn.shopify.com/s/files/1/0918/6066/4603/files/3fc27004656f589a5e48d2a6db65fc4c_3c9898ab-70bb-442a-a06a-4279e9efacc3.jpg?v=1775391526","Open")</x:f>
        <x:v>HYPERLINK is not implemented. linkLocation=https://cdn.shopify.com/s/files/1/0918/6066/4603/files/3fc27004656f589a5e48d2a6db65fc4c_3c9898ab-70bb-442a-a06a-4279e9efacc3.jpg?v=1775391526, friendlyName=Open</x:v>
      </x:c>
      <x:c r="C8443" s="24" t="e">
        <x:f>HYPERLINK("https://365nails.com/products/365nails-peach-blossom-3d-floral-handmade-short-square-nails","365nails: ""Peach Blossom"" – 3D Floral Handmade Short Square Nails")</x:f>
        <x:v>HYPERLINK is not implemented. linkLocation=https://365nails.com/products/365nails-peach-blossom-3d-floral-handmade-short-square-nails, friendlyName=365nails: "Peach Blossom" – 3D Floral Handmade Short Square Nails</x:v>
      </x:c>
      <x:c r="D8443" s="18" t="str">
        <x:v>Size: XS / S / M</x:v>
      </x:c>
      <x:c r="E8443" s="25" t="str">
        <x:v>$1.99</x:v>
      </x:c>
      <x:c r="F8443" s="19" t="str">
        <x:v>10</x:v>
      </x:c>
    </x:row>
    <x:row r="8444" ht="93" customHeight="1">
      <x:c r="A8444" s="19" t="n">
        <x:v>8441</x:v>
      </x:c>
      <x:c r="B8444" s="22" t="e">
        <x:f>HYPERLINK("https://cdn.shopify.com/s/files/1/0918/6066/4603/files/9564e1fc96a138e59e093b34c8a943f9.jpg?v=1775391551","Open")</x:f>
        <x:v>HYPERLINK is not implemented. linkLocation=https://cdn.shopify.com/s/files/1/0918/6066/4603/files/9564e1fc96a138e59e093b34c8a943f9.jpg?v=1775391551, friendlyName=Open</x:v>
      </x:c>
      <x:c r="C8444" s="24" t="e">
        <x:f>HYPERLINK("https://365nails.com/products/365nails-serene-lagoon-3d-marble-gold-handmade-short-oval-nails","365nails: ""Serene Lagoon"" – 3D Marble &amp; Gold Handmade Short Oval Nails")</x:f>
        <x:v>HYPERLINK is not implemented. linkLocation=https://365nails.com/products/365nails-serene-lagoon-3d-marble-gold-handmade-short-oval-nails, friendlyName=365nails: "Serene Lagoon" – 3D Marble &amp; Gold Handmade Short Oval Nails</x:v>
      </x:c>
      <x:c r="D8444" s="18" t="str">
        <x:v>Size: XS / S / M</x:v>
      </x:c>
      <x:c r="E8444" s="25" t="str">
        <x:v>$1.99</x:v>
      </x:c>
      <x:c r="F8444" s="19" t="str">
        <x:v>10</x:v>
      </x:c>
    </x:row>
    <x:row r="8445" ht="93" customHeight="1">
      <x:c r="A8445" s="19" t="n">
        <x:v>8442</x:v>
      </x:c>
      <x:c r="B8445" s="22" t="e">
        <x:f>HYPERLINK("https://cdn.shopify.com/s/files/1/0918/6066/4603/files/e2def48cc1b1cde2b08656654703491a.jpg?v=1775391325","Open")</x:f>
        <x:v>HYPERLINK is not implemented. linkLocation=https://cdn.shopify.com/s/files/1/0918/6066/4603/files/e2def48cc1b1cde2b08656654703491a.jpg?v=1775391325, friendlyName=Open</x:v>
      </x:c>
      <x:c r="C8445" s="24" t="e">
        <x:f>HYPERLINK("https://365nails.com/products/365nails-midnight-punk-3d-rhinestone-harlequin-handmade-short-square-nails","365nails: ""Midnight Punk"" – 3D Rhinestone &amp; Harlequin Handmade Short Square Nails")</x:f>
        <x:v>HYPERLINK is not implemented. linkLocation=https://365nails.com/products/365nails-midnight-punk-3d-rhinestone-harlequin-handmade-short-square-nails, friendlyName=365nails: "Midnight Punk" – 3D Rhinestone &amp; Harlequin Handmade Short Square Nails</x:v>
      </x:c>
      <x:c r="D8445" s="18" t="str">
        <x:v>Size: XS / S / M</x:v>
      </x:c>
      <x:c r="E8445" s="25" t="str">
        <x:v>$1.99</x:v>
      </x:c>
      <x:c r="F8445" s="19" t="str">
        <x:v>10</x:v>
      </x:c>
    </x:row>
    <x:row r="8446" ht="93" customHeight="1">
      <x:c r="A8446" s="19" t="n">
        <x:v>8443</x:v>
      </x:c>
      <x:c r="B8446" s="22" t="e">
        <x:f>HYPERLINK("https://cdn.shopify.com/s/files/1/0918/6066/4603/files/abe7dd2a1bc4df3ddb55d159f3e66f04.jpg?v=1775391344","Open")</x:f>
        <x:v>HYPERLINK is not implemented. linkLocation=https://cdn.shopify.com/s/files/1/0918/6066/4603/files/abe7dd2a1bc4df3ddb55d159f3e66f04.jpg?v=1775391344, friendlyName=Open</x:v>
      </x:c>
      <x:c r="C8446" s="24" t="e">
        <x:f>HYPERLINK("https://365nails.com/products/365nails-gilded-whispers-3d-floral-glitter-handmade-short-oval-nails","365nails: ""Gilded Whispers"" – 3D Floral &amp; Glitter Handmade Short Oval Nails")</x:f>
        <x:v>HYPERLINK is not implemented. linkLocation=https://365nails.com/products/365nails-gilded-whispers-3d-floral-glitter-handmade-short-oval-nails, friendlyName=365nails: "Gilded Whispers" – 3D Floral &amp; Glitter Handmade Short Oval Nails</x:v>
      </x:c>
      <x:c r="D8446" s="18" t="str">
        <x:v>Size: XS / S / M</x:v>
      </x:c>
      <x:c r="E8446" s="25" t="str">
        <x:v>$1.99</x:v>
      </x:c>
      <x:c r="F8446" s="19" t="str">
        <x:v>10</x:v>
      </x:c>
    </x:row>
    <x:row r="8447" ht="93" customHeight="1">
      <x:c r="A8447" s="19" t="n">
        <x:v>8444</x:v>
      </x:c>
      <x:c r="B8447" s="22" t="e">
        <x:f>HYPERLINK("https://cdn.shopify.com/s/files/1/0918/6066/4603/files/6b3c0c8020584dcc7f08ac9be794cd9e.jpg?v=1775391360","Open")</x:f>
        <x:v>HYPERLINK is not implemented. linkLocation=https://cdn.shopify.com/s/files/1/0918/6066/4603/files/6b3c0c8020584dcc7f08ac9be794cd9e.jpg?v=1775391360, friendlyName=Open</x:v>
      </x:c>
      <x:c r="C8447" s="24" t="e">
        <x:f>HYPERLINK("https://365nails.com/products/365nails-celestial-dreams-3d-floral-gold-foil-handmade-short-almond-nails","365nails: ""Celestial Dreams"" – 3D Floral &amp; Gold Foil Handmade Short Almond Nails")</x:f>
        <x:v>HYPERLINK is not implemented. linkLocation=https://365nails.com/products/365nails-celestial-dreams-3d-floral-gold-foil-handmade-short-almond-nails, friendlyName=365nails: "Celestial Dreams" – 3D Floral &amp; Gold Foil Handmade Short Almond Nails</x:v>
      </x:c>
      <x:c r="D8447" s="18" t="str">
        <x:v>Size: XS / S / M</x:v>
      </x:c>
      <x:c r="E8447" s="25" t="str">
        <x:v>$1.99</x:v>
      </x:c>
      <x:c r="F8447" s="19" t="str">
        <x:v>10</x:v>
      </x:c>
    </x:row>
    <x:row r="8448" ht="93" customHeight="1">
      <x:c r="A8448" s="19" t="n">
        <x:v>8445</x:v>
      </x:c>
      <x:c r="B8448" s="22" t="e">
        <x:f>HYPERLINK("https://cdn.shopify.com/s/files/1/0918/6066/4603/files/3f440476e1105904638147174b47a76c.jpg?v=1775391378","Open")</x:f>
        <x:v>HYPERLINK is not implemented. linkLocation=https://cdn.shopify.com/s/files/1/0918/6066/4603/files/3f440476e1105904638147174b47a76c.jpg?v=1775391378, friendlyName=Open</x:v>
      </x:c>
      <x:c r="C8448" s="24" t="e">
        <x:f>HYPERLINK("https://365nails.com/products/365nails-verdant-whispers-3d-floral-ombre-handmade-short-almond-nails","365nails: ""Verdant Whispers"" – 3D Floral &amp; Ombré Handmade Short Almond Nails")</x:f>
        <x:v>HYPERLINK is not implemented. linkLocation=https://365nails.com/products/365nails-verdant-whispers-3d-floral-ombre-handmade-short-almond-nails, friendlyName=365nails: "Verdant Whispers" – 3D Floral &amp; Ombré Handmade Short Almond Nails</x:v>
      </x:c>
      <x:c r="D8448" s="18" t="str">
        <x:v>Size: XS / S / M</x:v>
      </x:c>
      <x:c r="E8448" s="25" t="str">
        <x:v>$1.99</x:v>
      </x:c>
      <x:c r="F8448" s="19" t="str">
        <x:v>10</x:v>
      </x:c>
    </x:row>
    <x:row r="8449" ht="93" customHeight="1">
      <x:c r="A8449" s="19" t="n">
        <x:v>8446</x:v>
      </x:c>
      <x:c r="B8449" s="22" t="e">
        <x:f>HYPERLINK("https://cdn.shopify.com/s/files/1/0918/6066/4603/files/411a81db2921fa88019c83e7b78d68d0.jpg?v=1775391401","Open")</x:f>
        <x:v>HYPERLINK is not implemented. linkLocation=https://cdn.shopify.com/s/files/1/0918/6066/4603/files/411a81db2921fa88019c83e7b78d68d0.jpg?v=1775391401, friendlyName=Open</x:v>
      </x:c>
      <x:c r="C8449" s="24" t="e">
        <x:f>HYPERLINK("https://365nails.com/products/365nails-golden-hour-bloom-3d-floral-foil-handmade-short-square-nails","365nails: ""Golden Hour Bloom"" – 3D Floral &amp; Foil Handmade Short Square Nails")</x:f>
        <x:v>HYPERLINK is not implemented. linkLocation=https://365nails.com/products/365nails-golden-hour-bloom-3d-floral-foil-handmade-short-square-nails, friendlyName=365nails: "Golden Hour Bloom" – 3D Floral &amp; Foil Handmade Short Square Nails</x:v>
      </x:c>
      <x:c r="D8449" s="18" t="str">
        <x:v>Size: XS / S / M</x:v>
      </x:c>
      <x:c r="E8449" s="25" t="str">
        <x:v>$1.99</x:v>
      </x:c>
      <x:c r="F8449" s="19" t="str">
        <x:v>10</x:v>
      </x:c>
    </x:row>
    <x:row r="8450" ht="93" customHeight="1">
      <x:c r="A8450" s="19" t="n">
        <x:v>8447</x:v>
      </x:c>
      <x:c r="B8450" s="22" t="e">
        <x:f>HYPERLINK("https://cdn.shopify.com/s/files/1/0918/6066/4603/files/c32489d00285061b28215a8beea5f264.jpg?v=1775391416","Open")</x:f>
        <x:v>HYPERLINK is not implemented. linkLocation=https://cdn.shopify.com/s/files/1/0918/6066/4603/files/c32489d00285061b28215a8beea5f264.jpg?v=1775391416, friendlyName=Open</x:v>
      </x:c>
      <x:c r="C8450" s="24" t="e">
        <x:f>HYPERLINK("https://365nails.com/products/365nails-jade-amber-3d-floral-marble-handmade-short-square-nails","365nails: ""Jade &amp; Amber"" – 3D Floral &amp; Marble Handmade Short Square Nails")</x:f>
        <x:v>HYPERLINK is not implemented. linkLocation=https://365nails.com/products/365nails-jade-amber-3d-floral-marble-handmade-short-square-nails, friendlyName=365nails: "Jade &amp; Amber" – 3D Floral &amp; Marble Handmade Short Square Nails</x:v>
      </x:c>
      <x:c r="D8450" s="18" t="str">
        <x:v>Size: XS / S / M</x:v>
      </x:c>
      <x:c r="E8450" s="25" t="str">
        <x:v>$1.99</x:v>
      </x:c>
      <x:c r="F8450" s="19" t="str">
        <x:v>10</x:v>
      </x:c>
    </x:row>
    <x:row r="8451" ht="93" customHeight="1">
      <x:c r="A8451" s="19" t="n">
        <x:v>8448</x:v>
      </x:c>
      <x:c r="B8451" s="22" t="e">
        <x:f>HYPERLINK("https://cdn.shopify.com/s/files/1/0918/6066/4603/files/02759b9d3b1f17a94ee770e7c4969760.jpg?v=1775391429","Open")</x:f>
        <x:v>HYPERLINK is not implemented. linkLocation=https://cdn.shopify.com/s/files/1/0918/6066/4603/files/02759b9d3b1f17a94ee770e7c4969760.jpg?v=1775391429, friendlyName=Open</x:v>
      </x:c>
      <x:c r="C8451" s="24" t="e">
        <x:f>HYPERLINK("https://365nails.com/products/365nails-spring-whisper-3d-floral-marble-handmade-short-almond-nails","365nails: ""Spring Whisper"" – 3D Floral &amp; Marble Handmade Short Almond Nails")</x:f>
        <x:v>HYPERLINK is not implemented. linkLocation=https://365nails.com/products/365nails-spring-whisper-3d-floral-marble-handmade-short-almond-nails, friendlyName=365nails: "Spring Whisper" – 3D Floral &amp; Marble Handmade Short Almond Nails</x:v>
      </x:c>
      <x:c r="D8451" s="18" t="str">
        <x:v>Size: XS / S / M</x:v>
      </x:c>
      <x:c r="E8451" s="25" t="str">
        <x:v>$1.99</x:v>
      </x:c>
      <x:c r="F8451" s="19" t="str">
        <x:v>10</x:v>
      </x:c>
    </x:row>
    <x:row r="8452" ht="93" customHeight="1">
      <x:c r="A8452" s="19" t="n">
        <x:v>8449</x:v>
      </x:c>
      <x:c r="B8452" s="22" t="e">
        <x:f>HYPERLINK("https://cdn.shopify.com/s/files/1/0918/6066/4603/files/53fd36eaca49a6b1cc814b9aeeb78b46.jpg?v=1775391446","Open")</x:f>
        <x:v>HYPERLINK is not implemented. linkLocation=https://cdn.shopify.com/s/files/1/0918/6066/4603/files/53fd36eaca49a6b1cc814b9aeeb78b46.jpg?v=1775391446, friendlyName=Open</x:v>
      </x:c>
      <x:c r="C8452" s="24" t="e">
        <x:f>HYPERLINK("https://365nails.com/products/365nails-peach-blossom-3d-floral-heart-handmade-short-square-nails","365nails: ""Peach Blossom"" – 3D Floral &amp; Heart Handmade Short Square Nails")</x:f>
        <x:v>HYPERLINK is not implemented. linkLocation=https://365nails.com/products/365nails-peach-blossom-3d-floral-heart-handmade-short-square-nails, friendlyName=365nails: "Peach Blossom" – 3D Floral &amp; Heart Handmade Short Square Nails</x:v>
      </x:c>
      <x:c r="D8452" s="18" t="str">
        <x:v>Size: XS / S / M</x:v>
      </x:c>
      <x:c r="E8452" s="25" t="str">
        <x:v>$1.99</x:v>
      </x:c>
      <x:c r="F8452" s="19" t="str">
        <x:v>10</x:v>
      </x:c>
    </x:row>
    <x:row r="8453" ht="93" customHeight="1">
      <x:c r="A8453" s="19" t="n">
        <x:v>8450</x:v>
      </x:c>
      <x:c r="B8453" s="22" t="e">
        <x:f>HYPERLINK("https://cdn.shopify.com/s/files/1/0918/6066/4603/files/58071d1dbc6f91315455839bca1dd1b5.jpg?v=1775304302","Open")</x:f>
        <x:v>HYPERLINK is not implemented. linkLocation=https://cdn.shopify.com/s/files/1/0918/6066/4603/files/58071d1dbc6f91315455839bca1dd1b5.jpg?v=1775304302, friendlyName=Open</x:v>
      </x:c>
      <x:c r="C8453" s="24" t="e">
        <x:f>HYPERLINK("https://365nails.com/products/365nails-spring-garden-hand-painted-floral-press-on-nails-coffin-nails","365nails: ""Spring Garden"" – Hand-Painted Floral Press on Nails Coffin Nails")</x:f>
        <x:v>HYPERLINK is not implemented. linkLocation=https://365nails.com/products/365nails-spring-garden-hand-painted-floral-press-on-nails-coffin-nails, friendlyName=365nails: "Spring Garden" – Hand-Painted Floral Press on Nails Coffin Nails</x:v>
      </x:c>
      <x:c r="D8453" s="18" t="str">
        <x:v>Size: XS / S / M</x:v>
      </x:c>
      <x:c r="E8453" s="25" t="str">
        <x:v>$1.99</x:v>
      </x:c>
      <x:c r="F8453" s="19" t="str">
        <x:v>10</x:v>
      </x:c>
    </x:row>
    <x:row r="8454" ht="93" customHeight="1">
      <x:c r="A8454" s="19" t="n">
        <x:v>8451</x:v>
      </x:c>
      <x:c r="B8454" s="22" t="e">
        <x:f>HYPERLINK("https://cdn.shopify.com/s/files/1/0918/6066/4603/files/26109ecba4e3fe2547dabe5027cc6dc2.jpg?v=1775304451","Open")</x:f>
        <x:v>HYPERLINK is not implemented. linkLocation=https://cdn.shopify.com/s/files/1/0918/6066/4603/files/26109ecba4e3fe2547dabe5027cc6dc2.jpg?v=1775304451, friendlyName=Open</x:v>
      </x:c>
      <x:c r="C8454" s="24" t="e">
        <x:f>HYPERLINK("https://365nails.com/products/365nails-celestial-dreams-iridescent-3d-charm-handmade-coffin-nails","365nails: ""Celestial Dreams"" – Iridescent 3D Charm Handmade Coffin Nails")</x:f>
        <x:v>HYPERLINK is not implemented. linkLocation=https://365nails.com/products/365nails-celestial-dreams-iridescent-3d-charm-handmade-coffin-nails, friendlyName=365nails: "Celestial Dreams" – Iridescent 3D Charm Handmade Coffin Nails</x:v>
      </x:c>
      <x:c r="D8454" s="18" t="str">
        <x:v>Size: XS / S / M</x:v>
      </x:c>
      <x:c r="E8454" s="25" t="str">
        <x:v>$1.99</x:v>
      </x:c>
      <x:c r="F8454" s="19" t="str">
        <x:v>10</x:v>
      </x:c>
    </x:row>
    <x:row r="8455" ht="93" customHeight="1">
      <x:c r="A8455" s="19" t="n">
        <x:v>8452</x:v>
      </x:c>
      <x:c r="B8455" s="22" t="e">
        <x:f>HYPERLINK("https://cdn.shopify.com/s/files/1/0918/6066/4603/files/6b5f9776d1024ececb45923b1088f394.jpg?v=1775304517","Open")</x:f>
        <x:v>HYPERLINK is not implemented. linkLocation=https://cdn.shopify.com/s/files/1/0918/6066/4603/files/6b5f9776d1024ececb45923b1088f394.jpg?v=1775304517, friendlyName=Open</x:v>
      </x:c>
      <x:c r="C8455" s="24" t="e">
        <x:f>HYPERLINK("https://365nails.com/products/365nails-enchanted-galaxy-3d-charm-handmade-coffin-nails","365nails: ""Enchanted Galaxy"" – 3D Charm Handmade Coffin Nails")</x:f>
        <x:v>HYPERLINK is not implemented. linkLocation=https://365nails.com/products/365nails-enchanted-galaxy-3d-charm-handmade-coffin-nails, friendlyName=365nails: "Enchanted Galaxy" – 3D Charm Handmade Coffin Nails</x:v>
      </x:c>
      <x:c r="D8455" s="18" t="str">
        <x:v>Size: XS / S / M / L</x:v>
      </x:c>
      <x:c r="E8455" s="25" t="str">
        <x:v>$1.99</x:v>
      </x:c>
      <x:c r="F8455" s="19" t="str">
        <x:v>10</x:v>
      </x:c>
    </x:row>
    <x:row r="8456" ht="93" customHeight="1">
      <x:c r="A8456" s="19" t="n">
        <x:v>8453</x:v>
      </x:c>
      <x:c r="B8456" s="22" t="e">
        <x:f>HYPERLINK("https://cdn.shopify.com/s/files/1/0918/6066/4603/files/ad8e2dc6d6a20978c2b8f5391b615b67.jpg?v=1775304588","Open")</x:f>
        <x:v>HYPERLINK is not implemented. linkLocation=https://cdn.shopify.com/s/files/1/0918/6066/4603/files/ad8e2dc6d6a20978c2b8f5391b615b67.jpg?v=1775304588, friendlyName=Open</x:v>
      </x:c>
      <x:c r="C8456" s="24" t="e">
        <x:f>HYPERLINK("https://365nails.com/products/365nails-ethereal-garden-3d-floral-handmade-square-nails","365nails: ""Ethereal Garden"" – 3D Floral Handmade Square Nails")</x:f>
        <x:v>HYPERLINK is not implemented. linkLocation=https://365nails.com/products/365nails-ethereal-garden-3d-floral-handmade-square-nails, friendlyName=365nails: "Ethereal Garden" – 3D Floral Handmade Square Nails</x:v>
      </x:c>
      <x:c r="D8456" s="18" t="str">
        <x:v>Size: XS / S / M / L</x:v>
      </x:c>
      <x:c r="E8456" s="25" t="str">
        <x:v>$1.99</x:v>
      </x:c>
      <x:c r="F8456" s="19" t="str">
        <x:v>10</x:v>
      </x:c>
    </x:row>
    <x:row r="8457" ht="93" customHeight="1">
      <x:c r="A8457" s="19" t="n">
        <x:v>8454</x:v>
      </x:c>
      <x:c r="B8457" s="22" t="e">
        <x:f>HYPERLINK("https://cdn.shopify.com/s/files/1/0918/6066/4603/files/a147980b44f8ede7d4ec202f28f833c3.jpg?v=1775304718","Open")</x:f>
        <x:v>HYPERLINK is not implemented. linkLocation=https://cdn.shopify.com/s/files/1/0918/6066/4603/files/a147980b44f8ede7d4ec202f28f833c3.jpg?v=1775304718, friendlyName=Open</x:v>
      </x:c>
      <x:c r="C8457" s="24" t="e">
        <x:f>HYPERLINK("https://365nails.com/products/365nails-garden-party-hand-painted-floral-handmade-short-square-nails","365nails: ""Garden Party"" – Hand-Painted Floral Handmade Short Square Nails")</x:f>
        <x:v>HYPERLINK is not implemented. linkLocation=https://365nails.com/products/365nails-garden-party-hand-painted-floral-handmade-short-square-nails, friendlyName=365nails: "Garden Party" – Hand-Painted Floral Handmade Short Square Nails</x:v>
      </x:c>
      <x:c r="D8457" s="18" t="str">
        <x:v>Size: XS / S / M</x:v>
      </x:c>
      <x:c r="E8457" s="25" t="str">
        <x:v>$1.99</x:v>
      </x:c>
      <x:c r="F8457" s="19" t="str">
        <x:v>10</x:v>
      </x:c>
    </x:row>
    <x:row r="8458" ht="93" customHeight="1">
      <x:c r="A8458" s="19" t="n">
        <x:v>8455</x:v>
      </x:c>
      <x:c r="B8458" s="22" t="e">
        <x:f>HYPERLINK("https://cdn.shopify.com/s/files/1/0918/6066/4603/files/30795a84db113875b19e532c70e47d68.jpg?v=1775304802","Open")</x:f>
        <x:v>HYPERLINK is not implemented. linkLocation=https://cdn.shopify.com/s/files/1/0918/6066/4603/files/30795a84db113875b19e532c70e47d68.jpg?v=1775304802, friendlyName=Open</x:v>
      </x:c>
      <x:c r="C8458" s="24" t="e">
        <x:f>HYPERLINK("https://365nails.com/products/365nails-midsummer-bloom-3d-floral-handmade-short-square-nails","365nails: ""Midsummer Bloom"" – 3D Floral Handmade Short Square Nails")</x:f>
        <x:v>HYPERLINK is not implemented. linkLocation=https://365nails.com/products/365nails-midsummer-bloom-3d-floral-handmade-short-square-nails, friendlyName=365nails: "Midsummer Bloom" – 3D Floral Handmade Short Square Nails</x:v>
      </x:c>
      <x:c r="D8458" s="18" t="str">
        <x:v>Size: XS / S / M</x:v>
      </x:c>
      <x:c r="E8458" s="25" t="str">
        <x:v>$1.99</x:v>
      </x:c>
      <x:c r="F8458" s="19" t="str">
        <x:v>10</x:v>
      </x:c>
    </x:row>
    <x:row r="8459" ht="93" customHeight="1">
      <x:c r="A8459" s="19" t="n">
        <x:v>8456</x:v>
      </x:c>
      <x:c r="B8459" s="22" t="e">
        <x:f>HYPERLINK("https://cdn.shopify.com/s/files/1/0918/6066/4603/files/bee21a320e48c01e8b7f5ba3ea65a4fe.jpg?v=1775304920","Open")</x:f>
        <x:v>HYPERLINK is not implemented. linkLocation=https://cdn.shopify.com/s/files/1/0918/6066/4603/files/bee21a320e48c01e8b7f5ba3ea65a4fe.jpg?v=1775304920, friendlyName=Open</x:v>
      </x:c>
      <x:c r="C8459" s="24" t="e">
        <x:f>HYPERLINK("https://365nails.com/products/365nails-celestial-dream-3d-charm-handmade-almond-nails","365nails: ""Celestial Dream"" – 3D Charm Handmade Almond Nails")</x:f>
        <x:v>HYPERLINK is not implemented. linkLocation=https://365nails.com/products/365nails-celestial-dream-3d-charm-handmade-almond-nails, friendlyName=365nails: "Celestial Dream" – 3D Charm Handmade Almond Nails</x:v>
      </x:c>
      <x:c r="D8459" s="18" t="str">
        <x:v>Size: XS / S / M</x:v>
      </x:c>
      <x:c r="E8459" s="25" t="str">
        <x:v>$1.99</x:v>
      </x:c>
      <x:c r="F8459" s="19" t="str">
        <x:v>10</x:v>
      </x:c>
    </x:row>
    <x:row r="8460" ht="93" customHeight="1">
      <x:c r="A8460" s="19" t="n">
        <x:v>8457</x:v>
      </x:c>
      <x:c r="B8460" s="22" t="e">
        <x:f>HYPERLINK("https://cdn.shopify.com/s/files/1/0918/6066/4603/files/cb93ec4f5578a3656f998303f43c6056.jpg?v=1775305011","Open")</x:f>
        <x:v>HYPERLINK is not implemented. linkLocation=https://cdn.shopify.com/s/files/1/0918/6066/4603/files/cb93ec4f5578a3656f998303f43c6056.jpg?v=1775305011, friendlyName=Open</x:v>
      </x:c>
      <x:c r="C8460" s="24" t="e">
        <x:f>HYPERLINK("https://365nails.com/products/365nails-celestial-garden-3d-charm-handmade-almond-nails","365nails: ""Celestial Garden"" – 3D Charm Handmade Almond Nails")</x:f>
        <x:v>HYPERLINK is not implemented. linkLocation=https://365nails.com/products/365nails-celestial-garden-3d-charm-handmade-almond-nails, friendlyName=365nails: "Celestial Garden" – 3D Charm Handmade Almond Nails</x:v>
      </x:c>
      <x:c r="D8460" s="18" t="str">
        <x:v>Size: XS / S / M</x:v>
      </x:c>
      <x:c r="E8460" s="25" t="str">
        <x:v>$1.99</x:v>
      </x:c>
      <x:c r="F8460" s="19" t="str">
        <x:v>10</x:v>
      </x:c>
    </x:row>
    <x:row r="8461" ht="93" customHeight="1">
      <x:c r="A8461" s="19" t="n">
        <x:v>8458</x:v>
      </x:c>
      <x:c r="B8461" s="22" t="e">
        <x:f>HYPERLINK("https://cdn.shopify.com/s/files/1/0918/6066/4603/files/69fec0eae3cdcb1eefe06af7ab0211ab.jpg?v=1775305158","Open")</x:f>
        <x:v>HYPERLINK is not implemented. linkLocation=https://cdn.shopify.com/s/files/1/0918/6066/4603/files/69fec0eae3cdcb1eefe06af7ab0211ab.jpg?v=1775305158, friendlyName=Open</x:v>
      </x:c>
      <x:c r="C8461" s="24" t="e">
        <x:f>HYPERLINK("https://365nails.com/products/365nails-ethereal-bloom-3d-floral-handmade-almond-nails","365nails: ""Ethereal Bloom"" – 3D Floral Handmade Almond Nails")</x:f>
        <x:v>HYPERLINK is not implemented. linkLocation=https://365nails.com/products/365nails-ethereal-bloom-3d-floral-handmade-almond-nails, friendlyName=365nails: "Ethereal Bloom" – 3D Floral Handmade Almond Nails</x:v>
      </x:c>
      <x:c r="D8461" s="18" t="str">
        <x:v>Size: XS / S / M</x:v>
      </x:c>
      <x:c r="E8461" s="25" t="str">
        <x:v>$1.99</x:v>
      </x:c>
      <x:c r="F8461" s="19" t="str">
        <x:v>10</x:v>
      </x:c>
    </x:row>
    <x:row r="8462" ht="93" customHeight="1">
      <x:c r="A8462" s="19" t="n">
        <x:v>8459</x:v>
      </x:c>
      <x:c r="B8462" s="22" t="e">
        <x:f>HYPERLINK("https://cdn.shopify.com/s/files/1/0918/6066/4603/files/ba91e41bde8154607cfe54e918f2d287.jpg?v=1775305233","Open")</x:f>
        <x:v>HYPERLINK is not implemented. linkLocation=https://cdn.shopify.com/s/files/1/0918/6066/4603/files/ba91e41bde8154607cfe54e918f2d287.jpg?v=1775305233, friendlyName=Open</x:v>
      </x:c>
      <x:c r="C8462" s="24" t="e">
        <x:f>HYPERLINK("https://365nails.com/products/365nails-garden-whisper-3d-floral-handmade-almond-nails","365nails: ""Garden Whisper"" – 3D Floral Handmade Almond Nails")</x:f>
        <x:v>HYPERLINK is not implemented. linkLocation=https://365nails.com/products/365nails-garden-whisper-3d-floral-handmade-almond-nails, friendlyName=365nails: "Garden Whisper" – 3D Floral Handmade Almond Nails</x:v>
      </x:c>
      <x:c r="D8462" s="18" t="str">
        <x:v>Size: XS / S / M</x:v>
      </x:c>
      <x:c r="E8462" s="25" t="str">
        <x:v>$1.99</x:v>
      </x:c>
      <x:c r="F8462" s="19" t="str">
        <x:v>10</x:v>
      </x:c>
    </x:row>
    <x:row r="8463" ht="93" customHeight="1">
      <x:c r="A8463" s="19" t="n">
        <x:v>8460</x:v>
      </x:c>
      <x:c r="B8463" s="22" t="e">
        <x:f>HYPERLINK("https://cdn.shopify.com/s/files/1/0918/6066/4603/files/943c89655fac2168be77757085b5cae8.jpg?v=1775305306","Open")</x:f>
        <x:v>HYPERLINK is not implemented. linkLocation=https://cdn.shopify.com/s/files/1/0918/6066/4603/files/943c89655fac2168be77757085b5cae8.jpg?v=1775305306, friendlyName=Open</x:v>
      </x:c>
      <x:c r="C8463" s="24" t="e">
        <x:f>HYPERLINK("https://365nails.com/products/365nails-meadow-whispers-3d-floral-butterfly-handmade-almond-nails","365nails: ""Meadow Whispers"" – 3D Floral &amp; Butterfly Handmade Almond Nails")</x:f>
        <x:v>HYPERLINK is not implemented. linkLocation=https://365nails.com/products/365nails-meadow-whispers-3d-floral-butterfly-handmade-almond-nails, friendlyName=365nails: "Meadow Whispers" – 3D Floral &amp; Butterfly Handmade Almond Nails</x:v>
      </x:c>
      <x:c r="D8463" s="18" t="str">
        <x:v>Size: XS / S / M</x:v>
      </x:c>
      <x:c r="E8463" s="25" t="str">
        <x:v>$1.99</x:v>
      </x:c>
      <x:c r="F8463" s="19" t="str">
        <x:v>10</x:v>
      </x:c>
    </x:row>
    <x:row r="8464" ht="93" customHeight="1">
      <x:c r="A8464" s="19" t="n">
        <x:v>8461</x:v>
      </x:c>
      <x:c r="B8464" s="22" t="e">
        <x:f>HYPERLINK("https://cdn.shopify.com/s/files/1/0918/6066/4603/files/17ffaa22afee8a06bbe01bbafded31b8.jpg?v=1775305545","Open")</x:f>
        <x:v>HYPERLINK is not implemented. linkLocation=https://cdn.shopify.com/s/files/1/0918/6066/4603/files/17ffaa22afee8a06bbe01bbafded31b8.jpg?v=1775305545, friendlyName=Open</x:v>
      </x:c>
      <x:c r="C8464" s="24" t="e">
        <x:f>HYPERLINK("https://365nails.com/products/365nails-celestial-dreams-3d-charm-handmade-short-nails","365nails: ""Celestial Dreams"" – 3D Charm Handmade Short Nails")</x:f>
        <x:v>HYPERLINK is not implemented. linkLocation=https://365nails.com/products/365nails-celestial-dreams-3d-charm-handmade-short-nails, friendlyName=365nails: "Celestial Dreams" – 3D Charm Handmade Short Nails</x:v>
      </x:c>
      <x:c r="D8464" s="18" t="str">
        <x:v>Size: XS / S / M</x:v>
      </x:c>
      <x:c r="E8464" s="25" t="str">
        <x:v>$1.99</x:v>
      </x:c>
      <x:c r="F8464" s="19" t="str">
        <x:v>10</x:v>
      </x:c>
    </x:row>
    <x:row r="8465" ht="93" customHeight="1">
      <x:c r="A8465" s="19" t="n">
        <x:v>8462</x:v>
      </x:c>
      <x:c r="B8465" s="22" t="e">
        <x:f>HYPERLINK("https://cdn.shopify.com/s/files/1/0918/6066/4603/files/3a9274e64cb34019b9e896a4c7b92d8c.jpg?v=1775305677","Open")</x:f>
        <x:v>HYPERLINK is not implemented. linkLocation=https://cdn.shopify.com/s/files/1/0918/6066/4603/files/3a9274e64cb34019b9e896a4c7b92d8c.jpg?v=1775305677, friendlyName=Open</x:v>
      </x:c>
      <x:c r="C8465" s="24" t="e">
        <x:f>HYPERLINK("https://365nails.com/products/365nails-garden-whispers-3d-floral-butterfly-handmade-almond-nails","365nails: ""Garden Whispers"" – 3D Floral &amp; Butterfly Handmade Almond Nails")</x:f>
        <x:v>HYPERLINK is not implemented. linkLocation=https://365nails.com/products/365nails-garden-whispers-3d-floral-butterfly-handmade-almond-nails, friendlyName=365nails: "Garden Whispers" – 3D Floral &amp; Butterfly Handmade Almond Nails</x:v>
      </x:c>
      <x:c r="D8465" s="18" t="str">
        <x:v>Size: XS / S / M</x:v>
      </x:c>
      <x:c r="E8465" s="25" t="str">
        <x:v>$1.99</x:v>
      </x:c>
      <x:c r="F8465" s="19" t="str">
        <x:v>10</x:v>
      </x:c>
    </x:row>
    <x:row r="8466" ht="93" customHeight="1">
      <x:c r="A8466" s="19" t="n">
        <x:v>8463</x:v>
      </x:c>
      <x:c r="B8466" s="22" t="e">
        <x:f>HYPERLINK("https://cdn.shopify.com/s/files/1/0918/6066/4603/files/63aeee8b902365f7412074c9457803ac.jpg?v=1775305744","Open")</x:f>
        <x:v>HYPERLINK is not implemented. linkLocation=https://cdn.shopify.com/s/files/1/0918/6066/4603/files/63aeee8b902365f7412074c9457803ac.jpg?v=1775305744, friendlyName=Open</x:v>
      </x:c>
      <x:c r="C8466" s="24" t="e">
        <x:f>HYPERLINK("https://365nails.com/products/365nails-enchanted-garden-3d-floral-celestial-handmade-almond-nails","365nails: ""Enchanted Garden"" – 3D Floral &amp; Celestial Handmade Almond Nails")</x:f>
        <x:v>HYPERLINK is not implemented. linkLocation=https://365nails.com/products/365nails-enchanted-garden-3d-floral-celestial-handmade-almond-nails, friendlyName=365nails: "Enchanted Garden" – 3D Floral &amp; Celestial Handmade Almond Nails</x:v>
      </x:c>
      <x:c r="D8466" s="18" t="str">
        <x:v>Size: XS / S / M</x:v>
      </x:c>
      <x:c r="E8466" s="25" t="str">
        <x:v>$1.99</x:v>
      </x:c>
      <x:c r="F8466" s="19" t="str">
        <x:v>10</x:v>
      </x:c>
    </x:row>
    <x:row r="8467" ht="93" customHeight="1">
      <x:c r="A8467" s="19" t="n">
        <x:v>8464</x:v>
      </x:c>
      <x:c r="B8467" s="22" t="e">
        <x:f>HYPERLINK("https://cdn.shopify.com/s/files/1/0918/6066/4603/files/8bff52b903fdb78f8bca3dbd0239cfa1.jpg?v=1775305812","Open")</x:f>
        <x:v>HYPERLINK is not implemented. linkLocation=https://cdn.shopify.com/s/files/1/0918/6066/4603/files/8bff52b903fdb78f8bca3dbd0239cfa1.jpg?v=1775305812, friendlyName=Open</x:v>
      </x:c>
      <x:c r="C8467" s="24" t="e">
        <x:f>HYPERLINK("https://365nails.com/products/365nails-celestial-bloom-3d-floral-charm-handmade-almond-nails","365nails: ""Celestial Bloom"" – 3D Floral &amp; Charm Handmade Almond Nails")</x:f>
        <x:v>HYPERLINK is not implemented. linkLocation=https://365nails.com/products/365nails-celestial-bloom-3d-floral-charm-handmade-almond-nails, friendlyName=365nails: "Celestial Bloom" – 3D Floral &amp; Charm Handmade Almond Nails</x:v>
      </x:c>
      <x:c r="D8467" s="18" t="str">
        <x:v>Size: XS / S / M</x:v>
      </x:c>
      <x:c r="E8467" s="25" t="str">
        <x:v>$1.99</x:v>
      </x:c>
      <x:c r="F8467" s="19" t="str">
        <x:v>10</x:v>
      </x:c>
    </x:row>
    <x:row r="8468" ht="93" customHeight="1">
      <x:c r="A8468" s="19" t="n">
        <x:v>8465</x:v>
      </x:c>
      <x:c r="B8468" s="22" t="e">
        <x:f>HYPERLINK("https://cdn.shopify.com/s/files/1/0918/6066/4603/files/142f4afd0957d24a58ae54a5e3b3ee80.jpg?v=1775305873","Open")</x:f>
        <x:v>HYPERLINK is not implemented. linkLocation=https://cdn.shopify.com/s/files/1/0918/6066/4603/files/142f4afd0957d24a58ae54a5e3b3ee80.jpg?v=1775305873, friendlyName=Open</x:v>
      </x:c>
      <x:c r="C8468" s="24" t="e">
        <x:f>HYPERLINK("https://365nails.com/products/365nails-mystic-meadow-3d-floral-celestial-handmade-long-nails","365nails: ""Mystic Meadow"" – 3D Floral &amp; Celestial Handmade Long Nails")</x:f>
        <x:v>HYPERLINK is not implemented. linkLocation=https://365nails.com/products/365nails-mystic-meadow-3d-floral-celestial-handmade-long-nails, friendlyName=365nails: "Mystic Meadow" – 3D Floral &amp; Celestial Handmade Long Nails</x:v>
      </x:c>
      <x:c r="D8468" s="18" t="str">
        <x:v>Size: XS / S / M</x:v>
      </x:c>
      <x:c r="E8468" s="25" t="str">
        <x:v>$1.99</x:v>
      </x:c>
      <x:c r="F8468" s="19" t="str">
        <x:v>10</x:v>
      </x:c>
    </x:row>
    <x:row r="8469" ht="93" customHeight="1">
      <x:c r="A8469" s="19" t="n">
        <x:v>8466</x:v>
      </x:c>
      <x:c r="B8469" s="22" t="e">
        <x:f>HYPERLINK("https://cdn.shopify.com/s/files/1/0918/6066/4603/files/1f88aaf3ccb73de74db4811eb0490895.jpg?v=1775306205","Open")</x:f>
        <x:v>HYPERLINK is not implemented. linkLocation=https://cdn.shopify.com/s/files/1/0918/6066/4603/files/1f88aaf3ccb73de74db4811eb0490895.jpg?v=1775306205, friendlyName=Open</x:v>
      </x:c>
      <x:c r="C8469" s="24" t="e">
        <x:f>HYPERLINK("https://365nails.com/products/365nails-azure-daydream-3d-floral-celestial-handmade-short-nails","365nails: ""Azure Daydream"" – 3D Floral &amp; Celestial Handmade Short Nails")</x:f>
        <x:v>HYPERLINK is not implemented. linkLocation=https://365nails.com/products/365nails-azure-daydream-3d-floral-celestial-handmade-short-nails, friendlyName=365nails: "Azure Daydream" – 3D Floral &amp; Celestial Handmade Short Nails</x:v>
      </x:c>
      <x:c r="D8469" s="18" t="str">
        <x:v>Size: XS / S / M</x:v>
      </x:c>
      <x:c r="E8469" s="25" t="str">
        <x:v>$1.99</x:v>
      </x:c>
      <x:c r="F8469" s="19" t="str">
        <x:v>10</x:v>
      </x:c>
    </x:row>
    <x:row r="8470" ht="93" customHeight="1">
      <x:c r="A8470" s="19" t="n">
        <x:v>8467</x:v>
      </x:c>
      <x:c r="B8470" s="22" t="e">
        <x:f>HYPERLINK("https://cdn.shopify.com/s/files/1/0918/6066/4603/files/6284c084b5d64b208cd40e1e732e4c4d.jpg?v=1775306443","Open")</x:f>
        <x:v>HYPERLINK is not implemented. linkLocation=https://cdn.shopify.com/s/files/1/0918/6066/4603/files/6284c084b5d64b208cd40e1e732e4c4d.jpg?v=1775306443, friendlyName=Open</x:v>
      </x:c>
      <x:c r="C8470" s="24" t="e">
        <x:f>HYPERLINK("https://365nails.com/products/365nails-quirky-critters-3d-cartoon-frog-handmade-short-nails","365nails: ""Quirky Critters"" – 3D Cartoon Frog Handmade Short Nails")</x:f>
        <x:v>HYPERLINK is not implemented. linkLocation=https://365nails.com/products/365nails-quirky-critters-3d-cartoon-frog-handmade-short-nails, friendlyName=365nails: "Quirky Critters" – 3D Cartoon Frog Handmade Short Nails</x:v>
      </x:c>
      <x:c r="D8470" s="18" t="str">
        <x:v>Size: XS / S / M</x:v>
      </x:c>
      <x:c r="E8470" s="25" t="str">
        <x:v>$2.49</x:v>
      </x:c>
      <x:c r="F8470" s="19" t="str">
        <x:v>10</x:v>
      </x:c>
    </x:row>
    <x:row r="8471" ht="93" customHeight="1">
      <x:c r="A8471" s="19" t="n">
        <x:v>8468</x:v>
      </x:c>
      <x:c r="B8471" s="22" t="e">
        <x:f>HYPERLINK("https://cdn.shopify.com/s/files/1/0918/6066/4603/files/73c9f457e3edd6e46406af89ee09ff3f.jpg?v=1775306503","Open")</x:f>
        <x:v>HYPERLINK is not implemented. linkLocation=https://cdn.shopify.com/s/files/1/0918/6066/4603/files/73c9f457e3edd6e46406af89ee09ff3f.jpg?v=1775306503, friendlyName=Open</x:v>
      </x:c>
      <x:c r="C8471" s="24" t="e">
        <x:f>HYPERLINK("https://365nails.com/products/365nails-little-friends-3d-cartoon-character-handmade-short-nails","365nails: ""Little Friends"" – 3D Cartoon Character Handmade Short Nails")</x:f>
        <x:v>HYPERLINK is not implemented. linkLocation=https://365nails.com/products/365nails-little-friends-3d-cartoon-character-handmade-short-nails, friendlyName=365nails: "Little Friends" – 3D Cartoon Character Handmade Short Nails</x:v>
      </x:c>
      <x:c r="D8471" s="18" t="str">
        <x:v>Size: XS / S / M</x:v>
      </x:c>
      <x:c r="E8471" s="25" t="str">
        <x:v>$2.49</x:v>
      </x:c>
      <x:c r="F8471" s="19" t="str">
        <x:v>10</x:v>
      </x:c>
    </x:row>
    <x:row r="8472" ht="93" customHeight="1">
      <x:c r="A8472" s="19" t="n">
        <x:v>8469</x:v>
      </x:c>
      <x:c r="B8472" s="22" t="e">
        <x:f>HYPERLINK("https://cdn.shopify.com/s/files/1/0918/6066/4603/files/db092a94746b0ee45a2fb4466faaf1e8.jpg?v=1775306569","Open")</x:f>
        <x:v>HYPERLINK is not implemented. linkLocation=https://cdn.shopify.com/s/files/1/0918/6066/4603/files/db092a94746b0ee45a2fb4466faaf1e8.jpg?v=1775306569, friendlyName=Open</x:v>
      </x:c>
      <x:c r="C8472" s="24" t="e">
        <x:f>HYPERLINK("https://365nails.com/products/365nails-sweet-treats-3d-animal-charm-handmade-short-nails","365nails: ""Sweet Treats"" – 3D Animal &amp; Charm Handmade Short Nails")</x:f>
        <x:v>HYPERLINK is not implemented. linkLocation=https://365nails.com/products/365nails-sweet-treats-3d-animal-charm-handmade-short-nails, friendlyName=365nails: "Sweet Treats" – 3D Animal &amp; Charm Handmade Short Nails</x:v>
      </x:c>
      <x:c r="D8472" s="18" t="str">
        <x:v>Size: XS / S / M</x:v>
      </x:c>
      <x:c r="E8472" s="25" t="str">
        <x:v>$2.49</x:v>
      </x:c>
      <x:c r="F8472" s="19" t="str">
        <x:v>10</x:v>
      </x:c>
    </x:row>
    <x:row r="8473" ht="93" customHeight="1">
      <x:c r="A8473" s="19" t="n">
        <x:v>8470</x:v>
      </x:c>
      <x:c r="B8473" s="22" t="e">
        <x:f>HYPERLINK("https://cdn.shopify.com/s/files/1/0918/6066/4603/files/37895c6e7665398c08108f6fb157f2b3.jpg?v=1775306695","Open")</x:f>
        <x:v>HYPERLINK is not implemented. linkLocation=https://cdn.shopify.com/s/files/1/0918/6066/4603/files/37895c6e7665398c08108f6fb157f2b3.jpg?v=1775306695, friendlyName=Open</x:v>
      </x:c>
      <x:c r="C8473" s="24" t="e">
        <x:f>HYPERLINK("https://365nails.com/products/365nails-big-mouth-buddies-3d-quirky-animal-handmade-short-nails","365nails: ""Big Mouth Buddies"" – 3D Quirky Animal Handmade Short Nails")</x:f>
        <x:v>HYPERLINK is not implemented. linkLocation=https://365nails.com/products/365nails-big-mouth-buddies-3d-quirky-animal-handmade-short-nails, friendlyName=365nails: "Big Mouth Buddies" – 3D Quirky Animal Handmade Short Nails</x:v>
      </x:c>
      <x:c r="D8473" s="18" t="str">
        <x:v>Size: XS / S / M / L</x:v>
      </x:c>
      <x:c r="E8473" s="25" t="str">
        <x:v>$2.49</x:v>
      </x:c>
      <x:c r="F8473" s="19" t="str">
        <x:v>10</x:v>
      </x:c>
    </x:row>
    <x:row r="8474" ht="93" customHeight="1">
      <x:c r="A8474" s="19" t="n">
        <x:v>8471</x:v>
      </x:c>
      <x:c r="B8474" s="22" t="e">
        <x:f>HYPERLINK("https://cdn.shopify.com/s/files/1/0918/6066/4603/files/7773e10f3681decfa8e21cad8bbb26d8.jpg?v=1775306909","Open")</x:f>
        <x:v>HYPERLINK is not implemented. linkLocation=https://cdn.shopify.com/s/files/1/0918/6066/4603/files/7773e10f3681decfa8e21cad8bbb26d8.jpg?v=1775306909, friendlyName=Open</x:v>
      </x:c>
      <x:c r="C8474" s="24" t="e">
        <x:f>HYPERLINK("https://365nails.com/products/365nails-puppy-love-3d-cute-animal-handmade-short-nails","365nails: ""Puppy Love"" – 3D Cute Animal Handmade Short Nails")</x:f>
        <x:v>HYPERLINK is not implemented. linkLocation=https://365nails.com/products/365nails-puppy-love-3d-cute-animal-handmade-short-nails, friendlyName=365nails: "Puppy Love" – 3D Cute Animal Handmade Short Nails</x:v>
      </x:c>
      <x:c r="D8474" s="18" t="str">
        <x:v>Size: XS / S / M</x:v>
      </x:c>
      <x:c r="E8474" s="25" t="str">
        <x:v>$2.99</x:v>
      </x:c>
      <x:c r="F8474" s="19" t="str">
        <x:v>10</x:v>
      </x:c>
    </x:row>
    <x:row r="8475" ht="93" customHeight="1">
      <x:c r="A8475" s="19" t="n">
        <x:v>8472</x:v>
      </x:c>
      <x:c r="B8475" s="22" t="e">
        <x:f>HYPERLINK("https://cdn.shopify.com/s/files/1/0918/6066/4603/files/79284b01fcb56a478bccfaf9ae28370e.jpg?v=1775306998","Open")</x:f>
        <x:v>HYPERLINK is not implemented. linkLocation=https://cdn.shopify.com/s/files/1/0918/6066/4603/files/79284b01fcb56a478bccfaf9ae28370e.jpg?v=1775306998, friendlyName=Open</x:v>
      </x:c>
      <x:c r="C8475" s="24" t="e">
        <x:f>HYPERLINK("https://365nails.com/products/365nails-cloud-nine-3d-kawaii-animal-handmade-short-nails","365nails: ""Cloud Nine"" – 3D Kawaii Animal Handmade Short Nails")</x:f>
        <x:v>HYPERLINK is not implemented. linkLocation=https://365nails.com/products/365nails-cloud-nine-3d-kawaii-animal-handmade-short-nails, friendlyName=365nails: "Cloud Nine" – 3D Kawaii Animal Handmade Short Nails</x:v>
      </x:c>
      <x:c r="D8475" s="18" t="str">
        <x:v>Size: XS / S / M</x:v>
      </x:c>
      <x:c r="E8475" s="25" t="str">
        <x:v>$4.99</x:v>
      </x:c>
      <x:c r="F8475" s="19" t="str">
        <x:v>10</x:v>
      </x:c>
    </x:row>
    <x:row r="8476" ht="93" customHeight="1">
      <x:c r="A8476" s="19" t="n">
        <x:v>8473</x:v>
      </x:c>
      <x:c r="B8476" s="22" t="e">
        <x:f>HYPERLINK("https://cdn.shopify.com/s/files/1/0918/6066/4603/files/55e4ee197fc9cacfae77b3fc8bf64e55.jpg?v=1775307059","Open")</x:f>
        <x:v>HYPERLINK is not implemented. linkLocation=https://cdn.shopify.com/s/files/1/0918/6066/4603/files/55e4ee197fc9cacfae77b3fc8bf64e55.jpg?v=1775307059, friendlyName=Open</x:v>
      </x:c>
      <x:c r="C8476" s="24" t="e">
        <x:f>HYPERLINK("https://365nails.com/products/365nails-big-top-circus-3d-clown-animal-handmade-short-nails","365nails: ""Big Top Circus"" – 3D Clown &amp; Animal Handmade Short Nails")</x:f>
        <x:v>HYPERLINK is not implemented. linkLocation=https://365nails.com/products/365nails-big-top-circus-3d-clown-animal-handmade-short-nails, friendlyName=365nails: "Big Top Circus" – 3D Clown &amp; Animal Handmade Short Nails</x:v>
      </x:c>
      <x:c r="D8476" s="18" t="str">
        <x:v>Size: XS / S / M</x:v>
      </x:c>
      <x:c r="E8476" s="25" t="str">
        <x:v>$4.99</x:v>
      </x:c>
      <x:c r="F8476" s="19" t="str">
        <x:v>10</x:v>
      </x:c>
    </x:row>
    <x:row r="8477" ht="93" customHeight="1">
      <x:c r="A8477" s="19" t="n">
        <x:v>8474</x:v>
      </x:c>
      <x:c r="B8477" s="22" t="e">
        <x:f>HYPERLINK("https://cdn.shopify.com/s/files/1/0918/6066/4603/files/493a6836d4ae276784862b1c425f7dc1.jpg?v=1775307239","Open")</x:f>
        <x:v>HYPERLINK is not implemented. linkLocation=https://cdn.shopify.com/s/files/1/0918/6066/4603/files/493a6836d4ae276784862b1c425f7dc1.jpg?v=1775307239, friendlyName=Open</x:v>
      </x:c>
      <x:c r="C8477" s="24" t="e">
        <x:f>HYPERLINK("https://365nails.com/products/365nails-twilight-haze-modern-french-tip-handmade-short-nails","365nails: ""Twilight Haze"" – Modern French Tip Handmade Short Nails")</x:f>
        <x:v>HYPERLINK is not implemented. linkLocation=https://365nails.com/products/365nails-twilight-haze-modern-french-tip-handmade-short-nails, friendlyName=365nails: "Twilight Haze" – Modern French Tip Handmade Short Nails</x:v>
      </x:c>
      <x:c r="D8477" s="18" t="str">
        <x:v>Size: XS / S / M / L</x:v>
      </x:c>
      <x:c r="E8477" s="25" t="str">
        <x:v>$2.99</x:v>
      </x:c>
      <x:c r="F8477" s="19" t="str">
        <x:v>3</x:v>
      </x:c>
    </x:row>
    <x:row r="8478" ht="93" customHeight="1">
      <x:c r="A8478" s="19" t="n">
        <x:v>8475</x:v>
      </x:c>
      <x:c r="B8478" s="22" t="e">
        <x:f>HYPERLINK("https://cdn.shopify.com/s/files/1/0918/6066/4603/files/bbf0ca0ddbb809005eecef6a8793317f.jpg?v=1775307361","Open")</x:f>
        <x:v>HYPERLINK is not implemented. linkLocation=https://cdn.shopify.com/s/files/1/0918/6066/4603/files/bbf0ca0ddbb809005eecef6a8793317f.jpg?v=1775307361, friendlyName=Open</x:v>
      </x:c>
      <x:c r="C8478" s="24" t="e">
        <x:f>HYPERLINK("https://365nails.com/products/365nails-wild-star-3d-star-leopard-print-handmade-almond-nails","365nails: ""Wild Star"" – 3D Star &amp; Leopard Print Handmade Almond Nails")</x:f>
        <x:v>HYPERLINK is not implemented. linkLocation=https://365nails.com/products/365nails-wild-star-3d-star-leopard-print-handmade-almond-nails, friendlyName=365nails: "Wild Star" – 3D Star &amp; Leopard Print Handmade Almond Nails</x:v>
      </x:c>
      <x:c r="D8478" s="18" t="str">
        <x:v>Size: XS / S / M / L</x:v>
      </x:c>
      <x:c r="E8478" s="25" t="str">
        <x:v>$2.99</x:v>
      </x:c>
      <x:c r="F8478" s="19" t="str">
        <x:v>3</x:v>
      </x:c>
    </x:row>
    <x:row r="8479" ht="93" customHeight="1">
      <x:c r="A8479" s="19" t="n">
        <x:v>8476</x:v>
      </x:c>
      <x:c r="B8479" s="22" t="e">
        <x:f>HYPERLINK("https://cdn.shopify.com/s/files/1/0918/6066/4603/files/3995007003c8f951b21d2724c9470121.jpg?v=1775307442","Open")</x:f>
        <x:v>HYPERLINK is not implemented. linkLocation=https://cdn.shopify.com/s/files/1/0918/6066/4603/files/3995007003c8f951b21d2724c9470121.jpg?v=1775307442, friendlyName=Open</x:v>
      </x:c>
      <x:c r="C8479" s="24" t="e">
        <x:f>HYPERLINK("https://365nails.com/products/365nails-lemon-sorbet-3d-abstract-swirl-handmade-almond-nails","365nails: ""Lemon Sorbet"" – 3D Abstract Swirl Handmade Almond Nails")</x:f>
        <x:v>HYPERLINK is not implemented. linkLocation=https://365nails.com/products/365nails-lemon-sorbet-3d-abstract-swirl-handmade-almond-nails, friendlyName=365nails: "Lemon Sorbet" – 3D Abstract Swirl Handmade Almond Nails</x:v>
      </x:c>
      <x:c r="D8479" s="18" t="str">
        <x:v>Size: XS / S / M / L</x:v>
      </x:c>
      <x:c r="E8479" s="25" t="str">
        <x:v>$2.99</x:v>
      </x:c>
      <x:c r="F8479" s="19" t="str">
        <x:v>3</x:v>
      </x:c>
    </x:row>
    <x:row r="8480" ht="93" customHeight="1">
      <x:c r="A8480" s="19" t="n">
        <x:v>8477</x:v>
      </x:c>
      <x:c r="B8480" s="22" t="e">
        <x:f>HYPERLINK("https://cdn.shopify.com/s/files/1/0918/6066/4603/files/4a9bfb2f1add4fe817bfe94cb20041a9.png?v=1762000296","Open")</x:f>
        <x:v>HYPERLINK is not implemented. linkLocation=https://cdn.shopify.com/s/files/1/0918/6066/4603/files/4a9bfb2f1add4fe817bfe94cb20041a9.png?v=1762000296, friendlyName=Open</x:v>
      </x:c>
      <x:c r="C8480" s="24" t="e">
        <x:f>HYPERLINK("https://365nails.com/products/press-on-nail-glue-custom-logo-packaging","Press-On Nail Glue | Custom Logo &amp; Packaging | Fast-Dry Strong Bond")</x:f>
        <x:v>HYPERLINK is not implemented. linkLocation=https://365nails.com/products/press-on-nail-glue-custom-logo-packaging, friendlyName=Press-On Nail Glue | Custom Logo &amp; Packaging | Fast-Dry Strong Bond</x:v>
      </x:c>
      <x:c r="D8480" s="18" t="str">
        <x:v>Quantity: 10000pcs</x:v>
      </x:c>
      <x:c r="E8480" s="25" t="str">
        <x:v>$350.00</x:v>
      </x:c>
      <x:c r="F8480" s="19" t="str">
        <x:v>1</x:v>
      </x:c>
    </x:row>
    <x:row r="8481" ht="93" customHeight="1">
      <x:c r="A8481" s="19" t="n">
        <x:v>8478</x:v>
      </x:c>
      <x:c r="B8481" s="22" t="e">
        <x:f>HYPERLINK("https://cdn.shopify.com/s/files/1/0918/6066/4603/files/91b399a966c62bf4bb97a05d1c8129a2_03550ce4-6940-4da3-a387-7af5b65feb42.png?v=1763803912","Open")</x:f>
        <x:v>HYPERLINK is not implemented. linkLocation=https://cdn.shopify.com/s/files/1/0918/6066/4603/files/91b399a966c62bf4bb97a05d1c8129a2_03550ce4-6940-4da3-a387-7af5b65feb42.png?v=1763803912, friendlyName=Open</x:v>
      </x:c>
      <x:c r="C8481" s="24" t="e">
        <x:f>HYPERLINK("https://365nails.com/products/custom-alcohol-prep-pads-75-isopropyl-wipes-private-label-branded-packaging","Custom Alcohol Prep Pads | 75% Isopropyl Wipes | Private Label &amp; Branded Packaging（10w pcs）")</x:f>
        <x:v>HYPERLINK is not implemented. linkLocation=https://365nails.com/products/custom-alcohol-prep-pads-75-isopropyl-wipes-private-label-branded-packaging, friendlyName=Custom Alcohol Prep Pads | 75% Isopropyl Wipes | Private Label &amp; Branded Packaging（10w pcs）</x:v>
      </x:c>
      <x:c r="D8481" s="18" t="str">
        <x:v>Quanlity: 100000 PCS</x:v>
      </x:c>
      <x:c r="E8481" s="25" t="str">
        <x:v>$700.00</x:v>
      </x:c>
      <x:c r="F8481" s="19" t="str">
        <x:v>1</x:v>
      </x:c>
    </x:row>
    <x:row r="8482" ht="93" customHeight="1">
      <x:c r="A8482" s="19" t="n">
        <x:v>8479</x:v>
      </x:c>
      <x:c r="B8482" s="22" t="e">
        <x:f>HYPERLINK("https://cdn.shopify.com/s/files/1/0918/6066/4603/files/O1CN0124Nzqt1xxB3FdNM2i__2212202186509-0-cib.jpg?v=1763614469","Open")</x:f>
        <x:v>HYPERLINK is not implemented. linkLocation=https://cdn.shopify.com/s/files/1/0918/6066/4603/files/O1CN0124Nzqt1xxB3FdNM2i__2212202186509-0-cib.jpg?v=1763614469, friendlyName=Open</x:v>
      </x:c>
      <x:c r="C8482" s="24" t="e">
        <x:f>HYPERLINK("https://365nails.com/products/luxury-embossed-logo-seal-stickers-metallic-textured-paper-adhesive-labels-for-accessories-packaging","Luxury Embossed Logo Seal Stickers – Metallic Textured Paper Adhesive Labels for Accessories Packaging")</x:f>
        <x:v>HYPERLINK is not implemented. linkLocation=https://365nails.com/products/luxury-embossed-logo-seal-stickers-metallic-textured-paper-adhesive-labels-for-accessories-packaging, friendlyName=Luxury Embossed Logo Seal Stickers – Metallic Textured Paper Adhesive Labels for Accessories Packaging</x:v>
      </x:c>
      <x:c r="D8482" s="18" t="str">
        <x:v>Specifications and models: Concave-convex self-adhesive, customized; please contact customer service for customization.; Quantity: 1000pcs</x:v>
      </x:c>
      <x:c r="E8482" s="25" t="str">
        <x:v>$20.00</x:v>
      </x:c>
      <x:c r="F8482" s="19" t="str">
        <x:v>1</x:v>
      </x:c>
    </x:row>
    <x:row r="8483" ht="93" customHeight="1">
      <x:c r="A8483" s="19" t="n">
        <x:v>8480</x:v>
      </x:c>
      <x:c r="B8483" s="22" t="e">
        <x:f>HYPERLINK("https://cdn.shopify.com/s/files/1/0918/6066/4603/files/O1CN01I7UM0V2NGHnMDPaYd__4234819935-0-cib.jpg?v=1753429184","Open")</x:f>
        <x:v>HYPERLINK is not implemented. linkLocation=https://cdn.shopify.com/s/files/1/0918/6066/4603/files/O1CN01I7UM0V2NGHnMDPaYd__4234819935-0-cib.jpg?v=1753429184, friendlyName=Open</x:v>
      </x:c>
      <x:c r="C8483" s="24" t="e">
        <x:f>HYPERLINK("https://365nails.com/products/pink-bow-manicure-wearing-nail-fake-nail-xiaohongshu-love-nail-sticker-nail-piece-wearable-nail-piece-wholesale-365nails","Pink bow manicure press on nails fake nail  love nail sticker nail piece wearable nail piece wholesale｜365nails")</x:f>
        <x:v>HYPERLINK is not implemented. linkLocation=https://365nails.com/products/pink-bow-manicure-wearing-nail-fake-nail-xiaohongshu-love-nail-sticker-nail-piece-wearable-nail-piece-wholesale-365nails, friendlyName=Pink bow manicure press on nails fake nail  love nail sticker nail piece wearable nail piece wholesale｜365nails</x:v>
      </x:c>
      <x:c r="D8483" s="18" t="str">
        <x:v>Color: JP2769</x:v>
      </x:c>
      <x:c r="E8483" s="25" t="str">
        <x:v>$1.08</x:v>
      </x:c>
      <x:c r="F8483" s="19" t="str">
        <x:v>1</x:v>
      </x:c>
    </x:row>
    <x:row r="8484" ht="93" customHeight="1">
      <x:c r="A8484" s="19" t="n">
        <x:v>8481</x:v>
      </x:c>
      <x:c r="B8484" s="22" t="e">
        <x:f>HYPERLINK("https://cdn.shopify.com/s/files/1/0918/6066/4603/files/O1CN01UJapL82NGHmqlJrDq__4234819935-0-cib.jpg?v=1753428968","Open")</x:f>
        <x:v>HYPERLINK is not implemented. linkLocation=https://cdn.shopify.com/s/files/1/0918/6066/4603/files/O1CN01UJapL82NGHmqlJrDq__4234819935-0-cib.jpg?v=1753428968, friendlyName=Open</x:v>
      </x:c>
      <x:c r="C8484" s="24" t="e">
        <x:f>HYPERLINK("https://365nails.com/products/independence-day-ballet-nail-art-nail-wear-removable-nail-sheet-cross-border-foreign-trade-false-nail-sheet-finished-product-wholesale-365nails","Independence Day Ballet Nail Art Nail Wear Removable Nail Sheet  Foreign Trade False Nail Sheet Finished Product Wholesale｜365nails")</x:f>
        <x:v>HYPERLINK is not implemented. linkLocation=https://365nails.com/products/independence-day-ballet-nail-art-nail-wear-removable-nail-sheet-cross-border-foreign-trade-false-nail-sheet-finished-product-wholesale-365nails, friendlyName=Independence Day Ballet Nail Art Nail Wear Removable Nail Sheet  Foreign Trade False Nail Sheet Finished Product Wholesale｜365nails</x:v>
      </x:c>
      <x:c r="D8484" s="18" t="str">
        <x:v>color: JP2772</x:v>
      </x:c>
      <x:c r="E8484" s="25" t="str">
        <x:v>$1.31</x:v>
      </x:c>
      <x:c r="F8484" s="19" t="str">
        <x:v>1</x:v>
      </x:c>
    </x:row>
    <x:row r="8485" ht="93" customHeight="1">
      <x:c r="A8485" s="19" t="n">
        <x:v>8482</x:v>
      </x:c>
      <x:c r="B8485" s="22" t="e">
        <x:f>HYPERLINK("https://cdn.shopify.com/s/files/1/0918/6066/4603/files/caab2b3ea7724262a6b9c427e3d4ddc7_624e3a56-7444-4b1f-9df7-a0d93780ab46.jpg?v=1775388695","Open")</x:f>
        <x:v>HYPERLINK is not implemented. linkLocation=https://cdn.shopify.com/s/files/1/0918/6066/4603/files/caab2b3ea7724262a6b9c427e3d4ddc7_624e3a56-7444-4b1f-9df7-a0d93780ab46.jpg?v=1775388695, friendlyName=Open</x:v>
      </x:c>
      <x:c r="C8485" s="24" t="e">
        <x:f>HYPERLINK("https://365nails.com/products/365nails-orchard-chic-3d-fruit-star-art-handmade-coffin-nails","365nails: ""Orchard Chic"" – 3D Fruit &amp; Star Art Handmade Coffin Nails")</x:f>
        <x:v>HYPERLINK is not implemented. linkLocation=https://365nails.com/products/365nails-orchard-chic-3d-fruit-star-art-handmade-coffin-nails, friendlyName=365nails: "Orchard Chic" – 3D Fruit &amp; Star Art Handmade Coffin Nails</x:v>
      </x:c>
      <x:c r="D8485" s="18" t="str">
        <x:v>Size: XS / S / M / L</x:v>
      </x:c>
      <x:c r="E8485" s="25" t="str">
        <x:v>$3.99</x:v>
      </x:c>
      <x:c r="F8485" s="19" t="str">
        <x:v>3</x:v>
      </x:c>
    </x:row>
    <x:row r="8486" ht="93" customHeight="1">
      <x:c r="A8486" s="19" t="n">
        <x:v>8483</x:v>
      </x:c>
      <x:c r="B8486" s="22" t="e">
        <x:f>HYPERLINK("https://cdn.shopify.com/s/files/1/0918/6066/4603/files/f3a243122e6a159a3b876057d3e66dd4.jpg?v=1775388776","Open")</x:f>
        <x:v>HYPERLINK is not implemented. linkLocation=https://cdn.shopify.com/s/files/1/0918/6066/4603/files/f3a243122e6a159a3b876057d3e66dd4.jpg?v=1775388776, friendlyName=Open</x:v>
      </x:c>
      <x:c r="C8486" s="24" t="e">
        <x:f>HYPERLINK("https://365nails.com/products/365nails-berry-melody-3d-strawberry-chocolate-handmade-stiletto-nails","365nails: ""Berry Melody"" – 3D Strawberry &amp; Chocolate Handmade Stiletto Nails")</x:f>
        <x:v>HYPERLINK is not implemented. linkLocation=https://365nails.com/products/365nails-berry-melody-3d-strawberry-chocolate-handmade-stiletto-nails, friendlyName=365nails: "Berry Melody" – 3D Strawberry &amp; Chocolate Handmade Stiletto Nails</x:v>
      </x:c>
      <x:c r="D8486" s="18" t="str">
        <x:v>Size: XS / S / M / L</x:v>
      </x:c>
      <x:c r="E8486" s="25" t="str">
        <x:v>$3.99</x:v>
      </x:c>
      <x:c r="F8486" s="19" t="str">
        <x:v>3</x:v>
      </x:c>
    </x:row>
    <x:row r="8487" ht="93" customHeight="1">
      <x:c r="A8487" s="19" t="n">
        <x:v>8484</x:v>
      </x:c>
      <x:c r="B8487" s="22" t="e">
        <x:f>HYPERLINK("https://cdn.shopify.com/s/files/1/0918/6066/4603/files/0cdc7c74ede12a875de522d80b16a363.jpg?v=1775388843","Open")</x:f>
        <x:v>HYPERLINK is not implemented. linkLocation=https://cdn.shopify.com/s/files/1/0918/6066/4603/files/0cdc7c74ede12a875de522d80b16a363.jpg?v=1775388843, friendlyName=Open</x:v>
      </x:c>
      <x:c r="C8487" s="24" t="e">
        <x:f>HYPERLINK("https://365nails.com/products/365nails-velvet-bloom-3d-floral-handmade-stiletto-nails-1","365nails: ""Velvet Bloom"" – 3D Floral Handmade Stiletto Nails")</x:f>
        <x:v>HYPERLINK is not implemented. linkLocation=https://365nails.com/products/365nails-velvet-bloom-3d-floral-handmade-stiletto-nails-1, friendlyName=365nails: "Velvet Bloom" – 3D Floral Handmade Stiletto Nails</x:v>
      </x:c>
      <x:c r="D8487" s="18" t="str">
        <x:v>Size: XS / S / M / L</x:v>
      </x:c>
      <x:c r="E8487" s="25" t="str">
        <x:v>$3.99</x:v>
      </x:c>
      <x:c r="F8487" s="19" t="str">
        <x:v>3</x:v>
      </x:c>
    </x:row>
    <x:row r="8488" ht="93" customHeight="1">
      <x:c r="A8488" s="19" t="n">
        <x:v>8485</x:v>
      </x:c>
      <x:c r="B8488" s="22" t="e">
        <x:f>HYPERLINK("https://cdn.shopify.com/s/files/1/0918/6066/4603/files/47585e7b18226f11de3d0c600ff68934.jpg?v=1775388904","Open")</x:f>
        <x:v>HYPERLINK is not implemented. linkLocation=https://cdn.shopify.com/s/files/1/0918/6066/4603/files/47585e7b18226f11de3d0c600ff68934.jpg?v=1775388904, friendlyName=Open</x:v>
      </x:c>
      <x:c r="C8488" s="24" t="e">
        <x:f>HYPERLINK("https://365nails.com/products/365nails-oceans-whisper-3d-shell-pearl-handmade-almond-nails","365nails: ""Ocean's Whisper"" – 3D Shell &amp; Pearl Handmade Almond Nails")</x:f>
        <x:v>HYPERLINK is not implemented. linkLocation=https://365nails.com/products/365nails-oceans-whisper-3d-shell-pearl-handmade-almond-nails, friendlyName=365nails: "Ocean's Whisper" – 3D Shell &amp; Pearl Handmade Almond Nails</x:v>
      </x:c>
      <x:c r="D8488" s="18" t="str">
        <x:v>Size: XS / S / M / L</x:v>
      </x:c>
      <x:c r="E8488" s="25" t="str">
        <x:v>$3.99</x:v>
      </x:c>
      <x:c r="F8488" s="19" t="str">
        <x:v>3</x:v>
      </x:c>
    </x:row>
    <x:row r="8489" ht="93" customHeight="1">
      <x:c r="A8489" s="19" t="n">
        <x:v>8486</x:v>
      </x:c>
      <x:c r="B8489" s="22" t="e">
        <x:f>HYPERLINK("https://cdn.shopify.com/s/files/1/0918/6066/4603/files/34361859b8438e0da97ed5e7b02c6811.jpg?v=1775388963","Open")</x:f>
        <x:v>HYPERLINK is not implemented. linkLocation=https://cdn.shopify.com/s/files/1/0918/6066/4603/files/34361859b8438e0da97ed5e7b02c6811.jpg?v=1775388963, friendlyName=Open</x:v>
      </x:c>
      <x:c r="C8489" s="24" t="e">
        <x:f>HYPERLINK("https://365nails.com/products/365nails-psychedelic-pop-abstract-graffiti-handmade-short-square-nails","365nails: ""Psychedelic Pop"" – Abstract Graffiti Handmade Short Square Nails")</x:f>
        <x:v>HYPERLINK is not implemented. linkLocation=https://365nails.com/products/365nails-psychedelic-pop-abstract-graffiti-handmade-short-square-nails, friendlyName=365nails: "Psychedelic Pop" – Abstract Graffiti Handmade Short Square Nails</x:v>
      </x:c>
      <x:c r="D8489" s="18" t="str">
        <x:v>Size: XS / S / M / L</x:v>
      </x:c>
      <x:c r="E8489" s="25" t="str">
        <x:v>$3.99</x:v>
      </x:c>
      <x:c r="F8489" s="19" t="str">
        <x:v>3</x:v>
      </x:c>
    </x:row>
    <x:row r="8490" ht="93" customHeight="1">
      <x:c r="A8490" s="19" t="n">
        <x:v>8487</x:v>
      </x:c>
      <x:c r="B8490" s="22" t="e">
        <x:f>HYPERLINK("https://cdn.shopify.com/s/files/1/0918/6066/4603/files/c7b57dc33c978b04e27bdd3abf8285b9.jpg?v=1775389027","Open")</x:f>
        <x:v>HYPERLINK is not implemented. linkLocation=https://cdn.shopify.com/s/files/1/0918/6066/4603/files/c7b57dc33c978b04e27bdd3abf8285b9.jpg?v=1775389027, friendlyName=Open</x:v>
      </x:c>
      <x:c r="C8490" s="24" t="e">
        <x:f>HYPERLINK("https://365nails.com/products/365nails-blush-bloom-3d-flower-cat-eye-handmade-long-coffin-nails","365nails: ""Blush Bloom"" – 3D Flower &amp; Cat Eye Handmade Long Coffin Nails")</x:f>
        <x:v>HYPERLINK is not implemented. linkLocation=https://365nails.com/products/365nails-blush-bloom-3d-flower-cat-eye-handmade-long-coffin-nails, friendlyName=365nails: "Blush Bloom" – 3D Flower &amp; Cat Eye Handmade Long Coffin Nails</x:v>
      </x:c>
      <x:c r="D8490" s="18" t="str">
        <x:v>Size: XS / S / M / L</x:v>
      </x:c>
      <x:c r="E8490" s="25" t="str">
        <x:v>$3.99</x:v>
      </x:c>
      <x:c r="F8490" s="19" t="str">
        <x:v>3</x:v>
      </x:c>
    </x:row>
    <x:row r="8491" ht="93" customHeight="1">
      <x:c r="A8491" s="19" t="n">
        <x:v>8488</x:v>
      </x:c>
      <x:c r="B8491" s="22" t="e">
        <x:f>HYPERLINK("https://cdn.shopify.com/s/files/1/0918/6066/4603/files/6c3202fc5378599c08b1cf55beae774a.jpg?v=1775389110","Open")</x:f>
        <x:v>HYPERLINK is not implemented. linkLocation=https://cdn.shopify.com/s/files/1/0918/6066/4603/files/6c3202fc5378599c08b1cf55beae774a.jpg?v=1775389110, friendlyName=Open</x:v>
      </x:c>
      <x:c r="C8491" s="24" t="e">
        <x:f>HYPERLINK("https://365nails.com/products/365nails-tropical-breeze-3d-floral-leaf-handmade-almond-nails","365nails: ""Tropical Breeze"" – 3D Floral &amp; Leaf Handmade Almond Nails")</x:f>
        <x:v>HYPERLINK is not implemented. linkLocation=https://365nails.com/products/365nails-tropical-breeze-3d-floral-leaf-handmade-almond-nails, friendlyName=365nails: "Tropical Breeze" – 3D Floral &amp; Leaf Handmade Almond Nails</x:v>
      </x:c>
      <x:c r="D8491" s="18" t="str">
        <x:v>Size: XS / S / M / L</x:v>
      </x:c>
      <x:c r="E8491" s="25" t="str">
        <x:v>$3.99</x:v>
      </x:c>
      <x:c r="F8491" s="19" t="str">
        <x:v>3</x:v>
      </x:c>
    </x:row>
    <x:row r="8492" ht="93" customHeight="1">
      <x:c r="A8492" s="19" t="n">
        <x:v>8489</x:v>
      </x:c>
      <x:c r="B8492" s="22" t="e">
        <x:f>HYPERLINK("https://cdn.shopify.com/s/files/1/0918/6066/4603/files/86d97d0735d9ee2ed6875e39f2725934.jpg?v=1775389181","Open")</x:f>
        <x:v>HYPERLINK is not implemented. linkLocation=https://cdn.shopify.com/s/files/1/0918/6066/4603/files/86d97d0735d9ee2ed6875e39f2725934.jpg?v=1775389181, friendlyName=Open</x:v>
      </x:c>
      <x:c r="C8492" s="24" t="e">
        <x:f>HYPERLINK("https://365nails.com/products/365nails-noir-ribbon-3d-bow-lace-handmade-stiletto-nails","365nails: ""Noir Ribbon"" – 3D Bow &amp; Lace Handmade Stiletto Nails")</x:f>
        <x:v>HYPERLINK is not implemented. linkLocation=https://365nails.com/products/365nails-noir-ribbon-3d-bow-lace-handmade-stiletto-nails, friendlyName=365nails: "Noir Ribbon" – 3D Bow &amp; Lace Handmade Stiletto Nails</x:v>
      </x:c>
      <x:c r="D8492" s="18" t="str">
        <x:v>Size: XS / S / M / L</x:v>
      </x:c>
      <x:c r="E8492" s="25" t="str">
        <x:v>$3.99</x:v>
      </x:c>
      <x:c r="F8492" s="19" t="str">
        <x:v>3</x:v>
      </x:c>
    </x:row>
    <x:row r="8493" ht="93" customHeight="1">
      <x:c r="A8493" s="19" t="n">
        <x:v>8490</x:v>
      </x:c>
      <x:c r="B8493" s="22" t="e">
        <x:f>HYPERLINK("https://cdn.shopify.com/s/files/1/0918/6066/4603/files/a251a75dc9bd2f17f46be378b4bfa731.jpg?v=1775389245","Open")</x:f>
        <x:v>HYPERLINK is not implemented. linkLocation=https://cdn.shopify.com/s/files/1/0918/6066/4603/files/a251a75dc9bd2f17f46be378b4bfa731.jpg?v=1775389245, friendlyName=Open</x:v>
      </x:c>
      <x:c r="C8493" s="24" t="e">
        <x:f>HYPERLINK("https://365nails.com/products/365nails-cherry-dots-3d-cherry-polka-dot-handmade-almond-nails","365nails: ""Cherry Dots"" – 3D Cherry &amp; Polka Dot Handmade Almond Nails")</x:f>
        <x:v>HYPERLINK is not implemented. linkLocation=https://365nails.com/products/365nails-cherry-dots-3d-cherry-polka-dot-handmade-almond-nails, friendlyName=365nails: "Cherry Dots" – 3D Cherry &amp; Polka Dot Handmade Almond Nails</x:v>
      </x:c>
      <x:c r="D8493" s="18" t="str">
        <x:v>Size: XS / S / M / L</x:v>
      </x:c>
      <x:c r="E8493" s="25" t="str">
        <x:v>$3.99</x:v>
      </x:c>
      <x:c r="F8493" s="19" t="str">
        <x:v>3</x:v>
      </x:c>
    </x:row>
    <x:row r="8494" ht="93" customHeight="1">
      <x:c r="A8494" s="19" t="n">
        <x:v>8491</x:v>
      </x:c>
      <x:c r="B8494" s="22" t="e">
        <x:f>HYPERLINK("https://cdn.shopify.com/s/files/1/0918/6066/4603/files/688b12dde899d5bdebcc0325776d5b41.jpg?v=1775389309","Open")</x:f>
        <x:v>HYPERLINK is not implemented. linkLocation=https://cdn.shopify.com/s/files/1/0918/6066/4603/files/688b12dde899d5bdebcc0325776d5b41.jpg?v=1775389309, friendlyName=Open</x:v>
      </x:c>
      <x:c r="C8494" s="24" t="e">
        <x:f>HYPERLINK("https://365nails.com/products/365nails-electric-garden-3d-floral-abstract-handmade-almond-nails","365nails: ""Electric Garden"" – 3D Floral &amp; Abstract Handmade Almond Nails")</x:f>
        <x:v>HYPERLINK is not implemented. linkLocation=https://365nails.com/products/365nails-electric-garden-3d-floral-abstract-handmade-almond-nails, friendlyName=365nails: "Electric Garden" – 3D Floral &amp; Abstract Handmade Almond Nails</x:v>
      </x:c>
      <x:c r="D8494" s="18" t="str">
        <x:v>Size: XS / S / M / L</x:v>
      </x:c>
      <x:c r="E8494" s="25" t="str">
        <x:v>$3.99</x:v>
      </x:c>
      <x:c r="F8494" s="19" t="str">
        <x:v>3</x:v>
      </x:c>
    </x:row>
    <x:row r="8495" ht="93" customHeight="1">
      <x:c r="A8495" s="19" t="n">
        <x:v>8492</x:v>
      </x:c>
      <x:c r="B8495" s="22" t="e">
        <x:f>HYPERLINK("https://cdn.shopify.com/s/files/1/0918/6066/4603/files/2dcef0c8c0a074426b96f5bfd899d7a5.jpg?v=1775389370","Open")</x:f>
        <x:v>HYPERLINK is not implemented. linkLocation=https://cdn.shopify.com/s/files/1/0918/6066/4603/files/2dcef0c8c0a074426b96f5bfd899d7a5.jpg?v=1775389370, friendlyName=Open</x:v>
      </x:c>
      <x:c r="C8495" s="24" t="e">
        <x:f>HYPERLINK("https://365nails.com/products/365nails-butterfly-ballet-3d-bow-line-art-handmade-almond-nails","365nails: ""Butterfly Ballet"" – 3D Bow &amp; Line Art Handmade Almond Nails")</x:f>
        <x:v>HYPERLINK is not implemented. linkLocation=https://365nails.com/products/365nails-butterfly-ballet-3d-bow-line-art-handmade-almond-nails, friendlyName=365nails: "Butterfly Ballet" – 3D Bow &amp; Line Art Handmade Almond Nails</x:v>
      </x:c>
      <x:c r="D8495" s="18" t="str">
        <x:v>Size: XS / S / M / L</x:v>
      </x:c>
      <x:c r="E8495" s="25" t="str">
        <x:v>$3.99</x:v>
      </x:c>
      <x:c r="F8495" s="19" t="str">
        <x:v>3</x:v>
      </x:c>
    </x:row>
    <x:row r="8496" ht="93" customHeight="1">
      <x:c r="A8496" s="19" t="n">
        <x:v>8493</x:v>
      </x:c>
      <x:c r="B8496" s="22" t="e">
        <x:f>HYPERLINK("https://cdn.shopify.com/s/files/1/0918/6066/4603/files/587adff08f0f3603a23ce2b128a920b5.jpg?v=1775389501","Open")</x:f>
        <x:v>HYPERLINK is not implemented. linkLocation=https://cdn.shopify.com/s/files/1/0918/6066/4603/files/587adff08f0f3603a23ce2b128a920b5.jpg?v=1775389501, friendlyName=Open</x:v>
      </x:c>
      <x:c r="C8496" s="24" t="e">
        <x:f>HYPERLINK("https://365nails.com/products/365nails-crimson-ribbon-3d-bow-heart-handmade-almond-nails","365nails: ""Crimson Ribbon"" – 3D Bow &amp; Heart Handmade Almond Nails")</x:f>
        <x:v>HYPERLINK is not implemented. linkLocation=https://365nails.com/products/365nails-crimson-ribbon-3d-bow-heart-handmade-almond-nails, friendlyName=365nails: "Crimson Ribbon" – 3D Bow &amp; Heart Handmade Almond Nails</x:v>
      </x:c>
      <x:c r="D8496" s="18" t="str">
        <x:v>Size: XS / S / M / L</x:v>
      </x:c>
      <x:c r="E8496" s="25" t="str">
        <x:v>$3.99</x:v>
      </x:c>
      <x:c r="F8496" s="19" t="str">
        <x:v>3</x:v>
      </x:c>
    </x:row>
    <x:row r="8497" ht="93" customHeight="1">
      <x:c r="A8497" s="19" t="n">
        <x:v>8494</x:v>
      </x:c>
      <x:c r="B8497" s="22" t="e">
        <x:f>HYPERLINK("https://cdn.shopify.com/s/files/1/0918/6066/4603/files/11053b00ab114d09d3371beec92d91c1.jpg?v=1775389649","Open")</x:f>
        <x:v>HYPERLINK is not implemented. linkLocation=https://cdn.shopify.com/s/files/1/0918/6066/4603/files/11053b00ab114d09d3371beec92d91c1.jpg?v=1775389649, friendlyName=Open</x:v>
      </x:c>
      <x:c r="C8497" s="24" t="e">
        <x:f>HYPERLINK("https://365nails.com/products/365nails-crimson-crush-leopard-print-french-tip-handmade-almond-nails","365nails: ""Crimson Crush"" – Leopard Print &amp; French Tip Handmade Almond Nails")</x:f>
        <x:v>HYPERLINK is not implemented. linkLocation=https://365nails.com/products/365nails-crimson-crush-leopard-print-french-tip-handmade-almond-nails, friendlyName=365nails: "Crimson Crush" – Leopard Print &amp; French Tip Handmade Almond Nails</x:v>
      </x:c>
      <x:c r="D8497" s="18" t="str">
        <x:v>Size: XS / S / M / L</x:v>
      </x:c>
      <x:c r="E8497" s="25" t="str">
        <x:v>$3.99</x:v>
      </x:c>
      <x:c r="F8497" s="19" t="str">
        <x:v>3</x:v>
      </x:c>
    </x:row>
    <x:row r="8498" ht="93" customHeight="1">
      <x:c r="A8498" s="19" t="n">
        <x:v>8495</x:v>
      </x:c>
      <x:c r="B8498" s="22" t="e">
        <x:f>HYPERLINK("https://cdn.shopify.com/s/files/1/0918/6066/4603/files/f884d7e056013d6c73ed3cd037b8e93c.jpg?v=1775389720","Open")</x:f>
        <x:v>HYPERLINK is not implemented. linkLocation=https://cdn.shopify.com/s/files/1/0918/6066/4603/files/f884d7e056013d6c73ed3cd037b8e93c.jpg?v=1775389720, friendlyName=Open</x:v>
      </x:c>
      <x:c r="C8498" s="24" t="e">
        <x:f>HYPERLINK("https://365nails.com/products/365nails-varsity-vibes-3d-charms-tiger-stripe-handmade-almond-nails","365nails: ""Varsity Vibes"" – 3D Charms &amp; Tiger Stripe Handmade Almond Nails")</x:f>
        <x:v>HYPERLINK is not implemented. linkLocation=https://365nails.com/products/365nails-varsity-vibes-3d-charms-tiger-stripe-handmade-almond-nails, friendlyName=365nails: "Varsity Vibes" – 3D Charms &amp; Tiger Stripe Handmade Almond Nails</x:v>
      </x:c>
      <x:c r="D8498" s="18" t="str">
        <x:v>Size: XS / S / M / L</x:v>
      </x:c>
      <x:c r="E8498" s="25" t="str">
        <x:v>$3.99</x:v>
      </x:c>
      <x:c r="F8498" s="19" t="str">
        <x:v>3</x:v>
      </x:c>
    </x:row>
    <x:row r="8499" ht="93" customHeight="1">
      <x:c r="A8499" s="19" t="n">
        <x:v>8496</x:v>
      </x:c>
      <x:c r="B8499" s="22" t="e">
        <x:f>HYPERLINK("https://cdn.shopify.com/s/files/1/0918/6066/4603/files/34760a06b09d362fcdc5c0317df6fdcc.jpg?v=1775389788","Open")</x:f>
        <x:v>HYPERLINK is not implemented. linkLocation=https://cdn.shopify.com/s/files/1/0918/6066/4603/files/34760a06b09d362fcdc5c0317df6fdcc.jpg?v=1775389788, friendlyName=Open</x:v>
      </x:c>
      <x:c r="C8499" s="24" t="e">
        <x:f>HYPERLINK("https://365nails.com/products/365nails-sweet-treats-3d-character-leopard-print-handmade-almond-nails","365nails: ""Sweet Treats"" – 3D Character &amp; Leopard Print Handmade Almond Nails")</x:f>
        <x:v>HYPERLINK is not implemented. linkLocation=https://365nails.com/products/365nails-sweet-treats-3d-character-leopard-print-handmade-almond-nails, friendlyName=365nails: "Sweet Treats" – 3D Character &amp; Leopard Print Handmade Almond Nails</x:v>
      </x:c>
      <x:c r="D8499" s="18" t="str">
        <x:v>Size: XS / S / M / L</x:v>
      </x:c>
      <x:c r="E8499" s="25" t="str">
        <x:v>$3.99</x:v>
      </x:c>
      <x:c r="F8499" s="19" t="str">
        <x:v>3</x:v>
      </x:c>
    </x:row>
    <x:row r="8500" ht="93" customHeight="1">
      <x:c r="A8500" s="19" t="n">
        <x:v>8497</x:v>
      </x:c>
      <x:c r="B8500" s="22" t="e">
        <x:f>HYPERLINK("https://cdn.shopify.com/s/files/1/0918/6066/4603/files/3139b14f11bb6b7321113258cf4cd399.jpg?v=1775389865","Open")</x:f>
        <x:v>HYPERLINK is not implemented. linkLocation=https://cdn.shopify.com/s/files/1/0918/6066/4603/files/3139b14f11bb6b7321113258cf4cd399.jpg?v=1775389865, friendlyName=Open</x:v>
      </x:c>
      <x:c r="C8500" s="24" t="e">
        <x:f>HYPERLINK("https://365nails.com/products/365nails-strawberry-sorbet-3d-fruit-floral-handmade-almond-nails","365nails: ""Strawberry Sorbet"" – 3D Fruit &amp; Floral Handmade Almond Nails")</x:f>
        <x:v>HYPERLINK is not implemented. linkLocation=https://365nails.com/products/365nails-strawberry-sorbet-3d-fruit-floral-handmade-almond-nails, friendlyName=365nails: "Strawberry Sorbet" – 3D Fruit &amp; Floral Handmade Almond Nails</x:v>
      </x:c>
      <x:c r="D8500" s="18" t="str">
        <x:v>Size: XS / S / M / L</x:v>
      </x:c>
      <x:c r="E8500" s="25" t="str">
        <x:v>$3.99</x:v>
      </x:c>
      <x:c r="F8500" s="19" t="str">
        <x:v>3</x:v>
      </x:c>
    </x:row>
    <x:row r="8501" ht="93" customHeight="1">
      <x:c r="A8501" s="19" t="n">
        <x:v>8498</x:v>
      </x:c>
      <x:c r="B8501" s="22" t="e">
        <x:f>HYPERLINK("https://cdn.shopify.com/s/files/1/0918/6066/4603/files/8ac7efb08cf87eb0b05aa52f16528812.jpg?v=1775390071","Open")</x:f>
        <x:v>HYPERLINK is not implemented. linkLocation=https://cdn.shopify.com/s/files/1/0918/6066/4603/files/8ac7efb08cf87eb0b05aa52f16528812.jpg?v=1775390071, friendlyName=Open</x:v>
      </x:c>
      <x:c r="C8501" s="24" t="e">
        <x:f>HYPERLINK("https://365nails.com/products/365nails-hello-kitty-couture-3d-character-vintage-frame-handmade-almond-nails","365nails: ""Hello Kitty Couture"" – 3D Character &amp; Vintage Frame Handmade Almond Nails")</x:f>
        <x:v>HYPERLINK is not implemented. linkLocation=https://365nails.com/products/365nails-hello-kitty-couture-3d-character-vintage-frame-handmade-almond-nails, friendlyName=365nails: "Hello Kitty Couture" – 3D Character &amp; Vintage Frame Handmade Almond Nails</x:v>
      </x:c>
      <x:c r="D8501" s="18" t="str">
        <x:v>Size: XS / S / M / L</x:v>
      </x:c>
      <x:c r="E8501" s="25" t="str">
        <x:v>$3.99</x:v>
      </x:c>
      <x:c r="F8501" s="19" t="str">
        <x:v>3</x:v>
      </x:c>
    </x:row>
    <x:row r="8502" ht="93" customHeight="1">
      <x:c r="A8502" s="19" t="n">
        <x:v>8499</x:v>
      </x:c>
      <x:c r="B8502" s="22" t="e">
        <x:f>HYPERLINK("https://cdn.shopify.com/s/files/1/0918/6066/4603/files/30cbff9acff38a866c954390ff44492c.jpg?v=1775390136","Open")</x:f>
        <x:v>HYPERLINK is not implemented. linkLocation=https://cdn.shopify.com/s/files/1/0918/6066/4603/files/30cbff9acff38a866c954390ff44492c.jpg?v=1775390136, friendlyName=Open</x:v>
      </x:c>
      <x:c r="C8502" s="24" t="e">
        <x:f>HYPERLINK("https://365nails.com/products/365nails-cherry-blossom-blush-3d-fruit-lattice-handmade-coffin-nails","365nails: ""Cherry Blossom Blush"" – 3D Fruit &amp; Lattice Handmade Coffin Nails")</x:f>
        <x:v>HYPERLINK is not implemented. linkLocation=https://365nails.com/products/365nails-cherry-blossom-blush-3d-fruit-lattice-handmade-coffin-nails, friendlyName=365nails: "Cherry Blossom Blush" – 3D Fruit &amp; Lattice Handmade Coffin Nails</x:v>
      </x:c>
      <x:c r="D8502" s="18" t="str">
        <x:v>Size: XS / S / M / L</x:v>
      </x:c>
      <x:c r="E8502" s="25" t="str">
        <x:v>$3.99</x:v>
      </x:c>
      <x:c r="F8502" s="19" t="str">
        <x:v>3</x:v>
      </x:c>
    </x:row>
    <x:row r="8503" ht="93" customHeight="1">
      <x:c r="A8503" s="19" t="n">
        <x:v>8500</x:v>
      </x:c>
      <x:c r="B8503" s="22" t="e">
        <x:f>HYPERLINK("https://cdn.shopify.com/s/files/1/0918/6066/4603/files/4d9f0617f509ebf575c97e77ddbec8be.jpg?v=1775390204","Open")</x:f>
        <x:v>HYPERLINK is not implemented. linkLocation=https://cdn.shopify.com/s/files/1/0918/6066/4603/files/4d9f0617f509ebf575c97e77ddbec8be.jpg?v=1775390204, friendlyName=Open</x:v>
      </x:c>
      <x:c r="C8503" s="24" t="e">
        <x:f>HYPERLINK("https://365nails.com/products/365nails-iridescent-dream-3d-metallic-opal-handmade-square-nails","365nails: ""Iridescent Dream"" – 3D Metallic &amp; Opal Handmade Square Nails")</x:f>
        <x:v>HYPERLINK is not implemented. linkLocation=https://365nails.com/products/365nails-iridescent-dream-3d-metallic-opal-handmade-square-nails, friendlyName=365nails: "Iridescent Dream" – 3D Metallic &amp; Opal Handmade Square Nails</x:v>
      </x:c>
      <x:c r="D8503" s="18" t="str">
        <x:v>Size: XS / S / M / L</x:v>
      </x:c>
      <x:c r="E8503" s="25" t="str">
        <x:v>$3.99</x:v>
      </x:c>
      <x:c r="F8503" s="19" t="str">
        <x:v>3</x:v>
      </x:c>
    </x:row>
    <x:row r="8504" ht="93" customHeight="1">
      <x:c r="A8504" s="19" t="n">
        <x:v>8501</x:v>
      </x:c>
      <x:c r="B8504" s="22" t="e">
        <x:f>HYPERLINK("https://cdn.shopify.com/s/files/1/0918/6066/4603/files/3867136f9766fb9e989b0892c27e75e6.jpg?v=1775390269","Open")</x:f>
        <x:v>HYPERLINK is not implemented. linkLocation=https://cdn.shopify.com/s/files/1/0918/6066/4603/files/3867136f9766fb9e989b0892c27e75e6.jpg?v=1775390269, friendlyName=Open</x:v>
      </x:c>
      <x:c r="C8504" s="24" t="e">
        <x:f>HYPERLINK("https://365nails.com/products/365nails-blush-petal-3d-floral-handmade-almond-nails","365nails: ""Blush Petal"" – 3D Floral Handmade Almond Nails")</x:f>
        <x:v>HYPERLINK is not implemented. linkLocation=https://365nails.com/products/365nails-blush-petal-3d-floral-handmade-almond-nails, friendlyName=365nails: "Blush Petal" – 3D Floral Handmade Almond Nails</x:v>
      </x:c>
      <x:c r="D8504" s="18" t="str">
        <x:v>Size: XS / S / M / L</x:v>
      </x:c>
      <x:c r="E8504" s="25" t="str">
        <x:v>$3.99</x:v>
      </x:c>
      <x:c r="F8504" s="19" t="str">
        <x:v>3</x:v>
      </x:c>
    </x:row>
    <x:row r="8505" ht="93" customHeight="1">
      <x:c r="A8505" s="19" t="n">
        <x:v>8502</x:v>
      </x:c>
      <x:c r="B8505" s="22" t="e">
        <x:f>HYPERLINK("https://cdn.shopify.com/s/files/1/0918/6066/4603/files/6fc6628ddb20540a0b2ad55b35989cb5.jpg?v=1775390333","Open")</x:f>
        <x:v>HYPERLINK is not implemented. linkLocation=https://cdn.shopify.com/s/files/1/0918/6066/4603/files/6fc6628ddb20540a0b2ad55b35989cb5.jpg?v=1775390333, friendlyName=Open</x:v>
      </x:c>
      <x:c r="C8505" s="24" t="e">
        <x:f>HYPERLINK("https://365nails.com/products/365nails-retro-racer-3d-character-checkered-flag-handmade-short-square-nails","365nails: ""Retro Racer"" – 3D Character &amp; Checkered Flag Handmade Short Square Nails")</x:f>
        <x:v>HYPERLINK is not implemented. linkLocation=https://365nails.com/products/365nails-retro-racer-3d-character-checkered-flag-handmade-short-square-nails, friendlyName=365nails: "Retro Racer" – 3D Character &amp; Checkered Flag Handmade Short Square Nails</x:v>
      </x:c>
      <x:c r="D8505" s="18" t="str">
        <x:v>Size: XS / S / M / L</x:v>
      </x:c>
      <x:c r="E8505" s="25" t="str">
        <x:v>$3.99</x:v>
      </x:c>
      <x:c r="F8505" s="19" t="str">
        <x:v>3</x:v>
      </x:c>
    </x:row>
    <x:row r="8506" ht="93" customHeight="1">
      <x:c r="A8506" s="19" t="n">
        <x:v>8503</x:v>
      </x:c>
      <x:c r="B8506" s="22" t="e">
        <x:f>HYPERLINK("https://cdn.shopify.com/s/files/1/0918/6066/4603/files/40961d25b7c0de537c14ec1bec022238.jpg?v=1775390435","Open")</x:f>
        <x:v>HYPERLINK is not implemented. linkLocation=https://cdn.shopify.com/s/files/1/0918/6066/4603/files/40961d25b7c0de537c14ec1bec022238.jpg?v=1775390435, friendlyName=Open</x:v>
      </x:c>
      <x:c r="C8506" s="24" t="e">
        <x:f>HYPERLINK("https://365nails.com/products/365nails-celestial-sigil-mystical-hand-painted-handmade-almond-nails","365nails: ""Celestial Sigil"" – Mystical Hand-Painted Handmade Almond Nails")</x:f>
        <x:v>HYPERLINK is not implemented. linkLocation=https://365nails.com/products/365nails-celestial-sigil-mystical-hand-painted-handmade-almond-nails, friendlyName=365nails: "Celestial Sigil" – Mystical Hand-Painted Handmade Almond Nails</x:v>
      </x:c>
      <x:c r="D8506" s="18" t="str">
        <x:v>Size: XS / S / M / L</x:v>
      </x:c>
      <x:c r="E8506" s="25" t="str">
        <x:v>$3.99</x:v>
      </x:c>
      <x:c r="F8506" s="19" t="str">
        <x:v>3</x:v>
      </x:c>
    </x:row>
    <x:row r="8507" ht="93" customHeight="1">
      <x:c r="A8507" s="19" t="n">
        <x:v>8504</x:v>
      </x:c>
      <x:c r="B8507" s="22" t="e">
        <x:f>HYPERLINK("https://cdn.shopify.com/s/files/1/0918/6066/4603/files/ff6058a7ef60bc3cea4d8c9ea0c5ac85.jpg?v=1775390501","Open")</x:f>
        <x:v>HYPERLINK is not implemented. linkLocation=https://cdn.shopify.com/s/files/1/0918/6066/4603/files/ff6058a7ef60bc3cea4d8c9ea0c5ac85.jpg?v=1775390501, friendlyName=Open</x:v>
      </x:c>
      <x:c r="C8507" s="24" t="e">
        <x:f>HYPERLINK("https://365nails.com/products/365nails-sunset-mirage-3d-floral-starburst-handmade-almond-nails","365nails: ""Sunset Mirage"" – 3D Floral &amp; Starburst Handmade Almond Nails")</x:f>
        <x:v>HYPERLINK is not implemented. linkLocation=https://365nails.com/products/365nails-sunset-mirage-3d-floral-starburst-handmade-almond-nails, friendlyName=365nails: "Sunset Mirage" – 3D Floral &amp; Starburst Handmade Almond Nails</x:v>
      </x:c>
      <x:c r="D8507" s="18" t="str">
        <x:v>Size: XS / S / M / L</x:v>
      </x:c>
      <x:c r="E8507" s="25" t="str">
        <x:v>$3.99</x:v>
      </x:c>
      <x:c r="F8507" s="19" t="str">
        <x:v>3</x:v>
      </x:c>
    </x:row>
    <x:row r="8508" ht="93" customHeight="1">
      <x:c r="A8508" s="19" t="n">
        <x:v>8505</x:v>
      </x:c>
      <x:c r="B8508" s="22" t="e">
        <x:f>HYPERLINK("https://cdn.shopify.com/s/files/1/0918/6066/4603/files/8bf3ba03ce8cb98ec1ed2ae41cfb25e3.jpg?v=1775390598","Open")</x:f>
        <x:v>HYPERLINK is not implemented. linkLocation=https://cdn.shopify.com/s/files/1/0918/6066/4603/files/8bf3ba03ce8cb98ec1ed2ae41cfb25e3.jpg?v=1775390598, friendlyName=Open</x:v>
      </x:c>
      <x:c r="C8508" s="24" t="e">
        <x:f>HYPERLINK("https://365nails.com/products/365nails-starlight-reverie-iridescent-3d-star-handmade-coffin-nails","365nails: ""Starlight Reverie"" – Iridescent 3D Star Handmade Coffin Nails")</x:f>
        <x:v>HYPERLINK is not implemented. linkLocation=https://365nails.com/products/365nails-starlight-reverie-iridescent-3d-star-handmade-coffin-nails, friendlyName=365nails: "Starlight Reverie" – Iridescent 3D Star Handmade Coffin Nails</x:v>
      </x:c>
      <x:c r="D8508" s="18" t="str">
        <x:v>Size: XS / S / M / L</x:v>
      </x:c>
      <x:c r="E8508" s="25" t="str">
        <x:v>$3.99</x:v>
      </x:c>
      <x:c r="F8508" s="19" t="str">
        <x:v>3</x:v>
      </x:c>
    </x:row>
    <x:row r="8509" ht="93" customHeight="1">
      <x:c r="A8509" s="19" t="n">
        <x:v>8506</x:v>
      </x:c>
      <x:c r="B8509" s="22" t="e">
        <x:f>HYPERLINK("https://cdn.shopify.com/s/files/1/0918/6066/4603/files/572b93c1881148e104932d177712797f.jpg?v=1775390675","Open")</x:f>
        <x:v>HYPERLINK is not implemented. linkLocation=https://cdn.shopify.com/s/files/1/0918/6066/4603/files/572b93c1881148e104932d177712797f.jpg?v=1775390675, friendlyName=Open</x:v>
      </x:c>
      <x:c r="C8509" s="24" t="e">
        <x:f>HYPERLINK("https://365nails.com/products/365nails-amber-whispers-3d-star-line-art-handmade-almond-nails","365nails: ""Amber Whispers"" – 3D Star &amp; Line Art Handmade Almond Nails")</x:f>
        <x:v>HYPERLINK is not implemented. linkLocation=https://365nails.com/products/365nails-amber-whispers-3d-star-line-art-handmade-almond-nails, friendlyName=365nails: "Amber Whispers" – 3D Star &amp; Line Art Handmade Almond Nails</x:v>
      </x:c>
      <x:c r="D8509" s="18" t="str">
        <x:v>Size: XS / S / M / L</x:v>
      </x:c>
      <x:c r="E8509" s="25" t="str">
        <x:v>$3.99</x:v>
      </x:c>
      <x:c r="F8509" s="19" t="str">
        <x:v>3</x:v>
      </x:c>
    </x:row>
    <x:row r="8510" ht="93" customHeight="1">
      <x:c r="A8510" s="19" t="n">
        <x:v>8507</x:v>
      </x:c>
      <x:c r="B8510" s="22" t="e">
        <x:f>HYPERLINK("https://cdn.shopify.com/s/files/1/0918/6066/4603/files/4ae1716af84eb3bdd094457168042636.jpg?v=1775390734","Open")</x:f>
        <x:v>HYPERLINK is not implemented. linkLocation=https://cdn.shopify.com/s/files/1/0918/6066/4603/files/4ae1716af84eb3bdd094457168042636.jpg?v=1775390734, friendlyName=Open</x:v>
      </x:c>
      <x:c r="C8510" s="24" t="e">
        <x:f>HYPERLINK("https://365nails.com/products/365nails-midnight-bloom-3d-floral-handmade-stiletto-nails-2","365nails: ""Midnight Bloom"" – 3D Floral Handmade Stiletto Nails")</x:f>
        <x:v>HYPERLINK is not implemented. linkLocation=https://365nails.com/products/365nails-midnight-bloom-3d-floral-handmade-stiletto-nails-2, friendlyName=365nails: "Midnight Bloom" – 3D Floral Handmade Stiletto Nails</x:v>
      </x:c>
      <x:c r="D8510" s="18" t="str">
        <x:v>Size: XS / S / M / L</x:v>
      </x:c>
      <x:c r="E8510" s="25" t="str">
        <x:v>$3.99</x:v>
      </x:c>
      <x:c r="F8510" s="19" t="str">
        <x:v>3</x:v>
      </x:c>
    </x:row>
    <x:row r="8511" ht="93" customHeight="1">
      <x:c r="A8511" s="19" t="n">
        <x:v>8508</x:v>
      </x:c>
      <x:c r="B8511" s="22" t="e">
        <x:f>HYPERLINK("https://cdn.shopify.com/s/files/1/0918/6066/4603/files/7a9c061245e7e1080617ab54ef70aff7.jpg?v=1775390800","Open")</x:f>
        <x:v>HYPERLINK is not implemented. linkLocation=https://cdn.shopify.com/s/files/1/0918/6066/4603/files/7a9c061245e7e1080617ab54ef70aff7.jpg?v=1775390800, friendlyName=Open</x:v>
      </x:c>
      <x:c r="C8511" s="24" t="e">
        <x:f>HYPERLINK("https://365nails.com/products/365nails-sweet-whispers-3d-floral-french-tip-handmade-almond-nails","365nails: ""Sweet Whispers"" – 3D Floral &amp; French Tip Handmade Almond Nails")</x:f>
        <x:v>HYPERLINK is not implemented. linkLocation=https://365nails.com/products/365nails-sweet-whispers-3d-floral-french-tip-handmade-almond-nails, friendlyName=365nails: "Sweet Whispers" – 3D Floral &amp; French Tip Handmade Almond Nails</x:v>
      </x:c>
      <x:c r="D8511" s="18" t="str">
        <x:v>Size: XS / S / M / L</x:v>
      </x:c>
      <x:c r="E8511" s="25" t="str">
        <x:v>$3.99</x:v>
      </x:c>
      <x:c r="F8511" s="19" t="str">
        <x:v>3</x:v>
      </x:c>
    </x:row>
    <x:row r="8512" ht="93" customHeight="1">
      <x:c r="A8512" s="19" t="n">
        <x:v>8509</x:v>
      </x:c>
      <x:c r="B8512" s="22" t="e">
        <x:f>HYPERLINK("https://cdn.shopify.com/s/files/1/0918/6066/4603/files/520c2b05e576f5648b71a3ce5a1a36e6.jpg?v=1775390857","Open")</x:f>
        <x:v>HYPERLINK is not implemented. linkLocation=https://cdn.shopify.com/s/files/1/0918/6066/4603/files/520c2b05e576f5648b71a3ce5a1a36e6.jpg?v=1775390857, friendlyName=Open</x:v>
      </x:c>
      <x:c r="C8512" s="24" t="e">
        <x:f>HYPERLINK("https://365nails.com/products/365nails-retro-pop-bunny-3d-cartoon-handmade-square-nails","365nails: ""Retro Pop Bunny"" – 3D Cartoon Handmade Square Nails")</x:f>
        <x:v>HYPERLINK is not implemented. linkLocation=https://365nails.com/products/365nails-retro-pop-bunny-3d-cartoon-handmade-square-nails, friendlyName=365nails: "Retro Pop Bunny" – 3D Cartoon Handmade Square Nails</x:v>
      </x:c>
      <x:c r="D8512" s="18" t="str">
        <x:v>Size: XS / S / M / L</x:v>
      </x:c>
      <x:c r="E8512" s="25" t="str">
        <x:v>$3.99</x:v>
      </x:c>
      <x:c r="F8512" s="19" t="str">
        <x:v>3</x:v>
      </x:c>
    </x:row>
    <x:row r="8513" ht="93" customHeight="1">
      <x:c r="A8513" s="19" t="n">
        <x:v>8510</x:v>
      </x:c>
      <x:c r="B8513" s="22" t="e">
        <x:f>HYPERLINK("https://cdn.shopify.com/s/files/1/0918/6066/4603/files/77917e4a26f17b160cf149458327641b.jpg?v=1775391124","Open")</x:f>
        <x:v>HYPERLINK is not implemented. linkLocation=https://cdn.shopify.com/s/files/1/0918/6066/4603/files/77917e4a26f17b160cf149458327641b.jpg?v=1775391124, friendlyName=Open</x:v>
      </x:c>
      <x:c r="C8513" s="24" t="e">
        <x:f>HYPERLINK("https://365nails.com/products/365nails-midnight-court-3d-sneaker-star-handmade-almond-nails","365nails: ""Midnight Court"" – 3D Sneaker &amp; Star Handmade Almond Nails")</x:f>
        <x:v>HYPERLINK is not implemented. linkLocation=https://365nails.com/products/365nails-midnight-court-3d-sneaker-star-handmade-almond-nails, friendlyName=365nails: "Midnight Court" – 3D Sneaker &amp; Star Handmade Almond Nails</x:v>
      </x:c>
      <x:c r="D8513" s="18" t="str">
        <x:v>Size: XS / S / M / L</x:v>
      </x:c>
      <x:c r="E8513" s="25" t="str">
        <x:v>$3.99</x:v>
      </x:c>
      <x:c r="F8513" s="19" t="str">
        <x:v>3</x:v>
      </x:c>
    </x:row>
    <x:row r="8514" ht="93" customHeight="1">
      <x:c r="A8514" s="19" t="n">
        <x:v>8511</x:v>
      </x:c>
      <x:c r="B8514" s="22" t="e">
        <x:f>HYPERLINK("https://cdn.shopify.com/s/files/1/0918/6066/4603/files/36f53c56ea3468d24c2623d5c6b21a17.jpg?v=1775393154","Open")</x:f>
        <x:v>HYPERLINK is not implemented. linkLocation=https://cdn.shopify.com/s/files/1/0918/6066/4603/files/36f53c56ea3468d24c2623d5c6b21a17.jpg?v=1775393154, friendlyName=Open</x:v>
      </x:c>
      <x:c r="C8514" s="24" t="e">
        <x:f>HYPERLINK("https://365nails.com/products/365nails-whimsical-forest-3d-mushroom-doodle-handmade-almond-nails","365nails: ""Whimsical Forest"" – 3D Mushroom &amp; Doodle Handmade Almond Nails")</x:f>
        <x:v>HYPERLINK is not implemented. linkLocation=https://365nails.com/products/365nails-whimsical-forest-3d-mushroom-doodle-handmade-almond-nails, friendlyName=365nails: "Whimsical Forest" – 3D Mushroom &amp; Doodle Handmade Almond Nails</x:v>
      </x:c>
      <x:c r="D8514" s="18" t="str">
        <x:v>Size: XS / S / M / L</x:v>
      </x:c>
      <x:c r="E8514" s="25" t="str">
        <x:v>$3.99</x:v>
      </x:c>
      <x:c r="F8514" s="19" t="str">
        <x:v>3</x:v>
      </x:c>
    </x:row>
    <x:row r="8515" ht="93" customHeight="1">
      <x:c r="A8515" s="19" t="n">
        <x:v>8512</x:v>
      </x:c>
      <x:c r="B8515" s="22" t="e">
        <x:f>HYPERLINK("https://cdn.shopify.com/s/files/1/0918/6066/4603/files/10cf71556712df1972abe9347db8fb70.jpg?v=1775393211","Open")</x:f>
        <x:v>HYPERLINK is not implemented. linkLocation=https://cdn.shopify.com/s/files/1/0918/6066/4603/files/10cf71556712df1972abe9347db8fb70.jpg?v=1775393211, friendlyName=Open</x:v>
      </x:c>
      <x:c r="C8515" s="24" t="e">
        <x:f>HYPERLINK("https://365nails.com/products/365nails-coastal-breeze-3d-seashell-starfish-handmade-almond-nails","365nails: ""Coastal Breeze"" – 3D Seashell &amp; Starfish Handmade Almond Nails")</x:f>
        <x:v>HYPERLINK is not implemented. linkLocation=https://365nails.com/products/365nails-coastal-breeze-3d-seashell-starfish-handmade-almond-nails, friendlyName=365nails: "Coastal Breeze" – 3D Seashell &amp; Starfish Handmade Almond Nails</x:v>
      </x:c>
      <x:c r="D8515" s="18" t="str">
        <x:v>Size: XS / S / M / L</x:v>
      </x:c>
      <x:c r="E8515" s="25" t="str">
        <x:v>$3.99</x:v>
      </x:c>
      <x:c r="F8515" s="19" t="str">
        <x:v>3</x:v>
      </x:c>
    </x:row>
    <x:row r="8516" ht="93" customHeight="1">
      <x:c r="A8516" s="19" t="n">
        <x:v>8513</x:v>
      </x:c>
      <x:c r="B8516" s="22" t="e">
        <x:f>HYPERLINK("https://cdn.shopify.com/s/files/1/0918/6066/4603/files/20df862e447dba96682face0e0eec31c.jpg?v=1775393361","Open")</x:f>
        <x:v>HYPERLINK is not implemented. linkLocation=https://cdn.shopify.com/s/files/1/0918/6066/4603/files/20df862e447dba96682face0e0eec31c.jpg?v=1775393361, friendlyName=Open</x:v>
      </x:c>
      <x:c r="C8516" s="24" t="e">
        <x:f>HYPERLINK("https://365nails.com/products/365nails-pop-art-play-3d-face-graffiti-handmade-almond-nails","365nails: ""Pop Art Play"" – 3D Face &amp; Graffiti Handmade Almond Nails")</x:f>
        <x:v>HYPERLINK is not implemented. linkLocation=https://365nails.com/products/365nails-pop-art-play-3d-face-graffiti-handmade-almond-nails, friendlyName=365nails: "Pop Art Play" – 3D Face &amp; Graffiti Handmade Almond Nails</x:v>
      </x:c>
      <x:c r="D8516" s="18" t="str">
        <x:v>Size: XS / S / M / L</x:v>
      </x:c>
      <x:c r="E8516" s="25" t="str">
        <x:v>$3.99</x:v>
      </x:c>
      <x:c r="F8516" s="19" t="str">
        <x:v>3</x:v>
      </x:c>
    </x:row>
    <x:row r="8517" ht="93" customHeight="1">
      <x:c r="A8517" s="19" t="n">
        <x:v>8514</x:v>
      </x:c>
      <x:c r="B8517" s="22" t="e">
        <x:f>HYPERLINK("https://cdn.shopify.com/s/files/1/0918/6066/4603/files/d26e890bd25f2afcf50964ac5404a1d5.jpg?v=1775393420","Open")</x:f>
        <x:v>HYPERLINK is not implemented. linkLocation=https://cdn.shopify.com/s/files/1/0918/6066/4603/files/d26e890bd25f2afcf50964ac5404a1d5.jpg?v=1775393420, friendlyName=Open</x:v>
      </x:c>
      <x:c r="C8517" s="24" t="e">
        <x:f>HYPERLINK("https://365nails.com/products/365nails-safari-gaze-3d-eye-tiger-stripe-handmade-stiletto-nails","365nails: ""Safari Gaze"" – 3D Eye &amp; Tiger Stripe Handmade Stiletto Nails")</x:f>
        <x:v>HYPERLINK is not implemented. linkLocation=https://365nails.com/products/365nails-safari-gaze-3d-eye-tiger-stripe-handmade-stiletto-nails, friendlyName=365nails: "Safari Gaze" – 3D Eye &amp; Tiger Stripe Handmade Stiletto Nails</x:v>
      </x:c>
      <x:c r="D8517" s="18" t="str">
        <x:v>Size: XS / S / M / L</x:v>
      </x:c>
      <x:c r="E8517" s="25" t="str">
        <x:v>$3.99</x:v>
      </x:c>
      <x:c r="F8517" s="19" t="str">
        <x:v>3</x:v>
      </x:c>
    </x:row>
    <x:row r="8518" ht="93" customHeight="1">
      <x:c r="A8518" s="19" t="n">
        <x:v>8515</x:v>
      </x:c>
      <x:c r="B8518" s="22" t="e">
        <x:f>HYPERLINK("https://cdn.shopify.com/s/files/1/0918/6066/4603/files/505f47329e55de788f13185d7394bfda.jpg?v=1775393557","Open")</x:f>
        <x:v>HYPERLINK is not implemented. linkLocation=https://cdn.shopify.com/s/files/1/0918/6066/4603/files/505f47329e55de788f13185d7394bfda.jpg?v=1775393557, friendlyName=Open</x:v>
      </x:c>
      <x:c r="C8518" s="24" t="e">
        <x:f>HYPERLINK("https://365nails.com/products/365nails-royal-opulence-3d-gold-crystal-handmade-stiletto-nails","365nails: ""Royal Opulence"" – 3D Gold &amp; Crystal Handmade Stiletto Nails")</x:f>
        <x:v>HYPERLINK is not implemented. linkLocation=https://365nails.com/products/365nails-royal-opulence-3d-gold-crystal-handmade-stiletto-nails, friendlyName=365nails: "Royal Opulence" – 3D Gold &amp; Crystal Handmade Stiletto Nails</x:v>
      </x:c>
      <x:c r="D8518" s="18" t="str">
        <x:v>Size: XS / S / M / L</x:v>
      </x:c>
      <x:c r="E8518" s="25" t="str">
        <x:v>$3.99</x:v>
      </x:c>
      <x:c r="F8518" s="19" t="str">
        <x:v>3</x:v>
      </x:c>
    </x:row>
    <x:row r="8519" ht="93" customHeight="1">
      <x:c r="A8519" s="19" t="n">
        <x:v>8516</x:v>
      </x:c>
      <x:c r="B8519" s="22" t="e">
        <x:f>HYPERLINK("https://cdn.shopify.com/s/files/1/0918/6066/4603/files/c939f9c8d3872c00549ed12901255150.jpg?v=1775460603","Open")</x:f>
        <x:v>HYPERLINK is not implemented. linkLocation=https://cdn.shopify.com/s/files/1/0918/6066/4603/files/c939f9c8d3872c00549ed12901255150.jpg?v=1775460603, friendlyName=Open</x:v>
      </x:c>
      <x:c r="C8519" s="24" t="e">
        <x:f>HYPERLINK("https://365nails.com/products/365nails-sacred-heart-3d-butterfly-cross-handmade-short-square-nails","365nails: ""Sacred Heart"" – 3D Butterfly &amp; Cross Handmade Short Square Nails")</x:f>
        <x:v>HYPERLINK is not implemented. linkLocation=https://365nails.com/products/365nails-sacred-heart-3d-butterfly-cross-handmade-short-square-nails, friendlyName=365nails: "Sacred Heart" – 3D Butterfly &amp; Cross Handmade Short Square Nails</x:v>
      </x:c>
      <x:c r="D8519" s="18" t="str">
        <x:v>Size: XS / S / M / L</x:v>
      </x:c>
      <x:c r="E8519" s="25" t="str">
        <x:v>$3.99</x:v>
      </x:c>
      <x:c r="F8519" s="19" t="str">
        <x:v>3</x:v>
      </x:c>
    </x:row>
    <x:row r="8520" ht="93" customHeight="1">
      <x:c r="A8520" s="19" t="n">
        <x:v>8517</x:v>
      </x:c>
      <x:c r="B8520" s="22" t="e">
        <x:f>HYPERLINK("https://cdn.shopify.com/s/files/1/0918/6066/4603/files/a2ea64124f531c77fe980e18003b61f2.jpg?v=1777726293","Open")</x:f>
        <x:v>HYPERLINK is not implemented. linkLocation=https://cdn.shopify.com/s/files/1/0918/6066/4603/files/a2ea64124f531c77fe980e18003b61f2.jpg?v=1777726293, friendlyName=Open</x:v>
      </x:c>
      <x:c r="C8520" s="24" t="e">
        <x:f>HYPERLINK("https://365nails.com/products/365nails-emerald-cascade-deep-green-solid-handmade-press-on-nails-long-coffin-nails","365nails: ""Emerald Cascade"" – Deep Green Solid Handmade Press on Nails Long Coffin Nails")</x:f>
        <x:v>HYPERLINK is not implemented. linkLocation=https://365nails.com/products/365nails-emerald-cascade-deep-green-solid-handmade-press-on-nails-long-coffin-nails, friendlyName=365nails: "Emerald Cascade" – Deep Green Solid Handmade Press on Nails Long Coffin Nails</x:v>
      </x:c>
      <x:c r="D8520" s="18" t="str">
        <x:v>Size: XS / S / M / L</x:v>
      </x:c>
      <x:c r="E8520" s="25" t="str">
        <x:v>$2.49</x:v>
      </x:c>
      <x:c r="F8520" s="19" t="str">
        <x:v>5</x:v>
      </x:c>
    </x:row>
    <x:row r="8521" ht="93" customHeight="1">
      <x:c r="A8521" s="19" t="n">
        <x:v>8518</x:v>
      </x:c>
      <x:c r="B8521" s="22" t="e">
        <x:f>HYPERLINK("https://cdn.shopify.com/s/files/1/0918/6066/4603/files/696e2534fa1d3fe2473990b2de5e795a.jpg?v=1777726243","Open")</x:f>
        <x:v>HYPERLINK is not implemented. linkLocation=https://cdn.shopify.com/s/files/1/0918/6066/4603/files/696e2534fa1d3fe2473990b2de5e795a.jpg?v=1777726243, friendlyName=Open</x:v>
      </x:c>
      <x:c r="C8521" s="24" t="e">
        <x:f>HYPERLINK("https://365nails.com/products/365nails-mint-macaron-two-tone-color-block-handmade-press-on-nails-square-nails","365nails: ""Mint Macaron"" – Two-Tone Color Block Handmade Press on Nails Square Nails")</x:f>
        <x:v>HYPERLINK is not implemented. linkLocation=https://365nails.com/products/365nails-mint-macaron-two-tone-color-block-handmade-press-on-nails-square-nails, friendlyName=365nails: "Mint Macaron" – Two-Tone Color Block Handmade Press on Nails Square Nails</x:v>
      </x:c>
      <x:c r="D8521" s="18" t="str">
        <x:v>Size: XS / S / M / L</x:v>
      </x:c>
      <x:c r="E8521" s="25" t="str">
        <x:v>$2.49</x:v>
      </x:c>
      <x:c r="F8521" s="19" t="str">
        <x:v>5</x:v>
      </x:c>
    </x:row>
    <x:row r="8522" ht="93" customHeight="1">
      <x:c r="A8522" s="19" t="n">
        <x:v>8519</x:v>
      </x:c>
      <x:c r="B8522" s="22" t="e">
        <x:f>HYPERLINK("https://cdn.shopify.com/s/files/1/0918/6066/4603/files/5462184018a95bdbe1f56cce48e989f6.jpg?v=1777726259","Open")</x:f>
        <x:v>HYPERLINK is not implemented. linkLocation=https://cdn.shopify.com/s/files/1/0918/6066/4603/files/5462184018a95bdbe1f56cce48e989f6.jpg?v=1777726259, friendlyName=Open</x:v>
      </x:c>
      <x:c r="C8522" s="24" t="e">
        <x:f>HYPERLINK("https://365nails.com/products/365nails-crimson-velvet-solid-vibrant-red-handmade-press-on-nails-long-square-nails","365nails: ""Crimson Velvet"" – Solid Vibrant Red Handmade Press on Nails Long Square Nails")</x:f>
        <x:v>HYPERLINK is not implemented. linkLocation=https://365nails.com/products/365nails-crimson-velvet-solid-vibrant-red-handmade-press-on-nails-long-square-nails, friendlyName=365nails: "Crimson Velvet" – Solid Vibrant Red Handmade Press on Nails Long Square Nails</x:v>
      </x:c>
      <x:c r="D8522" s="18" t="str">
        <x:v>Size: XS / S / M / L</x:v>
      </x:c>
      <x:c r="E8522" s="25" t="str">
        <x:v>$2.49</x:v>
      </x:c>
      <x:c r="F8522" s="19" t="str">
        <x:v>5</x:v>
      </x:c>
    </x:row>
    <x:row r="8523" ht="93" customHeight="1">
      <x:c r="A8523" s="19" t="n">
        <x:v>8520</x:v>
      </x:c>
      <x:c r="B8523" s="22" t="e">
        <x:f>HYPERLINK("https://cdn.shopify.com/s/files/1/0918/6066/4603/files/aa8e0c9eb6b276728365424e8860523a.jpg?v=1777726276","Open")</x:f>
        <x:v>HYPERLINK is not implemented. linkLocation=https://cdn.shopify.com/s/files/1/0918/6066/4603/files/aa8e0c9eb6b276728365424e8860523a.jpg?v=1777726276, friendlyName=Open</x:v>
      </x:c>
      <x:c r="C8523" s="24" t="e">
        <x:f>HYPERLINK("https://365nails.com/products/365nails-barely-blush-solid-pastel-pink-handmade-press-on-nails-long-square-nails","365nails: ""Barely Blush"" – Solid Pastel Pink Handmade Press on Nails Long Square Nails")</x:f>
        <x:v>HYPERLINK is not implemented. linkLocation=https://365nails.com/products/365nails-barely-blush-solid-pastel-pink-handmade-press-on-nails-long-square-nails, friendlyName=365nails: "Barely Blush" – Solid Pastel Pink Handmade Press on Nails Long Square Nails</x:v>
      </x:c>
      <x:c r="D8523" s="18" t="str">
        <x:v>Size: XS / S / M / L</x:v>
      </x:c>
      <x:c r="E8523" s="25" t="str">
        <x:v>$2.49</x:v>
      </x:c>
      <x:c r="F8523" s="19" t="str">
        <x:v>5</x:v>
      </x:c>
    </x:row>
    <x:row r="8524" ht="93" customHeight="1">
      <x:c r="A8524" s="19" t="n">
        <x:v>8521</x:v>
      </x:c>
      <x:c r="B8524" s="22" t="e">
        <x:f>HYPERLINK("https://cdn.shopify.com/s/files/1/0918/6066/4603/files/063be947e65ee8f52a8b6ff4cea4b02c.jpg?v=1777730443","Open")</x:f>
        <x:v>HYPERLINK is not implemented. linkLocation=https://cdn.shopify.com/s/files/1/0918/6066/4603/files/063be947e65ee8f52a8b6ff4cea4b02c.jpg?v=1777730443, friendlyName=Open</x:v>
      </x:c>
      <x:c r="C8524" s="24" t="e">
        <x:f>HYPERLINK("https://365nails.com/products/365nails-midnight-polka-3d-white-dot-handmade-press-on-nails-coffin-nails","365nails: ""Midnight Polka"" – 3D White Dot Handmade Press on Nails Coffin Nails")</x:f>
        <x:v>HYPERLINK is not implemented. linkLocation=https://365nails.com/products/365nails-midnight-polka-3d-white-dot-handmade-press-on-nails-coffin-nails, friendlyName=365nails: "Midnight Polka" – 3D White Dot Handmade Press on Nails Coffin Nails</x:v>
      </x:c>
      <x:c r="D8524" s="18" t="str">
        <x:v>Size: XS / S / M / L</x:v>
      </x:c>
      <x:c r="E8524" s="25" t="str">
        <x:v>$2.49</x:v>
      </x:c>
      <x:c r="F8524" s="19" t="str">
        <x:v>5</x:v>
      </x:c>
    </x:row>
    <x:row r="8525" ht="93" customHeight="1">
      <x:c r="A8525" s="19" t="n">
        <x:v>8522</x:v>
      </x:c>
      <x:c r="B8525" s="22" t="e">
        <x:f>HYPERLINK("https://cdn.shopify.com/s/files/1/0918/6066/4603/files/4e66df8ec78efd2ee56c59de127de956.jpg?v=1777730418","Open")</x:f>
        <x:v>HYPERLINK is not implemented. linkLocation=https://cdn.shopify.com/s/files/1/0918/6066/4603/files/4e66df8ec78efd2ee56c59de127de956.jpg?v=1777730418, friendlyName=Open</x:v>
      </x:c>
      <x:c r="C8525" s="24" t="e">
        <x:f>HYPERLINK("https://365nails.com/products/365nails-glacial-leopard-silver-glitter-animal-print-handmade-press-on-nails-short-square-nails","365nails: ""Glacial Leopard"" – Silver Glitter Animal Print Handmade Press on Nails Short Square Nails")</x:f>
        <x:v>HYPERLINK is not implemented. linkLocation=https://365nails.com/products/365nails-glacial-leopard-silver-glitter-animal-print-handmade-press-on-nails-short-square-nails, friendlyName=365nails: "Glacial Leopard" – Silver Glitter Animal Print Handmade Press on Nails Short Square Nails</x:v>
      </x:c>
      <x:c r="D8525" s="18" t="str">
        <x:v>Size: XS / S / M / L</x:v>
      </x:c>
      <x:c r="E8525" s="25" t="str">
        <x:v>$2.49</x:v>
      </x:c>
      <x:c r="F8525" s="19" t="str">
        <x:v>5</x:v>
      </x:c>
    </x:row>
    <x:row r="8526" ht="93" customHeight="1">
      <x:c r="A8526" s="19" t="n">
        <x:v>8523</x:v>
      </x:c>
      <x:c r="B8526" s="22" t="e">
        <x:f>HYPERLINK("https://cdn.shopify.com/s/files/1/0918/6066/4603/files/de2180b4832d9a354c6b024e7a282038.jpg?v=1777730397","Open")</x:f>
        <x:v>HYPERLINK is not implemented. linkLocation=https://cdn.shopify.com/s/files/1/0918/6066/4603/files/de2180b4832d9a354c6b024e7a282038.jpg?v=1777730397, friendlyName=Open</x:v>
      </x:c>
      <x:c r="C8526" s="24" t="e">
        <x:f>HYPERLINK("https://365nails.com/products/365nails-royal-starlight-blue-geometric-hand-painted-handmade-press-on-nails-long-almond-nails","365nails: ""Royal Starlight"" – Blue Geometric Hand-Painted Handmade Press on Nails Long Almond Nails")</x:f>
        <x:v>HYPERLINK is not implemented. linkLocation=https://365nails.com/products/365nails-royal-starlight-blue-geometric-hand-painted-handmade-press-on-nails-long-almond-nails, friendlyName=365nails: "Royal Starlight" – Blue Geometric Hand-Painted Handmade Press on Nails Long Almond Nails</x:v>
      </x:c>
      <x:c r="D8526" s="18" t="str">
        <x:v>Size: XS / S / M / L</x:v>
      </x:c>
      <x:c r="E8526" s="25" t="str">
        <x:v>$2.49</x:v>
      </x:c>
      <x:c r="F8526" s="19" t="str">
        <x:v>5</x:v>
      </x:c>
    </x:row>
    <x:row r="8527" ht="93" customHeight="1">
      <x:c r="A8527" s="19" t="n">
        <x:v>8524</x:v>
      </x:c>
      <x:c r="B8527" s="22" t="e">
        <x:f>HYPERLINK("https://cdn.shopify.com/s/files/1/0918/6066/4603/files/8045ad1adeabaccacbff9d1597c1fba7_a2816235-bbc8-4777-8ed7-4cff9e6322f9.jpg?v=1775632444","Open")</x:f>
        <x:v>HYPERLINK is not implemented. linkLocation=https://cdn.shopify.com/s/files/1/0918/6066/4603/files/8045ad1adeabaccacbff9d1597c1fba7_a2816235-bbc8-4777-8ed7-4cff9e6322f9.jpg?v=1775632444, friendlyName=Open</x:v>
      </x:c>
      <x:c r="C8527" s="24" t="e">
        <x:f>HYPERLINK("https://365nails.com/products/365nails-crimson-jewel-red-french-tip-crystal-handmade-press-on-nails-short-square-nails","365nails: ""Crimson Jewel"" – Red French Tip Crystal Handmade Press on Nails Short Square Nails")</x:f>
        <x:v>HYPERLINK is not implemented. linkLocation=https://365nails.com/products/365nails-crimson-jewel-red-french-tip-crystal-handmade-press-on-nails-short-square-nails, friendlyName=365nails: "Crimson Jewel" – Red French Tip Crystal Handmade Press on Nails Short Square Nails</x:v>
      </x:c>
      <x:c r="D8527" s="18" t="str">
        <x:v>Size: XS / S / M / L</x:v>
      </x:c>
      <x:c r="E8527" s="25" t="str">
        <x:v>$2.49</x:v>
      </x:c>
      <x:c r="F8527" s="19" t="str">
        <x:v>5</x:v>
      </x:c>
    </x:row>
    <x:row r="8528" ht="93" customHeight="1">
      <x:c r="A8528" s="19" t="n">
        <x:v>8525</x:v>
      </x:c>
      <x:c r="B8528" s="22" t="e">
        <x:f>HYPERLINK("https://cdn.shopify.com/s/files/1/0918/6066/4603/files/80e43aa837a7b0886c3dafafc3111f92_9b05b12a-e024-42cf-9b28-8f9e1892628f.jpg?v=1775632459","Open")</x:f>
        <x:v>HYPERLINK is not implemented. linkLocation=https://cdn.shopify.com/s/files/1/0918/6066/4603/files/80e43aa837a7b0886c3dafafc3111f92_9b05b12a-e024-42cf-9b28-8f9e1892628f.jpg?v=1775632459, friendlyName=Open</x:v>
      </x:c>
      <x:c r="C8528" s="24" t="e">
        <x:f>HYPERLINK("https://365nails.com/products/365nails-soft-vanilla-minimalist-french-tip-handmade-press-on-nails-short-almond-nails","365nails: ""Soft Vanilla"" – Minimalist French Tip Handmade Press on Nails Short Almond Nails")</x:f>
        <x:v>HYPERLINK is not implemented. linkLocation=https://365nails.com/products/365nails-soft-vanilla-minimalist-french-tip-handmade-press-on-nails-short-almond-nails, friendlyName=365nails: "Soft Vanilla" – Minimalist French Tip Handmade Press on Nails Short Almond Nails</x:v>
      </x:c>
      <x:c r="D8528" s="18" t="str">
        <x:v>Size: XS / S / M / L</x:v>
      </x:c>
      <x:c r="E8528" s="25" t="str">
        <x:v>$2.49</x:v>
      </x:c>
      <x:c r="F8528" s="19" t="str">
        <x:v>5</x:v>
      </x:c>
    </x:row>
    <x:row r="8529" ht="93" customHeight="1">
      <x:c r="A8529" s="19" t="n">
        <x:v>8526</x:v>
      </x:c>
      <x:c r="B8529" s="22" t="e">
        <x:f>HYPERLINK("https://cdn.shopify.com/s/files/1/0918/6066/4603/files/08a37455dd6dac22b7c395500c573825.jpg?v=1775632483","Open")</x:f>
        <x:v>HYPERLINK is not implemented. linkLocation=https://cdn.shopify.com/s/files/1/0918/6066/4603/files/08a37455dd6dac22b7c395500c573825.jpg?v=1775632483, friendlyName=Open</x:v>
      </x:c>
      <x:c r="C8529" s="24" t="e">
        <x:f>HYPERLINK("https://365nails.com/products/365nails-y2k-heartache-mixed-media-checkerboard-handmade-press-on-nails-long-coffin-nails","365nails: ""Y2K Heartache"" – Mixed Media Checkerboard Handmade Press on Nails Long Coffin Nails")</x:f>
        <x:v>HYPERLINK is not implemented. linkLocation=https://365nails.com/products/365nails-y2k-heartache-mixed-media-checkerboard-handmade-press-on-nails-long-coffin-nails, friendlyName=365nails: "Y2K Heartache" – Mixed Media Checkerboard Handmade Press on Nails Long Coffin Nails</x:v>
      </x:c>
      <x:c r="D8529" s="18" t="str">
        <x:v>Size: XS / S / M / L</x:v>
      </x:c>
      <x:c r="E8529" s="25" t="str">
        <x:v>$2.49</x:v>
      </x:c>
      <x:c r="F8529" s="19" t="str">
        <x:v>5</x:v>
      </x:c>
    </x:row>
    <x:row r="8530" ht="93" customHeight="1">
      <x:c r="A8530" s="19" t="n">
        <x:v>8527</x:v>
      </x:c>
      <x:c r="B8530" s="22" t="e">
        <x:f>HYPERLINK("https://cdn.shopify.com/s/files/1/0918/6066/4603/files/a354359c9eb636b81d1624798f6355e6.jpg?v=1775632497","Open")</x:f>
        <x:v>HYPERLINK is not implemented. linkLocation=https://cdn.shopify.com/s/files/1/0918/6066/4603/files/a354359c9eb636b81d1624798f6355e6.jpg?v=1775632497, friendlyName=Open</x:v>
      </x:c>
      <x:c r="C8530" s="24" t="e">
        <x:f>HYPERLINK("https://365nails.com/products/365nails-lavender-haze-gradient-french-tip-handmade-press-on-nails-short-almond-nails","365nails: ""Lavender Haze"" – Gradient French Tip Handmade Press on Nails Short Almond Nails")</x:f>
        <x:v>HYPERLINK is not implemented. linkLocation=https://365nails.com/products/365nails-lavender-haze-gradient-french-tip-handmade-press-on-nails-short-almond-nails, friendlyName=365nails: "Lavender Haze" – Gradient French Tip Handmade Press on Nails Short Almond Nails</x:v>
      </x:c>
      <x:c r="D8530" s="18" t="str">
        <x:v>Size: XS / S / M / L</x:v>
      </x:c>
      <x:c r="E8530" s="25" t="str">
        <x:v>$2.49</x:v>
      </x:c>
      <x:c r="F8530" s="19" t="str">
        <x:v>5</x:v>
      </x:c>
    </x:row>
    <x:row r="8531" ht="93" customHeight="1">
      <x:c r="A8531" s="19" t="n">
        <x:v>8528</x:v>
      </x:c>
      <x:c r="B8531" s="22" t="e">
        <x:f>HYPERLINK("https://cdn.shopify.com/s/files/1/0918/6066/4603/files/e77d0e6e5662889ced066c223aeeace8.jpg?v=1777730365","Open")</x:f>
        <x:v>HYPERLINK is not implemented. linkLocation=https://cdn.shopify.com/s/files/1/0918/6066/4603/files/e77d0e6e5662889ced066c223aeeace8.jpg?v=1777730365, friendlyName=Open</x:v>
      </x:c>
      <x:c r="C8531" s="24" t="e">
        <x:f>HYPERLINK("https://365nails.com/products/365nails-neon-nights-3d-abstract-art-handmade-press-on-nails-long-coffin-nails","365nails: ""Neon Nights"" – 3D Abstract Art Handmade Press on Nails Long Coffin Nails")</x:f>
        <x:v>HYPERLINK is not implemented. linkLocation=https://365nails.com/products/365nails-neon-nights-3d-abstract-art-handmade-press-on-nails-long-coffin-nails, friendlyName=365nails: "Neon Nights" – 3D Abstract Art Handmade Press on Nails Long Coffin Nails</x:v>
      </x:c>
      <x:c r="D8531" s="18" t="str">
        <x:v>Size: XS / S / M / L</x:v>
      </x:c>
      <x:c r="E8531" s="25" t="str">
        <x:v>$2.99</x:v>
      </x:c>
      <x:c r="F8531" s="19" t="str">
        <x:v>5</x:v>
      </x:c>
    </x:row>
    <x:row r="8532" ht="93" customHeight="1">
      <x:c r="A8532" s="19" t="n">
        <x:v>8529</x:v>
      </x:c>
      <x:c r="B8532" s="22" t="e">
        <x:f>HYPERLINK("https://cdn.shopify.com/s/files/1/0918/6066/4603/files/8ec56fb0dbea3b1494c9163e91b0763a.jpg?v=1777730343","Open")</x:f>
        <x:v>HYPERLINK is not implemented. linkLocation=https://cdn.shopify.com/s/files/1/0918/6066/4603/files/8ec56fb0dbea3b1494c9163e91b0763a.jpg?v=1777730343, friendlyName=Open</x:v>
      </x:c>
      <x:c r="C8532" s="24" t="e">
        <x:f>HYPERLINK("https://365nails.com/products/365nails-wild-ruby-3d-beaded-leopard-print-handmade-press-on-nails-medium-almond-nails","365nails: ""Wild Ruby"" – 3D Beaded Leopard Print Handmade Press on Nails Medium Almond Nails")</x:f>
        <x:v>HYPERLINK is not implemented. linkLocation=https://365nails.com/products/365nails-wild-ruby-3d-beaded-leopard-print-handmade-press-on-nails-medium-almond-nails, friendlyName=365nails: "Wild Ruby" – 3D Beaded Leopard Print Handmade Press on Nails Medium Almond Nails</x:v>
      </x:c>
      <x:c r="D8532" s="18" t="str">
        <x:v>Size: XS / S / M / L</x:v>
      </x:c>
      <x:c r="E8532" s="25" t="str">
        <x:v>$2.99</x:v>
      </x:c>
      <x:c r="F8532" s="19" t="str">
        <x:v>5</x:v>
      </x:c>
    </x:row>
    <x:row r="8533" ht="93" customHeight="1">
      <x:c r="A8533" s="19" t="n">
        <x:v>8530</x:v>
      </x:c>
      <x:c r="B8533" s="22" t="e">
        <x:f>HYPERLINK("https://cdn.shopify.com/s/files/1/0918/6066/4603/files/70f6242533a8d04af9e4e51f12757816.jpg?v=1777730314","Open")</x:f>
        <x:v>HYPERLINK is not implemented. linkLocation=https://cdn.shopify.com/s/files/1/0918/6066/4603/files/70f6242533a8d04af9e4e51f12757816.jpg?v=1777730314, friendlyName=Open</x:v>
      </x:c>
      <x:c r="C8533" s="24" t="e">
        <x:f>HYPERLINK("https://365nails.com/products/365nails-crimson-chic-red-french-tip-leopard-print-handmade-press-on-nails-short-square-nails","365nails: ""Crimson Chic"" – Red French Tip Leopard Print Handmade Press on Nails Short Square Nails")</x:f>
        <x:v>HYPERLINK is not implemented. linkLocation=https://365nails.com/products/365nails-crimson-chic-red-french-tip-leopard-print-handmade-press-on-nails-short-square-nails, friendlyName=365nails: "Crimson Chic" – Red French Tip Leopard Print Handmade Press on Nails Short Square Nails</x:v>
      </x:c>
      <x:c r="D8533" s="18" t="str">
        <x:v>Size: XS / S / M / L</x:v>
      </x:c>
      <x:c r="E8533" s="25" t="str">
        <x:v>$2.99</x:v>
      </x:c>
      <x:c r="F8533" s="19" t="str">
        <x:v>5</x:v>
      </x:c>
    </x:row>
    <x:row r="8534" ht="93" customHeight="1">
      <x:c r="A8534" s="19" t="n">
        <x:v>8531</x:v>
      </x:c>
      <x:c r="B8534" s="22" t="e">
        <x:f>HYPERLINK("https://cdn.shopify.com/s/files/1/0918/6066/4603/files/914c28d2dff2a522c70c5c9ca5e62bdd.jpg?v=1777730258","Open")</x:f>
        <x:v>HYPERLINK is not implemented. linkLocation=https://cdn.shopify.com/s/files/1/0918/6066/4603/files/914c28d2dff2a522c70c5c9ca5e62bdd.jpg?v=1777730258, friendlyName=Open</x:v>
      </x:c>
      <x:c r="C8534" s="24" t="e">
        <x:f>HYPERLINK("https://365nails.com/products/365nails-bone-structure-3d-skeleton-ribcage-handmade-press-on-nails-medium-coffin-nails","365nails: ""Bone Structure"" – 3D Skeleton Ribcage Handmade Press on Nails Medium Coffin Nails")</x:f>
        <x:v>HYPERLINK is not implemented. linkLocation=https://365nails.com/products/365nails-bone-structure-3d-skeleton-ribcage-handmade-press-on-nails-medium-coffin-nails, friendlyName=365nails: "Bone Structure" – 3D Skeleton Ribcage Handmade Press on Nails Medium Coffin Nails</x:v>
      </x:c>
      <x:c r="D8534" s="18" t="str">
        <x:v>Size: XS / S / M / L</x:v>
      </x:c>
      <x:c r="E8534" s="25" t="str">
        <x:v>$2.99</x:v>
      </x:c>
      <x:c r="F8534" s="19" t="str">
        <x:v>5</x:v>
      </x:c>
    </x:row>
    <x:row r="8535" ht="93" customHeight="1">
      <x:c r="A8535" s="19" t="n">
        <x:v>8532</x:v>
      </x:c>
      <x:c r="B8535" s="22" t="e">
        <x:f>HYPERLINK("https://cdn.shopify.com/s/files/1/0918/6066/4603/files/107c23f65087839c83cf92828cf6a2d7.jpg?v=1777730235","Open")</x:f>
        <x:v>HYPERLINK is not implemented. linkLocation=https://cdn.shopify.com/s/files/1/0918/6066/4603/files/107c23f65087839c83cf92828cf6a2d7.jpg?v=1777730235, friendlyName=Open</x:v>
      </x:c>
      <x:c r="C8535" s="24" t="e">
        <x:f>HYPERLINK("https://365nails.com/products/365nails-dark-ritual-3d-eye-cross-handmade-press-on-nails-medium-almond-nails","365nails: ""Dark Ritual"" – 3D Eye &amp; Cross Handmade Press on Nails Medium Almond Nails")</x:f>
        <x:v>HYPERLINK is not implemented. linkLocation=https://365nails.com/products/365nails-dark-ritual-3d-eye-cross-handmade-press-on-nails-medium-almond-nails, friendlyName=365nails: "Dark Ritual" – 3D Eye &amp; Cross Handmade Press on Nails Medium Almond Nails</x:v>
      </x:c>
      <x:c r="D8535" s="18" t="str">
        <x:v>Size: XS / S / M / L</x:v>
      </x:c>
      <x:c r="E8535" s="25" t="str">
        <x:v>$2.99</x:v>
      </x:c>
      <x:c r="F8535" s="19" t="str">
        <x:v>5</x:v>
      </x:c>
    </x:row>
    <x:row r="8536" ht="93" customHeight="1">
      <x:c r="A8536" s="19" t="n">
        <x:v>8533</x:v>
      </x:c>
      <x:c r="B8536" s="22" t="e">
        <x:f>HYPERLINK("https://cdn.shopify.com/s/files/1/0918/6066/4603/files/fcfee68fc3dbc6fff27c717e36ba4bd0.jpg?v=1777730201","Open")</x:f>
        <x:v>HYPERLINK is not implemented. linkLocation=https://cdn.shopify.com/s/files/1/0918/6066/4603/files/fcfee68fc3dbc6fff27c717e36ba4bd0.jpg?v=1777730201, friendlyName=Open</x:v>
      </x:c>
      <x:c r="C8536" s="24" t="e">
        <x:f>HYPERLINK("https://365nails.com/products/365nails-mint-breeze-3d-floral-butterfly-handmade-press-on-nails-short-square-nails","365nails: ""Mint Breeze"" – 3D Floral &amp; Butterfly Handmade Press on Nails Short Square Nails")</x:f>
        <x:v>HYPERLINK is not implemented. linkLocation=https://365nails.com/products/365nails-mint-breeze-3d-floral-butterfly-handmade-press-on-nails-short-square-nails, friendlyName=365nails: "Mint Breeze" – 3D Floral &amp; Butterfly Handmade Press on Nails Short Square Nails</x:v>
      </x:c>
      <x:c r="D8536" s="18" t="str">
        <x:v>Size: XS / S / M / L</x:v>
      </x:c>
      <x:c r="E8536" s="25" t="str">
        <x:v>$2.99</x:v>
      </x:c>
      <x:c r="F8536" s="19" t="str">
        <x:v>5</x:v>
      </x:c>
    </x:row>
    <x:row r="8537" ht="93" customHeight="1">
      <x:c r="A8537" s="19" t="n">
        <x:v>8534</x:v>
      </x:c>
      <x:c r="B8537" s="22" t="e">
        <x:f>HYPERLINK("https://cdn.shopify.com/s/files/1/0918/6066/4603/files/c561797a8605a7bbd575431660bd9556.jpg?v=1777730151","Open")</x:f>
        <x:v>HYPERLINK is not implemented. linkLocation=https://cdn.shopify.com/s/files/1/0918/6066/4603/files/c561797a8605a7bbd575431660bd9556.jpg?v=1777730151, friendlyName=Open</x:v>
      </x:c>
      <x:c r="C8537" s="24" t="e">
        <x:f>HYPERLINK("https://365nails.com/products/365nails-skater-sweetheart-3d-lace-up-heart-handmade-press-on-nails-long-coffin-nails","365nails: ""Skater Sweetheart"" – 3D Lace-Up &amp; Heart Handmade Press on Nails Long Coffin Nails")</x:f>
        <x:v>HYPERLINK is not implemented. linkLocation=https://365nails.com/products/365nails-skater-sweetheart-3d-lace-up-heart-handmade-press-on-nails-long-coffin-nails, friendlyName=365nails: "Skater Sweetheart" – 3D Lace-Up &amp; Heart Handmade Press on Nails Long Coffin Nails</x:v>
      </x:c>
      <x:c r="D8537" s="18" t="str">
        <x:v>Size: XS / S / M / L</x:v>
      </x:c>
      <x:c r="E8537" s="25" t="str">
        <x:v>$2.99</x:v>
      </x:c>
      <x:c r="F8537" s="19" t="str">
        <x:v>5</x:v>
      </x:c>
    </x:row>
    <x:row r="8538" ht="93" customHeight="1">
      <x:c r="A8538" s="19" t="n">
        <x:v>8535</x:v>
      </x:c>
      <x:c r="B8538" s="22" t="e">
        <x:f>HYPERLINK("https://cdn.shopify.com/s/files/1/0918/6066/4603/files/baa7ae97daef31286b0c02df37106e99.jpg?v=1775562853","Open")</x:f>
        <x:v>HYPERLINK is not implemented. linkLocation=https://cdn.shopify.com/s/files/1/0918/6066/4603/files/baa7ae97daef31286b0c02df37106e99.jpg?v=1775562853, friendlyName=Open</x:v>
      </x:c>
      <x:c r="C8538" s="24" t="e">
        <x:f>HYPERLINK("https://365nails.com/products/365nails-soft-luxe-rhinestone-french-tip-handmade-press-on-nails-short-square-nails","365nails: ""Soft Luxe"" – Rhinestone French Tip Handmade Press on Nails Short Square Nails")</x:f>
        <x:v>HYPERLINK is not implemented. linkLocation=https://365nails.com/products/365nails-soft-luxe-rhinestone-french-tip-handmade-press-on-nails-short-square-nails, friendlyName=365nails: "Soft Luxe" – Rhinestone French Tip Handmade Press on Nails Short Square Nails</x:v>
      </x:c>
      <x:c r="D8538" s="18" t="str">
        <x:v>Size: XS / S / M / L</x:v>
      </x:c>
      <x:c r="E8538" s="25" t="str">
        <x:v>$3.49</x:v>
      </x:c>
      <x:c r="F8538" s="19" t="str">
        <x:v>5</x:v>
      </x:c>
    </x:row>
    <x:row r="8539" ht="93" customHeight="1">
      <x:c r="A8539" s="19" t="n">
        <x:v>8536</x:v>
      </x:c>
      <x:c r="B8539" s="22" t="e">
        <x:f>HYPERLINK("https://cdn.shopify.com/s/files/1/0918/6066/4603/files/6513153a77874146333a7bf77e488dd2.jpg?v=1775562954","Open")</x:f>
        <x:v>HYPERLINK is not implemented. linkLocation=https://cdn.shopify.com/s/files/1/0918/6066/4603/files/6513153a77874146333a7bf77e488dd2.jpg?v=1775562954, friendlyName=Open</x:v>
      </x:c>
      <x:c r="C8539" s="24" t="e">
        <x:f>HYPERLINK("https://365nails.com/products/365nails-noir-bloom-3d-floral-ombre-handmade-press-on-nails-short-square-nails","365nails: ""Noir Bloom"" – 3D Floral &amp; Ombre Handmade Press on Nails Short Square Nails")</x:f>
        <x:v>HYPERLINK is not implemented. linkLocation=https://365nails.com/products/365nails-noir-bloom-3d-floral-ombre-handmade-press-on-nails-short-square-nails, friendlyName=365nails: "Noir Bloom" – 3D Floral &amp; Ombre Handmade Press on Nails Short Square Nails</x:v>
      </x:c>
      <x:c r="D8539" s="18" t="str">
        <x:v>Size: XS / S / M / L</x:v>
      </x:c>
      <x:c r="E8539" s="25" t="str">
        <x:v>$3.49</x:v>
      </x:c>
      <x:c r="F8539" s="19" t="str">
        <x:v>5</x:v>
      </x:c>
    </x:row>
    <x:row r="8540" ht="93" customHeight="1">
      <x:c r="A8540" s="19" t="n">
        <x:v>8537</x:v>
      </x:c>
      <x:c r="B8540" s="22" t="e">
        <x:f>HYPERLINK("https://cdn.shopify.com/s/files/1/0918/6066/4603/files/85f182ec0716b1314e2675cd865ab73f.jpg?v=1775563045","Open")</x:f>
        <x:v>HYPERLINK is not implemented. linkLocation=https://cdn.shopify.com/s/files/1/0918/6066/4603/files/85f182ec0716b1314e2675cd865ab73f.jpg?v=1775563045, friendlyName=Open</x:v>
      </x:c>
      <x:c r="C8540" s="24" t="e">
        <x:f>HYPERLINK("https://365nails.com/products/365nails-midnight-bloom-3d-floral-gemstone-handmade-press-on-nails-short-square-nails","365nails: ""Midnight Bloom"" – 3D Floral &amp; Gemstone Handmade Press on Nails Short Square Nails")</x:f>
        <x:v>HYPERLINK is not implemented. linkLocation=https://365nails.com/products/365nails-midnight-bloom-3d-floral-gemstone-handmade-press-on-nails-short-square-nails, friendlyName=365nails: "Midnight Bloom" – 3D Floral &amp; Gemstone Handmade Press on Nails Short Square Nails</x:v>
      </x:c>
      <x:c r="D8540" s="18" t="str">
        <x:v>Size: XS / S / M / L</x:v>
      </x:c>
      <x:c r="E8540" s="25" t="str">
        <x:v>$3.49</x:v>
      </x:c>
      <x:c r="F8540" s="19" t="str">
        <x:v>5</x:v>
      </x:c>
    </x:row>
    <x:row r="8541" ht="93" customHeight="1">
      <x:c r="A8541" s="19" t="n">
        <x:v>8538</x:v>
      </x:c>
      <x:c r="B8541" s="22" t="e">
        <x:f>HYPERLINK("https://cdn.shopify.com/s/files/1/0918/6066/4603/files/8b5565079988822025761ae915227326.jpg?v=1775563179","Open")</x:f>
        <x:v>HYPERLINK is not implemented. linkLocation=https://cdn.shopify.com/s/files/1/0918/6066/4603/files/8b5565079988822025761ae915227326.jpg?v=1775563179, friendlyName=Open</x:v>
      </x:c>
      <x:c r="C8541" s="24" t="e">
        <x:f>HYPERLINK("https://365nails.com/products/365nails-gossamer-whisper-3d-shell-french-tip-handmade-press-on-nails-medium-almond-nails","365nails: ""Gossamer Whisper"" – 3D Shell &amp; French Tip Handmade Press on Nails Medium Almond Nails")</x:f>
        <x:v>HYPERLINK is not implemented. linkLocation=https://365nails.com/products/365nails-gossamer-whisper-3d-shell-french-tip-handmade-press-on-nails-medium-almond-nails, friendlyName=365nails: "Gossamer Whisper" – 3D Shell &amp; French Tip Handmade Press on Nails Medium Almond Nails</x:v>
      </x:c>
      <x:c r="D8541" s="18" t="str">
        <x:v>Size: XS / S / M / L</x:v>
      </x:c>
      <x:c r="E8541" s="25" t="str">
        <x:v>$3.49</x:v>
      </x:c>
      <x:c r="F8541" s="19" t="str">
        <x:v>5</x:v>
      </x:c>
    </x:row>
    <x:row r="8542" ht="93" customHeight="1">
      <x:c r="A8542" s="19" t="n">
        <x:v>8539</x:v>
      </x:c>
      <x:c r="B8542" s="22" t="e">
        <x:f>HYPERLINK("https://cdn.shopify.com/s/files/1/0918/6066/4603/files/1234f31707b18310a6577a8c6f8fba9c.jpg?v=1775563251","Open")</x:f>
        <x:v>HYPERLINK is not implemented. linkLocation=https://cdn.shopify.com/s/files/1/0918/6066/4603/files/1234f31707b18310a6577a8c6f8fba9c.jpg?v=1775563251, friendlyName=Open</x:v>
      </x:c>
      <x:c r="C8542" s="24" t="e">
        <x:f>HYPERLINK("https://365nails.com/products/365nails-crimson-romance-3d-bow-heart-handmade-press-on-nails-medium-almond-nails","365nails: ""Crimson Romance"" – 3D Bow &amp; Heart Handmade Press on Nails Medium Almond Nails")</x:f>
        <x:v>HYPERLINK is not implemented. linkLocation=https://365nails.com/products/365nails-crimson-romance-3d-bow-heart-handmade-press-on-nails-medium-almond-nails, friendlyName=365nails: "Crimson Romance" – 3D Bow &amp; Heart Handmade Press on Nails Medium Almond Nails</x:v>
      </x:c>
      <x:c r="D8542" s="18" t="str">
        <x:v>Size: XS / S / M / L</x:v>
      </x:c>
      <x:c r="E8542" s="25" t="str">
        <x:v>$3.49</x:v>
      </x:c>
      <x:c r="F8542" s="19" t="str">
        <x:v>5</x:v>
      </x:c>
    </x:row>
    <x:row r="8543" ht="93" customHeight="1">
      <x:c r="A8543" s="19" t="n">
        <x:v>8540</x:v>
      </x:c>
      <x:c r="B8543" s="22" t="e">
        <x:f>HYPERLINK("https://cdn.shopify.com/s/files/1/0918/6066/4603/files/63a7e63b72519bf1ab51699bedaac153.jpg?v=1775563309","Open")</x:f>
        <x:v>HYPERLINK is not implemented. linkLocation=https://cdn.shopify.com/s/files/1/0918/6066/4603/files/63a7e63b72519bf1ab51699bedaac153.jpg?v=1775563309, friendlyName=Open</x:v>
      </x:c>
      <x:c r="C8543" s="24" t="e">
        <x:f>HYPERLINK("https://365nails.com/products/365nails-celestial-whisper-3d-wing-heart-handmade-press-on-nails-long-almond-nails","365nails: ""Celestial Whisper"" – 3D Wing &amp; Heart Handmade Press on Nails Long Almond Nails")</x:f>
        <x:v>HYPERLINK is not implemented. linkLocation=https://365nails.com/products/365nails-celestial-whisper-3d-wing-heart-handmade-press-on-nails-long-almond-nails, friendlyName=365nails: "Celestial Whisper" – 3D Wing &amp; Heart Handmade Press on Nails Long Almond Nails</x:v>
      </x:c>
      <x:c r="D8543" s="18" t="str">
        <x:v>Size: XS / S / M / L</x:v>
      </x:c>
      <x:c r="E8543" s="25" t="str">
        <x:v>$3.49</x:v>
      </x:c>
      <x:c r="F8543" s="19" t="str">
        <x:v>5</x:v>
      </x:c>
    </x:row>
    <x:row r="8544" ht="93" customHeight="1">
      <x:c r="A8544" s="19" t="n">
        <x:v>8541</x:v>
      </x:c>
      <x:c r="B8544" s="22" t="e">
        <x:f>HYPERLINK("https://cdn.shopify.com/s/files/1/0918/6066/4603/files/9e248a54d0d6777b61dfbf860ead57f6.jpg?v=1775563372","Open")</x:f>
        <x:v>HYPERLINK is not implemented. linkLocation=https://cdn.shopify.com/s/files/1/0918/6066/4603/files/9e248a54d0d6777b61dfbf860ead57f6.jpg?v=1775563372, friendlyName=Open</x:v>
      </x:c>
      <x:c r="C8544" s="24" t="e">
        <x:f>HYPERLINK("https://365nails.com/products/365nails-gilded-bloom-3d-floral-glitter-handmade-press-on-nails-short-square-nails","365nails: ""Gilded Bloom"" – 3D Floral &amp; Glitter Handmade Press on Nails Short Square Nails")</x:f>
        <x:v>HYPERLINK is not implemented. linkLocation=https://365nails.com/products/365nails-gilded-bloom-3d-floral-glitter-handmade-press-on-nails-short-square-nails, friendlyName=365nails: "Gilded Bloom" – 3D Floral &amp; Glitter Handmade Press on Nails Short Square Nails</x:v>
      </x:c>
      <x:c r="D8544" s="18" t="str">
        <x:v>Size: XS / S / M / L</x:v>
      </x:c>
      <x:c r="E8544" s="25" t="str">
        <x:v>$3.49</x:v>
      </x:c>
      <x:c r="F8544" s="19" t="str">
        <x:v>5</x:v>
      </x:c>
    </x:row>
    <x:row r="8545" ht="93" customHeight="1">
      <x:c r="A8545" s="19" t="n">
        <x:v>8542</x:v>
      </x:c>
      <x:c r="B8545" s="22" t="e">
        <x:f>HYPERLINK("https://cdn.shopify.com/s/files/1/0918/6066/4603/files/01ede5991ca5948ee6b1a05326b30eee.jpg?v=1775563476","Open")</x:f>
        <x:v>HYPERLINK is not implemented. linkLocation=https://cdn.shopify.com/s/files/1/0918/6066/4603/files/01ede5991ca5948ee6b1a05326b30eee.jpg?v=1775563476, friendlyName=Open</x:v>
      </x:c>
      <x:c r="C8545" s="24" t="e">
        <x:f>HYPERLINK("https://365nails.com/products/365nails-pearl-ballet-3d-bow-beads-handmade-press-on-nails-long-square-nails","365nails: ""Pearl Ballet"" – 3D Bow &amp; Beads Handmade Press on Nails Long Square Nails")</x:f>
        <x:v>HYPERLINK is not implemented. linkLocation=https://365nails.com/products/365nails-pearl-ballet-3d-bow-beads-handmade-press-on-nails-long-square-nails, friendlyName=365nails: "Pearl Ballet" – 3D Bow &amp; Beads Handmade Press on Nails Long Square Nails</x:v>
      </x:c>
      <x:c r="D8545" s="18" t="str">
        <x:v>Size: XS / S / M / L</x:v>
      </x:c>
      <x:c r="E8545" s="25" t="str">
        <x:v>$3.49</x:v>
      </x:c>
      <x:c r="F8545" s="19" t="str">
        <x:v>5</x:v>
      </x:c>
    </x:row>
    <x:row r="8546" ht="93" customHeight="1">
      <x:c r="A8546" s="19" t="n">
        <x:v>8543</x:v>
      </x:c>
      <x:c r="B8546" s="22" t="e">
        <x:f>HYPERLINK("https://cdn.shopify.com/s/files/1/0918/6066/4603/files/0f79dabc401278a8696641234abfaf51.jpg?v=1775563540","Open")</x:f>
        <x:v>HYPERLINK is not implemented. linkLocation=https://cdn.shopify.com/s/files/1/0918/6066/4603/files/0f79dabc401278a8696641234abfaf51.jpg?v=1775563540, friendlyName=Open</x:v>
      </x:c>
      <x:c r="C8546" s="24" t="e">
        <x:f>HYPERLINK("https://365nails.com/products/365nails-blush-petal-3d-floral-french-tip-handmade-press-on-nails-short-almond-nails","365nails: ""Blush Petal"" – 3D Floral French Tip Handmade Press on Nails Short Almond Nails")</x:f>
        <x:v>HYPERLINK is not implemented. linkLocation=https://365nails.com/products/365nails-blush-petal-3d-floral-french-tip-handmade-press-on-nails-short-almond-nails, friendlyName=365nails: "Blush Petal" – 3D Floral French Tip Handmade Press on Nails Short Almond Nails</x:v>
      </x:c>
      <x:c r="D8546" s="18" t="str">
        <x:v>Size: XS / S / M / L</x:v>
      </x:c>
      <x:c r="E8546" s="25" t="str">
        <x:v>$3.49</x:v>
      </x:c>
      <x:c r="F8546" s="19" t="str">
        <x:v>5</x:v>
      </x:c>
    </x:row>
    <x:row r="8547" ht="93" customHeight="1">
      <x:c r="A8547" s="19" t="n">
        <x:v>8544</x:v>
      </x:c>
      <x:c r="B8547" s="22" t="e">
        <x:f>HYPERLINK("https://cdn.shopify.com/s/files/1/0918/6066/4603/files/540e77aa0cb99ab7d9ecab8d853d1553.jpg?v=1775564136","Open")</x:f>
        <x:v>HYPERLINK is not implemented. linkLocation=https://cdn.shopify.com/s/files/1/0918/6066/4603/files/540e77aa0cb99ab7d9ecab8d853d1553.jpg?v=1775564136, friendlyName=Open</x:v>
      </x:c>
      <x:c r="C8547" s="24" t="e">
        <x:f>HYPERLINK("https://365nails.com/products/365nails-amber-bloom-3d-floral-gold-leaf-handmade-press-on-nails-medium-almond-nails","365nails: ""Amber Bloom"" – 3D Floral &amp; Gold Leaf Handmade Press on Nails Medium Almond Nails")</x:f>
        <x:v>HYPERLINK is not implemented. linkLocation=https://365nails.com/products/365nails-amber-bloom-3d-floral-gold-leaf-handmade-press-on-nails-medium-almond-nails, friendlyName=365nails: "Amber Bloom" – 3D Floral &amp; Gold Leaf Handmade Press on Nails Medium Almond Nails</x:v>
      </x:c>
      <x:c r="D8547" s="18" t="str">
        <x:v>Size: XS / S / M / L</x:v>
      </x:c>
      <x:c r="E8547" s="25" t="str">
        <x:v>$3.49</x:v>
      </x:c>
      <x:c r="F8547" s="19" t="str">
        <x:v>5</x:v>
      </x:c>
    </x:row>
    <x:row r="8548" ht="93" customHeight="1">
      <x:c r="A8548" s="19" t="n">
        <x:v>8545</x:v>
      </x:c>
      <x:c r="B8548" s="22" t="e">
        <x:f>HYPERLINK("https://cdn.shopify.com/s/files/1/0918/6066/4603/files/7ffe195108fe4a8faa7dd37de651dbee.jpg?v=1777730124","Open")</x:f>
        <x:v>HYPERLINK is not implemented. linkLocation=https://cdn.shopify.com/s/files/1/0918/6066/4603/files/7ffe195108fe4a8faa7dd37de651dbee.jpg?v=1777730124, friendlyName=Open</x:v>
      </x:c>
      <x:c r="C8548" s="24" t="e">
        <x:f>HYPERLINK("https://365nails.com/products/365nails-gilded-opulence-3d-gold-charms-jewels-handmade-press-on-nails-short-square-nails","365nails: ""Gilded Opulence"" – 3D Gold Charms &amp; Jewels Handmade Press on Nails Short Square Nails")</x:f>
        <x:v>HYPERLINK is not implemented. linkLocation=https://365nails.com/products/365nails-gilded-opulence-3d-gold-charms-jewels-handmade-press-on-nails-short-square-nails, friendlyName=365nails: "Gilded Opulence" – 3D Gold Charms &amp; Jewels Handmade Press on Nails Short Square Nails</x:v>
      </x:c>
      <x:c r="D8548" s="18" t="str">
        <x:v>Size: XS / S / M / L</x:v>
      </x:c>
      <x:c r="E8548" s="25" t="str">
        <x:v>$3.49</x:v>
      </x:c>
      <x:c r="F8548" s="19" t="str">
        <x:v>5</x:v>
      </x:c>
    </x:row>
    <x:row r="8549" ht="93" customHeight="1">
      <x:c r="A8549" s="19" t="n">
        <x:v>8546</x:v>
      </x:c>
      <x:c r="B8549" s="22" t="e">
        <x:f>HYPERLINK("https://cdn.shopify.com/s/files/1/0918/6066/4603/files/e20318d67e7e2a28333612c03db0f6f2.jpg?v=1777730072","Open")</x:f>
        <x:v>HYPERLINK is not implemented. linkLocation=https://cdn.shopify.com/s/files/1/0918/6066/4603/files/e20318d67e7e2a28333612c03db0f6f2.jpg?v=1777730072, friendlyName=Open</x:v>
      </x:c>
      <x:c r="C8549" s="24" t="e">
        <x:f>HYPERLINK("https://365nails.com/products/365nails-glitter-bow-3d-red-bow-rhinestone-handmade-press-on-nails-short-square-nails","365nails: ""Glitter &amp; Bow"" – 3D Red Bow &amp; Rhinestone Handmade Press on Nails Short Square Nails")</x:f>
        <x:v>HYPERLINK is not implemented. linkLocation=https://365nails.com/products/365nails-glitter-bow-3d-red-bow-rhinestone-handmade-press-on-nails-short-square-nails, friendlyName=365nails: "Glitter &amp; Bow" – 3D Red Bow &amp; Rhinestone Handmade Press on Nails Short Square Nails</x:v>
      </x:c>
      <x:c r="D8549" s="18" t="str">
        <x:v>Size: XS / S / M / L</x:v>
      </x:c>
      <x:c r="E8549" s="25" t="str">
        <x:v>$3.49</x:v>
      </x:c>
      <x:c r="F8549" s="19" t="str">
        <x:v>5</x:v>
      </x:c>
    </x:row>
    <x:row r="8550" ht="93" customHeight="1">
      <x:c r="A8550" s="19" t="n">
        <x:v>8547</x:v>
      </x:c>
      <x:c r="B8550" s="22" t="e">
        <x:f>HYPERLINK("https://cdn.shopify.com/s/files/1/0918/6066/4603/files/1c7146ea817acdc16f858ecc21c6fe55.jpg?v=1777729992","Open")</x:f>
        <x:v>HYPERLINK is not implemented. linkLocation=https://cdn.shopify.com/s/files/1/0918/6066/4603/files/1c7146ea817acdc16f858ecc21c6fe55.jpg?v=1777729992, friendlyName=Open</x:v>
      </x:c>
      <x:c r="C8550" s="24" t="e">
        <x:f>HYPERLINK("https://365nails.com/products/365nails-candy-crush-3d-textured-iridescent-handmade-press-on-nails-short-almond-nails","365nails: ""Candy Crush"" – 3D Textured &amp; Iridescent Handmade Press on Nails Short Almond Nails")</x:f>
        <x:v>HYPERLINK is not implemented. linkLocation=https://365nails.com/products/365nails-candy-crush-3d-textured-iridescent-handmade-press-on-nails-short-almond-nails, friendlyName=365nails: "Candy Crush" – 3D Textured &amp; Iridescent Handmade Press on Nails Short Almond Nails</x:v>
      </x:c>
      <x:c r="D8550" s="18" t="str">
        <x:v>Size: XS / S / M / L</x:v>
      </x:c>
      <x:c r="E8550" s="25" t="str">
        <x:v>$3.49</x:v>
      </x:c>
      <x:c r="F8550" s="19" t="str">
        <x:v>5</x:v>
      </x:c>
    </x:row>
    <x:row r="8551" ht="93" customHeight="1">
      <x:c r="A8551" s="19" t="n">
        <x:v>8548</x:v>
      </x:c>
      <x:c r="B8551" s="22" t="e">
        <x:f>HYPERLINK("https://cdn.shopify.com/s/files/1/0918/6066/4603/files/43cbe3f42efbfadb11a688a292615779.jpg?v=1777729965","Open")</x:f>
        <x:v>HYPERLINK is not implemented. linkLocation=https://cdn.shopify.com/s/files/1/0918/6066/4603/files/43cbe3f42efbfadb11a688a292615779.jpg?v=1777729965, friendlyName=Open</x:v>
      </x:c>
      <x:c r="C8551" s="24" t="e">
        <x:f>HYPERLINK("https://365nails.com/products/365nails-candyland-dreams-3d-charms-ombre-handmade-press-on-nails-short-square-nails","365nails: ""Candyland Dreams"" – 3D Charms &amp; Ombre Handmade Press on Nails Short Square Nails")</x:f>
        <x:v>HYPERLINK is not implemented. linkLocation=https://365nails.com/products/365nails-candyland-dreams-3d-charms-ombre-handmade-press-on-nails-short-square-nails, friendlyName=365nails: "Candyland Dreams" – 3D Charms &amp; Ombre Handmade Press on Nails Short Square Nails</x:v>
      </x:c>
      <x:c r="D8551" s="18" t="str">
        <x:v>Size: XS / S / M / L</x:v>
      </x:c>
      <x:c r="E8551" s="25" t="str">
        <x:v>$3.49</x:v>
      </x:c>
      <x:c r="F8551" s="19" t="str">
        <x:v>5</x:v>
      </x:c>
    </x:row>
    <x:row r="8552" ht="93" customHeight="1">
      <x:c r="A8552" s="19" t="n">
        <x:v>8549</x:v>
      </x:c>
      <x:c r="B8552" s="22" t="e">
        <x:f>HYPERLINK("https://cdn.shopify.com/s/files/1/0918/6066/4603/files/635cd268778b79dbee83f11943f819a5.jpg?v=1777729927","Open")</x:f>
        <x:v>HYPERLINK is not implemented. linkLocation=https://cdn.shopify.com/s/files/1/0918/6066/4603/files/635cd268778b79dbee83f11943f819a5.jpg?v=1777729927, friendlyName=Open</x:v>
      </x:c>
      <x:c r="C8552" s="24" t="e">
        <x:f>HYPERLINK("https://365nails.com/products/365nails-balletcore-blush-3d-bows-lace-handmade-press-on-nails-long-square-nails","365nails: ""Balletcore Blush"" – 3D Bows &amp; Lace Handmade Press on Nails Long Square Nails")</x:f>
        <x:v>HYPERLINK is not implemented. linkLocation=https://365nails.com/products/365nails-balletcore-blush-3d-bows-lace-handmade-press-on-nails-long-square-nails, friendlyName=365nails: "Balletcore Blush" – 3D Bows &amp; Lace Handmade Press on Nails Long Square Nails</x:v>
      </x:c>
      <x:c r="D8552" s="18" t="str">
        <x:v>Size: XS / S / M / L</x:v>
      </x:c>
      <x:c r="E8552" s="25" t="str">
        <x:v>$3.49</x:v>
      </x:c>
      <x:c r="F8552" s="19" t="str">
        <x:v>5</x:v>
      </x:c>
    </x:row>
    <x:row r="8553" ht="93" customHeight="1">
      <x:c r="A8553" s="19" t="n">
        <x:v>8550</x:v>
      </x:c>
      <x:c r="B8553" s="22" t="e">
        <x:f>HYPERLINK("https://cdn.shopify.com/s/files/1/0918/6066/4603/files/a8384aae156991ea4815d960d8270366.jpg?v=1777729895","Open")</x:f>
        <x:v>HYPERLINK is not implemented. linkLocation=https://cdn.shopify.com/s/files/1/0918/6066/4603/files/a8384aae156991ea4815d960d8270366.jpg?v=1777729895, friendlyName=Open</x:v>
      </x:c>
      <x:c r="C8553" s="24" t="e">
        <x:f>HYPERLINK("https://365nails.com/products/365nails-leopard-luxe-3d-bow-tortoiseshell-handmade-press-on-nails-short-square-nails","365nails: ""Leopard Luxe"" – 3D Bow &amp; Tortoiseshell Handmade Press on Nails Short Square Nails")</x:f>
        <x:v>HYPERLINK is not implemented. linkLocation=https://365nails.com/products/365nails-leopard-luxe-3d-bow-tortoiseshell-handmade-press-on-nails-short-square-nails, friendlyName=365nails: "Leopard Luxe" – 3D Bow &amp; Tortoiseshell Handmade Press on Nails Short Square Nails</x:v>
      </x:c>
      <x:c r="D8553" s="18" t="str">
        <x:v>Size: XS / S / M / L</x:v>
      </x:c>
      <x:c r="E8553" s="25" t="str">
        <x:v>$3.49</x:v>
      </x:c>
      <x:c r="F8553" s="19" t="str">
        <x:v>5</x:v>
      </x:c>
    </x:row>
    <x:row r="8554" ht="93" customHeight="1">
      <x:c r="A8554" s="19" t="n">
        <x:v>8551</x:v>
      </x:c>
      <x:c r="B8554" s="22" t="e">
        <x:f>HYPERLINK("https://cdn.shopify.com/s/files/1/0918/6066/4603/files/8fb09fc813232062f3e8402ba170a9e0.jpg?v=1777729825","Open")</x:f>
        <x:v>HYPERLINK is not implemented. linkLocation=https://cdn.shopify.com/s/files/1/0918/6066/4603/files/8fb09fc813232062f3e8402ba170a9e0.jpg?v=1777729825, friendlyName=Open</x:v>
      </x:c>
      <x:c r="C8554" s="24" t="e">
        <x:f>HYPERLINK("https://365nails.com/products/365nails-frosted-elegance-3d-crystal-glitter-handmade-press-on-nails-long-stiletto-nails","365nails: ""Frosted Elegance"" – 3D Crystal &amp; Glitter Handmade Press on Nails Long Stiletto Nails")</x:f>
        <x:v>HYPERLINK is not implemented. linkLocation=https://365nails.com/products/365nails-frosted-elegance-3d-crystal-glitter-handmade-press-on-nails-long-stiletto-nails, friendlyName=365nails: "Frosted Elegance" – 3D Crystal &amp; Glitter Handmade Press on Nails Long Stiletto Nails</x:v>
      </x:c>
      <x:c r="D8554" s="18" t="str">
        <x:v>Size: XS / S / M / L</x:v>
      </x:c>
      <x:c r="E8554" s="25" t="str">
        <x:v>$3.99</x:v>
      </x:c>
      <x:c r="F8554" s="19" t="str">
        <x:v>5</x:v>
      </x:c>
    </x:row>
    <x:row r="8555" ht="93" customHeight="1">
      <x:c r="A8555" s="19" t="n">
        <x:v>8552</x:v>
      </x:c>
      <x:c r="B8555" s="22" t="e">
        <x:f>HYPERLINK("https://cdn.shopify.com/s/files/1/0918/6066/4603/files/e0432a27a45e78303ca0919a506910c1.jpg?v=1777729781","Open")</x:f>
        <x:v>HYPERLINK is not implemented. linkLocation=https://cdn.shopify.com/s/files/1/0918/6066/4603/files/e0432a27a45e78303ca0919a506910c1.jpg?v=1777729781, friendlyName=Open</x:v>
      </x:c>
      <x:c r="C8555" s="24" t="e">
        <x:f>HYPERLINK("https://365nails.com/products/365nails-sweet-serpent-3d-snake-bow-handmade-press-on-nails-long-square-nails","365nails: ""Sweet Serpent"" – 3D Snake &amp; Bow Handmade Press on Nails Long Square Nails")</x:f>
        <x:v>HYPERLINK is not implemented. linkLocation=https://365nails.com/products/365nails-sweet-serpent-3d-snake-bow-handmade-press-on-nails-long-square-nails, friendlyName=365nails: "Sweet Serpent" – 3D Snake &amp; Bow Handmade Press on Nails Long Square Nails</x:v>
      </x:c>
      <x:c r="D8555" s="18" t="str">
        <x:v>Size: XS / S / M / L</x:v>
      </x:c>
      <x:c r="E8555" s="25" t="str">
        <x:v>$3.99</x:v>
      </x:c>
      <x:c r="F8555" s="19" t="str">
        <x:v>5</x:v>
      </x:c>
    </x:row>
    <x:row r="8556" ht="93" customHeight="1">
      <x:c r="A8556" s="19" t="n">
        <x:v>8553</x:v>
      </x:c>
      <x:c r="B8556" s="22" t="e">
        <x:f>HYPERLINK("https://cdn.shopify.com/s/files/1/0918/6066/4603/files/7127708210f6b41e57209208e94aed1c.jpg?v=1777729712","Open")</x:f>
        <x:v>HYPERLINK is not implemented. linkLocation=https://cdn.shopify.com/s/files/1/0918/6066/4603/files/7127708210f6b41e57209208e94aed1c.jpg?v=1777729712, friendlyName=Open</x:v>
      </x:c>
      <x:c r="C8556" s="24" t="e">
        <x:f>HYPERLINK("https://365nails.com/products/365nails-emerald-ice-3d-crystal-cluster-handmade-press-on-nails-long-coffin-nails","365nails: ""Emerald Ice"" – 3D Crystal Cluster Handmade Press on Nails Long Coffin Nails")</x:f>
        <x:v>HYPERLINK is not implemented. linkLocation=https://365nails.com/products/365nails-emerald-ice-3d-crystal-cluster-handmade-press-on-nails-long-coffin-nails, friendlyName=365nails: "Emerald Ice" – 3D Crystal Cluster Handmade Press on Nails Long Coffin Nails</x:v>
      </x:c>
      <x:c r="D8556" s="18" t="str">
        <x:v>Size: XS / S / M / L</x:v>
      </x:c>
      <x:c r="E8556" s="25" t="str">
        <x:v>$3.99</x:v>
      </x:c>
      <x:c r="F8556" s="19" t="str">
        <x:v>5</x:v>
      </x:c>
    </x:row>
    <x:row r="8557" ht="93" customHeight="1">
      <x:c r="A8557" s="19" t="n">
        <x:v>8554</x:v>
      </x:c>
      <x:c r="B8557" s="22" t="e">
        <x:f>HYPERLINK("https://cdn.shopify.com/s/files/1/0918/6066/4603/files/ac75ef6eec294d69231421bd7b97b6c1.jpg?v=1777729593","Open")</x:f>
        <x:v>HYPERLINK is not implemented. linkLocation=https://cdn.shopify.com/s/files/1/0918/6066/4603/files/ac75ef6eec294d69231421bd7b97b6c1.jpg?v=1777729593, friendlyName=Open</x:v>
      </x:c>
      <x:c r="C8557" s="24" t="e">
        <x:f>HYPERLINK("https://365nails.com/products/365nails-y2k-crush-3d-bear-heart-handmade-press-on-nails-long-coffin-nails","365nails: ""Y2K Crush"" – 3D Bear &amp; Heart Handmade Press on Nails Long Coffin Nails")</x:f>
        <x:v>HYPERLINK is not implemented. linkLocation=https://365nails.com/products/365nails-y2k-crush-3d-bear-heart-handmade-press-on-nails-long-coffin-nails, friendlyName=365nails: "Y2K Crush" – 3D Bear &amp; Heart Handmade Press on Nails Long Coffin Nails</x:v>
      </x:c>
      <x:c r="D8557" s="18" t="str">
        <x:v>Size: XS / S / M / L</x:v>
      </x:c>
      <x:c r="E8557" s="25" t="str">
        <x:v>$3.99</x:v>
      </x:c>
      <x:c r="F8557" s="19" t="str">
        <x:v>5</x:v>
      </x:c>
    </x:row>
    <x:row r="8558" ht="93" customHeight="1">
      <x:c r="A8558" s="19" t="n">
        <x:v>8555</x:v>
      </x:c>
      <x:c r="B8558" s="22" t="e">
        <x:f>HYPERLINK("https://cdn.shopify.com/s/files/1/0918/6066/4603/files/a0a89c50f9d4f444684fb06b0dbd5423.jpg?v=1777729330","Open")</x:f>
        <x:v>HYPERLINK is not implemented. linkLocation=https://cdn.shopify.com/s/files/1/0918/6066/4603/files/a0a89c50f9d4f444684fb06b0dbd5423.jpg?v=1777729330, friendlyName=Open</x:v>
      </x:c>
      <x:c r="C8558" s="24" t="e">
        <x:f>HYPERLINK("https://365nails.com/products/365nails-gothic-opulence-3d-crystal-cluster-handmade-press-on-nails-long-coffin-nails","365nails: ""Gothic Opulence"" – 3D Crystal Cluster Handmade Press on Nails Long Coffin Nails")</x:f>
        <x:v>HYPERLINK is not implemented. linkLocation=https://365nails.com/products/365nails-gothic-opulence-3d-crystal-cluster-handmade-press-on-nails-long-coffin-nails, friendlyName=365nails: "Gothic Opulence" – 3D Crystal Cluster Handmade Press on Nails Long Coffin Nails</x:v>
      </x:c>
      <x:c r="D8558" s="18" t="str">
        <x:v>Size: XS / S / M / L</x:v>
      </x:c>
      <x:c r="E8558" s="25" t="str">
        <x:v>$3.99</x:v>
      </x:c>
      <x:c r="F8558" s="19" t="str">
        <x:v>5</x:v>
      </x:c>
    </x:row>
    <x:row r="8559" ht="93" customHeight="1">
      <x:c r="A8559" s="19" t="n">
        <x:v>8556</x:v>
      </x:c>
      <x:c r="B8559" s="22" t="e">
        <x:f>HYPERLINK("https://cdn.shopify.com/s/files/1/0918/6066/4603/files/a5b3e4bcf317ef2b81b08f758b737c1f.jpg?v=1777729162","Open")</x:f>
        <x:v>HYPERLINK is not implemented. linkLocation=https://cdn.shopify.com/s/files/1/0918/6066/4603/files/a5b3e4bcf317ef2b81b08f758b737c1f.jpg?v=1777729162, friendlyName=Open</x:v>
      </x:c>
      <x:c r="C8559" s="24" t="e">
        <x:f>HYPERLINK("https://365nails.com/products/365nails-glacial-royalty-3d-crystal-chain-handmade-press-on-nails-long-coffin-nails","365nails: ""Glacial Royalty"" – 3D Crystal Chain Handmade Press on Nails Long Coffin Nails")</x:f>
        <x:v>HYPERLINK is not implemented. linkLocation=https://365nails.com/products/365nails-glacial-royalty-3d-crystal-chain-handmade-press-on-nails-long-coffin-nails, friendlyName=365nails: "Glacial Royalty" – 3D Crystal Chain Handmade Press on Nails Long Coffin Nails</x:v>
      </x:c>
      <x:c r="D8559" s="18" t="str">
        <x:v>Size: XS / S / M / L</x:v>
      </x:c>
      <x:c r="E8559" s="25" t="str">
        <x:v>$3.99</x:v>
      </x:c>
      <x:c r="F8559" s="19" t="str">
        <x:v>5</x:v>
      </x:c>
    </x:row>
    <x:row r="8560" ht="93" customHeight="1">
      <x:c r="A8560" s="19" t="n">
        <x:v>8557</x:v>
      </x:c>
      <x:c r="B8560" s="22" t="e">
        <x:f>HYPERLINK("https://cdn.shopify.com/s/files/1/0918/6066/4603/files/59f124ec3a497250e0fe08113139e17f.jpg?v=1777729027","Open")</x:f>
        <x:v>HYPERLINK is not implemented. linkLocation=https://cdn.shopify.com/s/files/1/0918/6066/4603/files/59f124ec3a497250e0fe08113139e17f.jpg?v=1777729027, friendlyName=Open</x:v>
      </x:c>
      <x:c r="C8560" s="24" t="e">
        <x:f>HYPERLINK("https://365nails.com/products/365nails-golden-hour-3d-butterfly-crystal-handmade-press-on-nails-long-coffin-nails","365nails: ""Golden Hour"" – 3D Butterfly Crystal Handmade Press on Nails Long Coffin Nails")</x:f>
        <x:v>HYPERLINK is not implemented. linkLocation=https://365nails.com/products/365nails-golden-hour-3d-butterfly-crystal-handmade-press-on-nails-long-coffin-nails, friendlyName=365nails: "Golden Hour" – 3D Butterfly Crystal Handmade Press on Nails Long Coffin Nails</x:v>
      </x:c>
      <x:c r="D8560" s="18" t="str">
        <x:v>Size: XS / S / M / L</x:v>
      </x:c>
      <x:c r="E8560" s="25" t="str">
        <x:v>$3.99</x:v>
      </x:c>
      <x:c r="F8560" s="19" t="str">
        <x:v>5</x:v>
      </x:c>
    </x:row>
    <x:row r="8561" ht="93" customHeight="1">
      <x:c r="A8561" s="19" t="n">
        <x:v>8558</x:v>
      </x:c>
      <x:c r="B8561" s="22" t="e">
        <x:f>HYPERLINK("https://cdn.shopify.com/s/files/1/0918/6066/4603/files/cf9c0f5662f34c9223bde4c2f0c714f4.jpg?v=1777728923","Open")</x:f>
        <x:v>HYPERLINK is not implemented. linkLocation=https://cdn.shopify.com/s/files/1/0918/6066/4603/files/cf9c0f5662f34c9223bde4c2f0c714f4.jpg?v=1777728923, friendlyName=Open</x:v>
      </x:c>
      <x:c r="C8561" s="24" t="e">
        <x:f>HYPERLINK("https://365nails.com/products/365nails-midnight-sapphire-3d-crystal-cluster-handmade-press-on-nails-long-coffin-nails","365nails: ""Midnight Sapphire"" – 3D Crystal Cluster Handmade Press on Nails Long Coffin Nails")</x:f>
        <x:v>HYPERLINK is not implemented. linkLocation=https://365nails.com/products/365nails-midnight-sapphire-3d-crystal-cluster-handmade-press-on-nails-long-coffin-nails, friendlyName=365nails: "Midnight Sapphire" – 3D Crystal Cluster Handmade Press on Nails Long Coffin Nails</x:v>
      </x:c>
      <x:c r="D8561" s="18" t="str">
        <x:v>Size: XS / S / M / L</x:v>
      </x:c>
      <x:c r="E8561" s="25" t="str">
        <x:v>$3.99</x:v>
      </x:c>
      <x:c r="F8561" s="19" t="str">
        <x:v>5</x:v>
      </x:c>
    </x:row>
    <x:row r="8562" ht="93" customHeight="1">
      <x:c r="A8562" s="19" t="n">
        <x:v>8559</x:v>
      </x:c>
      <x:c r="B8562" s="22" t="e">
        <x:f>HYPERLINK("https://cdn.shopify.com/s/files/1/0918/6066/4603/files/O1CN01STbnaJ1OLbcAmWxMg__2817011689-0-cib.jpg?v=1775632999","Open")</x:f>
        <x:v>HYPERLINK is not implemented. linkLocation=https://cdn.shopify.com/s/files/1/0918/6066/4603/files/O1CN01STbnaJ1OLbcAmWxMg__2817011689-0-cib.jpg?v=1775632999, friendlyName=Open</x:v>
      </x:c>
      <x:c r="C8562" s="24" t="e">
        <x:f>HYPERLINK("https://365nails.com/products/365nails-independence-day-ombre-star-stripes-nail-sticker","365nails: Independence Day Ombre Star-Stripes Nail Sticker")</x:f>
        <x:v>HYPERLINK is not implemented. linkLocation=https://365nails.com/products/365nails-independence-day-ombre-star-stripes-nail-sticker, friendlyName=365nails: Independence Day Ombre Star-Stripes Nail Sticker</x:v>
      </x:c>
      <x:c r="D8562" s="18" t="str">
        <x:v>Color: American flag stickers (8 photos)</x:v>
      </x:c>
      <x:c r="E8562" s="25" t="str">
        <x:v>$0.99</x:v>
      </x:c>
      <x:c r="F8562" s="19" t="str">
        <x:v>3</x:v>
      </x:c>
    </x:row>
    <x:row r="8563" ht="93" customHeight="1">
      <x:c r="A8563" s="19" t="n">
        <x:v>8560</x:v>
      </x:c>
      <x:c r="B8563" s="22" t="e">
        <x:f>HYPERLINK("https://cdn.shopify.com/s/files/1/0918/6066/4603/files/d4d12a81249b02481718ed9759bf4e23.jpg?v=1777728646","Open")</x:f>
        <x:v>HYPERLINK is not implemented. linkLocation=https://cdn.shopify.com/s/files/1/0918/6066/4603/files/d4d12a81249b02481718ed9759bf4e23.jpg?v=1777728646, friendlyName=Open</x:v>
      </x:c>
      <x:c r="C8563" s="24" t="e">
        <x:f>HYPERLINK("https://365nails.com/products/365nails-venom-lace-3d-snake-handmade-coffin-nails","365nails: ""Venom &amp; Lace"" – 3D Snake Handmade Coffin Nails")</x:f>
        <x:v>HYPERLINK is not implemented. linkLocation=https://365nails.com/products/365nails-venom-lace-3d-snake-handmade-coffin-nails, friendlyName=365nails: "Venom &amp; Lace" – 3D Snake Handmade Coffin Nails</x:v>
      </x:c>
      <x:c r="D8563" s="18" t="str">
        <x:v>Size: XS / S / M / L</x:v>
      </x:c>
      <x:c r="E8563" s="25" t="str">
        <x:v>$3.99</x:v>
      </x:c>
      <x:c r="F8563" s="19" t="str">
        <x:v>5</x:v>
      </x:c>
    </x:row>
    <x:row r="8564" ht="93" customHeight="1">
      <x:c r="A8564" s="19" t="n">
        <x:v>8561</x:v>
      </x:c>
      <x:c r="B8564" s="22" t="e">
        <x:f>HYPERLINK("https://cdn.shopify.com/s/files/1/0918/6066/4603/files/b66b97909d2e2bda391060b9d87492a9.jpg?v=1777728491","Open")</x:f>
        <x:v>HYPERLINK is not implemented. linkLocation=https://cdn.shopify.com/s/files/1/0918/6066/4603/files/b66b97909d2e2bda391060b9d87492a9.jpg?v=1777728491, friendlyName=Open</x:v>
      </x:c>
      <x:c r="C8564" s="24" t="e">
        <x:f>HYPERLINK("https://365nails.com/products/365nails-emerald-gatsby-3d-rhinestone-handmade-coffin-nails","365nails: ""Emerald Gatsby"" – 3D Rhinestone Handmade Coffin Nails")</x:f>
        <x:v>HYPERLINK is not implemented. linkLocation=https://365nails.com/products/365nails-emerald-gatsby-3d-rhinestone-handmade-coffin-nails, friendlyName=365nails: "Emerald Gatsby" – 3D Rhinestone Handmade Coffin Nails</x:v>
      </x:c>
      <x:c r="D8564" s="18" t="str">
        <x:v>Size: XS / S / M / L</x:v>
      </x:c>
      <x:c r="E8564" s="25" t="str">
        <x:v>$3.99</x:v>
      </x:c>
      <x:c r="F8564" s="19" t="str">
        <x:v>5</x:v>
      </x:c>
    </x:row>
    <x:row r="8565" ht="93" customHeight="1">
      <x:c r="A8565" s="19" t="n">
        <x:v>8562</x:v>
      </x:c>
      <x:c r="B8565" s="22" t="e">
        <x:f>HYPERLINK("https://cdn.shopify.com/s/files/1/0918/6066/4603/files/ea0774e6abf5048c499e90e1a8c349cc.jpg?v=1777728453","Open")</x:f>
        <x:v>HYPERLINK is not implemented. linkLocation=https://cdn.shopify.com/s/files/1/0918/6066/4603/files/ea0774e6abf5048c499e90e1a8c349cc.jpg?v=1777728453, friendlyName=Open</x:v>
      </x:c>
      <x:c r="C8565" s="24" t="e">
        <x:f>HYPERLINK("https://365nails.com/products/365nails-lady-luck-3d-heart-handmade-coffin-nails","365nails: ""Lady Luck"" – 3D Heart Handmade Coffin Nails")</x:f>
        <x:v>HYPERLINK is not implemented. linkLocation=https://365nails.com/products/365nails-lady-luck-3d-heart-handmade-coffin-nails, friendlyName=365nails: "Lady Luck" – 3D Heart Handmade Coffin Nails</x:v>
      </x:c>
      <x:c r="D8565" s="18" t="str">
        <x:v>Size: XS / S / M / L</x:v>
      </x:c>
      <x:c r="E8565" s="25" t="str">
        <x:v>$3.99</x:v>
      </x:c>
      <x:c r="F8565" s="19" t="str">
        <x:v>5</x:v>
      </x:c>
    </x:row>
    <x:row r="8566" ht="93" customHeight="1">
      <x:c r="A8566" s="19" t="n">
        <x:v>8563</x:v>
      </x:c>
      <x:c r="B8566" s="22" t="e">
        <x:f>HYPERLINK("https://cdn.shopify.com/s/files/1/0918/6066/4603/files/8c2e66eabbeb81d4ea709e8c845bf779.jpg?v=1777728395","Open")</x:f>
        <x:v>HYPERLINK is not implemented. linkLocation=https://cdn.shopify.com/s/files/1/0918/6066/4603/files/8c2e66eabbeb81d4ea709e8c845bf779.jpg?v=1777728395, friendlyName=Open</x:v>
      </x:c>
      <x:c r="C8566" s="24" t="e">
        <x:f>HYPERLINK("https://365nails.com/products/365nails-woven-rose-hand-painted-line-art-handmade-coffin-nails","365nails: ""Woven Rose"" – Hand Painted Line Art Handmade Coffin Nails")</x:f>
        <x:v>HYPERLINK is not implemented. linkLocation=https://365nails.com/products/365nails-woven-rose-hand-painted-line-art-handmade-coffin-nails, friendlyName=365nails: "Woven Rose" – Hand Painted Line Art Handmade Coffin Nails</x:v>
      </x:c>
      <x:c r="D8566" s="18" t="str">
        <x:v>Size: XS / S / M / L</x:v>
      </x:c>
      <x:c r="E8566" s="25" t="str">
        <x:v>$3.99</x:v>
      </x:c>
      <x:c r="F8566" s="19" t="str">
        <x:v>5</x:v>
      </x:c>
    </x:row>
    <x:row r="8567" ht="93" customHeight="1">
      <x:c r="A8567" s="19" t="n">
        <x:v>8564</x:v>
      </x:c>
      <x:c r="B8567" s="22" t="e">
        <x:f>HYPERLINK("https://cdn.shopify.com/s/files/1/0918/6066/4603/files/393071b99450904b3690c01bfd13bfb6.jpg?v=1777728264","Open")</x:f>
        <x:v>HYPERLINK is not implemented. linkLocation=https://cdn.shopify.com/s/files/1/0918/6066/4603/files/393071b99450904b3690c01bfd13bfb6.jpg?v=1777728264, friendlyName=Open</x:v>
      </x:c>
      <x:c r="C8567" s="24" t="e">
        <x:f>HYPERLINK("https://365nails.com/products/365nails-wild-lilac-3d-bow-zebra-print-handmade-square-nails","365nails: ""Wild Lilac"" – 3D Bow &amp; Zebra Print Handmade Square Nails")</x:f>
        <x:v>HYPERLINK is not implemented. linkLocation=https://365nails.com/products/365nails-wild-lilac-3d-bow-zebra-print-handmade-square-nails, friendlyName=365nails: "Wild Lilac" – 3D Bow &amp; Zebra Print Handmade Square Nails</x:v>
      </x:c>
      <x:c r="D8567" s="18" t="str">
        <x:v>Size: XS / S / M / L</x:v>
      </x:c>
      <x:c r="E8567" s="25" t="str">
        <x:v>$3.99</x:v>
      </x:c>
      <x:c r="F8567" s="19" t="str">
        <x:v>5</x:v>
      </x:c>
    </x:row>
    <x:row r="8568" ht="93" customHeight="1">
      <x:c r="A8568" s="19" t="n">
        <x:v>8565</x:v>
      </x:c>
      <x:c r="B8568" s="22" t="e">
        <x:f>HYPERLINK("https://cdn.shopify.com/s/files/1/0918/6066/4603/files/2ec8f9f994dab3378f677ab80a05df77.jpg?v=1775649786","Open")</x:f>
        <x:v>HYPERLINK is not implemented. linkLocation=https://cdn.shopify.com/s/files/1/0918/6066/4603/files/2ec8f9f994dab3378f677ab80a05df77.jpg?v=1775649786, friendlyName=Open</x:v>
      </x:c>
      <x:c r="C8568" s="24" t="e">
        <x:f>HYPERLINK("https://365nails.com/products/365nails-coral-bloom-hand-painted-floral-handmade-almond-nails","365nails: ""Coral Bloom"" – Hand Painted Floral Handmade Almond Nails")</x:f>
        <x:v>HYPERLINK is not implemented. linkLocation=https://365nails.com/products/365nails-coral-bloom-hand-painted-floral-handmade-almond-nails, friendlyName=365nails: "Coral Bloom" – Hand Painted Floral Handmade Almond Nails</x:v>
      </x:c>
      <x:c r="D8568" s="18" t="str">
        <x:v>Size: XS / S / M / L</x:v>
      </x:c>
      <x:c r="E8568" s="25" t="str">
        <x:v>$3.99</x:v>
      </x:c>
      <x:c r="F8568" s="19" t="str">
        <x:v>5</x:v>
      </x:c>
    </x:row>
    <x:row r="8569" ht="93" customHeight="1">
      <x:c r="A8569" s="19" t="n">
        <x:v>8566</x:v>
      </x:c>
      <x:c r="B8569" s="22" t="e">
        <x:f>HYPERLINK("https://cdn.shopify.com/s/files/1/0918/6066/4603/files/f9a45f8e59a812383edd0ef29c1ae158.jpg?v=1775649873","Open")</x:f>
        <x:v>HYPERLINK is not implemented. linkLocation=https://cdn.shopify.com/s/files/1/0918/6066/4603/files/f9a45f8e59a812383edd0ef29c1ae158.jpg?v=1775649873, friendlyName=Open</x:v>
      </x:c>
      <x:c r="C8569" s="24" t="e">
        <x:f>HYPERLINK("https://365nails.com/products/365nails-candy-heart-3d-charms-graffiti-handmade-coffin-nails","365nails: ""Candy Heart"" – 3D Charms &amp; Graffiti Handmade Coffin Nails")</x:f>
        <x:v>HYPERLINK is not implemented. linkLocation=https://365nails.com/products/365nails-candy-heart-3d-charms-graffiti-handmade-coffin-nails, friendlyName=365nails: "Candy Heart" – 3D Charms &amp; Graffiti Handmade Coffin Nails</x:v>
      </x:c>
      <x:c r="D8569" s="18" t="str">
        <x:v>Size: XS / S / M / L</x:v>
      </x:c>
      <x:c r="E8569" s="25" t="str">
        <x:v>$3.99</x:v>
      </x:c>
      <x:c r="F8569" s="19" t="str">
        <x:v>5</x:v>
      </x:c>
    </x:row>
    <x:row r="8570" ht="93" customHeight="1">
      <x:c r="A8570" s="19" t="n">
        <x:v>8567</x:v>
      </x:c>
      <x:c r="B8570" s="22" t="e">
        <x:f>HYPERLINK("https://cdn.shopify.com/s/files/1/0918/6066/4603/files/53c2be5eec91e10efee09fa5d37cc8cb.jpg?v=1775649941","Open")</x:f>
        <x:v>HYPERLINK is not implemented. linkLocation=https://cdn.shopify.com/s/files/1/0918/6066/4603/files/53c2be5eec91e10efee09fa5d37cc8cb.jpg?v=1775649941, friendlyName=Open</x:v>
      </x:c>
      <x:c r="C8570" s="24" t="e">
        <x:f>HYPERLINK("https://365nails.com/products/365nails-mauve-muse-hand-painted-floral-gem-handmade-almond-nails","365nails: ""Mauve Muse"" – Hand Painted Floral &amp; Gem Handmade Almond Nails")</x:f>
        <x:v>HYPERLINK is not implemented. linkLocation=https://365nails.com/products/365nails-mauve-muse-hand-painted-floral-gem-handmade-almond-nails, friendlyName=365nails: "Mauve Muse" – Hand Painted Floral &amp; Gem Handmade Almond Nails</x:v>
      </x:c>
      <x:c r="D8570" s="18" t="str">
        <x:v>Size: XS / S / M / L</x:v>
      </x:c>
      <x:c r="E8570" s="25" t="str">
        <x:v>$3.99</x:v>
      </x:c>
      <x:c r="F8570" s="19" t="str">
        <x:v>5</x:v>
      </x:c>
    </x:row>
    <x:row r="8571" ht="93" customHeight="1">
      <x:c r="A8571" s="19" t="n">
        <x:v>8568</x:v>
      </x:c>
      <x:c r="B8571" s="22" t="e">
        <x:f>HYPERLINK("https://cdn.shopify.com/s/files/1/0918/6066/4603/files/0736e107ca593f6834abace85a73a8cf.jpg?v=1775650135","Open")</x:f>
        <x:v>HYPERLINK is not implemented. linkLocation=https://cdn.shopify.com/s/files/1/0918/6066/4603/files/0736e107ca593f6834abace85a73a8cf.jpg?v=1775650135, friendlyName=Open</x:v>
      </x:c>
      <x:c r="C8571" s="24" t="e">
        <x:f>HYPERLINK("https://365nails.com/products/365nails-tropical-bliss-3d-floral-plaid-handmade-almond-nails","365nails: ""Tropical Bliss"" – 3D Floral &amp; Plaid Handmade Almond Nails")</x:f>
        <x:v>HYPERLINK is not implemented. linkLocation=https://365nails.com/products/365nails-tropical-bliss-3d-floral-plaid-handmade-almond-nails, friendlyName=365nails: "Tropical Bliss" – 3D Floral &amp; Plaid Handmade Almond Nails</x:v>
      </x:c>
      <x:c r="D8571" s="18" t="str">
        <x:v>Size: XS / S / M / L</x:v>
      </x:c>
      <x:c r="E8571" s="25" t="str">
        <x:v>$3.99</x:v>
      </x:c>
      <x:c r="F8571" s="19" t="str">
        <x:v>5</x:v>
      </x:c>
    </x:row>
    <x:row r="8572" ht="93" customHeight="1">
      <x:c r="A8572" s="19" t="n">
        <x:v>8569</x:v>
      </x:c>
      <x:c r="B8572" s="22" t="e">
        <x:f>HYPERLINK("https://cdn.shopify.com/s/files/1/0918/6066/4603/files/6421a63c05cf17134a07051df7fe4239.jpg?v=1775650199","Open")</x:f>
        <x:v>HYPERLINK is not implemented. linkLocation=https://cdn.shopify.com/s/files/1/0918/6066/4603/files/6421a63c05cf17134a07051df7fe4239.jpg?v=1775650199, friendlyName=Open</x:v>
      </x:c>
      <x:c r="C8572" s="24" t="e">
        <x:f>HYPERLINK("https://365nails.com/products/365nails-golden-rose-3d-floral-french-tip-handmade-almond-nails","365nails: ""Golden Rose"" – 3D Floral &amp; French Tip Handmade Almond Nails")</x:f>
        <x:v>HYPERLINK is not implemented. linkLocation=https://365nails.com/products/365nails-golden-rose-3d-floral-french-tip-handmade-almond-nails, friendlyName=365nails: "Golden Rose" – 3D Floral &amp; French Tip Handmade Almond Nails</x:v>
      </x:c>
      <x:c r="D8572" s="18" t="str">
        <x:v>Size: XS / S / M / L</x:v>
      </x:c>
      <x:c r="E8572" s="25" t="str">
        <x:v>$3.99</x:v>
      </x:c>
      <x:c r="F8572" s="19" t="str">
        <x:v>5</x:v>
      </x:c>
    </x:row>
    <x:row r="8573" ht="93" customHeight="1">
      <x:c r="A8573" s="19" t="n">
        <x:v>8570</x:v>
      </x:c>
      <x:c r="B8573" s="22" t="e">
        <x:f>HYPERLINK("https://cdn.shopify.com/s/files/1/0918/6066/4603/files/08af1bbe4dc35a20e39fd0c169e656f4.jpg?v=1775650260","Open")</x:f>
        <x:v>HYPERLINK is not implemented. linkLocation=https://cdn.shopify.com/s/files/1/0918/6066/4603/files/08af1bbe4dc35a20e39fd0c169e656f4.jpg?v=1775650260, friendlyName=Open</x:v>
      </x:c>
      <x:c r="C8573" s="24" t="e">
        <x:f>HYPERLINK("https://365nails.com/products/365nails-pink-panther-hand-painted-leopard-rhinestone-handmade-coffin-nails","365nails: ""Pink Panther"" – Hand Painted Leopard &amp; Rhinestone Handmade Coffin Nails")</x:f>
        <x:v>HYPERLINK is not implemented. linkLocation=https://365nails.com/products/365nails-pink-panther-hand-painted-leopard-rhinestone-handmade-coffin-nails, friendlyName=365nails: "Pink Panther" – Hand Painted Leopard &amp; Rhinestone Handmade Coffin Nails</x:v>
      </x:c>
      <x:c r="D8573" s="18" t="str">
        <x:v>Size: XS / S / M / L</x:v>
      </x:c>
      <x:c r="E8573" s="25" t="str">
        <x:v>$3.99</x:v>
      </x:c>
      <x:c r="F8573" s="19" t="str">
        <x:v>5</x:v>
      </x:c>
    </x:row>
    <x:row r="8574" ht="93" customHeight="1">
      <x:c r="A8574" s="19" t="n">
        <x:v>8571</x:v>
      </x:c>
      <x:c r="B8574" s="22" t="e">
        <x:f>HYPERLINK("https://cdn.shopify.com/s/files/1/0918/6066/4603/files/414b0975758c32b153d47b6be83859d8.jpg?v=1775650330","Open")</x:f>
        <x:v>HYPERLINK is not implemented. linkLocation=https://cdn.shopify.com/s/files/1/0918/6066/4603/files/414b0975758c32b153d47b6be83859d8.jpg?v=1775650330, friendlyName=Open</x:v>
      </x:c>
      <x:c r="C8574" s="24" t="e">
        <x:f>HYPERLINK("https://365nails.com/products/365nails-midnight-butterfly-3d-butterfly-dalmatian-print-handmade-almond-nails","365nails: ""Midnight Butterfly"" – 3D Butterfly &amp; Dalmatian Print Handmade Almond Nails")</x:f>
        <x:v>HYPERLINK is not implemented. linkLocation=https://365nails.com/products/365nails-midnight-butterfly-3d-butterfly-dalmatian-print-handmade-almond-nails, friendlyName=365nails: "Midnight Butterfly" – 3D Butterfly &amp; Dalmatian Print Handmade Almond Nails</x:v>
      </x:c>
      <x:c r="D8574" s="18" t="str">
        <x:v>Size: XS / S / M / L</x:v>
      </x:c>
      <x:c r="E8574" s="25" t="str">
        <x:v>$3.99</x:v>
      </x:c>
      <x:c r="F8574" s="19" t="str">
        <x:v>5</x:v>
      </x:c>
    </x:row>
    <x:row r="8575" ht="93" customHeight="1">
      <x:c r="A8575" s="19" t="n">
        <x:v>8572</x:v>
      </x:c>
      <x:c r="B8575" s="22" t="e">
        <x:f>HYPERLINK("https://cdn.shopify.com/s/files/1/0918/6066/4603/files/2c17323ce9fc168ae592dcfe9e688a4e.jpg?v=1775650450","Open")</x:f>
        <x:v>HYPERLINK is not implemented. linkLocation=https://cdn.shopify.com/s/files/1/0918/6066/4603/files/2c17323ce9fc168ae592dcfe9e688a4e.jpg?v=1775650450, friendlyName=Open</x:v>
      </x:c>
      <x:c r="C8575" s="24" t="e">
        <x:f>HYPERLINK("https://365nails.com/products/365nails-gilded-opulence-heavy-rhinestone-gold-handmade-square-nails","365nails: ""Gilded Opulence"" – Heavy Rhinestone &amp; Gold Handmade Square Nails")</x:f>
        <x:v>HYPERLINK is not implemented. linkLocation=https://365nails.com/products/365nails-gilded-opulence-heavy-rhinestone-gold-handmade-square-nails, friendlyName=365nails: "Gilded Opulence" – Heavy Rhinestone &amp; Gold Handmade Square Nails</x:v>
      </x:c>
      <x:c r="D8575" s="18" t="str">
        <x:v>Size: XS / S / M / L</x:v>
      </x:c>
      <x:c r="E8575" s="25" t="str">
        <x:v>$4.49</x:v>
      </x:c>
      <x:c r="F8575" s="19" t="str">
        <x:v>5</x:v>
      </x:c>
    </x:row>
    <x:row r="8576" ht="93" customHeight="1">
      <x:c r="A8576" s="19" t="n">
        <x:v>8573</x:v>
      </x:c>
      <x:c r="B8576" s="22" t="e">
        <x:f>HYPERLINK("https://cdn.shopify.com/s/files/1/0918/6066/4603/files/9567a071e2b22e0f9a78b702a735fc46.jpg?v=1777728025","Open")</x:f>
        <x:v>HYPERLINK is not implemented. linkLocation=https://cdn.shopify.com/s/files/1/0918/6066/4603/files/9567a071e2b22e0f9a78b702a735fc46.jpg?v=1777728025, friendlyName=Open</x:v>
      </x:c>
      <x:c r="C8576" s="24" t="e">
        <x:f>HYPERLINK("https://365nails.com/products/365nails-sweethearts-waltz-3d-bow-pearl-lattice-handmade-square-nails","365nails: ""Sweetheart's Waltz"" – 3D Bow &amp; Pearl Lattice Handmade Square Nails")</x:f>
        <x:v>HYPERLINK is not implemented. linkLocation=https://365nails.com/products/365nails-sweethearts-waltz-3d-bow-pearl-lattice-handmade-square-nails, friendlyName=365nails: "Sweetheart's Waltz" – 3D Bow &amp; Pearl Lattice Handmade Square Nails</x:v>
      </x:c>
      <x:c r="D8576" s="18" t="str">
        <x:v>Size: XS / S / M / L</x:v>
      </x:c>
      <x:c r="E8576" s="25" t="str">
        <x:v>$4.49</x:v>
      </x:c>
      <x:c r="F8576" s="19" t="str">
        <x:v>5</x:v>
      </x:c>
    </x:row>
    <x:row r="8577" ht="93" customHeight="1">
      <x:c r="A8577" s="19" t="n">
        <x:v>8574</x:v>
      </x:c>
      <x:c r="B8577" s="22" t="e">
        <x:f>HYPERLINK("https://cdn.shopify.com/s/files/1/0918/6066/4603/files/3d334548e4b8c0f18f5ceb0fa72e7c4b.jpg?v=1777727855","Open")</x:f>
        <x:v>HYPERLINK is not implemented. linkLocation=https://cdn.shopify.com/s/files/1/0918/6066/4603/files/3d334548e4b8c0f18f5ceb0fa72e7c4b.jpg?v=1777727855, friendlyName=Open</x:v>
      </x:c>
      <x:c r="C8577" s="24" t="e">
        <x:f>HYPERLINK("https://365nails.com/products/365nails-cerulean-garden-3d-floral-color-block-handmade-coffin-nails","365nails: ""Cerulean Garden"" – 3D Floral &amp; Color Block Handmade Coffin Nails")</x:f>
        <x:v>HYPERLINK is not implemented. linkLocation=https://365nails.com/products/365nails-cerulean-garden-3d-floral-color-block-handmade-coffin-nails, friendlyName=365nails: "Cerulean Garden" – 3D Floral &amp; Color Block Handmade Coffin Nails</x:v>
      </x:c>
      <x:c r="D8577" s="18" t="str">
        <x:v>Size: XS / S / M / L</x:v>
      </x:c>
      <x:c r="E8577" s="25" t="str">
        <x:v>$4.49</x:v>
      </x:c>
      <x:c r="F8577" s="19" t="str">
        <x:v>5</x:v>
      </x:c>
    </x:row>
    <x:row r="8578" ht="93" customHeight="1">
      <x:c r="A8578" s="19" t="n">
        <x:v>8575</x:v>
      </x:c>
      <x:c r="B8578" s="22" t="e">
        <x:f>HYPERLINK("https://cdn.shopify.com/s/files/1/0918/6066/4603/files/6ecc3267ffd436506304bc1f4218d3bc.jpg?v=1777727750","Open")</x:f>
        <x:v>HYPERLINK is not implemented. linkLocation=https://cdn.shopify.com/s/files/1/0918/6066/4603/files/6ecc3267ffd436506304bc1f4218d3bc.jpg?v=1777727750, friendlyName=Open</x:v>
      </x:c>
      <x:c r="C8578" s="24" t="e">
        <x:f>HYPERLINK("https://365nails.com/products/365nails-kittys-dream-3d-character-rhinestone-handmade-square-nails","365nails: ""Kitty's Dream"" – 3D Character &amp; Rhinestone Handmade Square Nails")</x:f>
        <x:v>HYPERLINK is not implemented. linkLocation=https://365nails.com/products/365nails-kittys-dream-3d-character-rhinestone-handmade-square-nails, friendlyName=365nails: "Kitty's Dream" – 3D Character &amp; Rhinestone Handmade Square Nails</x:v>
      </x:c>
      <x:c r="D8578" s="18" t="str">
        <x:v>Size: XS / S / M / L</x:v>
      </x:c>
      <x:c r="E8578" s="25" t="str">
        <x:v>$4.49</x:v>
      </x:c>
      <x:c r="F8578" s="19" t="str">
        <x:v>5</x:v>
      </x:c>
    </x:row>
    <x:row r="8579" ht="93" customHeight="1">
      <x:c r="A8579" s="19" t="n">
        <x:v>8576</x:v>
      </x:c>
      <x:c r="B8579" s="22" t="e">
        <x:f>HYPERLINK("https://cdn.shopify.com/s/files/1/0918/6066/4603/files/d53fd0561aa77e0260d25831ee8c55cd.jpg?v=1775652070","Open")</x:f>
        <x:v>HYPERLINK is not implemented. linkLocation=https://cdn.shopify.com/s/files/1/0918/6066/4603/files/d53fd0561aa77e0260d25831ee8c55cd.jpg?v=1775652070, friendlyName=Open</x:v>
      </x:c>
      <x:c r="C8579" s="24" t="e">
        <x:f>HYPERLINK("https://365nails.com/products/365nails-spring-whisper-3d-floral-rhinestone-handmade-coffin-nails","365nails: ""Spring Whisper"" – 3D Floral &amp; Rhinestone Handmade Coffin Nails")</x:f>
        <x:v>HYPERLINK is not implemented. linkLocation=https://365nails.com/products/365nails-spring-whisper-3d-floral-rhinestone-handmade-coffin-nails, friendlyName=365nails: "Spring Whisper" – 3D Floral &amp; Rhinestone Handmade Coffin Nails</x:v>
      </x:c>
      <x:c r="D8579" s="18" t="str">
        <x:v>Size: XS / S / M / L</x:v>
      </x:c>
      <x:c r="E8579" s="25" t="str">
        <x:v>$4.49</x:v>
      </x:c>
      <x:c r="F8579" s="19" t="str">
        <x:v>5</x:v>
      </x:c>
    </x:row>
    <x:row r="8580" ht="93" customHeight="1">
      <x:c r="A8580" s="19" t="n">
        <x:v>8577</x:v>
      </x:c>
      <x:c r="B8580" s="22" t="e">
        <x:f>HYPERLINK("https://cdn.shopify.com/s/files/1/0918/6066/4603/files/a0f3923a5d31bae162065e4ffe679cce.jpg?v=1775652865","Open")</x:f>
        <x:v>HYPERLINK is not implemented. linkLocation=https://cdn.shopify.com/s/files/1/0918/6066/4603/files/a0f3923a5d31bae162065e4ffe679cce.jpg?v=1775652865, friendlyName=Open</x:v>
      </x:c>
      <x:c r="C8580" s="24" t="e">
        <x:f>HYPERLINK("https://365nails.com/products/365nails-disco-diva-3d-rhinestone-glitter-handmade-coffin-nails","365nails: ""Disco Diva"" – 3D Rhinestone &amp; Glitter Handmade Coffin Nails")</x:f>
        <x:v>HYPERLINK is not implemented. linkLocation=https://365nails.com/products/365nails-disco-diva-3d-rhinestone-glitter-handmade-coffin-nails, friendlyName=365nails: "Disco Diva" – 3D Rhinestone &amp; Glitter Handmade Coffin Nails</x:v>
      </x:c>
      <x:c r="D8580" s="18" t="str">
        <x:v>Size: XS / S / M / L</x:v>
      </x:c>
      <x:c r="E8580" s="25" t="str">
        <x:v>$4.49</x:v>
      </x:c>
      <x:c r="F8580" s="19" t="str">
        <x:v>5</x:v>
      </x:c>
    </x:row>
    <x:row r="8581" ht="93" customHeight="1">
      <x:c r="A8581" s="19" t="n">
        <x:v>8578</x:v>
      </x:c>
      <x:c r="B8581" s="22" t="e">
        <x:f>HYPERLINK("https://cdn.shopify.com/s/files/1/0918/6066/4603/files/b4fafbd213b2af38217bbc41c4bf118b.jpg?v=1777727087","Open")</x:f>
        <x:v>HYPERLINK is not implemented. linkLocation=https://cdn.shopify.com/s/files/1/0918/6066/4603/files/b4fafbd213b2af38217bbc41c4bf118b.jpg?v=1777727087, friendlyName=Open</x:v>
      </x:c>
      <x:c r="C8581" s="24" t="e">
        <x:f>HYPERLINK("https://365nails.com/products/365nails-golden-citrus-3d-gem-lace-handmade-coffin-nails","365nails: ""Golden Citrus"" – 3D Gem &amp; Lace Handmade Coffin Nails")</x:f>
        <x:v>HYPERLINK is not implemented. linkLocation=https://365nails.com/products/365nails-golden-citrus-3d-gem-lace-handmade-coffin-nails, friendlyName=365nails: "Golden Citrus" – 3D Gem &amp; Lace Handmade Coffin Nails</x:v>
      </x:c>
      <x:c r="D8581" s="18" t="str">
        <x:v>Size: XS / S / M / L</x:v>
      </x:c>
      <x:c r="E8581" s="25" t="str">
        <x:v>$5.49</x:v>
      </x:c>
      <x:c r="F8581" s="19" t="str">
        <x:v>5</x:v>
      </x:c>
    </x:row>
    <x:row r="8582" ht="93" customHeight="1">
      <x:c r="A8582" s="19" t="n">
        <x:v>8579</x:v>
      </x:c>
      <x:c r="B8582" s="22" t="e">
        <x:f>HYPERLINK("https://cdn.shopify.com/s/files/1/0918/6066/4603/files/fff80e1572ddcdf57c6d91d0547e72f6.jpg?v=1777727053","Open")</x:f>
        <x:v>HYPERLINK is not implemented. linkLocation=https://cdn.shopify.com/s/files/1/0918/6066/4603/files/fff80e1572ddcdf57c6d91d0547e72f6.jpg?v=1777727053, friendlyName=Open</x:v>
      </x:c>
      <x:c r="C8582" s="24" t="e">
        <x:f>HYPERLINK("https://365nails.com/products/365nails-emerald-lattice-3d-crystal-bead-handmade-coffin-nails","365nails: ""Emerald Lattice"" – 3D Crystal &amp; Bead Handmade Coffin Nails")</x:f>
        <x:v>HYPERLINK is not implemented. linkLocation=https://365nails.com/products/365nails-emerald-lattice-3d-crystal-bead-handmade-coffin-nails, friendlyName=365nails: "Emerald Lattice" – 3D Crystal &amp; Bead Handmade Coffin Nails</x:v>
      </x:c>
      <x:c r="D8582" s="18" t="str">
        <x:v>Size: XS / S / M / L</x:v>
      </x:c>
      <x:c r="E8582" s="25" t="str">
        <x:v>$5.99</x:v>
      </x:c>
      <x:c r="F8582" s="19" t="str">
        <x:v>5</x:v>
      </x:c>
    </x:row>
    <x:row r="8583" ht="93" customHeight="1">
      <x:c r="A8583" s="19" t="n">
        <x:v>8580</x:v>
      </x:c>
      <x:c r="B8583" s="22" t="e">
        <x:f>HYPERLINK("https://cdn.shopify.com/s/files/1/0918/6066/4603/files/841b6cee27280a766bbcba727f087176.jpg?v=1777727022","Open")</x:f>
        <x:v>HYPERLINK is not implemented. linkLocation=https://cdn.shopify.com/s/files/1/0918/6066/4603/files/841b6cee27280a766bbcba727f087176.jpg?v=1777727022, friendlyName=Open</x:v>
      </x:c>
      <x:c r="C8583" s="24" t="e">
        <x:f>HYPERLINK("https://365nails.com/products/365nails-crimson-fire-3d-crystal-bead-handmade-coffin-nails","365nails: ""Crimson Fire"" – 3D Crystal &amp; Bead Handmade Coffin Nails")</x:f>
        <x:v>HYPERLINK is not implemented. linkLocation=https://365nails.com/products/365nails-crimson-fire-3d-crystal-bead-handmade-coffin-nails, friendlyName=365nails: "Crimson Fire" – 3D Crystal &amp; Bead Handmade Coffin Nails</x:v>
      </x:c>
      <x:c r="D8583" s="18" t="str">
        <x:v>Size: XS / S / M / L</x:v>
      </x:c>
      <x:c r="E8583" s="25" t="str">
        <x:v>$5.99</x:v>
      </x:c>
      <x:c r="F8583" s="19" t="str">
        <x:v>5</x:v>
      </x:c>
    </x:row>
    <x:row r="8584" ht="93" customHeight="1">
      <x:c r="A8584" s="19" t="n">
        <x:v>8581</x:v>
      </x:c>
      <x:c r="B8584" s="22" t="e">
        <x:f>HYPERLINK("https://cdn.shopify.com/s/files/1/0918/6066/4603/files/369e217f8e6f638bc10f25864fc9acc8.jpg?v=1777726952","Open")</x:f>
        <x:v>HYPERLINK is not implemented. linkLocation=https://cdn.shopify.com/s/files/1/0918/6066/4603/files/369e217f8e6f638bc10f25864fc9acc8.jpg?v=1777726952, friendlyName=Open</x:v>
      </x:c>
      <x:c r="C8584" s="24" t="e">
        <x:f>HYPERLINK("https://365nails.com/products/365nails-prismatic-dazzle-3d-crystal-rhinestone-handmade-short-square-nails","365nails: ""Prismatic Dazzle"" – 3D Crystal &amp; Rhinestone Handmade Short Square Nails")</x:f>
        <x:v>HYPERLINK is not implemented. linkLocation=https://365nails.com/products/365nails-prismatic-dazzle-3d-crystal-rhinestone-handmade-short-square-nails, friendlyName=365nails: "Prismatic Dazzle" – 3D Crystal &amp; Rhinestone Handmade Short Square Nails</x:v>
      </x:c>
      <x:c r="D8584" s="18" t="str">
        <x:v>Size: XS / S / M / L</x:v>
      </x:c>
      <x:c r="E8584" s="25" t="str">
        <x:v>$5.99</x:v>
      </x:c>
      <x:c r="F8584" s="19" t="str">
        <x:v>5</x:v>
      </x:c>
    </x:row>
    <x:row r="8585" ht="93" customHeight="1">
      <x:c r="A8585" s="19" t="n">
        <x:v>8582</x:v>
      </x:c>
      <x:c r="B8585" s="22" t="e">
        <x:f>HYPERLINK("https://cdn.shopify.com/s/files/1/0918/6066/4603/files/ab07c7f7405d7ae7327ca67dbc65122d.jpg?v=1777726896","Open")</x:f>
        <x:v>HYPERLINK is not implemented. linkLocation=https://cdn.shopify.com/s/files/1/0918/6066/4603/files/ab07c7f7405d7ae7327ca67dbc65122d.jpg?v=1777726896, friendlyName=Open</x:v>
      </x:c>
      <x:c r="C8585" s="24" t="e">
        <x:f>HYPERLINK("https://365nails.com/products/365nails-holographic-rain-3d-crystal-rhinestone-handmade-coffin-nails","365nails: ""Holographic Rain"" – 3D Crystal &amp; Rhinestone Handmade Coffin Nails")</x:f>
        <x:v>HYPERLINK is not implemented. linkLocation=https://365nails.com/products/365nails-holographic-rain-3d-crystal-rhinestone-handmade-coffin-nails, friendlyName=365nails: "Holographic Rain" – 3D Crystal &amp; Rhinestone Handmade Coffin Nails</x:v>
      </x:c>
      <x:c r="D8585" s="18" t="str">
        <x:v>Size: XS / S / M / L</x:v>
      </x:c>
      <x:c r="E8585" s="25" t="str">
        <x:v>$5.99</x:v>
      </x:c>
      <x:c r="F8585" s="19" t="str">
        <x:v>5</x:v>
      </x:c>
    </x:row>
    <x:row r="8586" ht="93" customHeight="1">
      <x:c r="A8586" s="19" t="n">
        <x:v>8583</x:v>
      </x:c>
      <x:c r="B8586" s="22" t="e">
        <x:f>HYPERLINK("https://cdn.shopify.com/s/files/1/0918/6066/4603/files/8cbb54e5378953439aec50e00f7bf33e.jpg?v=1777726830","Open")</x:f>
        <x:v>HYPERLINK is not implemented. linkLocation=https://cdn.shopify.com/s/files/1/0918/6066/4603/files/8cbb54e5378953439aec50e00f7bf33e.jpg?v=1777726830, friendlyName=Open</x:v>
      </x:c>
      <x:c r="C8586" s="24" t="e">
        <x:f>HYPERLINK("https://365nails.com/products/365nails-gilded-dynasty-3d-crystal-rhinestone-handmade-coffin-nails","365nails: ""Gilded Dynasty"" – 3D Crystal &amp; Rhinestone Handmade Coffin Nails")</x:f>
        <x:v>HYPERLINK is not implemented. linkLocation=https://365nails.com/products/365nails-gilded-dynasty-3d-crystal-rhinestone-handmade-coffin-nails, friendlyName=365nails: "Gilded Dynasty" – 3D Crystal &amp; Rhinestone Handmade Coffin Nails</x:v>
      </x:c>
      <x:c r="D8586" s="18" t="str">
        <x:v>Size: XS / S / M / L</x:v>
      </x:c>
      <x:c r="E8586" s="25" t="str">
        <x:v>$5.99</x:v>
      </x:c>
      <x:c r="F8586" s="19" t="str">
        <x:v>5</x:v>
      </x:c>
    </x:row>
    <x:row r="8587" ht="93" customHeight="1">
      <x:c r="A8587" s="19" t="n">
        <x:v>8584</x:v>
      </x:c>
      <x:c r="B8587" s="22" t="e">
        <x:f>HYPERLINK("https://cdn.shopify.com/s/files/1/0918/6066/4603/files/aef015c1fb0292106f9ea0f2792af86e.jpg?v=1777726769","Open")</x:f>
        <x:v>HYPERLINK is not implemented. linkLocation=https://cdn.shopify.com/s/files/1/0918/6066/4603/files/aef015c1fb0292106f9ea0f2792af86e.jpg?v=1777726769, friendlyName=Open</x:v>
      </x:c>
      <x:c r="C8587" s="24" t="e">
        <x:f>HYPERLINK("https://365nails.com/products/365nails-rose-gold-radiance-3d-crystal-rhinestone-handmade-coffin-nails","365nails: ""Rose Gold Radiance"" – 3D Crystal &amp; Rhinestone Handmade Coffin Nails")</x:f>
        <x:v>HYPERLINK is not implemented. linkLocation=https://365nails.com/products/365nails-rose-gold-radiance-3d-crystal-rhinestone-handmade-coffin-nails, friendlyName=365nails: "Rose Gold Radiance" – 3D Crystal &amp; Rhinestone Handmade Coffin Nails</x:v>
      </x:c>
      <x:c r="D8587" s="18" t="str">
        <x:v>Size: XS / S / M / L</x:v>
      </x:c>
      <x:c r="E8587" s="25" t="str">
        <x:v>$5.99</x:v>
      </x:c>
      <x:c r="F8587" s="19" t="str">
        <x:v>5</x:v>
      </x:c>
    </x:row>
    <x:row r="8588" ht="93" customHeight="1">
      <x:c r="A8588" s="19" t="n">
        <x:v>8585</x:v>
      </x:c>
      <x:c r="B8588" s="22" t="e">
        <x:f>HYPERLINK("https://cdn.shopify.com/s/files/1/0918/6066/4603/files/cbfaeb7ca4b92f10a4b77680ed70d4cf.jpg?v=1777726699","Open")</x:f>
        <x:v>HYPERLINK is not implemented. linkLocation=https://cdn.shopify.com/s/files/1/0918/6066/4603/files/cbfaeb7ca4b92f10a4b77680ed70d4cf.jpg?v=1777726699, friendlyName=Open</x:v>
      </x:c>
      <x:c r="C8588" s="24" t="e">
        <x:f>HYPERLINK("https://365nails.com/products/365nails-aurora-borealis-3d-crystal-rhinestone-handmade-coffin-nails","365nails: ""Aurora Borealis"" – 3D Crystal &amp; Rhinestone Handmade Coffin Nails")</x:f>
        <x:v>HYPERLINK is not implemented. linkLocation=https://365nails.com/products/365nails-aurora-borealis-3d-crystal-rhinestone-handmade-coffin-nails, friendlyName=365nails: "Aurora Borealis" – 3D Crystal &amp; Rhinestone Handmade Coffin Nails</x:v>
      </x:c>
      <x:c r="D8588" s="18" t="str">
        <x:v>Size: XS / S / M / L</x:v>
      </x:c>
      <x:c r="E8588" s="25" t="str">
        <x:v>$5.99</x:v>
      </x:c>
      <x:c r="F8588" s="19" t="str">
        <x:v>5</x:v>
      </x:c>
    </x:row>
    <x:row r="8589" ht="93" customHeight="1">
      <x:c r="A8589" s="19" t="n">
        <x:v>8586</x:v>
      </x:c>
      <x:c r="B8589" s="22" t="e">
        <x:f>HYPERLINK("https://cdn.shopify.com/s/files/1/0918/6066/4603/files/3cdc2fe9527d93ee67dce2016f7a0089.jpg?v=1777455197","Open")</x:f>
        <x:v>HYPERLINK is not implemented. linkLocation=https://cdn.shopify.com/s/files/1/0918/6066/4603/files/3cdc2fe9527d93ee67dce2016f7a0089.jpg?v=1777455197, friendlyName=Open</x:v>
      </x:c>
      <x:c r="C8589" s="24" t="e">
        <x:f>HYPERLINK("https://365nails.com/products/handmade-independence-day-stars-and-fireworks-long-press-on-nails-5-5cm-high-quality-custom-10pcs","Handmade Independence Day Stars and Fireworks Long Press-On Nails 5.5cm (High Quality/Custom/10pcs)")</x:f>
        <x:v>HYPERLINK is not implemented. linkLocation=https://365nails.com/products/handmade-independence-day-stars-and-fireworks-long-press-on-nails-5-5cm-high-quality-custom-10pcs, friendlyName=Handmade Independence Day Stars and Fireworks Long Press-On Nails 5.5cm (High Quality/Custom/10pcs)</x:v>
      </x:c>
      <x:c r="D8589" s="18" t="str">
        <x:v>Size: XS / S / M / L</x:v>
      </x:c>
      <x:c r="E8589" s="25" t="str">
        <x:v>$5.99</x:v>
      </x:c>
      <x:c r="F8589" s="19" t="str">
        <x:v>3</x:v>
      </x:c>
    </x:row>
    <x:row r="8590" ht="93" customHeight="1">
      <x:c r="A8590" s="19" t="n">
        <x:v>8587</x:v>
      </x:c>
      <x:c r="B8590" s="22" t="e">
        <x:f>HYPERLINK("https://cdn.shopify.com/s/files/1/0918/6066/4603/files/2672244041cfbb123b2fa46b212b5308.jpg?v=1777455088","Open")</x:f>
        <x:v>HYPERLINK is not implemented. linkLocation=https://cdn.shopify.com/s/files/1/0918/6066/4603/files/2672244041cfbb123b2fa46b212b5308.jpg?v=1777455088, friendlyName=Open</x:v>
      </x:c>
      <x:c r="C8590" s="24" t="e">
        <x:f>HYPERLINK("https://365nails.com/products/handmade-independence-day-fireworks-stars-and-stripes-short-press-on-nails-4cm-high-quality-custom-10pcs","Handmade Independence Day Fireworks Stars and Stripes Short Press-On Nails 4cm (High Quality/Custom/10pcs)")</x:f>
        <x:v>HYPERLINK is not implemented. linkLocation=https://365nails.com/products/handmade-independence-day-fireworks-stars-and-stripes-short-press-on-nails-4cm-high-quality-custom-10pcs, friendlyName=Handmade Independence Day Fireworks Stars and Stripes Short Press-On Nails 4cm (High Quality/Custom/10pcs)</x:v>
      </x:c>
      <x:c r="D8590" s="18" t="str">
        <x:v>Size: XS / S / M / L</x:v>
      </x:c>
      <x:c r="E8590" s="25" t="str">
        <x:v>$5.99</x:v>
      </x:c>
      <x:c r="F8590" s="19" t="str">
        <x:v>3</x:v>
      </x:c>
    </x:row>
    <x:row r="8591" ht="93" customHeight="1">
      <x:c r="A8591" s="19" t="n">
        <x:v>8588</x:v>
      </x:c>
      <x:c r="B8591" s="22" t="e">
        <x:f>HYPERLINK("https://cdn.shopify.com/s/files/1/0918/6066/4603/files/b76cc9837dd942cb712d6599b3a2bff8.jpg?v=1777454312","Open")</x:f>
        <x:v>HYPERLINK is not implemented. linkLocation=https://cdn.shopify.com/s/files/1/0918/6066/4603/files/b76cc9837dd942cb712d6599b3a2bff8.jpg?v=1777454312, friendlyName=Open</x:v>
      </x:c>
      <x:c r="C8591" s="24" t="e">
        <x:f>HYPERLINK("https://365nails.com/products/handmade-independence-day-classic-flag-press-on-holiday-custom-almond","Handmade Independence Day Classic Flag Press-On (Holiday/Custom/Almond)")</x:f>
        <x:v>HYPERLINK is not implemented. linkLocation=https://365nails.com/products/handmade-independence-day-classic-flag-press-on-holiday-custom-almond, friendlyName=Handmade Independence Day Classic Flag Press-On (Holiday/Custom/Almond)</x:v>
      </x:c>
      <x:c r="D8591" s="18" t="str">
        <x:v>Size: XS / S / M / L</x:v>
      </x:c>
      <x:c r="E8591" s="25" t="str">
        <x:v>$2.99</x:v>
      </x:c>
      <x:c r="F8591" s="19" t="str">
        <x:v>5</x:v>
      </x:c>
    </x:row>
    <x:row r="8592" ht="93" customHeight="1">
      <x:c r="A8592" s="19" t="n">
        <x:v>8589</x:v>
      </x:c>
      <x:c r="B8592" s="22" t="e">
        <x:f>HYPERLINK("https://cdn.shopify.com/s/files/1/0918/6066/4603/files/3f0ab4ceebf916fcb9f50a2dd58283d3.jpg?v=1777453999","Open")</x:f>
        <x:v>HYPERLINK is not implemented. linkLocation=https://cdn.shopify.com/s/files/1/0918/6066/4603/files/3f0ab4ceebf916fcb9f50a2dd58283d3.jpg?v=1777453999, friendlyName=Open</x:v>
      </x:c>
      <x:c r="C8592" s="24" t="e">
        <x:f>HYPERLINK("https://365nails.com/products/handmade-independence-day-red-blue-star-mixed-press-on-holiday-custom-almond","Handmade Independence Day Red Blue Star Mixed Press-On (Holiday/Custom/Almond)")</x:f>
        <x:v>HYPERLINK is not implemented. linkLocation=https://365nails.com/products/handmade-independence-day-red-blue-star-mixed-press-on-holiday-custom-almond, friendlyName=Handmade Independence Day Red Blue Star Mixed Press-On (Holiday/Custom/Almond)</x:v>
      </x:c>
      <x:c r="D8592" s="18" t="str">
        <x:v>Size: XS / S / M / L</x:v>
      </x:c>
      <x:c r="E8592" s="25" t="str">
        <x:v>$2.99</x:v>
      </x:c>
      <x:c r="F8592" s="19" t="str">
        <x:v>5</x:v>
      </x:c>
    </x:row>
    <x:row r="8593" ht="93" customHeight="1">
      <x:c r="A8593" s="19" t="n">
        <x:v>8590</x:v>
      </x:c>
      <x:c r="B8593" s="22" t="e">
        <x:f>HYPERLINK("https://cdn.shopify.com/s/files/1/0918/6066/4603/files/030ca77fea50b8d98d68f0fca1230486.jpg?v=1777102290","Open")</x:f>
        <x:v>HYPERLINK is not implemented. linkLocation=https://cdn.shopify.com/s/files/1/0918/6066/4603/files/030ca77fea50b8d98d68f0fca1230486.jpg?v=1777102290, friendlyName=Open</x:v>
      </x:c>
      <x:c r="C8593" s="24" t="e">
        <x:f>HYPERLINK("https://365nails.com/products/handmade-pearl-white-cat-eye-burgundy-french-press-on-rhinestone-custom-almond","Handmade Pearl White Cat Eye Burgundy French Press-On (Rhinestone/Custom/Almond)")</x:f>
        <x:v>HYPERLINK is not implemented. linkLocation=https://365nails.com/products/handmade-pearl-white-cat-eye-burgundy-french-press-on-rhinestone-custom-almond, friendlyName=Handmade Pearl White Cat Eye Burgundy French Press-On (Rhinestone/Custom/Almond)</x:v>
      </x:c>
      <x:c r="D8593" s="18" t="str">
        <x:v>Size: XS / S / M / L</x:v>
      </x:c>
      <x:c r="E8593" s="25" t="str">
        <x:v>$2.49</x:v>
      </x:c>
      <x:c r="F8593" s="19" t="str">
        <x:v>5</x:v>
      </x:c>
    </x:row>
    <x:row r="8594" ht="93" customHeight="1">
      <x:c r="A8594" s="19" t="n">
        <x:v>8591</x:v>
      </x:c>
      <x:c r="B8594" s="22" t="e">
        <x:f>HYPERLINK("https://cdn.shopify.com/s/files/1/0918/6066/4603/files/377169eb0d3d412a6b1bbc8ea8883d5f.jpg?v=1777102052","Open")</x:f>
        <x:v>HYPERLINK is not implemented. linkLocation=https://cdn.shopify.com/s/files/1/0918/6066/4603/files/377169eb0d3d412a6b1bbc8ea8883d5f.jpg?v=1777102052, friendlyName=Open</x:v>
      </x:c>
      <x:c r="C8594" s="24" t="e">
        <x:f>HYPERLINK("https://365nails.com/products/handmade-clear-nude-base-silver-glitter-french-press-on-glitter-custom-almond","Handmade Clear Nude Base Silver Glitter French Press-On (Glitter/Custom/Almond)")</x:f>
        <x:v>HYPERLINK is not implemented. linkLocation=https://365nails.com/products/handmade-clear-nude-base-silver-glitter-french-press-on-glitter-custom-almond, friendlyName=Handmade Clear Nude Base Silver Glitter French Press-On (Glitter/Custom/Almond)</x:v>
      </x:c>
      <x:c r="D8594" s="18" t="str">
        <x:v>Size: XS / S / M / L</x:v>
      </x:c>
      <x:c r="E8594" s="25" t="str">
        <x:v>$2.49</x:v>
      </x:c>
      <x:c r="F8594" s="19" t="str">
        <x:v>5</x:v>
      </x:c>
    </x:row>
    <x:row r="8595" ht="93" customHeight="1">
      <x:c r="A8595" s="19" t="n">
        <x:v>8592</x:v>
      </x:c>
      <x:c r="B8595" s="22" t="e">
        <x:f>HYPERLINK("https://cdn.shopify.com/s/files/1/0918/6066/4603/files/de60bc90aaac37d6cf103a074d18098f.jpg?v=1777101813","Open")</x:f>
        <x:v>HYPERLINK is not implemented. linkLocation=https://cdn.shopify.com/s/files/1/0918/6066/4603/files/de60bc90aaac37d6cf103a074d18098f.jpg?v=1777101813, friendlyName=Open</x:v>
      </x:c>
      <x:c r="C8595" s="24" t="e">
        <x:f>HYPERLINK("https://365nails.com/products/handmade-champagne-cat-eye-base-yellow-french-press-on-rhinestones-custom-almond","Handmade Champagne Cat Eye Base Yellow French Press-On (Rhinestones/Custom/Almond)")</x:f>
        <x:v>HYPERLINK is not implemented. linkLocation=https://365nails.com/products/handmade-champagne-cat-eye-base-yellow-french-press-on-rhinestones-custom-almond, friendlyName=Handmade Champagne Cat Eye Base Yellow French Press-On (Rhinestones/Custom/Almond)</x:v>
      </x:c>
      <x:c r="D8595" s="18" t="str">
        <x:v>Size: XS / S / M / L</x:v>
      </x:c>
      <x:c r="E8595" s="25" t="str">
        <x:v>$2.49</x:v>
      </x:c>
      <x:c r="F8595" s="19" t="str">
        <x:v>5</x:v>
      </x:c>
    </x:row>
    <x:row r="8596" ht="93" customHeight="1">
      <x:c r="A8596" s="19" t="n">
        <x:v>8593</x:v>
      </x:c>
      <x:c r="B8596" s="22" t="e">
        <x:f>HYPERLINK("https://cdn.shopify.com/s/files/1/0918/6066/4603/files/d66f49bf6bf1b59d0e2606a6f72c1bf6.jpg?v=1777101548","Open")</x:f>
        <x:v>HYPERLINK is not implemented. linkLocation=https://cdn.shopify.com/s/files/1/0918/6066/4603/files/d66f49bf6bf1b59d0e2606a6f72c1bf6.jpg?v=1777101548, friendlyName=Open</x:v>
      </x:c>
      <x:c r="C8596" s="24" t="e">
        <x:f>HYPERLINK("https://365nails.com/products/handmade-mint-green-cat-eye-base-green-french-press-on-cat-eye-custom-almond","Handmade Mint Green Cat Eye Base Green French Press-On (Cat Eye/Custom/Almond)")</x:f>
        <x:v>HYPERLINK is not implemented. linkLocation=https://365nails.com/products/handmade-mint-green-cat-eye-base-green-french-press-on-cat-eye-custom-almond, friendlyName=Handmade Mint Green Cat Eye Base Green French Press-On (Cat Eye/Custom/Almond)</x:v>
      </x:c>
      <x:c r="D8596" s="18" t="str">
        <x:v>Size: XS / S / M / L</x:v>
      </x:c>
      <x:c r="E8596" s="25" t="str">
        <x:v>$2.49</x:v>
      </x:c>
      <x:c r="F8596" s="19" t="str">
        <x:v>5</x:v>
      </x:c>
    </x:row>
    <x:row r="8597" ht="93" customHeight="1">
      <x:c r="A8597" s="19" t="n">
        <x:v>8594</x:v>
      </x:c>
      <x:c r="B8597" s="22" t="e">
        <x:f>HYPERLINK("https://cdn.shopify.com/s/files/1/0918/6066/4603/files/c959785a41320d9c74c12807f349babf.jpg?v=1777100681","Open")</x:f>
        <x:v>HYPERLINK is not implemented. linkLocation=https://cdn.shopify.com/s/files/1/0918/6066/4603/files/c959785a41320d9c74c12807f349babf.jpg?v=1777100681, friendlyName=Open</x:v>
      </x:c>
      <x:c r="C8597" s="24" t="e">
        <x:f>HYPERLINK("https://365nails.com/products/handmade-sparkly-silver-base-light-purple-french-press-on-glitter-custom-almond","Handmade Sparkly Silver Base Light Purple French Press-On (Glitter/Custom/Almond)")</x:f>
        <x:v>HYPERLINK is not implemented. linkLocation=https://365nails.com/products/handmade-sparkly-silver-base-light-purple-french-press-on-glitter-custom-almond, friendlyName=Handmade Sparkly Silver Base Light Purple French Press-On (Glitter/Custom/Almond)</x:v>
      </x:c>
      <x:c r="D8597" s="18" t="str">
        <x:v>Size: XS / S / M / L</x:v>
      </x:c>
      <x:c r="E8597" s="25" t="str">
        <x:v>$2.49</x:v>
      </x:c>
      <x:c r="F8597" s="19" t="str">
        <x:v>5</x:v>
      </x:c>
    </x:row>
    <x:row r="8598" ht="93" customHeight="1">
      <x:c r="A8598" s="19" t="n">
        <x:v>8595</x:v>
      </x:c>
      <x:c r="B8598" s="22" t="e">
        <x:f>HYPERLINK("https://cdn.shopify.com/s/files/1/0918/6066/4603/files/0e3671b78c9f293ef8fb56737e41860e.jpg?v=1777100212","Open")</x:f>
        <x:v>HYPERLINK is not implemented. linkLocation=https://cdn.shopify.com/s/files/1/0918/6066/4603/files/0e3671b78c9f293ef8fb56737e41860e.jpg?v=1777100212, friendlyName=Open</x:v>
      </x:c>
      <x:c r="C8598" s="24" t="e">
        <x:f>HYPERLINK("https://365nails.com/products/handmade-classic-nude-base-red-french-press-on-solid-color-custom-almond-1","Handmade Classic Nude Base Red French Press-On (Solid Color/Custom/Almond)")</x:f>
        <x:v>HYPERLINK is not implemented. linkLocation=https://365nails.com/products/handmade-classic-nude-base-red-french-press-on-solid-color-custom-almond-1, friendlyName=Handmade Classic Nude Base Red French Press-On (Solid Color/Custom/Almond)</x:v>
      </x:c>
      <x:c r="D8598" s="18" t="str">
        <x:v>Size: XS / S / M / L</x:v>
      </x:c>
      <x:c r="E8598" s="25" t="str">
        <x:v>$2.49</x:v>
      </x:c>
      <x:c r="F8598" s="19" t="str">
        <x:v>5</x:v>
      </x:c>
    </x:row>
    <x:row r="8599" ht="93" customHeight="1">
      <x:c r="A8599" s="19" t="n">
        <x:v>8596</x:v>
      </x:c>
      <x:c r="B8599" s="22" t="e">
        <x:f>HYPERLINK("https://cdn.shopify.com/s/files/1/0918/6066/4603/files/3f0ad6e2e391eadd3a1776a6d4f29b30_885a8084-c878-4bc1-8bc0-2ee0f2fce279.jpg?v=1777098310","Open")</x:f>
        <x:v>HYPERLINK is not implemented. linkLocation=https://cdn.shopify.com/s/files/1/0918/6066/4603/files/3f0ad6e2e391eadd3a1776a6d4f29b30_885a8084-c878-4bc1-8bc0-2ee0f2fce279.jpg?v=1777098310, friendlyName=Open</x:v>
      </x:c>
      <x:c r="C8599" s="24" t="e">
        <x:f>HYPERLINK("https://365nails.com/products/handmade-sheer-pink-base-shimmer-red-french-tip-press-on-nails-cat-eye-custom-almond","Handmade Sheer Pink Base Shimmer Red French Tip Press-On Nails (Cat-Eye/Custom/Almond)")</x:f>
        <x:v>HYPERLINK is not implemented. linkLocation=https://365nails.com/products/handmade-sheer-pink-base-shimmer-red-french-tip-press-on-nails-cat-eye-custom-almond, friendlyName=Handmade Sheer Pink Base Shimmer Red French Tip Press-On Nails (Cat-Eye/Custom/Almond)</x:v>
      </x:c>
      <x:c r="D8599" s="18" t="str">
        <x:v>Size: XS / S / M / L</x:v>
      </x:c>
      <x:c r="E8599" s="25" t="str">
        <x:v>$2.49</x:v>
      </x:c>
      <x:c r="F8599" s="19" t="str">
        <x:v>5</x:v>
      </x:c>
    </x:row>
    <x:row r="8600" ht="93" customHeight="1">
      <x:c r="A8600" s="19" t="n">
        <x:v>8597</x:v>
      </x:c>
      <x:c r="B8600" s="22" t="e">
        <x:f>HYPERLINK("https://cdn.shopify.com/s/files/1/0918/6066/4603/files/156073247956163b0710fb2808b8258c.jpg?v=1777098220","Open")</x:f>
        <x:v>HYPERLINK is not implemented. linkLocation=https://cdn.shopify.com/s/files/1/0918/6066/4603/files/156073247956163b0710fb2808b8258c.jpg?v=1777098220, friendlyName=Open</x:v>
      </x:c>
      <x:c r="C8600" s="24" t="e">
        <x:f>HYPERLINK("https://365nails.com/products/handmade-warm-nude-base-pure-white-french-tip-press-on-nails-solid-color-custom-almond","Handmade Warm Nude Base Pure White French Tip Press-On Nails (Solid Color/Custom/Almond)")</x:f>
        <x:v>HYPERLINK is not implemented. linkLocation=https://365nails.com/products/handmade-warm-nude-base-pure-white-french-tip-press-on-nails-solid-color-custom-almond, friendlyName=Handmade Warm Nude Base Pure White French Tip Press-On Nails (Solid Color/Custom/Almond)</x:v>
      </x:c>
      <x:c r="D8600" s="18" t="str">
        <x:v>Size: XS / S / M / L</x:v>
      </x:c>
      <x:c r="E8600" s="25" t="str">
        <x:v>$2.49</x:v>
      </x:c>
      <x:c r="F8600" s="19" t="str">
        <x:v>5</x:v>
      </x:c>
    </x:row>
    <x:row r="8601" ht="93" customHeight="1">
      <x:c r="A8601" s="19" t="n">
        <x:v>8598</x:v>
      </x:c>
      <x:c r="B8601" s="22" t="e">
        <x:f>HYPERLINK("https://cdn.shopify.com/s/files/1/0918/6066/4603/files/819d0f5183b412b51822a0078e7a8add.jpg?v=1777019681","Open")</x:f>
        <x:v>HYPERLINK is not implemented. linkLocation=https://cdn.shopify.com/s/files/1/0918/6066/4603/files/819d0f5183b412b51822a0078e7a8add.jpg?v=1777019681, friendlyName=Open</x:v>
      </x:c>
      <x:c r="C8601" s="24" t="e">
        <x:f>HYPERLINK("https://365nails.com/products/handmade-copper-cat-eye-base-white-french-press-on-shimmer-custom-almond","Handmade Copper Cat Eye Base White French Press-On (Shimmer/Custom/Almond)")</x:f>
        <x:v>HYPERLINK is not implemented. linkLocation=https://365nails.com/products/handmade-copper-cat-eye-base-white-french-press-on-shimmer-custom-almond, friendlyName=Handmade Copper Cat Eye Base White French Press-On (Shimmer/Custom/Almond)</x:v>
      </x:c>
      <x:c r="D8601" s="18" t="str">
        <x:v>Size: XS / S / M / L</x:v>
      </x:c>
      <x:c r="E8601" s="25" t="str">
        <x:v>$2.49</x:v>
      </x:c>
      <x:c r="F8601" s="19" t="str">
        <x:v>5</x:v>
      </x:c>
    </x:row>
    <x:row r="8602" ht="93" customHeight="1">
      <x:c r="A8602" s="19" t="n">
        <x:v>8599</x:v>
      </x:c>
      <x:c r="B8602" s="22" t="e">
        <x:f>HYPERLINK("https://cdn.shopify.com/s/files/1/0918/6066/4603/files/8a6f256b9324419eabbc7b2d213629c2.jpg?v=1777019292","Open")</x:f>
        <x:v>HYPERLINK is not implemented. linkLocation=https://cdn.shopify.com/s/files/1/0918/6066/4603/files/8a6f256b9324419eabbc7b2d213629c2.jpg?v=1777019292, friendlyName=Open</x:v>
      </x:c>
      <x:c r="C8602" s="24" t="e">
        <x:f>HYPERLINK("https://365nails.com/products/handmade-classic-nude-base-red-french-press-on-solid-color-custom-almond","Handmade Classic Nude Base Red French Press-On (Solid Color/Custom/Almond)")</x:f>
        <x:v>HYPERLINK is not implemented. linkLocation=https://365nails.com/products/handmade-classic-nude-base-red-french-press-on-solid-color-custom-almond, friendlyName=Handmade Classic Nude Base Red French Press-On (Solid Color/Custom/Almond)</x:v>
      </x:c>
      <x:c r="D8602" s="18" t="str">
        <x:v>Size: XS / S / M / L</x:v>
      </x:c>
      <x:c r="E8602" s="25" t="str">
        <x:v>$2.49</x:v>
      </x:c>
      <x:c r="F8602" s="19" t="str">
        <x:v>5</x:v>
      </x:c>
    </x:row>
    <x:row r="8603" ht="93" customHeight="1">
      <x:c r="A8603" s="19" t="n">
        <x:v>8600</x:v>
      </x:c>
      <x:c r="B8603" s="22" t="e">
        <x:f>HYPERLINK("https://cdn.shopify.com/s/files/1/0918/6066/4603/files/8fee1ec43947d78649666c8eb9477709.jpg?v=1777019199","Open")</x:f>
        <x:v>HYPERLINK is not implemented. linkLocation=https://cdn.shopify.com/s/files/1/0918/6066/4603/files/8fee1ec43947d78649666c8eb9477709.jpg?v=1777019199, friendlyName=Open</x:v>
      </x:c>
      <x:c r="C8603" s="24" t="e">
        <x:f>HYPERLINK("https://365nails.com/products/handmade-icy-silver-glitter-base-black-french-press-on-sparkle-custom-almond","Handmade Icy Silver Glitter Base Black French Press-On (Sparkle/Custom/Almond)")</x:f>
        <x:v>HYPERLINK is not implemented. linkLocation=https://365nails.com/products/handmade-icy-silver-glitter-base-black-french-press-on-sparkle-custom-almond, friendlyName=Handmade Icy Silver Glitter Base Black French Press-On (Sparkle/Custom/Almond)</x:v>
      </x:c>
      <x:c r="D8603" s="18" t="str">
        <x:v>Size: XS / S / M / L</x:v>
      </x:c>
      <x:c r="E8603" s="25" t="str">
        <x:v>$2.49</x:v>
      </x:c>
      <x:c r="F8603" s="19" t="str">
        <x:v>5</x:v>
      </x:c>
    </x:row>
    <x:row r="8604" ht="93" customHeight="1">
      <x:c r="A8604" s="19" t="n">
        <x:v>8601</x:v>
      </x:c>
      <x:c r="B8604" s="22" t="e">
        <x:f>HYPERLINK("https://cdn.shopify.com/s/files/1/0918/6066/4603/files/1e0e8c93772edd997401a341976f9e44.jpg?v=1777019008","Open")</x:f>
        <x:v>HYPERLINK is not implemented. linkLocation=https://cdn.shopify.com/s/files/1/0918/6066/4603/files/1e0e8c93772edd997401a341976f9e44.jpg?v=1777019008, friendlyName=Open</x:v>
      </x:c>
      <x:c r="C8604" s="24" t="e">
        <x:f>HYPERLINK("https://365nails.com/products/handmade-deep-purple-cat-eye-base-nude-french-tip-press-on-nails-shimmer-custom-almond","Handmade Deep Purple Cat Eye Base Nude French Tip Press-On Nails (Shimmer/Custom/Almond)")</x:f>
        <x:v>HYPERLINK is not implemented. linkLocation=https://365nails.com/products/handmade-deep-purple-cat-eye-base-nude-french-tip-press-on-nails-shimmer-custom-almond, friendlyName=Handmade Deep Purple Cat Eye Base Nude French Tip Press-On Nails (Shimmer/Custom/Almond)</x:v>
      </x:c>
      <x:c r="D8604" s="18" t="str">
        <x:v>Size: XS / S / M / L</x:v>
      </x:c>
      <x:c r="E8604" s="25" t="str">
        <x:v>$2.49</x:v>
      </x:c>
      <x:c r="F8604" s="19" t="str">
        <x:v>5</x:v>
      </x:c>
    </x:row>
    <x:row r="8605" ht="93" customHeight="1">
      <x:c r="A8605" s="19" t="n">
        <x:v>8602</x:v>
      </x:c>
      <x:c r="B8605" s="22" t="e">
        <x:f>HYPERLINK("https://cdn.shopify.com/s/files/1/0918/6066/4603/files/b4c9c284fd2c2e30fefacb273e25a889.jpg?v=1777019045","Open")</x:f>
        <x:v>HYPERLINK is not implemented. linkLocation=https://cdn.shopify.com/s/files/1/0918/6066/4603/files/b4c9c284fd2c2e30fefacb273e25a889.jpg?v=1777019045, friendlyName=Open</x:v>
      </x:c>
      <x:c r="C8605" s="24" t="e">
        <x:f>HYPERLINK("https://365nails.com/products/handmade-lavender-cat-eye-base-white-french-press-on-shimmer-custom-almond","Handmade Lavender Cat Eye Base White French Press-On (Shimmer/Custom/Almond)")</x:f>
        <x:v>HYPERLINK is not implemented. linkLocation=https://365nails.com/products/handmade-lavender-cat-eye-base-white-french-press-on-shimmer-custom-almond, friendlyName=Handmade Lavender Cat Eye Base White French Press-On (Shimmer/Custom/Almond)</x:v>
      </x:c>
      <x:c r="D8605" s="18" t="str">
        <x:v>Size: XS / S / M / L</x:v>
      </x:c>
      <x:c r="E8605" s="25" t="str">
        <x:v>$2.49</x:v>
      </x:c>
      <x:c r="F8605" s="19" t="str">
        <x:v>5</x:v>
      </x:c>
    </x:row>
    <x:row r="8606" ht="93" customHeight="1">
      <x:c r="A8606" s="19" t="n">
        <x:v>8603</x:v>
      </x:c>
      <x:c r="B8606" s="22" t="e">
        <x:f>HYPERLINK("https://cdn.shopify.com/s/files/1/0918/6066/4603/files/3ab1681a47296436334bac29c58c0889.jpg?v=1777018612","Open")</x:f>
        <x:v>HYPERLINK is not implemented. linkLocation=https://cdn.shopify.com/s/files/1/0918/6066/4603/files/3ab1681a47296436334bac29c58c0889.jpg?v=1777018612, friendlyName=Open</x:v>
      </x:c>
      <x:c r="C8606" s="24" t="e">
        <x:f>HYPERLINK("https://365nails.com/products/handmade-rose-gold-cat-eye-base-nude-french-press-on-shimmer-custom-almond","Handmade Rose Gold Cat Eye Base Nude French Press-On (Shimmer/Custom/Almond)")</x:f>
        <x:v>HYPERLINK is not implemented. linkLocation=https://365nails.com/products/handmade-rose-gold-cat-eye-base-nude-french-press-on-shimmer-custom-almond, friendlyName=Handmade Rose Gold Cat Eye Base Nude French Press-On (Shimmer/Custom/Almond)</x:v>
      </x:c>
      <x:c r="D8606" s="18" t="str">
        <x:v>Size: XS / S / M / L</x:v>
      </x:c>
      <x:c r="E8606" s="25" t="str">
        <x:v>$2.49</x:v>
      </x:c>
      <x:c r="F8606" s="19" t="str">
        <x:v>5</x:v>
      </x:c>
    </x:row>
    <x:row r="8607" ht="93" customHeight="1">
      <x:c r="A8607" s="19" t="n">
        <x:v>8604</x:v>
      </x:c>
      <x:c r="B8607" s="22" t="e">
        <x:f>HYPERLINK("https://cdn.shopify.com/s/files/1/0918/6066/4603/files/d20afedc17cf48ebecdc5a9c982da85f_1b132d4e-9761-4ca5-8a1e-e7cf4dbb4d54.jpg?v=1777017568","Open")</x:f>
        <x:v>HYPERLINK is not implemented. linkLocation=https://cdn.shopify.com/s/files/1/0918/6066/4603/files/d20afedc17cf48ebecdc5a9c982da85f_1b132d4e-9761-4ca5-8a1e-e7cf4dbb4d54.jpg?v=1777017568, friendlyName=Open</x:v>
      </x:c>
      <x:c r="C8607" s="24" t="e">
        <x:f>HYPERLINK("https://365nails.com/products/handmade-nude-base-red-polka-dot-french-tip-press-on-nails-retro-custom-almond-1","Handmade Nude Base Red Polka Dot French Tip Press-On Nails (Retro/Custom/Almond)")</x:f>
        <x:v>HYPERLINK is not implemented. linkLocation=https://365nails.com/products/handmade-nude-base-red-polka-dot-french-tip-press-on-nails-retro-custom-almond-1, friendlyName=Handmade Nude Base Red Polka Dot French Tip Press-On Nails (Retro/Custom/Almond)</x:v>
      </x:c>
      <x:c r="D8607" s="18" t="str">
        <x:v>Size: XS / S / M / L</x:v>
      </x:c>
      <x:c r="E8607" s="25" t="str">
        <x:v>$2.49</x:v>
      </x:c>
      <x:c r="F8607" s="19" t="str">
        <x:v>5</x:v>
      </x:c>
    </x:row>
    <x:row r="8608" ht="93" customHeight="1">
      <x:c r="A8608" s="19" t="n">
        <x:v>8605</x:v>
      </x:c>
      <x:c r="B8608" s="22" t="e">
        <x:f>HYPERLINK("https://cdn.shopify.com/s/files/1/0918/6066/4603/files/d20afedc17cf48ebecdc5a9c982da85f.jpg?v=1777017104","Open")</x:f>
        <x:v>HYPERLINK is not implemented. linkLocation=https://cdn.shopify.com/s/files/1/0918/6066/4603/files/d20afedc17cf48ebecdc5a9c982da85f.jpg?v=1777017104, friendlyName=Open</x:v>
      </x:c>
      <x:c r="C8608" s="24" t="e">
        <x:f>HYPERLINK("https://365nails.com/products/handmade-nude-base-red-polka-dot-french-tip-press-on-nails-retro-custom-almond","Handmade Nude Base Red Polka Dot French Tip Press-On Nails (Retro/Custom/Almond)")</x:f>
        <x:v>HYPERLINK is not implemented. linkLocation=https://365nails.com/products/handmade-nude-base-red-polka-dot-french-tip-press-on-nails-retro-custom-almond, friendlyName=Handmade Nude Base Red Polka Dot French Tip Press-On Nails (Retro/Custom/Almond)</x:v>
      </x:c>
      <x:c r="D8608" s="18" t="str">
        <x:v>Size: XS / S / M / L</x:v>
      </x:c>
      <x:c r="E8608" s="25" t="str">
        <x:v>$2.49</x:v>
      </x:c>
      <x:c r="F8608" s="19" t="str">
        <x:v>5</x:v>
      </x:c>
    </x:row>
    <x:row r="8609" ht="93" customHeight="1">
      <x:c r="A8609" s="19" t="n">
        <x:v>8606</x:v>
      </x:c>
      <x:c r="B8609" s="22" t="e">
        <x:f>HYPERLINK("https://cdn.shopify.com/s/files/1/0918/6066/4603/files/b342f6e0325e124af04fa943e2a6d2b2.jpg?v=1777016974","Open")</x:f>
        <x:v>HYPERLINK is not implemented. linkLocation=https://cdn.shopify.com/s/files/1/0918/6066/4603/files/b342f6e0325e124af04fa943e2a6d2b2.jpg?v=1777016974, friendlyName=Open</x:v>
      </x:c>
      <x:c r="C8609" s="24" t="e">
        <x:f>HYPERLINK("https://365nails.com/products/365nails-handmade-nude-base-black-french-tip-press-on-nails-solid-color-custom-almond","Handmade Nude Base Black French Tip Press-On Nails (Solid Color/Custom/Almond)")</x:f>
        <x:v>HYPERLINK is not implemented. linkLocation=https://365nails.com/products/365nails-handmade-nude-base-black-french-tip-press-on-nails-solid-color-custom-almond, friendlyName=Handmade Nude Base Black French Tip Press-On Nails (Solid Color/Custom/Almond)</x:v>
      </x:c>
      <x:c r="D8609" s="18" t="str">
        <x:v>Size: XS / S / M / L</x:v>
      </x:c>
      <x:c r="E8609" s="25" t="str">
        <x:v>$2.49</x:v>
      </x:c>
      <x:c r="F8609" s="19" t="str">
        <x:v>5</x:v>
      </x:c>
    </x:row>
    <x:row r="8610" ht="93" customHeight="1">
      <x:c r="A8610" s="19" t="n">
        <x:v>8607</x:v>
      </x:c>
      <x:c r="B8610" s="22" t="e">
        <x:f>HYPERLINK("https://cdn.shopify.com/s/files/1/0918/6066/4603/files/9589ce5172f6d2d7bd25f8e7115182ec.jpg?v=1777016755","Open")</x:f>
        <x:v>HYPERLINK is not implemented. linkLocation=https://cdn.shopify.com/s/files/1/0918/6066/4603/files/9589ce5172f6d2d7bd25f8e7115182ec.jpg?v=1777016755, friendlyName=Open</x:v>
      </x:c>
      <x:c r="C8610" s="24" t="e">
        <x:f>HYPERLINK("https://365nails.com/products/365nails-handmade-silver-line-sheer-pink-base-white-french-tip-press-on-nails-glitter-custom-almond","Handmade Silver Line Sheer Pink Base White French Tip Press-On Nails (Glitter/Custom/Almond)")</x:f>
        <x:v>HYPERLINK is not implemented. linkLocation=https://365nails.com/products/365nails-handmade-silver-line-sheer-pink-base-white-french-tip-press-on-nails-glitter-custom-almond, friendlyName=Handmade Silver Line Sheer Pink Base White French Tip Press-On Nails (Glitter/Custom/Almond)</x:v>
      </x:c>
      <x:c r="D8610" s="18" t="str">
        <x:v>Size: XS / S / M / L</x:v>
      </x:c>
      <x:c r="E8610" s="25" t="str">
        <x:v>$2.49</x:v>
      </x:c>
      <x:c r="F8610" s="19" t="str">
        <x:v>5</x:v>
      </x:c>
    </x:row>
    <x:row r="8611" ht="93" customHeight="1">
      <x:c r="A8611" s="19" t="n">
        <x:v>8608</x:v>
      </x:c>
      <x:c r="B8611" s="22" t="e">
        <x:f>HYPERLINK("https://cdn.shopify.com/s/files/1/0918/6066/4603/files/967c06a36e54b768a044e8c0888c6753.jpg?v=1777012044","Open")</x:f>
        <x:v>HYPERLINK is not implemented. linkLocation=https://cdn.shopify.com/s/files/1/0918/6066/4603/files/967c06a36e54b768a044e8c0888c6753.jpg?v=1777012044, friendlyName=Open</x:v>
      </x:c>
      <x:c r="C8611" s="24" t="e">
        <x:f>HYPERLINK("https://365nails.com/products/365nails-handmade-classic-light-nude-base-bright-white-french-tip-press-on-nails-solid-color-custom-minimalist","Handmade Classic Light Nude Base Bright White French Tip Press-On Nails (Solid Color/Custom/Minimalist)")</x:f>
        <x:v>HYPERLINK is not implemented. linkLocation=https://365nails.com/products/365nails-handmade-classic-light-nude-base-bright-white-french-tip-press-on-nails-solid-color-custom-minimalist, friendlyName=Handmade Classic Light Nude Base Bright White French Tip Press-On Nails (Solid Color/Custom/Minimalist)</x:v>
      </x:c>
      <x:c r="D8611" s="18" t="str">
        <x:v>Size: XS / S / M / L</x:v>
      </x:c>
      <x:c r="E8611" s="25" t="str">
        <x:v>$2.49</x:v>
      </x:c>
      <x:c r="F8611" s="19" t="str">
        <x:v>5</x:v>
      </x:c>
    </x:row>
    <x:row r="8612" ht="93" customHeight="1">
      <x:c r="A8612" s="19" t="n">
        <x:v>8609</x:v>
      </x:c>
      <x:c r="B8612" s="22" t="e">
        <x:f>HYPERLINK("https://cdn.shopify.com/s/files/1/0918/6066/4603/files/15cdae717ec1964d816af249a8c827c3.jpg?v=1777011927","Open")</x:f>
        <x:v>HYPERLINK is not implemented. linkLocation=https://cdn.shopify.com/s/files/1/0918/6066/4603/files/15cdae717ec1964d816af249a8c827c3.jpg?v=1777011927, friendlyName=Open</x:v>
      </x:c>
      <x:c r="C8612" s="24" t="e">
        <x:f>HYPERLINK("https://365nails.com/products/365nails-handmade-burgundy-base-pure-white-french-tip-press-on-nails-solid-color-custom-almond","365nails: Handmade Burgundy Base Pure White French Tip Press-On Nails (Solid Color/Custom/Almond)")</x:f>
        <x:v>HYPERLINK is not implemented. linkLocation=https://365nails.com/products/365nails-handmade-burgundy-base-pure-white-french-tip-press-on-nails-solid-color-custom-almond, friendlyName=365nails: Handmade Burgundy Base Pure White French Tip Press-On Nails (Solid Color/Custom/Almond)</x:v>
      </x:c>
      <x:c r="D8612" s="18" t="str">
        <x:v>Size: XS / S / M / L</x:v>
      </x:c>
      <x:c r="E8612" s="25" t="str">
        <x:v>$2.49</x:v>
      </x:c>
      <x:c r="F8612" s="19" t="str">
        <x:v>5</x:v>
      </x:c>
    </x:row>
    <x:row r="8613" ht="93" customHeight="1">
      <x:c r="A8613" s="19" t="n">
        <x:v>8610</x:v>
      </x:c>
      <x:c r="B8613" s="22" t="e">
        <x:f>HYPERLINK("https://cdn.shopify.com/s/files/1/0918/6066/4603/files/961ff14d002602c8d1344e75391d9c64.jpg?v=1777010300","Open")</x:f>
        <x:v>HYPERLINK is not implemented. linkLocation=https://cdn.shopify.com/s/files/1/0918/6066/4603/files/961ff14d002602c8d1344e75391d9c64.jpg?v=1777010300, friendlyName=Open</x:v>
      </x:c>
      <x:c r="C8613" s="24" t="e">
        <x:f>HYPERLINK("https://365nails.com/products/365nails-handmade-pearl-champagne-base-retro-red-french-tip-press-on-nails-shimmer-custom-almond","Handmade Pearl Champagne Base Retro Red French Tip Press-On Nails (Shimmer/Custom/Almond")</x:f>
        <x:v>HYPERLINK is not implemented. linkLocation=https://365nails.com/products/365nails-handmade-pearl-champagne-base-retro-red-french-tip-press-on-nails-shimmer-custom-almond, friendlyName=Handmade Pearl Champagne Base Retro Red French Tip Press-On Nails (Shimmer/Custom/Almond</x:v>
      </x:c>
      <x:c r="D8613" s="18" t="str">
        <x:v>Size: XS / S / M / L</x:v>
      </x:c>
      <x:c r="E8613" s="25" t="str">
        <x:v>$2.49</x:v>
      </x:c>
      <x:c r="F8613" s="19" t="str">
        <x:v>5</x:v>
      </x:c>
    </x:row>
    <x:row r="8614" ht="93" customHeight="1">
      <x:c r="A8614" s="19" t="n">
        <x:v>8611</x:v>
      </x:c>
      <x:c r="B8614" s="22" t="e">
        <x:f>HYPERLINK("https://cdn.shopify.com/s/files/1/0918/6066/4603/files/02d56f5f5d35546ee08cced8d52a4143.jpg?v=1777009850","Open")</x:f>
        <x:v>HYPERLINK is not implemented. linkLocation=https://cdn.shopify.com/s/files/1/0918/6066/4603/files/02d56f5f5d35546ee08cced8d52a4143.jpg?v=1777009850, friendlyName=Open</x:v>
      </x:c>
      <x:c r="C8614" s="24" t="e">
        <x:f>HYPERLINK("https://365nails.com/products/365nails-handmade-classic-pink-base-pure-white-french-tip-press-on-nails-solid-color-custom-bridal","Handmade Classic Pink Base Pure White French Tip Press-On Nails (Solid Color/Custom/Bridal)")</x:f>
        <x:v>HYPERLINK is not implemented. linkLocation=https://365nails.com/products/365nails-handmade-classic-pink-base-pure-white-french-tip-press-on-nails-solid-color-custom-bridal, friendlyName=Handmade Classic Pink Base Pure White French Tip Press-On Nails (Solid Color/Custom/Bridal)</x:v>
      </x:c>
      <x:c r="D8614" s="18" t="str">
        <x:v>Size: XS / S / M / L</x:v>
      </x:c>
      <x:c r="E8614" s="25" t="str">
        <x:v>$2.49</x:v>
      </x:c>
      <x:c r="F8614" s="19" t="str">
        <x:v>5</x:v>
      </x:c>
    </x:row>
    <x:row r="8615" ht="93" customHeight="1">
      <x:c r="A8615" s="19" t="n">
        <x:v>8612</x:v>
      </x:c>
      <x:c r="B8615" s="22" t="e">
        <x:f>HYPERLINK("https://cdn.shopify.com/s/files/1/0918/6066/4603/files/466987800092dcbe625625adaad85626.jpg?v=1777003436","Open")</x:f>
        <x:v>HYPERLINK is not implemented. linkLocation=https://cdn.shopify.com/s/files/1/0918/6066/4603/files/466987800092dcbe625625adaad85626.jpg?v=1777003436, friendlyName=Open</x:v>
      </x:c>
      <x:c r="C8615" s="24" t="e">
        <x:f>HYPERLINK("https://365nails.com/products/365nails-handmade-soft-light-nude-milky-white-french-tip-press-on-nails-solid-color-custom-minimalist","Handmade Soft Light Nude Milky White French Tip Press-On Nails (Solid Color/Custom/Minimalist)")</x:f>
        <x:v>HYPERLINK is not implemented. linkLocation=https://365nails.com/products/365nails-handmade-soft-light-nude-milky-white-french-tip-press-on-nails-solid-color-custom-minimalist, friendlyName=Handmade Soft Light Nude Milky White French Tip Press-On Nails (Solid Color/Custom/Minimalist)</x:v>
      </x:c>
      <x:c r="D8615" s="18" t="str">
        <x:v>Size: XS / S / M / L</x:v>
      </x:c>
      <x:c r="E8615" s="25" t="str">
        <x:v>$2.49</x:v>
      </x:c>
      <x:c r="F8615" s="19" t="str">
        <x:v>5</x:v>
      </x:c>
    </x:row>
    <x:row r="8616" ht="93" customHeight="1">
      <x:c r="A8616" s="19" t="n">
        <x:v>8613</x:v>
      </x:c>
      <x:c r="B8616" s="22" t="e">
        <x:f>HYPERLINK("https://cdn.shopify.com/s/files/1/0918/6066/4603/files/3f0ad6e2e391eadd3a1776a6d4f29b30.jpg?v=1777003143","Open")</x:f>
        <x:v>HYPERLINK is not implemented. linkLocation=https://cdn.shopify.com/s/files/1/0918/6066/4603/files/3f0ad6e2e391eadd3a1776a6d4f29b30.jpg?v=1777003143, friendlyName=Open</x:v>
      </x:c>
      <x:c r="C8616" s="24" t="e">
        <x:f>HYPERLINK("https://365nails.com/products/365nails-handmade-sheer-pink-base-shimmer-red-french-tip-press-on-nails-cat-eye-custom-almond","Handmade Sheer Pink Base Shimmer Red French Tip Press-On Nails (Cat-Eye/Custom/Almond)")</x:f>
        <x:v>HYPERLINK is not implemented. linkLocation=https://365nails.com/products/365nails-handmade-sheer-pink-base-shimmer-red-french-tip-press-on-nails-cat-eye-custom-almond, friendlyName=Handmade Sheer Pink Base Shimmer Red French Tip Press-On Nails (Cat-Eye/Custom/Almond)</x:v>
      </x:c>
      <x:c r="D8616" s="18" t="str">
        <x:v>Size: XS / S / M / L</x:v>
      </x:c>
      <x:c r="E8616" s="25" t="str">
        <x:v>$2.49</x:v>
      </x:c>
      <x:c r="F8616" s="19" t="str">
        <x:v>5</x:v>
      </x:c>
    </x:row>
    <x:row r="8617" ht="93" customHeight="1">
      <x:c r="A8617" s="19" t="n">
        <x:v>8614</x:v>
      </x:c>
      <x:c r="B8617" s="22" t="e">
        <x:f>HYPERLINK("https://cdn.shopify.com/s/files/1/0918/6066/4603/files/bf359e76d037b52bf21df053356648d3.jpg?v=1777003079","Open")</x:f>
        <x:v>HYPERLINK is not implemented. linkLocation=https://cdn.shopify.com/s/files/1/0918/6066/4603/files/bf359e76d037b52bf21df053356648d3.jpg?v=1777003079, friendlyName=Open</x:v>
      </x:c>
      <x:c r="C8617" s="24" t="e">
        <x:f>HYPERLINK("https://365nails.com/products/365nails-handmade-monochromatic-warm-nude-french-tip-press-on-nails-solid-color-custom-almond","Handmade Monochromatic Warm Nude French Tip Press-On Nails (Solid Color/Custom/Almond)")</x:f>
        <x:v>HYPERLINK is not implemented. linkLocation=https://365nails.com/products/365nails-handmade-monochromatic-warm-nude-french-tip-press-on-nails-solid-color-custom-almond, friendlyName=Handmade Monochromatic Warm Nude French Tip Press-On Nails (Solid Color/Custom/Almond)</x:v>
      </x:c>
      <x:c r="D8617" s="18" t="str">
        <x:v>Size: XS / S / M / L</x:v>
      </x:c>
      <x:c r="E8617" s="25" t="str">
        <x:v>$2.49</x:v>
      </x:c>
      <x:c r="F8617" s="19" t="str">
        <x:v>5</x:v>
      </x:c>
    </x:row>
    <x:row r="8618" ht="93" customHeight="1">
      <x:c r="A8618" s="19" t="n">
        <x:v>8615</x:v>
      </x:c>
      <x:c r="B8618" s="22" t="e">
        <x:f>HYPERLINK("https://cdn.shopify.com/s/files/1/0918/6066/4603/files/92820ecd65fa994492e6a34e803b382a.jpg?v=1776412343","Open")</x:f>
        <x:v>HYPERLINK is not implemented. linkLocation=https://cdn.shopify.com/s/files/1/0918/6066/4603/files/92820ecd65fa994492e6a34e803b382a.jpg?v=1776412343, friendlyName=Open</x:v>
      </x:c>
      <x:c r="C8618" s="24" t="e">
        <x:f>HYPERLINK("https://365nails.com/products/365nails-dollhouse-dream-3d-figure-art-handmade-coffin-nails","365nails: ""Dollhouse Dream"" – 3D Figure Art Handmade Coffin Nails-5.5cm")</x:f>
        <x:v>HYPERLINK is not implemented. linkLocation=https://365nails.com/products/365nails-dollhouse-dream-3d-figure-art-handmade-coffin-nails, friendlyName=365nails: "Dollhouse Dream" – 3D Figure Art Handmade Coffin Nails-5.5cm</x:v>
      </x:c>
      <x:c r="D8618" s="18" t="str">
        <x:v>Size: XS / S / M / L</x:v>
      </x:c>
      <x:c r="E8618" s="25" t="str">
        <x:v>$7.99</x:v>
      </x:c>
      <x:c r="F8618" s="19" t="str">
        <x:v>10</x:v>
      </x:c>
    </x:row>
    <x:row r="8619" ht="93" customHeight="1">
      <x:c r="A8619" s="19" t="n">
        <x:v>8616</x:v>
      </x:c>
      <x:c r="B8619" s="22" t="e">
        <x:f>HYPERLINK("https://cdn.shopify.com/s/files/1/0918/6066/4603/files/6162333b9cf80cd2125cb56a23379f0b.jpg?v=1776412204","Open")</x:f>
        <x:v>HYPERLINK is not implemented. linkLocation=https://cdn.shopify.com/s/files/1/0918/6066/4603/files/6162333b9cf80cd2125cb56a23379f0b.jpg?v=1776412204, friendlyName=Open</x:v>
      </x:c>
      <x:c r="C8619" s="24" t="e">
        <x:f>HYPERLINK("https://365nails.com/products/365nails-gothic-masquerade-3d-figure-art-handmade-coffin-nails","365nails: ""Gothic Masquerade"" – 3D Figure Art Handmade Coffin Nails-5.5cm")</x:f>
        <x:v>HYPERLINK is not implemented. linkLocation=https://365nails.com/products/365nails-gothic-masquerade-3d-figure-art-handmade-coffin-nails, friendlyName=365nails: "Gothic Masquerade" – 3D Figure Art Handmade Coffin Nails-5.5cm</x:v>
      </x:c>
      <x:c r="D8619" s="18" t="str">
        <x:v>Size: XS / S / M / L</x:v>
      </x:c>
      <x:c r="E8619" s="25" t="str">
        <x:v>$7.99</x:v>
      </x:c>
      <x:c r="F8619" s="19" t="str">
        <x:v>10</x:v>
      </x:c>
    </x:row>
    <x:row r="8620" ht="93" customHeight="1">
      <x:c r="A8620" s="19" t="n">
        <x:v>8617</x:v>
      </x:c>
      <x:c r="B8620" s="22" t="e">
        <x:f>HYPERLINK("https://cdn.shopify.com/s/files/1/0918/6066/4603/files/706559ea844d27aa50a5e909c011518f.jpg?v=1776412135","Open")</x:f>
        <x:v>HYPERLINK is not implemented. linkLocation=https://cdn.shopify.com/s/files/1/0918/6066/4603/files/706559ea844d27aa50a5e909c011518f.jpg?v=1776412135, friendlyName=Open</x:v>
      </x:c>
      <x:c r="C8620" s="24" t="e">
        <x:f>HYPERLINK("https://365nails.com/products/365nails-midnight-opera-3d-figure-art-handmade-coffin-nails","365nails: ""Midnight Opera"" – 3D Figure Art Handmade Coffin Nails-5.5cm")</x:f>
        <x:v>HYPERLINK is not implemented. linkLocation=https://365nails.com/products/365nails-midnight-opera-3d-figure-art-handmade-coffin-nails, friendlyName=365nails: "Midnight Opera" – 3D Figure Art Handmade Coffin Nails-5.5cm</x:v>
      </x:c>
      <x:c r="D8620" s="18" t="str">
        <x:v>Size: XS / S / M / L</x:v>
      </x:c>
      <x:c r="E8620" s="25" t="str">
        <x:v>$7.99</x:v>
      </x:c>
      <x:c r="F8620" s="19" t="str">
        <x:v>10</x:v>
      </x:c>
    </x:row>
    <x:row r="8621" ht="93" customHeight="1">
      <x:c r="A8621" s="19" t="n">
        <x:v>8618</x:v>
      </x:c>
      <x:c r="B8621" s="22" t="e">
        <x:f>HYPERLINK("https://cdn.shopify.com/s/files/1/0918/6066/4603/files/23c458328501891acf863ba65b0db3e2.jpg?v=1776412035","Open")</x:f>
        <x:v>HYPERLINK is not implemented. linkLocation=https://cdn.shopify.com/s/files/1/0918/6066/4603/files/23c458328501891acf863ba65b0db3e2.jpg?v=1776412035, friendlyName=Open</x:v>
      </x:c>
      <x:c r="C8621" s="24" t="e">
        <x:f>HYPERLINK("https://365nails.com/products/365nails-frozen-fantasy-3d-cartoon-figure-handmade-coffin-nails","365nails: ""Frozen Fantasy"" – 3D Cartoon Figure Handmade Coffin Nails-5.5cm")</x:f>
        <x:v>HYPERLINK is not implemented. linkLocation=https://365nails.com/products/365nails-frozen-fantasy-3d-cartoon-figure-handmade-coffin-nails, friendlyName=365nails: "Frozen Fantasy" – 3D Cartoon Figure Handmade Coffin Nails-5.5cm</x:v>
      </x:c>
      <x:c r="D8621" s="18" t="str">
        <x:v>Size: XS / S / M / L</x:v>
      </x:c>
      <x:c r="E8621" s="25" t="str">
        <x:v>$7.99</x:v>
      </x:c>
      <x:c r="F8621" s="19" t="str">
        <x:v>10</x:v>
      </x:c>
    </x:row>
    <x:row r="8622" ht="93" customHeight="1">
      <x:c r="A8622" s="19" t="n">
        <x:v>8619</x:v>
      </x:c>
      <x:c r="B8622" s="22" t="e">
        <x:f>HYPERLINK("https://cdn.shopify.com/s/files/1/0918/6066/4603/files/f9ef2adfc6c8fee22959d23c7e20df89.jpg?v=1776411872","Open")</x:f>
        <x:v>HYPERLINK is not implemented. linkLocation=https://cdn.shopify.com/s/files/1/0918/6066/4603/files/f9ef2adfc6c8fee22959d23c7e20df89.jpg?v=1776411872, friendlyName=Open</x:v>
      </x:c>
      <x:c r="C8622" s="24" t="e">
        <x:f>HYPERLINK("https://365nails.com/products/365nails-eastern-enchantment-3d-figure-art-handmade-coffin-nails","365nails: ""Eastern Enchantment"" – 3D Figure Art Handmade Coffin Nails-5.5cm")</x:f>
        <x:v>HYPERLINK is not implemented. linkLocation=https://365nails.com/products/365nails-eastern-enchantment-3d-figure-art-handmade-coffin-nails, friendlyName=365nails: "Eastern Enchantment" – 3D Figure Art Handmade Coffin Nails-5.5cm</x:v>
      </x:c>
      <x:c r="D8622" s="18" t="str">
        <x:v>Size: XS / S / M / L</x:v>
      </x:c>
      <x:c r="E8622" s="25" t="str">
        <x:v>$7.99</x:v>
      </x:c>
      <x:c r="F8622" s="19" t="str">
        <x:v>10</x:v>
      </x:c>
    </x:row>
    <x:row r="8623" ht="93" customHeight="1">
      <x:c r="A8623" s="19" t="n">
        <x:v>8620</x:v>
      </x:c>
      <x:c r="B8623" s="22" t="e">
        <x:f>HYPERLINK("https://cdn.shopify.com/s/files/1/0918/6066/4603/files/d05f721c1e017d4524be23b6c4b6075a.jpg?v=1776411782","Open")</x:f>
        <x:v>HYPERLINK is not implemented. linkLocation=https://cdn.shopify.com/s/files/1/0918/6066/4603/files/d05f721c1e017d4524be23b6c4b6075a.jpg?v=1776411782, friendlyName=Open</x:v>
      </x:c>
      <x:c r="C8623" s="24" t="e">
        <x:f>HYPERLINK("https://365nails.com/products/365nails-crimson-masquerade-3d-figure-art-handmade-coffin-nails","365nails: ""Crimson Masquerade"" – 3D Figure Art Handmade Coffin Nails-5.5cm")</x:f>
        <x:v>HYPERLINK is not implemented. linkLocation=https://365nails.com/products/365nails-crimson-masquerade-3d-figure-art-handmade-coffin-nails, friendlyName=365nails: "Crimson Masquerade" – 3D Figure Art Handmade Coffin Nails-5.5cm</x:v>
      </x:c>
      <x:c r="D8623" s="18" t="str">
        <x:v>Size: XS / S / M / L</x:v>
      </x:c>
      <x:c r="E8623" s="25" t="str">
        <x:v>$7.99</x:v>
      </x:c>
      <x:c r="F8623" s="19" t="str">
        <x:v>10</x:v>
      </x:c>
    </x:row>
    <x:row r="8624" ht="93" customHeight="1">
      <x:c r="A8624" s="19" t="n">
        <x:v>8621</x:v>
      </x:c>
      <x:c r="B8624" s="22" t="e">
        <x:f>HYPERLINK("https://cdn.shopify.com/s/files/1/0918/6066/4603/files/dc9100923b701e3a51fb02fe90f63661.jpg?v=1776411720","Open")</x:f>
        <x:v>HYPERLINK is not implemented. linkLocation=https://cdn.shopify.com/s/files/1/0918/6066/4603/files/dc9100923b701e3a51fb02fe90f63661.jpg?v=1776411720, friendlyName=Open</x:v>
      </x:c>
      <x:c r="C8624" s="24" t="e">
        <x:f>HYPERLINK("https://365nails.com/products/365nails-neon-y2k-3d-bow-figure-handmade-coffin-nails","365nails: ""Neon Y2K"" – 3D Bow &amp; Figure Handmade Coffin Nails-5.5cm")</x:f>
        <x:v>HYPERLINK is not implemented. linkLocation=https://365nails.com/products/365nails-neon-y2k-3d-bow-figure-handmade-coffin-nails, friendlyName=365nails: "Neon Y2K" – 3D Bow &amp; Figure Handmade Coffin Nails-5.5cm</x:v>
      </x:c>
      <x:c r="D8624" s="18" t="str">
        <x:v>Size: XS / S / M / L</x:v>
      </x:c>
      <x:c r="E8624" s="25" t="str">
        <x:v>$7.99</x:v>
      </x:c>
      <x:c r="F8624" s="19" t="str">
        <x:v>10</x:v>
      </x:c>
    </x:row>
    <x:row r="8625" ht="93" customHeight="1">
      <x:c r="A8625" s="19" t="n">
        <x:v>8622</x:v>
      </x:c>
      <x:c r="B8625" s="22" t="e">
        <x:f>HYPERLINK("https://cdn.shopify.com/s/files/1/0918/6066/4603/files/40fe2620049024fab41ba3ad671fcbdd.jpg?v=1776411655","Open")</x:f>
        <x:v>HYPERLINK is not implemented. linkLocation=https://cdn.shopify.com/s/files/1/0918/6066/4603/files/40fe2620049024fab41ba3ad671fcbdd.jpg?v=1776411655, friendlyName=Open</x:v>
      </x:c>
      <x:c r="C8625" s="24" t="e">
        <x:f>HYPERLINK("https://365nails.com/products/365nails-midnight-masquerade-3d-art-handmade-coffin-nails","365nails: ""Midnight Masquerade"" – 3D Art Handmade Coffin Nails-5.5cm")</x:f>
        <x:v>HYPERLINK is not implemented. linkLocation=https://365nails.com/products/365nails-midnight-masquerade-3d-art-handmade-coffin-nails, friendlyName=365nails: "Midnight Masquerade" – 3D Art Handmade Coffin Nails-5.5cm</x:v>
      </x:c>
      <x:c r="D8625" s="18" t="str">
        <x:v>Size: XS / S / M / L</x:v>
      </x:c>
      <x:c r="E8625" s="25" t="str">
        <x:v>$7.99</x:v>
      </x:c>
      <x:c r="F8625" s="19" t="str">
        <x:v>10</x:v>
      </x:c>
    </x:row>
    <x:row r="8626" ht="93" customHeight="1">
      <x:c r="A8626" s="19" t="n">
        <x:v>8623</x:v>
      </x:c>
      <x:c r="B8626" s="22" t="e">
        <x:f>HYPERLINK("https://cdn.shopify.com/s/files/1/0918/6066/4603/files/5a745ee42a29355c6914945d583cbc5e.jpg?v=1776411590","Open")</x:f>
        <x:v>HYPERLINK is not implemented. linkLocation=https://cdn.shopify.com/s/files/1/0918/6066/4603/files/5a745ee42a29355c6914945d583cbc5e.jpg?v=1776411590, friendlyName=Open</x:v>
      </x:c>
      <x:c r="C8626" s="24" t="e">
        <x:f>HYPERLINK("https://365nails.com/products/365nails-sweet-whimsy-3d-cartoon-figure-handmade-coffin-nails","365nails: ""Sweet Whimsy"" – 3D Cartoon Figure Handmade Coffin Nails-5.5cm")</x:f>
        <x:v>HYPERLINK is not implemented. linkLocation=https://365nails.com/products/365nails-sweet-whimsy-3d-cartoon-figure-handmade-coffin-nails, friendlyName=365nails: "Sweet Whimsy" – 3D Cartoon Figure Handmade Coffin Nails-5.5cm</x:v>
      </x:c>
      <x:c r="D8626" s="18" t="str">
        <x:v>Size: XS / S / M / L</x:v>
      </x:c>
      <x:c r="E8626" s="25" t="str">
        <x:v>$7.99</x:v>
      </x:c>
      <x:c r="F8626" s="19" t="str">
        <x:v>10</x:v>
      </x:c>
    </x:row>
    <x:row r="8627" ht="93" customHeight="1">
      <x:c r="A8627" s="19" t="n">
        <x:v>8624</x:v>
      </x:c>
      <x:c r="B8627" s="22" t="e">
        <x:f>HYPERLINK("https://cdn.shopify.com/s/files/1/0918/6066/4603/files/57216efad018893591ab6179059d4856.jpg?v=1776411520","Open")</x:f>
        <x:v>HYPERLINK is not implemented. linkLocation=https://cdn.shopify.com/s/files/1/0918/6066/4603/files/57216efad018893591ab6179059d4856.jpg?v=1776411520, friendlyName=Open</x:v>
      </x:c>
      <x:c r="C8627" s="24" t="e">
        <x:f>HYPERLINK("https://365nails.com/products/365nails-ethereal-fantasy-3d-figure-art-handmade-coffin-nails","365nails: ""Ethereal Fantasy"" – 3D Figure Art Handmade Coffin Nails-5.5cm")</x:f>
        <x:v>HYPERLINK is not implemented. linkLocation=https://365nails.com/products/365nails-ethereal-fantasy-3d-figure-art-handmade-coffin-nails, friendlyName=365nails: "Ethereal Fantasy" – 3D Figure Art Handmade Coffin Nails-5.5cm</x:v>
      </x:c>
      <x:c r="D8627" s="18" t="str">
        <x:v>Size: XS / S / M / L</x:v>
      </x:c>
      <x:c r="E8627" s="25" t="str">
        <x:v>$7.99</x:v>
      </x:c>
      <x:c r="F8627" s="19" t="str">
        <x:v>10</x:v>
      </x:c>
    </x:row>
    <x:row r="8628" ht="93" customHeight="1">
      <x:c r="A8628" s="19" t="n">
        <x:v>8625</x:v>
      </x:c>
      <x:c r="B8628" s="22" t="e">
        <x:f>HYPERLINK("https://cdn.shopify.com/s/files/1/0918/6066/4603/files/dfad0e03245602723b9e7f1f7ef72fdb.jpg?v=1776411411","Open")</x:f>
        <x:v>HYPERLINK is not implemented. linkLocation=https://cdn.shopify.com/s/files/1/0918/6066/4603/files/dfad0e03245602723b9e7f1f7ef72fdb.jpg?v=1776411411, friendlyName=Open</x:v>
      </x:c>
      <x:c r="C8628" s="24" t="e">
        <x:f>HYPERLINK("https://365nails.com/products/365nails-crimson-vixen-3d-figure-art-handmade-coffin-nails","365nails: ""Crimson Vixen"" – 3D Figure Art Handmade Coffin Nails-5.5cm")</x:f>
        <x:v>HYPERLINK is not implemented. linkLocation=https://365nails.com/products/365nails-crimson-vixen-3d-figure-art-handmade-coffin-nails, friendlyName=365nails: "Crimson Vixen" – 3D Figure Art Handmade Coffin Nails-5.5cm</x:v>
      </x:c>
      <x:c r="D8628" s="18" t="str">
        <x:v>Size: XS / S / M / L</x:v>
      </x:c>
      <x:c r="E8628" s="25" t="str">
        <x:v>$7.99</x:v>
      </x:c>
      <x:c r="F8628" s="19" t="str">
        <x:v>10</x:v>
      </x:c>
    </x:row>
    <x:row r="8629" ht="93" customHeight="1">
      <x:c r="A8629" s="19" t="n">
        <x:v>8626</x:v>
      </x:c>
      <x:c r="B8629" s="22" t="e">
        <x:f>HYPERLINK("https://cdn.shopify.com/s/files/1/0918/6066/4603/files/fcd3fac01478893be908222229caa61a.jpg?v=1776411345","Open")</x:f>
        <x:v>HYPERLINK is not implemented. linkLocation=https://cdn.shopify.com/s/files/1/0918/6066/4603/files/fcd3fac01478893be908222229caa61a.jpg?v=1776411345, friendlyName=Open</x:v>
      </x:c>
      <x:c r="C8629" s="24" t="e">
        <x:f>HYPERLINK("https://365nails.com/products/365nails-cerulean-dream-3d-figure-art-handmade-coffin-nails","365nails: ""Cerulean Dream"" – 3D Figure Art Handmade Coffin Nails-5.5cm")</x:f>
        <x:v>HYPERLINK is not implemented. linkLocation=https://365nails.com/products/365nails-cerulean-dream-3d-figure-art-handmade-coffin-nails, friendlyName=365nails: "Cerulean Dream" – 3D Figure Art Handmade Coffin Nails-5.5cm</x:v>
      </x:c>
      <x:c r="D8629" s="18" t="str">
        <x:v>Size: XS / S / M / L</x:v>
      </x:c>
      <x:c r="E8629" s="25" t="str">
        <x:v>$7.99</x:v>
      </x:c>
      <x:c r="F8629" s="19" t="str">
        <x:v>10</x:v>
      </x:c>
    </x:row>
    <x:row r="8630" ht="93" customHeight="1">
      <x:c r="A8630" s="19" t="n">
        <x:v>8627</x:v>
      </x:c>
      <x:c r="B8630" s="22" t="e">
        <x:f>HYPERLINK("https://cdn.shopify.com/s/files/1/0918/6066/4603/files/c30b6cbb3a8aba5bbb56e45e5e016d72.jpg?v=1776411266","Open")</x:f>
        <x:v>HYPERLINK is not implemented. linkLocation=https://cdn.shopify.com/s/files/1/0918/6066/4603/files/c30b6cbb3a8aba5bbb56e45e5e016d72.jpg?v=1776411266, friendlyName=Open</x:v>
      </x:c>
      <x:c r="C8630" s="24" t="e">
        <x:f>HYPERLINK("https://365nails.com/products/365nails-gothic-romance-3d-character-art-handmade-coffin-nails","365nails: ""Gothic Romance"" – 3D Character Art Handmade Coffin Nails-5.5cm")</x:f>
        <x:v>HYPERLINK is not implemented. linkLocation=https://365nails.com/products/365nails-gothic-romance-3d-character-art-handmade-coffin-nails, friendlyName=365nails: "Gothic Romance" – 3D Character Art Handmade Coffin Nails-5.5cm</x:v>
      </x:c>
      <x:c r="D8630" s="18" t="str">
        <x:v>Size: XS / S / M / L</x:v>
      </x:c>
      <x:c r="E8630" s="25" t="str">
        <x:v>$7.99</x:v>
      </x:c>
      <x:c r="F8630" s="19" t="str">
        <x:v>10</x:v>
      </x:c>
    </x:row>
    <x:row r="8631" ht="93" customHeight="1">
      <x:c r="A8631" s="19" t="n">
        <x:v>8628</x:v>
      </x:c>
      <x:c r="B8631" s="22" t="e">
        <x:f>HYPERLINK("https://cdn.shopify.com/s/files/1/0918/6066/4603/files/cf7bdb521cd1520fa02eced2b48a5ff1.jpg?v=1776411031","Open")</x:f>
        <x:v>HYPERLINK is not implemented. linkLocation=https://cdn.shopify.com/s/files/1/0918/6066/4603/files/cf7bdb521cd1520fa02eced2b48a5ff1.jpg?v=1776411031, friendlyName=Open</x:v>
      </x:c>
      <x:c r="C8631" s="24" t="e">
        <x:f>HYPERLINK("https://365nails.com/products/365nails-retro-rose-3d-character-art-handmade-coffin-nails","365nails: ""Retro Rose"" – 3D Character Art Handmade Coffin Nails-5.5cm")</x:f>
        <x:v>HYPERLINK is not implemented. linkLocation=https://365nails.com/products/365nails-retro-rose-3d-character-art-handmade-coffin-nails, friendlyName=365nails: "Retro Rose" – 3D Character Art Handmade Coffin Nails-5.5cm</x:v>
      </x:c>
      <x:c r="D8631" s="18" t="str">
        <x:v>Size: XS / S / M / L</x:v>
      </x:c>
      <x:c r="E8631" s="25" t="str">
        <x:v>$7.99</x:v>
      </x:c>
      <x:c r="F8631" s="19" t="str">
        <x:v>10</x:v>
      </x:c>
    </x:row>
    <x:row r="8632" ht="93" customHeight="1">
      <x:c r="A8632" s="19" t="n">
        <x:v>8629</x:v>
      </x:c>
      <x:c r="B8632" s="22" t="e">
        <x:f>HYPERLINK("https://cdn.shopify.com/s/files/1/0918/6066/4603/files/7fc074766741078406a0b4ef1696cb5b.jpg?v=1776410944","Open")</x:f>
        <x:v>HYPERLINK is not implemented. linkLocation=https://cdn.shopify.com/s/files/1/0918/6066/4603/files/7fc074766741078406a0b4ef1696cb5b.jpg?v=1776410944, friendlyName=Open</x:v>
      </x:c>
      <x:c r="C8632" s="24" t="e">
        <x:f>HYPERLINK("https://365nails.com/products/365nails-amber-muse-3d-figure-art-handmade-coffin-nails","365nails: ""Amber Muse"" – 3D Figure Art Handmade Coffin Nails-5.5cm")</x:f>
        <x:v>HYPERLINK is not implemented. linkLocation=https://365nails.com/products/365nails-amber-muse-3d-figure-art-handmade-coffin-nails, friendlyName=365nails: "Amber Muse" – 3D Figure Art Handmade Coffin Nails-5.5cm</x:v>
      </x:c>
      <x:c r="D8632" s="18" t="str">
        <x:v>Size: XS / S / M / L</x:v>
      </x:c>
      <x:c r="E8632" s="25" t="str">
        <x:v>$7.99</x:v>
      </x:c>
      <x:c r="F8632" s="19" t="str">
        <x:v>10</x:v>
      </x:c>
    </x:row>
    <x:row r="8633" ht="93" customHeight="1">
      <x:c r="A8633" s="19" t="n">
        <x:v>8630</x:v>
      </x:c>
      <x:c r="B8633" s="22" t="e">
        <x:f>HYPERLINK("https://cdn.shopify.com/s/files/1/0918/6066/4603/files/33976b24ec5c339a3354c0f7ac8457bd.jpg?v=1776410879","Open")</x:f>
        <x:v>HYPERLINK is not implemented. linkLocation=https://cdn.shopify.com/s/files/1/0918/6066/4603/files/33976b24ec5c339a3354c0f7ac8457bd.jpg?v=1776410879, friendlyName=Open</x:v>
      </x:c>
      <x:c r="C8633" s="24" t="e">
        <x:f>HYPERLINK("https://365nails.com/products/365nails-citrus-bloom-3d-floral-handmade-coffin-nails","365nails: ""Citrus Bloom"" – 3D Floral Handmade Coffin Nails-5.5cm")</x:f>
        <x:v>HYPERLINK is not implemented. linkLocation=https://365nails.com/products/365nails-citrus-bloom-3d-floral-handmade-coffin-nails, friendlyName=365nails: "Citrus Bloom" – 3D Floral Handmade Coffin Nails-5.5cm</x:v>
      </x:c>
      <x:c r="D8633" s="18" t="str">
        <x:v>Size: XS / S / M / L</x:v>
      </x:c>
      <x:c r="E8633" s="25" t="str">
        <x:v>$7.99</x:v>
      </x:c>
      <x:c r="F8633" s="19" t="str">
        <x:v>10</x:v>
      </x:c>
    </x:row>
    <x:row r="8634" ht="93" customHeight="1">
      <x:c r="A8634" s="19" t="n">
        <x:v>8631</x:v>
      </x:c>
      <x:c r="B8634" s="22" t="e">
        <x:f>HYPERLINK("https://cdn.shopify.com/s/files/1/0918/6066/4603/files/18d7bdca994221681797bde10349e619.jpg?v=1776410806","Open")</x:f>
        <x:v>HYPERLINK is not implemented. linkLocation=https://cdn.shopify.com/s/files/1/0918/6066/4603/files/18d7bdca994221681797bde10349e619.jpg?v=1776410806, friendlyName=Open</x:v>
      </x:c>
      <x:c r="C8634" s="24" t="e">
        <x:f>HYPERLINK("https://365nails.com/products/365nails-azure-dynasty-3d-figure-art-handmade-coffin-nails","365nails: ""Azure Dynasty"" – 3D Figure Art Handmade Coffin Nails-5.5cm")</x:f>
        <x:v>HYPERLINK is not implemented. linkLocation=https://365nails.com/products/365nails-azure-dynasty-3d-figure-art-handmade-coffin-nails, friendlyName=365nails: "Azure Dynasty" – 3D Figure Art Handmade Coffin Nails-5.5cm</x:v>
      </x:c>
      <x:c r="D8634" s="18" t="str">
        <x:v>Size: XS / S / M / L</x:v>
      </x:c>
      <x:c r="E8634" s="25" t="str">
        <x:v>$7.99</x:v>
      </x:c>
      <x:c r="F8634" s="19" t="str">
        <x:v>10</x:v>
      </x:c>
    </x:row>
    <x:row r="8635" ht="93" customHeight="1">
      <x:c r="A8635" s="19" t="n">
        <x:v>8632</x:v>
      </x:c>
      <x:c r="B8635" s="22" t="e">
        <x:f>HYPERLINK("https://cdn.shopify.com/s/files/1/0918/6066/4603/files/e2a06c328a42cd11b266c5e8dc0485c8.jpg?v=1776410561","Open")</x:f>
        <x:v>HYPERLINK is not implemented. linkLocation=https://cdn.shopify.com/s/files/1/0918/6066/4603/files/e2a06c328a42cd11b266c5e8dc0485c8.jpg?v=1776410561, friendlyName=Open</x:v>
      </x:c>
      <x:c r="C8635" s="24" t="e">
        <x:f>HYPERLINK("https://365nails.com/products/365nails-violet-venom-3d-gothic-figure-handmade-coffin-nails","365nails: ""Violet Venom"" – 3D Gothic Figure Handmade Coffin Nails-5.5cm")</x:f>
        <x:v>HYPERLINK is not implemented. linkLocation=https://365nails.com/products/365nails-violet-venom-3d-gothic-figure-handmade-coffin-nails, friendlyName=365nails: "Violet Venom" – 3D Gothic Figure Handmade Coffin Nails-5.5cm</x:v>
      </x:c>
      <x:c r="D8635" s="18" t="str">
        <x:v>Size: XS / S / M / L</x:v>
      </x:c>
      <x:c r="E8635" s="25" t="str">
        <x:v>$7.99</x:v>
      </x:c>
      <x:c r="F8635" s="19" t="str">
        <x:v>10</x:v>
      </x:c>
    </x:row>
    <x:row r="8636" ht="93" customHeight="1">
      <x:c r="A8636" s="19" t="n">
        <x:v>8633</x:v>
      </x:c>
      <x:c r="B8636" s="22" t="e">
        <x:f>HYPERLINK("https://cdn.shopify.com/s/files/1/0918/6066/4603/files/dea7c4c597537ac33a26d7f86ba47e24.jpg?v=1776410291","Open")</x:f>
        <x:v>HYPERLINK is not implemented. linkLocation=https://cdn.shopify.com/s/files/1/0918/6066/4603/files/dea7c4c597537ac33a26d7f86ba47e24.jpg?v=1776410291, friendlyName=Open</x:v>
      </x:c>
      <x:c r="C8636" s="24" t="e">
        <x:f>HYPERLINK("https://365nails.com/products/365nails-dynasty-rose-3d-figure-painting-handmade-press-on-nails-coffin-nails","365nails: ""Dynasty Rose"" – 3D Figure Painting Handmade Press on Nails Coffin Nails-5.5cm")</x:f>
        <x:v>HYPERLINK is not implemented. linkLocation=https://365nails.com/products/365nails-dynasty-rose-3d-figure-painting-handmade-press-on-nails-coffin-nails, friendlyName=365nails: "Dynasty Rose" – 3D Figure Painting Handmade Press on Nails Coffin Nails-5.5cm</x:v>
      </x:c>
      <x:c r="D8636" s="18" t="str">
        <x:v>Size: XS / S / M / L</x:v>
      </x:c>
      <x:c r="E8636" s="25" t="str">
        <x:v>$7.99</x:v>
      </x:c>
      <x:c r="F8636" s="19" t="str">
        <x:v>10</x:v>
      </x:c>
    </x:row>
    <x:row r="8637" ht="93" customHeight="1">
      <x:c r="A8637" s="19" t="n">
        <x:v>8634</x:v>
      </x:c>
      <x:c r="B8637" s="22" t="e">
        <x:f>HYPERLINK("https://cdn.shopify.com/s/files/1/0918/6066/4603/files/1a86ef13faa9f22567407983afcef046.jpg?v=1776410213","Open")</x:f>
        <x:v>HYPERLINK is not implemented. linkLocation=https://cdn.shopify.com/s/files/1/0918/6066/4603/files/1a86ef13faa9f22567407983afcef046.jpg?v=1776410213, friendlyName=Open</x:v>
      </x:c>
      <x:c r="C8637" s="24" t="e">
        <x:f>HYPERLINK("https://365nails.com/products/365nails-oriental-dream-3d-figure-painting-handmade-press-on-nails-square-nails","365nails: ""Oriental Dream"" – 3D Figure Painting Handmade Press on Nails Square Nails-5.5cm")</x:f>
        <x:v>HYPERLINK is not implemented. linkLocation=https://365nails.com/products/365nails-oriental-dream-3d-figure-painting-handmade-press-on-nails-square-nails, friendlyName=365nails: "Oriental Dream" – 3D Figure Painting Handmade Press on Nails Square Nails-5.5cm</x:v>
      </x:c>
      <x:c r="D8637" s="18" t="str">
        <x:v>Size: XS / S / M / L</x:v>
      </x:c>
      <x:c r="E8637" s="25" t="str">
        <x:v>$7.99</x:v>
      </x:c>
      <x:c r="F8637" s="19" t="str">
        <x:v>10</x:v>
      </x:c>
    </x:row>
    <x:row r="8638" ht="93" customHeight="1">
      <x:c r="A8638" s="19" t="n">
        <x:v>8635</x:v>
      </x:c>
      <x:c r="B8638" s="22" t="e">
        <x:f>HYPERLINK("https://cdn.shopify.com/s/files/1/0918/6066/4603/files/18dea8dac3caccd89dfba3a2eddebc62.jpg?v=1776170635","Open")</x:f>
        <x:v>HYPERLINK is not implemented. linkLocation=https://cdn.shopify.com/s/files/1/0918/6066/4603/files/18dea8dac3caccd89dfba3a2eddebc62.jpg?v=1776170635, friendlyName=Open</x:v>
      </x:c>
      <x:c r="C8638" s="24" t="e">
        <x:f>HYPERLINK("https://365nails.com/products/365nails-capybara-chill-3d-animal-character-handmade-short-square-nails","365nails: ""Capybara Chill"" – 3D Animal Character Handmade Short Square Nails")</x:f>
        <x:v>HYPERLINK is not implemented. linkLocation=https://365nails.com/products/365nails-capybara-chill-3d-animal-character-handmade-short-square-nails, friendlyName=365nails: "Capybara Chill" – 3D Animal Character Handmade Short Square Nails</x:v>
      </x:c>
      <x:c r="D8638" s="18" t="str">
        <x:v>Size: XS / S / M / L</x:v>
      </x:c>
      <x:c r="E8638" s="25" t="str">
        <x:v>$1.99</x:v>
      </x:c>
      <x:c r="F8638" s="19" t="str">
        <x:v>3</x:v>
      </x:c>
    </x:row>
    <x:row r="8639" ht="93" customHeight="1">
      <x:c r="A8639" s="19" t="n">
        <x:v>8636</x:v>
      </x:c>
      <x:c r="B8639" s="22" t="e">
        <x:f>HYPERLINK("https://cdn.shopify.com/s/files/1/0918/6066/4603/files/O1CN01CYlARc1CPwOochUUL__2213196780074-0-cib.jpg?v=1774679198","Open")</x:f>
        <x:v>HYPERLINK is not implemented. linkLocation=https://cdn.shopify.com/s/files/1/0918/6066/4603/files/O1CN01CYlARc1CPwOochUUL__2213196780074-0-cib.jpg?v=1774679198, friendlyName=Open</x:v>
      </x:c>
      <x:c r="C8639" s="24" t="e">
        <x:f>HYPERLINK("https://365nails.com/products/365nails-caramel-cocoa-polka-dot-cat-eye-handmade-salon-quality-coffin-nails","365nails ""Caramel Cocoa Polka Dot Cat Eye"" – [Handmade Salon Quality] Coffin Nails")</x:f>
        <x:v>HYPERLINK is not implemented. linkLocation=https://365nails.com/products/365nails-caramel-cocoa-polka-dot-cat-eye-handmade-salon-quality-coffin-nails, friendlyName=365nails "Caramel Cocoa Polka Dot Cat Eye" – [Handmade Salon Quality] Coffin Nails</x:v>
      </x:c>
      <x:c r="D8639" s="18" t="str">
        <x:v>Color: 3158 - fine point tip; Color classification: Xs / S / M / L</x:v>
      </x:c>
      <x:c r="E8639" s="25" t="str">
        <x:v>$3.49</x:v>
      </x:c>
      <x:c r="F8639" s="19" t="str">
        <x:v>1</x:v>
      </x:c>
    </x:row>
    <x:row r="8640" ht="93" customHeight="1">
      <x:c r="A8640" s="19" t="n">
        <x:v>8637</x:v>
      </x:c>
      <x:c r="B8640" s="22" t="e">
        <x:f>HYPERLINK("https://cdn.shopify.com/s/files/1/0918/6066/4603/files/cd91a4772839e8b545dcbb2f78e62486.jpg?v=1775388532","Open")</x:f>
        <x:v>HYPERLINK is not implemented. linkLocation=https://cdn.shopify.com/s/files/1/0918/6066/4603/files/cd91a4772839e8b545dcbb2f78e62486.jpg?v=1775388532, friendlyName=Open</x:v>
      </x:c>
      <x:c r="C8640" s="24" t="e">
        <x:f>HYPERLINK("https://365nails.com/products/365nails-melting-sorbet-hand-painted-gradient-drip-art-handmade-medium-almond-nails","365nails: ""Melting Sorbet"" – Hand-Painted Gradient Drip Art Handmade Medium Almond Nails")</x:f>
        <x:v>HYPERLINK is not implemented. linkLocation=https://365nails.com/products/365nails-melting-sorbet-hand-painted-gradient-drip-art-handmade-medium-almond-nails, friendlyName=365nails: "Melting Sorbet" – Hand-Painted Gradient Drip Art Handmade Medium Almond Nails</x:v>
      </x:c>
      <x:c r="D8640" s="18" t="str">
        <x:v>Size: XS / S / M / L</x:v>
      </x:c>
      <x:c r="E8640" s="25" t="str">
        <x:v>$3.99</x:v>
      </x:c>
      <x:c r="F8640" s="19" t="str">
        <x:v>3</x:v>
      </x:c>
    </x:row>
    <x:row r="8641" ht="93" customHeight="1">
      <x:c r="A8641" s="19" t="n">
        <x:v>8638</x:v>
      </x:c>
      <x:c r="B8641" s="22" t="e">
        <x:f>HYPERLINK("https://cdn.shopify.com/s/files/1/0918/6066/4603/files/cff4a742cf40aea63cc47c7173d7864b.jpg?v=1772587018","Open")</x:f>
        <x:v>HYPERLINK is not implemented. linkLocation=https://cdn.shopify.com/s/files/1/0918/6066/4603/files/cff4a742cf40aea63cc47c7173d7864b.jpg?v=1772587018, friendlyName=Open</x:v>
      </x:c>
      <x:c r="C8641" s="24" t="e">
        <x:f>HYPERLINK("https://365nails.com/products/for-sam-popoy","for Sam Popoy")</x:f>
        <x:v>HYPERLINK is not implemented. linkLocation=https://365nails.com/products/for-sam-popoy, friendlyName=for Sam Popoy</x:v>
      </x:c>
      <x:c r="D8641" s="18" t="str">
        <x:v>Color: White</x:v>
      </x:c>
      <x:c r="E8641" s="25" t="str">
        <x:v>$302.60</x:v>
      </x:c>
      <x:c r="F8641" s="19" t="str">
        <x:v>1</x:v>
      </x:c>
    </x:row>
    <x:row r="8642" ht="93" customHeight="1">
      <x:c r="A8642" s="19" t="n">
        <x:v>8639</x:v>
      </x:c>
      <x:c r="B8642" s="22" t="e">
        <x:f>HYPERLINK("https://cdn.shopify.com/s/files/1/0918/6066/4603/files/5b8fea6f99ed8e4aab71e622e560fc24_551791e4-14d0-4513-a618-e2a7f55369a9.jpg?v=1768014875","Open")</x:f>
        <x:v>HYPERLINK is not implemented. linkLocation=https://cdn.shopify.com/s/files/1/0918/6066/4603/files/5b8fea6f99ed8e4aab71e622e560fc24_551791e4-14d0-4513-a618-e2a7f55369a9.jpg?v=1768014875, friendlyName=Open</x:v>
      </x:c>
      <x:c r="C8642" s="24" t="e">
        <x:f>HYPERLINK("https://365nails.com/products/sonya-1000pcscustomized-cards-and-bags","Sonya - 1000pcsCustomized cards and bags")</x:f>
        <x:v>HYPERLINK is not implemented. linkLocation=https://365nails.com/products/sonya-1000pcscustomized-cards-and-bags, friendlyName=Sonya - 1000pcsCustomized cards and bags</x:v>
      </x:c>
      <x:c r="D8642" s="18" t="str">
        <x:v>Standard</x:v>
      </x:c>
      <x:c r="E8642" s="25" t="str">
        <x:v>$60.00</x:v>
      </x:c>
      <x:c r="F8642" s="19" t="str">
        <x:v>1</x:v>
      </x:c>
    </x:row>
    <x:row r="8643" ht="93" customHeight="1">
      <x:c r="A8643" s="19" t="n">
        <x:v>8640</x:v>
      </x:c>
      <x:c r="B8643" s="22" t="e">
        <x:f>HYPERLINK("https://cdn.shopify.com/s/files/1/0918/6066/4603/files/c22463c16926c0e8f455abdf16b42aaa_5f655307-6392-4247-a77d-c6c7fe008a13.jpg?v=1764570619","Open")</x:f>
        <x:v>HYPERLINK is not implemented. linkLocation=https://cdn.shopify.com/s/files/1/0918/6066/4603/files/c22463c16926c0e8f455abdf16b42aaa_5f655307-6392-4247-a77d-c6c7fe008a13.jpg?v=1764570619, friendlyName=Open</x:v>
      </x:c>
      <x:c r="C8643" s="24" t="e">
        <x:f>HYPERLINK("https://365nails.com/products/365nails-glossy-black-long-stiletto-claw-dragon-nails-1","365Nails Glossy Black Long Stiletto Claw Dragon Nails")</x:f>
        <x:v>HYPERLINK is not implemented. linkLocation=https://365nails.com/products/365nails-glossy-black-long-stiletto-claw-dragon-nails-1, friendlyName=365Nails Glossy Black Long Stiletto Claw Dragon Nails</x:v>
      </x:c>
      <x:c r="D8643" s="18" t="str">
        <x:v>Size: XS / S / M / L; length: 40mm / 25mm</x:v>
      </x:c>
      <x:c r="E8643" s="25" t="str">
        <x:v>$6.99</x:v>
      </x:c>
      <x:c r="F8643" s="19" t="str">
        <x:v>1</x:v>
      </x:c>
    </x:row>
    <x:row r="8644" ht="93" customHeight="1">
      <x:c r="A8644" s="19" t="n">
        <x:v>8641</x:v>
      </x:c>
      <x:c r="B8644" s="22" t="e">
        <x:f>HYPERLINK("https://cdn.shopify.com/s/files/1/0918/6066/4603/files/8d20658b4838408f7bf411c31f24d008.jpg?v=1757648017","Open")</x:f>
        <x:v>HYPERLINK is not implemented. linkLocation=https://cdn.shopify.com/s/files/1/0918/6066/4603/files/8d20658b4838408f7bf411c31f24d008.jpg?v=1757648017, friendlyName=Open</x:v>
      </x:c>
      <x:c r="C8644" s="24" t="e">
        <x:f>HYPERLINK("https://365nails.com/products/365nails-nude-pink-island-floral-gradient-press-ons","365Nails Nude Pink Island Floral Gradient Press-Ons")</x:f>
        <x:v>HYPERLINK is not implemented. linkLocation=https://365nails.com/products/365nails-nude-pink-island-floral-gradient-press-ons, friendlyName=365Nails Nude Pink Island Floral Gradient Press-Ons</x:v>
      </x:c>
      <x:c r="D8644" s="18" t="str">
        <x:v>Size: XS / S / M / L</x:v>
      </x:c>
      <x:c r="E8644" s="25" t="str">
        <x:v>$4.49</x:v>
      </x:c>
      <x:c r="F8644" s="19" t="str">
        <x:v>1</x:v>
      </x:c>
    </x:row>
    <x:row r="8645" ht="93" customHeight="1">
      <x:c r="A8645" s="19" t="n">
        <x:v>8642</x:v>
      </x:c>
      <x:c r="B8645" s="22" t="e">
        <x:f>HYPERLINK("https://cdn.shopify.com/s/files/1/0918/6066/4603/files/O1CN01ZFTONQ1oyFS50FOiT__2217080665293-0-cib.jpg?v=1755342327","Open")</x:f>
        <x:v>HYPERLINK is not implemented. linkLocation=https://cdn.shopify.com/s/files/1/0918/6066/4603/files/O1CN01ZFTONQ1oyFS50FOiT__2217080665293-0-cib.jpg?v=1755342327, friendlyName=Open</x:v>
      </x:c>
      <x:c r="C8645" s="24" t="e">
        <x:f>HYPERLINK("https://365nails.com/products/press-on-nails-instruction-card-black-cardboard-light-luxury-y2k-wind","Press-On Nails Instruction Card Black cardboard light luxury y2k wind (MOQ:50 pieces)")</x:f>
        <x:v>HYPERLINK is not implemented. linkLocation=https://365nails.com/products/press-on-nails-instruction-card-black-cardboard-light-luxury-y2k-wind, friendlyName=Press-On Nails Instruction Card Black cardboard light luxury y2k wind (MOQ:50 pieces)</x:v>
      </x:c>
      <x:c r="D8645" s="18" t="str">
        <x:v>Color: 85 * 110Mm (50 sheets/pack) / 90 * 110Mm (50 sheets/pack) / 90 * 120Mm (50 sheets/pack) / 90 * 125Mm (50 sheets/pack); Specifications and models: [450g black cardboard] 85 × 110 hot silver frame English version; 85 * 110mm (50 sheets/pack) / [450G black cardboard] 85 × 110 hot silver photo frame; 85 * 110mm (50 sheets/pack) / [450g black cardboard] 90 × 110 black card semicircle simple; 90 * 110mm (50 sheets/pack) / [450G black cardboard] 90 × 120 Symphony leaves; 90 * 120mm (50 sheets/pack) / [450G black cardboard] 90 × 120 streaming gold; 90 * 120mm (50 sheets/pack) / [450G black cardboard] 90 × 120 European frame; 90 * 120mm (50 sheets/pack) / [450G black cardboard] 90x120 starry sky; 90 * 120mm (50 sheets/pack) / [450g black cardboard] 90 × 125 blue gold bow concave; 90 * 125mm (50 sheets/pack) / [450g black cardboard] 90 × 125 butterfly hot purple gold; 90 * 125mm (50 sheets/pack) / [450G black cardboard] 90 × 125 two-color rose; 90 * 125mm (50 sheets/pack)</x:v>
      </x:c>
      <x:c r="E8645" s="25" t="str">
        <x:v>$2.50–$3.00</x:v>
      </x:c>
      <x:c r="F8645" s="19" t="str">
        <x:v>1</x:v>
      </x:c>
    </x:row>
    <x:row r="8646" ht="93" customHeight="1">
      <x:c r="A8646" s="19" t="n">
        <x:v>8643</x:v>
      </x:c>
      <x:c r="B8646" s="22" t="e">
        <x:f>HYPERLINK("https://cdn.shopify.com/s/files/1/0918/6066/4603/files/O1CN0137XukV1oyFSMtAyoe__2217080665293-0-cib.jpg?v=1755342428","Open")</x:f>
        <x:v>HYPERLINK is not implemented. linkLocation=https://cdn.shopify.com/s/files/1/0918/6066/4603/files/O1CN0137XukV1oyFSMtAyoe__2217080665293-0-cib.jpg?v=1755342428, friendlyName=Open</x:v>
      </x:c>
      <x:c r="C8646" s="24" t="e">
        <x:f>HYPERLINK("https://365nails.com/products/press-on-nails-instruction-card-high-end-solid-color-nail-card","Press-On Nails Instruction Card High-end solid color nail card (MOQ:50 pieces)")</x:f>
        <x:v>HYPERLINK is not implemented. linkLocation=https://365nails.com/products/press-on-nails-instruction-card-high-end-solid-color-nail-card, friendlyName=Press-On Nails Instruction Card High-end solid color nail card (MOQ:50 pieces)</x:v>
      </x:c>
      <x:c r="D8646" s="18" t="str">
        <x:v>Color: 75 * 75Mm (50/bag) / 80X80mm (50/pack); Specifications and models: 75 English - Silver; 75 * 75mm (50/pack) / 75 English - White; 75 * 75mm (50/pack) / 80-Simple Type A; 80x80mm (50/pack) / 80-Simple B type; 80x80mm (50/pack) / 80-Simple C type; 80x80mm (50/pack) / 75English - Black; 75 * 75mm (50/pack)</x:v>
      </x:c>
      <x:c r="E8646" s="25" t="str">
        <x:v>$1.00</x:v>
      </x:c>
      <x:c r="F8646" s="19" t="str">
        <x:v>1</x:v>
      </x:c>
    </x:row>
    <x:row r="8647" ht="93" customHeight="1">
      <x:c r="A8647" s="19" t="n">
        <x:v>8644</x:v>
      </x:c>
      <x:c r="B8647" s="22" t="e">
        <x:f>HYPERLINK("https://cdn.shopify.com/s/files/1/0918/6066/4603/files/O1CN01FDFRdz1rlpVRr9fTD__2215158925672-0-cib.jpg?v=1754471412","Open")</x:f>
        <x:v>HYPERLINK is not implemented. linkLocation=https://cdn.shopify.com/s/files/1/0918/6066/4603/files/O1CN01FDFRdz1rlpVRr9fTD__2215158925672-0-cib.jpg?v=1754471412, friendlyName=Open</x:v>
      </x:c>
      <x:c r="C8647" s="24" t="e">
        <x:f>HYPERLINK("https://365nails.com/products/handmade-press-on-nails-autumn-and-winter-new-hand-painted-manicure-short-fake-nail-wholesale-365nails","Handmade press on nails autumn and winter new hand-painted manicure  short fake nail wholesale｜365nails")</x:f>
        <x:v>HYPERLINK is not implemented. linkLocation=https://365nails.com/products/handmade-press-on-nails-autumn-and-winter-new-hand-painted-manicure-short-fake-nail-wholesale-365nails, friendlyName=Handmade press on nails autumn and winter new hand-painted manicure  short fake nail wholesale｜365nails</x:v>
      </x:c>
      <x:c r="D8647" s="18" t="str">
        <x:v>Color: new short square; Color classification: XS / S / M / L</x:v>
      </x:c>
      <x:c r="E8647" s="25" t="str">
        <x:v>$2.99</x:v>
      </x:c>
      <x:c r="F8647" s="19" t="str">
        <x:v>1</x:v>
      </x:c>
    </x:row>
    <x:row r="8648" ht="93" customHeight="1">
      <x:c r="A8648" s="19" t="n">
        <x:v>8645</x:v>
      </x:c>
      <x:c r="B8648" s="22" t="e">
        <x:f>HYPERLINK("https://cdn.shopify.com/s/files/1/0918/6066/4603/files/O1CN01ibjZ3Y1rlpSto0aOo__2215158925672-0-cib.jpg?v=1754471378","Open")</x:f>
        <x:v>HYPERLINK is not implemented. linkLocation=https://cdn.shopify.com/s/files/1/0918/6066/4603/files/O1CN01ibjZ3Y1rlpSto0aOo__2215158925672-0-cib.jpg?v=1754471378, friendlyName=Open</x:v>
      </x:c>
      <x:c r="C8648" s="24" t="e">
        <x:f>HYPERLINK("https://365nails.com/products/autumn-and-winter-new-symphony-multi-color-gradual-change-nail-art-sweet-and-cute-macaron-wearable-fake-nails-365nails","Autumn and winter new Symphony multi-color gradual change nail art sweet and cute Macaron wearable fake nails｜365nails")</x:f>
        <x:v>HYPERLINK is not implemented. linkLocation=https://365nails.com/products/autumn-and-winter-new-symphony-multi-color-gradual-change-nail-art-sweet-and-cute-macaron-wearable-fake-nails-365nails, friendlyName=Autumn and winter new Symphony multi-color gradual change nail art sweet and cute Macaron wearable fake nails｜365nails</x:v>
      </x:c>
      <x:c r="D8648" s="18" t="str">
        <x:v>Color: medium almond; Color classification: XS / S / M / L</x:v>
      </x:c>
      <x:c r="E8648" s="25" t="str">
        <x:v>$2.49</x:v>
      </x:c>
      <x:c r="F8648" s="19" t="str">
        <x:v>1</x:v>
      </x:c>
    </x:row>
    <x:row r="8649" ht="93" customHeight="1">
      <x:c r="A8649" s="19" t="n">
        <x:v>8646</x:v>
      </x:c>
      <x:c r="B8649" s="22" t="e">
        <x:f>HYPERLINK("https://cdn.shopify.com/s/files/1/0918/6066/4603/files/O1CN01lhJngJ1rlpMQ6gHyP__2215158925672-0-cib.jpg?v=1754471258","Open")</x:f>
        <x:v>HYPERLINK is not implemented. linkLocation=https://cdn.shopify.com/s/files/1/0918/6066/4603/files/O1CN01lhJngJ1rlpMQ6gHyP__2215158925672-0-cib.jpg?v=1754471258, friendlyName=Open</x:v>
      </x:c>
      <x:c r="C8649" s="24" t="e">
        <x:f>HYPERLINK("https://365nails.com/products/simple-and-pure-handmade-press-on-nails-spray-gun-blush-almond-nail-art-autumn-and-winter-new-shell-steel-ball-sticker-365nails","Soft Pink Nails with Iridescent Shimmer Accents")</x:f>
        <x:v>HYPERLINK is not implemented. linkLocation=https://365nails.com/products/simple-and-pure-handmade-press-on-nails-spray-gun-blush-almond-nail-art-autumn-and-winter-new-shell-steel-ball-sticker-365nails, friendlyName=Soft Pink Nails with Iridescent Shimmer Accents</x:v>
      </x:c>
      <x:c r="D8649" s="18" t="str">
        <x:v>shape: medium almond; size: XS / S / M / L</x:v>
      </x:c>
      <x:c r="E8649" s="25" t="str">
        <x:v>$2.49</x:v>
      </x:c>
      <x:c r="F8649" s="19" t="str">
        <x:v>30</x:v>
      </x:c>
    </x:row>
    <x:row r="8650" ht="93" customHeight="1">
      <x:c r="A8650" s="19" t="n">
        <x:v>8647</x:v>
      </x:c>
      <x:c r="B8650" s="22" t="e">
        <x:f>HYPERLINK("https://cdn.shopify.com/s/files/1/0918/6066/4603/files/O1CN01NiWaZ31rlpQcbULgI__2215158925672-0-cib.jpg?v=1756366663","Open")</x:f>
        <x:v>HYPERLINK is not implemented. linkLocation=https://cdn.shopify.com/s/files/1/0918/6066/4603/files/O1CN01NiWaZ31rlpQcbULgI__2215158925672-0-cib.jpg?v=1756366663, friendlyName=Open</x:v>
      </x:c>
      <x:c r="C8650" s="24" t="e">
        <x:f>HYPERLINK("https://365nails.com/products/summer-fresh-handmade-press-on-nails-gradual-change-relief-butterfly","Green Shimmer Nails with 3D Butterfly Crystal Accents")</x:f>
        <x:v>HYPERLINK is not implemented. linkLocation=https://365nails.com/products/summer-fresh-handmade-press-on-nails-gradual-change-relief-butterfly, friendlyName=Green Shimmer Nails with 3D Butterfly Crystal Accents</x:v>
      </x:c>
      <x:c r="D8650" s="18" t="str">
        <x:v>shape: long pointed ellipse; size: XS / S / M / L</x:v>
      </x:c>
      <x:c r="E8650" s="25" t="str">
        <x:v>$4.49</x:v>
      </x:c>
      <x:c r="F8650" s="19" t="str">
        <x:v>30</x:v>
      </x:c>
    </x:row>
    <x:row r="8651" ht="93" customHeight="1">
      <x:c r="A8651" s="19" t="n">
        <x:v>8648</x:v>
      </x:c>
      <x:c r="B8651" s="22" t="e">
        <x:f>HYPERLINK("https://cdn.shopify.com/s/files/1/0918/6066/4603/files/O1CN01F5TWpb1rlpXSz7tPW__2215158925672-0-cib.jpg?v=1754471075","Open")</x:f>
        <x:v>HYPERLINK is not implemented. linkLocation=https://cdn.shopify.com/s/files/1/0918/6066/4603/files/O1CN01F5TWpb1rlpXSz7tPW__2215158925672-0-cib.jpg?v=1754471075, friendlyName=Open</x:v>
      </x:c>
      <x:c r="C8651" s="24" t="e">
        <x:f>HYPERLINK("https://365nails.com/products/duck-mouth-manicure-simple-and-pure-french-ice-through-three-dimensional-carving-pure-handmade-press-on-nails-fake-nails-365nails","Icy French Nails with 3D Floral Sculpted Accents")</x:f>
        <x:v>HYPERLINK is not implemented. linkLocation=https://365nails.com/products/duck-mouth-manicure-simple-and-pure-french-ice-through-three-dimensional-carving-pure-handmade-press-on-nails-fake-nails-365nails, friendlyName=Icy French Nails with 3D Floral Sculpted Accents</x:v>
      </x:c>
      <x:c r="D8651" s="18" t="str">
        <x:v>shape: short bill; size: S / M / L</x:v>
      </x:c>
      <x:c r="E8651" s="25" t="str">
        <x:v>$4.49</x:v>
      </x:c>
      <x:c r="F8651" s="19" t="str">
        <x:v>30</x:v>
      </x:c>
    </x:row>
    <x:row r="8652" ht="93" customHeight="1">
      <x:c r="A8652" s="19" t="n">
        <x:v>8649</x:v>
      </x:c>
      <x:c r="B8652" s="22" t="e">
        <x:f>HYPERLINK("https://cdn.shopify.com/s/files/1/0918/6066/4603/files/O1CN01kndS7M1rlpRkoQlZ5__2215158925672-0-cib.jpg?v=1754471062","Open")</x:f>
        <x:v>HYPERLINK is not implemented. linkLocation=https://cdn.shopify.com/s/files/1/0918/6066/4603/files/O1CN01kndS7M1rlpRkoQlZ5__2215158925672-0-cib.jpg?v=1754471062, friendlyName=Open</x:v>
      </x:c>
      <x:c r="C8652" s="24" t="e">
        <x:f>HYPERLINK("https://365nails.com/products/sweet-cool-spice-girls-almond-nail-relief-handemade-press-on-nails-wholesale-reusable-nail-patch-365nails","Neon Sweet-Cool Nails with Sculpted Chrome Accents")</x:f>
        <x:v>HYPERLINK is not implemented. linkLocation=https://365nails.com/products/sweet-cool-spice-girls-almond-nail-relief-handemade-press-on-nails-wholesale-reusable-nail-patch-365nails, friendlyName=Neon Sweet-Cool Nails with Sculpted Chrome Accents</x:v>
      </x:c>
      <x:c r="D8652" s="18" t="str">
        <x:v>shape: medium almond; size: XS / S / M / L</x:v>
      </x:c>
      <x:c r="E8652" s="25" t="str">
        <x:v>$4.49</x:v>
      </x:c>
      <x:c r="F8652" s="19" t="str">
        <x:v>30</x:v>
      </x:c>
    </x:row>
    <x:row r="8653" ht="93" customHeight="1">
      <x:c r="A8653" s="19" t="n">
        <x:v>8650</x:v>
      </x:c>
      <x:c r="B8653" s="22" t="e">
        <x:f>HYPERLINK("https://cdn.shopify.com/s/files/1/0918/6066/4603/files/O1CN01DWczD31rlpJ11AKIj__2215158925672-0-cib.jpg?v=1754470910","Open")</x:f>
        <x:v>HYPERLINK is not implemented. linkLocation=https://cdn.shopify.com/s/files/1/0918/6066/4603/files/O1CN01DWczD31rlpJ11AKIj__2215158925672-0-cib.jpg?v=1754470910, friendlyName=Open</x:v>
      </x:c>
      <x:c r="C8653" s="24" t="e">
        <x:f>HYPERLINK("https://365nails.com/products/watercolor-smudge-sweet-and-cute-bow-short-manicure-patch-fake-nails-small-fresh-handmade-press-on-nails-wholesale-365nails","Sweet Watercolor Nails with Cute Sculpted Bows")</x:f>
        <x:v>HYPERLINK is not implemented. linkLocation=https://365nails.com/products/watercolor-smudge-sweet-and-cute-bow-short-manicure-patch-fake-nails-small-fresh-handmade-press-on-nails-wholesale-365nails, friendlyName=Sweet Watercolor Nails with Cute Sculpted Bows</x:v>
      </x:c>
      <x:c r="D8653" s="18" t="str">
        <x:v>shape: new short square; size: XS / S / M / L</x:v>
      </x:c>
      <x:c r="E8653" s="25" t="str">
        <x:v>$2.49</x:v>
      </x:c>
      <x:c r="F8653" s="19" t="str">
        <x:v>30</x:v>
      </x:c>
    </x:row>
    <x:row r="8654" ht="93" customHeight="1">
      <x:c r="A8654" s="19" t="n">
        <x:v>8651</x:v>
      </x:c>
      <x:c r="B8654" s="22" t="e">
        <x:f>HYPERLINK("https://cdn.shopify.com/s/files/1/0918/6066/4603/files/O1CN01zumsXm1rlpXRMWryD__2215158925672-0-cib.jpg?v=1754470900","Open")</x:f>
        <x:v>HYPERLINK is not implemented. linkLocation=https://cdn.shopify.com/s/files/1/0918/6066/4603/files/O1CN01zumsXm1rlpXRMWryD__2215158925672-0-cib.jpg?v=1754470900, friendlyName=Open</x:v>
      </x:c>
      <x:c r="C8654" s="24" t="e">
        <x:f>HYPERLINK("https://365nails.com/products/duck-beak-nail-orange-pink-magic-three-dimensional-engraving-ice-through-gradual-change-wearing-nail-pure-handmade-fake-nail-wholesale-365nails","Icy Orange-Pink Nails with Iridescent 3D Floral Accents")</x:f>
        <x:v>HYPERLINK is not implemented. linkLocation=https://365nails.com/products/duck-beak-nail-orange-pink-magic-three-dimensional-engraving-ice-through-gradual-change-wearing-nail-pure-handmade-fake-nail-wholesale-365nails, friendlyName=Icy Orange-Pink Nails with Iridescent 3D Floral Accents</x:v>
      </x:c>
      <x:c r="D8654" s="18" t="str">
        <x:v>shape: short bill; size: S / M / L</x:v>
      </x:c>
      <x:c r="E8654" s="25" t="str">
        <x:v>$4.49</x:v>
      </x:c>
      <x:c r="F8654" s="19" t="str">
        <x:v>30</x:v>
      </x:c>
    </x:row>
    <x:row r="8655" ht="93" customHeight="1">
      <x:c r="A8655" s="19" t="n">
        <x:v>8652</x:v>
      </x:c>
      <x:c r="B8655" s="22" t="e">
        <x:f>HYPERLINK("https://cdn.shopify.com/s/files/1/0918/6066/4603/files/O1CN01zoH2Uk1rlpS8tsWKP__2215158925672-0-cib.jpg?v=1754470847","Open")</x:f>
        <x:v>HYPERLINK is not implemented. linkLocation=https://cdn.shopify.com/s/files/1/0918/6066/4603/files/O1CN01zoH2Uk1rlpS8tsWKP__2215158925672-0-cib.jpg?v=1754470847, friendlyName=Open</x:v>
      </x:c>
      <x:c r="C8655" s="24" t="e">
        <x:f>HYPERLINK("https://365nails.com/products/long-pointed-handmade-press-on-nails-sweet-cool-spice-girls-heavy-industry-metal-relief-long-nail-patch-fake-nail-wholesale-365nails","Sweet-Cool Nails with Heavy Metallic Sculpted Accents")</x:f>
        <x:v>HYPERLINK is not implemented. linkLocation=https://365nails.com/products/long-pointed-handmade-press-on-nails-sweet-cool-spice-girls-heavy-industry-metal-relief-long-nail-patch-fake-nail-wholesale-365nails, friendlyName=Sweet-Cool Nails with Heavy Metallic Sculpted Accents</x:v>
      </x:c>
      <x:c r="D8655" s="18" t="str">
        <x:v>shape: long tip; size: XS / S / M / L</x:v>
      </x:c>
      <x:c r="E8655" s="25" t="str">
        <x:v>$3.99</x:v>
      </x:c>
      <x:c r="F8655" s="19" t="str">
        <x:v>30</x:v>
      </x:c>
    </x:row>
    <x:row r="8656" ht="93" customHeight="1">
      <x:c r="A8656" s="19" t="n">
        <x:v>8653</x:v>
      </x:c>
      <x:c r="B8656" s="22" t="e">
        <x:f>HYPERLINK("https://cdn.shopify.com/s/files/1/0918/6066/4603/files/O1CN01QtpLqY1rlpWm0iR2V__2215158925672-0-cib.jpg?v=1754470830","Open")</x:f>
        <x:v>HYPERLINK is not implemented. linkLocation=https://cdn.shopify.com/s/files/1/0918/6066/4603/files/O1CN01QtpLqY1rlpWm0iR2V__2215158925672-0-cib.jpg?v=1754470830, friendlyName=Open</x:v>
      </x:c>
      <x:c r="C8656" s="24" t="e">
        <x:f>HYPERLINK("https://365nails.com/products/duck-bill-nail-sweet-girl-heart-ice-transparent-blush-nail-leopard-print-french-wearing-armor-pure-handmade-factory-wholesale-365nails","Blush French Nails with Cute Leopard and Icy Heart Accents")</x:f>
        <x:v>HYPERLINK is not implemented. linkLocation=https://365nails.com/products/duck-bill-nail-sweet-girl-heart-ice-transparent-blush-nail-leopard-print-french-wearing-armor-pure-handmade-factory-wholesale-365nails, friendlyName=Blush French Nails with Cute Leopard and Icy Heart Accents</x:v>
      </x:c>
      <x:c r="D8656" s="18" t="str">
        <x:v>shape: short bill; size: S / M / L</x:v>
      </x:c>
      <x:c r="E8656" s="25" t="str">
        <x:v>$4.49</x:v>
      </x:c>
      <x:c r="F8656" s="19" t="str">
        <x:v>30</x:v>
      </x:c>
    </x:row>
    <x:row r="8657" ht="93" customHeight="1">
      <x:c r="A8657" s="19" t="n">
        <x:v>8654</x:v>
      </x:c>
      <x:c r="B8657" s="22" t="e">
        <x:f>HYPERLINK("https://cdn.shopify.com/s/files/1/0918/6066/4603/files/O1CN01YECVUH1rlpUe8T8Nl__2215158925672-0-cib.jpg?v=1754470807","Open")</x:f>
        <x:v>HYPERLINK is not implemented. linkLocation=https://cdn.shopify.com/s/files/1/0918/6066/4603/files/O1CN01YECVUH1rlpUe8T8Nl__2215158925672-0-cib.jpg?v=1754470807, friendlyName=Open</x:v>
      </x:c>
      <x:c r="C8657" s="24" t="e">
        <x:f>HYPERLINK("https://365nails.com/products/handemade-press-on-nails-3d-three-dimensional-carving-hand-painted-blush-nail-original-real-shot-high-quality-nail-art-sticker-365nails","Blush Gradient Nails with 3D Sculpted Floral Accents")</x:f>
        <x:v>HYPERLINK is not implemented. linkLocation=https://365nails.com/products/handemade-press-on-nails-3d-three-dimensional-carving-hand-painted-blush-nail-original-real-shot-high-quality-nail-art-sticker-365nails, friendlyName=Blush Gradient Nails with 3D Sculpted Floral Accents</x:v>
      </x:c>
      <x:c r="D8657" s="18" t="str">
        <x:v>shape: medium almond; size: XS / S / M / L</x:v>
      </x:c>
      <x:c r="E8657" s="25" t="str">
        <x:v>$4.49</x:v>
      </x:c>
      <x:c r="F8657" s="19" t="str">
        <x:v>30</x:v>
      </x:c>
    </x:row>
    <x:row r="8658" ht="93" customHeight="1">
      <x:c r="A8658" s="19" t="n">
        <x:v>8655</x:v>
      </x:c>
      <x:c r="B8658" s="22" t="e">
        <x:f>HYPERLINK("https://cdn.shopify.com/s/files/1/0918/6066/4603/files/O1CN01k0iTKQ1rlpY4Lu4yy__2215158925672-0-cib.jpg?v=1754470710","Open")</x:f>
        <x:v>HYPERLINK is not implemented. linkLocation=https://cdn.shopify.com/s/files/1/0918/6066/4603/files/O1CN01k0iTKQ1rlpY4Lu4yy__2215158925672-0-cib.jpg?v=1754470710, friendlyName=Open</x:v>
      </x:c>
      <x:c r="C8658" s="24" t="e">
        <x:f>HYPERLINK("https://365nails.com/products/sweet-ice-blush-nail-3d-three-dimensional-engraving-advanced-sense-short-wear-armor-pure-handmade-365nails","Sweet Icy Blush Nails with 3D Floral Gold Accents")</x:f>
        <x:v>HYPERLINK is not implemented. linkLocation=https://365nails.com/products/sweet-ice-blush-nail-3d-three-dimensional-engraving-advanced-sense-short-wear-armor-pure-handmade-365nails, friendlyName=Sweet Icy Blush Nails with 3D Floral Gold Accents</x:v>
      </x:c>
      <x:c r="D8658" s="18" t="str">
        <x:v>shape: new short square; size: XS / S / M / L</x:v>
      </x:c>
      <x:c r="E8658" s="25" t="str">
        <x:v>$2.99</x:v>
      </x:c>
      <x:c r="F8658" s="19" t="str">
        <x:v>30</x:v>
      </x:c>
    </x:row>
    <x:row r="8659" ht="93" customHeight="1">
      <x:c r="A8659" s="19" t="n">
        <x:v>8656</x:v>
      </x:c>
      <x:c r="B8659" s="22" t="e">
        <x:f>HYPERLINK("https://cdn.shopify.com/s/files/1/0918/6066/4603/files/O1CN01mzUqCN1rlpS2iR6Xd__2215158925672-0-cib.jpg?v=1754470673","Open")</x:f>
        <x:v>HYPERLINK is not implemented. linkLocation=https://cdn.shopify.com/s/files/1/0918/6066/4603/files/O1CN01mzUqCN1rlpS2iR6Xd__2215158925672-0-cib.jpg?v=1754470673, friendlyName=Open</x:v>
      </x:c>
      <x:c r="C8659" s="24" t="e">
        <x:f>HYPERLINK("https://365nails.com/products/handmade-press-on-nails-long-pointed-flash-trade-metal-sweet-cool-retro-style-nail-patch-wearable-fake-nails-365nails","Vintage Metal Nails with Sweet-Cool Purple Sparkle")</x:f>
        <x:v>HYPERLINK is not implemented. linkLocation=https://365nails.com/products/handmade-press-on-nails-long-pointed-flash-trade-metal-sweet-cool-retro-style-nail-patch-wearable-fake-nails-365nails, friendlyName=Vintage Metal Nails with Sweet-Cool Purple Sparkle</x:v>
      </x:c>
      <x:c r="D8659" s="18" t="str">
        <x:v>shape: long tip; size: XS / S / M / L</x:v>
      </x:c>
      <x:c r="E8659" s="25" t="str">
        <x:v>$2.99</x:v>
      </x:c>
      <x:c r="F8659" s="19" t="str">
        <x:v>30</x:v>
      </x:c>
    </x:row>
    <x:row r="8660" ht="93" customHeight="1">
      <x:c r="A8660" s="19" t="n">
        <x:v>8657</x:v>
      </x:c>
      <x:c r="B8660" s="22" t="e">
        <x:f>HYPERLINK("https://cdn.shopify.com/s/files/1/0918/6066/4603/files/O1CN01yPqOL41rlpY2fdyEV__2215158925672-0-cib.jpg?v=1754470544","Open")</x:f>
        <x:v>HYPERLINK is not implemented. linkLocation=https://cdn.shopify.com/s/files/1/0918/6066/4603/files/O1CN01yPqOL41rlpY2fdyEV__2215158925672-0-cib.jpg?v=1754470544, friendlyName=Open</x:v>
      </x:c>
      <x:c r="C8660" s="24" t="e">
        <x:f>HYPERLINK("https://365nails.com/products/duck-bill-nail-ice-transparent-french-relief-nail-art-3d-three-dimensional-carving-sweet-and-cool-hot-girls-wearing-nail-pure-handmade-365nails","Icy French Nails with 3D Sculpted Floral Accents")</x:f>
        <x:v>HYPERLINK is not implemented. linkLocation=https://365nails.com/products/duck-bill-nail-ice-transparent-french-relief-nail-art-3d-three-dimensional-carving-sweet-and-cool-hot-girls-wearing-nail-pure-handmade-365nails, friendlyName=Icy French Nails with 3D Sculpted Floral Accents</x:v>
      </x:c>
      <x:c r="D8660" s="18" t="str">
        <x:v>shape: short bill; size: S / M / L</x:v>
      </x:c>
      <x:c r="E8660" s="25" t="str">
        <x:v>$4.49</x:v>
      </x:c>
      <x:c r="F8660" s="19" t="str">
        <x:v>30</x:v>
      </x:c>
    </x:row>
    <x:row r="8661" ht="93" customHeight="1">
      <x:c r="A8661" s="19" t="n">
        <x:v>8658</x:v>
      </x:c>
      <x:c r="B8661" s="22" t="e">
        <x:f>HYPERLINK("https://cdn.shopify.com/s/files/1/0918/6066/4603/files/O1CN01tzmEBL1rlpS7jUyjk__2215158925672-0-cib.jpg?v=1754470404","Open")</x:f>
        <x:v>HYPERLINK is not implemented. linkLocation=https://cdn.shopify.com/s/files/1/0918/6066/4603/files/O1CN01tzmEBL1rlpS7jUyjk__2215158925672-0-cib.jpg?v=1754470404, friendlyName=Open</x:v>
      </x:c>
      <x:c r="C8661" s="24" t="e">
        <x:f>HYPERLINK("https://365nails.com/products/medium-and-long-square-handmade-press-on-nails-spray-gun-multi-color-gradual-change-spice-girl-blush-nail-sticker-365nails","Multicolor Airbrushed Nails with Sweet-Cool Blush Accents")</x:f>
        <x:v>HYPERLINK is not implemented. linkLocation=https://365nails.com/products/medium-and-long-square-handmade-press-on-nails-spray-gun-multi-color-gradual-change-spice-girl-blush-nail-sticker-365nails, friendlyName=Multicolor Airbrushed Nails with Sweet-Cool Blush Accents</x:v>
      </x:c>
      <x:c r="D8661" s="18" t="str">
        <x:v>shape: medium and long square; size: S / M / L</x:v>
      </x:c>
      <x:c r="E8661" s="25" t="str">
        <x:v>$3.99</x:v>
      </x:c>
      <x:c r="F8661" s="19" t="str">
        <x:v>30</x:v>
      </x:c>
    </x:row>
    <x:row r="8662" ht="93" customHeight="1">
      <x:c r="A8662" s="19" t="n">
        <x:v>8659</x:v>
      </x:c>
      <x:c r="B8662" s="22" t="e">
        <x:f>HYPERLINK("https://cdn.shopify.com/s/files/1/0918/6066/4603/files/O1CN01PuJo671rlpXdDewtp__2215158925672-0-cib.jpg?v=1754470287","Open")</x:f>
        <x:v>HYPERLINK is not implemented. linkLocation=https://cdn.shopify.com/s/files/1/0918/6066/4603/files/O1CN01PuJo671rlpXdDewtp__2215158925672-0-cib.jpg?v=1754470287, friendlyName=Open</x:v>
      </x:c>
      <x:c r="C8662" s="24" t="e">
        <x:f>HYPERLINK("https://365nails.com/products/dyeing-the-new-simple-handmade-press-on-nails-short-ice-through-the-gradual-change-nail-patch-wearing-nail-pure-hand-fake-nails-365nails","Frosted Ombre Nails with Clear Gloss Highlights")</x:f>
        <x:v>HYPERLINK is not implemented. linkLocation=https://365nails.com/products/dyeing-the-new-simple-handmade-press-on-nails-short-ice-through-the-gradual-change-nail-patch-wearing-nail-pure-hand-fake-nails-365nails, friendlyName=Frosted Ombre Nails with Clear Gloss Highlights</x:v>
      </x:c>
      <x:c r="D8662" s="18" t="str">
        <x:v>shape: short circle; size: XS / S / M / L</x:v>
      </x:c>
      <x:c r="E8662" s="25" t="str">
        <x:v>$2.49</x:v>
      </x:c>
      <x:c r="F8662" s="19" t="str">
        <x:v>30</x:v>
      </x:c>
    </x:row>
    <x:row r="8663" ht="93" customHeight="1">
      <x:c r="A8663" s="19" t="n">
        <x:v>8660</x:v>
      </x:c>
      <x:c r="B8663" s="22" t="e">
        <x:f>HYPERLINK("https://cdn.shopify.com/s/files/1/0918/6066/4603/files/O1CN01Us3bYu1rlpRRztIgx__2215158925672-0-cib.jpg?v=1754470224","Open")</x:f>
        <x:v>HYPERLINK is not implemented. linkLocation=https://cdn.shopify.com/s/files/1/0918/6066/4603/files/O1CN01Us3bYu1rlpRRztIgx__2215158925672-0-cib.jpg?v=1754470224, friendlyName=Open</x:v>
      </x:c>
      <x:c r="C8663" s="24" t="e">
        <x:f>HYPERLINK("https://365nails.com/products/handemade-press-on-nails-heavy-industry-watercolor-embossed-butterfly-nail-patch-patch-yiwu-nail-art-wholesale-365nails","Watercolor Gradient Nails with Sculpted Metallic Butterfly Accents")</x:f>
        <x:v>HYPERLINK is not implemented. linkLocation=https://365nails.com/products/handemade-press-on-nails-heavy-industry-watercolor-embossed-butterfly-nail-patch-patch-yiwu-nail-art-wholesale-365nails, friendlyName=Watercolor Gradient Nails with Sculpted Metallic Butterfly Accents</x:v>
      </x:c>
      <x:c r="D8663" s="18" t="str">
        <x:v>shape: long pointed ellipse; size: XS / S / M / L</x:v>
      </x:c>
      <x:c r="E8663" s="25" t="str">
        <x:v>$3.99</x:v>
      </x:c>
      <x:c r="F8663" s="19" t="str">
        <x:v>30</x:v>
      </x:c>
    </x:row>
    <x:row r="8664" ht="93" customHeight="1">
      <x:c r="A8664" s="19" t="n">
        <x:v>8661</x:v>
      </x:c>
      <x:c r="B8664" s="22" t="e">
        <x:f>HYPERLINK("https://cdn.shopify.com/s/files/1/0918/6066/4603/files/O1CN01qnya4f1rlpQmNhiwJ__2215158925672-0-cib.jpg?v=1754470188","Open")</x:f>
        <x:v>HYPERLINK is not implemented. linkLocation=https://cdn.shopify.com/s/files/1/0918/6066/4603/files/O1CN01qnya4f1rlpQmNhiwJ__2215158925672-0-cib.jpg?v=1754470188, friendlyName=Open</x:v>
      </x:c>
      <x:c r="C8664" s="24" t="e">
        <x:f>HYPERLINK("https://365nails.com/products/the-spray-gun-gradually-changes-the-spar-cats-eye-handemade-press-on-nails-new-chinese-hand-painted-short-nail-patch-sticker-365nails","Modern Ink Gradient Nails with Crystal Cat-Eye Accents")</x:f>
        <x:v>HYPERLINK is not implemented. linkLocation=https://365nails.com/products/the-spray-gun-gradually-changes-the-spar-cats-eye-handemade-press-on-nails-new-chinese-hand-painted-short-nail-patch-sticker-365nails, friendlyName=Modern Ink Gradient Nails with Crystal Cat-Eye Accents</x:v>
      </x:c>
      <x:c r="D8664" s="18" t="str">
        <x:v>shape: Ultra short T; size: XS / S / M / L</x:v>
      </x:c>
      <x:c r="E8664" s="25" t="str">
        <x:v>$3.49</x:v>
      </x:c>
      <x:c r="F8664" s="19" t="str">
        <x:v>30</x:v>
      </x:c>
    </x:row>
    <x:row r="8665" ht="93" customHeight="1">
      <x:c r="A8665" s="19" t="n">
        <x:v>8662</x:v>
      </x:c>
      <x:c r="B8665" s="22" t="e">
        <x:f>HYPERLINK("https://cdn.shopify.com/s/files/1/0918/6066/4603/files/O1CN01Q0F8X21rlpQtm0Xke__2215158925672-0-cib.jpg?v=1754470110","Open")</x:f>
        <x:v>HYPERLINK is not implemented. linkLocation=https://cdn.shopify.com/s/files/1/0918/6066/4603/files/O1CN01Q0F8X21rlpQtm0Xke__2215158925672-0-cib.jpg?v=1754470110, friendlyName=Open</x:v>
      </x:c>
      <x:c r="C8665" s="24" t="e">
        <x:f>HYPERLINK("https://365nails.com/products/handmade-press-on-nails-spray-gun-black-gills-metal-liquid-modeling-long-tip-hand-manicure-sticker-fake-nail-365nails","Airbrushed Black Fade Nails with Sculpted Metallic Liquid Accents")</x:f>
        <x:v>HYPERLINK is not implemented. linkLocation=https://365nails.com/products/handmade-press-on-nails-spray-gun-black-gills-metal-liquid-modeling-long-tip-hand-manicure-sticker-fake-nail-365nails, friendlyName=Airbrushed Black Fade Nails with Sculpted Metallic Liquid Accents</x:v>
      </x:c>
      <x:c r="D8665" s="18" t="str">
        <x:v>shape: long tip; size: XS / S / M / L</x:v>
      </x:c>
      <x:c r="E8665" s="25" t="str">
        <x:v>$3.99</x:v>
      </x:c>
      <x:c r="F8665" s="19" t="str">
        <x:v>30</x:v>
      </x:c>
    </x:row>
    <x:row r="8666" ht="93" customHeight="1">
      <x:c r="A8666" s="19" t="n">
        <x:v>8663</x:v>
      </x:c>
      <x:c r="B8666" s="22" t="e">
        <x:f>HYPERLINK("https://cdn.shopify.com/s/files/1/0918/6066/4603/files/O1CN018NFA1J1rlpUfd2X1f__2215158925672-0-cib.jpg?v=1754469988","Open")</x:f>
        <x:v>HYPERLINK is not implemented. linkLocation=https://cdn.shopify.com/s/files/1/0918/6066/4603/files/O1CN018NFA1J1rlpUfd2X1f__2215158925672-0-cib.jpg?v=1754469988, friendlyName=Open</x:v>
      </x:c>
      <x:c r="C8666" s="24" t="e">
        <x:f>HYPERLINK("https://365nails.com/products/hand-painted-irregular-lines-three-dimensional-engraved-nail-art-almond-nail-365nails","Color-Blend Nails with Irregular Lines and 3D Floral Accents")</x:f>
        <x:v>HYPERLINK is not implemented. linkLocation=https://365nails.com/products/hand-painted-irregular-lines-three-dimensional-engraved-nail-art-almond-nail-365nails, friendlyName=Color-Blend Nails with Irregular Lines and 3D Floral Accents</x:v>
      </x:c>
      <x:c r="D8666" s="18" t="str">
        <x:v>shape: medium almond; size: XS / S / M / L</x:v>
      </x:c>
      <x:c r="E8666" s="25" t="str">
        <x:v>$4.49</x:v>
      </x:c>
      <x:c r="F8666" s="19" t="str">
        <x:v>30</x:v>
      </x:c>
    </x:row>
    <x:row r="8667" ht="93" customHeight="1">
      <x:c r="A8667" s="19" t="n">
        <x:v>8664</x:v>
      </x:c>
      <x:c r="B8667" s="22" t="e">
        <x:f>HYPERLINK("https://cdn.shopify.com/s/files/1/0918/6066/4603/files/O1CN01TZoHPQ1rlpNUAR2OE__2215158925672-0-cib.jpg?v=1754469100","Open")</x:f>
        <x:v>HYPERLINK is not implemented. linkLocation=https://cdn.shopify.com/s/files/1/0918/6066/4603/files/O1CN01TZoHPQ1rlpNUAR2OE__2215158925672-0-cib.jpg?v=1754469100, friendlyName=Open</x:v>
      </x:c>
      <x:c r="C8667" s="24" t="e">
        <x:f>HYPERLINK("https://365nails.com/products/handmade-press-on-nails-spray-gun-blush-atmosphere-temperament-beautiful-woman-long-manicure-simple-sweet-sticker-365nails","Soft White Gradient Nails with Minimalist Crystal Accents")</x:f>
        <x:v>HYPERLINK is not implemented. linkLocation=https://365nails.com/products/handmade-press-on-nails-spray-gun-blush-atmosphere-temperament-beautiful-woman-long-manicure-simple-sweet-sticker-365nails, friendlyName=Soft White Gradient Nails with Minimalist Crystal Accents</x:v>
      </x:c>
      <x:c r="D8667" s="18" t="str">
        <x:v>shape: lengthened T; size: XS / S / M</x:v>
      </x:c>
      <x:c r="E8667" s="25" t="str">
        <x:v>$2.49</x:v>
      </x:c>
      <x:c r="F8667" s="19" t="str">
        <x:v>30</x:v>
      </x:c>
    </x:row>
    <x:row r="8668" ht="93" customHeight="1">
      <x:c r="A8668" s="19" t="n">
        <x:v>8665</x:v>
      </x:c>
      <x:c r="B8668" s="22" t="e">
        <x:f>HYPERLINK("https://cdn.shopify.com/s/files/1/0918/6066/4603/files/O1CN01Tegk0J1rlpNf4WJav__2215158925672-0-cib.jpg?v=1754468619","Open")</x:f>
        <x:v>HYPERLINK is not implemented. linkLocation=https://cdn.shopify.com/s/files/1/0918/6066/4603/files/O1CN01Tegk0J1rlpNf4WJav__2215158925672-0-cib.jpg?v=1754468619, friendlyName=Open</x:v>
      </x:c>
      <x:c r="C8668" s="24" t="e">
        <x:f>HYPERLINK("https://365nails.com/products/sweet-cool-metal-style-handmade-press-on-nails-spray-gun-blush-irregular-cat-eye-medium-and-long-nail-patch-wholesale-365nails","Airbrushed Blush Nails with Sculpted Metallic Cat-Eye Accents")</x:f>
        <x:v>HYPERLINK is not implemented. linkLocation=https://365nails.com/products/sweet-cool-metal-style-handmade-press-on-nails-spray-gun-blush-irregular-cat-eye-medium-and-long-nail-patch-wholesale-365nails, friendlyName=Airbrushed Blush Nails with Sculpted Metallic Cat-Eye Accents</x:v>
      </x:c>
      <x:c r="D8668" s="18" t="str">
        <x:v>shape: Medium T; size: XS / S / M / L</x:v>
      </x:c>
      <x:c r="E8668" s="25" t="str">
        <x:v>$2.99</x:v>
      </x:c>
      <x:c r="F8668" s="19" t="str">
        <x:v>30</x:v>
      </x:c>
    </x:row>
    <x:row r="8669" ht="93" customHeight="1">
      <x:c r="A8669" s="19" t="n">
        <x:v>8666</x:v>
      </x:c>
      <x:c r="B8669" s="22" t="e">
        <x:f>HYPERLINK("https://cdn.shopify.com/s/files/1/0918/6066/4603/files/O1CN01GYxdHr1rlpWr94Vzz__2215158925672-0-cib.jpg?v=1754468599","Open")</x:f>
        <x:v>HYPERLINK is not implemented. linkLocation=https://cdn.shopify.com/s/files/1/0918/6066/4603/files/O1CN01GYxdHr1rlpWr94Vzz__2215158925672-0-cib.jpg?v=1754468599, friendlyName=Open</x:v>
      </x:c>
      <x:c r="C8669" s="24" t="e">
        <x:f>HYPERLINK("https://365nails.com/products/simple-aurora-armor-pure-desire-small-fresh-spray-gun-gradual-change-wearing-armor-pure-handmade-factory-wholesale-365nails","Iridescent Airbrushed Aurora Nails in Soft Blue Gradient")</x:f>
        <x:v>HYPERLINK is not implemented. linkLocation=https://365nails.com/products/simple-aurora-armor-pure-desire-small-fresh-spray-gun-gradual-change-wearing-armor-pure-handmade-factory-wholesale-365nails, friendlyName=Iridescent Airbrushed Aurora Nails in Soft Blue Gradient</x:v>
      </x:c>
      <x:c r="D8669" s="18" t="str">
        <x:v>shape: Short almonds; size: S / M / L</x:v>
      </x:c>
      <x:c r="E8669" s="25" t="str">
        <x:v>$2.49</x:v>
      </x:c>
      <x:c r="F8669" s="19" t="str">
        <x:v>30</x:v>
      </x:c>
    </x:row>
    <x:row r="8670" ht="93" customHeight="1">
      <x:c r="A8670" s="19" t="n">
        <x:v>8667</x:v>
      </x:c>
      <x:c r="B8670" s="22" t="e">
        <x:f>HYPERLINK("https://cdn.shopify.com/s/files/1/0918/6066/4603/files/O1CN01oVkgpt1rlpLzQMogk__2215158925672-0-cib.jpg?v=1754468461","Open")</x:f>
        <x:v>HYPERLINK is not implemented. linkLocation=https://cdn.shopify.com/s/files/1/0918/6066/4603/files/O1CN01oVkgpt1rlpLzQMogk__2215158925672-0-cib.jpg?v=1754468461, friendlyName=Open</x:v>
      </x:c>
      <x:c r="C8670" s="24" t="e">
        <x:f>HYPERLINK("https://365nails.com/products/handmade-nail-art-style-bloody-mary-handmade-press-on-nails-art-dark-niche-halloween-wearable-nail-sticker-365nails","Bloody Mary Gothic Halloween Drip Nails")</x:f>
        <x:v>HYPERLINK is not implemented. linkLocation=https://365nails.com/products/handmade-nail-art-style-bloody-mary-handmade-press-on-nails-art-dark-niche-halloween-wearable-nail-sticker-365nails, friendlyName=Bloody Mary Gothic Halloween Drip Nails</x:v>
      </x:c>
      <x:c r="D8670" s="18" t="str">
        <x:v>shape: long pointed ellipse; size: XS / S / M / L</x:v>
      </x:c>
      <x:c r="E8670" s="25" t="str">
        <x:v>$3.49</x:v>
      </x:c>
      <x:c r="F8670" s="19" t="str">
        <x:v>30</x:v>
      </x:c>
    </x:row>
    <x:row r="8671" ht="93" customHeight="1">
      <x:c r="A8671" s="19" t="n">
        <x:v>8668</x:v>
      </x:c>
      <x:c r="B8671" s="22" t="e">
        <x:f>HYPERLINK("https://cdn.shopify.com/s/files/1/0918/6066/4603/files/O1CN01rx3iUK1rlpSX727BV__2215158925672-0-cib.jpg?v=1754468279","Open")</x:f>
        <x:v>HYPERLINK is not implemented. linkLocation=https://cdn.shopify.com/s/files/1/0918/6066/4603/files/O1CN01rx3iUK1rlpSX727BV__2215158925672-0-cib.jpg?v=1754468279, friendlyName=Open</x:v>
      </x:c>
      <x:c r="C8671" s="24" t="e">
        <x:f>HYPERLINK("https://365nails.com/products/summer-sweetheart-spice-girl-barbie-princess-pink-cute-almond-nail-hand-painted-embossed-shell-handmade-press-on-nails-365nails","Barbie Pink Sweetheart Nails with Sculpted Shell and Heart Art")</x:f>
        <x:v>HYPERLINK is not implemented. linkLocation=https://365nails.com/products/summer-sweetheart-spice-girl-barbie-princess-pink-cute-almond-nail-hand-painted-embossed-shell-handmade-press-on-nails-365nails, friendlyName=Barbie Pink Sweetheart Nails with Sculpted Shell and Heart Art</x:v>
      </x:c>
      <x:c r="D8671" s="18" t="str">
        <x:v>shape: medium almond; size: XS / S / M / L</x:v>
      </x:c>
      <x:c r="E8671" s="25" t="str">
        <x:v>$3.49</x:v>
      </x:c>
      <x:c r="F8671" s="19" t="str">
        <x:v>30</x:v>
      </x:c>
    </x:row>
    <x:row r="8672" ht="93" customHeight="1">
      <x:c r="A8672" s="19" t="n">
        <x:v>8669</x:v>
      </x:c>
      <x:c r="B8672" s="22" t="e">
        <x:f>HYPERLINK("https://cdn.shopify.com/s/files/1/0918/6066/4603/files/O1CN01iRLVvt1rlpLzRuxLg__2215158925672-0-cib.jpg?v=1754468267","Open")</x:f>
        <x:v>HYPERLINK is not implemented. linkLocation=https://cdn.shopify.com/s/files/1/0918/6066/4603/files/O1CN01iRLVvt1rlpLzRuxLg__2215158925672-0-cib.jpg?v=1754468267, friendlyName=Open</x:v>
      </x:c>
      <x:c r="C8672" s="24" t="e">
        <x:f>HYPERLINK("https://365nails.com/products/handmade-press-on-nails-airbrush-ocean-blue-and-white-blush-medium-and-long-nail-patch-simple-spice-girl-wearable-nail-patch-365nails","Airbrushed Ocean-Blue Blush Nails with Clean Gradient Glow")</x:f>
        <x:v>HYPERLINK is not implemented. linkLocation=https://365nails.com/products/handmade-press-on-nails-airbrush-ocean-blue-and-white-blush-medium-and-long-nail-patch-simple-spice-girl-wearable-nail-patch-365nails, friendlyName=Airbrushed Ocean-Blue Blush Nails with Clean Gradient Glow</x:v>
      </x:c>
      <x:c r="D8672" s="18" t="str">
        <x:v>shape: Medium T; size: XS / S / M / L</x:v>
      </x:c>
      <x:c r="E8672" s="25" t="str">
        <x:v>$2.99</x:v>
      </x:c>
      <x:c r="F8672" s="19" t="str">
        <x:v>30</x:v>
      </x:c>
    </x:row>
    <x:row r="8673" ht="93" customHeight="1">
      <x:c r="A8673" s="19" t="n">
        <x:v>8670</x:v>
      </x:c>
      <x:c r="B8673" s="22" t="e">
        <x:f>HYPERLINK("https://cdn.shopify.com/s/files/1/0918/6066/4603/files/O1CN01pbLjwh1rlpTkqfhWb__2215158925672-0-cib.jpg?v=1754468185","Open")</x:f>
        <x:v>HYPERLINK is not implemented. linkLocation=https://cdn.shopify.com/s/files/1/0918/6066/4603/files/O1CN01pbLjwh1rlpTkqfhWb__2215158925672-0-cib.jpg?v=1754468185, friendlyName=Open</x:v>
      </x:c>
      <x:c r="C8673" s="24" t="e">
        <x:f>HYPERLINK("https://365nails.com/products/handmade-press-on-nails-broken-flash-white-moonlight-simple-temperament-elegant-nail-patch-ice-through-fake-nails-365nails","Minimal White-Moon Nails with Silver Shattered Sparkle Lines")</x:f>
        <x:v>HYPERLINK is not implemented. linkLocation=https://365nails.com/products/handmade-press-on-nails-broken-flash-white-moonlight-simple-temperament-elegant-nail-patch-ice-through-fake-nails-365nails, friendlyName=Minimal White-Moon Nails with Silver Shattered Sparkle Lines</x:v>
      </x:c>
      <x:c r="D8673" s="18" t="str">
        <x:v>shape: 4.0 Long Ellipse; size: XS / S / M / L</x:v>
      </x:c>
      <x:c r="E8673" s="25" t="str">
        <x:v>$2.49</x:v>
      </x:c>
      <x:c r="F8673" s="19" t="str">
        <x:v>30</x:v>
      </x:c>
    </x:row>
    <x:row r="8674" ht="93" customHeight="1">
      <x:c r="A8674" s="19" t="n">
        <x:v>8671</x:v>
      </x:c>
      <x:c r="B8674" s="22" t="e">
        <x:f>HYPERLINK("https://cdn.shopify.com/s/files/1/0918/6066/4603/files/O1CN01xUmSsF1rlpK0jXcZL__2215158925672-0-cib.jpg?v=1754466451","Open")</x:f>
        <x:v>HYPERLINK is not implemented. linkLocation=https://cdn.shopify.com/s/files/1/0918/6066/4603/files/O1CN01xUmSsF1rlpK0jXcZL__2215158925672-0-cib.jpg?v=1754466451, friendlyName=Open</x:v>
      </x:c>
      <x:c r="C8674" s="24" t="e">
        <x:f>HYPERLINK("https://365nails.com/products/handmade-press-on-nails-black-gills-metal-fused-nail-art-piece-removable-wearable-nail-sticker-wearing-nail-finished-nail-piece-365nails","Smoky Black Blush Nails with Metallic Melted Accents")</x:f>
        <x:v>HYPERLINK is not implemented. linkLocation=https://365nails.com/products/handmade-press-on-nails-black-gills-metal-fused-nail-art-piece-removable-wearable-nail-sticker-wearing-nail-finished-nail-piece-365nails, friendlyName=Smoky Black Blush Nails with Metallic Melted Accents</x:v>
      </x:c>
      <x:c r="D8674" s="18" t="str">
        <x:v>shape: new short square; size: XS / S / M / L</x:v>
      </x:c>
      <x:c r="E8674" s="25" t="str">
        <x:v>$2.99</x:v>
      </x:c>
      <x:c r="F8674" s="19" t="str">
        <x:v>30</x:v>
      </x:c>
    </x:row>
    <x:row r="8675" ht="93" customHeight="1">
      <x:c r="A8675" s="19" t="n">
        <x:v>8672</x:v>
      </x:c>
      <x:c r="B8675" s="22" t="e">
        <x:f>HYPERLINK("https://cdn.shopify.com/s/files/1/0918/6066/4603/files/O1CN01ab4KDV1rlpRtwiEPj__2215158925672-0-cib.jpg?v=1754466407","Open")</x:f>
        <x:v>HYPERLINK is not implemented. linkLocation=https://cdn.shopify.com/s/files/1/0918/6066/4603/files/O1CN01ab4KDV1rlpRtwiEPj__2215158925672-0-cib.jpg?v=1754466407, friendlyName=Open</x:v>
      </x:c>
      <x:c r="C8675" s="24" t="e">
        <x:f>HYPERLINK("https://365nails.com/products/hot-girls-handmade-press-on-nails-metal-hand-painted-irregular-smudged-almond-nail-wearable-nail-sticker-wholesale-365nails","Metallic Hand-Drawn Nails with Irregular Pink Ink Wash")</x:f>
        <x:v>HYPERLINK is not implemented. linkLocation=https://365nails.com/products/hot-girls-handmade-press-on-nails-metal-hand-painted-irregular-smudged-almond-nail-wearable-nail-sticker-wholesale-365nails, friendlyName=Metallic Hand-Drawn Nails with Irregular Pink Ink Wash</x:v>
      </x:c>
      <x:c r="D8675" s="18" t="str">
        <x:v>shape: medium almond; size: XS / S / M / L</x:v>
      </x:c>
      <x:c r="E8675" s="25" t="str">
        <x:v>$3.49</x:v>
      </x:c>
      <x:c r="F8675" s="19" t="str">
        <x:v>30</x:v>
      </x:c>
    </x:row>
    <x:row r="8676" ht="93" customHeight="1">
      <x:c r="A8676" s="19" t="n">
        <x:v>8673</x:v>
      </x:c>
      <x:c r="B8676" s="22" t="e">
        <x:f>HYPERLINK("https://cdn.shopify.com/s/files/1/0918/6066/4603/files/O1CN01M33i2Q1rlpQlYeGWs__2215158925672-0-cib.jpg?v=1754466388","Open")</x:f>
        <x:v>HYPERLINK is not implemented. linkLocation=https://cdn.shopify.com/s/files/1/0918/6066/4603/files/O1CN01M33i2Q1rlpQlYeGWs__2215158925672-0-cib.jpg?v=1754466388, friendlyName=Open</x:v>
      </x:c>
      <x:c r="C8676" s="24" t="e">
        <x:f>HYPERLINK("https://365nails.com/products/style-super-long-water-pipe-nail-love-pearl-flash-handmade-press-on-nails-foreign-trade-long-nail-patch-365nails","Sparkling Pearl-Encrusted Nails with Heart and Holographic Accents")</x:f>
        <x:v>HYPERLINK is not implemented. linkLocation=https://365nails.com/products/style-super-long-water-pipe-nail-love-pearl-flash-handmade-press-on-nails-foreign-trade-long-nail-patch-365nails, friendlyName=Sparkling Pearl-Encrusted Nails with Heart and Holographic Accents</x:v>
      </x:c>
      <x:c r="D8676" s="18" t="str">
        <x:v>shape: long water pipe; size: S / M / L</x:v>
      </x:c>
      <x:c r="E8676" s="25" t="str">
        <x:v>$4.99</x:v>
      </x:c>
      <x:c r="F8676" s="19" t="str">
        <x:v>30</x:v>
      </x:c>
    </x:row>
    <x:row r="8677" ht="93" customHeight="1">
      <x:c r="A8677" s="19" t="n">
        <x:v>8674</x:v>
      </x:c>
      <x:c r="B8677" s="22" t="e">
        <x:f>HYPERLINK("https://cdn.shopify.com/s/files/1/0918/6066/4603/files/O1CN01y81nX51rlpRsahigo__2215158925672-0-cib.jpg?v=1754450060","Open")</x:f>
        <x:v>HYPERLINK is not implemented. linkLocation=https://cdn.shopify.com/s/files/1/0918/6066/4603/files/O1CN01y81nX51rlpRsahigo__2215158925672-0-cib.jpg?v=1754450060, friendlyName=Open</x:v>
      </x:c>
      <x:c r="C8677" s="24" t="e">
        <x:f>HYPERLINK("https://365nails.com/products/handmade-press-on-nails-spray-gun-gradual-change-metal-relief-advanced-whitening-nail-patch-long-wearable-fake-nails-365nails","Airbrushed Black-Red Nails with Metallic Sculpted Flames")</x:f>
        <x:v>HYPERLINK is not implemented. linkLocation=https://365nails.com/products/handmade-press-on-nails-spray-gun-gradual-change-metal-relief-advanced-whitening-nail-patch-long-wearable-fake-nails-365nails, friendlyName=Airbrushed Black-Red Nails with Metallic Sculpted Flames</x:v>
      </x:c>
      <x:c r="D8677" s="18" t="str">
        <x:v>shape: lengthened T; size: XS / S / M</x:v>
      </x:c>
      <x:c r="E8677" s="25" t="str">
        <x:v>$2.99</x:v>
      </x:c>
      <x:c r="F8677" s="19" t="str">
        <x:v>30</x:v>
      </x:c>
    </x:row>
    <x:row r="8678" ht="93" customHeight="1">
      <x:c r="A8678" s="19" t="n">
        <x:v>8675</x:v>
      </x:c>
      <x:c r="B8678" s="22" t="e">
        <x:f>HYPERLINK("https://cdn.shopify.com/s/files/1/0918/6066/4603/files/O1CN01PkZd2E1rlpRhDC4KM__2215158925672-0-cib.jpg?v=1754449797","Open")</x:f>
        <x:v>HYPERLINK is not implemented. linkLocation=https://cdn.shopify.com/s/files/1/0918/6066/4603/files/O1CN01PkZd2E1rlpRhDC4KM__2215158925672-0-cib.jpg?v=1754449797, friendlyName=Open</x:v>
      </x:c>
      <x:c r="C8678" s="24" t="e">
        <x:f>HYPERLINK("https://365nails.com/products/simple-blush-nail-sweet-cool-hot-girl-wearing-nail-sticker-long-handmade-press-on-nails-wholesale-fake-nail-365nails","Minimal Blush Gradient Nails in Soft Sunset Tones")</x:f>
        <x:v>HYPERLINK is not implemented. linkLocation=https://365nails.com/products/simple-blush-nail-sweet-cool-hot-girl-wearing-nail-sticker-long-handmade-press-on-nails-wholesale-fake-nail-365nails, friendlyName=Minimal Blush Gradient Nails in Soft Sunset Tones</x:v>
      </x:c>
      <x:c r="D8678" s="18" t="str">
        <x:v>shape: long pointed ellipse; size: XS / S / M / L</x:v>
      </x:c>
      <x:c r="E8678" s="25" t="str">
        <x:v>$2.99</x:v>
      </x:c>
      <x:c r="F8678" s="19" t="str">
        <x:v>30</x:v>
      </x:c>
    </x:row>
    <x:row r="8679" ht="93" customHeight="1">
      <x:c r="A8679" s="19" t="n">
        <x:v>8676</x:v>
      </x:c>
      <x:c r="B8679" s="22" t="e">
        <x:f>HYPERLINK("https://cdn.shopify.com/s/files/1/0918/6066/4603/files/O1CN01UHu97R1rlpRcooWAo__2215158925672-0-cib.jpg?v=1754449728","Open")</x:f>
        <x:v>HYPERLINK is not implemented. linkLocation=https://cdn.shopify.com/s/files/1/0918/6066/4603/files/O1CN01UHu97R1rlpRcooWAo__2215158925672-0-cib.jpg?v=1754449728, friendlyName=Open</x:v>
      </x:c>
      <x:c r="C8679" s="24" t="e">
        <x:f>HYPERLINK("https://365nails.com/products/short-manicure-irregular-metal-shape-spar-cats-eye-handmade-press-on-nails-hand-painted-fake-nail-wholesale-365nails","Metallic Sculpted Nails with Crystal Cat-Eye Accents")</x:f>
        <x:v>HYPERLINK is not implemented. linkLocation=https://365nails.com/products/short-manicure-irregular-metal-shape-spar-cats-eye-handmade-press-on-nails-hand-painted-fake-nail-wholesale-365nails, friendlyName=Metallic Sculpted Nails with Crystal Cat-Eye Accents</x:v>
      </x:c>
      <x:c r="D8679" s="18" t="str">
        <x:v>shape: short ellipse; size: XS / S / M / L</x:v>
      </x:c>
      <x:c r="E8679" s="25" t="str">
        <x:v>$3.99</x:v>
      </x:c>
      <x:c r="F8679" s="19" t="str">
        <x:v>30</x:v>
      </x:c>
    </x:row>
    <x:row r="8680" ht="93" customHeight="1">
      <x:c r="A8680" s="19" t="n">
        <x:v>8677</x:v>
      </x:c>
      <x:c r="B8680" s="22" t="e">
        <x:f>HYPERLINK("https://cdn.shopify.com/s/files/1/0918/6066/4603/files/O1CN01s1Zuu91rlpMUFGA6A__2215158925672-0-cib.jpg?v=1754449680","Open")</x:f>
        <x:v>HYPERLINK is not implemented. linkLocation=https://cdn.shopify.com/s/files/1/0918/6066/4603/files/O1CN01s1Zuu91rlpMUFGA6A__2215158925672-0-cib.jpg?v=1754449680, friendlyName=Open</x:v>
      </x:c>
      <x:c r="C8680" s="24" t="e">
        <x:f>HYPERLINK("https://365nails.com/products/autumn-and-winter-new-caramel-smudge-nail-patch-hand-pinch-three-dimensional-handmade-press-on-nails-wearable-nail-sticker-365nails","Caramel Swirl Nails with Soft Neutral Art Accents")</x:f>
        <x:v>HYPERLINK is not implemented. linkLocation=https://365nails.com/products/autumn-and-winter-new-caramel-smudge-nail-patch-hand-pinch-three-dimensional-handmade-press-on-nails-wearable-nail-sticker-365nails, friendlyName=Caramel Swirl Nails with Soft Neutral Art Accents</x:v>
      </x:c>
      <x:c r="D8680" s="18" t="str">
        <x:v>shape: short circle; size: XS / S / M / L</x:v>
      </x:c>
      <x:c r="E8680" s="25" t="str">
        <x:v>$3.99</x:v>
      </x:c>
      <x:c r="F8680" s="19" t="str">
        <x:v>30</x:v>
      </x:c>
    </x:row>
    <x:row r="8681" ht="93" customHeight="1">
      <x:c r="A8681" s="19" t="n">
        <x:v>8678</x:v>
      </x:c>
      <x:c r="B8681" s="22" t="e">
        <x:f>HYPERLINK("https://cdn.shopify.com/s/files/1/0918/6066/4603/files/df1e646aedb82b018cd24b2ca9295e3f.png?v=1754460044","Open")</x:f>
        <x:v>HYPERLINK is not implemented. linkLocation=https://cdn.shopify.com/s/files/1/0918/6066/4603/files/df1e646aedb82b018cd24b2ca9295e3f.png?v=1754460044, friendlyName=Open</x:v>
      </x:c>
      <x:c r="C8681" s="24" t="e">
        <x:f>HYPERLINK("https://365nails.com/products/wearing-nail-kit-wholesale-nail-art-material-jelly-glue-nail-art-glue-alcohol-wipe-nail-file-cleaning-wooden-stick-365nails","Press-On Nail Accessory Tools Kits  Wholesale ｜365nails")</x:f>
        <x:v>HYPERLINK is not implemented. linkLocation=https://365nails.com/products/wearing-nail-kit-wholesale-nail-art-material-jelly-glue-nail-art-glue-alcohol-wipe-nail-file-cleaning-wooden-stick-365nails, friendlyName=Press-On Nail Accessory Tools Kits  Wholesale ｜365nails</x:v>
      </x:c>
      <x:c r="D8681" s="18" t="str">
        <x:v>Color: Toolkit five-piece set</x:v>
      </x:c>
      <x:c r="E8681" s="25" t="str">
        <x:v>$0.20</x:v>
      </x:c>
      <x:c r="F8681" s="19" t="str">
        <x:v>1</x:v>
      </x:c>
    </x:row>
    <x:row r="8682" ht="93" customHeight="1">
      <x:c r="A8682" s="19" t="n">
        <x:v>8679</x:v>
      </x:c>
      <x:c r="B8682" s="22" t="e">
        <x:f>HYPERLINK("https://cdn.shopify.com/s/files/1/0918/6066/4603/files/O1CN01ZH7Fj31rlpJCP4kI6__2215158925672-0-cib.jpg?v=1754449445","Open")</x:f>
        <x:v>HYPERLINK is not implemented. linkLocation=https://cdn.shopify.com/s/files/1/0918/6066/4603/files/O1CN01ZH7Fj31rlpJCP4kI6__2215158925672-0-cib.jpg?v=1754449445, friendlyName=Open</x:v>
      </x:c>
      <x:c r="C8682" s="24" t="e">
        <x:f>HYPERLINK("https://365nails.com/products/magic-mirror-powder-hand-painted-summer-white-fresh-autumn-and-winter-short-nail-patch-pure-handmade-press-on-nails-wholesale-365nails","Magic mirror powder hand-painted summer white fresh  autumn and winter short nail patch pure handmade press-on nails wholesale｜365nails")</x:f>
        <x:v>HYPERLINK is not implemented. linkLocation=https://365nails.com/products/magic-mirror-powder-hand-painted-summer-white-fresh-autumn-and-winter-short-nail-patch-pure-handmade-press-on-nails-wholesale-365nails, friendlyName=Magic mirror powder hand-painted summer white fresh  autumn and winter short nail patch pure handmade press-on nails wholesale｜365nails</x:v>
      </x:c>
      <x:c r="D8682" s="18" t="str">
        <x:v>Color: Ultra short T; Color classification: XS / S / M / L</x:v>
      </x:c>
      <x:c r="E8682" s="25" t="str">
        <x:v>$3.49</x:v>
      </x:c>
      <x:c r="F8682" s="19" t="str">
        <x:v>1</x:v>
      </x:c>
    </x:row>
    <x:row r="8683" ht="93" customHeight="1">
      <x:c r="A8683" s="19" t="n">
        <x:v>8680</x:v>
      </x:c>
      <x:c r="B8683" s="22" t="e">
        <x:f>HYPERLINK("https://cdn.shopify.com/s/files/1/0918/6066/4603/files/O1CN01ABZha41rlpRVFK09G__2215158925672-0-cib.jpg?v=1754449257","Open")</x:f>
        <x:v>HYPERLINK is not implemented. linkLocation=https://cdn.shopify.com/s/files/1/0918/6066/4603/files/O1CN01ABZha41rlpRVFK09G__2215158925672-0-cib.jpg?v=1754449257, friendlyName=Open</x:v>
      </x:c>
      <x:c r="C8683" s="24" t="e">
        <x:f>HYPERLINK("https://365nails.com/products/super-long-water-pipe-manicure-irregular-shape-blue-cat-eye-handmade-press-on-nails-advanced-light-luxury-manicure-patch-365nails","Sculpted Blue Cat-Eye Nails with Irregular Chrome Art")</x:f>
        <x:v>HYPERLINK is not implemented. linkLocation=https://365nails.com/products/super-long-water-pipe-manicure-irregular-shape-blue-cat-eye-handmade-press-on-nails-advanced-light-luxury-manicure-patch-365nails, friendlyName=Sculpted Blue Cat-Eye Nails with Irregular Chrome Art</x:v>
      </x:c>
      <x:c r="D8683" s="18" t="str">
        <x:v>shape: long water pipe; size: S / M / L</x:v>
      </x:c>
      <x:c r="E8683" s="25" t="str">
        <x:v>$4.99</x:v>
      </x:c>
      <x:c r="F8683" s="19" t="str">
        <x:v>30</x:v>
      </x:c>
    </x:row>
    <x:row r="8684" ht="93" customHeight="1">
      <x:c r="A8684" s="19" t="n">
        <x:v>8681</x:v>
      </x:c>
      <x:c r="B8684" s="22" t="e">
        <x:f>HYPERLINK("https://cdn.shopify.com/s/files/1/0918/6066/4603/files/O1CN01ZMXPDs1rlpTbtT7IY__2215158925672-0-cib.jpg?v=1754449114","Open")</x:f>
        <x:v>HYPERLINK is not implemented. linkLocation=https://cdn.shopify.com/s/files/1/0918/6066/4603/files/O1CN01ZMXPDs1rlpTbtT7IY__2215158925672-0-cib.jpg?v=1754449114, friendlyName=Open</x:v>
      </x:c>
      <x:c r="C8684" s="24" t="e">
        <x:f>HYPERLINK("https://365nails.com/products/handmade-press-on-nails-pink-leopard-print-cat-creative-cute-cartoon-sweet-girl-bow-nail-art-365nails","Pink Leopard Cat Nails with Cute 3D Bows and Sparkling Accents")</x:f>
        <x:v>HYPERLINK is not implemented. linkLocation=https://365nails.com/products/handmade-press-on-nails-pink-leopard-print-cat-creative-cute-cartoon-sweet-girl-bow-nail-art-365nails, friendlyName=Pink Leopard Cat Nails with Cute 3D Bows and Sparkling Accents</x:v>
      </x:c>
      <x:c r="D8684" s="18" t="str">
        <x:v>shape: 4.0 Long Ellipse; size: XS / S / M / L</x:v>
      </x:c>
      <x:c r="E8684" s="25" t="str">
        <x:v>$2.99</x:v>
      </x:c>
      <x:c r="F8684" s="19" t="str">
        <x:v>30</x:v>
      </x:c>
    </x:row>
    <x:row r="8685" ht="93" customHeight="1">
      <x:c r="A8685" s="19" t="n">
        <x:v>8682</x:v>
      </x:c>
      <x:c r="B8685" s="22" t="e">
        <x:f>HYPERLINK("https://cdn.shopify.com/s/files/1/0918/6066/4603/files/O1CN01NjB1Ef1rlpSuK7rZP__2215158925672-0-cib.jpg?v=1754449052","Open")</x:f>
        <x:v>HYPERLINK is not implemented. linkLocation=https://cdn.shopify.com/s/files/1/0918/6066/4603/files/O1CN01NjB1Ef1rlpSuK7rZP__2215158925672-0-cib.jpg?v=1754449052, friendlyName=Open</x:v>
      </x:c>
      <x:c r="C8685" s="24" t="e">
        <x:f>HYPERLINK("https://365nails.com/products/handmade-press-on-nails-blue-hand-painted-cherry-summer-ice-through-wear-fake-nails-wholesale-365nails","Blue Cherry Nails with Hand-Painted Bow Details")</x:f>
        <x:v>HYPERLINK is not implemented. linkLocation=https://365nails.com/products/handmade-press-on-nails-blue-hand-painted-cherry-summer-ice-through-wear-fake-nails-wholesale-365nails, friendlyName=Blue Cherry Nails with Hand-Painted Bow Details</x:v>
      </x:c>
      <x:c r="D8685" s="18" t="str">
        <x:v>shape: medium almond; size: XS / S / M / L</x:v>
      </x:c>
      <x:c r="E8685" s="25" t="str">
        <x:v>$3.49</x:v>
      </x:c>
      <x:c r="F8685" s="19" t="str">
        <x:v>30</x:v>
      </x:c>
    </x:row>
    <x:row r="8686" ht="93" customHeight="1">
      <x:c r="A8686" s="19" t="n">
        <x:v>8683</x:v>
      </x:c>
      <x:c r="B8686" s="22" t="e">
        <x:f>HYPERLINK("https://cdn.shopify.com/s/files/1/0918/6066/4603/files/O1CN01ckKYWu1rlpUisX4Qc__2215158925672-0-cib.jpg?v=1754448956","Open")</x:f>
        <x:v>HYPERLINK is not implemented. linkLocation=https://cdn.shopify.com/s/files/1/0918/6066/4603/files/O1CN01ckKYWu1rlpUisX4Qc__2215158925672-0-cib.jpg?v=1754448956, friendlyName=Open</x:v>
      </x:c>
      <x:c r="C8686" s="24" t="e">
        <x:f>HYPERLINK("https://365nails.com/products/handmade-press-on-nails-cat-eye-hand-painted-short-nail-patch-almond-nail-365nails","Hand-Painted Cat-Eye Nails with Silver Metallic Accents")</x:f>
        <x:v>HYPERLINK is not implemented. linkLocation=https://365nails.com/products/handmade-press-on-nails-cat-eye-hand-painted-short-nail-patch-almond-nail-365nails, friendlyName=Hand-Painted Cat-Eye Nails with Silver Metallic Accents</x:v>
      </x:c>
      <x:c r="D8686" s="18" t="str">
        <x:v>shape: Short almonds; size: S / M / L</x:v>
      </x:c>
      <x:c r="E8686" s="25" t="str">
        <x:v>$2.99</x:v>
      </x:c>
      <x:c r="F8686" s="19" t="str">
        <x:v>30</x:v>
      </x:c>
    </x:row>
    <x:row r="8687" ht="93" customHeight="1">
      <x:c r="A8687" s="19" t="n">
        <x:v>8684</x:v>
      </x:c>
      <x:c r="B8687" s="22" t="e">
        <x:f>HYPERLINK("https://cdn.shopify.com/s/files/1/0918/6066/4603/files/O1CN01CtmeHM1rlpTbwORR4__2215158925672-0-cib.jpg?v=1754448903","Open")</x:f>
        <x:v>HYPERLINK is not implemented. linkLocation=https://cdn.shopify.com/s/files/1/0918/6066/4603/files/O1CN01CtmeHM1rlpTbwORR4__2215158925672-0-cib.jpg?v=1754448903, friendlyName=Open</x:v>
      </x:c>
      <x:c r="C8687" s="24" t="e">
        <x:f>HYPERLINK("https://365nails.com/products/dyed-armor-handmade-wearing-armor-sky-realm-creative-hand-painted-lines-fresh-simple-personality-cute-duckbill-armor-365nails","Sky Mirror Nails with Chrome Frame Accents")</x:f>
        <x:v>HYPERLINK is not implemented. linkLocation=https://365nails.com/products/dyed-armor-handmade-wearing-armor-sky-realm-creative-hand-painted-lines-fresh-simple-personality-cute-duckbill-armor-365nails, friendlyName=Sky Mirror Nails with Chrome Frame Accents</x:v>
      </x:c>
      <x:c r="D8687" s="18" t="str">
        <x:v>shape: short bill; size: S / M / L</x:v>
      </x:c>
      <x:c r="E8687" s="25" t="str">
        <x:v>$4.99</x:v>
      </x:c>
      <x:c r="F8687" s="19" t="str">
        <x:v>30</x:v>
      </x:c>
    </x:row>
    <x:row r="8688" ht="93" customHeight="1">
      <x:c r="A8688" s="19" t="n">
        <x:v>8685</x:v>
      </x:c>
      <x:c r="B8688" s="22" t="e">
        <x:f>HYPERLINK("https://cdn.shopify.com/s/files/1/0918/6066/4603/files/O1CN01OkCELx1rlpRfKKNdL__2215158925672-0-cib.jpg?v=1754448856","Open")</x:f>
        <x:v>HYPERLINK is not implemented. linkLocation=https://cdn.shopify.com/s/files/1/0918/6066/4603/files/O1CN01OkCELx1rlpRfKKNdL__2215158925672-0-cib.jpg?v=1754448856, friendlyName=Open</x:v>
      </x:c>
      <x:c r="C8688" s="24" t="e">
        <x:f>HYPERLINK("https://365nails.com/products/short-handmade-worn-nail-hand-painted-nail-patch-wearable-nail-sticker-wholesale-365nails","Hand-Painted Graphic Nails with Mixed Chrome &amp; Heart Accents")</x:f>
        <x:v>HYPERLINK is not implemented. linkLocation=https://365nails.com/products/short-handmade-worn-nail-hand-painted-nail-patch-wearable-nail-sticker-wholesale-365nails, friendlyName=Hand-Painted Graphic Nails with Mixed Chrome &amp; Heart Accents</x:v>
      </x:c>
      <x:c r="D8688" s="18" t="str">
        <x:v>shape: short circle; size: XS / S / M / L</x:v>
      </x:c>
      <x:c r="E8688" s="25" t="str">
        <x:v>$2.99</x:v>
      </x:c>
      <x:c r="F8688" s="19" t="str">
        <x:v>30</x:v>
      </x:c>
    </x:row>
    <x:row r="8689" ht="93" customHeight="1">
      <x:c r="A8689" s="19" t="n">
        <x:v>8686</x:v>
      </x:c>
      <x:c r="B8689" s="22" t="e">
        <x:f>HYPERLINK("https://cdn.shopify.com/s/files/1/0918/6066/4603/files/O1CN01jIlAFr1rlpLstoe0q__2215158925672-0-cib_dfdd8c37-067d-4952-9932-362839553c6d.jpg?v=1754462741","Open")</x:f>
        <x:v>HYPERLINK is not implemented. linkLocation=https://cdn.shopify.com/s/files/1/0918/6066/4603/files/O1CN01jIlAFr1rlpLstoe0q__2215158925672-0-cib_dfdd8c37-067d-4952-9932-362839553c6d.jpg?v=1754462741, friendlyName=Open</x:v>
      </x:c>
      <x:c r="C8689" s="24" t="e">
        <x:f>HYPERLINK("https://365nails.com/products/handmade-press-on-nails-flash-warm-elf-the-same-aurora-diamond-short-nail-art-finished-patch-advanced-white-wearing-armor-365nails","Handmade press on nails, flash warm elf, the same Aurora diamond, short nail art finished patch｜365nails")</x:f>
        <x:v>HYPERLINK is not implemented. linkLocation=https://365nails.com/products/handmade-press-on-nails-flash-warm-elf-the-same-aurora-diamond-short-nail-art-finished-patch-advanced-white-wearing-armor-365nails, friendlyName=Handmade press on nails, flash warm elf, the same Aurora diamond, short nail art finished patch｜365nails</x:v>
      </x:c>
      <x:c r="D8689" s="18" t="str">
        <x:v>Color: Short T; Color classification: XS / S / M / L</x:v>
      </x:c>
      <x:c r="E8689" s="25" t="str">
        <x:v>$1.89</x:v>
      </x:c>
      <x:c r="F8689" s="19" t="str">
        <x:v>30</x:v>
      </x:c>
    </x:row>
    <x:row r="8690" ht="93" customHeight="1">
      <x:c r="A8690" s="19" t="n">
        <x:v>8687</x:v>
      </x:c>
      <x:c r="B8690" s="22" t="e">
        <x:f>HYPERLINK("https://cdn.shopify.com/s/files/1/0918/6066/4603/files/O1CN01olor361rlpR73TKAA__2215158925672-0-cib.jpg?v=1754448679","Open")</x:f>
        <x:v>HYPERLINK is not implemented. linkLocation=https://cdn.shopify.com/s/files/1/0918/6066/4603/files/O1CN01olor361rlpR73TKAA__2215158925672-0-cib.jpg?v=1754448679, friendlyName=Open</x:v>
      </x:c>
      <x:c r="C8690" s="24" t="e">
        <x:f>HYPERLINK("https://365nails.com/products/sweet-cool-spice-girl-handmade-nail-patch-blush-almonds-handmade-press-on-nails-wearable-nail-sticker-365nails","Pink Blush Jelly Nails with Silver Star Accents")</x:f>
        <x:v>HYPERLINK is not implemented. linkLocation=https://365nails.com/products/sweet-cool-spice-girl-handmade-nail-patch-blush-almonds-handmade-press-on-nails-wearable-nail-sticker-365nails, friendlyName=Pink Blush Jelly Nails with Silver Star Accents</x:v>
      </x:c>
      <x:c r="D8690" s="18" t="str">
        <x:v>shape: medium almond; size: XS / S / M / L</x:v>
      </x:c>
      <x:c r="E8690" s="25" t="str">
        <x:v>$4.49</x:v>
      </x:c>
      <x:c r="F8690" s="19" t="str">
        <x:v>30</x:v>
      </x:c>
    </x:row>
    <x:row r="8691" ht="93" customHeight="1">
      <x:c r="A8691" s="19" t="n">
        <x:v>8688</x:v>
      </x:c>
      <x:c r="B8691" s="22" t="e">
        <x:f>HYPERLINK("https://cdn.shopify.com/s/files/1/0918/6066/4603/files/O1CN015FiGHa1rlpR8Irrtz__2215158925672-0-cib.jpg?v=1754448565","Open")</x:f>
        <x:v>HYPERLINK is not implemented. linkLocation=https://cdn.shopify.com/s/files/1/0918/6066/4603/files/O1CN015FiGHa1rlpR8Irrtz__2215158925672-0-cib.jpg?v=1754448565, friendlyName=Open</x:v>
      </x:c>
      <x:c r="C8691" s="24" t="e">
        <x:f>HYPERLINK("https://365nails.com/products/handmade-press-on-nails-sweet-long-nail-patch-pure-desire-hollow-butterfly-aurora-nail-wearable-nail-patch-wholesale-365nails","Sweet Aurora Nails with Cutout Butterfly Accents")</x:f>
        <x:v>HYPERLINK is not implemented. linkLocation=https://365nails.com/products/handmade-press-on-nails-sweet-long-nail-patch-pure-desire-hollow-butterfly-aurora-nail-wearable-nail-patch-wholesale-365nails, friendlyName=Sweet Aurora Nails with Cutout Butterfly Accents</x:v>
      </x:c>
      <x:c r="D8691" s="18" t="str">
        <x:v>shape: lengthened T; size: XS / S / M</x:v>
      </x:c>
      <x:c r="E8691" s="25" t="str">
        <x:v>$3.99</x:v>
      </x:c>
      <x:c r="F8691" s="19" t="str">
        <x:v>30</x:v>
      </x:c>
    </x:row>
    <x:row r="8692" ht="93" customHeight="1">
      <x:c r="A8692" s="19" t="n">
        <x:v>8689</x:v>
      </x:c>
      <x:c r="B8692" s="22" t="e">
        <x:f>HYPERLINK("https://cdn.shopify.com/s/files/1/0918/6066/4603/files/O1CN01zUTEzB1rlpRdKN8K1__2215158925672-0-cib.jpg?v=1754448526","Open")</x:f>
        <x:v>HYPERLINK is not implemented. linkLocation=https://cdn.shopify.com/s/files/1/0918/6066/4603/files/O1CN01zUTEzB1rlpRdKN8K1__2215158925672-0-cib.jpg?v=1754448526, friendlyName=Open</x:v>
      </x:c>
      <x:c r="C8692" s="24" t="e">
        <x:f>HYPERLINK("https://365nails.com/products/european-american-medium-and-long-square-handmade-manicure-patch-blush-flash-handmade-press-on-nails-reusable-fake-nail-wholesale-365nails","Pink Blush Gradient Nails with Sparkle Star Accents")</x:f>
        <x:v>HYPERLINK is not implemented. linkLocation=https://365nails.com/products/european-american-medium-and-long-square-handmade-manicure-patch-blush-flash-handmade-press-on-nails-reusable-fake-nail-wholesale-365nails, friendlyName=Pink Blush Gradient Nails with Sparkle Star Accents</x:v>
      </x:c>
      <x:c r="D8692" s="18" t="str">
        <x:v>shape: medium and long square; size: S / M / L</x:v>
      </x:c>
      <x:c r="E8692" s="25" t="str">
        <x:v>$3.99</x:v>
      </x:c>
      <x:c r="F8692" s="19" t="str">
        <x:v>30</x:v>
      </x:c>
    </x:row>
    <x:row r="8693" ht="93" customHeight="1">
      <x:c r="A8693" s="19" t="n">
        <x:v>8690</x:v>
      </x:c>
      <x:c r="B8693" s="22" t="e">
        <x:f>HYPERLINK("https://cdn.shopify.com/s/files/1/0918/6066/4603/files/O1CN01mmcaJe1rlpR6kfudg__2215158925672-0-cib.jpg?v=1754448387","Open")</x:f>
        <x:v>HYPERLINK is not implemented. linkLocation=https://cdn.shopify.com/s/files/1/0918/6066/4603/files/O1CN01mmcaJe1rlpR6kfudg__2215158925672-0-cib.jpg?v=1754448387, friendlyName=Open</x:v>
      </x:c>
      <x:c r="C8693" s="24" t="e">
        <x:f>HYPERLINK("https://365nails.com/products/handmade-press-on-nails-two-color-gradual-change-korean-large-sequ-medium-and-long-nail-patch-style-long-pointed-fake-nails-365nails","Handmade press-on nails two-color gradual change Korean large sequ medium and long nail patch  style long pointed fake nails｜365nails")</x:f>
        <x:v>HYPERLINK is not implemented. linkLocation=https://365nails.com/products/handmade-press-on-nails-two-color-gradual-change-korean-large-sequ-medium-and-long-nail-patch-style-long-pointed-fake-nails-365nails, friendlyName=Handmade press-on nails two-color gradual change Korean large sequ medium and long nail patch  style long pointed fake nails｜365nails</x:v>
      </x:c>
      <x:c r="D8693" s="18" t="str">
        <x:v>Color: long pointed ellipse; Color classification: XS / S / M / L</x:v>
      </x:c>
      <x:c r="E8693" s="25" t="str">
        <x:v>$3.49</x:v>
      </x:c>
      <x:c r="F8693" s="19" t="str">
        <x:v>30</x:v>
      </x:c>
    </x:row>
    <x:row r="8694" ht="93" customHeight="1">
      <x:c r="A8694" s="19" t="n">
        <x:v>8691</x:v>
      </x:c>
      <x:c r="B8694" s="22" t="e">
        <x:f>HYPERLINK("https://cdn.shopify.com/s/files/1/0918/6066/4603/files/O1CN01PVceNq1rlpNeWOMzB__2215158925672-0-cib.jpg?v=1754448298","Open")</x:f>
        <x:v>HYPERLINK is not implemented. linkLocation=https://cdn.shopify.com/s/files/1/0918/6066/4603/files/O1CN01PVceNq1rlpNeWOMzB__2215158925672-0-cib.jpg?v=1754448298, friendlyName=Open</x:v>
      </x:c>
      <x:c r="C8694" s="24" t="e">
        <x:f>HYPERLINK("https://365nails.com/products/handmade-press-on-nails-spray-gun-black-gills-hand-painted-irregular-lines-metal-advanced-sense-nail-art-wearable-nail-sticker-365nails","Modern Gray Smoke Ombré Silver Chrome Line Art Press-On Nails")</x:f>
        <x:v>HYPERLINK is not implemented. linkLocation=https://365nails.com/products/handmade-press-on-nails-spray-gun-black-gills-hand-painted-irregular-lines-metal-advanced-sense-nail-art-wearable-nail-sticker-365nails, friendlyName=Modern Gray Smoke Ombré Silver Chrome Line Art Press-On Nails</x:v>
      </x:c>
      <x:c r="D8694" s="18" t="str">
        <x:v>shape: Medium T; size: XS / S / M / L</x:v>
      </x:c>
      <x:c r="E8694" s="25" t="str">
        <x:v>$2.99</x:v>
      </x:c>
      <x:c r="F8694" s="19" t="str">
        <x:v>30</x:v>
      </x:c>
    </x:row>
    <x:row r="8695" ht="93" customHeight="1">
      <x:c r="A8695" s="19" t="n">
        <x:v>8692</x:v>
      </x:c>
      <x:c r="B8695" s="22" t="e">
        <x:f>HYPERLINK("https://cdn.shopify.com/s/files/1/0918/6066/4603/files/O1CN01KarRBs1rlpLG9DQ0D__2215158925672-0-cib.jpg?v=1754448271","Open")</x:f>
        <x:v>HYPERLINK is not implemented. linkLocation=https://cdn.shopify.com/s/files/1/0918/6066/4603/files/O1CN01KarRBs1rlpLG9DQ0D__2215158925672-0-cib.jpg?v=1754448271, friendlyName=Open</x:v>
      </x:c>
      <x:c r="C8695" s="24" t="e">
        <x:f>HYPERLINK("https://365nails.com/products/sweet-hand-painted-small-flower-pure-handmade-press-on-nails-gentle-blush-short-nail-art-small-fresh-wearable-nail-sticker-365nails","Romantic Sakura Flower Gold Foil Pink Jelly Press-On Nails")</x:f>
        <x:v>HYPERLINK is not implemented. linkLocation=https://365nails.com/products/sweet-hand-painted-small-flower-pure-handmade-press-on-nails-gentle-blush-short-nail-art-small-fresh-wearable-nail-sticker-365nails, friendlyName=Romantic Sakura Flower Gold Foil Pink Jelly Press-On Nails</x:v>
      </x:c>
      <x:c r="D8695" s="18" t="str">
        <x:v>shape: Short T; size: XS / S / M / L</x:v>
      </x:c>
      <x:c r="E8695" s="25" t="str">
        <x:v>$3.99</x:v>
      </x:c>
      <x:c r="F8695" s="19" t="str">
        <x:v>30</x:v>
      </x:c>
    </x:row>
    <x:row r="8696" ht="93" customHeight="1">
      <x:c r="A8696" s="19" t="n">
        <x:v>8693</x:v>
      </x:c>
      <x:c r="B8696" s="22" t="e">
        <x:f>HYPERLINK("https://cdn.shopify.com/s/files/1/0918/6066/4603/files/O1CN017M68oF1rlpJ6Xk9og__2215158925672-0-cib.jpg?v=1754448201","Open")</x:f>
        <x:v>HYPERLINK is not implemented. linkLocation=https://cdn.shopify.com/s/files/1/0918/6066/4603/files/O1CN017M68oF1rlpJ6Xk9og__2215158925672-0-cib.jpg?v=1754448201, friendlyName=Open</x:v>
      </x:c>
      <x:c r="C8696" s="24" t="e">
        <x:f>HYPERLINK("https://365nails.com/products/summer-fresh-moonlight-blue-bright-diamond-short-manicure-patch-detachable-fake-nails-pure-handmade-press-on-nails-wholesale-365nails","Elegant Aurora Gemstone Nude Short Glitter Press-On Nails")</x:f>
        <x:v>HYPERLINK is not implemented. linkLocation=https://365nails.com/products/summer-fresh-moonlight-blue-bright-diamond-short-manicure-patch-detachable-fake-nails-pure-handmade-press-on-nails-wholesale-365nails, friendlyName=Elegant Aurora Gemstone Nude Short Glitter Press-On Nails</x:v>
      </x:c>
      <x:c r="D8696" s="18" t="str">
        <x:v>shape: Ultra short T / Short T; size: XS / S / M / L</x:v>
      </x:c>
      <x:c r="E8696" s="25" t="str">
        <x:v>$2.99</x:v>
      </x:c>
      <x:c r="F8696" s="19" t="str">
        <x:v>30</x:v>
      </x:c>
    </x:row>
    <x:row r="8697" ht="93" customHeight="1">
      <x:c r="A8697" s="19" t="n">
        <x:v>8694</x:v>
      </x:c>
      <x:c r="B8697" s="22" t="e">
        <x:f>HYPERLINK("https://cdn.shopify.com/s/files/1/0918/6066/4603/files/O1CN01Xj645V1rlpJsZAOLq__2215158925672-0-cib.jpg?v=1754448190","Open")</x:f>
        <x:v>HYPERLINK is not implemented. linkLocation=https://cdn.shopify.com/s/files/1/0918/6066/4603/files/O1CN01Xj645V1rlpJsZAOLq__2215158925672-0-cib.jpg?v=1754448190, friendlyName=Open</x:v>
      </x:c>
      <x:c r="C8697" s="24" t="e">
        <x:f>HYPERLINK("https://365nails.com/products/handmade-press-on-nails-finished-nail-patch-cute-star-graffiti-short-nail-patch-detachable-wearable-nail-patch-365nails","Cute Drip Star Confetti Short Playful Press-On Nails")</x:f>
        <x:v>HYPERLINK is not implemented. linkLocation=https://365nails.com/products/handmade-press-on-nails-finished-nail-patch-cute-star-graffiti-short-nail-patch-detachable-wearable-nail-patch-365nails, friendlyName=Cute Drip Star Confetti Short Playful Press-On Nails</x:v>
      </x:c>
      <x:c r="D8697" s="18" t="str">
        <x:v>shape: Ultra short T; size: XS / S / M / L</x:v>
      </x:c>
      <x:c r="E8697" s="25" t="str">
        <x:v>$2.99</x:v>
      </x:c>
      <x:c r="F8697" s="19" t="str">
        <x:v>30</x:v>
      </x:c>
    </x:row>
    <x:row r="8698" ht="93" customHeight="1">
      <x:c r="A8698" s="19" t="n">
        <x:v>8695</x:v>
      </x:c>
      <x:c r="B8698" s="22" t="e">
        <x:f>HYPERLINK("https://cdn.shopify.com/s/files/1/0918/6066/4603/files/O1CN01Tbjdsg1rlpJ53Cm7Z__2215158925672-0-cib.jpg?v=1754448171","Open")</x:f>
        <x:v>HYPERLINK is not implemented. linkLocation=https://cdn.shopify.com/s/files/1/0918/6066/4603/files/O1CN01Tbjdsg1rlpJ53Cm7Z__2215158925672-0-cib.jpg?v=1754448171, friendlyName=Open</x:v>
      </x:c>
      <x:c r="C8698" s="24" t="e">
        <x:f>HYPERLINK("https://365nails.com/products/love-bright-diamond-hand-painted-square-white-advanced-sense-nail-patch-pure-handmade-press-on-nails-xiaohongshu-same-nail-art-365nails","Cute Plaid Pearl Silver Chrome Mixed Short Press-On Nails")</x:f>
        <x:v>HYPERLINK is not implemented. linkLocation=https://365nails.com/products/love-bright-diamond-hand-painted-square-white-advanced-sense-nail-patch-pure-handmade-press-on-nails-xiaohongshu-same-nail-art-365nails, friendlyName=Cute Plaid Pearl Silver Chrome Mixed Short Press-On Nails</x:v>
      </x:c>
      <x:c r="D8698" s="18" t="str">
        <x:v>shape: new short square; size: XS / S / M / L</x:v>
      </x:c>
      <x:c r="E8698" s="25" t="str">
        <x:v>$2.99</x:v>
      </x:c>
      <x:c r="F8698" s="19" t="str">
        <x:v>30</x:v>
      </x:c>
    </x:row>
    <x:row r="8699" ht="93" customHeight="1">
      <x:c r="A8699" s="19" t="n">
        <x:v>8696</x:v>
      </x:c>
      <x:c r="B8699" s="22" t="e">
        <x:f>HYPERLINK("https://cdn.shopify.com/s/files/1/0918/6066/4603/files/O1CN0112t5RU1rlpJrxRtuS__2215158925672-0-cib.jpg?v=1754448163","Open")</x:f>
        <x:v>HYPERLINK is not implemented. linkLocation=https://cdn.shopify.com/s/files/1/0918/6066/4603/files/O1CN0112t5RU1rlpJrxRtuS__2215158925672-0-cib.jpg?v=1754448163, friendlyName=Open</x:v>
      </x:c>
      <x:c r="C8699" s="24" t="e">
        <x:f>HYPERLINK("https://365nails.com/products/handmade-press-on-nails-simple-short-nail-patch-removable-wearable-nail-patch-365nails","Abstract Black Swirl Doodle Matte White Short Press-On Nails")</x:f>
        <x:v>HYPERLINK is not implemented. linkLocation=https://365nails.com/products/handmade-press-on-nails-simple-short-nail-patch-removable-wearable-nail-patch-365nails, friendlyName=Abstract Black Swirl Doodle Matte White Short Press-On Nails</x:v>
      </x:c>
      <x:c r="D8699" s="18" t="str">
        <x:v>shape: new short square; size: XS / S / M / L</x:v>
      </x:c>
      <x:c r="E8699" s="25" t="str">
        <x:v>$3.49</x:v>
      </x:c>
      <x:c r="F8699" s="19" t="str">
        <x:v>30</x:v>
      </x:c>
    </x:row>
    <x:row r="8700" ht="93" customHeight="1">
      <x:c r="A8700" s="19" t="n">
        <x:v>8697</x:v>
      </x:c>
      <x:c r="B8700" s="22" t="e">
        <x:f>HYPERLINK("https://cdn.shopify.com/s/files/1/0918/6066/4603/files/O1CN01pXqiaU1rlpJ9cQkFp__2215158925672-0-cib.jpg?v=1754448082","Open")</x:f>
        <x:v>HYPERLINK is not implemented. linkLocation=https://cdn.shopify.com/s/files/1/0918/6066/4603/files/O1CN01pXqiaU1rlpJ9cQkFp__2215158925672-0-cib.jpg?v=1754448082, friendlyName=Open</x:v>
      </x:c>
      <x:c r="C8700" s="24" t="e">
        <x:f>HYPERLINK("https://365nails.com/products/colorful-cartoon-bear-short-press-on-nails","Colorful Cartoon Bear Short Press On Nails")</x:f>
        <x:v>HYPERLINK is not implemented. linkLocation=https://365nails.com/products/colorful-cartoon-bear-short-press-on-nails, friendlyName=Colorful Cartoon Bear Short Press On Nails</x:v>
      </x:c>
      <x:c r="D8700" s="18" t="str">
        <x:v>shape: new short square; size: XS / S / M / L</x:v>
      </x:c>
      <x:c r="E8700" s="25" t="str">
        <x:v>$3.99</x:v>
      </x:c>
      <x:c r="F8700" s="19" t="str">
        <x:v>30</x:v>
      </x:c>
    </x:row>
    <x:row r="8701" ht="93" customHeight="1">
      <x:c r="A8701" s="19" t="n">
        <x:v>8698</x:v>
      </x:c>
      <x:c r="B8701" s="22" t="e">
        <x:f>HYPERLINK("https://cdn.shopify.com/s/files/1/0918/6066/4603/files/O1CN01J5DWoo1rlpJ8jMfpg__2215158925672-0-cib.jpg?v=1754448030","Open")</x:f>
        <x:v>HYPERLINK is not implemented. linkLocation=https://cdn.shopify.com/s/files/1/0918/6066/4603/files/O1CN01J5DWoo1rlpJ8jMfpg__2215158925672-0-cib.jpg?v=1754448030, friendlyName=Open</x:v>
      </x:c>
      <x:c r="C8701" s="24" t="e">
        <x:f>HYPERLINK("https://365nails.com/products/sparkle-gradient-star-short-press-on-nails","Sparkle Gradient Star Short Press On Nails")</x:f>
        <x:v>HYPERLINK is not implemented. linkLocation=https://365nails.com/products/sparkle-gradient-star-short-press-on-nails, friendlyName=Sparkle Gradient Star Short Press On Nails</x:v>
      </x:c>
      <x:c r="D8701" s="18" t="str">
        <x:v>shape: Short T; size: XS / S / M / L</x:v>
      </x:c>
      <x:c r="E8701" s="25" t="str">
        <x:v>$2.99</x:v>
      </x:c>
      <x:c r="F8701" s="19" t="str">
        <x:v>30</x:v>
      </x:c>
    </x:row>
    <x:row r="8702" ht="93" customHeight="1">
      <x:c r="A8702" s="19" t="n">
        <x:v>8699</x:v>
      </x:c>
      <x:c r="B8702" s="22" t="e">
        <x:f>HYPERLINK("https://cdn.shopify.com/s/files/1/0918/6066/4603/files/O1CN01qreukg1rlpJ3yqqyX__2215158925672-0-cib.jpg?v=1754447866","Open")</x:f>
        <x:v>HYPERLINK is not implemented. linkLocation=https://cdn.shopify.com/s/files/1/0918/6066/4603/files/O1CN01qreukg1rlpJ3yqqyX__2215158925672-0-cib.jpg?v=1754447866, friendlyName=Open</x:v>
      </x:c>
      <x:c r="C8702" s="24" t="e">
        <x:f>HYPERLINK("https://365nails.com/products/spring-limited-small-fresh-hand-painted-tulip-wearing-nail-cat-eye-pure-handmade-press-on-nails-removable-nail-wholesale-365nails","Pastel Press-On Nails with Floral Accents and Soft Gradient Style")</x:f>
        <x:v>HYPERLINK is not implemented. linkLocation=https://365nails.com/products/spring-limited-small-fresh-hand-painted-tulip-wearing-nail-cat-eye-pure-handmade-press-on-nails-removable-nail-wholesale-365nails, friendlyName=Pastel Press-On Nails with Floral Accents and Soft Gradient Style</x:v>
      </x:c>
      <x:c r="D8702" s="18" t="str">
        <x:v>shape: short square; size: XS / S / M / L</x:v>
      </x:c>
      <x:c r="E8702" s="25" t="str">
        <x:v>$2.99</x:v>
      </x:c>
      <x:c r="F8702" s="19" t="str">
        <x:v>30</x:v>
      </x:c>
    </x:row>
    <x:row r="8703" ht="93" customHeight="1">
      <x:c r="A8703" s="19" t="n">
        <x:v>8700</x:v>
      </x:c>
      <x:c r="B8703" s="22" t="e">
        <x:f>HYPERLINK("https://cdn.shopify.com/s/files/1/0918/6066/4603/files/O1CN01tdnva41rlpIIZU033__2215158925672-0-cib.jpg?v=1754447855","Open")</x:f>
        <x:v>HYPERLINK is not implemented. linkLocation=https://cdn.shopify.com/s/files/1/0918/6066/4603/files/O1CN01tdnva41rlpIIZU033__2215158925672-0-cib.jpg?v=1754447855, friendlyName=Open</x:v>
      </x:c>
      <x:c r="C8703" s="24" t="e">
        <x:f>HYPERLINK("https://365nails.com/products/three-dimensional-cartoon-strawberry-bear-pure-handmade-press-on-nails-removable-nail-art-autumn-and-winter-short-hand-painted-love-nail-art-365nails","Cute Press-On Nails with Red Hearts and Sugar-Texture Accents")</x:f>
        <x:v>HYPERLINK is not implemented. linkLocation=https://365nails.com/products/three-dimensional-cartoon-strawberry-bear-pure-handmade-press-on-nails-removable-nail-art-autumn-and-winter-short-hand-painted-love-nail-art-365nails, friendlyName=Cute Press-On Nails with Red Hearts and Sugar-Texture Accents</x:v>
      </x:c>
      <x:c r="D8703" s="18" t="str">
        <x:v>shape: short square; size: XS / S / M / L</x:v>
      </x:c>
      <x:c r="E8703" s="25" t="str">
        <x:v>$2.49</x:v>
      </x:c>
      <x:c r="F8703" s="19" t="str">
        <x:v>30</x:v>
      </x:c>
    </x:row>
    <x:row r="8704" ht="93" customHeight="1">
      <x:c r="A8704" s="19" t="n">
        <x:v>8701</x:v>
      </x:c>
      <x:c r="B8704" s="22" t="e">
        <x:f>HYPERLINK("https://cdn.shopify.com/s/files/1/0918/6066/4603/files/O1CN01WTCvb91rlpJ4jCjOU__2215158925672-0-cib.jpg?v=1754447811","Open")</x:f>
        <x:v>HYPERLINK is not implemented. linkLocation=https://cdn.shopify.com/s/files/1/0918/6066/4603/files/O1CN01WTCvb91rlpJ4jCjOU__2215158925672-0-cib.jpg?v=1754447811, friendlyName=Open</x:v>
      </x:c>
      <x:c r="C8704" s="24" t="e">
        <x:f>HYPERLINK("https://365nails.com/products/smurf-spar-cats-eye-wearing-nail-short-nail-patch-handmade-press-on-nails-wholesale-style-nail-art-365nails","Galaxy Press-On Nails with Silver Accents and Blue Shimmer")</x:f>
        <x:v>HYPERLINK is not implemented. linkLocation=https://365nails.com/products/smurf-spar-cats-eye-wearing-nail-short-nail-patch-handmade-press-on-nails-wholesale-style-nail-art-365nails, friendlyName=Galaxy Press-On Nails with Silver Accents and Blue Shimmer</x:v>
      </x:c>
      <x:c r="D8704" s="18" t="str">
        <x:v>shape: new short square; size: XS / S / M / L</x:v>
      </x:c>
      <x:c r="E8704" s="25" t="str">
        <x:v>$2.99</x:v>
      </x:c>
      <x:c r="F8704" s="19" t="str">
        <x:v>30</x:v>
      </x:c>
    </x:row>
    <x:row r="8705" ht="93" customHeight="1">
      <x:c r="A8705" s="19" t="n">
        <x:v>8702</x:v>
      </x:c>
      <x:c r="B8705" s="22" t="e">
        <x:f>HYPERLINK("https://cdn.shopify.com/s/files/1/0918/6066/4603/files/O1CN01f5mglH1rlpXQ2KDgd__2215158925672-0-cib.jpg?v=1754447642","Open")</x:f>
        <x:v>HYPERLINK is not implemented. linkLocation=https://cdn.shopify.com/s/files/1/0918/6066/4603/files/O1CN01f5mglH1rlpXQ2KDgd__2215158925672-0-cib.jpg?v=1754447642, friendlyName=Open</x:v>
      </x:c>
      <x:c r="C8705" s="24" t="e">
        <x:f>HYPERLINK("https://365nails.com/products/long-pointed-nail-art-metal-hand-painted-relief-sweet-cool-babes-cat-eye-wearing-nail-pure-handmade-wholesale-365nails","Futuristic Press-On Nails with Chrome Details and Star Accents")</x:f>
        <x:v>HYPERLINK is not implemented. linkLocation=https://365nails.com/products/long-pointed-nail-art-metal-hand-painted-relief-sweet-cool-babes-cat-eye-wearing-nail-pure-handmade-wholesale-365nails, friendlyName=Futuristic Press-On Nails with Chrome Details and Star Accents</x:v>
      </x:c>
      <x:c r="D8705" s="18" t="str">
        <x:v>shape: long tip; size: XS / S / M / L</x:v>
      </x:c>
      <x:c r="E8705" s="25" t="str">
        <x:v>$4.99</x:v>
      </x:c>
      <x:c r="F8705" s="19" t="str">
        <x:v>30</x:v>
      </x:c>
    </x:row>
    <x:row r="8706" ht="93" customHeight="1">
      <x:c r="A8706" s="19" t="n">
        <x:v>8703</x:v>
      </x:c>
      <x:c r="B8706" s="22" t="e">
        <x:f>HYPERLINK("https://cdn.shopify.com/s/files/1/0918/6066/4603/files/O1CN01md4ntc1rlpTRSlVqW__2215158925672-0-cib.jpg?v=1754447604","Open")</x:f>
        <x:v>HYPERLINK is not implemented. linkLocation=https://cdn.shopify.com/s/files/1/0918/6066/4603/files/O1CN01md4ntc1rlpTRSlVqW__2215158925672-0-cib.jpg?v=1754447604, friendlyName=Open</x:v>
      </x:c>
      <x:c r="C8706" s="24" t="e">
        <x:f>HYPERLINK("https://365nails.com/products/ai-mechanical-ji-cyberpunk-style-handmade-press-on-nails-metal-sense-short-nail-art-365nails","Modern Press-On Nails with Chrome Accents and Gradient Details")</x:f>
        <x:v>HYPERLINK is not implemented. linkLocation=https://365nails.com/products/ai-mechanical-ji-cyberpunk-style-handmade-press-on-nails-metal-sense-short-nail-art-365nails, friendlyName=Modern Press-On Nails with Chrome Accents and Gradient Details</x:v>
      </x:c>
      <x:c r="D8706" s="18" t="str">
        <x:v>shape: Ultra short T; size: XS / S / M / L</x:v>
      </x:c>
      <x:c r="E8706" s="25" t="str">
        <x:v>$2.99</x:v>
      </x:c>
      <x:c r="F8706" s="19" t="str">
        <x:v>30</x:v>
      </x:c>
    </x:row>
    <x:row r="8707" ht="93" customHeight="1">
      <x:c r="A8707" s="19" t="n">
        <x:v>8704</x:v>
      </x:c>
      <x:c r="B8707" s="22" t="e">
        <x:f>HYPERLINK("https://cdn.shopify.com/s/files/1/0918/6066/4603/files/O1CN01fsou9l1rlpXRvwnMX__2215158925672-0-cib.jpg?v=1754447423","Open")</x:f>
        <x:v>HYPERLINK is not implemented. linkLocation=https://cdn.shopify.com/s/files/1/0918/6066/4603/files/O1CN01fsou9l1rlpXRvwnMX__2215158925672-0-cib.jpg?v=1754447423, friendlyName=Open</x:v>
      </x:c>
      <x:c r="C8707" s="24" t="e">
        <x:f>HYPERLINK("https://365nails.com/products/duck-bill-nail-sweet-cool-hot-girl-pink-black-french-ice-through-handmade-press-on-nails-wearable-fake-nail-wholesale-365nails","Elegant Nude Duckbill Nails with Crystal Embellishments")</x:f>
        <x:v>HYPERLINK is not implemented. linkLocation=https://365nails.com/products/duck-bill-nail-sweet-cool-hot-girl-pink-black-french-ice-through-handmade-press-on-nails-wearable-fake-nail-wholesale-365nails, friendlyName=Elegant Nude Duckbill Nails with Crystal Embellishments</x:v>
      </x:c>
      <x:c r="D8707" s="18" t="str">
        <x:v>size: S / M / L</x:v>
      </x:c>
      <x:c r="E8707" s="25" t="str">
        <x:v>$2.99</x:v>
      </x:c>
      <x:c r="F8707" s="19" t="str">
        <x:v>30</x:v>
      </x:c>
    </x:row>
    <x:row r="8708" ht="93" customHeight="1">
      <x:c r="A8708" s="19" t="n">
        <x:v>8705</x:v>
      </x:c>
      <x:c r="B8708" s="22" t="e">
        <x:f>HYPERLINK("https://cdn.shopify.com/s/files/1/0918/6066/4603/files/O1CN01rzNosc1rlpXTESn9C__2215158925672-0-cib.jpg?v=1754560296","Open")</x:f>
        <x:v>HYPERLINK is not implemented. linkLocation=https://cdn.shopify.com/s/files/1/0918/6066/4603/files/O1CN01rzNosc1rlpXTESn9C__2215158925672-0-cib.jpg?v=1754560296, friendlyName=Open</x:v>
      </x:c>
      <x:c r="C8708" s="24" t="e">
        <x:f>HYPERLINK("https://365nails.com/products/sweet-and-cool-babes-three-dimensional-carved-nail-patch-pure-desire-blush-nail-handmade-press-on-nails-365nails","Sweet Punk Floral Nails with 3D Sculpted Accents")</x:f>
        <x:v>HYPERLINK is not implemented. linkLocation=https://365nails.com/products/sweet-and-cool-babes-three-dimensional-carved-nail-patch-pure-desire-blush-nail-handmade-press-on-nails-365nails, friendlyName=Sweet Punk Floral Nails with 3D Sculpted Accents</x:v>
      </x:c>
      <x:c r="D8708" s="18" t="str">
        <x:v>shape: nib nail; size: S / M / L</x:v>
      </x:c>
      <x:c r="E8708" s="25" t="str">
        <x:v>$4.49</x:v>
      </x:c>
      <x:c r="F8708" s="19" t="str">
        <x:v>30</x:v>
      </x:c>
    </x:row>
    <x:row r="8709" ht="93" customHeight="1">
      <x:c r="A8709" s="19" t="n">
        <x:v>8706</x:v>
      </x:c>
      <x:c r="B8709" s="22" t="e">
        <x:f>HYPERLINK("https://cdn.shopify.com/s/files/1/0918/6066/4603/files/O1CN01A5FfHn1rlpU5hE2ec__2215158925672-0-cib.jpg?v=1754375413","Open")</x:f>
        <x:v>HYPERLINK is not implemented. linkLocation=https://cdn.shopify.com/s/files/1/0918/6066/4603/files/O1CN01A5FfHn1rlpU5hE2ec__2215158925672-0-cib.jpg?v=1754375413, friendlyName=Open</x:v>
      </x:c>
      <x:c r="C8709" s="24" t="e">
        <x:f>HYPERLINK("https://365nails.com/products/handmade-press-on-nails-french-cat-eye-aurora-nail-burst-almond-nail-patch-365nails","Handmade Press-on Nails French Cat Eye Aurora Nail  Burst  Almond Nail Patch｜365nails")</x:f>
        <x:v>HYPERLINK is not implemented. linkLocation=https://365nails.com/products/handmade-press-on-nails-french-cat-eye-aurora-nail-burst-almond-nail-patch-365nails, friendlyName=Handmade Press-on Nails French Cat Eye Aurora Nail  Burst  Almond Nail Patch｜365nails</x:v>
      </x:c>
      <x:c r="D8709" s="18" t="str">
        <x:v>Color: medium almond; Color classification: XS / S / M / L</x:v>
      </x:c>
      <x:c r="E8709" s="25" t="str">
        <x:v>$2.99</x:v>
      </x:c>
      <x:c r="F8709" s="19" t="str">
        <x:v>30</x:v>
      </x:c>
    </x:row>
    <x:row r="8710" ht="93" customHeight="1">
      <x:c r="A8710" s="19" t="n">
        <x:v>8707</x:v>
      </x:c>
      <x:c r="B8710" s="22" t="e">
        <x:f>HYPERLINK("https://cdn.shopify.com/s/files/1/0918/6066/4603/files/O1CN01IWcqAm1rlpTTPXMyx__2215158925672-0-cib.jpg?v=1754374365","Open")</x:f>
        <x:v>HYPERLINK is not implemented. linkLocation=https://cdn.shopify.com/s/files/1/0918/6066/4603/files/O1CN01IWcqAm1rlpTTPXMyx__2215158925672-0-cib.jpg?v=1754374365, friendlyName=Open</x:v>
      </x:c>
      <x:c r="C8710" s="24" t="e">
        <x:f>HYPERLINK("https://365nails.com/products/handemade-press-on-nails-grotesque-future-mechanical-wind-creative-hand-painted-sweet-cool-colorful-spice-girl-nail-art-365nails","Futuristic Gradient Nails with Sculpted Metallic Tech Accents")</x:f>
        <x:v>HYPERLINK is not implemented. linkLocation=https://365nails.com/products/handemade-press-on-nails-grotesque-future-mechanical-wind-creative-hand-painted-sweet-cool-colorful-spice-girl-nail-art-365nails, friendlyName=Futuristic Gradient Nails with Sculpted Metallic Tech Accents</x:v>
      </x:c>
      <x:c r="D8710" s="18" t="str">
        <x:v>shape: 4Cm extra long T; size: XS / S / M / L</x:v>
      </x:c>
      <x:c r="E8710" s="25" t="str">
        <x:v>$3.49</x:v>
      </x:c>
      <x:c r="F8710" s="19" t="str">
        <x:v>30</x:v>
      </x:c>
    </x:row>
    <x:row r="8711" ht="93" customHeight="1">
      <x:c r="A8711" s="19" t="n">
        <x:v>8708</x:v>
      </x:c>
      <x:c r="B8711" s="22" t="e">
        <x:f>HYPERLINK("https://cdn.shopify.com/s/files/1/0918/6066/4603/files/O1CN01bECNeT1rlpIAyjIf6__2215158925672-0-cib.jpg?v=1754374189","Open")</x:f>
        <x:v>HYPERLINK is not implemented. linkLocation=https://cdn.shopify.com/s/files/1/0918/6066/4603/files/O1CN01bECNeT1rlpIAyjIf6__2215158925672-0-cib.jpg?v=1754374189, friendlyName=Open</x:v>
      </x:c>
      <x:c r="C8711" s="24" t="e">
        <x:f>HYPERLINK("https://365nails.com/products/warm-elf-same-nail-patch-short-colorful-aurora-bright-diamond-detachable-nail-art-manual-wear-nail-wholesale-365nails","Warm Elf same nail patch short colorful aurora bright diamond detachable nail art manual wear nail wholesale｜365nails")</x:f>
        <x:v>HYPERLINK is not implemented. linkLocation=https://365nails.com/products/warm-elf-same-nail-patch-short-colorful-aurora-bright-diamond-detachable-nail-art-manual-wear-nail-wholesale-365nails, friendlyName=Warm Elf same nail patch short colorful aurora bright diamond detachable nail art manual wear nail wholesale｜365nails</x:v>
      </x:c>
      <x:c r="D8711" s="18" t="str">
        <x:v>color: Ultra short T / Medium T; Color classification: XS / S / M / L</x:v>
      </x:c>
      <x:c r="E8711" s="25" t="str">
        <x:v>$2.08</x:v>
      </x:c>
      <x:c r="F8711" s="19" t="str">
        <x:v>30</x:v>
      </x:c>
    </x:row>
    <x:row r="8712" ht="93" customHeight="1">
      <x:c r="A8712" s="19" t="n">
        <x:v>8709</x:v>
      </x:c>
      <x:c r="B8712" s="22" t="e">
        <x:f>HYPERLINK("https://cdn.shopify.com/s/files/1/0918/6066/4603/files/O1CN01G10tuK1CPwMg2M054__2213196780074-0-cib.jpg?v=1753689079","Open")</x:f>
        <x:v>HYPERLINK is not implemented. linkLocation=https://cdn.shopify.com/s/files/1/0918/6066/4603/files/O1CN01G10tuK1CPwMg2M054__2213196780074-0-cib.jpg?v=1753689079, friendlyName=Open</x:v>
      </x:c>
      <x:c r="C8712" s="24" t="e">
        <x:f>HYPERLINK("https://365nails.com/products/summer-dopamine-three-dimensional-flowers-tropical-flowers-multicolored-nail-art-pure-handmade-press-on-nails-wear-365nails","Colorful Tropical Nails with Hand Painted Florals and Summer Vibes")</x:f>
        <x:v>HYPERLINK is not implemented. linkLocation=https://365nails.com/products/summer-dopamine-three-dimensional-flowers-tropical-flowers-multicolored-nail-art-pure-handmade-press-on-nails-wear-365nails, friendlyName=Colorful Tropical Nails with Hand Painted Florals and Summer Vibes</x:v>
      </x:c>
      <x:c r="D8712" s="18" t="str">
        <x:v>shape: 340-Long water droplets; size: XS / S / M / L</x:v>
      </x:c>
      <x:c r="E8712" s="25" t="str">
        <x:v>$4.99</x:v>
      </x:c>
      <x:c r="F8712" s="19" t="str">
        <x:v>1</x:v>
      </x:c>
    </x:row>
    <x:row r="8713" ht="93" customHeight="1">
      <x:c r="A8713" s="19" t="n">
        <x:v>8710</x:v>
      </x:c>
      <x:c r="B8713" s="22" t="e">
        <x:f>HYPERLINK("https://cdn.shopify.com/s/files/1/0918/6066/4603/files/O1CN01jt91Mj1CPwLa0wyzs__2213196780074-0-cib.jpg?v=1753674502","Open")</x:f>
        <x:v>HYPERLINK is not implemented. linkLocation=https://cdn.shopify.com/s/files/1/0918/6066/4603/files/O1CN01jt91Mj1CPwLa0wyzs__2213196780074-0-cib.jpg?v=1753674502, friendlyName=Open</x:v>
      </x:c>
      <x:c r="C8713" s="24" t="e">
        <x:f>HYPERLINK("https://365nails.com/products/nail-art-gun-gray-super-flash-full-diamond-dark-popular-european-and-american-style-removable-pure-handmade-nails-365nails","Gunmetal Nails with Ultra Sparkle Full Crystal Gothic Style")</x:f>
        <x:v>HYPERLINK is not implemented. linkLocation=https://365nails.com/products/nail-art-gun-gray-super-flash-full-diamond-dark-popular-european-and-american-style-removable-pure-handmade-nails-365nails, friendlyName=Gunmetal Nails with Ultra Sparkle Full Crystal Gothic Style</x:v>
      </x:c>
      <x:c r="D8713" s="18" t="str">
        <x:v>shape: 676-Long water droplets; size: XS / S / M / L</x:v>
      </x:c>
      <x:c r="E8713" s="25" t="str">
        <x:v>$2.99</x:v>
      </x:c>
      <x:c r="F8713" s="19" t="str">
        <x:v>1</x:v>
      </x:c>
    </x:row>
    <x:row r="8714" ht="93" customHeight="1">
      <x:c r="A8714" s="19" t="n">
        <x:v>8711</x:v>
      </x:c>
      <x:c r="B8714" s="22" t="e">
        <x:f>HYPERLINK("https://cdn.shopify.com/s/files/1/0918/6066/4603/files/O1CN01i4mcZF2NGHdh3Eb6Q__4234819935-0-cib.jpg?v=1753428973","Open")</x:f>
        <x:v>HYPERLINK is not implemented. linkLocation=https://cdn.shopify.com/s/files/1/0918/6066/4603/files/O1CN01i4mcZF2NGHdh3Eb6Q__4234819935-0-cib.jpg?v=1753428973, friendlyName=Open</x:v>
      </x:c>
      <x:c r="C8714" s="24" t="e">
        <x:f>HYPERLINK("https://365nails.com/products/fake-nails-dry-roses-in-autumn-and-winter-press-on-nails-short-manicure-temperament-whitening-nail-patch-removable-nail-piece-365nails","Fake nails dry roses in autumn and winter Press on nails short manicure temperament whitening nail patch, removable nail piece｜365nails")</x:f>
        <x:v>HYPERLINK is not implemented. linkLocation=https://365nails.com/products/fake-nails-dry-roses-in-autumn-and-winter-press-on-nails-short-manicure-temperament-whitening-nail-patch-removable-nail-piece-365nails, friendlyName=Fake nails dry roses in autumn and winter Press on nails short manicure temperament whitening nail patch, removable nail piece｜365nails</x:v>
      </x:c>
      <x:c r="D8714" s="18" t="str">
        <x:v>color: JP1460</x:v>
      </x:c>
      <x:c r="E8714" s="25" t="str">
        <x:v>$0.82</x:v>
      </x:c>
      <x:c r="F8714" s="19" t="str">
        <x:v>1</x:v>
      </x:c>
    </x:row>
  </x:sheetData>
  <x:mergeCells>
    <x:mergeCell ref="A1:F1"/>
    <x:mergeCell ref="A2:F2"/>
  </x:mergeCells>
  <x:pageMargins left="0.7" right="0.7" top="0.75" bottom="0.75" header="0.3" footer="0.3"/>
  <x:drawing xmlns:r="http://schemas.openxmlformats.org/officeDocument/2006/relationships" r:id="Refc33e43a71b4b7e"/>
</x:worksheet>
</file>